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8"/>
  <workbookPr codeName="ThisWorkbook" hidePivotFieldList="1"/>
  <mc:AlternateContent xmlns:mc="http://schemas.openxmlformats.org/markup-compatibility/2006">
    <mc:Choice Requires="x15">
      <x15ac:absPath xmlns:x15ac="http://schemas.microsoft.com/office/spreadsheetml/2010/11/ac" url="https://o2power-my.sharepoint.com/personal/nilesh_waghmare_o2power_in/Documents/D Drive/O2 DGR/"/>
    </mc:Choice>
  </mc:AlternateContent>
  <xr:revisionPtr revIDLastSave="0" documentId="13_ncr:1_{7B4CA975-DA76-4419-8178-10BFC97DCE98}" xr6:coauthVersionLast="47" xr6:coauthVersionMax="47" xr10:uidLastSave="{00000000-0000-0000-0000-000000000000}"/>
  <bookViews>
    <workbookView xWindow="-120" yWindow="-120" windowWidth="20730" windowHeight="11040" tabRatio="826" xr2:uid="{00000000-000D-0000-FFFF-FFFF00000000}"/>
  </bookViews>
  <sheets>
    <sheet name="O2Summary" sheetId="11" r:id="rId1"/>
    <sheet name="AnnualKPI" sheetId="10" r:id="rId2"/>
    <sheet name="MonthlyKPI" sheetId="9" r:id="rId3"/>
    <sheet name="Daily KPI" sheetId="17" r:id="rId4"/>
    <sheet name="Analytices" sheetId="12" r:id="rId5"/>
    <sheet name="Input_Raw" sheetId="1" r:id="rId6"/>
    <sheet name="Modelling New" sheetId="18" state="hidden" r:id="rId7"/>
    <sheet name="WTG_BD" sheetId="2" r:id="rId8"/>
    <sheet name="WTG Reactive Power" sheetId="19" r:id="rId9"/>
    <sheet name="IGA_BD" sheetId="5" r:id="rId10"/>
    <sheet name="Grid_BD" sheetId="6" r:id="rId11"/>
    <sheet name="PM record" sheetId="21" r:id="rId12"/>
    <sheet name="Spar Parts Consumption" sheetId="14" r:id="rId13"/>
    <sheet name="Basic Data" sheetId="4" state="hidden" r:id="rId14"/>
  </sheets>
  <definedNames>
    <definedName name="BD_Relation" localSheetId="8">#REF!</definedName>
    <definedName name="BD_Relation">#REF!</definedName>
    <definedName name="Date" localSheetId="8">#REF!</definedName>
    <definedName name="Date">#REF!</definedName>
    <definedName name="dccap" localSheetId="8">#REF!</definedName>
    <definedName name="dccap">#REF!</definedName>
    <definedName name="Digos" localSheetId="8">#REF!</definedName>
    <definedName name="Digos">#REF!</definedName>
    <definedName name="engg" localSheetId="8">#REF!</definedName>
    <definedName name="engg">#REF!</definedName>
    <definedName name="Equipment" localSheetId="8">#REF!</definedName>
    <definedName name="Equipment">#REF!</definedName>
    <definedName name="error" localSheetId="8">#REF!</definedName>
    <definedName name="error">#REF!</definedName>
    <definedName name="Gstc" localSheetId="4">#REF!</definedName>
    <definedName name="Gstc" localSheetId="1">#REF!</definedName>
    <definedName name="Gstc" localSheetId="2">#REF!</definedName>
    <definedName name="Gstc" localSheetId="0">#REF!</definedName>
    <definedName name="Gstc">#REF!</definedName>
    <definedName name="Inverter" localSheetId="8">#REF!</definedName>
    <definedName name="Inverter">#REF!</definedName>
    <definedName name="invlook" localSheetId="8">#REF!</definedName>
    <definedName name="invlook">#REF!</definedName>
    <definedName name="JB" localSheetId="8">#REF!</definedName>
    <definedName name="JB">#REF!</definedName>
    <definedName name="jbp" localSheetId="8">#REF!</definedName>
    <definedName name="jbp">#REF!</definedName>
    <definedName name="P1_SnW4240" localSheetId="8">#REF!</definedName>
    <definedName name="P1_SnW4240">#REF!</definedName>
    <definedName name="P1SnW4240" localSheetId="8">#REF!</definedName>
    <definedName name="P1SnW4240">#REF!</definedName>
    <definedName name="P1SnW51" localSheetId="8">#REF!</definedName>
    <definedName name="P1SnW51">#REF!</definedName>
    <definedName name="P1SnW68" localSheetId="8">#REF!</definedName>
    <definedName name="P1SnW68">#REF!</definedName>
    <definedName name="Pstc" localSheetId="4">#REF!</definedName>
    <definedName name="Pstc" localSheetId="1">#REF!</definedName>
    <definedName name="Pstc" localSheetId="2">#REF!</definedName>
    <definedName name="Pstc" localSheetId="0">#REF!</definedName>
    <definedName name="Pstc">#REF!</definedName>
    <definedName name="SCDA" localSheetId="0">#REF!</definedName>
    <definedName name="SCDA" localSheetId="8">#REF!</definedName>
    <definedName name="SCDA">#REF!</definedName>
    <definedName name="Slicer_Affected_WTG">#N/A</definedName>
    <definedName name="Slicer_Calendor_Year">#N/A</definedName>
    <definedName name="Slicer_Date">#N/A</definedName>
    <definedName name="Slicer_Error_Text">#N/A</definedName>
    <definedName name="Slicer_Finacial_Year">#N/A</definedName>
    <definedName name="Slicer_Month">#N/A</definedName>
    <definedName name="Slicer_Operating_Year">#N/A</definedName>
    <definedName name="status" localSheetId="8">#REF!</definedName>
    <definedName name="status">#REF!</definedName>
    <definedName name="stp" localSheetId="8">#REF!</definedName>
    <definedName name="stp">#REF!</definedName>
    <definedName name="String" localSheetId="8">#REF!</definedName>
    <definedName name="String">#REF!</definedName>
    <definedName name="zzzzz" localSheetId="8">#REF!</definedName>
    <definedName name="zzzzz">#REF!</definedName>
  </definedNames>
  <calcPr calcId="191028"/>
  <pivotCaches>
    <pivotCache cacheId="99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3" i="19" l="1"/>
  <c r="AR4" i="19"/>
  <c r="AR5" i="19"/>
  <c r="AR6" i="19"/>
  <c r="AR7" i="19"/>
  <c r="AR8" i="19"/>
  <c r="AR9" i="19"/>
  <c r="AR10" i="19"/>
  <c r="AR11" i="19"/>
  <c r="AR12" i="19"/>
  <c r="AR13" i="19"/>
  <c r="AR14" i="19"/>
  <c r="AR15" i="19"/>
  <c r="AR16" i="19"/>
  <c r="AR17" i="19"/>
  <c r="AR18" i="19"/>
  <c r="AR19" i="19"/>
  <c r="AR20" i="19"/>
  <c r="AR21" i="19"/>
  <c r="AR22" i="19"/>
  <c r="AR23" i="19"/>
  <c r="AR24" i="19"/>
  <c r="AR25" i="19"/>
  <c r="AR26" i="19"/>
  <c r="AR27" i="19"/>
  <c r="AR28" i="19"/>
  <c r="AR29" i="19"/>
  <c r="AR30" i="19"/>
  <c r="AR31" i="19"/>
  <c r="AR32" i="19"/>
  <c r="AR33" i="19"/>
  <c r="AR34" i="19"/>
  <c r="AR35" i="19"/>
  <c r="AR36" i="19"/>
  <c r="AR37" i="19"/>
  <c r="AR38" i="19"/>
  <c r="AR39" i="19"/>
  <c r="AR40" i="19"/>
  <c r="AR41" i="19"/>
  <c r="AR42" i="19"/>
  <c r="AR43" i="19"/>
  <c r="AR44" i="19"/>
  <c r="AR45" i="19"/>
  <c r="AR46" i="19"/>
  <c r="AR47" i="19"/>
  <c r="AR48" i="19"/>
  <c r="AR49" i="19"/>
  <c r="AR50" i="19"/>
  <c r="AR51" i="19"/>
  <c r="AR52" i="19"/>
  <c r="AR53" i="19"/>
  <c r="AR54" i="19"/>
  <c r="AR55" i="19"/>
  <c r="AR56" i="19"/>
  <c r="AR57" i="19"/>
  <c r="AR58" i="19"/>
  <c r="AR59" i="19"/>
  <c r="AR60" i="19"/>
  <c r="AR61" i="19"/>
  <c r="AR62" i="19"/>
  <c r="AR63" i="19"/>
  <c r="AR64" i="19"/>
  <c r="AR65" i="19"/>
  <c r="AR66" i="19"/>
  <c r="AR67" i="19"/>
  <c r="AR68" i="19"/>
  <c r="AR69" i="19"/>
  <c r="AR70" i="19"/>
  <c r="AR71" i="19"/>
  <c r="AR72" i="19"/>
  <c r="AR73" i="19"/>
  <c r="AR74" i="19"/>
  <c r="AR75" i="19"/>
  <c r="AR76" i="19"/>
  <c r="AR77" i="19"/>
  <c r="AR78" i="19"/>
  <c r="AR79" i="19"/>
  <c r="AR80" i="19"/>
  <c r="AR81" i="19"/>
  <c r="AR82" i="19"/>
  <c r="AR83" i="19"/>
  <c r="AR84" i="19"/>
  <c r="AR85" i="19"/>
  <c r="AR86" i="19"/>
  <c r="AR87" i="19"/>
  <c r="AR88" i="19"/>
  <c r="AR89" i="19"/>
  <c r="AR90" i="19"/>
  <c r="AR91" i="19"/>
  <c r="AR92" i="19"/>
  <c r="AR93" i="19"/>
  <c r="AR94" i="19"/>
  <c r="AR95" i="19"/>
  <c r="AR96" i="19"/>
  <c r="AR97" i="19"/>
  <c r="AR98" i="19"/>
  <c r="AR99" i="19"/>
  <c r="AR100" i="19"/>
  <c r="AR101" i="19"/>
  <c r="AR102" i="19"/>
  <c r="AR103" i="19"/>
  <c r="AR104" i="19"/>
  <c r="AR105" i="19"/>
  <c r="AR106" i="19"/>
  <c r="AR107" i="19"/>
  <c r="AR108" i="19"/>
  <c r="AR109" i="19"/>
  <c r="AR110" i="19"/>
  <c r="AR111" i="19"/>
  <c r="AR112" i="19"/>
  <c r="AR113" i="19"/>
  <c r="AR114" i="19"/>
  <c r="AR115" i="19"/>
  <c r="AR116" i="19"/>
  <c r="AR117" i="19"/>
  <c r="AR118" i="19"/>
  <c r="AR119" i="19"/>
  <c r="AR120" i="19"/>
  <c r="AR121" i="19"/>
  <c r="AR122" i="19"/>
  <c r="AR123" i="19"/>
  <c r="AR124" i="19"/>
  <c r="AR125" i="19"/>
  <c r="AR126" i="19"/>
  <c r="AR127" i="19"/>
  <c r="AR128" i="19"/>
  <c r="AR129" i="19"/>
  <c r="AR130" i="19"/>
  <c r="AR131" i="19"/>
  <c r="AR132" i="19"/>
  <c r="AR133" i="19"/>
  <c r="AR134" i="19"/>
  <c r="AR135" i="19"/>
  <c r="AR136" i="19"/>
  <c r="AR137" i="19"/>
  <c r="AR138" i="19"/>
  <c r="AR139" i="19"/>
  <c r="AR140" i="19"/>
  <c r="AR141" i="19"/>
  <c r="AR142" i="19"/>
  <c r="AR143" i="19"/>
  <c r="AR144" i="19"/>
  <c r="AR145" i="19"/>
  <c r="AR146" i="19"/>
  <c r="AR147" i="19"/>
  <c r="AR148" i="19"/>
  <c r="AR149" i="19"/>
  <c r="AR150" i="19"/>
  <c r="AR151" i="19"/>
  <c r="AR152" i="19"/>
  <c r="AR153" i="19"/>
  <c r="AR154" i="19"/>
  <c r="AR155" i="19"/>
  <c r="AR156" i="19"/>
  <c r="AR157" i="19"/>
  <c r="AR158" i="19"/>
  <c r="AR159" i="19"/>
  <c r="AR160" i="19"/>
  <c r="AR161" i="19"/>
  <c r="AR162" i="19"/>
  <c r="AR163" i="19"/>
  <c r="AR164" i="19"/>
  <c r="AR165" i="19"/>
  <c r="AR166" i="19"/>
  <c r="AR167" i="19"/>
  <c r="AR168" i="19"/>
  <c r="AR169" i="19"/>
  <c r="AR170" i="19"/>
  <c r="AR171" i="19"/>
  <c r="AR172" i="19"/>
  <c r="AR173" i="19"/>
  <c r="AR174" i="19"/>
  <c r="AR175" i="19"/>
  <c r="AR176" i="19"/>
  <c r="AR177" i="19"/>
  <c r="AR178" i="19"/>
  <c r="AR179" i="19"/>
  <c r="AR180" i="19"/>
  <c r="AR181" i="19"/>
  <c r="AR182" i="19"/>
  <c r="AR183" i="19"/>
  <c r="AR184" i="19"/>
  <c r="AR185" i="19"/>
  <c r="AR186" i="19"/>
  <c r="AR187" i="19"/>
  <c r="AR188" i="19"/>
  <c r="AR189" i="19"/>
  <c r="AR190" i="19"/>
  <c r="AR191" i="19"/>
  <c r="AR192" i="19"/>
  <c r="AR193" i="19"/>
  <c r="AR194" i="19"/>
  <c r="AR195" i="19"/>
  <c r="AR196" i="19"/>
  <c r="AR197" i="19"/>
  <c r="AR198" i="19"/>
  <c r="AR199" i="19"/>
  <c r="AR200" i="19"/>
  <c r="AR201" i="19"/>
  <c r="AR202" i="19"/>
  <c r="AR203" i="19"/>
  <c r="AR204" i="19"/>
  <c r="AR205" i="19"/>
  <c r="AR206" i="19"/>
  <c r="AR207" i="19"/>
  <c r="AR208" i="19"/>
  <c r="AR209" i="19"/>
  <c r="AR210" i="19"/>
  <c r="AR211" i="19"/>
  <c r="AR212" i="19"/>
  <c r="AR213" i="19"/>
  <c r="AR214" i="19"/>
  <c r="AR215" i="19"/>
  <c r="AR216" i="19"/>
  <c r="AR217" i="19"/>
  <c r="AR218" i="19"/>
  <c r="AR219" i="19"/>
  <c r="AR220" i="19"/>
  <c r="AR221" i="19"/>
  <c r="AR222" i="19"/>
  <c r="AR223" i="19"/>
  <c r="AR224" i="19"/>
  <c r="AR225" i="19"/>
  <c r="AR226" i="19"/>
  <c r="AR227" i="19"/>
  <c r="AR228" i="19"/>
  <c r="AR229" i="19"/>
  <c r="AR230" i="19"/>
  <c r="AR231" i="19"/>
  <c r="AR232" i="19"/>
  <c r="AR233" i="19"/>
  <c r="AR234" i="19"/>
  <c r="AR235" i="19"/>
  <c r="AR236" i="19"/>
  <c r="AR237" i="19"/>
  <c r="AR238" i="19"/>
  <c r="AR239" i="19"/>
  <c r="AR240" i="19"/>
  <c r="AR241" i="19"/>
  <c r="AR242" i="19"/>
  <c r="AR243" i="19"/>
  <c r="AR244" i="19"/>
  <c r="AR245" i="19"/>
  <c r="AR246" i="19"/>
  <c r="AR247" i="19"/>
  <c r="AR248" i="19"/>
  <c r="AR249" i="19"/>
  <c r="AR250" i="19"/>
  <c r="AR251" i="19"/>
  <c r="AR252" i="19"/>
  <c r="AR253" i="19"/>
  <c r="AR254" i="19"/>
  <c r="AR255" i="19"/>
  <c r="AR256" i="19"/>
  <c r="AR257" i="19"/>
  <c r="AR258" i="19"/>
  <c r="AR259" i="19"/>
  <c r="AR260" i="19"/>
  <c r="AR261" i="19"/>
  <c r="AR262" i="19"/>
  <c r="AR263" i="19"/>
  <c r="AR264" i="19"/>
  <c r="AR265" i="19"/>
  <c r="AR266" i="19"/>
  <c r="AR267" i="19"/>
  <c r="AR268" i="19"/>
  <c r="AR269" i="19"/>
  <c r="AR270" i="19"/>
  <c r="AR271" i="19"/>
  <c r="AR272" i="19"/>
  <c r="AR273" i="19"/>
  <c r="AR274" i="19"/>
  <c r="AR275" i="19"/>
  <c r="AR276" i="19"/>
  <c r="AR277" i="19"/>
  <c r="AR278" i="19"/>
  <c r="AR279" i="19"/>
  <c r="AR280" i="19"/>
  <c r="CR81" i="1"/>
  <c r="CS81" i="1"/>
  <c r="CT81" i="1"/>
  <c r="CU81" i="1"/>
  <c r="CV81" i="1"/>
  <c r="CW81" i="1"/>
  <c r="CX81" i="1"/>
  <c r="CY81" i="1"/>
  <c r="CZ81" i="1"/>
  <c r="DA81" i="1"/>
  <c r="CR82" i="1"/>
  <c r="CS82" i="1"/>
  <c r="CT82" i="1"/>
  <c r="CU82" i="1"/>
  <c r="CV82" i="1"/>
  <c r="CW82" i="1"/>
  <c r="CX82" i="1"/>
  <c r="CZ82" i="1" s="1"/>
  <c r="CY82" i="1"/>
  <c r="DA82" i="1"/>
  <c r="CR83" i="1"/>
  <c r="CS83" i="1"/>
  <c r="CT83" i="1"/>
  <c r="CU83" i="1"/>
  <c r="CV83" i="1"/>
  <c r="CW83" i="1"/>
  <c r="CX83" i="1"/>
  <c r="CY83" i="1"/>
  <c r="CZ83" i="1"/>
  <c r="DA83" i="1"/>
  <c r="S764" i="2"/>
  <c r="V764" i="2" s="1"/>
  <c r="R764" i="2"/>
  <c r="Q764" i="2"/>
  <c r="L764" i="2"/>
  <c r="J764" i="2"/>
  <c r="I764" i="2"/>
  <c r="H764" i="2"/>
  <c r="S763" i="2"/>
  <c r="V763" i="2" s="1"/>
  <c r="R763" i="2"/>
  <c r="Q763" i="2"/>
  <c r="L763" i="2"/>
  <c r="J763" i="2"/>
  <c r="I763" i="2"/>
  <c r="H763" i="2"/>
  <c r="S754" i="2"/>
  <c r="V754" i="2" s="1"/>
  <c r="R754" i="2"/>
  <c r="Q754" i="2"/>
  <c r="L754" i="2"/>
  <c r="J754" i="2"/>
  <c r="I754" i="2"/>
  <c r="H754" i="2"/>
  <c r="S753" i="2"/>
  <c r="V753" i="2" s="1"/>
  <c r="R753" i="2"/>
  <c r="Q753" i="2"/>
  <c r="L753" i="2"/>
  <c r="J753" i="2"/>
  <c r="I753" i="2"/>
  <c r="H753" i="2"/>
  <c r="S746" i="2"/>
  <c r="V746" i="2" s="1"/>
  <c r="R746" i="2"/>
  <c r="Q746" i="2"/>
  <c r="L746" i="2"/>
  <c r="J746" i="2"/>
  <c r="I746" i="2"/>
  <c r="H746" i="2"/>
  <c r="S745" i="2"/>
  <c r="V745" i="2" s="1"/>
  <c r="R745" i="2"/>
  <c r="Q745" i="2"/>
  <c r="L745" i="2"/>
  <c r="J745" i="2"/>
  <c r="I745" i="2"/>
  <c r="H745" i="2"/>
  <c r="S737" i="2"/>
  <c r="V737" i="2" s="1"/>
  <c r="R737" i="2"/>
  <c r="Q737" i="2"/>
  <c r="L737" i="2"/>
  <c r="J737" i="2"/>
  <c r="I737" i="2"/>
  <c r="H737" i="2"/>
  <c r="S736" i="2"/>
  <c r="V736" i="2" s="1"/>
  <c r="R736" i="2"/>
  <c r="Q736" i="2"/>
  <c r="L736" i="2"/>
  <c r="J736" i="2"/>
  <c r="I736" i="2"/>
  <c r="H736" i="2"/>
  <c r="CR77" i="1"/>
  <c r="CS77" i="1"/>
  <c r="CT77" i="1"/>
  <c r="CU77" i="1"/>
  <c r="CV77" i="1"/>
  <c r="CW77" i="1"/>
  <c r="CX77" i="1"/>
  <c r="CY77" i="1"/>
  <c r="CR78" i="1"/>
  <c r="CS78" i="1"/>
  <c r="CT78" i="1"/>
  <c r="CU78" i="1"/>
  <c r="CV78" i="1"/>
  <c r="CW78" i="1"/>
  <c r="CX78" i="1"/>
  <c r="CY78" i="1"/>
  <c r="CR79" i="1"/>
  <c r="CS79" i="1"/>
  <c r="CT79" i="1"/>
  <c r="CU79" i="1"/>
  <c r="CV79" i="1"/>
  <c r="CW79" i="1"/>
  <c r="CX79" i="1"/>
  <c r="CY79" i="1"/>
  <c r="CR80" i="1"/>
  <c r="CS80" i="1"/>
  <c r="CT80" i="1"/>
  <c r="CU80" i="1"/>
  <c r="CV80" i="1"/>
  <c r="CW80" i="1"/>
  <c r="CX80" i="1"/>
  <c r="CY80" i="1"/>
  <c r="S730" i="2"/>
  <c r="V730" i="2" s="1"/>
  <c r="R730" i="2"/>
  <c r="Q730" i="2"/>
  <c r="L730" i="2"/>
  <c r="J730" i="2"/>
  <c r="I730" i="2"/>
  <c r="H730" i="2"/>
  <c r="S729" i="2"/>
  <c r="V729" i="2" s="1"/>
  <c r="R729" i="2"/>
  <c r="Q729" i="2"/>
  <c r="L729" i="2"/>
  <c r="J729" i="2"/>
  <c r="I729" i="2"/>
  <c r="H729" i="2"/>
  <c r="S725" i="2"/>
  <c r="V725" i="2" s="1"/>
  <c r="R725" i="2"/>
  <c r="Q725" i="2"/>
  <c r="L725" i="2"/>
  <c r="J725" i="2"/>
  <c r="I725" i="2"/>
  <c r="H725" i="2"/>
  <c r="S724" i="2"/>
  <c r="V724" i="2" s="1"/>
  <c r="R724" i="2"/>
  <c r="Q724" i="2"/>
  <c r="L724" i="2"/>
  <c r="J724" i="2"/>
  <c r="I724" i="2"/>
  <c r="H724" i="2"/>
  <c r="S720" i="2"/>
  <c r="V720" i="2" s="1"/>
  <c r="R720" i="2"/>
  <c r="Q720" i="2"/>
  <c r="L720" i="2"/>
  <c r="J720" i="2"/>
  <c r="I720" i="2"/>
  <c r="H720" i="2"/>
  <c r="S719" i="2"/>
  <c r="V719" i="2" s="1"/>
  <c r="R719" i="2"/>
  <c r="Q719" i="2"/>
  <c r="L719" i="2"/>
  <c r="J719" i="2"/>
  <c r="I719" i="2"/>
  <c r="H719" i="2"/>
  <c r="S711" i="2"/>
  <c r="V711" i="2" s="1"/>
  <c r="R711" i="2"/>
  <c r="Q711" i="2"/>
  <c r="L711" i="2"/>
  <c r="J711" i="2"/>
  <c r="I711" i="2"/>
  <c r="H711" i="2"/>
  <c r="S710" i="2"/>
  <c r="V710" i="2" s="1"/>
  <c r="R710" i="2"/>
  <c r="Q710" i="2"/>
  <c r="L710" i="2"/>
  <c r="J710" i="2"/>
  <c r="I710" i="2"/>
  <c r="H710" i="2"/>
  <c r="CR72" i="1"/>
  <c r="CS72" i="1"/>
  <c r="CT72" i="1"/>
  <c r="CZ72" i="1" s="1"/>
  <c r="CU72" i="1"/>
  <c r="CV72" i="1"/>
  <c r="CW72" i="1"/>
  <c r="CX72" i="1"/>
  <c r="CY72" i="1"/>
  <c r="DA72" i="1" s="1"/>
  <c r="CR73" i="1"/>
  <c r="CS73" i="1"/>
  <c r="CT73" i="1"/>
  <c r="CU73" i="1"/>
  <c r="CV73" i="1"/>
  <c r="CW73" i="1"/>
  <c r="CX73" i="1"/>
  <c r="CY73" i="1"/>
  <c r="CR74" i="1"/>
  <c r="CS74" i="1"/>
  <c r="CT74" i="1"/>
  <c r="CU74" i="1"/>
  <c r="CV74" i="1"/>
  <c r="CW74" i="1"/>
  <c r="CX74" i="1"/>
  <c r="CY74" i="1"/>
  <c r="CR75" i="1"/>
  <c r="CS75" i="1"/>
  <c r="CT75" i="1"/>
  <c r="CU75" i="1"/>
  <c r="CV75" i="1"/>
  <c r="CW75" i="1"/>
  <c r="CX75" i="1"/>
  <c r="CY75" i="1"/>
  <c r="CR76" i="1"/>
  <c r="CS76" i="1"/>
  <c r="CT76" i="1"/>
  <c r="CU76" i="1"/>
  <c r="CV76" i="1"/>
  <c r="CW76" i="1"/>
  <c r="CX76" i="1"/>
  <c r="CY76" i="1"/>
  <c r="L695" i="2"/>
  <c r="E695" i="2"/>
  <c r="H695" i="2"/>
  <c r="I695" i="2"/>
  <c r="Q695" i="2"/>
  <c r="R695" i="2"/>
  <c r="S695" i="2"/>
  <c r="S694" i="2"/>
  <c r="V694" i="2" s="1"/>
  <c r="R694" i="2"/>
  <c r="Q694" i="2"/>
  <c r="L694" i="2"/>
  <c r="I694" i="2"/>
  <c r="H694" i="2"/>
  <c r="S693" i="2"/>
  <c r="V693" i="2" s="1"/>
  <c r="R693" i="2"/>
  <c r="Q693" i="2"/>
  <c r="L693" i="2"/>
  <c r="I693" i="2"/>
  <c r="H693" i="2"/>
  <c r="S680" i="2"/>
  <c r="V680" i="2" s="1"/>
  <c r="R680" i="2"/>
  <c r="Q680" i="2"/>
  <c r="L680" i="2"/>
  <c r="I680" i="2"/>
  <c r="H680" i="2"/>
  <c r="S679" i="2"/>
  <c r="V679" i="2" s="1"/>
  <c r="R679" i="2"/>
  <c r="Q679" i="2"/>
  <c r="L679" i="2"/>
  <c r="I679" i="2"/>
  <c r="H679" i="2"/>
  <c r="L672" i="2"/>
  <c r="E672" i="2"/>
  <c r="H672" i="2"/>
  <c r="I672" i="2"/>
  <c r="Q672" i="2"/>
  <c r="R672" i="2"/>
  <c r="S672" i="2"/>
  <c r="L671" i="2"/>
  <c r="L670" i="2"/>
  <c r="L669" i="2"/>
  <c r="S662" i="2"/>
  <c r="V662" i="2" s="1"/>
  <c r="R662" i="2"/>
  <c r="Q662" i="2"/>
  <c r="L662" i="2"/>
  <c r="I662" i="2"/>
  <c r="H662" i="2"/>
  <c r="S661" i="2"/>
  <c r="V661" i="2" s="1"/>
  <c r="R661" i="2"/>
  <c r="Q661" i="2"/>
  <c r="L661" i="2"/>
  <c r="I661" i="2"/>
  <c r="H661" i="2"/>
  <c r="S655" i="2"/>
  <c r="V655" i="2" s="1"/>
  <c r="R655" i="2"/>
  <c r="Q655" i="2"/>
  <c r="L655" i="2"/>
  <c r="I655" i="2"/>
  <c r="H655" i="2"/>
  <c r="S654" i="2"/>
  <c r="V654" i="2" s="1"/>
  <c r="R654" i="2"/>
  <c r="Q654" i="2"/>
  <c r="L654" i="2"/>
  <c r="I654" i="2"/>
  <c r="H654" i="2"/>
  <c r="L653" i="2"/>
  <c r="L652" i="2"/>
  <c r="L651" i="2"/>
  <c r="L650" i="2"/>
  <c r="L649" i="2"/>
  <c r="CR67" i="1"/>
  <c r="CS67" i="1"/>
  <c r="CT67" i="1"/>
  <c r="CU67" i="1"/>
  <c r="CV67" i="1"/>
  <c r="CW67" i="1"/>
  <c r="CX67" i="1"/>
  <c r="CY67" i="1"/>
  <c r="CR68" i="1"/>
  <c r="CS68" i="1"/>
  <c r="CT68" i="1"/>
  <c r="CU68" i="1"/>
  <c r="CV68" i="1"/>
  <c r="CW68" i="1"/>
  <c r="CX68" i="1"/>
  <c r="CY68" i="1"/>
  <c r="CR69" i="1"/>
  <c r="CS69" i="1"/>
  <c r="CT69" i="1"/>
  <c r="CU69" i="1"/>
  <c r="CV69" i="1"/>
  <c r="CW69" i="1"/>
  <c r="CX69" i="1"/>
  <c r="CY69" i="1"/>
  <c r="CR70" i="1"/>
  <c r="CS70" i="1"/>
  <c r="CT70" i="1"/>
  <c r="CU70" i="1"/>
  <c r="CV70" i="1"/>
  <c r="CW70" i="1"/>
  <c r="CX70" i="1"/>
  <c r="CY70" i="1"/>
  <c r="CR71" i="1"/>
  <c r="CS71" i="1"/>
  <c r="CT71" i="1"/>
  <c r="CU71" i="1"/>
  <c r="CV71" i="1"/>
  <c r="CW71" i="1"/>
  <c r="CX71" i="1"/>
  <c r="CY71" i="1"/>
  <c r="A58" i="1"/>
  <c r="S647" i="2"/>
  <c r="V647" i="2" s="1"/>
  <c r="R647" i="2"/>
  <c r="Q647" i="2"/>
  <c r="L647" i="2"/>
  <c r="I647" i="2"/>
  <c r="H647" i="2"/>
  <c r="S646" i="2"/>
  <c r="V646" i="2" s="1"/>
  <c r="R646" i="2"/>
  <c r="Q646" i="2"/>
  <c r="L646" i="2"/>
  <c r="I646" i="2"/>
  <c r="H646" i="2"/>
  <c r="S640" i="2"/>
  <c r="V640" i="2" s="1"/>
  <c r="R640" i="2"/>
  <c r="Q640" i="2"/>
  <c r="L640" i="2"/>
  <c r="I640" i="2"/>
  <c r="H640" i="2"/>
  <c r="S639" i="2"/>
  <c r="V639" i="2" s="1"/>
  <c r="R639" i="2"/>
  <c r="Q639" i="2"/>
  <c r="L639" i="2"/>
  <c r="I639" i="2"/>
  <c r="H639" i="2"/>
  <c r="L636" i="2"/>
  <c r="L635" i="2"/>
  <c r="E636" i="2"/>
  <c r="H636" i="2"/>
  <c r="I636" i="2"/>
  <c r="Q636" i="2"/>
  <c r="R636" i="2"/>
  <c r="S636" i="2"/>
  <c r="S631" i="2"/>
  <c r="V631" i="2" s="1"/>
  <c r="R631" i="2"/>
  <c r="Q631" i="2"/>
  <c r="L631" i="2"/>
  <c r="I631" i="2"/>
  <c r="H631" i="2"/>
  <c r="S630" i="2"/>
  <c r="V630" i="2" s="1"/>
  <c r="R630" i="2"/>
  <c r="Q630" i="2"/>
  <c r="L630" i="2"/>
  <c r="I630" i="2"/>
  <c r="H630" i="2"/>
  <c r="BP1" i="1"/>
  <c r="AB1" i="19"/>
  <c r="S622" i="2"/>
  <c r="V622" i="2" s="1"/>
  <c r="R622" i="2"/>
  <c r="Q622" i="2"/>
  <c r="L622" i="2"/>
  <c r="I622" i="2"/>
  <c r="H622" i="2"/>
  <c r="S621" i="2"/>
  <c r="V621" i="2" s="1"/>
  <c r="R621" i="2"/>
  <c r="Q621" i="2"/>
  <c r="L621" i="2"/>
  <c r="I621" i="2"/>
  <c r="H621" i="2"/>
  <c r="S616" i="2"/>
  <c r="V616" i="2" s="1"/>
  <c r="R616" i="2"/>
  <c r="Q616" i="2"/>
  <c r="L616" i="2"/>
  <c r="I616" i="2"/>
  <c r="H616" i="2"/>
  <c r="S615" i="2"/>
  <c r="V615" i="2" s="1"/>
  <c r="R615" i="2"/>
  <c r="Q615" i="2"/>
  <c r="L615" i="2"/>
  <c r="I615" i="2"/>
  <c r="H615" i="2"/>
  <c r="L609" i="2"/>
  <c r="E609" i="2"/>
  <c r="H609" i="2"/>
  <c r="I609" i="2"/>
  <c r="Q609" i="2"/>
  <c r="R609" i="2"/>
  <c r="S609" i="2"/>
  <c r="V609" i="2" s="1"/>
  <c r="S611" i="2"/>
  <c r="V611" i="2" s="1"/>
  <c r="R611" i="2"/>
  <c r="Q611" i="2"/>
  <c r="L611" i="2"/>
  <c r="I611" i="2"/>
  <c r="H611" i="2"/>
  <c r="S610" i="2"/>
  <c r="V610" i="2" s="1"/>
  <c r="R610" i="2"/>
  <c r="Q610" i="2"/>
  <c r="L610" i="2"/>
  <c r="I610" i="2"/>
  <c r="H610" i="2"/>
  <c r="L608" i="2"/>
  <c r="S604" i="2"/>
  <c r="V604" i="2" s="1"/>
  <c r="R604" i="2"/>
  <c r="Q604" i="2"/>
  <c r="L604" i="2"/>
  <c r="I604" i="2"/>
  <c r="H604" i="2"/>
  <c r="S603" i="2"/>
  <c r="V603" i="2" s="1"/>
  <c r="R603" i="2"/>
  <c r="Q603" i="2"/>
  <c r="L603" i="2"/>
  <c r="I603" i="2"/>
  <c r="H603" i="2"/>
  <c r="S597" i="2"/>
  <c r="V597" i="2" s="1"/>
  <c r="R597" i="2"/>
  <c r="Q597" i="2"/>
  <c r="L597" i="2"/>
  <c r="I597" i="2"/>
  <c r="H597" i="2"/>
  <c r="S596" i="2"/>
  <c r="V596" i="2" s="1"/>
  <c r="R596" i="2"/>
  <c r="Q596" i="2"/>
  <c r="L596" i="2"/>
  <c r="I596" i="2"/>
  <c r="H596" i="2"/>
  <c r="BG44" i="21"/>
  <c r="BH44" i="21" s="1"/>
  <c r="BG43" i="21"/>
  <c r="BH43" i="21" s="1"/>
  <c r="BG42" i="21"/>
  <c r="BH42" i="21" s="1"/>
  <c r="BG41" i="21"/>
  <c r="BH41" i="21" s="1"/>
  <c r="BG40" i="21"/>
  <c r="BH40" i="21" s="1"/>
  <c r="BG39" i="21"/>
  <c r="BH39" i="21" s="1"/>
  <c r="BG38" i="21"/>
  <c r="BH38" i="21" s="1"/>
  <c r="BG37" i="21"/>
  <c r="BH37" i="21" s="1"/>
  <c r="BG36" i="21"/>
  <c r="BH36" i="21" s="1"/>
  <c r="BG35" i="21"/>
  <c r="BH35" i="21" s="1"/>
  <c r="BG34" i="21"/>
  <c r="BH34" i="21" s="1"/>
  <c r="BG33" i="21"/>
  <c r="BH33" i="21" s="1"/>
  <c r="BG32" i="21"/>
  <c r="BH32" i="21" s="1"/>
  <c r="BG31" i="21"/>
  <c r="BH31" i="21" s="1"/>
  <c r="BG30" i="21"/>
  <c r="BH30" i="21" s="1"/>
  <c r="BG29" i="21"/>
  <c r="BH29" i="21" s="1"/>
  <c r="BG28" i="21"/>
  <c r="BH28" i="21" s="1"/>
  <c r="BG27" i="21"/>
  <c r="BH27" i="21" s="1"/>
  <c r="BG26" i="21"/>
  <c r="BH26" i="21" s="1"/>
  <c r="BG25" i="21"/>
  <c r="BH25" i="21" s="1"/>
  <c r="BG24" i="21"/>
  <c r="BH24" i="21" s="1"/>
  <c r="BG23" i="21"/>
  <c r="BH23" i="21" s="1"/>
  <c r="BG22" i="21"/>
  <c r="BH22" i="21" s="1"/>
  <c r="BG21" i="21"/>
  <c r="BH21" i="21" s="1"/>
  <c r="BG20" i="21"/>
  <c r="BH20" i="21" s="1"/>
  <c r="BG19" i="21"/>
  <c r="BH19" i="21" s="1"/>
  <c r="BG18" i="21"/>
  <c r="BH18" i="21" s="1"/>
  <c r="BG17" i="21"/>
  <c r="BH17" i="21" s="1"/>
  <c r="BG16" i="21"/>
  <c r="BH16" i="21" s="1"/>
  <c r="BG15" i="21"/>
  <c r="BH15" i="21" s="1"/>
  <c r="BG14" i="21"/>
  <c r="BH14" i="21" s="1"/>
  <c r="BG13" i="21"/>
  <c r="BH13" i="21" s="1"/>
  <c r="BG12" i="21"/>
  <c r="BH12" i="21" s="1"/>
  <c r="BG11" i="21"/>
  <c r="BH11" i="21" s="1"/>
  <c r="BG10" i="21"/>
  <c r="BH10" i="21" s="1"/>
  <c r="BG9" i="21"/>
  <c r="BH9" i="21" s="1"/>
  <c r="BG8" i="21"/>
  <c r="BH8" i="21" s="1"/>
  <c r="BG7" i="21"/>
  <c r="BH7" i="21" s="1"/>
  <c r="BG6" i="21"/>
  <c r="BH6" i="21" s="1"/>
  <c r="AS44" i="21"/>
  <c r="AN44" i="21"/>
  <c r="AK44" i="21"/>
  <c r="AS43" i="21"/>
  <c r="AN43" i="21"/>
  <c r="AK43" i="21"/>
  <c r="AS42" i="21"/>
  <c r="AN42" i="21"/>
  <c r="AK42" i="21"/>
  <c r="AS41" i="21"/>
  <c r="AN41" i="21"/>
  <c r="AK41" i="21"/>
  <c r="AS40" i="21"/>
  <c r="AN40" i="21"/>
  <c r="AK40" i="21"/>
  <c r="AS39" i="21"/>
  <c r="AN39" i="21"/>
  <c r="AK39" i="21"/>
  <c r="AS38" i="21"/>
  <c r="AN38" i="21"/>
  <c r="AK38" i="21"/>
  <c r="AS37" i="21"/>
  <c r="AN37" i="21"/>
  <c r="AK37" i="21"/>
  <c r="AS36" i="21"/>
  <c r="AN36" i="21"/>
  <c r="AK36" i="21"/>
  <c r="AS35" i="21"/>
  <c r="AN35" i="21"/>
  <c r="AK35" i="21"/>
  <c r="AS34" i="21"/>
  <c r="AN34" i="21"/>
  <c r="AK34" i="21"/>
  <c r="AS33" i="21"/>
  <c r="AN33" i="21"/>
  <c r="AK33" i="21"/>
  <c r="AS32" i="21"/>
  <c r="AN32" i="21"/>
  <c r="AK32" i="21"/>
  <c r="AS31" i="21"/>
  <c r="AN31" i="21"/>
  <c r="AK31" i="21"/>
  <c r="AS30" i="21"/>
  <c r="AN30" i="21"/>
  <c r="AK30" i="21"/>
  <c r="AS29" i="21"/>
  <c r="AN29" i="21"/>
  <c r="AK29" i="21"/>
  <c r="AS28" i="21"/>
  <c r="AN28" i="21"/>
  <c r="AK28" i="21"/>
  <c r="AS27" i="21"/>
  <c r="AN27" i="21"/>
  <c r="AK27" i="21"/>
  <c r="AS26" i="21"/>
  <c r="AN26" i="21"/>
  <c r="AK26" i="21"/>
  <c r="AS25" i="21"/>
  <c r="AN25" i="21"/>
  <c r="AK25" i="21"/>
  <c r="AS24" i="21"/>
  <c r="AN24" i="21"/>
  <c r="AK24" i="21"/>
  <c r="AS23" i="21"/>
  <c r="AN23" i="21"/>
  <c r="AK23" i="21"/>
  <c r="AS22" i="21"/>
  <c r="AN22" i="21"/>
  <c r="AK22" i="21"/>
  <c r="AS21" i="21"/>
  <c r="AN21" i="21"/>
  <c r="AK21" i="21"/>
  <c r="AS20" i="21"/>
  <c r="AN20" i="21"/>
  <c r="AK20" i="21"/>
  <c r="AS19" i="21"/>
  <c r="AN19" i="21"/>
  <c r="AK19" i="21"/>
  <c r="AS18" i="21"/>
  <c r="AN18" i="21"/>
  <c r="AK18" i="21"/>
  <c r="AS17" i="21"/>
  <c r="AN17" i="21"/>
  <c r="AK17" i="21"/>
  <c r="AS16" i="21"/>
  <c r="AN16" i="21"/>
  <c r="AK16" i="21"/>
  <c r="AS15" i="21"/>
  <c r="AN15" i="21"/>
  <c r="AK15" i="21"/>
  <c r="AS14" i="21"/>
  <c r="AN14" i="21"/>
  <c r="AK14" i="21"/>
  <c r="AS13" i="21"/>
  <c r="AN13" i="21"/>
  <c r="AK13" i="21"/>
  <c r="AS12" i="21"/>
  <c r="AN12" i="21"/>
  <c r="AK12" i="21"/>
  <c r="AS11" i="21"/>
  <c r="AN11" i="21"/>
  <c r="AK11" i="21"/>
  <c r="AS10" i="21"/>
  <c r="AN10" i="21"/>
  <c r="AK10" i="21"/>
  <c r="AS9" i="21"/>
  <c r="AN9" i="21"/>
  <c r="AK9" i="21"/>
  <c r="AS8" i="21"/>
  <c r="AN8" i="21"/>
  <c r="AK8" i="21"/>
  <c r="AS7" i="21"/>
  <c r="AN7" i="21"/>
  <c r="AK7" i="21"/>
  <c r="AS6" i="21"/>
  <c r="AN6" i="21"/>
  <c r="AK6" i="21"/>
  <c r="AS5" i="21"/>
  <c r="AN5" i="21"/>
  <c r="AK5" i="21"/>
  <c r="DA80" i="1" l="1"/>
  <c r="CZ80" i="1"/>
  <c r="DA79" i="1"/>
  <c r="CZ79" i="1"/>
  <c r="DA77" i="1"/>
  <c r="DA78" i="1"/>
  <c r="CZ77" i="1"/>
  <c r="CZ78" i="1"/>
  <c r="V695" i="2"/>
  <c r="AB695" i="2"/>
  <c r="DA76" i="1"/>
  <c r="CZ76" i="1"/>
  <c r="DA75" i="1"/>
  <c r="CZ75" i="1"/>
  <c r="CZ74" i="1"/>
  <c r="DA73" i="1"/>
  <c r="DA74" i="1"/>
  <c r="CZ73" i="1"/>
  <c r="DA71" i="1"/>
  <c r="CZ71" i="1"/>
  <c r="V672" i="2"/>
  <c r="AB672" i="2"/>
  <c r="DA70" i="1"/>
  <c r="CZ70" i="1"/>
  <c r="CZ69" i="1"/>
  <c r="DA69" i="1"/>
  <c r="DA67" i="1"/>
  <c r="DA68" i="1"/>
  <c r="CZ67" i="1"/>
  <c r="CZ68" i="1"/>
  <c r="V636" i="2"/>
  <c r="AB636" i="2"/>
  <c r="AB609" i="2"/>
  <c r="R592" i="2"/>
  <c r="S591" i="2"/>
  <c r="V591" i="2" s="1"/>
  <c r="R591" i="2"/>
  <c r="Q591" i="2"/>
  <c r="L591" i="2"/>
  <c r="I591" i="2"/>
  <c r="H591" i="2"/>
  <c r="S590" i="2"/>
  <c r="V590" i="2" s="1"/>
  <c r="R590" i="2"/>
  <c r="Q590" i="2"/>
  <c r="L590" i="2"/>
  <c r="I590" i="2"/>
  <c r="H590" i="2"/>
  <c r="S581" i="2"/>
  <c r="V581" i="2" s="1"/>
  <c r="R581" i="2"/>
  <c r="Q581" i="2"/>
  <c r="L581" i="2"/>
  <c r="I581" i="2"/>
  <c r="H581" i="2"/>
  <c r="S580" i="2"/>
  <c r="V580" i="2" s="1"/>
  <c r="R580" i="2"/>
  <c r="Q580" i="2"/>
  <c r="L580" i="2"/>
  <c r="I580" i="2"/>
  <c r="H580" i="2"/>
  <c r="S576" i="2"/>
  <c r="V576" i="2" s="1"/>
  <c r="R576" i="2"/>
  <c r="Q576" i="2"/>
  <c r="L576" i="2"/>
  <c r="I576" i="2"/>
  <c r="H576" i="2"/>
  <c r="S575" i="2"/>
  <c r="V575" i="2" s="1"/>
  <c r="R575" i="2"/>
  <c r="Q575" i="2"/>
  <c r="L575" i="2"/>
  <c r="I575" i="2"/>
  <c r="H575" i="2"/>
  <c r="S571" i="2"/>
  <c r="V571" i="2" s="1"/>
  <c r="R571" i="2"/>
  <c r="Q571" i="2"/>
  <c r="L571" i="2"/>
  <c r="I571" i="2"/>
  <c r="H571" i="2"/>
  <c r="S570" i="2"/>
  <c r="V570" i="2" s="1"/>
  <c r="R570" i="2"/>
  <c r="Q570" i="2"/>
  <c r="L570" i="2"/>
  <c r="I570" i="2"/>
  <c r="H570" i="2"/>
  <c r="CR55" i="1"/>
  <c r="CS55" i="1"/>
  <c r="CT55" i="1"/>
  <c r="CU55" i="1"/>
  <c r="CV55" i="1"/>
  <c r="CW55" i="1"/>
  <c r="CX55" i="1"/>
  <c r="CY55" i="1"/>
  <c r="CR56" i="1"/>
  <c r="CS56" i="1"/>
  <c r="CT56" i="1"/>
  <c r="CU56" i="1"/>
  <c r="CV56" i="1"/>
  <c r="CW56" i="1"/>
  <c r="CX56" i="1"/>
  <c r="CY56" i="1"/>
  <c r="CR57" i="1"/>
  <c r="CS57" i="1"/>
  <c r="CT57" i="1"/>
  <c r="CU57" i="1"/>
  <c r="CV57" i="1"/>
  <c r="CW57" i="1"/>
  <c r="CX57" i="1"/>
  <c r="CY57" i="1"/>
  <c r="CR58" i="1"/>
  <c r="CS58" i="1"/>
  <c r="CT58" i="1"/>
  <c r="CU58" i="1"/>
  <c r="CV58" i="1"/>
  <c r="CW58" i="1"/>
  <c r="CX58" i="1"/>
  <c r="CY58" i="1"/>
  <c r="CR59" i="1"/>
  <c r="CS59" i="1"/>
  <c r="CT59" i="1"/>
  <c r="CU59" i="1"/>
  <c r="CV59" i="1"/>
  <c r="CW59" i="1"/>
  <c r="CX59" i="1"/>
  <c r="CY59" i="1"/>
  <c r="CR60" i="1"/>
  <c r="CS60" i="1"/>
  <c r="CT60" i="1"/>
  <c r="CU60" i="1"/>
  <c r="CV60" i="1"/>
  <c r="CW60" i="1"/>
  <c r="CX60" i="1"/>
  <c r="CY60" i="1"/>
  <c r="CR61" i="1"/>
  <c r="CS61" i="1"/>
  <c r="CT61" i="1"/>
  <c r="CU61" i="1"/>
  <c r="CV61" i="1"/>
  <c r="CW61" i="1"/>
  <c r="CX61" i="1"/>
  <c r="CY61" i="1"/>
  <c r="CR62" i="1"/>
  <c r="CS62" i="1"/>
  <c r="CT62" i="1"/>
  <c r="CU62" i="1"/>
  <c r="CV62" i="1"/>
  <c r="CW62" i="1"/>
  <c r="CX62" i="1"/>
  <c r="CY62" i="1"/>
  <c r="CR63" i="1"/>
  <c r="CS63" i="1"/>
  <c r="CT63" i="1"/>
  <c r="CU63" i="1"/>
  <c r="CV63" i="1"/>
  <c r="CW63" i="1"/>
  <c r="CX63" i="1"/>
  <c r="CY63" i="1"/>
  <c r="CR64" i="1"/>
  <c r="CS64" i="1"/>
  <c r="CT64" i="1"/>
  <c r="CU64" i="1"/>
  <c r="CV64" i="1"/>
  <c r="CW64" i="1"/>
  <c r="CX64" i="1"/>
  <c r="CY64" i="1"/>
  <c r="CR65" i="1"/>
  <c r="CS65" i="1"/>
  <c r="CT65" i="1"/>
  <c r="CU65" i="1"/>
  <c r="CV65" i="1"/>
  <c r="CW65" i="1"/>
  <c r="CX65" i="1"/>
  <c r="CY65" i="1"/>
  <c r="CR66" i="1"/>
  <c r="CS66" i="1"/>
  <c r="CT66" i="1"/>
  <c r="CU66" i="1"/>
  <c r="CV66" i="1"/>
  <c r="CW66" i="1"/>
  <c r="CX66" i="1"/>
  <c r="CY66" i="1"/>
  <c r="Q566"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7" i="2"/>
  <c r="Q568" i="2"/>
  <c r="Q569" i="2"/>
  <c r="Q572" i="2"/>
  <c r="Q573" i="2"/>
  <c r="Q574" i="2"/>
  <c r="Q577" i="2"/>
  <c r="Q578" i="2"/>
  <c r="Q579" i="2"/>
  <c r="Q582" i="2"/>
  <c r="Q583" i="2"/>
  <c r="Q584" i="2"/>
  <c r="Q585" i="2"/>
  <c r="Q586" i="2"/>
  <c r="Q587" i="2"/>
  <c r="Q588" i="2"/>
  <c r="Q589" i="2"/>
  <c r="Q592" i="2"/>
  <c r="Q593" i="2"/>
  <c r="Q594" i="2"/>
  <c r="Q595" i="2"/>
  <c r="Q598" i="2"/>
  <c r="Q599" i="2"/>
  <c r="Q600" i="2"/>
  <c r="Q601" i="2"/>
  <c r="Q602" i="2"/>
  <c r="Q605" i="2"/>
  <c r="Q606" i="2"/>
  <c r="Q607" i="2"/>
  <c r="Q608" i="2"/>
  <c r="Q612" i="2"/>
  <c r="Q613" i="2"/>
  <c r="Q614" i="2"/>
  <c r="Q617" i="2"/>
  <c r="Q618" i="2"/>
  <c r="Q619" i="2"/>
  <c r="Q620" i="2"/>
  <c r="Q623" i="2"/>
  <c r="Q624" i="2"/>
  <c r="Q625" i="2"/>
  <c r="Q626" i="2"/>
  <c r="Q627" i="2"/>
  <c r="Q628" i="2"/>
  <c r="Q629" i="2"/>
  <c r="Q632" i="2"/>
  <c r="Q633" i="2"/>
  <c r="Q634" i="2"/>
  <c r="Q635" i="2"/>
  <c r="Q637" i="2"/>
  <c r="Q638" i="2"/>
  <c r="Q641" i="2"/>
  <c r="Q642" i="2"/>
  <c r="Q643" i="2"/>
  <c r="Q644" i="2"/>
  <c r="Q645" i="2"/>
  <c r="Q648" i="2"/>
  <c r="Q649" i="2"/>
  <c r="Q650" i="2"/>
  <c r="Q651" i="2"/>
  <c r="Q652" i="2"/>
  <c r="Q653" i="2"/>
  <c r="Q656" i="2"/>
  <c r="Q657" i="2"/>
  <c r="Q658" i="2"/>
  <c r="Q659" i="2"/>
  <c r="Q660" i="2"/>
  <c r="Q663" i="2"/>
  <c r="Q664" i="2"/>
  <c r="Q665" i="2"/>
  <c r="Q666" i="2"/>
  <c r="Q667" i="2"/>
  <c r="Q668" i="2"/>
  <c r="Q669" i="2"/>
  <c r="Q670" i="2"/>
  <c r="Q671" i="2"/>
  <c r="Q673" i="2"/>
  <c r="Q674" i="2"/>
  <c r="Q675" i="2"/>
  <c r="Q676" i="2"/>
  <c r="Q677" i="2"/>
  <c r="Q678" i="2"/>
  <c r="Q681" i="2"/>
  <c r="Q682" i="2"/>
  <c r="Q683" i="2"/>
  <c r="Q684" i="2"/>
  <c r="Q685" i="2"/>
  <c r="Q686" i="2"/>
  <c r="Q687" i="2"/>
  <c r="Q688" i="2"/>
  <c r="Q689" i="2"/>
  <c r="Q690" i="2"/>
  <c r="Q691" i="2"/>
  <c r="Q692" i="2"/>
  <c r="Q696" i="2"/>
  <c r="Q697" i="2"/>
  <c r="Q698" i="2"/>
  <c r="Q699" i="2"/>
  <c r="Q700" i="2"/>
  <c r="Q701" i="2"/>
  <c r="Q702" i="2"/>
  <c r="Q703" i="2"/>
  <c r="Q704" i="2"/>
  <c r="Q705" i="2"/>
  <c r="Q706" i="2"/>
  <c r="Q707" i="2"/>
  <c r="Q708" i="2"/>
  <c r="Q709" i="2"/>
  <c r="Q712" i="2"/>
  <c r="Q713" i="2"/>
  <c r="Q714" i="2"/>
  <c r="Q715" i="2"/>
  <c r="Q716" i="2"/>
  <c r="Q717" i="2"/>
  <c r="Q718" i="2"/>
  <c r="Q721" i="2"/>
  <c r="Q722" i="2"/>
  <c r="Q723" i="2"/>
  <c r="Q726" i="2"/>
  <c r="Q727" i="2"/>
  <c r="Q728" i="2"/>
  <c r="Q731" i="2"/>
  <c r="Q732" i="2"/>
  <c r="Q733" i="2"/>
  <c r="Q734" i="2"/>
  <c r="Q735" i="2"/>
  <c r="Q738" i="2"/>
  <c r="Q739" i="2"/>
  <c r="Q740" i="2"/>
  <c r="Q741" i="2"/>
  <c r="Q742" i="2"/>
  <c r="Q743" i="2"/>
  <c r="Q744" i="2"/>
  <c r="Q747" i="2"/>
  <c r="Q748" i="2"/>
  <c r="Q749" i="2"/>
  <c r="Q750" i="2"/>
  <c r="Q751" i="2"/>
  <c r="Q752" i="2"/>
  <c r="Q755" i="2"/>
  <c r="Q756" i="2"/>
  <c r="Q757" i="2"/>
  <c r="Q758" i="2"/>
  <c r="Q759" i="2"/>
  <c r="Q760" i="2"/>
  <c r="Q761" i="2"/>
  <c r="Q762"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H565" i="2"/>
  <c r="S564" i="2"/>
  <c r="V564" i="2" s="1"/>
  <c r="R564" i="2"/>
  <c r="L564" i="2"/>
  <c r="I564" i="2"/>
  <c r="H564" i="2"/>
  <c r="S563" i="2"/>
  <c r="V563" i="2" s="1"/>
  <c r="R563" i="2"/>
  <c r="L563" i="2"/>
  <c r="I563" i="2"/>
  <c r="H563" i="2"/>
  <c r="CR54" i="1"/>
  <c r="S556" i="2"/>
  <c r="V556" i="2" s="1"/>
  <c r="R556" i="2"/>
  <c r="L556" i="2"/>
  <c r="I556" i="2"/>
  <c r="H556" i="2"/>
  <c r="S555" i="2"/>
  <c r="V555" i="2" s="1"/>
  <c r="R555" i="2"/>
  <c r="L555" i="2"/>
  <c r="I555" i="2"/>
  <c r="H555" i="2"/>
  <c r="S547" i="2"/>
  <c r="V547" i="2" s="1"/>
  <c r="R547" i="2"/>
  <c r="L547" i="2"/>
  <c r="I547" i="2"/>
  <c r="H547" i="2"/>
  <c r="S546" i="2"/>
  <c r="V546" i="2" s="1"/>
  <c r="R546" i="2"/>
  <c r="L546" i="2"/>
  <c r="I546" i="2"/>
  <c r="H546" i="2"/>
  <c r="CR49" i="1"/>
  <c r="CR50" i="1"/>
  <c r="CR51" i="1"/>
  <c r="CR52" i="1"/>
  <c r="CR53" i="1"/>
  <c r="CS48" i="1"/>
  <c r="CT48" i="1"/>
  <c r="CU48" i="1"/>
  <c r="CV48" i="1"/>
  <c r="CW48" i="1"/>
  <c r="CX48" i="1"/>
  <c r="CY48" i="1"/>
  <c r="CS49" i="1"/>
  <c r="CT49" i="1"/>
  <c r="CU49" i="1"/>
  <c r="CV49" i="1"/>
  <c r="CW49" i="1"/>
  <c r="CX49" i="1"/>
  <c r="CY49" i="1"/>
  <c r="CS50" i="1"/>
  <c r="CT50" i="1"/>
  <c r="CU50" i="1"/>
  <c r="CV50" i="1"/>
  <c r="CW50" i="1"/>
  <c r="CX50" i="1"/>
  <c r="CY50" i="1"/>
  <c r="CS51" i="1"/>
  <c r="CT51" i="1"/>
  <c r="CU51" i="1"/>
  <c r="CV51" i="1"/>
  <c r="CW51" i="1"/>
  <c r="CX51" i="1"/>
  <c r="CY51" i="1"/>
  <c r="CS52" i="1"/>
  <c r="CT52" i="1"/>
  <c r="CU52" i="1"/>
  <c r="CV52" i="1"/>
  <c r="CW52" i="1"/>
  <c r="CX52" i="1"/>
  <c r="CY52" i="1"/>
  <c r="CS53" i="1"/>
  <c r="CT53" i="1"/>
  <c r="CU53" i="1"/>
  <c r="CV53" i="1"/>
  <c r="CW53" i="1"/>
  <c r="CX53" i="1"/>
  <c r="CY53" i="1"/>
  <c r="CS54" i="1"/>
  <c r="CT54" i="1"/>
  <c r="CU54" i="1"/>
  <c r="CV54" i="1"/>
  <c r="CW54" i="1"/>
  <c r="CX54" i="1"/>
  <c r="CY54" i="1"/>
  <c r="DA65" i="1" l="1"/>
  <c r="CZ50" i="1"/>
  <c r="CZ66" i="1"/>
  <c r="DA49" i="1"/>
  <c r="CZ51" i="1"/>
  <c r="DA66" i="1"/>
  <c r="DA50" i="1"/>
  <c r="DA48" i="1"/>
  <c r="CZ65" i="1"/>
  <c r="DA51" i="1"/>
  <c r="DA64" i="1"/>
  <c r="CZ64" i="1"/>
  <c r="CZ63" i="1"/>
  <c r="DA62" i="1"/>
  <c r="DA61" i="1"/>
  <c r="CZ61" i="1"/>
  <c r="DA60" i="1"/>
  <c r="CZ60" i="1"/>
  <c r="CZ59" i="1"/>
  <c r="DA59" i="1"/>
  <c r="CZ58" i="1"/>
  <c r="DA58" i="1"/>
  <c r="DA57" i="1"/>
  <c r="CZ57" i="1"/>
  <c r="DA63" i="1"/>
  <c r="CZ49" i="1"/>
  <c r="CZ62" i="1"/>
  <c r="DA56" i="1"/>
  <c r="DA55" i="1"/>
  <c r="CZ56" i="1"/>
  <c r="CZ55" i="1"/>
  <c r="DA54" i="1"/>
  <c r="DA53" i="1"/>
  <c r="CZ53" i="1"/>
  <c r="DA52" i="1"/>
  <c r="CF53" i="1"/>
  <c r="CG53" i="1"/>
  <c r="DB53" i="1" l="1"/>
  <c r="H526" i="2"/>
  <c r="I526" i="2"/>
  <c r="L526" i="2"/>
  <c r="H527" i="2"/>
  <c r="I527" i="2"/>
  <c r="L527" i="2"/>
  <c r="H528" i="2"/>
  <c r="I528" i="2"/>
  <c r="L528" i="2"/>
  <c r="H529" i="2"/>
  <c r="I529" i="2"/>
  <c r="L529" i="2"/>
  <c r="H530" i="2"/>
  <c r="I530" i="2"/>
  <c r="L530" i="2"/>
  <c r="H531" i="2"/>
  <c r="I531" i="2"/>
  <c r="L531" i="2"/>
  <c r="H532" i="2"/>
  <c r="I532" i="2"/>
  <c r="L532" i="2"/>
  <c r="H533" i="2"/>
  <c r="I533" i="2"/>
  <c r="L533" i="2"/>
  <c r="L514" i="2" l="1"/>
  <c r="I514" i="2"/>
  <c r="H514" i="2"/>
  <c r="L513" i="2"/>
  <c r="I513" i="2"/>
  <c r="H513" i="2"/>
  <c r="L504" i="2"/>
  <c r="L503" i="2"/>
  <c r="I503" i="2"/>
  <c r="H503" i="2"/>
  <c r="L502" i="2"/>
  <c r="I502" i="2"/>
  <c r="H502" i="2"/>
  <c r="S491" i="2"/>
  <c r="V491" i="2" s="1"/>
  <c r="R491" i="2"/>
  <c r="L491" i="2"/>
  <c r="I491" i="2"/>
  <c r="H491" i="2"/>
  <c r="S490" i="2"/>
  <c r="V490" i="2" s="1"/>
  <c r="R490" i="2"/>
  <c r="L490" i="2"/>
  <c r="I490" i="2"/>
  <c r="H490" i="2"/>
  <c r="S476" i="2"/>
  <c r="V476" i="2" s="1"/>
  <c r="R476" i="2"/>
  <c r="L476" i="2"/>
  <c r="I476" i="2"/>
  <c r="H476" i="2"/>
  <c r="S475" i="2"/>
  <c r="V475" i="2" s="1"/>
  <c r="R475" i="2"/>
  <c r="L475" i="2"/>
  <c r="I475" i="2"/>
  <c r="H475" i="2"/>
  <c r="CR44" i="1"/>
  <c r="CS44" i="1"/>
  <c r="CT44" i="1"/>
  <c r="CU44" i="1"/>
  <c r="CV44" i="1"/>
  <c r="CW44" i="1"/>
  <c r="CX44" i="1"/>
  <c r="CY44" i="1"/>
  <c r="CR45" i="1"/>
  <c r="CS45" i="1"/>
  <c r="CT45" i="1"/>
  <c r="CU45" i="1"/>
  <c r="CV45" i="1"/>
  <c r="CW45" i="1"/>
  <c r="CX45" i="1"/>
  <c r="CY45" i="1"/>
  <c r="CR46" i="1"/>
  <c r="CS46" i="1"/>
  <c r="CT46" i="1"/>
  <c r="CU46" i="1"/>
  <c r="CV46" i="1"/>
  <c r="CW46" i="1"/>
  <c r="CX46" i="1"/>
  <c r="CY46" i="1"/>
  <c r="CR47" i="1"/>
  <c r="CS47" i="1"/>
  <c r="CT47" i="1"/>
  <c r="CU47" i="1"/>
  <c r="CV47" i="1"/>
  <c r="CW47" i="1"/>
  <c r="CX47" i="1"/>
  <c r="CY47" i="1"/>
  <c r="CR48" i="1"/>
  <c r="CZ48" i="1" s="1"/>
  <c r="S468" i="2"/>
  <c r="V468" i="2" s="1"/>
  <c r="R468" i="2"/>
  <c r="L468" i="2"/>
  <c r="I468" i="2"/>
  <c r="H468" i="2"/>
  <c r="S467" i="2"/>
  <c r="V467" i="2" s="1"/>
  <c r="R467" i="2"/>
  <c r="L467" i="2"/>
  <c r="I467" i="2"/>
  <c r="H467" i="2"/>
  <c r="C17" i="11"/>
  <c r="C18" i="11"/>
  <c r="C16" i="11"/>
  <c r="CZ47" i="1" l="1"/>
  <c r="DA47" i="1"/>
  <c r="DA46" i="1"/>
  <c r="CZ46" i="1"/>
  <c r="CZ45" i="1"/>
  <c r="DA45" i="1"/>
  <c r="DA44" i="1"/>
  <c r="CZ44" i="1"/>
  <c r="E443" i="2"/>
  <c r="H443" i="2"/>
  <c r="I443" i="2"/>
  <c r="E444" i="2"/>
  <c r="H444" i="2"/>
  <c r="I444" i="2"/>
  <c r="E445" i="2"/>
  <c r="H445" i="2"/>
  <c r="I445" i="2"/>
  <c r="E446" i="2"/>
  <c r="H446" i="2"/>
  <c r="I446" i="2"/>
  <c r="E447" i="2"/>
  <c r="H447" i="2"/>
  <c r="I447" i="2"/>
  <c r="E448" i="2"/>
  <c r="H448" i="2"/>
  <c r="I448" i="2"/>
  <c r="E449" i="2"/>
  <c r="H449" i="2"/>
  <c r="I449" i="2"/>
  <c r="E450" i="2"/>
  <c r="H450" i="2"/>
  <c r="I450" i="2"/>
  <c r="L443" i="2"/>
  <c r="R443" i="2"/>
  <c r="S443" i="2"/>
  <c r="V443" i="2" s="1"/>
  <c r="L444" i="2"/>
  <c r="R444" i="2"/>
  <c r="S444" i="2"/>
  <c r="V444" i="2" s="1"/>
  <c r="L445" i="2"/>
  <c r="R445" i="2"/>
  <c r="S445" i="2"/>
  <c r="V445" i="2" s="1"/>
  <c r="L446" i="2"/>
  <c r="R446" i="2"/>
  <c r="S446" i="2"/>
  <c r="V446" i="2" s="1"/>
  <c r="L447" i="2"/>
  <c r="R447" i="2"/>
  <c r="S447" i="2"/>
  <c r="V447" i="2" s="1"/>
  <c r="L448" i="2"/>
  <c r="R448" i="2"/>
  <c r="S448" i="2"/>
  <c r="V448" i="2" s="1"/>
  <c r="L449" i="2"/>
  <c r="R449" i="2"/>
  <c r="S449" i="2"/>
  <c r="V449" i="2" s="1"/>
  <c r="L450" i="2"/>
  <c r="R450" i="2"/>
  <c r="S450" i="2"/>
  <c r="V450" i="2" s="1"/>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51" i="2"/>
  <c r="R452" i="2"/>
  <c r="R453" i="2"/>
  <c r="R454" i="2"/>
  <c r="R455" i="2"/>
  <c r="R456" i="2"/>
  <c r="R457" i="2"/>
  <c r="R458" i="2"/>
  <c r="R459" i="2"/>
  <c r="R460" i="2"/>
  <c r="R461" i="2"/>
  <c r="R462" i="2"/>
  <c r="R463" i="2"/>
  <c r="R464" i="2"/>
  <c r="R465" i="2"/>
  <c r="R466" i="2"/>
  <c r="R469" i="2"/>
  <c r="R470" i="2"/>
  <c r="R471" i="2"/>
  <c r="R472" i="2"/>
  <c r="R473" i="2"/>
  <c r="R474" i="2"/>
  <c r="R477" i="2"/>
  <c r="R478" i="2"/>
  <c r="R479" i="2"/>
  <c r="R480" i="2"/>
  <c r="R481" i="2"/>
  <c r="R482" i="2"/>
  <c r="R483" i="2"/>
  <c r="R484" i="2"/>
  <c r="R485" i="2"/>
  <c r="R486" i="2"/>
  <c r="R487" i="2"/>
  <c r="R488" i="2"/>
  <c r="R489"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8" i="2"/>
  <c r="R549" i="2"/>
  <c r="R550" i="2"/>
  <c r="R551" i="2"/>
  <c r="R552" i="2"/>
  <c r="R553" i="2"/>
  <c r="R554" i="2"/>
  <c r="R557" i="2"/>
  <c r="R558" i="2"/>
  <c r="R559" i="2"/>
  <c r="R560" i="2"/>
  <c r="R561" i="2"/>
  <c r="R562" i="2"/>
  <c r="R565" i="2"/>
  <c r="R566" i="2"/>
  <c r="R567" i="2"/>
  <c r="R568" i="2"/>
  <c r="R569" i="2"/>
  <c r="R572" i="2"/>
  <c r="R573" i="2"/>
  <c r="R574" i="2"/>
  <c r="R577" i="2"/>
  <c r="R578" i="2"/>
  <c r="R579" i="2"/>
  <c r="R582" i="2"/>
  <c r="R583" i="2"/>
  <c r="R584" i="2"/>
  <c r="R585" i="2"/>
  <c r="R586" i="2"/>
  <c r="R587" i="2"/>
  <c r="R588" i="2"/>
  <c r="R589" i="2"/>
  <c r="R593" i="2"/>
  <c r="R594" i="2"/>
  <c r="R595" i="2"/>
  <c r="R598" i="2"/>
  <c r="R599" i="2"/>
  <c r="R600" i="2"/>
  <c r="R601" i="2"/>
  <c r="R602" i="2"/>
  <c r="R605" i="2"/>
  <c r="R606" i="2"/>
  <c r="R607" i="2"/>
  <c r="R608" i="2"/>
  <c r="R612" i="2"/>
  <c r="R613" i="2"/>
  <c r="R614" i="2"/>
  <c r="R617" i="2"/>
  <c r="R618" i="2"/>
  <c r="R619" i="2"/>
  <c r="R620" i="2"/>
  <c r="R623" i="2"/>
  <c r="R624" i="2"/>
  <c r="R625" i="2"/>
  <c r="R626" i="2"/>
  <c r="R627" i="2"/>
  <c r="R628" i="2"/>
  <c r="R629" i="2"/>
  <c r="R632" i="2"/>
  <c r="R633" i="2"/>
  <c r="R634" i="2"/>
  <c r="R635" i="2"/>
  <c r="R637" i="2"/>
  <c r="R638" i="2"/>
  <c r="R641" i="2"/>
  <c r="R642" i="2"/>
  <c r="R643" i="2"/>
  <c r="R644" i="2"/>
  <c r="R645" i="2"/>
  <c r="R648" i="2"/>
  <c r="R649" i="2"/>
  <c r="R650" i="2"/>
  <c r="R651" i="2"/>
  <c r="R652" i="2"/>
  <c r="R653" i="2"/>
  <c r="R656" i="2"/>
  <c r="R657" i="2"/>
  <c r="R658" i="2"/>
  <c r="R659" i="2"/>
  <c r="R660" i="2"/>
  <c r="R663" i="2"/>
  <c r="R664" i="2"/>
  <c r="R665" i="2"/>
  <c r="R666" i="2"/>
  <c r="R667" i="2"/>
  <c r="R668" i="2"/>
  <c r="R669" i="2"/>
  <c r="R670" i="2"/>
  <c r="R671" i="2"/>
  <c r="R673" i="2"/>
  <c r="R674" i="2"/>
  <c r="R675" i="2"/>
  <c r="R676" i="2"/>
  <c r="R677" i="2"/>
  <c r="R678" i="2"/>
  <c r="R681" i="2"/>
  <c r="R682" i="2"/>
  <c r="R683" i="2"/>
  <c r="R684" i="2"/>
  <c r="R685" i="2"/>
  <c r="R686" i="2"/>
  <c r="R687" i="2"/>
  <c r="R688" i="2"/>
  <c r="R689" i="2"/>
  <c r="R690" i="2"/>
  <c r="R691" i="2"/>
  <c r="R692" i="2"/>
  <c r="R696" i="2"/>
  <c r="R697" i="2"/>
  <c r="R698" i="2"/>
  <c r="R699" i="2"/>
  <c r="R700" i="2"/>
  <c r="R701" i="2"/>
  <c r="R702" i="2"/>
  <c r="R703" i="2"/>
  <c r="R704" i="2"/>
  <c r="R705" i="2"/>
  <c r="R706" i="2"/>
  <c r="R707" i="2"/>
  <c r="R708" i="2"/>
  <c r="R709" i="2"/>
  <c r="R712" i="2"/>
  <c r="R713" i="2"/>
  <c r="R714" i="2"/>
  <c r="R715" i="2"/>
  <c r="R716" i="2"/>
  <c r="R717" i="2"/>
  <c r="R718" i="2"/>
  <c r="R721" i="2"/>
  <c r="R722" i="2"/>
  <c r="R723" i="2"/>
  <c r="R726" i="2"/>
  <c r="R727" i="2"/>
  <c r="R728" i="2"/>
  <c r="R731" i="2"/>
  <c r="R732" i="2"/>
  <c r="R733" i="2"/>
  <c r="R734" i="2"/>
  <c r="R735" i="2"/>
  <c r="R738" i="2"/>
  <c r="R739" i="2"/>
  <c r="R740" i="2"/>
  <c r="R741" i="2"/>
  <c r="R742" i="2"/>
  <c r="R743" i="2"/>
  <c r="R744" i="2"/>
  <c r="R747" i="2"/>
  <c r="R748" i="2"/>
  <c r="R749" i="2"/>
  <c r="R750" i="2"/>
  <c r="R751" i="2"/>
  <c r="R752" i="2"/>
  <c r="R755" i="2"/>
  <c r="R756" i="2"/>
  <c r="R757" i="2"/>
  <c r="R758" i="2"/>
  <c r="R759" i="2"/>
  <c r="R760" i="2"/>
  <c r="R761" i="2"/>
  <c r="R762"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S2" i="2"/>
  <c r="V2" i="2" s="1"/>
  <c r="S3" i="2"/>
  <c r="V3" i="2" s="1"/>
  <c r="S4" i="2"/>
  <c r="V4" i="2" s="1"/>
  <c r="S5" i="2"/>
  <c r="V5" i="2" s="1"/>
  <c r="S6" i="2"/>
  <c r="V6" i="2" s="1"/>
  <c r="S7" i="2"/>
  <c r="V7" i="2" s="1"/>
  <c r="S8" i="2"/>
  <c r="V8" i="2" s="1"/>
  <c r="S9" i="2"/>
  <c r="V9" i="2" s="1"/>
  <c r="S10" i="2"/>
  <c r="V10" i="2" s="1"/>
  <c r="S11" i="2"/>
  <c r="V11" i="2" s="1"/>
  <c r="S12" i="2"/>
  <c r="V12" i="2" s="1"/>
  <c r="S13" i="2"/>
  <c r="V13" i="2" s="1"/>
  <c r="S14" i="2"/>
  <c r="V14" i="2" s="1"/>
  <c r="S15" i="2"/>
  <c r="V15" i="2" s="1"/>
  <c r="S16" i="2"/>
  <c r="V16" i="2" s="1"/>
  <c r="S17" i="2"/>
  <c r="V17" i="2" s="1"/>
  <c r="S18" i="2"/>
  <c r="V18" i="2" s="1"/>
  <c r="S19" i="2"/>
  <c r="V19" i="2" s="1"/>
  <c r="S20" i="2"/>
  <c r="V20" i="2" s="1"/>
  <c r="S21" i="2"/>
  <c r="V21" i="2" s="1"/>
  <c r="S22" i="2"/>
  <c r="V22" i="2" s="1"/>
  <c r="S23" i="2"/>
  <c r="V23" i="2" s="1"/>
  <c r="S24" i="2"/>
  <c r="V24" i="2" s="1"/>
  <c r="S25" i="2"/>
  <c r="V25" i="2" s="1"/>
  <c r="S26" i="2"/>
  <c r="V26" i="2" s="1"/>
  <c r="S27" i="2"/>
  <c r="V27" i="2" s="1"/>
  <c r="S28" i="2"/>
  <c r="V28" i="2" s="1"/>
  <c r="S29" i="2"/>
  <c r="V29" i="2" s="1"/>
  <c r="S30" i="2"/>
  <c r="V30" i="2" s="1"/>
  <c r="S31" i="2"/>
  <c r="V31" i="2" s="1"/>
  <c r="S32" i="2"/>
  <c r="V32" i="2" s="1"/>
  <c r="S33" i="2"/>
  <c r="V33" i="2" s="1"/>
  <c r="S34" i="2"/>
  <c r="V34" i="2" s="1"/>
  <c r="S35" i="2"/>
  <c r="V35" i="2" s="1"/>
  <c r="S36" i="2"/>
  <c r="V36" i="2" s="1"/>
  <c r="S37" i="2"/>
  <c r="V37" i="2" s="1"/>
  <c r="S38" i="2"/>
  <c r="V38" i="2" s="1"/>
  <c r="S39" i="2"/>
  <c r="V39" i="2" s="1"/>
  <c r="S40" i="2"/>
  <c r="V40" i="2" s="1"/>
  <c r="S41" i="2"/>
  <c r="V41" i="2" s="1"/>
  <c r="S42" i="2"/>
  <c r="V42" i="2" s="1"/>
  <c r="S43" i="2"/>
  <c r="V43" i="2" s="1"/>
  <c r="S44" i="2"/>
  <c r="V44" i="2" s="1"/>
  <c r="S45" i="2"/>
  <c r="V45" i="2" s="1"/>
  <c r="S46" i="2"/>
  <c r="V46" i="2" s="1"/>
  <c r="S47" i="2"/>
  <c r="V47" i="2" s="1"/>
  <c r="S48" i="2"/>
  <c r="V48" i="2" s="1"/>
  <c r="S49" i="2"/>
  <c r="V49" i="2" s="1"/>
  <c r="S50" i="2"/>
  <c r="V50" i="2" s="1"/>
  <c r="S51" i="2"/>
  <c r="V51" i="2" s="1"/>
  <c r="S52" i="2"/>
  <c r="V52" i="2" s="1"/>
  <c r="S53" i="2"/>
  <c r="V53" i="2" s="1"/>
  <c r="S54" i="2"/>
  <c r="V54" i="2" s="1"/>
  <c r="S55" i="2"/>
  <c r="V55" i="2" s="1"/>
  <c r="S56" i="2"/>
  <c r="V56" i="2" s="1"/>
  <c r="S57" i="2"/>
  <c r="V57" i="2" s="1"/>
  <c r="S58" i="2"/>
  <c r="V58" i="2" s="1"/>
  <c r="S59" i="2"/>
  <c r="V59" i="2" s="1"/>
  <c r="S60" i="2"/>
  <c r="V60" i="2" s="1"/>
  <c r="S61" i="2"/>
  <c r="V61" i="2" s="1"/>
  <c r="S62" i="2"/>
  <c r="V62" i="2" s="1"/>
  <c r="S63" i="2"/>
  <c r="V63" i="2" s="1"/>
  <c r="S64" i="2"/>
  <c r="V64" i="2" s="1"/>
  <c r="S65" i="2"/>
  <c r="V65" i="2" s="1"/>
  <c r="S66" i="2"/>
  <c r="V66" i="2" s="1"/>
  <c r="S67" i="2"/>
  <c r="V67" i="2" s="1"/>
  <c r="S68" i="2"/>
  <c r="V68" i="2" s="1"/>
  <c r="S69" i="2"/>
  <c r="V69" i="2" s="1"/>
  <c r="S70" i="2"/>
  <c r="V70" i="2" s="1"/>
  <c r="S71" i="2"/>
  <c r="V71" i="2" s="1"/>
  <c r="S72" i="2"/>
  <c r="V72" i="2" s="1"/>
  <c r="S73" i="2"/>
  <c r="V73" i="2" s="1"/>
  <c r="S74" i="2"/>
  <c r="V74" i="2" s="1"/>
  <c r="S75" i="2"/>
  <c r="V75" i="2" s="1"/>
  <c r="S76" i="2"/>
  <c r="V76" i="2" s="1"/>
  <c r="S77" i="2"/>
  <c r="V77" i="2" s="1"/>
  <c r="S78" i="2"/>
  <c r="V78" i="2" s="1"/>
  <c r="S79" i="2"/>
  <c r="V79" i="2" s="1"/>
  <c r="S80" i="2"/>
  <c r="V80" i="2" s="1"/>
  <c r="S81" i="2"/>
  <c r="V81" i="2" s="1"/>
  <c r="S82" i="2"/>
  <c r="V82" i="2" s="1"/>
  <c r="S83" i="2"/>
  <c r="V83" i="2" s="1"/>
  <c r="S84" i="2"/>
  <c r="V84" i="2" s="1"/>
  <c r="S85" i="2"/>
  <c r="V85" i="2" s="1"/>
  <c r="S86" i="2"/>
  <c r="V86" i="2" s="1"/>
  <c r="S87" i="2"/>
  <c r="V87" i="2" s="1"/>
  <c r="S88" i="2"/>
  <c r="V88" i="2" s="1"/>
  <c r="S89" i="2"/>
  <c r="V89" i="2" s="1"/>
  <c r="S90" i="2"/>
  <c r="V90" i="2" s="1"/>
  <c r="S91" i="2"/>
  <c r="V91" i="2" s="1"/>
  <c r="S92" i="2"/>
  <c r="V92" i="2" s="1"/>
  <c r="S93" i="2"/>
  <c r="V93" i="2" s="1"/>
  <c r="S94" i="2"/>
  <c r="V94" i="2" s="1"/>
  <c r="S95" i="2"/>
  <c r="V95" i="2" s="1"/>
  <c r="S96" i="2"/>
  <c r="V96" i="2" s="1"/>
  <c r="S97" i="2"/>
  <c r="V97" i="2" s="1"/>
  <c r="S98" i="2"/>
  <c r="V98" i="2" s="1"/>
  <c r="S99" i="2"/>
  <c r="V99" i="2" s="1"/>
  <c r="S100" i="2"/>
  <c r="V100" i="2" s="1"/>
  <c r="S101" i="2"/>
  <c r="V101" i="2" s="1"/>
  <c r="S102" i="2"/>
  <c r="V102" i="2" s="1"/>
  <c r="S103" i="2"/>
  <c r="V103" i="2" s="1"/>
  <c r="S104" i="2"/>
  <c r="V104" i="2" s="1"/>
  <c r="S105" i="2"/>
  <c r="V105" i="2" s="1"/>
  <c r="S106" i="2"/>
  <c r="V106" i="2" s="1"/>
  <c r="S107" i="2"/>
  <c r="V107" i="2" s="1"/>
  <c r="S108" i="2"/>
  <c r="V108" i="2" s="1"/>
  <c r="S109" i="2"/>
  <c r="V109" i="2" s="1"/>
  <c r="S110" i="2"/>
  <c r="V110" i="2" s="1"/>
  <c r="S111" i="2"/>
  <c r="V111" i="2" s="1"/>
  <c r="S112" i="2"/>
  <c r="V112" i="2" s="1"/>
  <c r="S113" i="2"/>
  <c r="V113" i="2" s="1"/>
  <c r="S114" i="2"/>
  <c r="V114" i="2" s="1"/>
  <c r="S115" i="2"/>
  <c r="V115" i="2" s="1"/>
  <c r="S116" i="2"/>
  <c r="V116" i="2" s="1"/>
  <c r="S117" i="2"/>
  <c r="V117" i="2" s="1"/>
  <c r="S118" i="2"/>
  <c r="V118" i="2" s="1"/>
  <c r="S119" i="2"/>
  <c r="V119" i="2" s="1"/>
  <c r="S120" i="2"/>
  <c r="V120" i="2" s="1"/>
  <c r="S121" i="2"/>
  <c r="V121" i="2" s="1"/>
  <c r="S122" i="2"/>
  <c r="V122" i="2" s="1"/>
  <c r="S123" i="2"/>
  <c r="V123" i="2" s="1"/>
  <c r="S124" i="2"/>
  <c r="V124" i="2" s="1"/>
  <c r="S125" i="2"/>
  <c r="V125" i="2" s="1"/>
  <c r="S126" i="2"/>
  <c r="V126" i="2" s="1"/>
  <c r="S127" i="2"/>
  <c r="V127" i="2" s="1"/>
  <c r="S128" i="2"/>
  <c r="V128" i="2" s="1"/>
  <c r="S129" i="2"/>
  <c r="V129" i="2" s="1"/>
  <c r="S130" i="2"/>
  <c r="V130" i="2" s="1"/>
  <c r="S131" i="2"/>
  <c r="V131" i="2" s="1"/>
  <c r="S132" i="2"/>
  <c r="V132" i="2" s="1"/>
  <c r="S133" i="2"/>
  <c r="V133" i="2" s="1"/>
  <c r="S134" i="2"/>
  <c r="V134" i="2" s="1"/>
  <c r="S135" i="2"/>
  <c r="V135" i="2" s="1"/>
  <c r="S136" i="2"/>
  <c r="V136" i="2" s="1"/>
  <c r="S137" i="2"/>
  <c r="V137" i="2" s="1"/>
  <c r="S138" i="2"/>
  <c r="V138" i="2" s="1"/>
  <c r="S139" i="2"/>
  <c r="V139" i="2" s="1"/>
  <c r="S140" i="2"/>
  <c r="V140" i="2" s="1"/>
  <c r="S141" i="2"/>
  <c r="V141" i="2" s="1"/>
  <c r="S142" i="2"/>
  <c r="V142" i="2" s="1"/>
  <c r="S143" i="2"/>
  <c r="V143" i="2" s="1"/>
  <c r="S144" i="2"/>
  <c r="V144" i="2" s="1"/>
  <c r="S145" i="2"/>
  <c r="V145" i="2" s="1"/>
  <c r="S146" i="2"/>
  <c r="V146" i="2" s="1"/>
  <c r="S147" i="2"/>
  <c r="V147" i="2" s="1"/>
  <c r="S148" i="2"/>
  <c r="V148" i="2" s="1"/>
  <c r="S149" i="2"/>
  <c r="V149" i="2" s="1"/>
  <c r="S150" i="2"/>
  <c r="V150" i="2" s="1"/>
  <c r="S151" i="2"/>
  <c r="V151" i="2" s="1"/>
  <c r="S152" i="2"/>
  <c r="V152" i="2" s="1"/>
  <c r="S153" i="2"/>
  <c r="V153" i="2" s="1"/>
  <c r="S154" i="2"/>
  <c r="V154" i="2" s="1"/>
  <c r="S155" i="2"/>
  <c r="V155" i="2" s="1"/>
  <c r="S156" i="2"/>
  <c r="V156" i="2" s="1"/>
  <c r="S157" i="2"/>
  <c r="V157" i="2" s="1"/>
  <c r="S158" i="2"/>
  <c r="V158" i="2" s="1"/>
  <c r="S159" i="2"/>
  <c r="V159" i="2" s="1"/>
  <c r="S160" i="2"/>
  <c r="V160" i="2" s="1"/>
  <c r="S161" i="2"/>
  <c r="V161" i="2" s="1"/>
  <c r="S162" i="2"/>
  <c r="V162" i="2" s="1"/>
  <c r="S163" i="2"/>
  <c r="V163" i="2" s="1"/>
  <c r="S164" i="2"/>
  <c r="V164" i="2" s="1"/>
  <c r="S165" i="2"/>
  <c r="V165" i="2" s="1"/>
  <c r="S166" i="2"/>
  <c r="V166" i="2" s="1"/>
  <c r="S167" i="2"/>
  <c r="V167" i="2" s="1"/>
  <c r="S168" i="2"/>
  <c r="V168" i="2" s="1"/>
  <c r="S169" i="2"/>
  <c r="V169" i="2" s="1"/>
  <c r="S170" i="2"/>
  <c r="V170" i="2" s="1"/>
  <c r="S171" i="2"/>
  <c r="V171" i="2" s="1"/>
  <c r="S172" i="2"/>
  <c r="V172" i="2" s="1"/>
  <c r="S173" i="2"/>
  <c r="V173" i="2" s="1"/>
  <c r="S174" i="2"/>
  <c r="V174" i="2" s="1"/>
  <c r="S175" i="2"/>
  <c r="V175" i="2" s="1"/>
  <c r="S176" i="2"/>
  <c r="V176" i="2" s="1"/>
  <c r="S177" i="2"/>
  <c r="V177" i="2" s="1"/>
  <c r="S178" i="2"/>
  <c r="V178" i="2" s="1"/>
  <c r="S179" i="2"/>
  <c r="V179" i="2" s="1"/>
  <c r="S180" i="2"/>
  <c r="V180" i="2" s="1"/>
  <c r="S181" i="2"/>
  <c r="V181" i="2" s="1"/>
  <c r="S182" i="2"/>
  <c r="V182" i="2" s="1"/>
  <c r="S183" i="2"/>
  <c r="V183" i="2" s="1"/>
  <c r="S184" i="2"/>
  <c r="V184" i="2" s="1"/>
  <c r="S185" i="2"/>
  <c r="V185" i="2" s="1"/>
  <c r="S186" i="2"/>
  <c r="V186" i="2" s="1"/>
  <c r="S187" i="2"/>
  <c r="V187" i="2" s="1"/>
  <c r="S188" i="2"/>
  <c r="V188" i="2" s="1"/>
  <c r="S189" i="2"/>
  <c r="V189" i="2" s="1"/>
  <c r="S190" i="2"/>
  <c r="V190" i="2" s="1"/>
  <c r="S191" i="2"/>
  <c r="V191" i="2" s="1"/>
  <c r="S192" i="2"/>
  <c r="V192" i="2" s="1"/>
  <c r="S193" i="2"/>
  <c r="V193" i="2" s="1"/>
  <c r="S194" i="2"/>
  <c r="V194" i="2" s="1"/>
  <c r="S195" i="2"/>
  <c r="V195" i="2" s="1"/>
  <c r="S196" i="2"/>
  <c r="V196" i="2" s="1"/>
  <c r="S197" i="2"/>
  <c r="V197" i="2" s="1"/>
  <c r="S198" i="2"/>
  <c r="V198" i="2" s="1"/>
  <c r="S199" i="2"/>
  <c r="V199" i="2" s="1"/>
  <c r="S200" i="2"/>
  <c r="V200" i="2" s="1"/>
  <c r="S201" i="2"/>
  <c r="V201" i="2" s="1"/>
  <c r="S202" i="2"/>
  <c r="V202" i="2" s="1"/>
  <c r="S203" i="2"/>
  <c r="V203" i="2" s="1"/>
  <c r="S204" i="2"/>
  <c r="V204" i="2" s="1"/>
  <c r="S205" i="2"/>
  <c r="V205" i="2" s="1"/>
  <c r="S206" i="2"/>
  <c r="V206" i="2" s="1"/>
  <c r="S207" i="2"/>
  <c r="V207" i="2" s="1"/>
  <c r="S208" i="2"/>
  <c r="V208" i="2" s="1"/>
  <c r="S209" i="2"/>
  <c r="V209" i="2" s="1"/>
  <c r="S210" i="2"/>
  <c r="V210" i="2" s="1"/>
  <c r="S211" i="2"/>
  <c r="V211" i="2" s="1"/>
  <c r="S212" i="2"/>
  <c r="V212" i="2" s="1"/>
  <c r="S213" i="2"/>
  <c r="V213" i="2" s="1"/>
  <c r="S214" i="2"/>
  <c r="V214" i="2" s="1"/>
  <c r="S215" i="2"/>
  <c r="V215" i="2" s="1"/>
  <c r="S216" i="2"/>
  <c r="V216" i="2" s="1"/>
  <c r="S217" i="2"/>
  <c r="V217" i="2" s="1"/>
  <c r="S218" i="2"/>
  <c r="V218" i="2" s="1"/>
  <c r="S219" i="2"/>
  <c r="V219" i="2" s="1"/>
  <c r="S220" i="2"/>
  <c r="V220" i="2" s="1"/>
  <c r="S221" i="2"/>
  <c r="V221" i="2" s="1"/>
  <c r="S222" i="2"/>
  <c r="V222" i="2" s="1"/>
  <c r="S223" i="2"/>
  <c r="V223" i="2" s="1"/>
  <c r="S224" i="2"/>
  <c r="V224" i="2" s="1"/>
  <c r="S225" i="2"/>
  <c r="V225" i="2" s="1"/>
  <c r="S226" i="2"/>
  <c r="V226" i="2" s="1"/>
  <c r="S227" i="2"/>
  <c r="V227" i="2" s="1"/>
  <c r="S228" i="2"/>
  <c r="V228" i="2" s="1"/>
  <c r="S229" i="2"/>
  <c r="V229" i="2" s="1"/>
  <c r="S230" i="2"/>
  <c r="V230" i="2" s="1"/>
  <c r="S231" i="2"/>
  <c r="V231" i="2" s="1"/>
  <c r="S232" i="2"/>
  <c r="V232" i="2" s="1"/>
  <c r="S233" i="2"/>
  <c r="V233" i="2" s="1"/>
  <c r="S234" i="2"/>
  <c r="V234" i="2" s="1"/>
  <c r="S235" i="2"/>
  <c r="V235" i="2" s="1"/>
  <c r="S236" i="2"/>
  <c r="V236" i="2" s="1"/>
  <c r="S237" i="2"/>
  <c r="V237" i="2" s="1"/>
  <c r="S238" i="2"/>
  <c r="V238" i="2" s="1"/>
  <c r="S239" i="2"/>
  <c r="V239" i="2" s="1"/>
  <c r="S240" i="2"/>
  <c r="V240" i="2" s="1"/>
  <c r="S241" i="2"/>
  <c r="V241" i="2" s="1"/>
  <c r="S242" i="2"/>
  <c r="V242" i="2" s="1"/>
  <c r="S243" i="2"/>
  <c r="V243" i="2" s="1"/>
  <c r="S244" i="2"/>
  <c r="V244" i="2" s="1"/>
  <c r="S245" i="2"/>
  <c r="V245" i="2" s="1"/>
  <c r="S246" i="2"/>
  <c r="V246" i="2" s="1"/>
  <c r="S247" i="2"/>
  <c r="V247" i="2" s="1"/>
  <c r="S248" i="2"/>
  <c r="V248" i="2" s="1"/>
  <c r="S249" i="2"/>
  <c r="V249" i="2" s="1"/>
  <c r="S250" i="2"/>
  <c r="V250" i="2" s="1"/>
  <c r="S251" i="2"/>
  <c r="V251" i="2" s="1"/>
  <c r="S252" i="2"/>
  <c r="V252" i="2" s="1"/>
  <c r="S253" i="2"/>
  <c r="V253" i="2" s="1"/>
  <c r="S254" i="2"/>
  <c r="V254" i="2" s="1"/>
  <c r="S255" i="2"/>
  <c r="V255" i="2" s="1"/>
  <c r="S256" i="2"/>
  <c r="V256" i="2" s="1"/>
  <c r="S257" i="2"/>
  <c r="V257" i="2" s="1"/>
  <c r="S258" i="2"/>
  <c r="V258" i="2" s="1"/>
  <c r="S259" i="2"/>
  <c r="V259" i="2" s="1"/>
  <c r="S260" i="2"/>
  <c r="V260" i="2" s="1"/>
  <c r="S261" i="2"/>
  <c r="V261" i="2" s="1"/>
  <c r="S262" i="2"/>
  <c r="V262" i="2" s="1"/>
  <c r="S263" i="2"/>
  <c r="V263" i="2" s="1"/>
  <c r="S264" i="2"/>
  <c r="V264" i="2" s="1"/>
  <c r="S265" i="2"/>
  <c r="V265" i="2" s="1"/>
  <c r="S266" i="2"/>
  <c r="V266" i="2" s="1"/>
  <c r="S267" i="2"/>
  <c r="V267" i="2" s="1"/>
  <c r="S268" i="2"/>
  <c r="V268" i="2" s="1"/>
  <c r="S269" i="2"/>
  <c r="V269" i="2" s="1"/>
  <c r="S270" i="2"/>
  <c r="V270" i="2" s="1"/>
  <c r="S271" i="2"/>
  <c r="V271" i="2" s="1"/>
  <c r="S272" i="2"/>
  <c r="V272" i="2" s="1"/>
  <c r="S273" i="2"/>
  <c r="V273" i="2" s="1"/>
  <c r="S274" i="2"/>
  <c r="V274" i="2" s="1"/>
  <c r="S275" i="2"/>
  <c r="V275" i="2" s="1"/>
  <c r="S276" i="2"/>
  <c r="V276" i="2" s="1"/>
  <c r="S277" i="2"/>
  <c r="V277" i="2" s="1"/>
  <c r="S278" i="2"/>
  <c r="V278" i="2" s="1"/>
  <c r="S279" i="2"/>
  <c r="V279" i="2" s="1"/>
  <c r="S280" i="2"/>
  <c r="V280" i="2" s="1"/>
  <c r="S281" i="2"/>
  <c r="V281" i="2" s="1"/>
  <c r="S282" i="2"/>
  <c r="V282" i="2" s="1"/>
  <c r="S283" i="2"/>
  <c r="V283" i="2" s="1"/>
  <c r="S284" i="2"/>
  <c r="V284" i="2" s="1"/>
  <c r="S285" i="2"/>
  <c r="V285" i="2" s="1"/>
  <c r="S286" i="2"/>
  <c r="V286" i="2" s="1"/>
  <c r="S287" i="2"/>
  <c r="V287" i="2" s="1"/>
  <c r="S288" i="2"/>
  <c r="V288" i="2" s="1"/>
  <c r="S289" i="2"/>
  <c r="V289" i="2" s="1"/>
  <c r="S290" i="2"/>
  <c r="V290" i="2" s="1"/>
  <c r="S291" i="2"/>
  <c r="V291" i="2" s="1"/>
  <c r="S292" i="2"/>
  <c r="V292" i="2" s="1"/>
  <c r="S293" i="2"/>
  <c r="V293" i="2" s="1"/>
  <c r="S294" i="2"/>
  <c r="V294" i="2" s="1"/>
  <c r="S295" i="2"/>
  <c r="V295" i="2" s="1"/>
  <c r="S296" i="2"/>
  <c r="V296" i="2" s="1"/>
  <c r="S297" i="2"/>
  <c r="V297" i="2" s="1"/>
  <c r="S298" i="2"/>
  <c r="V298" i="2" s="1"/>
  <c r="S299" i="2"/>
  <c r="V299" i="2" s="1"/>
  <c r="S300" i="2"/>
  <c r="V300" i="2" s="1"/>
  <c r="S301" i="2"/>
  <c r="V301" i="2" s="1"/>
  <c r="S302" i="2"/>
  <c r="V302" i="2" s="1"/>
  <c r="S303" i="2"/>
  <c r="V303" i="2" s="1"/>
  <c r="S304" i="2"/>
  <c r="V304" i="2" s="1"/>
  <c r="S305" i="2"/>
  <c r="V305" i="2" s="1"/>
  <c r="S306" i="2"/>
  <c r="V306" i="2" s="1"/>
  <c r="S307" i="2"/>
  <c r="V307" i="2" s="1"/>
  <c r="S308" i="2"/>
  <c r="V308" i="2" s="1"/>
  <c r="S309" i="2"/>
  <c r="V309" i="2" s="1"/>
  <c r="S310" i="2"/>
  <c r="V310" i="2" s="1"/>
  <c r="S311" i="2"/>
  <c r="V311" i="2" s="1"/>
  <c r="S312" i="2"/>
  <c r="V312" i="2" s="1"/>
  <c r="S313" i="2"/>
  <c r="V313" i="2" s="1"/>
  <c r="S314" i="2"/>
  <c r="V314" i="2" s="1"/>
  <c r="S315" i="2"/>
  <c r="V315" i="2" s="1"/>
  <c r="S316" i="2"/>
  <c r="V316" i="2" s="1"/>
  <c r="S317" i="2"/>
  <c r="V317" i="2" s="1"/>
  <c r="S318" i="2"/>
  <c r="V318" i="2" s="1"/>
  <c r="S319" i="2"/>
  <c r="V319" i="2" s="1"/>
  <c r="S320" i="2"/>
  <c r="V320" i="2" s="1"/>
  <c r="S321" i="2"/>
  <c r="V321" i="2" s="1"/>
  <c r="S322" i="2"/>
  <c r="V322" i="2" s="1"/>
  <c r="S323" i="2"/>
  <c r="V323" i="2" s="1"/>
  <c r="S324" i="2"/>
  <c r="V324" i="2" s="1"/>
  <c r="S325" i="2"/>
  <c r="V325" i="2" s="1"/>
  <c r="S326" i="2"/>
  <c r="V326" i="2" s="1"/>
  <c r="S327" i="2"/>
  <c r="V327" i="2" s="1"/>
  <c r="S328" i="2"/>
  <c r="V328" i="2" s="1"/>
  <c r="S329" i="2"/>
  <c r="V329" i="2" s="1"/>
  <c r="S330" i="2"/>
  <c r="V330" i="2" s="1"/>
  <c r="S331" i="2"/>
  <c r="V331" i="2" s="1"/>
  <c r="S332" i="2"/>
  <c r="V332" i="2" s="1"/>
  <c r="S333" i="2"/>
  <c r="V333" i="2" s="1"/>
  <c r="S334" i="2"/>
  <c r="V334" i="2" s="1"/>
  <c r="S335" i="2"/>
  <c r="V335" i="2" s="1"/>
  <c r="S336" i="2"/>
  <c r="V336" i="2" s="1"/>
  <c r="S337" i="2"/>
  <c r="V337" i="2" s="1"/>
  <c r="S338" i="2"/>
  <c r="V338" i="2" s="1"/>
  <c r="S339" i="2"/>
  <c r="V339" i="2" s="1"/>
  <c r="S340" i="2"/>
  <c r="V340" i="2" s="1"/>
  <c r="S341" i="2"/>
  <c r="V341" i="2" s="1"/>
  <c r="S342" i="2"/>
  <c r="V342" i="2" s="1"/>
  <c r="S343" i="2"/>
  <c r="V343" i="2" s="1"/>
  <c r="S344" i="2"/>
  <c r="V344" i="2" s="1"/>
  <c r="S345" i="2"/>
  <c r="V345" i="2" s="1"/>
  <c r="S346" i="2"/>
  <c r="V346" i="2" s="1"/>
  <c r="S347" i="2"/>
  <c r="V347" i="2" s="1"/>
  <c r="S348" i="2"/>
  <c r="V348" i="2" s="1"/>
  <c r="S349" i="2"/>
  <c r="V349" i="2" s="1"/>
  <c r="S350" i="2"/>
  <c r="V350" i="2" s="1"/>
  <c r="S351" i="2"/>
  <c r="V351" i="2" s="1"/>
  <c r="S352" i="2"/>
  <c r="V352" i="2" s="1"/>
  <c r="S353" i="2"/>
  <c r="V353" i="2" s="1"/>
  <c r="S354" i="2"/>
  <c r="V354" i="2" s="1"/>
  <c r="S355" i="2"/>
  <c r="V355" i="2" s="1"/>
  <c r="S356" i="2"/>
  <c r="V356" i="2" s="1"/>
  <c r="S357" i="2"/>
  <c r="V357" i="2" s="1"/>
  <c r="S358" i="2"/>
  <c r="V358" i="2" s="1"/>
  <c r="S359" i="2"/>
  <c r="V359" i="2" s="1"/>
  <c r="S360" i="2"/>
  <c r="V360" i="2" s="1"/>
  <c r="S361" i="2"/>
  <c r="V361" i="2" s="1"/>
  <c r="S362" i="2"/>
  <c r="V362" i="2" s="1"/>
  <c r="S363" i="2"/>
  <c r="V363" i="2" s="1"/>
  <c r="S364" i="2"/>
  <c r="V364" i="2" s="1"/>
  <c r="S365" i="2"/>
  <c r="V365" i="2" s="1"/>
  <c r="S366" i="2"/>
  <c r="V366" i="2" s="1"/>
  <c r="S367" i="2"/>
  <c r="V367" i="2" s="1"/>
  <c r="S368" i="2"/>
  <c r="V368" i="2" s="1"/>
  <c r="S369" i="2"/>
  <c r="V369" i="2" s="1"/>
  <c r="S370" i="2"/>
  <c r="V370" i="2" s="1"/>
  <c r="S371" i="2"/>
  <c r="V371" i="2" s="1"/>
  <c r="S372" i="2"/>
  <c r="V372" i="2" s="1"/>
  <c r="S373" i="2"/>
  <c r="V373" i="2" s="1"/>
  <c r="S374" i="2"/>
  <c r="V374" i="2" s="1"/>
  <c r="S375" i="2"/>
  <c r="V375" i="2" s="1"/>
  <c r="S376" i="2"/>
  <c r="V376" i="2" s="1"/>
  <c r="S377" i="2"/>
  <c r="V377" i="2" s="1"/>
  <c r="S378" i="2"/>
  <c r="V378" i="2" s="1"/>
  <c r="S379" i="2"/>
  <c r="V379" i="2" s="1"/>
  <c r="S380" i="2"/>
  <c r="V380" i="2" s="1"/>
  <c r="S381" i="2"/>
  <c r="V381" i="2" s="1"/>
  <c r="S382" i="2"/>
  <c r="V382" i="2" s="1"/>
  <c r="S383" i="2"/>
  <c r="V383" i="2" s="1"/>
  <c r="S384" i="2"/>
  <c r="V384" i="2" s="1"/>
  <c r="S385" i="2"/>
  <c r="V385" i="2" s="1"/>
  <c r="S386" i="2"/>
  <c r="V386" i="2" s="1"/>
  <c r="S387" i="2"/>
  <c r="V387" i="2" s="1"/>
  <c r="S388" i="2"/>
  <c r="V388" i="2" s="1"/>
  <c r="S389" i="2"/>
  <c r="V389" i="2" s="1"/>
  <c r="S390" i="2"/>
  <c r="V390" i="2" s="1"/>
  <c r="S391" i="2"/>
  <c r="V391" i="2" s="1"/>
  <c r="S392" i="2"/>
  <c r="V392" i="2" s="1"/>
  <c r="S393" i="2"/>
  <c r="V393" i="2" s="1"/>
  <c r="S394" i="2"/>
  <c r="V394" i="2" s="1"/>
  <c r="S395" i="2"/>
  <c r="V395" i="2" s="1"/>
  <c r="S396" i="2"/>
  <c r="V396" i="2" s="1"/>
  <c r="S397" i="2"/>
  <c r="V397" i="2" s="1"/>
  <c r="S398" i="2"/>
  <c r="S399" i="2"/>
  <c r="S400" i="2"/>
  <c r="S401" i="2"/>
  <c r="S402" i="2"/>
  <c r="S403" i="2"/>
  <c r="S404" i="2"/>
  <c r="S405" i="2"/>
  <c r="S406" i="2"/>
  <c r="S407" i="2"/>
  <c r="V407" i="2" s="1"/>
  <c r="S408" i="2"/>
  <c r="V408" i="2" s="1"/>
  <c r="S409" i="2"/>
  <c r="V409" i="2" s="1"/>
  <c r="S410" i="2"/>
  <c r="V410" i="2" s="1"/>
  <c r="S411" i="2"/>
  <c r="V411" i="2" s="1"/>
  <c r="S412" i="2"/>
  <c r="V412" i="2" s="1"/>
  <c r="S413" i="2"/>
  <c r="V413" i="2" s="1"/>
  <c r="S414" i="2"/>
  <c r="V414" i="2" s="1"/>
  <c r="S415" i="2"/>
  <c r="V415" i="2" s="1"/>
  <c r="S416" i="2"/>
  <c r="V416" i="2" s="1"/>
  <c r="S417" i="2"/>
  <c r="V417" i="2" s="1"/>
  <c r="S418" i="2"/>
  <c r="V418" i="2" s="1"/>
  <c r="S419" i="2"/>
  <c r="V419" i="2" s="1"/>
  <c r="S420" i="2"/>
  <c r="V420" i="2" s="1"/>
  <c r="S421" i="2"/>
  <c r="V421" i="2" s="1"/>
  <c r="S422" i="2"/>
  <c r="V422" i="2" s="1"/>
  <c r="S423" i="2"/>
  <c r="V423" i="2" s="1"/>
  <c r="S424" i="2"/>
  <c r="V424" i="2" s="1"/>
  <c r="S425" i="2"/>
  <c r="V425" i="2" s="1"/>
  <c r="S426" i="2"/>
  <c r="V426" i="2" s="1"/>
  <c r="S427" i="2"/>
  <c r="V427" i="2" s="1"/>
  <c r="S428" i="2"/>
  <c r="V428" i="2" s="1"/>
  <c r="S429" i="2"/>
  <c r="V429" i="2" s="1"/>
  <c r="S430" i="2"/>
  <c r="V430" i="2" s="1"/>
  <c r="S431" i="2"/>
  <c r="V431" i="2" s="1"/>
  <c r="S432" i="2"/>
  <c r="V432" i="2" s="1"/>
  <c r="S433" i="2"/>
  <c r="V433" i="2" s="1"/>
  <c r="S434" i="2"/>
  <c r="V434" i="2" s="1"/>
  <c r="S435" i="2"/>
  <c r="V435" i="2" s="1"/>
  <c r="S436" i="2"/>
  <c r="V436" i="2" s="1"/>
  <c r="S437" i="2"/>
  <c r="V437" i="2" s="1"/>
  <c r="S438" i="2"/>
  <c r="V438" i="2" s="1"/>
  <c r="S439" i="2"/>
  <c r="V439" i="2" s="1"/>
  <c r="S440" i="2"/>
  <c r="V440" i="2" s="1"/>
  <c r="S441" i="2"/>
  <c r="V441" i="2" s="1"/>
  <c r="S442" i="2"/>
  <c r="V442" i="2" s="1"/>
  <c r="S451" i="2"/>
  <c r="V451" i="2" s="1"/>
  <c r="S452" i="2"/>
  <c r="V452" i="2" s="1"/>
  <c r="S453" i="2"/>
  <c r="V453" i="2" s="1"/>
  <c r="S454" i="2"/>
  <c r="V454" i="2" s="1"/>
  <c r="S455" i="2"/>
  <c r="V455" i="2" s="1"/>
  <c r="S456" i="2"/>
  <c r="V456" i="2" s="1"/>
  <c r="S457" i="2"/>
  <c r="V457" i="2" s="1"/>
  <c r="S458" i="2"/>
  <c r="V458" i="2" s="1"/>
  <c r="S459" i="2"/>
  <c r="V459" i="2" s="1"/>
  <c r="S460" i="2"/>
  <c r="V460" i="2" s="1"/>
  <c r="S461" i="2"/>
  <c r="V461" i="2" s="1"/>
  <c r="S462" i="2"/>
  <c r="V462" i="2" s="1"/>
  <c r="S463" i="2"/>
  <c r="V463" i="2" s="1"/>
  <c r="S464" i="2"/>
  <c r="V464" i="2" s="1"/>
  <c r="S465" i="2"/>
  <c r="V465" i="2" s="1"/>
  <c r="S466" i="2"/>
  <c r="V466" i="2" s="1"/>
  <c r="S469" i="2"/>
  <c r="V469" i="2" s="1"/>
  <c r="S470" i="2"/>
  <c r="V470" i="2" s="1"/>
  <c r="S471" i="2"/>
  <c r="V471" i="2" s="1"/>
  <c r="S472" i="2"/>
  <c r="V472" i="2" s="1"/>
  <c r="S473" i="2"/>
  <c r="V473" i="2" s="1"/>
  <c r="S474" i="2"/>
  <c r="V474" i="2" s="1"/>
  <c r="S477" i="2"/>
  <c r="V477" i="2" s="1"/>
  <c r="S478" i="2"/>
  <c r="V478" i="2" s="1"/>
  <c r="S479" i="2"/>
  <c r="V479" i="2" s="1"/>
  <c r="S480" i="2"/>
  <c r="V480" i="2" s="1"/>
  <c r="S481" i="2"/>
  <c r="V481" i="2" s="1"/>
  <c r="S482" i="2"/>
  <c r="V482" i="2" s="1"/>
  <c r="S483" i="2"/>
  <c r="V483" i="2" s="1"/>
  <c r="S484" i="2"/>
  <c r="V484" i="2" s="1"/>
  <c r="S485" i="2"/>
  <c r="V485" i="2" s="1"/>
  <c r="S486" i="2"/>
  <c r="V486" i="2" s="1"/>
  <c r="S487" i="2"/>
  <c r="V487" i="2" s="1"/>
  <c r="S488" i="2"/>
  <c r="V488" i="2" s="1"/>
  <c r="S489" i="2"/>
  <c r="V489" i="2" s="1"/>
  <c r="S492" i="2"/>
  <c r="V492" i="2" s="1"/>
  <c r="S493" i="2"/>
  <c r="V493" i="2" s="1"/>
  <c r="S494" i="2"/>
  <c r="V494" i="2" s="1"/>
  <c r="S495" i="2"/>
  <c r="V495" i="2" s="1"/>
  <c r="S496" i="2"/>
  <c r="V496" i="2" s="1"/>
  <c r="S497" i="2"/>
  <c r="V497" i="2" s="1"/>
  <c r="S498" i="2"/>
  <c r="V498" i="2" s="1"/>
  <c r="S499" i="2"/>
  <c r="V499" i="2" s="1"/>
  <c r="S500" i="2"/>
  <c r="V500" i="2" s="1"/>
  <c r="S501" i="2"/>
  <c r="V501" i="2" s="1"/>
  <c r="S502" i="2"/>
  <c r="V502" i="2" s="1"/>
  <c r="S503" i="2"/>
  <c r="V503" i="2" s="1"/>
  <c r="S504" i="2"/>
  <c r="V504" i="2" s="1"/>
  <c r="S505" i="2"/>
  <c r="V505" i="2" s="1"/>
  <c r="S506" i="2"/>
  <c r="V506" i="2" s="1"/>
  <c r="S507" i="2"/>
  <c r="V507" i="2" s="1"/>
  <c r="S508" i="2"/>
  <c r="V508" i="2" s="1"/>
  <c r="S509" i="2"/>
  <c r="V509" i="2" s="1"/>
  <c r="S510" i="2"/>
  <c r="V510" i="2" s="1"/>
  <c r="S511" i="2"/>
  <c r="V511" i="2" s="1"/>
  <c r="S512" i="2"/>
  <c r="V512" i="2" s="1"/>
  <c r="S513" i="2"/>
  <c r="V513" i="2" s="1"/>
  <c r="S514" i="2"/>
  <c r="V514" i="2" s="1"/>
  <c r="S515" i="2"/>
  <c r="V515" i="2" s="1"/>
  <c r="S516" i="2"/>
  <c r="V516" i="2" s="1"/>
  <c r="S517" i="2"/>
  <c r="V517" i="2" s="1"/>
  <c r="S518" i="2"/>
  <c r="V518" i="2" s="1"/>
  <c r="S519" i="2"/>
  <c r="V519" i="2" s="1"/>
  <c r="S520" i="2"/>
  <c r="V520" i="2" s="1"/>
  <c r="S521" i="2"/>
  <c r="V521" i="2" s="1"/>
  <c r="S522" i="2"/>
  <c r="V522" i="2" s="1"/>
  <c r="S523" i="2"/>
  <c r="V523" i="2" s="1"/>
  <c r="S524" i="2"/>
  <c r="V524" i="2" s="1"/>
  <c r="S525" i="2"/>
  <c r="V525" i="2" s="1"/>
  <c r="S526" i="2"/>
  <c r="V526" i="2" s="1"/>
  <c r="S527" i="2"/>
  <c r="V527" i="2" s="1"/>
  <c r="S528" i="2"/>
  <c r="V528" i="2" s="1"/>
  <c r="S529" i="2"/>
  <c r="V529" i="2" s="1"/>
  <c r="S530" i="2"/>
  <c r="V530" i="2" s="1"/>
  <c r="S531" i="2"/>
  <c r="V531" i="2" s="1"/>
  <c r="S532" i="2"/>
  <c r="V532" i="2" s="1"/>
  <c r="S533" i="2"/>
  <c r="V533" i="2" s="1"/>
  <c r="S534" i="2"/>
  <c r="V534" i="2" s="1"/>
  <c r="S535" i="2"/>
  <c r="V535" i="2" s="1"/>
  <c r="S536" i="2"/>
  <c r="V536" i="2" s="1"/>
  <c r="S537" i="2"/>
  <c r="V537" i="2" s="1"/>
  <c r="S538" i="2"/>
  <c r="V538" i="2" s="1"/>
  <c r="S539" i="2"/>
  <c r="V539" i="2" s="1"/>
  <c r="S540" i="2"/>
  <c r="V540" i="2" s="1"/>
  <c r="S541" i="2"/>
  <c r="V541" i="2" s="1"/>
  <c r="S542" i="2"/>
  <c r="V542" i="2" s="1"/>
  <c r="S543" i="2"/>
  <c r="V543" i="2" s="1"/>
  <c r="S544" i="2"/>
  <c r="V544" i="2" s="1"/>
  <c r="S545" i="2"/>
  <c r="V545" i="2" s="1"/>
  <c r="S548" i="2"/>
  <c r="V548" i="2" s="1"/>
  <c r="S549" i="2"/>
  <c r="V549" i="2" s="1"/>
  <c r="S550" i="2"/>
  <c r="V550" i="2" s="1"/>
  <c r="S551" i="2"/>
  <c r="V551" i="2" s="1"/>
  <c r="S552" i="2"/>
  <c r="V552" i="2" s="1"/>
  <c r="S553" i="2"/>
  <c r="V553" i="2" s="1"/>
  <c r="S554" i="2"/>
  <c r="V554" i="2" s="1"/>
  <c r="S557" i="2"/>
  <c r="V557" i="2" s="1"/>
  <c r="S558" i="2"/>
  <c r="V558" i="2" s="1"/>
  <c r="S559" i="2"/>
  <c r="V559" i="2" s="1"/>
  <c r="S560" i="2"/>
  <c r="V560" i="2" s="1"/>
  <c r="S561" i="2"/>
  <c r="V561" i="2" s="1"/>
  <c r="S562" i="2"/>
  <c r="V562" i="2" s="1"/>
  <c r="S565" i="2"/>
  <c r="V565" i="2" s="1"/>
  <c r="S566" i="2"/>
  <c r="V566" i="2" s="1"/>
  <c r="S567" i="2"/>
  <c r="V567" i="2" s="1"/>
  <c r="S568" i="2"/>
  <c r="V568" i="2" s="1"/>
  <c r="S569" i="2"/>
  <c r="V569" i="2" s="1"/>
  <c r="S572" i="2"/>
  <c r="V572" i="2" s="1"/>
  <c r="S573" i="2"/>
  <c r="V573" i="2" s="1"/>
  <c r="S574" i="2"/>
  <c r="V574" i="2" s="1"/>
  <c r="S577" i="2"/>
  <c r="V577" i="2" s="1"/>
  <c r="S578" i="2"/>
  <c r="V578" i="2" s="1"/>
  <c r="S579" i="2"/>
  <c r="V579" i="2" s="1"/>
  <c r="S582" i="2"/>
  <c r="V582" i="2" s="1"/>
  <c r="S583" i="2"/>
  <c r="V583" i="2" s="1"/>
  <c r="S584" i="2"/>
  <c r="V584" i="2" s="1"/>
  <c r="S585" i="2"/>
  <c r="V585" i="2" s="1"/>
  <c r="S586" i="2"/>
  <c r="V586" i="2" s="1"/>
  <c r="S587" i="2"/>
  <c r="V587" i="2" s="1"/>
  <c r="S588" i="2"/>
  <c r="V588" i="2" s="1"/>
  <c r="S589" i="2"/>
  <c r="V589" i="2" s="1"/>
  <c r="S592" i="2"/>
  <c r="V592" i="2" s="1"/>
  <c r="S593" i="2"/>
  <c r="V593" i="2" s="1"/>
  <c r="S594" i="2"/>
  <c r="V594" i="2" s="1"/>
  <c r="S595" i="2"/>
  <c r="V595" i="2" s="1"/>
  <c r="S598" i="2"/>
  <c r="V598" i="2" s="1"/>
  <c r="S599" i="2"/>
  <c r="V599" i="2" s="1"/>
  <c r="S600" i="2"/>
  <c r="V600" i="2" s="1"/>
  <c r="S601" i="2"/>
  <c r="V601" i="2" s="1"/>
  <c r="S602" i="2"/>
  <c r="V602" i="2" s="1"/>
  <c r="S605" i="2"/>
  <c r="V605" i="2" s="1"/>
  <c r="S606" i="2"/>
  <c r="V606" i="2" s="1"/>
  <c r="S607" i="2"/>
  <c r="V607" i="2" s="1"/>
  <c r="S608" i="2"/>
  <c r="V608" i="2" s="1"/>
  <c r="S612" i="2"/>
  <c r="V612" i="2" s="1"/>
  <c r="S613" i="2"/>
  <c r="V613" i="2" s="1"/>
  <c r="S614" i="2"/>
  <c r="V614" i="2" s="1"/>
  <c r="S617" i="2"/>
  <c r="V617" i="2" s="1"/>
  <c r="S618" i="2"/>
  <c r="V618" i="2" s="1"/>
  <c r="S619" i="2"/>
  <c r="V619" i="2" s="1"/>
  <c r="S620" i="2"/>
  <c r="V620" i="2" s="1"/>
  <c r="S623" i="2"/>
  <c r="V623" i="2" s="1"/>
  <c r="S624" i="2"/>
  <c r="V624" i="2" s="1"/>
  <c r="S625" i="2"/>
  <c r="V625" i="2" s="1"/>
  <c r="S626" i="2"/>
  <c r="V626" i="2" s="1"/>
  <c r="S627" i="2"/>
  <c r="V627" i="2" s="1"/>
  <c r="S628" i="2"/>
  <c r="V628" i="2" s="1"/>
  <c r="S629" i="2"/>
  <c r="V629" i="2" s="1"/>
  <c r="S632" i="2"/>
  <c r="V632" i="2" s="1"/>
  <c r="S633" i="2"/>
  <c r="V633" i="2" s="1"/>
  <c r="S634" i="2"/>
  <c r="V634" i="2" s="1"/>
  <c r="S635" i="2"/>
  <c r="V635" i="2" s="1"/>
  <c r="S637" i="2"/>
  <c r="V637" i="2" s="1"/>
  <c r="S638" i="2"/>
  <c r="V638" i="2" s="1"/>
  <c r="S641" i="2"/>
  <c r="V641" i="2" s="1"/>
  <c r="S642" i="2"/>
  <c r="V642" i="2" s="1"/>
  <c r="S643" i="2"/>
  <c r="V643" i="2" s="1"/>
  <c r="S644" i="2"/>
  <c r="V644" i="2" s="1"/>
  <c r="S645" i="2"/>
  <c r="V645" i="2" s="1"/>
  <c r="S648" i="2"/>
  <c r="V648" i="2" s="1"/>
  <c r="S649" i="2"/>
  <c r="V649" i="2" s="1"/>
  <c r="S650" i="2"/>
  <c r="V650" i="2" s="1"/>
  <c r="S651" i="2"/>
  <c r="V651" i="2" s="1"/>
  <c r="S652" i="2"/>
  <c r="V652" i="2" s="1"/>
  <c r="S653" i="2"/>
  <c r="V653" i="2" s="1"/>
  <c r="S656" i="2"/>
  <c r="V656" i="2" s="1"/>
  <c r="S657" i="2"/>
  <c r="V657" i="2" s="1"/>
  <c r="S658" i="2"/>
  <c r="V658" i="2" s="1"/>
  <c r="S659" i="2"/>
  <c r="V659" i="2" s="1"/>
  <c r="S660" i="2"/>
  <c r="V660" i="2" s="1"/>
  <c r="S663" i="2"/>
  <c r="V663" i="2" s="1"/>
  <c r="S664" i="2"/>
  <c r="V664" i="2" s="1"/>
  <c r="S665" i="2"/>
  <c r="V665" i="2" s="1"/>
  <c r="S666" i="2"/>
  <c r="V666" i="2" s="1"/>
  <c r="S667" i="2"/>
  <c r="V667" i="2" s="1"/>
  <c r="S668" i="2"/>
  <c r="V668" i="2" s="1"/>
  <c r="S669" i="2"/>
  <c r="V669" i="2" s="1"/>
  <c r="S670" i="2"/>
  <c r="V670" i="2" s="1"/>
  <c r="S671" i="2"/>
  <c r="V671" i="2" s="1"/>
  <c r="S673" i="2"/>
  <c r="V673" i="2" s="1"/>
  <c r="S674" i="2"/>
  <c r="V674" i="2" s="1"/>
  <c r="S675" i="2"/>
  <c r="V675" i="2" s="1"/>
  <c r="S676" i="2"/>
  <c r="V676" i="2" s="1"/>
  <c r="S677" i="2"/>
  <c r="V677" i="2" s="1"/>
  <c r="S678" i="2"/>
  <c r="V678" i="2" s="1"/>
  <c r="S681" i="2"/>
  <c r="V681" i="2" s="1"/>
  <c r="S682" i="2"/>
  <c r="V682" i="2" s="1"/>
  <c r="S683" i="2"/>
  <c r="V683" i="2" s="1"/>
  <c r="S684" i="2"/>
  <c r="V684" i="2" s="1"/>
  <c r="S685" i="2"/>
  <c r="S686" i="2"/>
  <c r="S687" i="2"/>
  <c r="S688" i="2"/>
  <c r="S689" i="2"/>
  <c r="S690" i="2"/>
  <c r="S691" i="2"/>
  <c r="S692" i="2"/>
  <c r="S696" i="2"/>
  <c r="V696" i="2" s="1"/>
  <c r="S697" i="2"/>
  <c r="V697" i="2" s="1"/>
  <c r="S698" i="2"/>
  <c r="V698" i="2" s="1"/>
  <c r="S699" i="2"/>
  <c r="V699" i="2" s="1"/>
  <c r="S700" i="2"/>
  <c r="V700" i="2" s="1"/>
  <c r="S701" i="2"/>
  <c r="V701" i="2" s="1"/>
  <c r="S702" i="2"/>
  <c r="V702" i="2" s="1"/>
  <c r="S703" i="2"/>
  <c r="V703" i="2" s="1"/>
  <c r="S704" i="2"/>
  <c r="V704" i="2" s="1"/>
  <c r="S705" i="2"/>
  <c r="V705" i="2" s="1"/>
  <c r="S706" i="2"/>
  <c r="V706" i="2" s="1"/>
  <c r="S707" i="2"/>
  <c r="V707" i="2" s="1"/>
  <c r="S708" i="2"/>
  <c r="V708" i="2" s="1"/>
  <c r="S709" i="2"/>
  <c r="V709" i="2" s="1"/>
  <c r="S712" i="2"/>
  <c r="V712" i="2" s="1"/>
  <c r="S713" i="2"/>
  <c r="V713" i="2" s="1"/>
  <c r="S714" i="2"/>
  <c r="V714" i="2" s="1"/>
  <c r="S715" i="2"/>
  <c r="V715" i="2" s="1"/>
  <c r="S716" i="2"/>
  <c r="V716" i="2" s="1"/>
  <c r="S717" i="2"/>
  <c r="V717" i="2" s="1"/>
  <c r="S718" i="2"/>
  <c r="V718" i="2" s="1"/>
  <c r="S721" i="2"/>
  <c r="V721" i="2" s="1"/>
  <c r="S722" i="2"/>
  <c r="V722" i="2" s="1"/>
  <c r="S723" i="2"/>
  <c r="V723" i="2" s="1"/>
  <c r="S726" i="2"/>
  <c r="V726" i="2" s="1"/>
  <c r="S727" i="2"/>
  <c r="V727" i="2" s="1"/>
  <c r="S728" i="2"/>
  <c r="V728" i="2" s="1"/>
  <c r="S731" i="2"/>
  <c r="V731" i="2" s="1"/>
  <c r="S732" i="2"/>
  <c r="V732" i="2" s="1"/>
  <c r="S733" i="2"/>
  <c r="V733" i="2" s="1"/>
  <c r="S734" i="2"/>
  <c r="V734" i="2" s="1"/>
  <c r="S735" i="2"/>
  <c r="V735" i="2" s="1"/>
  <c r="S738" i="2"/>
  <c r="V738" i="2" s="1"/>
  <c r="S739" i="2"/>
  <c r="V739" i="2" s="1"/>
  <c r="S740" i="2"/>
  <c r="V740" i="2" s="1"/>
  <c r="S741" i="2"/>
  <c r="V741" i="2" s="1"/>
  <c r="S742" i="2"/>
  <c r="V742" i="2" s="1"/>
  <c r="S743" i="2"/>
  <c r="V743" i="2" s="1"/>
  <c r="S744" i="2"/>
  <c r="V744" i="2" s="1"/>
  <c r="S747" i="2"/>
  <c r="V747" i="2" s="1"/>
  <c r="S748" i="2"/>
  <c r="V748" i="2" s="1"/>
  <c r="S749" i="2"/>
  <c r="V749" i="2" s="1"/>
  <c r="S750" i="2"/>
  <c r="V750" i="2" s="1"/>
  <c r="S751" i="2"/>
  <c r="V751" i="2" s="1"/>
  <c r="S752" i="2"/>
  <c r="V752" i="2" s="1"/>
  <c r="S755" i="2"/>
  <c r="V755" i="2" s="1"/>
  <c r="S756" i="2"/>
  <c r="V756" i="2" s="1"/>
  <c r="S757" i="2"/>
  <c r="V757" i="2" s="1"/>
  <c r="S758" i="2"/>
  <c r="V758" i="2" s="1"/>
  <c r="S759" i="2"/>
  <c r="V759" i="2" s="1"/>
  <c r="S760" i="2"/>
  <c r="V760" i="2" s="1"/>
  <c r="S761" i="2"/>
  <c r="V761" i="2" s="1"/>
  <c r="S762" i="2"/>
  <c r="V762" i="2" s="1"/>
  <c r="S765" i="2"/>
  <c r="V765" i="2" s="1"/>
  <c r="S766" i="2"/>
  <c r="V766" i="2" s="1"/>
  <c r="S767" i="2"/>
  <c r="V767" i="2" s="1"/>
  <c r="S768" i="2"/>
  <c r="V768" i="2" s="1"/>
  <c r="S769" i="2"/>
  <c r="V769" i="2" s="1"/>
  <c r="S770" i="2"/>
  <c r="V770" i="2" s="1"/>
  <c r="S771" i="2"/>
  <c r="V771" i="2" s="1"/>
  <c r="S772" i="2"/>
  <c r="V772" i="2" s="1"/>
  <c r="S773" i="2"/>
  <c r="V773" i="2" s="1"/>
  <c r="S774" i="2"/>
  <c r="V774" i="2" s="1"/>
  <c r="S775" i="2"/>
  <c r="V775" i="2" s="1"/>
  <c r="S776" i="2"/>
  <c r="V776" i="2" s="1"/>
  <c r="S777" i="2"/>
  <c r="V777" i="2" s="1"/>
  <c r="S778" i="2"/>
  <c r="V778" i="2" s="1"/>
  <c r="S779" i="2"/>
  <c r="V779" i="2" s="1"/>
  <c r="S780" i="2"/>
  <c r="V780" i="2" s="1"/>
  <c r="S781" i="2"/>
  <c r="V781" i="2" s="1"/>
  <c r="S782" i="2"/>
  <c r="V782" i="2" s="1"/>
  <c r="S783" i="2"/>
  <c r="V783" i="2" s="1"/>
  <c r="S784" i="2"/>
  <c r="V784" i="2" s="1"/>
  <c r="S785" i="2"/>
  <c r="V785" i="2" s="1"/>
  <c r="S786" i="2"/>
  <c r="V786" i="2" s="1"/>
  <c r="S787" i="2"/>
  <c r="V787" i="2" s="1"/>
  <c r="S788" i="2"/>
  <c r="V788" i="2" s="1"/>
  <c r="S789" i="2"/>
  <c r="V789" i="2" s="1"/>
  <c r="S790" i="2"/>
  <c r="V790" i="2" s="1"/>
  <c r="S791" i="2"/>
  <c r="V791" i="2" s="1"/>
  <c r="S792" i="2"/>
  <c r="V792" i="2" s="1"/>
  <c r="S793" i="2"/>
  <c r="V793" i="2" s="1"/>
  <c r="S794" i="2"/>
  <c r="V794" i="2" s="1"/>
  <c r="S795" i="2"/>
  <c r="V795" i="2" s="1"/>
  <c r="S796" i="2"/>
  <c r="V796" i="2" s="1"/>
  <c r="S797" i="2"/>
  <c r="V797" i="2" s="1"/>
  <c r="S798" i="2"/>
  <c r="V798" i="2" s="1"/>
  <c r="S799" i="2"/>
  <c r="V799" i="2" s="1"/>
  <c r="S800" i="2"/>
  <c r="V800" i="2" s="1"/>
  <c r="S801" i="2"/>
  <c r="V801" i="2" s="1"/>
  <c r="S802" i="2"/>
  <c r="V802" i="2" s="1"/>
  <c r="S803" i="2"/>
  <c r="V803" i="2" s="1"/>
  <c r="S804" i="2"/>
  <c r="V804" i="2" s="1"/>
  <c r="S805" i="2"/>
  <c r="V805" i="2" s="1"/>
  <c r="S806" i="2"/>
  <c r="V806" i="2" s="1"/>
  <c r="S807" i="2"/>
  <c r="V807" i="2" s="1"/>
  <c r="S808" i="2"/>
  <c r="V808" i="2" s="1"/>
  <c r="S809" i="2"/>
  <c r="V809" i="2" s="1"/>
  <c r="S810" i="2"/>
  <c r="V810" i="2" s="1"/>
  <c r="S811" i="2"/>
  <c r="V811" i="2" s="1"/>
  <c r="S812" i="2"/>
  <c r="V812" i="2" s="1"/>
  <c r="S813" i="2"/>
  <c r="V813" i="2" s="1"/>
  <c r="S814" i="2"/>
  <c r="V814" i="2" s="1"/>
  <c r="S815" i="2"/>
  <c r="V815" i="2" s="1"/>
  <c r="S816" i="2"/>
  <c r="V816" i="2" s="1"/>
  <c r="S817" i="2"/>
  <c r="V817" i="2" s="1"/>
  <c r="S818" i="2"/>
  <c r="V818" i="2" s="1"/>
  <c r="S819" i="2"/>
  <c r="V819" i="2" s="1"/>
  <c r="S820" i="2"/>
  <c r="V820" i="2" s="1"/>
  <c r="S821" i="2"/>
  <c r="V821" i="2" s="1"/>
  <c r="S822" i="2"/>
  <c r="V822" i="2" s="1"/>
  <c r="S823" i="2"/>
  <c r="V823" i="2" s="1"/>
  <c r="S824" i="2"/>
  <c r="V824" i="2" s="1"/>
  <c r="S825" i="2"/>
  <c r="V825" i="2" s="1"/>
  <c r="S826" i="2"/>
  <c r="V826" i="2" s="1"/>
  <c r="S827" i="2"/>
  <c r="V827" i="2" s="1"/>
  <c r="S828" i="2"/>
  <c r="V828" i="2" s="1"/>
  <c r="S829" i="2"/>
  <c r="V829" i="2" s="1"/>
  <c r="S830" i="2"/>
  <c r="V830" i="2" s="1"/>
  <c r="S831" i="2"/>
  <c r="V831" i="2" s="1"/>
  <c r="S832" i="2"/>
  <c r="V832" i="2" s="1"/>
  <c r="S833" i="2"/>
  <c r="V833" i="2" s="1"/>
  <c r="S834" i="2"/>
  <c r="V834" i="2" s="1"/>
  <c r="S835" i="2"/>
  <c r="V835" i="2" s="1"/>
  <c r="S836" i="2"/>
  <c r="V836" i="2" s="1"/>
  <c r="S837" i="2"/>
  <c r="V837" i="2" s="1"/>
  <c r="S838" i="2"/>
  <c r="V838" i="2" s="1"/>
  <c r="S839" i="2"/>
  <c r="V839" i="2" s="1"/>
  <c r="S840" i="2"/>
  <c r="V840" i="2" s="1"/>
  <c r="S841" i="2"/>
  <c r="V841" i="2" s="1"/>
  <c r="S842" i="2"/>
  <c r="V842" i="2" s="1"/>
  <c r="S843" i="2"/>
  <c r="V843" i="2" s="1"/>
  <c r="S844" i="2"/>
  <c r="V844" i="2" s="1"/>
  <c r="S845" i="2"/>
  <c r="V845" i="2" s="1"/>
  <c r="S846" i="2"/>
  <c r="V846" i="2" s="1"/>
  <c r="S847" i="2"/>
  <c r="V847" i="2" s="1"/>
  <c r="S848" i="2"/>
  <c r="V848" i="2" s="1"/>
  <c r="S849" i="2"/>
  <c r="V849" i="2" s="1"/>
  <c r="S850" i="2"/>
  <c r="V850" i="2" s="1"/>
  <c r="S851" i="2"/>
  <c r="V851" i="2" s="1"/>
  <c r="S852" i="2"/>
  <c r="V852" i="2" s="1"/>
  <c r="S853" i="2"/>
  <c r="V853" i="2" s="1"/>
  <c r="S854" i="2"/>
  <c r="V854" i="2" s="1"/>
  <c r="S855" i="2"/>
  <c r="V855" i="2" s="1"/>
  <c r="S856" i="2"/>
  <c r="V856" i="2" s="1"/>
  <c r="S857" i="2"/>
  <c r="V857" i="2" s="1"/>
  <c r="S858" i="2"/>
  <c r="V858" i="2" s="1"/>
  <c r="S859" i="2"/>
  <c r="V859" i="2" s="1"/>
  <c r="S860" i="2"/>
  <c r="V860" i="2" s="1"/>
  <c r="S861" i="2"/>
  <c r="V861" i="2" s="1"/>
  <c r="S862" i="2"/>
  <c r="V862" i="2" s="1"/>
  <c r="S863" i="2"/>
  <c r="V863" i="2" s="1"/>
  <c r="S864" i="2"/>
  <c r="V864" i="2" s="1"/>
  <c r="S865" i="2"/>
  <c r="V865" i="2" s="1"/>
  <c r="S866" i="2"/>
  <c r="V866" i="2" s="1"/>
  <c r="S867" i="2"/>
  <c r="V867" i="2" s="1"/>
  <c r="S868" i="2"/>
  <c r="V868" i="2" s="1"/>
  <c r="S869" i="2"/>
  <c r="V869" i="2" s="1"/>
  <c r="S870" i="2"/>
  <c r="V870" i="2" s="1"/>
  <c r="S871" i="2"/>
  <c r="V871" i="2" s="1"/>
  <c r="S872" i="2"/>
  <c r="V872" i="2" s="1"/>
  <c r="S873" i="2"/>
  <c r="V873" i="2" s="1"/>
  <c r="S874" i="2"/>
  <c r="V874" i="2" s="1"/>
  <c r="S875" i="2"/>
  <c r="V875" i="2" s="1"/>
  <c r="S876" i="2"/>
  <c r="V876" i="2" s="1"/>
  <c r="S877" i="2"/>
  <c r="V877" i="2" s="1"/>
  <c r="S878" i="2"/>
  <c r="V878" i="2" s="1"/>
  <c r="S879" i="2"/>
  <c r="V879" i="2" s="1"/>
  <c r="S880" i="2"/>
  <c r="V880" i="2" s="1"/>
  <c r="S881" i="2"/>
  <c r="V881" i="2" s="1"/>
  <c r="S882" i="2"/>
  <c r="V882" i="2" s="1"/>
  <c r="S883" i="2"/>
  <c r="V883" i="2" s="1"/>
  <c r="S884" i="2"/>
  <c r="V884" i="2" s="1"/>
  <c r="S885" i="2"/>
  <c r="V885" i="2" s="1"/>
  <c r="S886" i="2"/>
  <c r="V886" i="2" s="1"/>
  <c r="S887" i="2"/>
  <c r="V887" i="2" s="1"/>
  <c r="S888" i="2"/>
  <c r="V888" i="2" s="1"/>
  <c r="S889" i="2"/>
  <c r="V889" i="2" s="1"/>
  <c r="S890" i="2"/>
  <c r="V890" i="2" s="1"/>
  <c r="S891" i="2"/>
  <c r="V891" i="2" s="1"/>
  <c r="S892" i="2"/>
  <c r="V892" i="2" s="1"/>
  <c r="S893" i="2"/>
  <c r="V893" i="2" s="1"/>
  <c r="S894" i="2"/>
  <c r="V894" i="2" s="1"/>
  <c r="S895" i="2"/>
  <c r="V895" i="2" s="1"/>
  <c r="S896" i="2"/>
  <c r="V896" i="2" s="1"/>
  <c r="S897" i="2"/>
  <c r="V897" i="2" s="1"/>
  <c r="S898" i="2"/>
  <c r="V898" i="2" s="1"/>
  <c r="S899" i="2"/>
  <c r="V899" i="2" s="1"/>
  <c r="S900" i="2"/>
  <c r="V900" i="2" s="1"/>
  <c r="S901" i="2"/>
  <c r="V901" i="2" s="1"/>
  <c r="S902" i="2"/>
  <c r="V902" i="2" s="1"/>
  <c r="S903" i="2"/>
  <c r="V903" i="2" s="1"/>
  <c r="S904" i="2"/>
  <c r="V904" i="2" s="1"/>
  <c r="S905" i="2"/>
  <c r="V905" i="2" s="1"/>
  <c r="S906" i="2"/>
  <c r="V906" i="2" s="1"/>
  <c r="S907" i="2"/>
  <c r="V907" i="2" s="1"/>
  <c r="S908" i="2"/>
  <c r="V908" i="2" s="1"/>
  <c r="S909" i="2"/>
  <c r="V909" i="2" s="1"/>
  <c r="S910" i="2"/>
  <c r="V910" i="2" s="1"/>
  <c r="S911" i="2"/>
  <c r="V911" i="2" s="1"/>
  <c r="S912" i="2"/>
  <c r="V912" i="2" s="1"/>
  <c r="S913" i="2"/>
  <c r="V913" i="2" s="1"/>
  <c r="S914" i="2"/>
  <c r="V914" i="2" s="1"/>
  <c r="S915" i="2"/>
  <c r="V915" i="2" s="1"/>
  <c r="S916" i="2"/>
  <c r="V916" i="2" s="1"/>
  <c r="S917" i="2"/>
  <c r="V917" i="2" s="1"/>
  <c r="S918" i="2"/>
  <c r="V918" i="2" s="1"/>
  <c r="S919" i="2"/>
  <c r="V919" i="2" s="1"/>
  <c r="S920" i="2"/>
  <c r="V920" i="2" s="1"/>
  <c r="S921" i="2"/>
  <c r="V921" i="2" s="1"/>
  <c r="S922" i="2"/>
  <c r="V922" i="2" s="1"/>
  <c r="S923" i="2"/>
  <c r="V923" i="2" s="1"/>
  <c r="S924" i="2"/>
  <c r="V924" i="2" s="1"/>
  <c r="S925" i="2"/>
  <c r="V925" i="2" s="1"/>
  <c r="S926" i="2"/>
  <c r="V926" i="2" s="1"/>
  <c r="S927" i="2"/>
  <c r="V927" i="2" s="1"/>
  <c r="S928" i="2"/>
  <c r="V928" i="2" s="1"/>
  <c r="S929" i="2"/>
  <c r="V929" i="2" s="1"/>
  <c r="S930" i="2"/>
  <c r="V930" i="2" s="1"/>
  <c r="S931" i="2"/>
  <c r="V931" i="2" s="1"/>
  <c r="S932" i="2"/>
  <c r="V932" i="2" s="1"/>
  <c r="S933" i="2"/>
  <c r="V933" i="2" s="1"/>
  <c r="S934" i="2"/>
  <c r="V934" i="2" s="1"/>
  <c r="S935" i="2"/>
  <c r="V935" i="2" s="1"/>
  <c r="S936" i="2"/>
  <c r="V936" i="2" s="1"/>
  <c r="S937" i="2"/>
  <c r="V937" i="2" s="1"/>
  <c r="S938" i="2"/>
  <c r="V938" i="2" s="1"/>
  <c r="S939" i="2"/>
  <c r="V939" i="2" s="1"/>
  <c r="S940" i="2"/>
  <c r="V940" i="2" s="1"/>
  <c r="S941" i="2"/>
  <c r="V941" i="2" s="1"/>
  <c r="S942" i="2"/>
  <c r="V942" i="2" s="1"/>
  <c r="S943" i="2"/>
  <c r="V943" i="2" s="1"/>
  <c r="S944" i="2"/>
  <c r="V944" i="2" s="1"/>
  <c r="S945" i="2"/>
  <c r="V945" i="2" s="1"/>
  <c r="S946" i="2"/>
  <c r="V946" i="2" s="1"/>
  <c r="S947" i="2"/>
  <c r="V947" i="2" s="1"/>
  <c r="S948" i="2"/>
  <c r="V948" i="2" s="1"/>
  <c r="S949" i="2"/>
  <c r="V949" i="2" s="1"/>
  <c r="S950" i="2"/>
  <c r="V950" i="2" s="1"/>
  <c r="S951" i="2"/>
  <c r="V951" i="2" s="1"/>
  <c r="S952" i="2"/>
  <c r="V952" i="2" s="1"/>
  <c r="S953" i="2"/>
  <c r="V953" i="2" s="1"/>
  <c r="S954" i="2"/>
  <c r="V954" i="2" s="1"/>
  <c r="S955" i="2"/>
  <c r="V955" i="2" s="1"/>
  <c r="S956" i="2"/>
  <c r="V956" i="2" s="1"/>
  <c r="S957" i="2"/>
  <c r="V957" i="2" s="1"/>
  <c r="S958" i="2"/>
  <c r="V958" i="2" s="1"/>
  <c r="S959" i="2"/>
  <c r="V959" i="2" s="1"/>
  <c r="S960" i="2"/>
  <c r="V960" i="2" s="1"/>
  <c r="S961" i="2"/>
  <c r="V961" i="2" s="1"/>
  <c r="S962" i="2"/>
  <c r="V962" i="2" s="1"/>
  <c r="S963" i="2"/>
  <c r="V963" i="2" s="1"/>
  <c r="S964" i="2"/>
  <c r="V964" i="2" s="1"/>
  <c r="S965" i="2"/>
  <c r="V965" i="2" s="1"/>
  <c r="S966" i="2"/>
  <c r="V966" i="2" s="1"/>
  <c r="S967" i="2"/>
  <c r="V967" i="2" s="1"/>
  <c r="S968" i="2"/>
  <c r="V968" i="2" s="1"/>
  <c r="S969" i="2"/>
  <c r="V969" i="2" s="1"/>
  <c r="S970" i="2"/>
  <c r="V970" i="2" s="1"/>
  <c r="S971" i="2"/>
  <c r="V971" i="2" s="1"/>
  <c r="S972" i="2"/>
  <c r="V972" i="2" s="1"/>
  <c r="S973" i="2"/>
  <c r="V973" i="2" s="1"/>
  <c r="S974" i="2"/>
  <c r="V974" i="2" s="1"/>
  <c r="S975" i="2"/>
  <c r="V975" i="2" s="1"/>
  <c r="S976" i="2"/>
  <c r="V976" i="2" s="1"/>
  <c r="S977" i="2"/>
  <c r="V977" i="2" s="1"/>
  <c r="S978" i="2"/>
  <c r="V978" i="2" s="1"/>
  <c r="S979" i="2"/>
  <c r="V979" i="2" s="1"/>
  <c r="S980" i="2"/>
  <c r="V980" i="2" s="1"/>
  <c r="S981" i="2"/>
  <c r="V981" i="2" s="1"/>
  <c r="S982" i="2"/>
  <c r="V982" i="2" s="1"/>
  <c r="S983" i="2"/>
  <c r="V983" i="2" s="1"/>
  <c r="S984" i="2"/>
  <c r="V984" i="2" s="1"/>
  <c r="S985" i="2"/>
  <c r="V985" i="2" s="1"/>
  <c r="S986" i="2"/>
  <c r="V986" i="2" s="1"/>
  <c r="S987" i="2"/>
  <c r="V987" i="2" s="1"/>
  <c r="S988" i="2"/>
  <c r="V988" i="2" s="1"/>
  <c r="S989" i="2"/>
  <c r="V989" i="2" s="1"/>
  <c r="S990" i="2"/>
  <c r="V990" i="2" s="1"/>
  <c r="S991" i="2"/>
  <c r="V991" i="2" s="1"/>
  <c r="S992" i="2"/>
  <c r="V992" i="2" s="1"/>
  <c r="S993" i="2"/>
  <c r="V993" i="2" s="1"/>
  <c r="S994" i="2"/>
  <c r="V994" i="2" s="1"/>
  <c r="S995" i="2"/>
  <c r="V995" i="2" s="1"/>
  <c r="S996" i="2"/>
  <c r="V996" i="2" s="1"/>
  <c r="S997" i="2"/>
  <c r="V997" i="2" s="1"/>
  <c r="S998" i="2"/>
  <c r="V998" i="2" s="1"/>
  <c r="S999" i="2"/>
  <c r="V999" i="2" s="1"/>
  <c r="S1000" i="2"/>
  <c r="V1000" i="2" s="1"/>
  <c r="S1001" i="2"/>
  <c r="V1001" i="2" s="1"/>
  <c r="S1002" i="2"/>
  <c r="V1002" i="2" s="1"/>
  <c r="S1003" i="2"/>
  <c r="V1003" i="2" s="1"/>
  <c r="S1004" i="2"/>
  <c r="V1004" i="2" s="1"/>
  <c r="S1005" i="2"/>
  <c r="V1005" i="2" s="1"/>
  <c r="S1006" i="2"/>
  <c r="V1006" i="2" s="1"/>
  <c r="S1007" i="2"/>
  <c r="V1007" i="2" s="1"/>
  <c r="S1008" i="2"/>
  <c r="V1008" i="2" s="1"/>
  <c r="S1009" i="2"/>
  <c r="V1009" i="2" s="1"/>
  <c r="S1010" i="2"/>
  <c r="V1010" i="2" s="1"/>
  <c r="S1011" i="2"/>
  <c r="V1011" i="2" s="1"/>
  <c r="S1012" i="2"/>
  <c r="V1012" i="2" s="1"/>
  <c r="S1013" i="2"/>
  <c r="V1013" i="2" s="1"/>
  <c r="S1014" i="2"/>
  <c r="V1014" i="2" s="1"/>
  <c r="S1015" i="2"/>
  <c r="V1015" i="2" s="1"/>
  <c r="S1016" i="2"/>
  <c r="V1016" i="2" s="1"/>
  <c r="S1017" i="2"/>
  <c r="V1017" i="2" s="1"/>
  <c r="S1018" i="2"/>
  <c r="V1018" i="2" s="1"/>
  <c r="S1019" i="2"/>
  <c r="V1019" i="2" s="1"/>
  <c r="S1020" i="2"/>
  <c r="V1020" i="2" s="1"/>
  <c r="S1021" i="2"/>
  <c r="V1021" i="2" s="1"/>
  <c r="S1022" i="2"/>
  <c r="V1022" i="2" s="1"/>
  <c r="S1023" i="2"/>
  <c r="V1023" i="2" s="1"/>
  <c r="S1024" i="2"/>
  <c r="V1024" i="2" s="1"/>
  <c r="S1025" i="2"/>
  <c r="V1025" i="2" s="1"/>
  <c r="S1026" i="2"/>
  <c r="V1026" i="2" s="1"/>
  <c r="S1027" i="2"/>
  <c r="V1027" i="2" s="1"/>
  <c r="S1028" i="2"/>
  <c r="V1028" i="2" s="1"/>
  <c r="S1029" i="2"/>
  <c r="V1029" i="2" s="1"/>
  <c r="S1030" i="2"/>
  <c r="V1030" i="2" s="1"/>
  <c r="S1031" i="2"/>
  <c r="V1031" i="2" s="1"/>
  <c r="S1032" i="2"/>
  <c r="V1032" i="2" s="1"/>
  <c r="S1033" i="2"/>
  <c r="V1033" i="2" s="1"/>
  <c r="S1034" i="2"/>
  <c r="V1034" i="2" s="1"/>
  <c r="S1035" i="2"/>
  <c r="V1035" i="2" s="1"/>
  <c r="S1036" i="2"/>
  <c r="V1036" i="2" s="1"/>
  <c r="S1037" i="2"/>
  <c r="V1037" i="2" s="1"/>
  <c r="S1038" i="2"/>
  <c r="V1038" i="2" s="1"/>
  <c r="S1039" i="2"/>
  <c r="V1039" i="2" s="1"/>
  <c r="S1040" i="2"/>
  <c r="V1040" i="2" s="1"/>
  <c r="S1041" i="2"/>
  <c r="V1041" i="2" s="1"/>
  <c r="S1042" i="2"/>
  <c r="V1042" i="2" s="1"/>
  <c r="S1043" i="2"/>
  <c r="V1043" i="2" s="1"/>
  <c r="S1044" i="2"/>
  <c r="V1044" i="2" s="1"/>
  <c r="S1045" i="2"/>
  <c r="V1045" i="2" s="1"/>
  <c r="S1046" i="2"/>
  <c r="V1046" i="2" s="1"/>
  <c r="S1047" i="2"/>
  <c r="V1047" i="2" s="1"/>
  <c r="S1048" i="2"/>
  <c r="V1048" i="2" s="1"/>
  <c r="S1049" i="2"/>
  <c r="V1049" i="2" s="1"/>
  <c r="S1050" i="2"/>
  <c r="V1050" i="2" s="1"/>
  <c r="S1051" i="2"/>
  <c r="V1051" i="2" s="1"/>
  <c r="S1052" i="2"/>
  <c r="V1052" i="2" s="1"/>
  <c r="S1053" i="2"/>
  <c r="V1053" i="2" s="1"/>
  <c r="S1054" i="2"/>
  <c r="V1054" i="2" s="1"/>
  <c r="S1055" i="2"/>
  <c r="V1055" i="2" s="1"/>
  <c r="S1056" i="2"/>
  <c r="V1056" i="2" s="1"/>
  <c r="S1057" i="2"/>
  <c r="V1057" i="2" s="1"/>
  <c r="S1058" i="2"/>
  <c r="V1058" i="2" s="1"/>
  <c r="S1059" i="2"/>
  <c r="V1059" i="2" s="1"/>
  <c r="S1060" i="2"/>
  <c r="V1060" i="2" s="1"/>
  <c r="V685" i="2" l="1"/>
  <c r="AB685" i="2"/>
  <c r="V686" i="2"/>
  <c r="AB686" i="2"/>
  <c r="V687" i="2"/>
  <c r="AB687" i="2"/>
  <c r="V688" i="2"/>
  <c r="AB688" i="2"/>
  <c r="V689" i="2"/>
  <c r="AB689" i="2"/>
  <c r="V690" i="2"/>
  <c r="AB690" i="2"/>
  <c r="V691" i="2"/>
  <c r="AB691" i="2"/>
  <c r="V692" i="2"/>
  <c r="AB692" i="2"/>
  <c r="V404" i="2"/>
  <c r="AB404" i="2"/>
  <c r="V403" i="2"/>
  <c r="AB403" i="2"/>
  <c r="V401" i="2"/>
  <c r="AB401" i="2"/>
  <c r="V400" i="2"/>
  <c r="AB400" i="2"/>
  <c r="V399" i="2"/>
  <c r="AB399" i="2"/>
  <c r="V402" i="2"/>
  <c r="AB402" i="2"/>
  <c r="V406" i="2"/>
  <c r="AB406" i="2"/>
  <c r="V398" i="2"/>
  <c r="AB398" i="2"/>
  <c r="V405" i="2"/>
  <c r="AB405" i="2"/>
  <c r="AB447" i="2"/>
  <c r="AB440" i="2"/>
  <c r="AB441" i="2"/>
  <c r="AB444" i="2"/>
  <c r="AB443" i="2"/>
  <c r="AB442" i="2"/>
  <c r="AB450" i="2"/>
  <c r="AB439" i="2"/>
  <c r="AB449" i="2"/>
  <c r="AB438" i="2"/>
  <c r="AB448" i="2"/>
  <c r="AB437" i="2"/>
  <c r="AB436" i="2"/>
  <c r="AB446" i="2"/>
  <c r="AB445" i="2"/>
  <c r="W2" i="18" l="1"/>
  <c r="W3" i="18"/>
  <c r="W4" i="18"/>
  <c r="W5" i="18"/>
  <c r="W6" i="18"/>
  <c r="W7" i="18"/>
  <c r="W8" i="18"/>
  <c r="W9" i="18"/>
  <c r="W10" i="18"/>
  <c r="W11" i="18"/>
  <c r="W12" i="18"/>
  <c r="W13" i="18"/>
  <c r="W14" i="18"/>
  <c r="W15" i="18"/>
  <c r="W16" i="18"/>
  <c r="W17" i="18"/>
  <c r="W18" i="18"/>
  <c r="W19" i="18"/>
  <c r="W20" i="18"/>
  <c r="W21" i="18"/>
  <c r="W22" i="18"/>
  <c r="W23" i="18"/>
  <c r="W24" i="18"/>
  <c r="W25" i="18"/>
  <c r="W26" i="18"/>
  <c r="W27" i="18"/>
  <c r="W28" i="18"/>
  <c r="W29" i="18"/>
  <c r="W30" i="18"/>
  <c r="W31" i="18"/>
  <c r="W32" i="18"/>
  <c r="W33" i="18"/>
  <c r="W34" i="18"/>
  <c r="W35" i="18"/>
  <c r="W36" i="18"/>
  <c r="W37" i="18"/>
  <c r="W38" i="18"/>
  <c r="W39" i="18"/>
  <c r="W40" i="18"/>
  <c r="W41" i="18"/>
  <c r="W42" i="18"/>
  <c r="W43" i="18"/>
  <c r="W44" i="18"/>
  <c r="W45" i="18"/>
  <c r="W46" i="18"/>
  <c r="W47" i="18"/>
  <c r="W48" i="18"/>
  <c r="W49" i="18"/>
  <c r="W50" i="18"/>
  <c r="W51" i="18"/>
  <c r="W52" i="18"/>
  <c r="W53" i="18"/>
  <c r="W54" i="18"/>
  <c r="W55" i="18"/>
  <c r="W56" i="18"/>
  <c r="W57" i="18"/>
  <c r="W58" i="18"/>
  <c r="W59" i="18"/>
  <c r="W60" i="18"/>
  <c r="W61" i="18"/>
  <c r="CF44" i="1" l="1"/>
  <c r="DB44" i="1" s="1"/>
  <c r="CF45" i="1"/>
  <c r="DB45" i="1" s="1"/>
  <c r="CF46" i="1"/>
  <c r="DB46" i="1" s="1"/>
  <c r="CF47" i="1"/>
  <c r="DB47" i="1" s="1"/>
  <c r="CF48" i="1"/>
  <c r="DB48" i="1" s="1"/>
  <c r="CF49" i="1"/>
  <c r="DB49" i="1" s="1"/>
  <c r="CF50" i="1"/>
  <c r="DB50" i="1" s="1"/>
  <c r="CF51" i="1"/>
  <c r="DB51" i="1" s="1"/>
  <c r="CF52" i="1"/>
  <c r="CF54" i="1"/>
  <c r="CF55" i="1"/>
  <c r="DB55" i="1" s="1"/>
  <c r="CF56" i="1"/>
  <c r="DB56" i="1" s="1"/>
  <c r="CF57" i="1"/>
  <c r="DB57" i="1" s="1"/>
  <c r="CF58" i="1"/>
  <c r="DB58" i="1" s="1"/>
  <c r="CF59" i="1"/>
  <c r="DB59" i="1" s="1"/>
  <c r="CF60" i="1"/>
  <c r="DB60" i="1" s="1"/>
  <c r="CF61" i="1"/>
  <c r="DB61" i="1" s="1"/>
  <c r="CF62" i="1"/>
  <c r="DB62" i="1" s="1"/>
  <c r="CF63" i="1"/>
  <c r="DB63" i="1" s="1"/>
  <c r="CF64" i="1"/>
  <c r="DB64" i="1" s="1"/>
  <c r="CF65" i="1"/>
  <c r="DB65" i="1" s="1"/>
  <c r="CF66" i="1"/>
  <c r="DB66" i="1" s="1"/>
  <c r="CF67" i="1"/>
  <c r="DB67" i="1" s="1"/>
  <c r="CF68" i="1"/>
  <c r="DB68" i="1" s="1"/>
  <c r="CF69" i="1"/>
  <c r="DB69" i="1" s="1"/>
  <c r="CF70" i="1"/>
  <c r="DB70" i="1" s="1"/>
  <c r="CF71" i="1"/>
  <c r="DB71" i="1" s="1"/>
  <c r="CF72" i="1"/>
  <c r="DB72" i="1" s="1"/>
  <c r="CF73" i="1"/>
  <c r="DB73" i="1" s="1"/>
  <c r="CF74" i="1"/>
  <c r="DB74" i="1" s="1"/>
  <c r="CF75" i="1"/>
  <c r="DB75" i="1" s="1"/>
  <c r="CF76" i="1"/>
  <c r="DB76" i="1" s="1"/>
  <c r="CF77" i="1"/>
  <c r="DB77" i="1" s="1"/>
  <c r="CF78" i="1"/>
  <c r="DB78" i="1" s="1"/>
  <c r="CF79" i="1"/>
  <c r="DB79" i="1" s="1"/>
  <c r="CF80" i="1"/>
  <c r="DB80" i="1" s="1"/>
  <c r="CF81" i="1"/>
  <c r="DB81" i="1" s="1"/>
  <c r="CF82" i="1"/>
  <c r="DB82" i="1" s="1"/>
  <c r="CF83" i="1"/>
  <c r="DB83" i="1" s="1"/>
  <c r="CF84" i="1"/>
  <c r="DB84" i="1" s="1"/>
  <c r="CF85" i="1"/>
  <c r="DB85" i="1" s="1"/>
  <c r="CF86" i="1"/>
  <c r="DB86" i="1" s="1"/>
  <c r="CF87" i="1"/>
  <c r="DB87" i="1" s="1"/>
  <c r="CF88" i="1"/>
  <c r="DB88" i="1" s="1"/>
  <c r="CF89" i="1"/>
  <c r="CF90" i="1"/>
  <c r="DB90" i="1" s="1"/>
  <c r="CF91" i="1"/>
  <c r="DB91" i="1" s="1"/>
  <c r="CF92" i="1"/>
  <c r="DB92" i="1" s="1"/>
  <c r="CF93" i="1"/>
  <c r="DB93" i="1" s="1"/>
  <c r="CF94" i="1"/>
  <c r="DB94" i="1" s="1"/>
  <c r="CF95" i="1"/>
  <c r="DB95" i="1" s="1"/>
  <c r="CF96" i="1"/>
  <c r="DB96" i="1" s="1"/>
  <c r="CF97" i="1"/>
  <c r="DB97" i="1" s="1"/>
  <c r="CF98" i="1"/>
  <c r="DB98" i="1" s="1"/>
  <c r="CF99" i="1"/>
  <c r="DB99" i="1" s="1"/>
  <c r="CF100" i="1"/>
  <c r="DB100" i="1" s="1"/>
  <c r="CF101" i="1"/>
  <c r="DB101" i="1" s="1"/>
  <c r="CF102" i="1"/>
  <c r="DB102" i="1" s="1"/>
  <c r="CF103" i="1"/>
  <c r="DB103" i="1" s="1"/>
  <c r="CF104" i="1"/>
  <c r="DB104" i="1" s="1"/>
  <c r="CF105" i="1"/>
  <c r="DB105" i="1" s="1"/>
  <c r="CF106" i="1"/>
  <c r="DB106" i="1" s="1"/>
  <c r="CF107" i="1"/>
  <c r="DB107" i="1" s="1"/>
  <c r="CF108" i="1"/>
  <c r="DB108" i="1" s="1"/>
  <c r="CF109" i="1"/>
  <c r="DB109" i="1" s="1"/>
  <c r="CF110" i="1"/>
  <c r="DB110" i="1" s="1"/>
  <c r="CF111" i="1"/>
  <c r="DB111" i="1" s="1"/>
  <c r="CF112" i="1"/>
  <c r="DB112" i="1" s="1"/>
  <c r="CF113" i="1"/>
  <c r="DB113" i="1" s="1"/>
  <c r="CF114" i="1"/>
  <c r="DB114" i="1" s="1"/>
  <c r="CF115" i="1"/>
  <c r="DB115" i="1" s="1"/>
  <c r="CF116" i="1"/>
  <c r="DB116" i="1" s="1"/>
  <c r="CF117" i="1"/>
  <c r="DB117" i="1" s="1"/>
  <c r="CF118" i="1"/>
  <c r="DB118" i="1" s="1"/>
  <c r="CF119" i="1"/>
  <c r="DB119" i="1" s="1"/>
  <c r="CF120" i="1"/>
  <c r="DB120" i="1" s="1"/>
  <c r="CF121" i="1"/>
  <c r="DB121" i="1" s="1"/>
  <c r="CF122" i="1"/>
  <c r="DB122" i="1" s="1"/>
  <c r="CF123" i="1"/>
  <c r="DB123" i="1" s="1"/>
  <c r="CF124" i="1"/>
  <c r="DB124" i="1" s="1"/>
  <c r="CF125" i="1"/>
  <c r="DB125" i="1" s="1"/>
  <c r="CF126" i="1"/>
  <c r="DB126" i="1" s="1"/>
  <c r="CF127" i="1"/>
  <c r="DB127" i="1" s="1"/>
  <c r="CF128" i="1"/>
  <c r="DB128" i="1" s="1"/>
  <c r="CF129" i="1"/>
  <c r="DB129" i="1" s="1"/>
  <c r="CF130" i="1"/>
  <c r="DB130" i="1" s="1"/>
  <c r="CF131" i="1"/>
  <c r="DB131" i="1" s="1"/>
  <c r="CF132" i="1"/>
  <c r="DB132" i="1" s="1"/>
  <c r="CF133" i="1"/>
  <c r="DB133" i="1" s="1"/>
  <c r="CF134" i="1"/>
  <c r="DB134" i="1" s="1"/>
  <c r="CF135" i="1"/>
  <c r="DB135" i="1" s="1"/>
  <c r="CF136" i="1"/>
  <c r="DB136" i="1" s="1"/>
  <c r="CF137" i="1"/>
  <c r="CF138" i="1"/>
  <c r="DB138" i="1" s="1"/>
  <c r="CF139" i="1"/>
  <c r="DB139" i="1" s="1"/>
  <c r="CF140" i="1"/>
  <c r="DB140" i="1" s="1"/>
  <c r="CF141" i="1"/>
  <c r="DB141" i="1" s="1"/>
  <c r="CF142" i="1"/>
  <c r="CF143" i="1"/>
  <c r="DB143" i="1" s="1"/>
  <c r="CF144" i="1"/>
  <c r="DB144" i="1" s="1"/>
  <c r="CG44" i="1"/>
  <c r="CG45" i="1"/>
  <c r="CG46" i="1"/>
  <c r="CG47" i="1"/>
  <c r="CG48" i="1"/>
  <c r="CG49" i="1"/>
  <c r="CG50" i="1"/>
  <c r="CG51" i="1"/>
  <c r="CG52" i="1"/>
  <c r="CG54" i="1"/>
  <c r="CG55" i="1"/>
  <c r="CG56" i="1"/>
  <c r="CG57" i="1"/>
  <c r="CG58" i="1"/>
  <c r="CG59" i="1"/>
  <c r="CG60" i="1"/>
  <c r="CG61" i="1"/>
  <c r="CG62" i="1"/>
  <c r="CG63" i="1"/>
  <c r="CG64" i="1"/>
  <c r="CG65" i="1"/>
  <c r="CG66" i="1"/>
  <c r="CG67" i="1"/>
  <c r="CG68" i="1"/>
  <c r="CG69" i="1"/>
  <c r="CG70" i="1"/>
  <c r="CG71" i="1"/>
  <c r="CG72" i="1"/>
  <c r="CG73" i="1"/>
  <c r="CG74" i="1"/>
  <c r="CG75" i="1"/>
  <c r="CG76" i="1"/>
  <c r="CG77" i="1"/>
  <c r="CG78" i="1"/>
  <c r="CG79" i="1"/>
  <c r="CG80" i="1"/>
  <c r="CG81" i="1"/>
  <c r="CG82" i="1"/>
  <c r="CG83" i="1"/>
  <c r="CG84" i="1"/>
  <c r="CG85" i="1"/>
  <c r="CG86" i="1"/>
  <c r="CG87" i="1"/>
  <c r="CG88" i="1"/>
  <c r="CG89" i="1"/>
  <c r="CG90" i="1"/>
  <c r="CG91" i="1"/>
  <c r="CG92" i="1"/>
  <c r="CG93" i="1"/>
  <c r="CG94" i="1"/>
  <c r="CG95" i="1"/>
  <c r="CG96" i="1"/>
  <c r="CG97" i="1"/>
  <c r="CG98" i="1"/>
  <c r="CG99" i="1"/>
  <c r="CG100" i="1"/>
  <c r="CG101" i="1"/>
  <c r="CG102" i="1"/>
  <c r="CG103" i="1"/>
  <c r="CG104" i="1"/>
  <c r="CG105" i="1"/>
  <c r="CG106" i="1"/>
  <c r="CG107" i="1"/>
  <c r="CG108" i="1"/>
  <c r="CG109" i="1"/>
  <c r="CG110" i="1"/>
  <c r="CG111" i="1"/>
  <c r="CG112" i="1"/>
  <c r="CG113" i="1"/>
  <c r="CG114" i="1"/>
  <c r="CG115" i="1"/>
  <c r="CG116" i="1"/>
  <c r="CG117" i="1"/>
  <c r="CG118" i="1"/>
  <c r="CG119" i="1"/>
  <c r="CG120" i="1"/>
  <c r="CG121" i="1"/>
  <c r="CG122" i="1"/>
  <c r="CG123" i="1"/>
  <c r="CG124" i="1"/>
  <c r="CG125" i="1"/>
  <c r="CG126" i="1"/>
  <c r="CG127" i="1"/>
  <c r="CG128" i="1"/>
  <c r="CG129" i="1"/>
  <c r="CG130" i="1"/>
  <c r="CG131" i="1"/>
  <c r="CG132" i="1"/>
  <c r="CG133" i="1"/>
  <c r="CG134" i="1"/>
  <c r="CG135" i="1"/>
  <c r="CG136" i="1"/>
  <c r="CG137" i="1"/>
  <c r="CG138" i="1"/>
  <c r="CG139" i="1"/>
  <c r="CG140" i="1"/>
  <c r="CG141" i="1"/>
  <c r="CG142" i="1"/>
  <c r="CG143" i="1"/>
  <c r="CG144" i="1"/>
  <c r="CZ52" i="1"/>
  <c r="CZ54" i="1"/>
  <c r="CR84" i="1"/>
  <c r="CZ84" i="1" s="1"/>
  <c r="CR85" i="1"/>
  <c r="CZ85" i="1" s="1"/>
  <c r="CR86" i="1"/>
  <c r="CZ86" i="1" s="1"/>
  <c r="CR87" i="1"/>
  <c r="CZ87" i="1" s="1"/>
  <c r="CR88" i="1"/>
  <c r="CZ88" i="1" s="1"/>
  <c r="CR89" i="1"/>
  <c r="CZ89" i="1" s="1"/>
  <c r="CR90" i="1"/>
  <c r="CZ90" i="1" s="1"/>
  <c r="CR91" i="1"/>
  <c r="CZ91" i="1" s="1"/>
  <c r="CR92" i="1"/>
  <c r="CZ92" i="1" s="1"/>
  <c r="CR93" i="1"/>
  <c r="CZ93" i="1" s="1"/>
  <c r="CR94" i="1"/>
  <c r="CZ94" i="1" s="1"/>
  <c r="CR95" i="1"/>
  <c r="CZ95" i="1" s="1"/>
  <c r="CR96" i="1"/>
  <c r="CZ96" i="1" s="1"/>
  <c r="CR97" i="1"/>
  <c r="CZ97" i="1" s="1"/>
  <c r="CR98" i="1"/>
  <c r="CZ98" i="1" s="1"/>
  <c r="CR99" i="1"/>
  <c r="CZ99" i="1" s="1"/>
  <c r="CR100" i="1"/>
  <c r="CZ100" i="1" s="1"/>
  <c r="CR101" i="1"/>
  <c r="CZ101" i="1" s="1"/>
  <c r="CR102" i="1"/>
  <c r="CZ102" i="1" s="1"/>
  <c r="CR103" i="1"/>
  <c r="CZ103" i="1" s="1"/>
  <c r="CR104" i="1"/>
  <c r="CZ104" i="1" s="1"/>
  <c r="CR105" i="1"/>
  <c r="CZ105" i="1" s="1"/>
  <c r="CR106" i="1"/>
  <c r="CZ106" i="1" s="1"/>
  <c r="CR107" i="1"/>
  <c r="CZ107" i="1" s="1"/>
  <c r="CR108" i="1"/>
  <c r="CZ108" i="1" s="1"/>
  <c r="CR109" i="1"/>
  <c r="CZ109" i="1" s="1"/>
  <c r="CR110" i="1"/>
  <c r="CZ110" i="1" s="1"/>
  <c r="CR111" i="1"/>
  <c r="CZ111" i="1" s="1"/>
  <c r="CR112" i="1"/>
  <c r="CZ112" i="1" s="1"/>
  <c r="CR113" i="1"/>
  <c r="CZ113" i="1" s="1"/>
  <c r="CR114" i="1"/>
  <c r="CZ114" i="1" s="1"/>
  <c r="CR115" i="1"/>
  <c r="CZ115" i="1" s="1"/>
  <c r="CR116" i="1"/>
  <c r="CZ116" i="1" s="1"/>
  <c r="CR117" i="1"/>
  <c r="CZ117" i="1" s="1"/>
  <c r="CR118" i="1"/>
  <c r="CZ118" i="1" s="1"/>
  <c r="CR119" i="1"/>
  <c r="CZ119" i="1" s="1"/>
  <c r="CR120" i="1"/>
  <c r="CZ120" i="1" s="1"/>
  <c r="CR121" i="1"/>
  <c r="CZ121" i="1" s="1"/>
  <c r="CR122" i="1"/>
  <c r="CZ122" i="1" s="1"/>
  <c r="CR123" i="1"/>
  <c r="CZ123" i="1" s="1"/>
  <c r="CR124" i="1"/>
  <c r="CZ124" i="1" s="1"/>
  <c r="CR125" i="1"/>
  <c r="CZ125" i="1" s="1"/>
  <c r="CR126" i="1"/>
  <c r="CZ126" i="1" s="1"/>
  <c r="CR127" i="1"/>
  <c r="CZ127" i="1" s="1"/>
  <c r="CR128" i="1"/>
  <c r="CZ128" i="1" s="1"/>
  <c r="CR129" i="1"/>
  <c r="CZ129" i="1" s="1"/>
  <c r="CR130" i="1"/>
  <c r="CZ130" i="1" s="1"/>
  <c r="CR131" i="1"/>
  <c r="CZ131" i="1" s="1"/>
  <c r="CR132" i="1"/>
  <c r="CZ132" i="1" s="1"/>
  <c r="CR133" i="1"/>
  <c r="CZ133" i="1" s="1"/>
  <c r="CR134" i="1"/>
  <c r="CZ134" i="1" s="1"/>
  <c r="CR135" i="1"/>
  <c r="CZ135" i="1" s="1"/>
  <c r="CR136" i="1"/>
  <c r="CZ136" i="1" s="1"/>
  <c r="CR137" i="1"/>
  <c r="CZ137" i="1" s="1"/>
  <c r="CR138" i="1"/>
  <c r="CZ138" i="1" s="1"/>
  <c r="CR139" i="1"/>
  <c r="CZ139" i="1" s="1"/>
  <c r="CR140" i="1"/>
  <c r="CZ140" i="1" s="1"/>
  <c r="CR141" i="1"/>
  <c r="CZ141" i="1" s="1"/>
  <c r="CR142" i="1"/>
  <c r="CZ142" i="1" s="1"/>
  <c r="CR143" i="1"/>
  <c r="CZ143" i="1" s="1"/>
  <c r="CR144" i="1"/>
  <c r="CZ144" i="1" s="1"/>
  <c r="DA84" i="1"/>
  <c r="DA85" i="1"/>
  <c r="DA86" i="1"/>
  <c r="DA87" i="1"/>
  <c r="DA88" i="1"/>
  <c r="DA89" i="1"/>
  <c r="DA90" i="1"/>
  <c r="DA91" i="1"/>
  <c r="DA92" i="1"/>
  <c r="DA93" i="1"/>
  <c r="DA94" i="1"/>
  <c r="DA95" i="1"/>
  <c r="DA96" i="1"/>
  <c r="DA97" i="1"/>
  <c r="DA98" i="1"/>
  <c r="DA99" i="1"/>
  <c r="DA100" i="1"/>
  <c r="DA101" i="1"/>
  <c r="DA102" i="1"/>
  <c r="DA103" i="1"/>
  <c r="DA104" i="1"/>
  <c r="DA105" i="1"/>
  <c r="DA106" i="1"/>
  <c r="DA107" i="1"/>
  <c r="DA108" i="1"/>
  <c r="DA109" i="1"/>
  <c r="DA110" i="1"/>
  <c r="DA111" i="1"/>
  <c r="DA112" i="1"/>
  <c r="DA113" i="1"/>
  <c r="DA114" i="1"/>
  <c r="DA115" i="1"/>
  <c r="DA116" i="1"/>
  <c r="DA117" i="1"/>
  <c r="DA118" i="1"/>
  <c r="DA119" i="1"/>
  <c r="DA120" i="1"/>
  <c r="DA121" i="1"/>
  <c r="DA122" i="1"/>
  <c r="DA123" i="1"/>
  <c r="DA124" i="1"/>
  <c r="DA125" i="1"/>
  <c r="DA126" i="1"/>
  <c r="DA127" i="1"/>
  <c r="DA128" i="1"/>
  <c r="DA129" i="1"/>
  <c r="DA130" i="1"/>
  <c r="DA131" i="1"/>
  <c r="DA132" i="1"/>
  <c r="DA133" i="1"/>
  <c r="DA134" i="1"/>
  <c r="DA135" i="1"/>
  <c r="DA136" i="1"/>
  <c r="DA137" i="1"/>
  <c r="DA138" i="1"/>
  <c r="DA139" i="1"/>
  <c r="DA140" i="1"/>
  <c r="DA141" i="1"/>
  <c r="DA142" i="1"/>
  <c r="DA143" i="1"/>
  <c r="DA144" i="1"/>
  <c r="DB89" i="1"/>
  <c r="DB137" i="1"/>
  <c r="DB142" i="1"/>
  <c r="L437" i="2"/>
  <c r="I437" i="2"/>
  <c r="H437" i="2"/>
  <c r="L436" i="2"/>
  <c r="I436" i="2"/>
  <c r="H436" i="2"/>
  <c r="D442" i="2"/>
  <c r="D441" i="2"/>
  <c r="D440" i="2"/>
  <c r="D439" i="2"/>
  <c r="D438" i="2"/>
  <c r="D437" i="2"/>
  <c r="D436" i="2"/>
  <c r="D435" i="2"/>
  <c r="L428" i="2"/>
  <c r="I428" i="2"/>
  <c r="H428" i="2"/>
  <c r="L427" i="2"/>
  <c r="I427" i="2"/>
  <c r="H427" i="2"/>
  <c r="D434" i="2"/>
  <c r="D433" i="2"/>
  <c r="D432" i="2"/>
  <c r="D431" i="2"/>
  <c r="D430" i="2"/>
  <c r="D429" i="2"/>
  <c r="D428" i="2"/>
  <c r="D427" i="2"/>
  <c r="AB421" i="2"/>
  <c r="L421" i="2"/>
  <c r="D421" i="2"/>
  <c r="E421" i="2"/>
  <c r="H421" i="2"/>
  <c r="I421" i="2"/>
  <c r="L423" i="2"/>
  <c r="D426" i="2"/>
  <c r="D425" i="2"/>
  <c r="D424" i="2"/>
  <c r="D423" i="2"/>
  <c r="D422" i="2"/>
  <c r="D420" i="2"/>
  <c r="D419" i="2"/>
  <c r="D418" i="2"/>
  <c r="CG5" i="1"/>
  <c r="CG6" i="1"/>
  <c r="CG7" i="1"/>
  <c r="CG8" i="1"/>
  <c r="CG9" i="1"/>
  <c r="CG10" i="1"/>
  <c r="CG11" i="1"/>
  <c r="CG12" i="1"/>
  <c r="CG13" i="1"/>
  <c r="CG14" i="1"/>
  <c r="CG15" i="1"/>
  <c r="CG16" i="1"/>
  <c r="CG17" i="1"/>
  <c r="CG18" i="1"/>
  <c r="CG19" i="1"/>
  <c r="CG20" i="1"/>
  <c r="CG21" i="1"/>
  <c r="CG22" i="1"/>
  <c r="CG23" i="1"/>
  <c r="CG24" i="1"/>
  <c r="CG25" i="1"/>
  <c r="CG26" i="1"/>
  <c r="CG27" i="1"/>
  <c r="CG28" i="1"/>
  <c r="CG29" i="1"/>
  <c r="CG30" i="1"/>
  <c r="CG31" i="1"/>
  <c r="CG32" i="1"/>
  <c r="CG33" i="1"/>
  <c r="CG34" i="1"/>
  <c r="CG35" i="1"/>
  <c r="CG36" i="1"/>
  <c r="CG37" i="1"/>
  <c r="CG38" i="1"/>
  <c r="CG39" i="1"/>
  <c r="CG40" i="1"/>
  <c r="CG41" i="1"/>
  <c r="CG42" i="1"/>
  <c r="CG43" i="1"/>
  <c r="DB54" i="1" l="1"/>
  <c r="DB52" i="1"/>
  <c r="CF5" i="1"/>
  <c r="CF6" i="1"/>
  <c r="CF7" i="1"/>
  <c r="CF8" i="1"/>
  <c r="CF9" i="1"/>
  <c r="CF10" i="1"/>
  <c r="CF11" i="1"/>
  <c r="CF12" i="1"/>
  <c r="CF13" i="1"/>
  <c r="CF14" i="1"/>
  <c r="CF15" i="1"/>
  <c r="CF16" i="1"/>
  <c r="CF17" i="1"/>
  <c r="CF18" i="1"/>
  <c r="CF19" i="1"/>
  <c r="CF20" i="1"/>
  <c r="CF21" i="1"/>
  <c r="CF22" i="1"/>
  <c r="CF23" i="1"/>
  <c r="CF24" i="1"/>
  <c r="CF25" i="1"/>
  <c r="CF26" i="1"/>
  <c r="CF27" i="1"/>
  <c r="CF28" i="1"/>
  <c r="CF29" i="1"/>
  <c r="CF30" i="1"/>
  <c r="CF31" i="1"/>
  <c r="CF32" i="1"/>
  <c r="CF33" i="1"/>
  <c r="CF34" i="1"/>
  <c r="CF35" i="1"/>
  <c r="CF36" i="1"/>
  <c r="CF37" i="1"/>
  <c r="CF38" i="1"/>
  <c r="CF39" i="1"/>
  <c r="CF40" i="1"/>
  <c r="CF41" i="1"/>
  <c r="CF42" i="1"/>
  <c r="CF43" i="1"/>
  <c r="L414" i="2" l="1"/>
  <c r="I414" i="2"/>
  <c r="H414" i="2"/>
  <c r="L413" i="2"/>
  <c r="I413" i="2"/>
  <c r="H413" i="2"/>
  <c r="D417" i="2"/>
  <c r="D416" i="2"/>
  <c r="D415" i="2"/>
  <c r="D414" i="2"/>
  <c r="D413" i="2"/>
  <c r="D398" i="2"/>
  <c r="D399" i="2"/>
  <c r="D400" i="2"/>
  <c r="D401" i="2"/>
  <c r="D402" i="2"/>
  <c r="D403" i="2"/>
  <c r="D404" i="2"/>
  <c r="D405" i="2"/>
  <c r="D406" i="2"/>
  <c r="D407" i="2"/>
  <c r="D408" i="2"/>
  <c r="D409" i="2"/>
  <c r="D410" i="2"/>
  <c r="D411" i="2"/>
  <c r="D412" i="2"/>
  <c r="L391" i="2" l="1"/>
  <c r="L390" i="2"/>
  <c r="D397" i="2"/>
  <c r="D396" i="2"/>
  <c r="D395" i="2"/>
  <c r="D394" i="2"/>
  <c r="D393" i="2"/>
  <c r="D392" i="2"/>
  <c r="D391" i="2"/>
  <c r="D390" i="2"/>
  <c r="D389" i="2" l="1"/>
  <c r="D388" i="2"/>
  <c r="D387" i="2"/>
  <c r="D386" i="2"/>
  <c r="D385" i="2"/>
  <c r="D384" i="2"/>
  <c r="D383" i="2"/>
  <c r="D382" i="2"/>
  <c r="D381" i="2"/>
  <c r="D380" i="2"/>
  <c r="L381" i="2"/>
  <c r="I381" i="2"/>
  <c r="H381" i="2"/>
  <c r="L380" i="2"/>
  <c r="I380" i="2"/>
  <c r="H380" i="2"/>
  <c r="L374" i="2"/>
  <c r="I374" i="2"/>
  <c r="H374" i="2"/>
  <c r="L373" i="2"/>
  <c r="I373" i="2"/>
  <c r="H373" i="2"/>
  <c r="D379" i="2"/>
  <c r="D378" i="2"/>
  <c r="D377" i="2"/>
  <c r="D376" i="2"/>
  <c r="D375" i="2"/>
  <c r="D374" i="2"/>
  <c r="D373" i="2"/>
  <c r="L368" i="2" l="1"/>
  <c r="I368" i="2"/>
  <c r="H368" i="2"/>
  <c r="L367" i="2"/>
  <c r="I367" i="2"/>
  <c r="H367" i="2"/>
  <c r="D372" i="2"/>
  <c r="D371" i="2"/>
  <c r="D370" i="2"/>
  <c r="D369" i="2"/>
  <c r="D368" i="2"/>
  <c r="D367" i="2"/>
  <c r="L361" i="2"/>
  <c r="I361" i="2"/>
  <c r="H361" i="2"/>
  <c r="L360" i="2"/>
  <c r="I360" i="2"/>
  <c r="H360" i="2"/>
  <c r="D366" i="2"/>
  <c r="D365" i="2"/>
  <c r="D364" i="2"/>
  <c r="D363" i="2"/>
  <c r="D362" i="2"/>
  <c r="D361" i="2"/>
  <c r="D360" i="2"/>
  <c r="D352" i="2"/>
  <c r="D353" i="2"/>
  <c r="D354" i="2"/>
  <c r="D355" i="2"/>
  <c r="D356" i="2"/>
  <c r="D357" i="2"/>
  <c r="D358" i="2"/>
  <c r="D359" i="2"/>
  <c r="L351" i="2" l="1"/>
  <c r="L350" i="2"/>
  <c r="L349" i="2"/>
  <c r="D351" i="2"/>
  <c r="D350" i="2"/>
  <c r="D349" i="2"/>
  <c r="E349" i="2"/>
  <c r="H349" i="2"/>
  <c r="I349" i="2"/>
  <c r="E350" i="2"/>
  <c r="H350" i="2"/>
  <c r="I350" i="2"/>
  <c r="E351" i="2"/>
  <c r="H351" i="2"/>
  <c r="I351" i="2"/>
  <c r="L347" i="2"/>
  <c r="I347" i="2"/>
  <c r="H347" i="2"/>
  <c r="L346" i="2"/>
  <c r="I346" i="2"/>
  <c r="H346" i="2"/>
  <c r="D348" i="2"/>
  <c r="D347" i="2"/>
  <c r="D346" i="2"/>
  <c r="AB350" i="2" l="1"/>
  <c r="AB351" i="2"/>
  <c r="AB349" i="2"/>
  <c r="L342" i="2"/>
  <c r="I342" i="2"/>
  <c r="H342" i="2"/>
  <c r="L341" i="2"/>
  <c r="I341" i="2"/>
  <c r="H341" i="2"/>
  <c r="D345" i="2"/>
  <c r="D344" i="2"/>
  <c r="D343" i="2"/>
  <c r="D342" i="2"/>
  <c r="D341" i="2"/>
  <c r="L333" i="2"/>
  <c r="I333" i="2"/>
  <c r="H333" i="2"/>
  <c r="L332" i="2"/>
  <c r="I332" i="2"/>
  <c r="H332" i="2"/>
  <c r="D340" i="2"/>
  <c r="D339" i="2"/>
  <c r="D338" i="2"/>
  <c r="D337" i="2"/>
  <c r="D336" i="2"/>
  <c r="D335" i="2"/>
  <c r="D334" i="2"/>
  <c r="D333" i="2"/>
  <c r="D332" i="2"/>
  <c r="D322" i="2"/>
  <c r="D323" i="2"/>
  <c r="D324" i="2"/>
  <c r="D325" i="2"/>
  <c r="D326" i="2"/>
  <c r="D327" i="2"/>
  <c r="D328" i="2"/>
  <c r="D329" i="2"/>
  <c r="D330" i="2"/>
  <c r="D331" i="2"/>
  <c r="D321" i="2" l="1"/>
  <c r="D320" i="2"/>
  <c r="D319" i="2"/>
  <c r="D318" i="2"/>
  <c r="D317" i="2"/>
  <c r="L318" i="2"/>
  <c r="I318" i="2"/>
  <c r="H318" i="2"/>
  <c r="L317" i="2"/>
  <c r="I317" i="2"/>
  <c r="H317" i="2"/>
  <c r="D316" i="2" l="1"/>
  <c r="D315" i="2"/>
  <c r="D314" i="2"/>
  <c r="D313" i="2"/>
  <c r="D312" i="2"/>
  <c r="L313" i="2"/>
  <c r="I313" i="2"/>
  <c r="H313" i="2"/>
  <c r="L312" i="2"/>
  <c r="I312" i="2"/>
  <c r="H312" i="2"/>
  <c r="D311" i="2"/>
  <c r="D310" i="2"/>
  <c r="D309" i="2"/>
  <c r="D308" i="2"/>
  <c r="D307" i="2"/>
  <c r="L308" i="2"/>
  <c r="I308" i="2"/>
  <c r="H308" i="2"/>
  <c r="L307" i="2"/>
  <c r="I307" i="2"/>
  <c r="H307" i="2"/>
  <c r="D306" i="2"/>
  <c r="D305" i="2"/>
  <c r="D304" i="2"/>
  <c r="D303" i="2"/>
  <c r="D302" i="2"/>
  <c r="D301" i="2"/>
  <c r="D300" i="2"/>
  <c r="L301" i="2"/>
  <c r="I301" i="2"/>
  <c r="H301" i="2"/>
  <c r="L300" i="2"/>
  <c r="I300" i="2"/>
  <c r="H300" i="2"/>
  <c r="L294" i="2"/>
  <c r="I294" i="2"/>
  <c r="H294" i="2"/>
  <c r="L293" i="2"/>
  <c r="I293" i="2"/>
  <c r="H293" i="2"/>
  <c r="D299" i="2"/>
  <c r="D298" i="2"/>
  <c r="D297" i="2"/>
  <c r="D296" i="2"/>
  <c r="D295" i="2"/>
  <c r="D294" i="2"/>
  <c r="D293" i="2"/>
  <c r="L289" i="2"/>
  <c r="I289" i="2"/>
  <c r="H289" i="2"/>
  <c r="L288" i="2"/>
  <c r="I288" i="2"/>
  <c r="H288" i="2"/>
  <c r="AB320" i="2"/>
  <c r="AB321" i="2"/>
  <c r="AB322" i="2"/>
  <c r="AB323" i="2"/>
  <c r="AB324" i="2"/>
  <c r="AB325" i="2"/>
  <c r="AB326" i="2"/>
  <c r="AB327" i="2"/>
  <c r="AB328" i="2"/>
  <c r="AB329" i="2"/>
  <c r="AB330" i="2"/>
  <c r="AB331" i="2"/>
  <c r="D292" i="2"/>
  <c r="D291" i="2"/>
  <c r="D290" i="2"/>
  <c r="D289" i="2"/>
  <c r="D288" i="2"/>
  <c r="L283" i="2"/>
  <c r="I283" i="2"/>
  <c r="H283" i="2"/>
  <c r="L282" i="2"/>
  <c r="I282" i="2"/>
  <c r="H282" i="2"/>
  <c r="D287" i="2"/>
  <c r="D286" i="2"/>
  <c r="D285" i="2"/>
  <c r="D284" i="2"/>
  <c r="D283" i="2"/>
  <c r="D282" i="2"/>
  <c r="L252" i="2"/>
  <c r="D252" i="2"/>
  <c r="E252" i="2"/>
  <c r="H252" i="2"/>
  <c r="I252" i="2"/>
  <c r="D269" i="2"/>
  <c r="L269" i="2"/>
  <c r="E269" i="2"/>
  <c r="H269" i="2"/>
  <c r="I269" i="2"/>
  <c r="L265" i="2"/>
  <c r="I265" i="2"/>
  <c r="H265" i="2"/>
  <c r="L264" i="2"/>
  <c r="I264" i="2"/>
  <c r="H264" i="2"/>
  <c r="D281" i="2"/>
  <c r="D280" i="2"/>
  <c r="D279" i="2"/>
  <c r="D278" i="2"/>
  <c r="D277" i="2"/>
  <c r="D276" i="2"/>
  <c r="D275" i="2"/>
  <c r="D274" i="2"/>
  <c r="D273" i="2"/>
  <c r="D272" i="2"/>
  <c r="D271" i="2"/>
  <c r="D270" i="2"/>
  <c r="D268" i="2"/>
  <c r="D267" i="2"/>
  <c r="D266" i="2"/>
  <c r="D265" i="2"/>
  <c r="D264" i="2"/>
  <c r="L241" i="2"/>
  <c r="I241" i="2"/>
  <c r="H241" i="2"/>
  <c r="L240" i="2"/>
  <c r="I240" i="2"/>
  <c r="H240" i="2"/>
  <c r="D263" i="2"/>
  <c r="D262" i="2"/>
  <c r="D261" i="2"/>
  <c r="D260" i="2"/>
  <c r="D259" i="2"/>
  <c r="D258" i="2"/>
  <c r="D257" i="2"/>
  <c r="D256" i="2"/>
  <c r="D255" i="2"/>
  <c r="D254" i="2"/>
  <c r="D253" i="2"/>
  <c r="D251" i="2"/>
  <c r="D250" i="2"/>
  <c r="D249" i="2"/>
  <c r="D248" i="2"/>
  <c r="D247" i="2"/>
  <c r="D246" i="2"/>
  <c r="D245" i="2"/>
  <c r="D244" i="2"/>
  <c r="D243" i="2"/>
  <c r="D242" i="2"/>
  <c r="D241" i="2"/>
  <c r="D240" i="2"/>
  <c r="AB252" i="2" l="1"/>
  <c r="AB269" i="2"/>
  <c r="L226" i="2"/>
  <c r="I226" i="2"/>
  <c r="H226" i="2"/>
  <c r="L225" i="2"/>
  <c r="I225" i="2"/>
  <c r="H225" i="2"/>
  <c r="D239" i="2"/>
  <c r="D238" i="2"/>
  <c r="D237" i="2"/>
  <c r="D236" i="2"/>
  <c r="D235" i="2"/>
  <c r="D234" i="2"/>
  <c r="D233" i="2"/>
  <c r="D232" i="2"/>
  <c r="D231" i="2"/>
  <c r="D230" i="2"/>
  <c r="D229" i="2"/>
  <c r="D228" i="2"/>
  <c r="D227" i="2"/>
  <c r="D226" i="2"/>
  <c r="D225" i="2"/>
  <c r="AQ2" i="18"/>
  <c r="AQ3" i="18" s="1"/>
  <c r="L220" i="2"/>
  <c r="L221" i="2"/>
  <c r="L222" i="2"/>
  <c r="L223" i="2"/>
  <c r="L224" i="2"/>
  <c r="L227" i="2"/>
  <c r="L228" i="2"/>
  <c r="L229" i="2"/>
  <c r="L230" i="2"/>
  <c r="L231" i="2"/>
  <c r="L232" i="2"/>
  <c r="L233" i="2"/>
  <c r="L234" i="2"/>
  <c r="L235" i="2"/>
  <c r="L236" i="2"/>
  <c r="L237" i="2"/>
  <c r="L238" i="2"/>
  <c r="L239" i="2"/>
  <c r="L242" i="2"/>
  <c r="L243" i="2"/>
  <c r="L244" i="2"/>
  <c r="L245" i="2"/>
  <c r="L246" i="2"/>
  <c r="L247" i="2"/>
  <c r="L248" i="2"/>
  <c r="L249" i="2"/>
  <c r="L250" i="2"/>
  <c r="L251" i="2"/>
  <c r="L253" i="2"/>
  <c r="L254" i="2"/>
  <c r="L255" i="2"/>
  <c r="L256" i="2"/>
  <c r="L257" i="2"/>
  <c r="L258" i="2"/>
  <c r="L259" i="2"/>
  <c r="L260" i="2"/>
  <c r="L261" i="2"/>
  <c r="L262" i="2"/>
  <c r="L263" i="2"/>
  <c r="L266" i="2"/>
  <c r="L267" i="2"/>
  <c r="L268" i="2"/>
  <c r="L270" i="2"/>
  <c r="L271" i="2"/>
  <c r="L272" i="2"/>
  <c r="L273" i="2"/>
  <c r="L274" i="2"/>
  <c r="L275" i="2"/>
  <c r="L276" i="2"/>
  <c r="L277" i="2"/>
  <c r="L278" i="2"/>
  <c r="L279" i="2"/>
  <c r="L280" i="2"/>
  <c r="L281" i="2"/>
  <c r="L284" i="2"/>
  <c r="L285" i="2"/>
  <c r="L286" i="2"/>
  <c r="L287" i="2"/>
  <c r="L290" i="2"/>
  <c r="L291" i="2"/>
  <c r="L292" i="2"/>
  <c r="L295" i="2"/>
  <c r="L296" i="2"/>
  <c r="L297" i="2"/>
  <c r="L298" i="2"/>
  <c r="L299" i="2"/>
  <c r="L302" i="2"/>
  <c r="L303" i="2"/>
  <c r="L304" i="2"/>
  <c r="L305" i="2"/>
  <c r="L306" i="2"/>
  <c r="L309" i="2"/>
  <c r="L310" i="2"/>
  <c r="L311" i="2"/>
  <c r="L314" i="2"/>
  <c r="L315" i="2"/>
  <c r="L316" i="2"/>
  <c r="L319" i="2"/>
  <c r="L320" i="2"/>
  <c r="L321" i="2"/>
  <c r="L322" i="2"/>
  <c r="L323" i="2"/>
  <c r="L324" i="2"/>
  <c r="L325" i="2"/>
  <c r="L326" i="2"/>
  <c r="L327" i="2"/>
  <c r="L328" i="2"/>
  <c r="L329" i="2"/>
  <c r="L330" i="2"/>
  <c r="L331" i="2"/>
  <c r="L334" i="2"/>
  <c r="L335" i="2"/>
  <c r="L336" i="2"/>
  <c r="L337" i="2"/>
  <c r="L338" i="2"/>
  <c r="L339" i="2"/>
  <c r="L340" i="2"/>
  <c r="L343" i="2"/>
  <c r="L344" i="2"/>
  <c r="L345" i="2"/>
  <c r="L348" i="2"/>
  <c r="L352" i="2"/>
  <c r="L353" i="2"/>
  <c r="L354" i="2"/>
  <c r="L355" i="2"/>
  <c r="L356" i="2"/>
  <c r="L357" i="2"/>
  <c r="L358" i="2"/>
  <c r="L359" i="2"/>
  <c r="L362" i="2"/>
  <c r="L363" i="2"/>
  <c r="L364" i="2"/>
  <c r="L365" i="2"/>
  <c r="L366" i="2"/>
  <c r="L369" i="2"/>
  <c r="L370" i="2"/>
  <c r="L371" i="2"/>
  <c r="L372" i="2"/>
  <c r="L375" i="2"/>
  <c r="L376" i="2"/>
  <c r="L377" i="2"/>
  <c r="L378" i="2"/>
  <c r="L379" i="2"/>
  <c r="L382" i="2"/>
  <c r="L383" i="2"/>
  <c r="L384" i="2"/>
  <c r="L385" i="2"/>
  <c r="L386" i="2"/>
  <c r="L387" i="2"/>
  <c r="L388" i="2"/>
  <c r="L389" i="2"/>
  <c r="L392" i="2"/>
  <c r="L393" i="2"/>
  <c r="L394" i="2"/>
  <c r="L395" i="2"/>
  <c r="L396" i="2"/>
  <c r="L397" i="2"/>
  <c r="L398" i="2"/>
  <c r="L399" i="2"/>
  <c r="L400" i="2"/>
  <c r="L401" i="2"/>
  <c r="L402" i="2"/>
  <c r="L403" i="2"/>
  <c r="L404" i="2"/>
  <c r="L405" i="2"/>
  <c r="L406" i="2"/>
  <c r="L407" i="2"/>
  <c r="L408" i="2"/>
  <c r="L409" i="2"/>
  <c r="L410" i="2"/>
  <c r="L411" i="2"/>
  <c r="L412" i="2"/>
  <c r="L415" i="2"/>
  <c r="L416" i="2"/>
  <c r="L417" i="2"/>
  <c r="L418" i="2"/>
  <c r="L419" i="2"/>
  <c r="L420" i="2"/>
  <c r="L422" i="2"/>
  <c r="L424" i="2"/>
  <c r="L425" i="2"/>
  <c r="L426" i="2"/>
  <c r="L429" i="2"/>
  <c r="L430" i="2"/>
  <c r="L431" i="2"/>
  <c r="L432" i="2"/>
  <c r="L433" i="2"/>
  <c r="L434" i="2"/>
  <c r="L435" i="2"/>
  <c r="L438" i="2"/>
  <c r="L439" i="2"/>
  <c r="L440" i="2"/>
  <c r="L441" i="2"/>
  <c r="L442" i="2"/>
  <c r="L451" i="2"/>
  <c r="L452" i="2"/>
  <c r="L453" i="2"/>
  <c r="L454" i="2"/>
  <c r="L455" i="2"/>
  <c r="L456" i="2"/>
  <c r="L457" i="2"/>
  <c r="L458" i="2"/>
  <c r="L459" i="2"/>
  <c r="L460" i="2"/>
  <c r="L461" i="2"/>
  <c r="L462" i="2"/>
  <c r="L463" i="2"/>
  <c r="L464" i="2"/>
  <c r="L465" i="2"/>
  <c r="L466" i="2"/>
  <c r="L469" i="2"/>
  <c r="L470" i="2"/>
  <c r="L471" i="2"/>
  <c r="L472" i="2"/>
  <c r="L473" i="2"/>
  <c r="L474" i="2"/>
  <c r="L477" i="2"/>
  <c r="L478" i="2"/>
  <c r="L479" i="2"/>
  <c r="L480" i="2"/>
  <c r="L481" i="2"/>
  <c r="L482" i="2"/>
  <c r="L483" i="2"/>
  <c r="L484" i="2"/>
  <c r="L485" i="2"/>
  <c r="L486" i="2"/>
  <c r="L487" i="2"/>
  <c r="L488" i="2"/>
  <c r="L489" i="2"/>
  <c r="L492" i="2"/>
  <c r="L493" i="2"/>
  <c r="L494" i="2"/>
  <c r="L495" i="2"/>
  <c r="L496" i="2"/>
  <c r="L497" i="2"/>
  <c r="L498" i="2"/>
  <c r="L499" i="2"/>
  <c r="L500" i="2"/>
  <c r="L501" i="2"/>
  <c r="L505" i="2"/>
  <c r="L506" i="2"/>
  <c r="L507" i="2"/>
  <c r="L508" i="2"/>
  <c r="L509" i="2"/>
  <c r="L510" i="2"/>
  <c r="L511" i="2"/>
  <c r="L512" i="2"/>
  <c r="L515" i="2"/>
  <c r="L516" i="2"/>
  <c r="L517" i="2"/>
  <c r="L518" i="2"/>
  <c r="L519" i="2"/>
  <c r="L520" i="2"/>
  <c r="L521" i="2"/>
  <c r="L522" i="2"/>
  <c r="L523" i="2"/>
  <c r="L524" i="2"/>
  <c r="L525" i="2"/>
  <c r="L534" i="2"/>
  <c r="L535" i="2"/>
  <c r="L536" i="2"/>
  <c r="L537" i="2"/>
  <c r="L538" i="2"/>
  <c r="L539" i="2"/>
  <c r="L540" i="2"/>
  <c r="L541" i="2"/>
  <c r="L542" i="2"/>
  <c r="L543" i="2"/>
  <c r="L544" i="2"/>
  <c r="L545" i="2"/>
  <c r="L548" i="2"/>
  <c r="L549" i="2"/>
  <c r="L550" i="2"/>
  <c r="L551" i="2"/>
  <c r="L552" i="2"/>
  <c r="L553" i="2"/>
  <c r="L554" i="2"/>
  <c r="L557" i="2"/>
  <c r="L558" i="2"/>
  <c r="L559" i="2"/>
  <c r="L560" i="2"/>
  <c r="L561" i="2"/>
  <c r="L562" i="2"/>
  <c r="L565" i="2"/>
  <c r="L566" i="2"/>
  <c r="L567" i="2"/>
  <c r="L568" i="2"/>
  <c r="L569" i="2"/>
  <c r="L572" i="2"/>
  <c r="L573" i="2"/>
  <c r="L574" i="2"/>
  <c r="L577" i="2"/>
  <c r="L578" i="2"/>
  <c r="L579" i="2"/>
  <c r="L582" i="2"/>
  <c r="L583" i="2"/>
  <c r="L584" i="2"/>
  <c r="L585" i="2"/>
  <c r="L586" i="2"/>
  <c r="L587" i="2"/>
  <c r="L588" i="2"/>
  <c r="L589" i="2"/>
  <c r="L592" i="2"/>
  <c r="L593" i="2"/>
  <c r="L594" i="2"/>
  <c r="L595" i="2"/>
  <c r="L598" i="2"/>
  <c r="L599" i="2"/>
  <c r="L600" i="2"/>
  <c r="L601" i="2"/>
  <c r="L602" i="2"/>
  <c r="L605" i="2"/>
  <c r="L606" i="2"/>
  <c r="L607" i="2"/>
  <c r="L612" i="2"/>
  <c r="L613" i="2"/>
  <c r="L614" i="2"/>
  <c r="L617" i="2"/>
  <c r="L618" i="2"/>
  <c r="L619" i="2"/>
  <c r="L620" i="2"/>
  <c r="L623" i="2"/>
  <c r="L624" i="2"/>
  <c r="L625" i="2"/>
  <c r="L626" i="2"/>
  <c r="L627" i="2"/>
  <c r="L628" i="2"/>
  <c r="L629" i="2"/>
  <c r="L632" i="2"/>
  <c r="L633" i="2"/>
  <c r="L634" i="2"/>
  <c r="L637" i="2"/>
  <c r="L638" i="2"/>
  <c r="L641" i="2"/>
  <c r="L642" i="2"/>
  <c r="L643" i="2"/>
  <c r="L644" i="2"/>
  <c r="L645" i="2"/>
  <c r="L648" i="2"/>
  <c r="L656" i="2"/>
  <c r="L657" i="2"/>
  <c r="L658" i="2"/>
  <c r="L659" i="2"/>
  <c r="L660" i="2"/>
  <c r="L663" i="2"/>
  <c r="L664" i="2"/>
  <c r="L665" i="2"/>
  <c r="L666" i="2"/>
  <c r="L667" i="2"/>
  <c r="L668" i="2"/>
  <c r="L673" i="2"/>
  <c r="L674" i="2"/>
  <c r="L675" i="2"/>
  <c r="L676" i="2"/>
  <c r="L677" i="2"/>
  <c r="L678" i="2"/>
  <c r="L681" i="2"/>
  <c r="L682" i="2"/>
  <c r="L683" i="2"/>
  <c r="L684" i="2"/>
  <c r="L685" i="2"/>
  <c r="L686" i="2"/>
  <c r="L687" i="2"/>
  <c r="L688" i="2"/>
  <c r="L689" i="2"/>
  <c r="L690" i="2"/>
  <c r="L691" i="2"/>
  <c r="L692" i="2"/>
  <c r="L696" i="2"/>
  <c r="L697" i="2"/>
  <c r="L698" i="2"/>
  <c r="L699" i="2"/>
  <c r="L700" i="2"/>
  <c r="L701" i="2"/>
  <c r="L702" i="2"/>
  <c r="L703" i="2"/>
  <c r="L704" i="2"/>
  <c r="L705" i="2"/>
  <c r="L706" i="2"/>
  <c r="L707" i="2"/>
  <c r="L708" i="2"/>
  <c r="L709" i="2"/>
  <c r="L712" i="2"/>
  <c r="L713" i="2"/>
  <c r="L714" i="2"/>
  <c r="L715" i="2"/>
  <c r="L716" i="2"/>
  <c r="L717" i="2"/>
  <c r="L718" i="2"/>
  <c r="L721" i="2"/>
  <c r="L722" i="2"/>
  <c r="L723" i="2"/>
  <c r="L726" i="2"/>
  <c r="L727" i="2"/>
  <c r="L728" i="2"/>
  <c r="L731" i="2"/>
  <c r="L732" i="2"/>
  <c r="L733" i="2"/>
  <c r="L734" i="2"/>
  <c r="L735" i="2"/>
  <c r="L738" i="2"/>
  <c r="L739" i="2"/>
  <c r="L740" i="2"/>
  <c r="L741" i="2"/>
  <c r="L742" i="2"/>
  <c r="L743" i="2"/>
  <c r="L744" i="2"/>
  <c r="L747" i="2"/>
  <c r="L748" i="2"/>
  <c r="L749" i="2"/>
  <c r="L750" i="2"/>
  <c r="L751" i="2"/>
  <c r="L752" i="2"/>
  <c r="L755" i="2"/>
  <c r="L756" i="2"/>
  <c r="L757" i="2"/>
  <c r="L758" i="2"/>
  <c r="L759" i="2"/>
  <c r="L760" i="2"/>
  <c r="L761" i="2"/>
  <c r="L762"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D224" i="2"/>
  <c r="D223" i="2"/>
  <c r="D222" i="2"/>
  <c r="D221" i="2"/>
  <c r="D220" i="2"/>
  <c r="AB225" i="2" l="1"/>
  <c r="AB226" i="2"/>
  <c r="L211" i="2"/>
  <c r="L212" i="2"/>
  <c r="L213" i="2"/>
  <c r="L214" i="2"/>
  <c r="L215" i="2"/>
  <c r="L216" i="2"/>
  <c r="L217" i="2"/>
  <c r="L218" i="2"/>
  <c r="L219" i="2"/>
  <c r="D211" i="2"/>
  <c r="D212" i="2"/>
  <c r="D213" i="2"/>
  <c r="D214" i="2"/>
  <c r="D215" i="2"/>
  <c r="D216" i="2"/>
  <c r="D217" i="2"/>
  <c r="D218" i="2"/>
  <c r="D219" i="2"/>
  <c r="L193" i="2" l="1"/>
  <c r="I193" i="2"/>
  <c r="H193" i="2"/>
  <c r="L192" i="2"/>
  <c r="I192" i="2"/>
  <c r="H192" i="2"/>
  <c r="L210" i="2"/>
  <c r="L209" i="2"/>
  <c r="L208" i="2"/>
  <c r="L207" i="2"/>
  <c r="L206" i="2"/>
  <c r="L205" i="2"/>
  <c r="L204" i="2"/>
  <c r="L203" i="2"/>
  <c r="L202" i="2"/>
  <c r="L201" i="2"/>
  <c r="L200" i="2"/>
  <c r="L199" i="2"/>
  <c r="L198" i="2"/>
  <c r="L197" i="2"/>
  <c r="L196" i="2"/>
  <c r="L195" i="2"/>
  <c r="L194" i="2"/>
  <c r="D210" i="2"/>
  <c r="D209" i="2"/>
  <c r="D208" i="2"/>
  <c r="D207" i="2"/>
  <c r="D206" i="2"/>
  <c r="D205" i="2"/>
  <c r="D204" i="2"/>
  <c r="D203" i="2"/>
  <c r="D202" i="2"/>
  <c r="D201" i="2"/>
  <c r="D200" i="2"/>
  <c r="D199" i="2"/>
  <c r="D198" i="2"/>
  <c r="D197" i="2"/>
  <c r="D196" i="2"/>
  <c r="D195" i="2"/>
  <c r="D194" i="2"/>
  <c r="D193" i="2"/>
  <c r="D192" i="2"/>
  <c r="L191" i="2"/>
  <c r="D191" i="2"/>
  <c r="L166" i="2"/>
  <c r="I166" i="2"/>
  <c r="H166" i="2"/>
  <c r="L165" i="2"/>
  <c r="I165" i="2"/>
  <c r="H165" i="2"/>
  <c r="L190" i="2"/>
  <c r="L189" i="2"/>
  <c r="L188" i="2"/>
  <c r="L187" i="2"/>
  <c r="L186" i="2"/>
  <c r="L185" i="2"/>
  <c r="L184" i="2"/>
  <c r="L183" i="2"/>
  <c r="L182" i="2"/>
  <c r="L181" i="2"/>
  <c r="L180" i="2"/>
  <c r="L179" i="2"/>
  <c r="L178" i="2"/>
  <c r="L177" i="2"/>
  <c r="L176" i="2"/>
  <c r="L175" i="2"/>
  <c r="L174" i="2"/>
  <c r="L173" i="2"/>
  <c r="L172" i="2"/>
  <c r="L171" i="2"/>
  <c r="L170" i="2"/>
  <c r="L169" i="2"/>
  <c r="L168" i="2"/>
  <c r="L167"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L164" i="2"/>
  <c r="L163" i="2"/>
  <c r="L162" i="2"/>
  <c r="L161" i="2"/>
  <c r="L160" i="2"/>
  <c r="L159" i="2"/>
  <c r="L158" i="2"/>
  <c r="L157" i="2"/>
  <c r="L156" i="2"/>
  <c r="L155" i="2"/>
  <c r="L154" i="2"/>
  <c r="L153" i="2"/>
  <c r="L152" i="2"/>
  <c r="L151" i="2"/>
  <c r="I150" i="2"/>
  <c r="H150" i="2"/>
  <c r="AB130" i="2"/>
  <c r="L130" i="2"/>
  <c r="I130" i="2"/>
  <c r="H130" i="2"/>
  <c r="AB129" i="2"/>
  <c r="L129" i="2"/>
  <c r="I129" i="2"/>
  <c r="H129" i="2"/>
  <c r="L150" i="2"/>
  <c r="L149" i="2"/>
  <c r="L148" i="2"/>
  <c r="L147" i="2"/>
  <c r="L146" i="2"/>
  <c r="L145" i="2"/>
  <c r="L144" i="2"/>
  <c r="L143" i="2"/>
  <c r="L142" i="2"/>
  <c r="L141" i="2"/>
  <c r="L140" i="2"/>
  <c r="L139" i="2"/>
  <c r="L138" i="2"/>
  <c r="L137" i="2"/>
  <c r="L136" i="2"/>
  <c r="L135" i="2"/>
  <c r="L134" i="2"/>
  <c r="L133" i="2"/>
  <c r="L132" i="2"/>
  <c r="L131" i="2"/>
  <c r="D151" i="2"/>
  <c r="D150" i="2"/>
  <c r="D149" i="2"/>
  <c r="D148" i="2"/>
  <c r="D147" i="2"/>
  <c r="D146" i="2"/>
  <c r="D145" i="2"/>
  <c r="D144" i="2"/>
  <c r="D143" i="2"/>
  <c r="D142" i="2"/>
  <c r="D141" i="2"/>
  <c r="D140" i="2"/>
  <c r="D139" i="2"/>
  <c r="D138" i="2"/>
  <c r="D137" i="2"/>
  <c r="D136" i="2"/>
  <c r="D135" i="2"/>
  <c r="D134" i="2"/>
  <c r="D133" i="2"/>
  <c r="D132" i="2"/>
  <c r="D131" i="2"/>
  <c r="D130" i="2"/>
  <c r="D129" i="2"/>
  <c r="AB193" i="2" l="1"/>
  <c r="AB192" i="2"/>
  <c r="AB166" i="2"/>
  <c r="AB165" i="2"/>
  <c r="D128" i="2"/>
  <c r="D127" i="2"/>
  <c r="D126" i="2"/>
  <c r="D125" i="2"/>
  <c r="D124" i="2"/>
  <c r="D123" i="2"/>
  <c r="D122" i="2"/>
  <c r="D121" i="2"/>
  <c r="D120" i="2"/>
  <c r="D119" i="2"/>
  <c r="D118" i="2"/>
  <c r="D117" i="2"/>
  <c r="L122" i="2"/>
  <c r="E122" i="2"/>
  <c r="H122" i="2"/>
  <c r="I122" i="2"/>
  <c r="L123" i="2"/>
  <c r="L121" i="2"/>
  <c r="I123" i="2"/>
  <c r="H123" i="2"/>
  <c r="E123" i="2"/>
  <c r="E121" i="2"/>
  <c r="H121" i="2"/>
  <c r="I121" i="2"/>
  <c r="L128" i="2"/>
  <c r="L127" i="2"/>
  <c r="L126" i="2"/>
  <c r="L125" i="2"/>
  <c r="L124" i="2"/>
  <c r="L120" i="2"/>
  <c r="L119" i="2"/>
  <c r="L118" i="2"/>
  <c r="L117" i="2"/>
  <c r="L116" i="2"/>
  <c r="L110" i="2"/>
  <c r="L95" i="2"/>
  <c r="I95" i="2"/>
  <c r="H95" i="2"/>
  <c r="L94" i="2"/>
  <c r="I94" i="2"/>
  <c r="H94" i="2"/>
  <c r="L115" i="2"/>
  <c r="L114" i="2"/>
  <c r="L113" i="2"/>
  <c r="L112" i="2"/>
  <c r="L111" i="2"/>
  <c r="L109" i="2"/>
  <c r="L108" i="2"/>
  <c r="L107" i="2"/>
  <c r="L106" i="2"/>
  <c r="L105" i="2"/>
  <c r="L104" i="2"/>
  <c r="L103" i="2"/>
  <c r="L102" i="2"/>
  <c r="L101" i="2"/>
  <c r="L100" i="2"/>
  <c r="L99" i="2"/>
  <c r="L98" i="2"/>
  <c r="L97" i="2"/>
  <c r="L96"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AB95" i="2" l="1"/>
  <c r="AB94" i="2"/>
  <c r="AB123" i="2"/>
  <c r="AB121" i="2"/>
  <c r="AB122"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D40" i="2"/>
  <c r="D39" i="2"/>
  <c r="D38" i="2"/>
  <c r="D37" i="2"/>
  <c r="D36" i="2"/>
  <c r="D35" i="2"/>
  <c r="D34" i="2"/>
  <c r="D33" i="2"/>
  <c r="D32" i="2"/>
  <c r="D31" i="2"/>
  <c r="D30" i="2"/>
  <c r="C26" i="11" l="1"/>
  <c r="C27" i="11"/>
  <c r="C25" i="11"/>
  <c r="C24" i="11"/>
  <c r="C23" i="11"/>
  <c r="C22" i="11"/>
  <c r="C20" i="11"/>
  <c r="C21" i="11"/>
  <c r="C19" i="11"/>
  <c r="C1" i="10"/>
  <c r="K4" i="10" l="1"/>
  <c r="I4" i="10"/>
  <c r="M4" i="10"/>
  <c r="AE2" i="18"/>
  <c r="AE3" i="18"/>
  <c r="AE4" i="18"/>
  <c r="AE5" i="18"/>
  <c r="AE6" i="18"/>
  <c r="AE7" i="18"/>
  <c r="AE8" i="18"/>
  <c r="AE9" i="18"/>
  <c r="AE10" i="18"/>
  <c r="AE11" i="18"/>
  <c r="AE12" i="18"/>
  <c r="AE13" i="18"/>
  <c r="AE14" i="18"/>
  <c r="AE15" i="18"/>
  <c r="AE16" i="18"/>
  <c r="AE17" i="18"/>
  <c r="AE18" i="18"/>
  <c r="AE19" i="18"/>
  <c r="AE20" i="18"/>
  <c r="AE21" i="18"/>
  <c r="AE22" i="18"/>
  <c r="AE23" i="18"/>
  <c r="AE24" i="18"/>
  <c r="AE25" i="18"/>
  <c r="AE26" i="18"/>
  <c r="AE27" i="18"/>
  <c r="AE28" i="18"/>
  <c r="AE29" i="18"/>
  <c r="AE30" i="18"/>
  <c r="AE31" i="18"/>
  <c r="AE32" i="18"/>
  <c r="AE33" i="18"/>
  <c r="AE34" i="18"/>
  <c r="AE35" i="18"/>
  <c r="AE36" i="18"/>
  <c r="AE37" i="18"/>
  <c r="AE38" i="18"/>
  <c r="AE39" i="18"/>
  <c r="AE40" i="18"/>
  <c r="AE41" i="18"/>
  <c r="AE42" i="18"/>
  <c r="AE43" i="18"/>
  <c r="AE44" i="18"/>
  <c r="AE45" i="18"/>
  <c r="AE46" i="18"/>
  <c r="AE47" i="18"/>
  <c r="AE48" i="18"/>
  <c r="AE49" i="18"/>
  <c r="AE50" i="18"/>
  <c r="AE51" i="18"/>
  <c r="AE52" i="18"/>
  <c r="AE53" i="18"/>
  <c r="AE54" i="18"/>
  <c r="AE55" i="18"/>
  <c r="AE56" i="18"/>
  <c r="AE57" i="18"/>
  <c r="AE58" i="18"/>
  <c r="AE59" i="18"/>
  <c r="AE60" i="18"/>
  <c r="AE61" i="18"/>
  <c r="J15" i="18"/>
  <c r="J27" i="18" s="1"/>
  <c r="J39" i="18" s="1"/>
  <c r="J51" i="18" s="1"/>
  <c r="J16" i="18"/>
  <c r="J28" i="18" s="1"/>
  <c r="J40" i="18" s="1"/>
  <c r="J52" i="18" s="1"/>
  <c r="J17" i="18"/>
  <c r="J29" i="18" s="1"/>
  <c r="J41" i="18" s="1"/>
  <c r="J53" i="18" s="1"/>
  <c r="J18" i="18"/>
  <c r="J30" i="18" s="1"/>
  <c r="J42" i="18" s="1"/>
  <c r="J54" i="18" s="1"/>
  <c r="J19" i="18"/>
  <c r="J31" i="18" s="1"/>
  <c r="J43" i="18" s="1"/>
  <c r="J55" i="18" s="1"/>
  <c r="J20" i="18"/>
  <c r="J32" i="18" s="1"/>
  <c r="J44" i="18" s="1"/>
  <c r="J56" i="18" s="1"/>
  <c r="J21" i="18"/>
  <c r="J33" i="18" s="1"/>
  <c r="J45" i="18" s="1"/>
  <c r="J57" i="18" s="1"/>
  <c r="J22" i="18"/>
  <c r="J34" i="18" s="1"/>
  <c r="J46" i="18" s="1"/>
  <c r="J58" i="18" s="1"/>
  <c r="J23" i="18"/>
  <c r="J35" i="18" s="1"/>
  <c r="J47" i="18" s="1"/>
  <c r="J59" i="18" s="1"/>
  <c r="J24" i="18"/>
  <c r="J36" i="18" s="1"/>
  <c r="J48" i="18" s="1"/>
  <c r="J60" i="18" s="1"/>
  <c r="J25" i="18"/>
  <c r="J37" i="18" s="1"/>
  <c r="J49" i="18" s="1"/>
  <c r="J61" i="18" s="1"/>
  <c r="J14" i="18"/>
  <c r="J26" i="18" s="1"/>
  <c r="J38" i="18" s="1"/>
  <c r="J50" i="18" s="1"/>
  <c r="E40" i="18"/>
  <c r="E41" i="18"/>
  <c r="E42" i="18"/>
  <c r="E43" i="18"/>
  <c r="E44" i="18"/>
  <c r="E45" i="18"/>
  <c r="E46" i="18"/>
  <c r="E47" i="18"/>
  <c r="E48" i="18"/>
  <c r="E49" i="18"/>
  <c r="E50" i="18"/>
  <c r="E51" i="18"/>
  <c r="E52" i="18"/>
  <c r="E53" i="18"/>
  <c r="E54" i="18"/>
  <c r="E55" i="18"/>
  <c r="E56" i="18"/>
  <c r="E57" i="18"/>
  <c r="E58" i="18"/>
  <c r="E59" i="18"/>
  <c r="E60" i="18"/>
  <c r="E61" i="18"/>
  <c r="G40" i="18"/>
  <c r="T40" i="18" s="1"/>
  <c r="G41" i="18"/>
  <c r="T41" i="18" s="1"/>
  <c r="G42" i="18"/>
  <c r="T42" i="18" s="1"/>
  <c r="G43" i="18"/>
  <c r="T43" i="18" s="1"/>
  <c r="G44" i="18"/>
  <c r="T44" i="18" s="1"/>
  <c r="G45" i="18"/>
  <c r="T45" i="18" s="1"/>
  <c r="G46" i="18"/>
  <c r="G47" i="18"/>
  <c r="G48" i="18"/>
  <c r="T48" i="18" s="1"/>
  <c r="G49" i="18"/>
  <c r="T49" i="18" s="1"/>
  <c r="G50" i="18"/>
  <c r="T50" i="18" s="1"/>
  <c r="G51" i="18"/>
  <c r="T51" i="18" s="1"/>
  <c r="G52" i="18"/>
  <c r="T52" i="18" s="1"/>
  <c r="G53" i="18"/>
  <c r="T53" i="18" s="1"/>
  <c r="G54" i="18"/>
  <c r="T54" i="18" s="1"/>
  <c r="G55" i="18"/>
  <c r="T55" i="18" s="1"/>
  <c r="G56" i="18"/>
  <c r="T56" i="18" s="1"/>
  <c r="G57" i="18"/>
  <c r="T57" i="18" s="1"/>
  <c r="G58" i="18"/>
  <c r="T58" i="18" s="1"/>
  <c r="G59" i="18"/>
  <c r="G60" i="18"/>
  <c r="T60" i="18" s="1"/>
  <c r="G61" i="18"/>
  <c r="T61" i="18" s="1"/>
  <c r="C15" i="18"/>
  <c r="C16" i="18"/>
  <c r="C17" i="18"/>
  <c r="C18" i="18"/>
  <c r="C19" i="18"/>
  <c r="C31" i="18" s="1"/>
  <c r="C43" i="18" s="1"/>
  <c r="C55" i="18" s="1"/>
  <c r="C20" i="18"/>
  <c r="C21" i="18"/>
  <c r="C22" i="18"/>
  <c r="C23" i="18"/>
  <c r="C24" i="18"/>
  <c r="C25" i="18"/>
  <c r="C27" i="18"/>
  <c r="C28" i="18"/>
  <c r="C40" i="18" s="1"/>
  <c r="C52" i="18" s="1"/>
  <c r="C29" i="18"/>
  <c r="C41" i="18" s="1"/>
  <c r="C53" i="18" s="1"/>
  <c r="C30" i="18"/>
  <c r="C42" i="18" s="1"/>
  <c r="C54" i="18" s="1"/>
  <c r="C32" i="18"/>
  <c r="C44" i="18" s="1"/>
  <c r="C56" i="18" s="1"/>
  <c r="C33" i="18"/>
  <c r="C45" i="18" s="1"/>
  <c r="C57" i="18" s="1"/>
  <c r="C34" i="18"/>
  <c r="C46" i="18" s="1"/>
  <c r="C58" i="18" s="1"/>
  <c r="C35" i="18"/>
  <c r="C47" i="18" s="1"/>
  <c r="C59" i="18" s="1"/>
  <c r="C36" i="18"/>
  <c r="C48" i="18" s="1"/>
  <c r="C60" i="18" s="1"/>
  <c r="C37" i="18"/>
  <c r="C49" i="18" s="1"/>
  <c r="C61" i="18" s="1"/>
  <c r="C39" i="18"/>
  <c r="C51" i="18" s="1"/>
  <c r="C14" i="18"/>
  <c r="C26" i="18" s="1"/>
  <c r="C38" i="18" s="1"/>
  <c r="C50" i="18" s="1"/>
  <c r="B15" i="18"/>
  <c r="B27" i="18" s="1"/>
  <c r="B39" i="18" s="1"/>
  <c r="B51" i="18" s="1"/>
  <c r="B16" i="18"/>
  <c r="B28" i="18" s="1"/>
  <c r="B40" i="18" s="1"/>
  <c r="B52" i="18" s="1"/>
  <c r="B17" i="18"/>
  <c r="B29" i="18" s="1"/>
  <c r="B41" i="18" s="1"/>
  <c r="B53" i="18" s="1"/>
  <c r="B18" i="18"/>
  <c r="B30" i="18" s="1"/>
  <c r="B42" i="18" s="1"/>
  <c r="B54" i="18" s="1"/>
  <c r="B19" i="18"/>
  <c r="B31" i="18" s="1"/>
  <c r="B43" i="18" s="1"/>
  <c r="B55" i="18" s="1"/>
  <c r="B20" i="18"/>
  <c r="B32" i="18" s="1"/>
  <c r="B44" i="18" s="1"/>
  <c r="B56" i="18" s="1"/>
  <c r="B21" i="18"/>
  <c r="B33" i="18" s="1"/>
  <c r="B45" i="18" s="1"/>
  <c r="B57" i="18" s="1"/>
  <c r="B22" i="18"/>
  <c r="B34" i="18" s="1"/>
  <c r="B46" i="18" s="1"/>
  <c r="B58" i="18" s="1"/>
  <c r="B23" i="18"/>
  <c r="B35" i="18" s="1"/>
  <c r="B47" i="18" s="1"/>
  <c r="B59" i="18" s="1"/>
  <c r="B24" i="18"/>
  <c r="B36" i="18" s="1"/>
  <c r="B48" i="18" s="1"/>
  <c r="B60" i="18" s="1"/>
  <c r="B25" i="18"/>
  <c r="B37" i="18" s="1"/>
  <c r="B49" i="18" s="1"/>
  <c r="B61" i="18" s="1"/>
  <c r="B14" i="18"/>
  <c r="B26" i="18" s="1"/>
  <c r="B38" i="18" s="1"/>
  <c r="B50" i="18" s="1"/>
  <c r="D3" i="19"/>
  <c r="C3" i="19"/>
  <c r="B3" i="19"/>
  <c r="A4" i="19"/>
  <c r="B4" i="19" s="1"/>
  <c r="B1" i="19"/>
  <c r="C1" i="19" s="1"/>
  <c r="D1" i="19" s="1"/>
  <c r="E1" i="19" s="1"/>
  <c r="F1" i="19" s="1"/>
  <c r="G1" i="19" s="1"/>
  <c r="H1" i="19" s="1"/>
  <c r="I1" i="19" s="1"/>
  <c r="J1" i="19" s="1"/>
  <c r="K1" i="19" s="1"/>
  <c r="L1" i="19" s="1"/>
  <c r="M1" i="19" s="1"/>
  <c r="N1" i="19" s="1"/>
  <c r="O1" i="19" s="1"/>
  <c r="P1" i="19" s="1"/>
  <c r="Q1" i="19" s="1"/>
  <c r="R1" i="19" s="1"/>
  <c r="S1" i="19" s="1"/>
  <c r="T1" i="19" s="1"/>
  <c r="U1" i="19" s="1"/>
  <c r="V1" i="19" s="1"/>
  <c r="W1" i="19" s="1"/>
  <c r="X1" i="19" s="1"/>
  <c r="Y1" i="19" s="1"/>
  <c r="Z1" i="19" s="1"/>
  <c r="AA1" i="19" s="1"/>
  <c r="AC1" i="19" s="1"/>
  <c r="AD1" i="19" s="1"/>
  <c r="AE1" i="19" s="1"/>
  <c r="AF1" i="19" s="1"/>
  <c r="AG1" i="19" s="1"/>
  <c r="AH1" i="19" s="1"/>
  <c r="AI1" i="19" s="1"/>
  <c r="AJ1" i="19" s="1"/>
  <c r="AK1" i="19" s="1"/>
  <c r="AL1" i="19" s="1"/>
  <c r="AM1" i="19" s="1"/>
  <c r="AN1" i="19" s="1"/>
  <c r="AO1" i="19" s="1"/>
  <c r="AP1" i="19" s="1"/>
  <c r="AQ1" i="19" s="1"/>
  <c r="AR1" i="19" s="1"/>
  <c r="A5" i="19" l="1"/>
  <c r="C4" i="19"/>
  <c r="D4" i="19"/>
  <c r="T59" i="18"/>
  <c r="T47" i="18"/>
  <c r="T46" i="18"/>
  <c r="AC39" i="18"/>
  <c r="AC51" i="18" s="1"/>
  <c r="G39" i="18"/>
  <c r="T39" i="18" s="1"/>
  <c r="E39" i="18"/>
  <c r="AC38" i="18"/>
  <c r="AC50" i="18" s="1"/>
  <c r="G38" i="18"/>
  <c r="E38" i="18"/>
  <c r="AC37" i="18"/>
  <c r="AC49" i="18" s="1"/>
  <c r="AC61" i="18" s="1"/>
  <c r="G37" i="18"/>
  <c r="T37" i="18" s="1"/>
  <c r="E37" i="18"/>
  <c r="AC36" i="18"/>
  <c r="AC48" i="18" s="1"/>
  <c r="AC60" i="18" s="1"/>
  <c r="G36" i="18"/>
  <c r="T36" i="18" s="1"/>
  <c r="E36" i="18"/>
  <c r="AC35" i="18"/>
  <c r="AC47" i="18" s="1"/>
  <c r="AC59" i="18" s="1"/>
  <c r="G35" i="18"/>
  <c r="T35" i="18" s="1"/>
  <c r="E35" i="18"/>
  <c r="AC34" i="18"/>
  <c r="AC46" i="18" s="1"/>
  <c r="AC58" i="18" s="1"/>
  <c r="G34" i="18"/>
  <c r="T34" i="18" s="1"/>
  <c r="E34" i="18"/>
  <c r="AC33" i="18"/>
  <c r="AC45" i="18" s="1"/>
  <c r="AC57" i="18" s="1"/>
  <c r="G33" i="18"/>
  <c r="E33" i="18"/>
  <c r="AC32" i="18"/>
  <c r="AC44" i="18" s="1"/>
  <c r="AC56" i="18" s="1"/>
  <c r="G32" i="18"/>
  <c r="T32" i="18" s="1"/>
  <c r="E32" i="18"/>
  <c r="AC31" i="18"/>
  <c r="AC43" i="18" s="1"/>
  <c r="AC55" i="18" s="1"/>
  <c r="G31" i="18"/>
  <c r="T31" i="18" s="1"/>
  <c r="E31" i="18"/>
  <c r="AC30" i="18"/>
  <c r="AC42" i="18" s="1"/>
  <c r="AC54" i="18" s="1"/>
  <c r="G30" i="18"/>
  <c r="T30" i="18" s="1"/>
  <c r="E30" i="18"/>
  <c r="AC29" i="18"/>
  <c r="AC41" i="18" s="1"/>
  <c r="AC53" i="18" s="1"/>
  <c r="AD61" i="18" s="1"/>
  <c r="G29" i="18"/>
  <c r="T29" i="18" s="1"/>
  <c r="E29" i="18"/>
  <c r="AC28" i="18"/>
  <c r="AC40" i="18" s="1"/>
  <c r="AC52" i="18" s="1"/>
  <c r="G28" i="18"/>
  <c r="T28" i="18" s="1"/>
  <c r="E28" i="18"/>
  <c r="G27" i="18"/>
  <c r="E27" i="18"/>
  <c r="AD26" i="18"/>
  <c r="G26" i="18"/>
  <c r="T26" i="18" s="1"/>
  <c r="E26" i="18"/>
  <c r="AD25" i="18"/>
  <c r="G25" i="18"/>
  <c r="T25" i="18" s="1"/>
  <c r="E25" i="18"/>
  <c r="AD24" i="18"/>
  <c r="G24" i="18"/>
  <c r="T24" i="18" s="1"/>
  <c r="E24" i="18"/>
  <c r="AD23" i="18"/>
  <c r="G23" i="18"/>
  <c r="T23" i="18" s="1"/>
  <c r="E23" i="18"/>
  <c r="AD22" i="18"/>
  <c r="G22" i="18"/>
  <c r="T22" i="18" s="1"/>
  <c r="E22" i="18"/>
  <c r="AD21" i="18"/>
  <c r="G21" i="18"/>
  <c r="T21" i="18" s="1"/>
  <c r="E21" i="18"/>
  <c r="AD20" i="18"/>
  <c r="G20" i="18"/>
  <c r="T20" i="18" s="1"/>
  <c r="E20" i="18"/>
  <c r="AD19" i="18"/>
  <c r="G19" i="18"/>
  <c r="T19" i="18" s="1"/>
  <c r="E19" i="18"/>
  <c r="AD18" i="18"/>
  <c r="G18" i="18"/>
  <c r="T18" i="18" s="1"/>
  <c r="E18" i="18"/>
  <c r="AD17" i="18"/>
  <c r="G17" i="18"/>
  <c r="T17" i="18" s="1"/>
  <c r="E17" i="18"/>
  <c r="AD16" i="18"/>
  <c r="G16" i="18"/>
  <c r="T16" i="18" s="1"/>
  <c r="E16" i="18"/>
  <c r="AD15" i="18"/>
  <c r="G15" i="18"/>
  <c r="T15" i="18" s="1"/>
  <c r="E15" i="18"/>
  <c r="AD14" i="18"/>
  <c r="G14" i="18"/>
  <c r="T14" i="18" s="1"/>
  <c r="E14" i="18"/>
  <c r="AD13" i="18"/>
  <c r="G13" i="18"/>
  <c r="T13" i="18" s="1"/>
  <c r="E13" i="18"/>
  <c r="AD12" i="18"/>
  <c r="G12" i="18"/>
  <c r="E12" i="18"/>
  <c r="AD11" i="18"/>
  <c r="G11" i="18"/>
  <c r="T11" i="18" s="1"/>
  <c r="E11" i="18"/>
  <c r="AD10" i="18"/>
  <c r="G10" i="18"/>
  <c r="T10" i="18" s="1"/>
  <c r="E10" i="18"/>
  <c r="AD9" i="18"/>
  <c r="G9" i="18"/>
  <c r="T9" i="18" s="1"/>
  <c r="E9" i="18"/>
  <c r="AD8" i="18"/>
  <c r="G8" i="18"/>
  <c r="T8" i="18" s="1"/>
  <c r="E8" i="18"/>
  <c r="AD7" i="18"/>
  <c r="G7" i="18"/>
  <c r="T7" i="18" s="1"/>
  <c r="E7" i="18"/>
  <c r="AD6" i="18"/>
  <c r="G6" i="18"/>
  <c r="T6" i="18" s="1"/>
  <c r="E6" i="18"/>
  <c r="AD5" i="18"/>
  <c r="G5" i="18"/>
  <c r="E5" i="18"/>
  <c r="AD4" i="18"/>
  <c r="G4" i="18"/>
  <c r="T4" i="18" s="1"/>
  <c r="E4" i="18"/>
  <c r="AD3" i="18"/>
  <c r="G3" i="18"/>
  <c r="T3" i="18" s="1"/>
  <c r="E3"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D2" i="18"/>
  <c r="G2" i="18"/>
  <c r="T2" i="18" s="1"/>
  <c r="E2" i="18"/>
  <c r="A6" i="19" l="1"/>
  <c r="B5" i="19"/>
  <c r="C5" i="19"/>
  <c r="D5" i="19"/>
  <c r="AD53" i="18"/>
  <c r="AD59" i="18"/>
  <c r="AD55" i="18"/>
  <c r="AD51" i="18"/>
  <c r="AD54" i="18"/>
  <c r="AD56" i="18"/>
  <c r="AD57" i="18"/>
  <c r="C13" i="11"/>
  <c r="AD50" i="18"/>
  <c r="C4" i="10" s="1"/>
  <c r="AD52" i="18"/>
  <c r="AD58" i="18"/>
  <c r="AD60" i="18"/>
  <c r="AD40" i="18"/>
  <c r="AD41" i="18"/>
  <c r="AD42" i="18"/>
  <c r="AD43" i="18"/>
  <c r="AD39" i="18"/>
  <c r="AD44" i="18"/>
  <c r="AD45" i="18"/>
  <c r="AD46" i="18"/>
  <c r="AD47" i="18"/>
  <c r="AD48" i="18"/>
  <c r="AD49" i="18"/>
  <c r="T33" i="18"/>
  <c r="AD28" i="18"/>
  <c r="AD27" i="18"/>
  <c r="T38" i="18"/>
  <c r="T5" i="18"/>
  <c r="T12" i="18"/>
  <c r="T27" i="18"/>
  <c r="AD37" i="18"/>
  <c r="AD32" i="18"/>
  <c r="AD30" i="18"/>
  <c r="AD35" i="18"/>
  <c r="AD33" i="18"/>
  <c r="AD38" i="18"/>
  <c r="AD31" i="18"/>
  <c r="AD36" i="18"/>
  <c r="AD29" i="18"/>
  <c r="AD34" i="18"/>
  <c r="A7" i="19" l="1"/>
  <c r="B6" i="19"/>
  <c r="C6" i="19"/>
  <c r="D6" i="19"/>
  <c r="A8" i="19" l="1"/>
  <c r="B7" i="19"/>
  <c r="C7" i="19"/>
  <c r="D7" i="19"/>
  <c r="A9" i="19" l="1"/>
  <c r="B8" i="19"/>
  <c r="C8" i="19"/>
  <c r="D8" i="19"/>
  <c r="A10" i="19" l="1"/>
  <c r="B9" i="19"/>
  <c r="C9" i="19"/>
  <c r="D9" i="19"/>
  <c r="A11" i="19" l="1"/>
  <c r="B10" i="19"/>
  <c r="C10" i="19"/>
  <c r="D10" i="19"/>
  <c r="A12" i="19" l="1"/>
  <c r="D11" i="19"/>
  <c r="C11" i="19"/>
  <c r="B11" i="19"/>
  <c r="A13" i="19" l="1"/>
  <c r="D12" i="19"/>
  <c r="B12" i="19"/>
  <c r="C12" i="19"/>
  <c r="A14" i="19" l="1"/>
  <c r="D13" i="19"/>
  <c r="B13" i="19"/>
  <c r="C13" i="19"/>
  <c r="A15" i="19" l="1"/>
  <c r="C14" i="19"/>
  <c r="D14" i="19"/>
  <c r="B14" i="19"/>
  <c r="A16" i="19" l="1"/>
  <c r="C15" i="19"/>
  <c r="D15" i="19"/>
  <c r="B15" i="19"/>
  <c r="A17" i="19" l="1"/>
  <c r="C16" i="19"/>
  <c r="D16" i="19"/>
  <c r="B16" i="19"/>
  <c r="A18" i="19" l="1"/>
  <c r="B17" i="19"/>
  <c r="C17" i="19"/>
  <c r="D17" i="19"/>
  <c r="A19" i="19" l="1"/>
  <c r="B18" i="19"/>
  <c r="C18" i="19"/>
  <c r="D18" i="19"/>
  <c r="A20" i="19" l="1"/>
  <c r="B19" i="19"/>
  <c r="C19" i="19"/>
  <c r="D19" i="19"/>
  <c r="A21" i="19" l="1"/>
  <c r="B20" i="19"/>
  <c r="C20" i="19"/>
  <c r="D20" i="19"/>
  <c r="A22" i="19" l="1"/>
  <c r="B21" i="19"/>
  <c r="C21" i="19"/>
  <c r="D21" i="19"/>
  <c r="A23" i="19" l="1"/>
  <c r="B22" i="19"/>
  <c r="C22" i="19"/>
  <c r="D22" i="19"/>
  <c r="A24" i="19" l="1"/>
  <c r="D23" i="19"/>
  <c r="C23" i="19"/>
  <c r="B23" i="19"/>
  <c r="A25" i="19" l="1"/>
  <c r="D24" i="19"/>
  <c r="B24" i="19"/>
  <c r="C24" i="19"/>
  <c r="A26" i="19" l="1"/>
  <c r="D25" i="19"/>
  <c r="B25" i="19"/>
  <c r="C25" i="19"/>
  <c r="A27" i="19" l="1"/>
  <c r="C26" i="19"/>
  <c r="D26" i="19"/>
  <c r="B26" i="19"/>
  <c r="A28" i="19" l="1"/>
  <c r="C27" i="19"/>
  <c r="D27" i="19"/>
  <c r="B27" i="19"/>
  <c r="A29" i="19" l="1"/>
  <c r="C28" i="19"/>
  <c r="D28" i="19"/>
  <c r="B28" i="19"/>
  <c r="A30" i="19" l="1"/>
  <c r="B29" i="19"/>
  <c r="C29" i="19"/>
  <c r="D29" i="19"/>
  <c r="A31" i="19" l="1"/>
  <c r="B30" i="19"/>
  <c r="C30" i="19"/>
  <c r="D30" i="19"/>
  <c r="A32" i="19" l="1"/>
  <c r="B31" i="19"/>
  <c r="C31" i="19"/>
  <c r="D31" i="19"/>
  <c r="A33" i="19" l="1"/>
  <c r="B32" i="19"/>
  <c r="C32" i="19"/>
  <c r="D32" i="19"/>
  <c r="A34" i="19" l="1"/>
  <c r="B33" i="19"/>
  <c r="C33" i="19"/>
  <c r="D33" i="19"/>
  <c r="A35" i="19" l="1"/>
  <c r="B34" i="19"/>
  <c r="C34" i="19"/>
  <c r="D34" i="19"/>
  <c r="A36" i="19" l="1"/>
  <c r="D35" i="19"/>
  <c r="C35" i="19"/>
  <c r="B35" i="19"/>
  <c r="A37" i="19" l="1"/>
  <c r="D36" i="19"/>
  <c r="B36" i="19"/>
  <c r="C36" i="19"/>
  <c r="A38" i="19" l="1"/>
  <c r="D37" i="19"/>
  <c r="B37" i="19"/>
  <c r="C37" i="19"/>
  <c r="A39" i="19" l="1"/>
  <c r="C38" i="19"/>
  <c r="D38" i="19"/>
  <c r="B38" i="19"/>
  <c r="A40" i="19" l="1"/>
  <c r="C39" i="19"/>
  <c r="D39" i="19"/>
  <c r="B39" i="19"/>
  <c r="A41" i="19" l="1"/>
  <c r="C40" i="19"/>
  <c r="D40" i="19"/>
  <c r="B40" i="19"/>
  <c r="A42" i="19" l="1"/>
  <c r="B41" i="19"/>
  <c r="C41" i="19"/>
  <c r="D41" i="19"/>
  <c r="A43" i="19" l="1"/>
  <c r="B42" i="19"/>
  <c r="C42" i="19"/>
  <c r="D42" i="19"/>
  <c r="A44" i="19" l="1"/>
  <c r="B43" i="19"/>
  <c r="C43" i="19"/>
  <c r="D43" i="19"/>
  <c r="A45" i="19" l="1"/>
  <c r="B44" i="19"/>
  <c r="D44" i="19"/>
  <c r="C44" i="19"/>
  <c r="A46" i="19" l="1"/>
  <c r="B45" i="19"/>
  <c r="C45" i="19"/>
  <c r="D45" i="19"/>
  <c r="A47" i="19" l="1"/>
  <c r="B46" i="19"/>
  <c r="C46" i="19"/>
  <c r="D46" i="19"/>
  <c r="A48" i="19" l="1"/>
  <c r="D47" i="19"/>
  <c r="C47" i="19"/>
  <c r="B47" i="19"/>
  <c r="A49" i="19" l="1"/>
  <c r="D48" i="19"/>
  <c r="B48" i="19"/>
  <c r="C48" i="19"/>
  <c r="A50" i="19" l="1"/>
  <c r="D49" i="19"/>
  <c r="B49" i="19"/>
  <c r="C49" i="19"/>
  <c r="A51" i="19" l="1"/>
  <c r="C50" i="19"/>
  <c r="D50" i="19"/>
  <c r="B50" i="19"/>
  <c r="A52" i="19" l="1"/>
  <c r="C51" i="19"/>
  <c r="D51" i="19"/>
  <c r="B51" i="19"/>
  <c r="A53" i="19" l="1"/>
  <c r="C52" i="19"/>
  <c r="D52" i="19"/>
  <c r="B52" i="19"/>
  <c r="A54" i="19" l="1"/>
  <c r="B53" i="19"/>
  <c r="C53" i="19"/>
  <c r="D53" i="19"/>
  <c r="A55" i="19" l="1"/>
  <c r="B54" i="19"/>
  <c r="C54" i="19"/>
  <c r="D54" i="19"/>
  <c r="A56" i="19" l="1"/>
  <c r="B55" i="19"/>
  <c r="C55" i="19"/>
  <c r="D55" i="19"/>
  <c r="A57" i="19" l="1"/>
  <c r="C56" i="19"/>
  <c r="B56" i="19"/>
  <c r="D56" i="19"/>
  <c r="A58" i="19" l="1"/>
  <c r="B57" i="19"/>
  <c r="C57" i="19"/>
  <c r="D57" i="19"/>
  <c r="A59" i="19" l="1"/>
  <c r="B58" i="19"/>
  <c r="C58" i="19"/>
  <c r="D58" i="19"/>
  <c r="A60" i="19" l="1"/>
  <c r="D59" i="19"/>
  <c r="C59" i="19"/>
  <c r="B59" i="19"/>
  <c r="A61" i="19" l="1"/>
  <c r="D60" i="19"/>
  <c r="B60" i="19"/>
  <c r="C60" i="19"/>
  <c r="A62" i="19" l="1"/>
  <c r="D61" i="19"/>
  <c r="B61" i="19"/>
  <c r="C61" i="19"/>
  <c r="A63" i="19" l="1"/>
  <c r="C62" i="19"/>
  <c r="D62" i="19"/>
  <c r="B62" i="19"/>
  <c r="A64" i="19" l="1"/>
  <c r="C63" i="19"/>
  <c r="D63" i="19"/>
  <c r="B63" i="19"/>
  <c r="A65" i="19" l="1"/>
  <c r="C64" i="19"/>
  <c r="D64" i="19"/>
  <c r="B64" i="19"/>
  <c r="A66" i="19" l="1"/>
  <c r="B65" i="19"/>
  <c r="C65" i="19"/>
  <c r="D65" i="19"/>
  <c r="A67" i="19" l="1"/>
  <c r="B66" i="19"/>
  <c r="C66" i="19"/>
  <c r="D66" i="19"/>
  <c r="A68" i="19" l="1"/>
  <c r="B67" i="19"/>
  <c r="C67" i="19"/>
  <c r="D67" i="19"/>
  <c r="A69" i="19" l="1"/>
  <c r="C68" i="19"/>
  <c r="B68" i="19"/>
  <c r="D68" i="19"/>
  <c r="A70" i="19" l="1"/>
  <c r="B69" i="19"/>
  <c r="C69" i="19"/>
  <c r="D69" i="19"/>
  <c r="A71" i="19" l="1"/>
  <c r="B70" i="19"/>
  <c r="C70" i="19"/>
  <c r="D70" i="19"/>
  <c r="A72" i="19" l="1"/>
  <c r="D71" i="19"/>
  <c r="C71" i="19"/>
  <c r="B71" i="19"/>
  <c r="A73" i="19" l="1"/>
  <c r="D72" i="19"/>
  <c r="B72" i="19"/>
  <c r="C72" i="19"/>
  <c r="A74" i="19" l="1"/>
  <c r="D73" i="19"/>
  <c r="B73" i="19"/>
  <c r="C73" i="19"/>
  <c r="A75" i="19" l="1"/>
  <c r="C74" i="19"/>
  <c r="D74" i="19"/>
  <c r="B74" i="19"/>
  <c r="A76" i="19" l="1"/>
  <c r="C75" i="19"/>
  <c r="D75" i="19"/>
  <c r="B75" i="19"/>
  <c r="A77" i="19" l="1"/>
  <c r="C76" i="19"/>
  <c r="D76" i="19"/>
  <c r="B76" i="19"/>
  <c r="A78" i="19" l="1"/>
  <c r="B77" i="19"/>
  <c r="C77" i="19"/>
  <c r="D77" i="19"/>
  <c r="A79" i="19" l="1"/>
  <c r="B78" i="19"/>
  <c r="C78" i="19"/>
  <c r="D78" i="19"/>
  <c r="A80" i="19" l="1"/>
  <c r="B79" i="19"/>
  <c r="C79" i="19"/>
  <c r="D79" i="19"/>
  <c r="A81" i="19" l="1"/>
  <c r="B80" i="19"/>
  <c r="C80" i="19"/>
  <c r="D80" i="19"/>
  <c r="A82" i="19" l="1"/>
  <c r="B81" i="19"/>
  <c r="C81" i="19"/>
  <c r="D81" i="19"/>
  <c r="A83" i="19" l="1"/>
  <c r="B82" i="19"/>
  <c r="C82" i="19"/>
  <c r="D82" i="19"/>
  <c r="A84" i="19" l="1"/>
  <c r="D83" i="19"/>
  <c r="C83" i="19"/>
  <c r="B83" i="19"/>
  <c r="A85" i="19" l="1"/>
  <c r="D84" i="19"/>
  <c r="B84" i="19"/>
  <c r="C84" i="19"/>
  <c r="A86" i="19" l="1"/>
  <c r="D85" i="19"/>
  <c r="B85" i="19"/>
  <c r="C85" i="19"/>
  <c r="A87" i="19" l="1"/>
  <c r="C86" i="19"/>
  <c r="D86" i="19"/>
  <c r="B86" i="19"/>
  <c r="A88" i="19" l="1"/>
  <c r="C87" i="19"/>
  <c r="D87" i="19"/>
  <c r="B87" i="19"/>
  <c r="A89" i="19" l="1"/>
  <c r="C88" i="19"/>
  <c r="D88" i="19"/>
  <c r="B88" i="19"/>
  <c r="A90" i="19" l="1"/>
  <c r="B89" i="19"/>
  <c r="C89" i="19"/>
  <c r="D89" i="19"/>
  <c r="A91" i="19" l="1"/>
  <c r="B90" i="19"/>
  <c r="C90" i="19"/>
  <c r="D90" i="19"/>
  <c r="A92" i="19" l="1"/>
  <c r="B91" i="19"/>
  <c r="C91" i="19"/>
  <c r="D91" i="19"/>
  <c r="A93" i="19" l="1"/>
  <c r="B92" i="19"/>
  <c r="C92" i="19"/>
  <c r="D92" i="19"/>
  <c r="A94" i="19" l="1"/>
  <c r="B93" i="19"/>
  <c r="C93" i="19"/>
  <c r="D93" i="19"/>
  <c r="A95" i="19" l="1"/>
  <c r="B94" i="19"/>
  <c r="C94" i="19"/>
  <c r="D94" i="19"/>
  <c r="A96" i="19" l="1"/>
  <c r="D95" i="19"/>
  <c r="C95" i="19"/>
  <c r="B95" i="19"/>
  <c r="A97" i="19" l="1"/>
  <c r="D96" i="19"/>
  <c r="B96" i="19"/>
  <c r="C96" i="19"/>
  <c r="A98" i="19" l="1"/>
  <c r="D97" i="19"/>
  <c r="B97" i="19"/>
  <c r="C97" i="19"/>
  <c r="A99" i="19" l="1"/>
  <c r="C98" i="19"/>
  <c r="D98" i="19"/>
  <c r="B98" i="19"/>
  <c r="A100" i="19" l="1"/>
  <c r="C99" i="19"/>
  <c r="D99" i="19"/>
  <c r="B99" i="19"/>
  <c r="A101" i="19" l="1"/>
  <c r="C100" i="19"/>
  <c r="D100" i="19"/>
  <c r="B100" i="19"/>
  <c r="A102" i="19" l="1"/>
  <c r="B101" i="19"/>
  <c r="C101" i="19"/>
  <c r="D101" i="19"/>
  <c r="A103" i="19" l="1"/>
  <c r="B102" i="19"/>
  <c r="C102" i="19"/>
  <c r="D102" i="19"/>
  <c r="A104" i="19" l="1"/>
  <c r="B103" i="19"/>
  <c r="C103" i="19"/>
  <c r="D103" i="19"/>
  <c r="A105" i="19" l="1"/>
  <c r="B104" i="19"/>
  <c r="D104" i="19"/>
  <c r="C104" i="19"/>
  <c r="A106" i="19" l="1"/>
  <c r="B105" i="19"/>
  <c r="C105" i="19"/>
  <c r="D105" i="19"/>
  <c r="A107" i="19" l="1"/>
  <c r="B106" i="19"/>
  <c r="C106" i="19"/>
  <c r="D106" i="19"/>
  <c r="A108" i="19" l="1"/>
  <c r="D107" i="19"/>
  <c r="C107" i="19"/>
  <c r="B107" i="19"/>
  <c r="A109" i="19" l="1"/>
  <c r="D108" i="19"/>
  <c r="B108" i="19"/>
  <c r="C108" i="19"/>
  <c r="A110" i="19" l="1"/>
  <c r="D109" i="19"/>
  <c r="B109" i="19"/>
  <c r="C109" i="19"/>
  <c r="A111" i="19" l="1"/>
  <c r="C110" i="19"/>
  <c r="D110" i="19"/>
  <c r="B110" i="19"/>
  <c r="A112" i="19" l="1"/>
  <c r="C111" i="19"/>
  <c r="D111" i="19"/>
  <c r="B111" i="19"/>
  <c r="A113" i="19" l="1"/>
  <c r="C112" i="19"/>
  <c r="D112" i="19"/>
  <c r="B112" i="19"/>
  <c r="A114" i="19" l="1"/>
  <c r="B113" i="19"/>
  <c r="C113" i="19"/>
  <c r="D113" i="19"/>
  <c r="A115" i="19" l="1"/>
  <c r="B114" i="19"/>
  <c r="C114" i="19"/>
  <c r="D114" i="19"/>
  <c r="A116" i="19" l="1"/>
  <c r="B115" i="19"/>
  <c r="C115" i="19"/>
  <c r="D115" i="19"/>
  <c r="A117" i="19" l="1"/>
  <c r="C116" i="19"/>
  <c r="B116" i="19"/>
  <c r="D116" i="19"/>
  <c r="A118" i="19" l="1"/>
  <c r="B117" i="19"/>
  <c r="C117" i="19"/>
  <c r="D117" i="19"/>
  <c r="A119" i="19" l="1"/>
  <c r="B118" i="19"/>
  <c r="C118" i="19"/>
  <c r="D118" i="19"/>
  <c r="A120" i="19" l="1"/>
  <c r="D119" i="19"/>
  <c r="C119" i="19"/>
  <c r="B119" i="19"/>
  <c r="A121" i="19" l="1"/>
  <c r="D120" i="19"/>
  <c r="B120" i="19"/>
  <c r="C120" i="19"/>
  <c r="A122" i="19" l="1"/>
  <c r="D121" i="19"/>
  <c r="B121" i="19"/>
  <c r="C121" i="19"/>
  <c r="A123" i="19" l="1"/>
  <c r="C122" i="19"/>
  <c r="D122" i="19"/>
  <c r="B122" i="19"/>
  <c r="A124" i="19" l="1"/>
  <c r="C123" i="19"/>
  <c r="D123" i="19"/>
  <c r="B123" i="19"/>
  <c r="A125" i="19" l="1"/>
  <c r="C124" i="19"/>
  <c r="D124" i="19"/>
  <c r="B124" i="19"/>
  <c r="A126" i="19" l="1"/>
  <c r="B125" i="19"/>
  <c r="C125" i="19"/>
  <c r="D125" i="19"/>
  <c r="A127" i="19" l="1"/>
  <c r="B126" i="19"/>
  <c r="C126" i="19"/>
  <c r="D126" i="19"/>
  <c r="A128" i="19" l="1"/>
  <c r="B127" i="19"/>
  <c r="C127" i="19"/>
  <c r="D127" i="19"/>
  <c r="A129" i="19" l="1"/>
  <c r="C128" i="19"/>
  <c r="B128" i="19"/>
  <c r="D128" i="19"/>
  <c r="A130" i="19" l="1"/>
  <c r="B129" i="19"/>
  <c r="C129" i="19"/>
  <c r="D129" i="19"/>
  <c r="A131" i="19" l="1"/>
  <c r="B130" i="19"/>
  <c r="C130" i="19"/>
  <c r="D130" i="19"/>
  <c r="A132" i="19" l="1"/>
  <c r="D131" i="19"/>
  <c r="C131" i="19"/>
  <c r="B131" i="19"/>
  <c r="A133" i="19" l="1"/>
  <c r="D132" i="19"/>
  <c r="B132" i="19"/>
  <c r="C132" i="19"/>
  <c r="A134" i="19" l="1"/>
  <c r="D133" i="19"/>
  <c r="B133" i="19"/>
  <c r="C133" i="19"/>
  <c r="A135" i="19" l="1"/>
  <c r="C134" i="19"/>
  <c r="D134" i="19"/>
  <c r="B134" i="19"/>
  <c r="A136" i="19" l="1"/>
  <c r="C135" i="19"/>
  <c r="D135" i="19"/>
  <c r="B135" i="19"/>
  <c r="A137" i="19" l="1"/>
  <c r="C136" i="19"/>
  <c r="D136" i="19"/>
  <c r="B136" i="19"/>
  <c r="A138" i="19" l="1"/>
  <c r="B137" i="19"/>
  <c r="C137" i="19"/>
  <c r="D137" i="19"/>
  <c r="A139" i="19" l="1"/>
  <c r="B138" i="19"/>
  <c r="C138" i="19"/>
  <c r="D138" i="19"/>
  <c r="A140" i="19" l="1"/>
  <c r="B139" i="19"/>
  <c r="C139" i="19"/>
  <c r="D139" i="19"/>
  <c r="A141" i="19" l="1"/>
  <c r="C140" i="19"/>
  <c r="B140" i="19"/>
  <c r="D140" i="19"/>
  <c r="A142" i="19" l="1"/>
  <c r="B141" i="19"/>
  <c r="C141" i="19"/>
  <c r="D141" i="19"/>
  <c r="A143" i="19" l="1"/>
  <c r="B142" i="19"/>
  <c r="C142" i="19"/>
  <c r="D142" i="19"/>
  <c r="A144" i="19" l="1"/>
  <c r="D143" i="19"/>
  <c r="C143" i="19"/>
  <c r="B143" i="19"/>
  <c r="A145" i="19" l="1"/>
  <c r="D144" i="19"/>
  <c r="B144" i="19"/>
  <c r="C144" i="19"/>
  <c r="A146" i="19" l="1"/>
  <c r="D145" i="19"/>
  <c r="B145" i="19"/>
  <c r="C145" i="19"/>
  <c r="A147" i="19" l="1"/>
  <c r="C146" i="19"/>
  <c r="D146" i="19"/>
  <c r="B146" i="19"/>
  <c r="A148" i="19" l="1"/>
  <c r="C147" i="19"/>
  <c r="D147" i="19"/>
  <c r="B147" i="19"/>
  <c r="A149" i="19" l="1"/>
  <c r="C148" i="19"/>
  <c r="D148" i="19"/>
  <c r="B148" i="19"/>
  <c r="A150" i="19" l="1"/>
  <c r="B149" i="19"/>
  <c r="C149" i="19"/>
  <c r="D149" i="19"/>
  <c r="A151" i="19" l="1"/>
  <c r="B150" i="19"/>
  <c r="C150" i="19"/>
  <c r="D150" i="19"/>
  <c r="A152" i="19" l="1"/>
  <c r="B151" i="19"/>
  <c r="C151" i="19"/>
  <c r="D151" i="19"/>
  <c r="A153" i="19" l="1"/>
  <c r="C152" i="19"/>
  <c r="B152" i="19"/>
  <c r="D152" i="19"/>
  <c r="A154" i="19" l="1"/>
  <c r="B153" i="19"/>
  <c r="C153" i="19"/>
  <c r="D153" i="19"/>
  <c r="A155" i="19" l="1"/>
  <c r="B154" i="19"/>
  <c r="C154" i="19"/>
  <c r="D154" i="19"/>
  <c r="A156" i="19" l="1"/>
  <c r="D155" i="19"/>
  <c r="C155" i="19"/>
  <c r="B155" i="19"/>
  <c r="A157" i="19" l="1"/>
  <c r="D156" i="19"/>
  <c r="B156" i="19"/>
  <c r="C156" i="19"/>
  <c r="A158" i="19" l="1"/>
  <c r="D157" i="19"/>
  <c r="B157" i="19"/>
  <c r="C157" i="19"/>
  <c r="A159" i="19" l="1"/>
  <c r="C158" i="19"/>
  <c r="D158" i="19"/>
  <c r="B158" i="19"/>
  <c r="A160" i="19" l="1"/>
  <c r="C159" i="19"/>
  <c r="D159" i="19"/>
  <c r="B159" i="19"/>
  <c r="A161" i="19" l="1"/>
  <c r="C160" i="19"/>
  <c r="D160" i="19"/>
  <c r="B160" i="19"/>
  <c r="A162" i="19" l="1"/>
  <c r="B161" i="19"/>
  <c r="C161" i="19"/>
  <c r="D161" i="19"/>
  <c r="A163" i="19" l="1"/>
  <c r="B162" i="19"/>
  <c r="C162" i="19"/>
  <c r="D162" i="19"/>
  <c r="A164" i="19" l="1"/>
  <c r="B163" i="19"/>
  <c r="C163" i="19"/>
  <c r="D163" i="19"/>
  <c r="A165" i="19" l="1"/>
  <c r="C164" i="19"/>
  <c r="B164" i="19"/>
  <c r="D164" i="19"/>
  <c r="A166" i="19" l="1"/>
  <c r="B165" i="19"/>
  <c r="C165" i="19"/>
  <c r="D165" i="19"/>
  <c r="A167" i="19" l="1"/>
  <c r="B166" i="19"/>
  <c r="C166" i="19"/>
  <c r="D166" i="19"/>
  <c r="A168" i="19" l="1"/>
  <c r="D167" i="19"/>
  <c r="C167" i="19"/>
  <c r="B167" i="19"/>
  <c r="A169" i="19" l="1"/>
  <c r="D168" i="19"/>
  <c r="B168" i="19"/>
  <c r="C168" i="19"/>
  <c r="A170" i="19" l="1"/>
  <c r="D169" i="19"/>
  <c r="B169" i="19"/>
  <c r="C169" i="19"/>
  <c r="A171" i="19" l="1"/>
  <c r="C170" i="19"/>
  <c r="D170" i="19"/>
  <c r="B170" i="19"/>
  <c r="A172" i="19" l="1"/>
  <c r="C171" i="19"/>
  <c r="D171" i="19"/>
  <c r="B171" i="19"/>
  <c r="A173" i="19" l="1"/>
  <c r="C172" i="19"/>
  <c r="D172" i="19"/>
  <c r="B172" i="19"/>
  <c r="A174" i="19" l="1"/>
  <c r="B173" i="19"/>
  <c r="C173" i="19"/>
  <c r="D173" i="19"/>
  <c r="A175" i="19" l="1"/>
  <c r="B174" i="19"/>
  <c r="C174" i="19"/>
  <c r="D174" i="19"/>
  <c r="A176" i="19" l="1"/>
  <c r="B175" i="19"/>
  <c r="C175" i="19"/>
  <c r="D175" i="19"/>
  <c r="A177" i="19" l="1"/>
  <c r="C176" i="19"/>
  <c r="B176" i="19"/>
  <c r="D176" i="19"/>
  <c r="A178" i="19" l="1"/>
  <c r="B177" i="19"/>
  <c r="C177" i="19"/>
  <c r="D177" i="19"/>
  <c r="A179" i="19" l="1"/>
  <c r="B178" i="19"/>
  <c r="C178" i="19"/>
  <c r="D178" i="19"/>
  <c r="A180" i="19" l="1"/>
  <c r="D179" i="19"/>
  <c r="C179" i="19"/>
  <c r="B179" i="19"/>
  <c r="A181" i="19" l="1"/>
  <c r="D180" i="19"/>
  <c r="B180" i="19"/>
  <c r="C180" i="19"/>
  <c r="A182" i="19" l="1"/>
  <c r="D181" i="19"/>
  <c r="B181" i="19"/>
  <c r="C181" i="19"/>
  <c r="A183" i="19" l="1"/>
  <c r="C182" i="19"/>
  <c r="D182" i="19"/>
  <c r="B182" i="19"/>
  <c r="A184" i="19" l="1"/>
  <c r="C183" i="19"/>
  <c r="D183" i="19"/>
  <c r="B183" i="19"/>
  <c r="A185" i="19" l="1"/>
  <c r="C184" i="19"/>
  <c r="D184" i="19"/>
  <c r="B184" i="19"/>
  <c r="A186" i="19" l="1"/>
  <c r="B185" i="19"/>
  <c r="C185" i="19"/>
  <c r="D185" i="19"/>
  <c r="A187" i="19" l="1"/>
  <c r="B186" i="19"/>
  <c r="C186" i="19"/>
  <c r="D186" i="19"/>
  <c r="A188" i="19" l="1"/>
  <c r="B187" i="19"/>
  <c r="C187" i="19"/>
  <c r="D187" i="19"/>
  <c r="A189" i="19" l="1"/>
  <c r="C188" i="19"/>
  <c r="B188" i="19"/>
  <c r="D188" i="19"/>
  <c r="A190" i="19" l="1"/>
  <c r="B189" i="19"/>
  <c r="C189" i="19"/>
  <c r="D189" i="19"/>
  <c r="A191" i="19" l="1"/>
  <c r="B190" i="19"/>
  <c r="C190" i="19"/>
  <c r="D190" i="19"/>
  <c r="A192" i="19" l="1"/>
  <c r="D191" i="19"/>
  <c r="C191" i="19"/>
  <c r="B191" i="19"/>
  <c r="A193" i="19" l="1"/>
  <c r="D192" i="19"/>
  <c r="B192" i="19"/>
  <c r="C192" i="19"/>
  <c r="A194" i="19" l="1"/>
  <c r="D193" i="19"/>
  <c r="B193" i="19"/>
  <c r="C193" i="19"/>
  <c r="A195" i="19" l="1"/>
  <c r="C194" i="19"/>
  <c r="D194" i="19"/>
  <c r="B194" i="19"/>
  <c r="A196" i="19" l="1"/>
  <c r="C195" i="19"/>
  <c r="D195" i="19"/>
  <c r="B195" i="19"/>
  <c r="A197" i="19" l="1"/>
  <c r="C196" i="19"/>
  <c r="D196" i="19"/>
  <c r="B196" i="19"/>
  <c r="A198" i="19" l="1"/>
  <c r="B197" i="19"/>
  <c r="C197" i="19"/>
  <c r="D197" i="19"/>
  <c r="A199" i="19" l="1"/>
  <c r="B198" i="19"/>
  <c r="C198" i="19"/>
  <c r="D198" i="19"/>
  <c r="A200" i="19" l="1"/>
  <c r="B199" i="19"/>
  <c r="C199" i="19"/>
  <c r="D199" i="19"/>
  <c r="A201" i="19" l="1"/>
  <c r="C200" i="19"/>
  <c r="B200" i="19"/>
  <c r="D200" i="19"/>
  <c r="A202" i="19" l="1"/>
  <c r="B201" i="19"/>
  <c r="C201" i="19"/>
  <c r="D201" i="19"/>
  <c r="A203" i="19" l="1"/>
  <c r="B202" i="19"/>
  <c r="C202" i="19"/>
  <c r="D202" i="19"/>
  <c r="A204" i="19" l="1"/>
  <c r="D203" i="19"/>
  <c r="C203" i="19"/>
  <c r="B203" i="19"/>
  <c r="A205" i="19" l="1"/>
  <c r="D204" i="19"/>
  <c r="B204" i="19"/>
  <c r="C204" i="19"/>
  <c r="A206" i="19" l="1"/>
  <c r="D205" i="19"/>
  <c r="B205" i="19"/>
  <c r="C205" i="19"/>
  <c r="A207" i="19" l="1"/>
  <c r="C206" i="19"/>
  <c r="D206" i="19"/>
  <c r="B206" i="19"/>
  <c r="A208" i="19" l="1"/>
  <c r="C207" i="19"/>
  <c r="D207" i="19"/>
  <c r="B207" i="19"/>
  <c r="A209" i="19" l="1"/>
  <c r="C208" i="19"/>
  <c r="D208" i="19"/>
  <c r="B208" i="19"/>
  <c r="A210" i="19" l="1"/>
  <c r="B209" i="19"/>
  <c r="C209" i="19"/>
  <c r="D209" i="19"/>
  <c r="A211" i="19" l="1"/>
  <c r="B210" i="19"/>
  <c r="C210" i="19"/>
  <c r="D210" i="19"/>
  <c r="A212" i="19" l="1"/>
  <c r="B211" i="19"/>
  <c r="C211" i="19"/>
  <c r="D211" i="19"/>
  <c r="A213" i="19" l="1"/>
  <c r="C212" i="19"/>
  <c r="B212" i="19"/>
  <c r="D212" i="19"/>
  <c r="A214" i="19" l="1"/>
  <c r="B213" i="19"/>
  <c r="C213" i="19"/>
  <c r="D213" i="19"/>
  <c r="A215" i="19" l="1"/>
  <c r="B214" i="19"/>
  <c r="C214" i="19"/>
  <c r="D214" i="19"/>
  <c r="A216" i="19" l="1"/>
  <c r="D215" i="19"/>
  <c r="C215" i="19"/>
  <c r="B215" i="19"/>
  <c r="A217" i="19" l="1"/>
  <c r="D216" i="19"/>
  <c r="B216" i="19"/>
  <c r="C216" i="19"/>
  <c r="A218" i="19" l="1"/>
  <c r="D217" i="19"/>
  <c r="B217" i="19"/>
  <c r="C217" i="19"/>
  <c r="A219" i="19" l="1"/>
  <c r="C218" i="19"/>
  <c r="D218" i="19"/>
  <c r="B218" i="19"/>
  <c r="A220" i="19" l="1"/>
  <c r="C219" i="19"/>
  <c r="D219" i="19"/>
  <c r="B219" i="19"/>
  <c r="A221" i="19" l="1"/>
  <c r="C220" i="19"/>
  <c r="D220" i="19"/>
  <c r="B220" i="19"/>
  <c r="A222" i="19" l="1"/>
  <c r="B221" i="19"/>
  <c r="C221" i="19"/>
  <c r="D221" i="19"/>
  <c r="A223" i="19" l="1"/>
  <c r="B222" i="19"/>
  <c r="C222" i="19"/>
  <c r="D222" i="19"/>
  <c r="A224" i="19" l="1"/>
  <c r="B223" i="19"/>
  <c r="C223" i="19"/>
  <c r="D223" i="19"/>
  <c r="A225" i="19" l="1"/>
  <c r="C224" i="19"/>
  <c r="B224" i="19"/>
  <c r="D224" i="19"/>
  <c r="A226" i="19" l="1"/>
  <c r="B225" i="19"/>
  <c r="C225" i="19"/>
  <c r="D225" i="19"/>
  <c r="A227" i="19" l="1"/>
  <c r="B226" i="19"/>
  <c r="C226" i="19"/>
  <c r="D226" i="19"/>
  <c r="A228" i="19" l="1"/>
  <c r="D227" i="19"/>
  <c r="C227" i="19"/>
  <c r="B227" i="19"/>
  <c r="A229" i="19" l="1"/>
  <c r="D228" i="19"/>
  <c r="B228" i="19"/>
  <c r="C228" i="19"/>
  <c r="A230" i="19" l="1"/>
  <c r="D229" i="19"/>
  <c r="B229" i="19"/>
  <c r="C229" i="19"/>
  <c r="A231" i="19" l="1"/>
  <c r="C230" i="19"/>
  <c r="D230" i="19"/>
  <c r="B230" i="19"/>
  <c r="A232" i="19" l="1"/>
  <c r="C231" i="19"/>
  <c r="D231" i="19"/>
  <c r="B231" i="19"/>
  <c r="A233" i="19" l="1"/>
  <c r="C232" i="19"/>
  <c r="D232" i="19"/>
  <c r="B232" i="19"/>
  <c r="A234" i="19" l="1"/>
  <c r="B233" i="19"/>
  <c r="C233" i="19"/>
  <c r="D233" i="19"/>
  <c r="A235" i="19" l="1"/>
  <c r="B234" i="19"/>
  <c r="C234" i="19"/>
  <c r="D234" i="19"/>
  <c r="A236" i="19" l="1"/>
  <c r="B235" i="19"/>
  <c r="C235" i="19"/>
  <c r="D235" i="19"/>
  <c r="A237" i="19" l="1"/>
  <c r="C236" i="19"/>
  <c r="B236" i="19"/>
  <c r="D236" i="19"/>
  <c r="A238" i="19" l="1"/>
  <c r="B237" i="19"/>
  <c r="C237" i="19"/>
  <c r="D237" i="19"/>
  <c r="A239" i="19" l="1"/>
  <c r="B238" i="19"/>
  <c r="C238" i="19"/>
  <c r="D238" i="19"/>
  <c r="A240" i="19" l="1"/>
  <c r="D239" i="19"/>
  <c r="C239" i="19"/>
  <c r="B239" i="19"/>
  <c r="A241" i="19" l="1"/>
  <c r="D240" i="19"/>
  <c r="B240" i="19"/>
  <c r="C240" i="19"/>
  <c r="A242" i="19" l="1"/>
  <c r="D241" i="19"/>
  <c r="B241" i="19"/>
  <c r="C241" i="19"/>
  <c r="A243" i="19" l="1"/>
  <c r="C242" i="19"/>
  <c r="D242" i="19"/>
  <c r="B242" i="19"/>
  <c r="A244" i="19" l="1"/>
  <c r="C243" i="19"/>
  <c r="D243" i="19"/>
  <c r="B243" i="19"/>
  <c r="A245" i="19" l="1"/>
  <c r="C244" i="19"/>
  <c r="D244" i="19"/>
  <c r="B244" i="19"/>
  <c r="A246" i="19" l="1"/>
  <c r="B245" i="19"/>
  <c r="C245" i="19"/>
  <c r="D245" i="19"/>
  <c r="A247" i="19" l="1"/>
  <c r="B246" i="19"/>
  <c r="C246" i="19"/>
  <c r="D246" i="19"/>
  <c r="A248" i="19" l="1"/>
  <c r="B247" i="19"/>
  <c r="C247" i="19"/>
  <c r="D247" i="19"/>
  <c r="A249" i="19" l="1"/>
  <c r="B248" i="19"/>
  <c r="D248" i="19"/>
  <c r="C248" i="19"/>
  <c r="A250" i="19" l="1"/>
  <c r="B249" i="19"/>
  <c r="C249" i="19"/>
  <c r="D249" i="19"/>
  <c r="A251" i="19" l="1"/>
  <c r="B250" i="19"/>
  <c r="C250" i="19"/>
  <c r="D250" i="19"/>
  <c r="A252" i="19" l="1"/>
  <c r="D251" i="19"/>
  <c r="C251" i="19"/>
  <c r="B251" i="19"/>
  <c r="A253" i="19" l="1"/>
  <c r="D252" i="19"/>
  <c r="B252" i="19"/>
  <c r="C252" i="19"/>
  <c r="A254" i="19" l="1"/>
  <c r="D253" i="19"/>
  <c r="B253" i="19"/>
  <c r="C253" i="19"/>
  <c r="A255" i="19" l="1"/>
  <c r="C254" i="19"/>
  <c r="D254" i="19"/>
  <c r="B254" i="19"/>
  <c r="A256" i="19" l="1"/>
  <c r="C255" i="19"/>
  <c r="D255" i="19"/>
  <c r="B255" i="19"/>
  <c r="A257" i="19" l="1"/>
  <c r="C256" i="19"/>
  <c r="D256" i="19"/>
  <c r="B256" i="19"/>
  <c r="A258" i="19" l="1"/>
  <c r="B257" i="19"/>
  <c r="C257" i="19"/>
  <c r="D257" i="19"/>
  <c r="A259" i="19" l="1"/>
  <c r="B258" i="19"/>
  <c r="C258" i="19"/>
  <c r="D258" i="19"/>
  <c r="A260" i="19" l="1"/>
  <c r="B259" i="19"/>
  <c r="C259" i="19"/>
  <c r="D259" i="19"/>
  <c r="A261" i="19" l="1"/>
  <c r="B260" i="19"/>
  <c r="D260" i="19"/>
  <c r="C260" i="19"/>
  <c r="A262" i="19" l="1"/>
  <c r="B261" i="19"/>
  <c r="C261" i="19"/>
  <c r="D261" i="19"/>
  <c r="A263" i="19" l="1"/>
  <c r="B262" i="19"/>
  <c r="C262" i="19"/>
  <c r="D262" i="19"/>
  <c r="A264" i="19" l="1"/>
  <c r="D263" i="19"/>
  <c r="C263" i="19"/>
  <c r="B263" i="19"/>
  <c r="A265" i="19" l="1"/>
  <c r="D264" i="19"/>
  <c r="B264" i="19"/>
  <c r="C264" i="19"/>
  <c r="A266" i="19" l="1"/>
  <c r="D265" i="19"/>
  <c r="B265" i="19"/>
  <c r="C265" i="19"/>
  <c r="A267" i="19" l="1"/>
  <c r="C266" i="19"/>
  <c r="D266" i="19"/>
  <c r="B266" i="19"/>
  <c r="A268" i="19" l="1"/>
  <c r="C267" i="19"/>
  <c r="D267" i="19"/>
  <c r="B267" i="19"/>
  <c r="A269" i="19" l="1"/>
  <c r="C268" i="19"/>
  <c r="D268" i="19"/>
  <c r="B268" i="19"/>
  <c r="A270" i="19" l="1"/>
  <c r="B269" i="19"/>
  <c r="C269" i="19"/>
  <c r="D269" i="19"/>
  <c r="A271" i="19" l="1"/>
  <c r="B270" i="19"/>
  <c r="C270" i="19"/>
  <c r="D270" i="19"/>
  <c r="A272" i="19" l="1"/>
  <c r="B271" i="19"/>
  <c r="C271" i="19"/>
  <c r="D271" i="19"/>
  <c r="A273" i="19" l="1"/>
  <c r="B272" i="19"/>
  <c r="D272" i="19"/>
  <c r="C272" i="19"/>
  <c r="A274" i="19" l="1"/>
  <c r="B273" i="19"/>
  <c r="C273" i="19"/>
  <c r="D273" i="19"/>
  <c r="A275" i="19" l="1"/>
  <c r="B274" i="19"/>
  <c r="C274" i="19"/>
  <c r="D274" i="19"/>
  <c r="A276" i="19" l="1"/>
  <c r="D275" i="19"/>
  <c r="C275" i="19"/>
  <c r="B275" i="19"/>
  <c r="A277" i="19" l="1"/>
  <c r="D276" i="19"/>
  <c r="B276" i="19"/>
  <c r="C276" i="19"/>
  <c r="A278" i="19" l="1"/>
  <c r="D277" i="19"/>
  <c r="B277" i="19"/>
  <c r="C277" i="19"/>
  <c r="A279" i="19" l="1"/>
  <c r="C278" i="19"/>
  <c r="D278" i="19"/>
  <c r="B278" i="19"/>
  <c r="A280" i="19" l="1"/>
  <c r="C279" i="19"/>
  <c r="D279" i="19"/>
  <c r="B279" i="19"/>
  <c r="C280" i="19" l="1"/>
  <c r="D280" i="19"/>
  <c r="B280" i="19"/>
  <c r="A3" i="17" l="1"/>
  <c r="D2" i="17"/>
  <c r="C2" i="17"/>
  <c r="B2" i="17"/>
  <c r="E2" i="17"/>
  <c r="AC2" i="17" l="1"/>
  <c r="AD2" i="17"/>
  <c r="AR2" i="17"/>
  <c r="AQ2" i="17"/>
  <c r="AP2" i="17"/>
  <c r="AH2" i="17"/>
  <c r="AG2" i="17"/>
  <c r="AF2" i="17"/>
  <c r="A4" i="17"/>
  <c r="E3" i="17"/>
  <c r="D3" i="17"/>
  <c r="C3" i="17"/>
  <c r="B3" i="17"/>
  <c r="AC3" i="17" l="1"/>
  <c r="AD3" i="17"/>
  <c r="AR3" i="17"/>
  <c r="AQ3" i="17"/>
  <c r="AP3" i="17"/>
  <c r="AH3" i="17"/>
  <c r="AG3" i="17"/>
  <c r="AF3" i="17"/>
  <c r="E4" i="17"/>
  <c r="D4" i="17"/>
  <c r="A5" i="17"/>
  <c r="B4" i="17"/>
  <c r="C4" i="17"/>
  <c r="AC4" i="17" l="1"/>
  <c r="AD4" i="17"/>
  <c r="AR4" i="17"/>
  <c r="AQ4" i="17"/>
  <c r="AP4" i="17"/>
  <c r="AH4" i="17"/>
  <c r="AG4" i="17"/>
  <c r="AF4" i="17"/>
  <c r="E5" i="17"/>
  <c r="D5" i="17"/>
  <c r="C5" i="17"/>
  <c r="B5" i="17"/>
  <c r="A6" i="17"/>
  <c r="AC5" i="17" l="1"/>
  <c r="AD5" i="17"/>
  <c r="AR5" i="17"/>
  <c r="AQ5" i="17"/>
  <c r="AP5" i="17"/>
  <c r="AH5" i="17"/>
  <c r="AG5" i="17"/>
  <c r="AF5" i="17"/>
  <c r="A7" i="17"/>
  <c r="D6" i="17"/>
  <c r="C6" i="17"/>
  <c r="B6" i="17"/>
  <c r="E6" i="17"/>
  <c r="AC6" i="17" l="1"/>
  <c r="AD6" i="17"/>
  <c r="AR6" i="17"/>
  <c r="AQ6" i="17"/>
  <c r="AP6" i="17"/>
  <c r="AG6" i="17"/>
  <c r="AH6" i="17"/>
  <c r="AF6" i="17"/>
  <c r="E7" i="17"/>
  <c r="B7" i="17"/>
  <c r="A8" i="17"/>
  <c r="C7" i="17"/>
  <c r="D7" i="17"/>
  <c r="AC7" i="17" l="1"/>
  <c r="AD7" i="17"/>
  <c r="AR7" i="17"/>
  <c r="AQ7" i="17"/>
  <c r="AP7" i="17"/>
  <c r="AH7" i="17"/>
  <c r="AG7" i="17"/>
  <c r="AF7" i="17"/>
  <c r="D8" i="17"/>
  <c r="A9" i="17"/>
  <c r="E8" i="17"/>
  <c r="C8" i="17"/>
  <c r="B8" i="17"/>
  <c r="AC8" i="17" l="1"/>
  <c r="AD8" i="17"/>
  <c r="AR8" i="17"/>
  <c r="AQ8" i="17"/>
  <c r="AH8" i="17"/>
  <c r="AP8" i="17"/>
  <c r="AG8" i="17"/>
  <c r="AF8" i="17"/>
  <c r="E9" i="17"/>
  <c r="C9" i="17"/>
  <c r="B9" i="17"/>
  <c r="A10" i="17"/>
  <c r="D9" i="17"/>
  <c r="AC9" i="17" l="1"/>
  <c r="AD9" i="17"/>
  <c r="AR9" i="17"/>
  <c r="AQ9" i="17"/>
  <c r="AP9" i="17"/>
  <c r="AG9" i="17"/>
  <c r="AF9" i="17"/>
  <c r="AH9" i="17"/>
  <c r="A11" i="17"/>
  <c r="D10" i="17"/>
  <c r="C10" i="17"/>
  <c r="B10" i="17"/>
  <c r="E10" i="17"/>
  <c r="AC10" i="17" l="1"/>
  <c r="AD10" i="17"/>
  <c r="AR10" i="17"/>
  <c r="AQ10" i="17"/>
  <c r="AP10" i="17"/>
  <c r="AH10" i="17"/>
  <c r="AG10" i="17"/>
  <c r="AF10" i="17"/>
  <c r="D11" i="17"/>
  <c r="A12" i="17"/>
  <c r="E11" i="17"/>
  <c r="C11" i="17"/>
  <c r="B11" i="17"/>
  <c r="AC11" i="17" l="1"/>
  <c r="AD11" i="17"/>
  <c r="AR11" i="17"/>
  <c r="AP11" i="17"/>
  <c r="AQ11" i="17"/>
  <c r="AH11" i="17"/>
  <c r="AG11" i="17"/>
  <c r="AF11" i="17"/>
  <c r="E12" i="17"/>
  <c r="D12" i="17"/>
  <c r="C12" i="17"/>
  <c r="B12" i="17"/>
  <c r="A13" i="17"/>
  <c r="AC12" i="17" l="1"/>
  <c r="AD12" i="17"/>
  <c r="AR12" i="17"/>
  <c r="AP12" i="17"/>
  <c r="AQ12" i="17"/>
  <c r="AH12" i="17"/>
  <c r="AF12" i="17"/>
  <c r="AG12" i="17"/>
  <c r="E13" i="17"/>
  <c r="B13" i="17"/>
  <c r="A14" i="17"/>
  <c r="D13" i="17"/>
  <c r="C13" i="17"/>
  <c r="AC13" i="17" l="1"/>
  <c r="AD13" i="17"/>
  <c r="AR13" i="17"/>
  <c r="AQ13" i="17"/>
  <c r="AP13" i="17"/>
  <c r="AF13" i="17"/>
  <c r="AH13" i="17"/>
  <c r="AG13" i="17"/>
  <c r="E14" i="17"/>
  <c r="D14" i="17"/>
  <c r="C14" i="17"/>
  <c r="B14" i="17"/>
  <c r="A15" i="17"/>
  <c r="AC14" i="17" l="1"/>
  <c r="AD14" i="17"/>
  <c r="AR14" i="17"/>
  <c r="AQ14" i="17"/>
  <c r="AP14" i="17"/>
  <c r="AH14" i="17"/>
  <c r="AG14" i="17"/>
  <c r="AF14" i="17"/>
  <c r="D15" i="17"/>
  <c r="C15" i="17"/>
  <c r="A16" i="17"/>
  <c r="B15" i="17"/>
  <c r="E15" i="17"/>
  <c r="AC15" i="17" l="1"/>
  <c r="AD15" i="17"/>
  <c r="AR15" i="17"/>
  <c r="AQ15" i="17"/>
  <c r="AH15" i="17"/>
  <c r="AP15" i="17"/>
  <c r="AF15" i="17"/>
  <c r="AG15" i="17"/>
  <c r="A17" i="17"/>
  <c r="D16" i="17"/>
  <c r="C16" i="17"/>
  <c r="B16" i="17"/>
  <c r="E16" i="17"/>
  <c r="AC16" i="17" l="1"/>
  <c r="AD16" i="17"/>
  <c r="AR16" i="17"/>
  <c r="AQ16" i="17"/>
  <c r="AP16" i="17"/>
  <c r="AH16" i="17"/>
  <c r="AG16" i="17"/>
  <c r="AF16" i="17"/>
  <c r="C17" i="17"/>
  <c r="A18" i="17"/>
  <c r="B17" i="17"/>
  <c r="E17" i="17"/>
  <c r="D17" i="17"/>
  <c r="AC17" i="17" l="1"/>
  <c r="AD17" i="17"/>
  <c r="AR17" i="17"/>
  <c r="AP17" i="17"/>
  <c r="AQ17" i="17"/>
  <c r="AH17" i="17"/>
  <c r="AG17" i="17"/>
  <c r="AF17" i="17"/>
  <c r="A19" i="17"/>
  <c r="B18" i="17"/>
  <c r="C18" i="17"/>
  <c r="D18" i="17"/>
  <c r="E18" i="17"/>
  <c r="AC18" i="17" l="1"/>
  <c r="AD18" i="17"/>
  <c r="AR18" i="17"/>
  <c r="AQ18" i="17"/>
  <c r="AH18" i="17"/>
  <c r="AP18" i="17"/>
  <c r="AG18" i="17"/>
  <c r="AF18" i="17"/>
  <c r="D19" i="17"/>
  <c r="C19" i="17"/>
  <c r="B19" i="17"/>
  <c r="E19" i="17"/>
  <c r="A20" i="17"/>
  <c r="AC19" i="17" l="1"/>
  <c r="AD19" i="17"/>
  <c r="AR19" i="17"/>
  <c r="AQ19" i="17"/>
  <c r="AP19" i="17"/>
  <c r="AH19" i="17"/>
  <c r="AG19" i="17"/>
  <c r="AF19" i="17"/>
  <c r="A21" i="17"/>
  <c r="D20" i="17"/>
  <c r="E20" i="17"/>
  <c r="C20" i="17"/>
  <c r="B20" i="17"/>
  <c r="AC20" i="17" l="1"/>
  <c r="AD20" i="17"/>
  <c r="AR20" i="17"/>
  <c r="AQ20" i="17"/>
  <c r="AH20" i="17"/>
  <c r="AP20" i="17"/>
  <c r="AG20" i="17"/>
  <c r="AF20" i="17"/>
  <c r="B21" i="17"/>
  <c r="A22" i="17"/>
  <c r="E21" i="17"/>
  <c r="D21" i="17"/>
  <c r="C21" i="17"/>
  <c r="AC21" i="17" l="1"/>
  <c r="AD21" i="17"/>
  <c r="AR21" i="17"/>
  <c r="AQ21" i="17"/>
  <c r="AP21" i="17"/>
  <c r="AH21" i="17"/>
  <c r="AG21" i="17"/>
  <c r="AF21" i="17"/>
  <c r="C22" i="17"/>
  <c r="B22" i="17"/>
  <c r="D22" i="17"/>
  <c r="E22" i="17"/>
  <c r="A23" i="17"/>
  <c r="AC22" i="17" l="1"/>
  <c r="AD22" i="17"/>
  <c r="AR22" i="17"/>
  <c r="AQ22" i="17"/>
  <c r="AP22" i="17"/>
  <c r="AH22" i="17"/>
  <c r="AG22" i="17"/>
  <c r="AF22" i="17"/>
  <c r="D23" i="17"/>
  <c r="C23" i="17"/>
  <c r="B23" i="17"/>
  <c r="A24" i="17"/>
  <c r="E23" i="17"/>
  <c r="AC23" i="17" l="1"/>
  <c r="AD23" i="17"/>
  <c r="AR23" i="17"/>
  <c r="AQ23" i="17"/>
  <c r="AP23" i="17"/>
  <c r="AG23" i="17"/>
  <c r="AH23" i="17"/>
  <c r="AF23" i="17"/>
  <c r="A25" i="17"/>
  <c r="D24" i="17"/>
  <c r="C24" i="17"/>
  <c r="E24" i="17"/>
  <c r="B24" i="17"/>
  <c r="AC24" i="17" l="1"/>
  <c r="AD24" i="17"/>
  <c r="AR24" i="17"/>
  <c r="AQ24" i="17"/>
  <c r="AP24" i="17"/>
  <c r="AH24" i="17"/>
  <c r="AF24" i="17"/>
  <c r="AG24" i="17"/>
  <c r="C25" i="17"/>
  <c r="E25" i="17"/>
  <c r="D25" i="17"/>
  <c r="B25" i="17"/>
  <c r="A26" i="17"/>
  <c r="AC25" i="17" l="1"/>
  <c r="AD25" i="17"/>
  <c r="AR25" i="17"/>
  <c r="AP25" i="17"/>
  <c r="AQ25" i="17"/>
  <c r="AF25" i="17"/>
  <c r="AG25" i="17"/>
  <c r="AH25" i="17"/>
  <c r="A27" i="17"/>
  <c r="E26" i="17"/>
  <c r="D26" i="17"/>
  <c r="C26" i="17"/>
  <c r="B26" i="17"/>
  <c r="AC26" i="17" l="1"/>
  <c r="AD26" i="17"/>
  <c r="AR26" i="17"/>
  <c r="AP26" i="17"/>
  <c r="AQ26" i="17"/>
  <c r="AG26" i="17"/>
  <c r="AH26" i="17"/>
  <c r="AF26" i="17"/>
  <c r="E27" i="17"/>
  <c r="D27" i="17"/>
  <c r="A28" i="17"/>
  <c r="C27" i="17"/>
  <c r="B27" i="17"/>
  <c r="AC27" i="17" l="1"/>
  <c r="AD27" i="17"/>
  <c r="AR27" i="17"/>
  <c r="AQ27" i="17"/>
  <c r="AP27" i="17"/>
  <c r="AH27" i="17"/>
  <c r="AG27" i="17"/>
  <c r="AF27" i="17"/>
  <c r="A29" i="17"/>
  <c r="D28" i="17"/>
  <c r="C28" i="17"/>
  <c r="B28" i="17"/>
  <c r="E28" i="17"/>
  <c r="AC28" i="17" l="1"/>
  <c r="AD28" i="17"/>
  <c r="AR28" i="17"/>
  <c r="AQ28" i="17"/>
  <c r="AH28" i="17"/>
  <c r="AP28" i="17"/>
  <c r="AF28" i="17"/>
  <c r="AG28" i="17"/>
  <c r="E29" i="17"/>
  <c r="D29" i="17"/>
  <c r="C29" i="17"/>
  <c r="B29" i="17"/>
  <c r="A30" i="17"/>
  <c r="AC29" i="17" l="1"/>
  <c r="AD29" i="17"/>
  <c r="AR29" i="17"/>
  <c r="AP29" i="17"/>
  <c r="AQ29" i="17"/>
  <c r="AH29" i="17"/>
  <c r="AG29" i="17"/>
  <c r="AF29" i="17"/>
  <c r="B30" i="17"/>
  <c r="E30" i="17"/>
  <c r="D30" i="17"/>
  <c r="A31" i="17"/>
  <c r="C30" i="17"/>
  <c r="AC30" i="17" l="1"/>
  <c r="AD30" i="17"/>
  <c r="AR30" i="17"/>
  <c r="AQ30" i="17"/>
  <c r="AP30" i="17"/>
  <c r="AH30" i="17"/>
  <c r="AG30" i="17"/>
  <c r="AF30" i="17"/>
  <c r="E31" i="17"/>
  <c r="A32" i="17"/>
  <c r="C31" i="17"/>
  <c r="D31" i="17"/>
  <c r="B31" i="17"/>
  <c r="AC31" i="17" l="1"/>
  <c r="AD31" i="17"/>
  <c r="AR31" i="17"/>
  <c r="AQ31" i="17"/>
  <c r="AP31" i="17"/>
  <c r="AH31" i="17"/>
  <c r="AG31" i="17"/>
  <c r="AF31" i="17"/>
  <c r="A33" i="17"/>
  <c r="D32" i="17"/>
  <c r="C32" i="17"/>
  <c r="B32" i="17"/>
  <c r="E32" i="17"/>
  <c r="AC32" i="17" l="1"/>
  <c r="AD32" i="17"/>
  <c r="AR32" i="17"/>
  <c r="AQ32" i="17"/>
  <c r="AH32" i="17"/>
  <c r="AP32" i="17"/>
  <c r="AG32" i="17"/>
  <c r="AF32" i="17"/>
  <c r="E33" i="17"/>
  <c r="D33" i="17"/>
  <c r="C33" i="17"/>
  <c r="A34" i="17"/>
  <c r="B33" i="17"/>
  <c r="AC33" i="17" l="1"/>
  <c r="AD33" i="17"/>
  <c r="AR33" i="17"/>
  <c r="AQ33" i="17"/>
  <c r="AP33" i="17"/>
  <c r="AG33" i="17"/>
  <c r="AH33" i="17"/>
  <c r="AF33" i="17"/>
  <c r="A35" i="17"/>
  <c r="B34" i="17"/>
  <c r="D34" i="17"/>
  <c r="C34" i="17"/>
  <c r="E34" i="17"/>
  <c r="AC34" i="17" l="1"/>
  <c r="AD34" i="17"/>
  <c r="AR34" i="17"/>
  <c r="AQ34" i="17"/>
  <c r="AP34" i="17"/>
  <c r="AH34" i="17"/>
  <c r="AG34" i="17"/>
  <c r="AF34" i="17"/>
  <c r="E35" i="17"/>
  <c r="B35" i="17"/>
  <c r="C35" i="17"/>
  <c r="A36" i="17"/>
  <c r="D35" i="17"/>
  <c r="AC35" i="17" l="1"/>
  <c r="AD35" i="17"/>
  <c r="AR35" i="17"/>
  <c r="AQ35" i="17"/>
  <c r="AP35" i="17"/>
  <c r="AH35" i="17"/>
  <c r="AG35" i="17"/>
  <c r="AF35" i="17"/>
  <c r="C36" i="17"/>
  <c r="E36" i="17"/>
  <c r="D36" i="17"/>
  <c r="A37" i="17"/>
  <c r="B36" i="17"/>
  <c r="AC36" i="17" l="1"/>
  <c r="AD36" i="17"/>
  <c r="AR36" i="17"/>
  <c r="AQ36" i="17"/>
  <c r="AP36" i="17"/>
  <c r="AH36" i="17"/>
  <c r="AF36" i="17"/>
  <c r="AG36" i="17"/>
  <c r="E37" i="17"/>
  <c r="D37" i="17"/>
  <c r="C37" i="17"/>
  <c r="A38" i="17"/>
  <c r="B37" i="17"/>
  <c r="AC37" i="17" l="1"/>
  <c r="AD37" i="17"/>
  <c r="AR37" i="17"/>
  <c r="AP37" i="17"/>
  <c r="AQ37" i="17"/>
  <c r="AF37" i="17"/>
  <c r="AG37" i="17"/>
  <c r="AH37" i="17"/>
  <c r="D38" i="17"/>
  <c r="C38" i="17"/>
  <c r="A39" i="17"/>
  <c r="B38" i="17"/>
  <c r="E38" i="17"/>
  <c r="AC38" i="17" l="1"/>
  <c r="AD38" i="17"/>
  <c r="AR38" i="17"/>
  <c r="AQ38" i="17"/>
  <c r="AP38" i="17"/>
  <c r="AH38" i="17"/>
  <c r="AG38" i="17"/>
  <c r="AF38" i="17"/>
  <c r="C39" i="17"/>
  <c r="A40" i="17"/>
  <c r="B39" i="17"/>
  <c r="D39" i="17"/>
  <c r="E39" i="17"/>
  <c r="AC39" i="17" l="1"/>
  <c r="AD39" i="17"/>
  <c r="AR39" i="17"/>
  <c r="AQ39" i="17"/>
  <c r="AP39" i="17"/>
  <c r="AH39" i="17"/>
  <c r="AF39" i="17"/>
  <c r="AG39" i="17"/>
  <c r="C40" i="17"/>
  <c r="B40" i="17"/>
  <c r="A41" i="17"/>
  <c r="E40" i="17"/>
  <c r="D40" i="17"/>
  <c r="AC40" i="17" l="1"/>
  <c r="AD40" i="17"/>
  <c r="AR40" i="17"/>
  <c r="AP40" i="17"/>
  <c r="AH40" i="17"/>
  <c r="AQ40" i="17"/>
  <c r="AG40" i="17"/>
  <c r="AF40" i="17"/>
  <c r="A42" i="17"/>
  <c r="B41" i="17"/>
  <c r="D41" i="17"/>
  <c r="C41" i="17"/>
  <c r="E41" i="17"/>
  <c r="AC41" i="17" l="1"/>
  <c r="AD41" i="17"/>
  <c r="AR41" i="17"/>
  <c r="AP41" i="17"/>
  <c r="AQ41" i="17"/>
  <c r="AH41" i="17"/>
  <c r="AG41" i="17"/>
  <c r="AF41" i="17"/>
  <c r="E42" i="17"/>
  <c r="D42" i="17"/>
  <c r="C42" i="17"/>
  <c r="B42" i="17"/>
  <c r="A43" i="17"/>
  <c r="AC42" i="17" l="1"/>
  <c r="AD42" i="17"/>
  <c r="AR42" i="17"/>
  <c r="AQ42" i="17"/>
  <c r="AP42" i="17"/>
  <c r="AG42" i="17"/>
  <c r="AH42" i="17"/>
  <c r="AF42" i="17"/>
  <c r="A44" i="17"/>
  <c r="D43" i="17"/>
  <c r="C43" i="17"/>
  <c r="B43" i="17"/>
  <c r="E43" i="17"/>
  <c r="AC43" i="17" l="1"/>
  <c r="AD43" i="17"/>
  <c r="AR43" i="17"/>
  <c r="AQ43" i="17"/>
  <c r="AP43" i="17"/>
  <c r="AH43" i="17"/>
  <c r="AF43" i="17"/>
  <c r="AG43" i="17"/>
  <c r="C44" i="17"/>
  <c r="D44" i="17"/>
  <c r="B44" i="17"/>
  <c r="E44" i="17"/>
  <c r="A45" i="17"/>
  <c r="AC44" i="17" l="1"/>
  <c r="AD44" i="17"/>
  <c r="AR44" i="17"/>
  <c r="AQ44" i="17"/>
  <c r="AH44" i="17"/>
  <c r="AP44" i="17"/>
  <c r="AG44" i="17"/>
  <c r="AF44" i="17"/>
  <c r="A46" i="17"/>
  <c r="C45" i="17"/>
  <c r="E45" i="17"/>
  <c r="D45" i="17"/>
  <c r="B45" i="17"/>
  <c r="AC45" i="17" l="1"/>
  <c r="AD45" i="17"/>
  <c r="AR45" i="17"/>
  <c r="AQ45" i="17"/>
  <c r="AP45" i="17"/>
  <c r="AG45" i="17"/>
  <c r="AH45" i="17"/>
  <c r="AF45" i="17"/>
  <c r="B46" i="17"/>
  <c r="E46" i="17"/>
  <c r="D46" i="17"/>
  <c r="C46" i="17"/>
  <c r="A47" i="17"/>
  <c r="AC46" i="17" l="1"/>
  <c r="AD46" i="17"/>
  <c r="AR46" i="17"/>
  <c r="AQ46" i="17"/>
  <c r="AP46" i="17"/>
  <c r="AH46" i="17"/>
  <c r="AG46" i="17"/>
  <c r="AF46" i="17"/>
  <c r="D47" i="17"/>
  <c r="A48" i="17"/>
  <c r="C47" i="17"/>
  <c r="B47" i="17"/>
  <c r="E47" i="17"/>
  <c r="AC47" i="17" l="1"/>
  <c r="AD47" i="17"/>
  <c r="AR47" i="17"/>
  <c r="AQ47" i="17"/>
  <c r="AP47" i="17"/>
  <c r="AH47" i="17"/>
  <c r="AG47" i="17"/>
  <c r="AF47" i="17"/>
  <c r="C48" i="17"/>
  <c r="E48" i="17"/>
  <c r="D48" i="17"/>
  <c r="B48" i="17"/>
  <c r="A49" i="17"/>
  <c r="AC48" i="17" l="1"/>
  <c r="AD48" i="17"/>
  <c r="AR48" i="17"/>
  <c r="AQ48" i="17"/>
  <c r="AP48" i="17"/>
  <c r="AH48" i="17"/>
  <c r="AG48" i="17"/>
  <c r="AF48" i="17"/>
  <c r="E49" i="17"/>
  <c r="D49" i="17"/>
  <c r="A50" i="17"/>
  <c r="C49" i="17"/>
  <c r="B49" i="17"/>
  <c r="AC49" i="17" l="1"/>
  <c r="AD49" i="17"/>
  <c r="AR49" i="17"/>
  <c r="AQ49" i="17"/>
  <c r="AP49" i="17"/>
  <c r="AF49" i="17"/>
  <c r="AG49" i="17"/>
  <c r="AH49" i="17"/>
  <c r="E50" i="17"/>
  <c r="D50" i="17"/>
  <c r="A51" i="17"/>
  <c r="B50" i="17"/>
  <c r="C50" i="17"/>
  <c r="AC50" i="17" l="1"/>
  <c r="AD50" i="17"/>
  <c r="AR50" i="17"/>
  <c r="AP50" i="17"/>
  <c r="AQ50" i="17"/>
  <c r="AH50" i="17"/>
  <c r="AG50" i="17"/>
  <c r="AF50" i="17"/>
  <c r="E51" i="17"/>
  <c r="D51" i="17"/>
  <c r="C51" i="17"/>
  <c r="B51" i="17"/>
  <c r="A52" i="17"/>
  <c r="AC51" i="17" l="1"/>
  <c r="AD51" i="17"/>
  <c r="AR51" i="17"/>
  <c r="AQ51" i="17"/>
  <c r="AP51" i="17"/>
  <c r="AH51" i="17"/>
  <c r="AG51" i="17"/>
  <c r="AF51" i="17"/>
  <c r="C52" i="17"/>
  <c r="E52" i="17"/>
  <c r="D52" i="17"/>
  <c r="B52" i="17"/>
  <c r="A53" i="17"/>
  <c r="AC52" i="17" l="1"/>
  <c r="AD52" i="17"/>
  <c r="AR52" i="17"/>
  <c r="AQ52" i="17"/>
  <c r="AP52" i="17"/>
  <c r="AH52" i="17"/>
  <c r="AG52" i="17"/>
  <c r="AF52" i="17"/>
  <c r="A54" i="17"/>
  <c r="E53" i="17"/>
  <c r="D53" i="17"/>
  <c r="C53" i="17"/>
  <c r="B53" i="17"/>
  <c r="AC53" i="17" l="1"/>
  <c r="AD53" i="17"/>
  <c r="AR53" i="17"/>
  <c r="AP53" i="17"/>
  <c r="AQ53" i="17"/>
  <c r="AH53" i="17"/>
  <c r="AG53" i="17"/>
  <c r="AF53" i="17"/>
  <c r="E54" i="17"/>
  <c r="D54" i="17"/>
  <c r="C54" i="17"/>
  <c r="B54" i="17"/>
  <c r="A55" i="17"/>
  <c r="AC54" i="17" l="1"/>
  <c r="AD54" i="17"/>
  <c r="AR54" i="17"/>
  <c r="AQ54" i="17"/>
  <c r="AH54" i="17"/>
  <c r="AP54" i="17"/>
  <c r="AG54" i="17"/>
  <c r="AF54" i="17"/>
  <c r="E55" i="17"/>
  <c r="B55" i="17"/>
  <c r="D55" i="17"/>
  <c r="C55" i="17"/>
  <c r="A56" i="17"/>
  <c r="AC55" i="17" l="1"/>
  <c r="AD55" i="17"/>
  <c r="AR55" i="17"/>
  <c r="AQ55" i="17"/>
  <c r="AP55" i="17"/>
  <c r="AH55" i="17"/>
  <c r="AG55" i="17"/>
  <c r="AF55" i="17"/>
  <c r="C56" i="17"/>
  <c r="B56" i="17"/>
  <c r="E56" i="17"/>
  <c r="D56" i="17"/>
  <c r="A57" i="17"/>
  <c r="AC56" i="17" l="1"/>
  <c r="AD56" i="17"/>
  <c r="AR56" i="17"/>
  <c r="AQ56" i="17"/>
  <c r="AH56" i="17"/>
  <c r="AP56" i="17"/>
  <c r="AG56" i="17"/>
  <c r="AF56" i="17"/>
  <c r="E57" i="17"/>
  <c r="D57" i="17"/>
  <c r="C57" i="17"/>
  <c r="A58" i="17"/>
  <c r="B57" i="17"/>
  <c r="AC57" i="17" l="1"/>
  <c r="AD57" i="17"/>
  <c r="AR57" i="17"/>
  <c r="AQ57" i="17"/>
  <c r="AP57" i="17"/>
  <c r="AG57" i="17"/>
  <c r="AH57" i="17"/>
  <c r="AF57" i="17"/>
  <c r="A59" i="17"/>
  <c r="D58" i="17"/>
  <c r="C58" i="17"/>
  <c r="B58" i="17"/>
  <c r="E58" i="17"/>
  <c r="AC58" i="17" l="1"/>
  <c r="AD58" i="17"/>
  <c r="AR58" i="17"/>
  <c r="AQ58" i="17"/>
  <c r="AP58" i="17"/>
  <c r="AH58" i="17"/>
  <c r="AG58" i="17"/>
  <c r="AF58" i="17"/>
  <c r="E59" i="17"/>
  <c r="A60" i="17"/>
  <c r="C59" i="17"/>
  <c r="B59" i="17"/>
  <c r="D59" i="17"/>
  <c r="AC59" i="17" l="1"/>
  <c r="AD59" i="17"/>
  <c r="AR59" i="17"/>
  <c r="AP59" i="17"/>
  <c r="AQ59" i="17"/>
  <c r="AG59" i="17"/>
  <c r="AH59" i="17"/>
  <c r="AF59" i="17"/>
  <c r="C60" i="17"/>
  <c r="B60" i="17"/>
  <c r="D60" i="17"/>
  <c r="A61" i="17"/>
  <c r="E60" i="17"/>
  <c r="AC60" i="17" l="1"/>
  <c r="AD60" i="17"/>
  <c r="AR60" i="17"/>
  <c r="AQ60" i="17"/>
  <c r="AP60" i="17"/>
  <c r="AH60" i="17"/>
  <c r="AF60" i="17"/>
  <c r="AG60" i="17"/>
  <c r="A62" i="17"/>
  <c r="E61" i="17"/>
  <c r="D61" i="17"/>
  <c r="C61" i="17"/>
  <c r="B61" i="17"/>
  <c r="AC61" i="17" l="1"/>
  <c r="AD61" i="17"/>
  <c r="AR61" i="17"/>
  <c r="AP61" i="17"/>
  <c r="AQ61" i="17"/>
  <c r="AH61" i="17"/>
  <c r="AF61" i="17"/>
  <c r="AG61" i="17"/>
  <c r="E62" i="17"/>
  <c r="D62" i="17"/>
  <c r="C62" i="17"/>
  <c r="B62" i="17"/>
  <c r="A63" i="17"/>
  <c r="AC62" i="17" l="1"/>
  <c r="AD62" i="17"/>
  <c r="AR62" i="17"/>
  <c r="AQ62" i="17"/>
  <c r="AP62" i="17"/>
  <c r="AH62" i="17"/>
  <c r="AG62" i="17"/>
  <c r="AF62" i="17"/>
  <c r="E63" i="17"/>
  <c r="B63" i="17"/>
  <c r="D63" i="17"/>
  <c r="A64" i="17"/>
  <c r="C63" i="17"/>
  <c r="AC63" i="17" l="1"/>
  <c r="AD63" i="17"/>
  <c r="AR63" i="17"/>
  <c r="AQ63" i="17"/>
  <c r="AP63" i="17"/>
  <c r="AH63" i="17"/>
  <c r="AF63" i="17"/>
  <c r="AG63" i="17"/>
  <c r="C64" i="17"/>
  <c r="B64" i="17"/>
  <c r="E64" i="17"/>
  <c r="D64" i="17"/>
  <c r="A65" i="17"/>
  <c r="AC64" i="17" l="1"/>
  <c r="AD64" i="17"/>
  <c r="AR64" i="17"/>
  <c r="AP64" i="17"/>
  <c r="AH64" i="17"/>
  <c r="AQ64" i="17"/>
  <c r="AG64" i="17"/>
  <c r="AF64" i="17"/>
  <c r="B65" i="17"/>
  <c r="A66" i="17"/>
  <c r="C65" i="17"/>
  <c r="D65" i="17"/>
  <c r="E65" i="17"/>
  <c r="AC65" i="17" l="1"/>
  <c r="AD65" i="17"/>
  <c r="AR65" i="17"/>
  <c r="AP65" i="17"/>
  <c r="AQ65" i="17"/>
  <c r="AH65" i="17"/>
  <c r="AG65" i="17"/>
  <c r="AF65" i="17"/>
  <c r="C66" i="17"/>
  <c r="B66" i="17"/>
  <c r="A67" i="17"/>
  <c r="D66" i="17"/>
  <c r="E66" i="17"/>
  <c r="AC66" i="17" l="1"/>
  <c r="AD66" i="17"/>
  <c r="AR66" i="17"/>
  <c r="AQ66" i="17"/>
  <c r="AP66" i="17"/>
  <c r="AH66" i="17"/>
  <c r="AF66" i="17"/>
  <c r="AG66" i="17"/>
  <c r="E67" i="17"/>
  <c r="A68" i="17"/>
  <c r="D67" i="17"/>
  <c r="B67" i="17"/>
  <c r="C67" i="17"/>
  <c r="AC67" i="17" l="1"/>
  <c r="AD67" i="17"/>
  <c r="AR67" i="17"/>
  <c r="AQ67" i="17"/>
  <c r="AP67" i="17"/>
  <c r="AH67" i="17"/>
  <c r="AG67" i="17"/>
  <c r="AF67" i="17"/>
  <c r="C68" i="17"/>
  <c r="B68" i="17"/>
  <c r="E68" i="17"/>
  <c r="A69" i="17"/>
  <c r="D68" i="17"/>
  <c r="AC68" i="17" l="1"/>
  <c r="AD68" i="17"/>
  <c r="AR68" i="17"/>
  <c r="AQ68" i="17"/>
  <c r="AH68" i="17"/>
  <c r="AP68" i="17"/>
  <c r="AG68" i="17"/>
  <c r="AF68" i="17"/>
  <c r="C69" i="17"/>
  <c r="B69" i="17"/>
  <c r="E69" i="17"/>
  <c r="D69" i="17"/>
  <c r="A70" i="17"/>
  <c r="AC69" i="17" l="1"/>
  <c r="AD69" i="17"/>
  <c r="AR69" i="17"/>
  <c r="AQ69" i="17"/>
  <c r="AP69" i="17"/>
  <c r="AG69" i="17"/>
  <c r="AH69" i="17"/>
  <c r="AF69" i="17"/>
  <c r="E70" i="17"/>
  <c r="D70" i="17"/>
  <c r="C70" i="17"/>
  <c r="A71" i="17"/>
  <c r="B70" i="17"/>
  <c r="AC70" i="17" l="1"/>
  <c r="AD70" i="17"/>
  <c r="AR70" i="17"/>
  <c r="AQ70" i="17"/>
  <c r="AP70" i="17"/>
  <c r="AG70" i="17"/>
  <c r="AH70" i="17"/>
  <c r="AF70" i="17"/>
  <c r="E71" i="17"/>
  <c r="C71" i="17"/>
  <c r="A72" i="17"/>
  <c r="D71" i="17"/>
  <c r="B71" i="17"/>
  <c r="AC71" i="17" l="1"/>
  <c r="AD71" i="17"/>
  <c r="AR71" i="17"/>
  <c r="AQ71" i="17"/>
  <c r="AP71" i="17"/>
  <c r="AH71" i="17"/>
  <c r="AG71" i="17"/>
  <c r="AF71" i="17"/>
  <c r="A73" i="17"/>
  <c r="D72" i="17"/>
  <c r="B72" i="17"/>
  <c r="E72" i="17"/>
  <c r="C72" i="17"/>
  <c r="AC72" i="17" l="1"/>
  <c r="AD72" i="17"/>
  <c r="AR72" i="17"/>
  <c r="AQ72" i="17"/>
  <c r="AH72" i="17"/>
  <c r="AP72" i="17"/>
  <c r="AG72" i="17"/>
  <c r="AF72" i="17"/>
  <c r="A74" i="17"/>
  <c r="E73" i="17"/>
  <c r="D73" i="17"/>
  <c r="B73" i="17"/>
  <c r="C73" i="17"/>
  <c r="AC73" i="17" l="1"/>
  <c r="AD73" i="17"/>
  <c r="AR73" i="17"/>
  <c r="AQ73" i="17"/>
  <c r="AP73" i="17"/>
  <c r="AF73" i="17"/>
  <c r="AH73" i="17"/>
  <c r="AG73" i="17"/>
  <c r="B74" i="17"/>
  <c r="A75" i="17"/>
  <c r="E74" i="17"/>
  <c r="D74" i="17"/>
  <c r="C74" i="17"/>
  <c r="AC74" i="17" l="1"/>
  <c r="AD74" i="17"/>
  <c r="AR74" i="17"/>
  <c r="AQ74" i="17"/>
  <c r="AP74" i="17"/>
  <c r="AH74" i="17"/>
  <c r="AG74" i="17"/>
  <c r="AF74" i="17"/>
  <c r="E75" i="17"/>
  <c r="C75" i="17"/>
  <c r="B75" i="17"/>
  <c r="A76" i="17"/>
  <c r="D75" i="17"/>
  <c r="AC75" i="17" l="1"/>
  <c r="AD75" i="17"/>
  <c r="AR75" i="17"/>
  <c r="AQ75" i="17"/>
  <c r="AP75" i="17"/>
  <c r="AH75" i="17"/>
  <c r="AG75" i="17"/>
  <c r="AF75" i="17"/>
  <c r="A77" i="17"/>
  <c r="D76" i="17"/>
  <c r="B76" i="17"/>
  <c r="E76" i="17"/>
  <c r="C76" i="17"/>
  <c r="AC76" i="17" l="1"/>
  <c r="AD76" i="17"/>
  <c r="AR76" i="17"/>
  <c r="AQ76" i="17"/>
  <c r="AP76" i="17"/>
  <c r="AH76" i="17"/>
  <c r="AG76" i="17"/>
  <c r="AF76" i="17"/>
  <c r="C77" i="17"/>
  <c r="E77" i="17"/>
  <c r="B77" i="17"/>
  <c r="D77" i="17"/>
  <c r="A78" i="17"/>
  <c r="AC77" i="17" l="1"/>
  <c r="AD77" i="17"/>
  <c r="AR77" i="17"/>
  <c r="AQ77" i="17"/>
  <c r="AP77" i="17"/>
  <c r="AH77" i="17"/>
  <c r="AG77" i="17"/>
  <c r="AF77" i="17"/>
  <c r="D78" i="17"/>
  <c r="A79" i="17"/>
  <c r="C78" i="17"/>
  <c r="B78" i="17"/>
  <c r="E78" i="17"/>
  <c r="AC78" i="17" l="1"/>
  <c r="AD78" i="17"/>
  <c r="AR78" i="17"/>
  <c r="AQ78" i="17"/>
  <c r="AP78" i="17"/>
  <c r="AH78" i="17"/>
  <c r="AF78" i="17"/>
  <c r="AG78" i="17"/>
  <c r="E79" i="17"/>
  <c r="C79" i="17"/>
  <c r="D79" i="17"/>
  <c r="A80" i="17"/>
  <c r="B79" i="17"/>
  <c r="AC79" i="17" l="1"/>
  <c r="AD79" i="17"/>
  <c r="AR79" i="17"/>
  <c r="AQ79" i="17"/>
  <c r="AP79" i="17"/>
  <c r="AH79" i="17"/>
  <c r="AG79" i="17"/>
  <c r="AF79" i="17"/>
  <c r="A81" i="17"/>
  <c r="D80" i="17"/>
  <c r="B80" i="17"/>
  <c r="C80" i="17"/>
  <c r="E80" i="17"/>
  <c r="AC80" i="17" l="1"/>
  <c r="AD80" i="17"/>
  <c r="AR80" i="17"/>
  <c r="AQ80" i="17"/>
  <c r="AH80" i="17"/>
  <c r="AP80" i="17"/>
  <c r="AG80" i="17"/>
  <c r="AF80" i="17"/>
  <c r="A82" i="17"/>
  <c r="B81" i="17"/>
  <c r="C81" i="17"/>
  <c r="E81" i="17"/>
  <c r="D81" i="17"/>
  <c r="AC81" i="17" l="1"/>
  <c r="AD81" i="17"/>
  <c r="AR81" i="17"/>
  <c r="AQ81" i="17"/>
  <c r="AP81" i="17"/>
  <c r="AG81" i="17"/>
  <c r="AH81" i="17"/>
  <c r="AF81" i="17"/>
  <c r="B82" i="17"/>
  <c r="A83" i="17"/>
  <c r="D82" i="17"/>
  <c r="C82" i="17"/>
  <c r="E82" i="17"/>
  <c r="AC82" i="17" l="1"/>
  <c r="AD82" i="17"/>
  <c r="AR82" i="17"/>
  <c r="AQ82" i="17"/>
  <c r="AP82" i="17"/>
  <c r="AH82" i="17"/>
  <c r="AF82" i="17"/>
  <c r="AG82" i="17"/>
  <c r="E83" i="17"/>
  <c r="C83" i="17"/>
  <c r="B83" i="17"/>
  <c r="A84" i="17"/>
  <c r="D83" i="17"/>
  <c r="AC83" i="17" l="1"/>
  <c r="AD83" i="17"/>
  <c r="AR83" i="17"/>
  <c r="AP83" i="17"/>
  <c r="AQ83" i="17"/>
  <c r="AH83" i="17"/>
  <c r="AF83" i="17"/>
  <c r="AG83" i="17"/>
  <c r="A85" i="17"/>
  <c r="D84" i="17"/>
  <c r="B84" i="17"/>
  <c r="E84" i="17"/>
  <c r="C84" i="17"/>
  <c r="AC84" i="17" l="1"/>
  <c r="AD84" i="17"/>
  <c r="AR84" i="17"/>
  <c r="AQ84" i="17"/>
  <c r="AP84" i="17"/>
  <c r="AH84" i="17"/>
  <c r="AF84" i="17"/>
  <c r="AG84" i="17"/>
  <c r="C85" i="17"/>
  <c r="E85" i="17"/>
  <c r="A86" i="17"/>
  <c r="D85" i="17"/>
  <c r="B85" i="17"/>
  <c r="AC85" i="17" l="1"/>
  <c r="AD85" i="17"/>
  <c r="AR85" i="17"/>
  <c r="AQ85" i="17"/>
  <c r="AP85" i="17"/>
  <c r="AF85" i="17"/>
  <c r="AG85" i="17"/>
  <c r="AH85" i="17"/>
  <c r="D86" i="17"/>
  <c r="A87" i="17"/>
  <c r="C86" i="17"/>
  <c r="E86" i="17"/>
  <c r="B86" i="17"/>
  <c r="AC86" i="17" l="1"/>
  <c r="AD86" i="17"/>
  <c r="AR86" i="17"/>
  <c r="AQ86" i="17"/>
  <c r="AP86" i="17"/>
  <c r="AH86" i="17"/>
  <c r="AG86" i="17"/>
  <c r="AF86" i="17"/>
  <c r="E87" i="17"/>
  <c r="C87" i="17"/>
  <c r="A88" i="17"/>
  <c r="D87" i="17"/>
  <c r="B87" i="17"/>
  <c r="AC87" i="17" l="1"/>
  <c r="AD87" i="17"/>
  <c r="AR87" i="17"/>
  <c r="AP87" i="17"/>
  <c r="AQ87" i="17"/>
  <c r="AH87" i="17"/>
  <c r="AG87" i="17"/>
  <c r="AF87" i="17"/>
  <c r="A89" i="17"/>
  <c r="D88" i="17"/>
  <c r="B88" i="17"/>
  <c r="E88" i="17"/>
  <c r="C88" i="17"/>
  <c r="AC88" i="17" l="1"/>
  <c r="AD88" i="17"/>
  <c r="AR88" i="17"/>
  <c r="AQ88" i="17"/>
  <c r="AP88" i="17"/>
  <c r="AH88" i="17"/>
  <c r="AG88" i="17"/>
  <c r="AF88" i="17"/>
  <c r="A90" i="17"/>
  <c r="D89" i="17"/>
  <c r="C89" i="17"/>
  <c r="B89" i="17"/>
  <c r="E89" i="17"/>
  <c r="AC89" i="17" l="1"/>
  <c r="AD89" i="17"/>
  <c r="AR89" i="17"/>
  <c r="AQ89" i="17"/>
  <c r="AP89" i="17"/>
  <c r="AH89" i="17"/>
  <c r="AG89" i="17"/>
  <c r="AF89" i="17"/>
  <c r="E90" i="17"/>
  <c r="D90" i="17"/>
  <c r="C90" i="17"/>
  <c r="B90" i="17"/>
  <c r="A91" i="17"/>
  <c r="AC90" i="17" l="1"/>
  <c r="AD90" i="17"/>
  <c r="AR90" i="17"/>
  <c r="AQ90" i="17"/>
  <c r="AP90" i="17"/>
  <c r="AH90" i="17"/>
  <c r="AG90" i="17"/>
  <c r="AF90" i="17"/>
  <c r="A92" i="17"/>
  <c r="D91" i="17"/>
  <c r="E91" i="17"/>
  <c r="C91" i="17"/>
  <c r="B91" i="17"/>
  <c r="AC91" i="17" l="1"/>
  <c r="AD91" i="17"/>
  <c r="AR91" i="17"/>
  <c r="AQ91" i="17"/>
  <c r="AP91" i="17"/>
  <c r="AH91" i="17"/>
  <c r="AF91" i="17"/>
  <c r="AG91" i="17"/>
  <c r="C92" i="17"/>
  <c r="B92" i="17"/>
  <c r="A93" i="17"/>
  <c r="E92" i="17"/>
  <c r="D92" i="17"/>
  <c r="AC92" i="17" l="1"/>
  <c r="AD92" i="17"/>
  <c r="AR92" i="17"/>
  <c r="AQ92" i="17"/>
  <c r="AH92" i="17"/>
  <c r="AP92" i="17"/>
  <c r="AG92" i="17"/>
  <c r="AF92" i="17"/>
  <c r="C93" i="17"/>
  <c r="E93" i="17"/>
  <c r="A94" i="17"/>
  <c r="D93" i="17"/>
  <c r="B93" i="17"/>
  <c r="AC93" i="17" l="1"/>
  <c r="AD93" i="17"/>
  <c r="AR93" i="17"/>
  <c r="AQ93" i="17"/>
  <c r="AP93" i="17"/>
  <c r="AG93" i="17"/>
  <c r="AH93" i="17"/>
  <c r="AF93" i="17"/>
  <c r="B94" i="17"/>
  <c r="D94" i="17"/>
  <c r="A95" i="17"/>
  <c r="E94" i="17"/>
  <c r="C94" i="17"/>
  <c r="AC94" i="17" l="1"/>
  <c r="AD94" i="17"/>
  <c r="AR94" i="17"/>
  <c r="AQ94" i="17"/>
  <c r="AP94" i="17"/>
  <c r="AH94" i="17"/>
  <c r="AF94" i="17"/>
  <c r="AG94" i="17"/>
  <c r="E95" i="17"/>
  <c r="C95" i="17"/>
  <c r="A96" i="17"/>
  <c r="D95" i="17"/>
  <c r="B95" i="17"/>
  <c r="AC95" i="17" l="1"/>
  <c r="AD95" i="17"/>
  <c r="AR95" i="17"/>
  <c r="AQ95" i="17"/>
  <c r="AP95" i="17"/>
  <c r="AH95" i="17"/>
  <c r="AF95" i="17"/>
  <c r="AG95" i="17"/>
  <c r="E96" i="17"/>
  <c r="D96" i="17"/>
  <c r="A97" i="17"/>
  <c r="B96" i="17"/>
  <c r="C96" i="17"/>
  <c r="AC96" i="17" l="1"/>
  <c r="AD96" i="17"/>
  <c r="AR96" i="17"/>
  <c r="AQ96" i="17"/>
  <c r="AP96" i="17"/>
  <c r="AH96" i="17"/>
  <c r="AG96" i="17"/>
  <c r="AF96" i="17"/>
  <c r="C97" i="17"/>
  <c r="E97" i="17"/>
  <c r="D97" i="17"/>
  <c r="A98" i="17"/>
  <c r="B97" i="17"/>
  <c r="AC97" i="17" l="1"/>
  <c r="AD97" i="17"/>
  <c r="AR97" i="17"/>
  <c r="AQ97" i="17"/>
  <c r="AP97" i="17"/>
  <c r="AH97" i="17"/>
  <c r="AF97" i="17"/>
  <c r="AG97" i="17"/>
  <c r="E98" i="17"/>
  <c r="D98" i="17"/>
  <c r="C98" i="17"/>
  <c r="A99" i="17"/>
  <c r="B98" i="17"/>
  <c r="AC98" i="17" l="1"/>
  <c r="AD98" i="17"/>
  <c r="AR98" i="17"/>
  <c r="AQ98" i="17"/>
  <c r="AP98" i="17"/>
  <c r="AH98" i="17"/>
  <c r="AG98" i="17"/>
  <c r="AF98" i="17"/>
  <c r="A100" i="17"/>
  <c r="B99" i="17"/>
  <c r="E99" i="17"/>
  <c r="D99" i="17"/>
  <c r="C99" i="17"/>
  <c r="AC99" i="17" l="1"/>
  <c r="AD99" i="17"/>
  <c r="AR99" i="17"/>
  <c r="AQ99" i="17"/>
  <c r="AP99" i="17"/>
  <c r="AH99" i="17"/>
  <c r="AG99" i="17"/>
  <c r="AF99" i="17"/>
  <c r="E100" i="17"/>
  <c r="A101" i="17"/>
  <c r="D100" i="17"/>
  <c r="C100" i="17"/>
  <c r="B100" i="17"/>
  <c r="AC100" i="17" l="1"/>
  <c r="AD100" i="17"/>
  <c r="AR100" i="17"/>
  <c r="AP100" i="17"/>
  <c r="AH100" i="17"/>
  <c r="AQ100" i="17"/>
  <c r="AG100" i="17"/>
  <c r="AF100" i="17"/>
  <c r="C101" i="17"/>
  <c r="B101" i="17"/>
  <c r="E101" i="17"/>
  <c r="A102" i="17"/>
  <c r="D101" i="17"/>
  <c r="AC101" i="17" l="1"/>
  <c r="AD101" i="17"/>
  <c r="AR101" i="17"/>
  <c r="AP101" i="17"/>
  <c r="AQ101" i="17"/>
  <c r="AH101" i="17"/>
  <c r="AG101" i="17"/>
  <c r="AF101" i="17"/>
  <c r="A103" i="17"/>
  <c r="C102" i="17"/>
  <c r="E102" i="17"/>
  <c r="D102" i="17"/>
  <c r="B102" i="17"/>
  <c r="AC102" i="17" l="1"/>
  <c r="AD102" i="17"/>
  <c r="AR102" i="17"/>
  <c r="AQ102" i="17"/>
  <c r="AP102" i="17"/>
  <c r="AH102" i="17"/>
  <c r="AG102" i="17"/>
  <c r="AF102" i="17"/>
  <c r="D103" i="17"/>
  <c r="A104" i="17"/>
  <c r="B103" i="17"/>
  <c r="E103" i="17"/>
  <c r="C103" i="17"/>
  <c r="AC103" i="17" l="1"/>
  <c r="AD103" i="17"/>
  <c r="AR103" i="17"/>
  <c r="AQ103" i="17"/>
  <c r="AP103" i="17"/>
  <c r="AH103" i="17"/>
  <c r="AG103" i="17"/>
  <c r="AF103" i="17"/>
  <c r="E104" i="17"/>
  <c r="A105" i="17"/>
  <c r="D104" i="17"/>
  <c r="C104" i="17"/>
  <c r="B104" i="17"/>
  <c r="AC104" i="17" l="1"/>
  <c r="AD104" i="17"/>
  <c r="AR104" i="17"/>
  <c r="AP104" i="17"/>
  <c r="AQ104" i="17"/>
  <c r="AH104" i="17"/>
  <c r="AG104" i="17"/>
  <c r="AF104" i="17"/>
  <c r="C105" i="17"/>
  <c r="B105" i="17"/>
  <c r="A106" i="17"/>
  <c r="D105" i="17"/>
  <c r="E105" i="17"/>
  <c r="AC105" i="17" l="1"/>
  <c r="AD105" i="17"/>
  <c r="AR105" i="17"/>
  <c r="AQ105" i="17"/>
  <c r="AP105" i="17"/>
  <c r="AH105" i="17"/>
  <c r="AG105" i="17"/>
  <c r="AF105" i="17"/>
  <c r="D106" i="17"/>
  <c r="A107" i="17"/>
  <c r="E106" i="17"/>
  <c r="C106" i="17"/>
  <c r="B106" i="17"/>
  <c r="AC106" i="17" l="1"/>
  <c r="AD106" i="17"/>
  <c r="AR106" i="17"/>
  <c r="AQ106" i="17"/>
  <c r="AP106" i="17"/>
  <c r="AH106" i="17"/>
  <c r="AG106" i="17"/>
  <c r="AF106" i="17"/>
  <c r="D107" i="17"/>
  <c r="C107" i="17"/>
  <c r="B107" i="17"/>
  <c r="A108" i="17"/>
  <c r="E107" i="17"/>
  <c r="AC107" i="17" l="1"/>
  <c r="AD107" i="17"/>
  <c r="AR107" i="17"/>
  <c r="AQ107" i="17"/>
  <c r="AP107" i="17"/>
  <c r="AH107" i="17"/>
  <c r="AG107" i="17"/>
  <c r="AF107" i="17"/>
  <c r="E108" i="17"/>
  <c r="A109" i="17"/>
  <c r="D108" i="17"/>
  <c r="C108" i="17"/>
  <c r="B108" i="17"/>
  <c r="AC108" i="17" l="1"/>
  <c r="AD108" i="17"/>
  <c r="AR108" i="17"/>
  <c r="AQ108" i="17"/>
  <c r="AH108" i="17"/>
  <c r="AP108" i="17"/>
  <c r="AF108" i="17"/>
  <c r="AG108" i="17"/>
  <c r="C109" i="17"/>
  <c r="B109" i="17"/>
  <c r="D109" i="17"/>
  <c r="E109" i="17"/>
  <c r="A110" i="17"/>
  <c r="AC109" i="17" l="1"/>
  <c r="AD109" i="17"/>
  <c r="AR109" i="17"/>
  <c r="AQ109" i="17"/>
  <c r="AP109" i="17"/>
  <c r="AF109" i="17"/>
  <c r="AH109" i="17"/>
  <c r="AG109" i="17"/>
  <c r="D110" i="17"/>
  <c r="C110" i="17"/>
  <c r="B110" i="17"/>
  <c r="E110" i="17"/>
  <c r="A111" i="17"/>
  <c r="AC110" i="17" l="1"/>
  <c r="AD110" i="17"/>
  <c r="AR110" i="17"/>
  <c r="AQ110" i="17"/>
  <c r="AP110" i="17"/>
  <c r="AH110" i="17"/>
  <c r="AF110" i="17"/>
  <c r="AG110" i="17"/>
  <c r="E111" i="17"/>
  <c r="C111" i="17"/>
  <c r="D111" i="17"/>
  <c r="A112" i="17"/>
  <c r="B111" i="17"/>
  <c r="AC111" i="17" l="1"/>
  <c r="AD111" i="17"/>
  <c r="AR111" i="17"/>
  <c r="AP111" i="17"/>
  <c r="AQ111" i="17"/>
  <c r="AH111" i="17"/>
  <c r="AG111" i="17"/>
  <c r="AF111" i="17"/>
  <c r="E112" i="17"/>
  <c r="A113" i="17"/>
  <c r="D112" i="17"/>
  <c r="C112" i="17"/>
  <c r="B112" i="17"/>
  <c r="AC112" i="17" l="1"/>
  <c r="AD112" i="17"/>
  <c r="AR112" i="17"/>
  <c r="AQ112" i="17"/>
  <c r="AH112" i="17"/>
  <c r="AP112" i="17"/>
  <c r="AG112" i="17"/>
  <c r="AF112" i="17"/>
  <c r="C113" i="17"/>
  <c r="B113" i="17"/>
  <c r="D113" i="17"/>
  <c r="A114" i="17"/>
  <c r="E113" i="17"/>
  <c r="AC113" i="17" l="1"/>
  <c r="AD113" i="17"/>
  <c r="AR113" i="17"/>
  <c r="AP113" i="17"/>
  <c r="AQ113" i="17"/>
  <c r="AH113" i="17"/>
  <c r="AG113" i="17"/>
  <c r="AF113" i="17"/>
  <c r="E114" i="17"/>
  <c r="A115" i="17"/>
  <c r="D114" i="17"/>
  <c r="C114" i="17"/>
  <c r="B114" i="17"/>
  <c r="AC114" i="17" l="1"/>
  <c r="AD114" i="17"/>
  <c r="AR114" i="17"/>
  <c r="AQ114" i="17"/>
  <c r="AP114" i="17"/>
  <c r="AH114" i="17"/>
  <c r="AG114" i="17"/>
  <c r="AF114" i="17"/>
  <c r="A116" i="17"/>
  <c r="C115" i="17"/>
  <c r="E115" i="17"/>
  <c r="D115" i="17"/>
  <c r="B115" i="17"/>
  <c r="AC115" i="17" l="1"/>
  <c r="AD115" i="17"/>
  <c r="AR115" i="17"/>
  <c r="AP115" i="17"/>
  <c r="AH115" i="17"/>
  <c r="AQ115" i="17"/>
  <c r="AG115" i="17"/>
  <c r="AF115" i="17"/>
  <c r="E116" i="17"/>
  <c r="A117" i="17"/>
  <c r="D116" i="17"/>
  <c r="C116" i="17"/>
  <c r="B116" i="17"/>
  <c r="AC116" i="17" l="1"/>
  <c r="AD116" i="17"/>
  <c r="AR116" i="17"/>
  <c r="AQ116" i="17"/>
  <c r="AP116" i="17"/>
  <c r="AH116" i="17"/>
  <c r="AG116" i="17"/>
  <c r="AF116" i="17"/>
  <c r="C117" i="17"/>
  <c r="B117" i="17"/>
  <c r="E117" i="17"/>
  <c r="A118" i="17"/>
  <c r="D117" i="17"/>
  <c r="AC117" i="17" l="1"/>
  <c r="AD117" i="17"/>
  <c r="AR117" i="17"/>
  <c r="AQ117" i="17"/>
  <c r="AP117" i="17"/>
  <c r="AG117" i="17"/>
  <c r="AH117" i="17"/>
  <c r="AF117" i="17"/>
  <c r="A119" i="17"/>
  <c r="B118" i="17"/>
  <c r="E118" i="17"/>
  <c r="D118" i="17"/>
  <c r="C118" i="17"/>
  <c r="AC118" i="17" l="1"/>
  <c r="AD118" i="17"/>
  <c r="AR118" i="17"/>
  <c r="AQ118" i="17"/>
  <c r="AP118" i="17"/>
  <c r="AH118" i="17"/>
  <c r="AG118" i="17"/>
  <c r="AF118" i="17"/>
  <c r="C119" i="17"/>
  <c r="A120" i="17"/>
  <c r="E119" i="17"/>
  <c r="D119" i="17"/>
  <c r="B119" i="17"/>
  <c r="AC119" i="17" l="1"/>
  <c r="AD119" i="17"/>
  <c r="AR119" i="17"/>
  <c r="AQ119" i="17"/>
  <c r="AP119" i="17"/>
  <c r="AH119" i="17"/>
  <c r="AG119" i="17"/>
  <c r="AF119" i="17"/>
  <c r="E120" i="17"/>
  <c r="A121" i="17"/>
  <c r="D120" i="17"/>
  <c r="C120" i="17"/>
  <c r="B120" i="17"/>
  <c r="AC120" i="17" l="1"/>
  <c r="AD120" i="17"/>
  <c r="AR120" i="17"/>
  <c r="AQ120" i="17"/>
  <c r="AP120" i="17"/>
  <c r="AH120" i="17"/>
  <c r="AG120" i="17"/>
  <c r="AF120" i="17"/>
  <c r="C121" i="17"/>
  <c r="B121" i="17"/>
  <c r="A122" i="17"/>
  <c r="E121" i="17"/>
  <c r="D121" i="17"/>
  <c r="AC121" i="17" l="1"/>
  <c r="AD121" i="17"/>
  <c r="AR121" i="17"/>
  <c r="AQ121" i="17"/>
  <c r="AP121" i="17"/>
  <c r="AF121" i="17"/>
  <c r="AG121" i="17"/>
  <c r="AH121" i="17"/>
  <c r="D122" i="17"/>
  <c r="A123" i="17"/>
  <c r="B122" i="17"/>
  <c r="E122" i="17"/>
  <c r="C122" i="17"/>
  <c r="AC122" i="17" l="1"/>
  <c r="AD122" i="17"/>
  <c r="AR122" i="17"/>
  <c r="AQ122" i="17"/>
  <c r="AP122" i="17"/>
  <c r="AH122" i="17"/>
  <c r="AG122" i="17"/>
  <c r="AF122" i="17"/>
  <c r="D123" i="17"/>
  <c r="C123" i="17"/>
  <c r="B123" i="17"/>
  <c r="A124" i="17"/>
  <c r="E123" i="17"/>
  <c r="AC123" i="17" l="1"/>
  <c r="AD123" i="17"/>
  <c r="AR123" i="17"/>
  <c r="AQ123" i="17"/>
  <c r="AP123" i="17"/>
  <c r="AH123" i="17"/>
  <c r="AG123" i="17"/>
  <c r="AF123" i="17"/>
  <c r="E124" i="17"/>
  <c r="A125" i="17"/>
  <c r="D124" i="17"/>
  <c r="B124" i="17"/>
  <c r="C124" i="17"/>
  <c r="AC124" i="17" l="1"/>
  <c r="AD124" i="17"/>
  <c r="AR124" i="17"/>
  <c r="AQ124" i="17"/>
  <c r="AH124" i="17"/>
  <c r="AP124" i="17"/>
  <c r="AG124" i="17"/>
  <c r="AF124" i="17"/>
  <c r="C125" i="17"/>
  <c r="B125" i="17"/>
  <c r="E125" i="17"/>
  <c r="D125" i="17"/>
  <c r="A126" i="17"/>
  <c r="AC125" i="17" l="1"/>
  <c r="AD125" i="17"/>
  <c r="AR125" i="17"/>
  <c r="AQ125" i="17"/>
  <c r="AP125" i="17"/>
  <c r="AH125" i="17"/>
  <c r="AG125" i="17"/>
  <c r="AF125" i="17"/>
  <c r="D126" i="17"/>
  <c r="C126" i="17"/>
  <c r="B126" i="17"/>
  <c r="A127" i="17"/>
  <c r="E126" i="17"/>
  <c r="AC126" i="17" l="1"/>
  <c r="AD126" i="17"/>
  <c r="AR126" i="17"/>
  <c r="AQ126" i="17"/>
  <c r="AP126" i="17"/>
  <c r="AH126" i="17"/>
  <c r="AG126" i="17"/>
  <c r="AF126" i="17"/>
  <c r="C127" i="17"/>
  <c r="A128" i="17"/>
  <c r="B127" i="17"/>
  <c r="E127" i="17"/>
  <c r="D127" i="17"/>
  <c r="AC127" i="17" l="1"/>
  <c r="AD127" i="17"/>
  <c r="AR127" i="17"/>
  <c r="AQ127" i="17"/>
  <c r="AH127" i="17"/>
  <c r="AP127" i="17"/>
  <c r="AG127" i="17"/>
  <c r="AF127" i="17"/>
  <c r="C128" i="17"/>
  <c r="B128" i="17"/>
  <c r="A129" i="17"/>
  <c r="E128" i="17"/>
  <c r="D128" i="17"/>
  <c r="AC128" i="17" l="1"/>
  <c r="AD128" i="17"/>
  <c r="AR128" i="17"/>
  <c r="AP128" i="17"/>
  <c r="AH128" i="17"/>
  <c r="AQ128" i="17"/>
  <c r="AG128" i="17"/>
  <c r="AF128" i="17"/>
  <c r="A130" i="17"/>
  <c r="B129" i="17"/>
  <c r="C129" i="17"/>
  <c r="E129" i="17"/>
  <c r="D129" i="17"/>
  <c r="AC129" i="17" l="1"/>
  <c r="AD129" i="17"/>
  <c r="AR129" i="17"/>
  <c r="AQ129" i="17"/>
  <c r="AP129" i="17"/>
  <c r="AH129" i="17"/>
  <c r="AG129" i="17"/>
  <c r="AF129" i="17"/>
  <c r="A131" i="17"/>
  <c r="E130" i="17"/>
  <c r="D130" i="17"/>
  <c r="C130" i="17"/>
  <c r="B130" i="17"/>
  <c r="AC130" i="17" l="1"/>
  <c r="AD130" i="17"/>
  <c r="AR130" i="17"/>
  <c r="AQ130" i="17"/>
  <c r="AP130" i="17"/>
  <c r="AH130" i="17"/>
  <c r="AF130" i="17"/>
  <c r="AG130" i="17"/>
  <c r="C131" i="17"/>
  <c r="E131" i="17"/>
  <c r="A132" i="17"/>
  <c r="D131" i="17"/>
  <c r="B131" i="17"/>
  <c r="AC131" i="17" l="1"/>
  <c r="AD131" i="17"/>
  <c r="AR131" i="17"/>
  <c r="AQ131" i="17"/>
  <c r="AP131" i="17"/>
  <c r="AH131" i="17"/>
  <c r="AF131" i="17"/>
  <c r="AG131" i="17"/>
  <c r="A133" i="17"/>
  <c r="E132" i="17"/>
  <c r="C132" i="17"/>
  <c r="D132" i="17"/>
  <c r="B132" i="17"/>
  <c r="AC132" i="17" l="1"/>
  <c r="AD132" i="17"/>
  <c r="AR132" i="17"/>
  <c r="AP132" i="17"/>
  <c r="AQ132" i="17"/>
  <c r="AH132" i="17"/>
  <c r="AF132" i="17"/>
  <c r="AG132" i="17"/>
  <c r="E133" i="17"/>
  <c r="D133" i="17"/>
  <c r="C133" i="17"/>
  <c r="B133" i="17"/>
  <c r="A134" i="17"/>
  <c r="AC133" i="17" l="1"/>
  <c r="AD133" i="17"/>
  <c r="AR133" i="17"/>
  <c r="AQ133" i="17"/>
  <c r="AP133" i="17"/>
  <c r="AF133" i="17"/>
  <c r="AG133" i="17"/>
  <c r="AH133" i="17"/>
  <c r="E134" i="17"/>
  <c r="D134" i="17"/>
  <c r="A135" i="17"/>
  <c r="C134" i="17"/>
  <c r="B134" i="17"/>
  <c r="AC134" i="17" l="1"/>
  <c r="AD134" i="17"/>
  <c r="AR134" i="17"/>
  <c r="AQ134" i="17"/>
  <c r="AP134" i="17"/>
  <c r="AG134" i="17"/>
  <c r="AH134" i="17"/>
  <c r="AF134" i="17"/>
  <c r="C135" i="17"/>
  <c r="E135" i="17"/>
  <c r="D135" i="17"/>
  <c r="B135" i="17"/>
  <c r="A136" i="17"/>
  <c r="AC135" i="17" l="1"/>
  <c r="AD135" i="17"/>
  <c r="AR135" i="17"/>
  <c r="AQ135" i="17"/>
  <c r="AP135" i="17"/>
  <c r="AH135" i="17"/>
  <c r="AF135" i="17"/>
  <c r="AG135" i="17"/>
  <c r="E136" i="17"/>
  <c r="D136" i="17"/>
  <c r="C136" i="17"/>
  <c r="A137" i="17"/>
  <c r="B136" i="17"/>
  <c r="AC136" i="17" l="1"/>
  <c r="AD136" i="17"/>
  <c r="AR136" i="17"/>
  <c r="AQ136" i="17"/>
  <c r="AP136" i="17"/>
  <c r="AH136" i="17"/>
  <c r="AG136" i="17"/>
  <c r="AF136" i="17"/>
  <c r="D137" i="17"/>
  <c r="C137" i="17"/>
  <c r="A138" i="17"/>
  <c r="B137" i="17"/>
  <c r="E137" i="17"/>
  <c r="AC137" i="17" l="1"/>
  <c r="AD137" i="17"/>
  <c r="AR137" i="17"/>
  <c r="AQ137" i="17"/>
  <c r="AH137" i="17"/>
  <c r="AP137" i="17"/>
  <c r="AG137" i="17"/>
  <c r="AF137" i="17"/>
  <c r="E138" i="17"/>
  <c r="A139" i="17"/>
  <c r="D138" i="17"/>
  <c r="C138" i="17"/>
  <c r="B138" i="17"/>
  <c r="AC138" i="17" l="1"/>
  <c r="AD138" i="17"/>
  <c r="AR138" i="17"/>
  <c r="AQ138" i="17"/>
  <c r="AP138" i="17"/>
  <c r="AH138" i="17"/>
  <c r="AG138" i="17"/>
  <c r="AF138" i="17"/>
  <c r="C139" i="17"/>
  <c r="B139" i="17"/>
  <c r="E139" i="17"/>
  <c r="D139" i="17"/>
  <c r="A140" i="17"/>
  <c r="AC139" i="17" l="1"/>
  <c r="AD139" i="17"/>
  <c r="AR139" i="17"/>
  <c r="AQ139" i="17"/>
  <c r="AP139" i="17"/>
  <c r="AH139" i="17"/>
  <c r="AF139" i="17"/>
  <c r="AG139" i="17"/>
  <c r="A141" i="17"/>
  <c r="D140" i="17"/>
  <c r="C140" i="17"/>
  <c r="B140" i="17"/>
  <c r="E140" i="17"/>
  <c r="AC140" i="17" l="1"/>
  <c r="AD140" i="17"/>
  <c r="AR140" i="17"/>
  <c r="AQ140" i="17"/>
  <c r="AP140" i="17"/>
  <c r="AH140" i="17"/>
  <c r="AG140" i="17"/>
  <c r="AF140" i="17"/>
  <c r="C141" i="17"/>
  <c r="B141" i="17"/>
  <c r="E141" i="17"/>
  <c r="D141" i="17"/>
  <c r="A142" i="17"/>
  <c r="AC141" i="17" l="1"/>
  <c r="AD141" i="17"/>
  <c r="AR141" i="17"/>
  <c r="AQ141" i="17"/>
  <c r="AP141" i="17"/>
  <c r="AG141" i="17"/>
  <c r="AH141" i="17"/>
  <c r="AF141" i="17"/>
  <c r="E142" i="17"/>
  <c r="A143" i="17"/>
  <c r="D142" i="17"/>
  <c r="C142" i="17"/>
  <c r="B142" i="17"/>
  <c r="AC142" i="17" l="1"/>
  <c r="AD142" i="17"/>
  <c r="AR142" i="17"/>
  <c r="AQ142" i="17"/>
  <c r="AP142" i="17"/>
  <c r="AH142" i="17"/>
  <c r="AG142" i="17"/>
  <c r="AF142" i="17"/>
  <c r="C143" i="17"/>
  <c r="B143" i="17"/>
  <c r="A144" i="17"/>
  <c r="E143" i="17"/>
  <c r="D143" i="17"/>
  <c r="AC143" i="17" l="1"/>
  <c r="AD143" i="17"/>
  <c r="AR143" i="17"/>
  <c r="AQ143" i="17"/>
  <c r="AP143" i="17"/>
  <c r="AH143" i="17"/>
  <c r="AF143" i="17"/>
  <c r="AG143" i="17"/>
  <c r="C144" i="17"/>
  <c r="B144" i="17"/>
  <c r="D144" i="17"/>
  <c r="A145" i="17"/>
  <c r="E144" i="17"/>
  <c r="AC144" i="17" l="1"/>
  <c r="AD144" i="17"/>
  <c r="AR144" i="17"/>
  <c r="AQ144" i="17"/>
  <c r="AP144" i="17"/>
  <c r="AH144" i="17"/>
  <c r="AG144" i="17"/>
  <c r="AF144" i="17"/>
  <c r="E145" i="17"/>
  <c r="D145" i="17"/>
  <c r="A146" i="17"/>
  <c r="C145" i="17"/>
  <c r="B145" i="17"/>
  <c r="AC145" i="17" l="1"/>
  <c r="AD145" i="17"/>
  <c r="AR145" i="17"/>
  <c r="AQ145" i="17"/>
  <c r="AP145" i="17"/>
  <c r="AF145" i="17"/>
  <c r="AH145" i="17"/>
  <c r="AG145" i="17"/>
  <c r="E146" i="17"/>
  <c r="A147" i="17"/>
  <c r="D146" i="17"/>
  <c r="C146" i="17"/>
  <c r="B146" i="17"/>
  <c r="AC146" i="17" l="1"/>
  <c r="AD146" i="17"/>
  <c r="AR146" i="17"/>
  <c r="AQ146" i="17"/>
  <c r="AP146" i="17"/>
  <c r="AH146" i="17"/>
  <c r="AG146" i="17"/>
  <c r="AF146" i="17"/>
  <c r="C147" i="17"/>
  <c r="B147" i="17"/>
  <c r="A148" i="17"/>
  <c r="E147" i="17"/>
  <c r="D147" i="17"/>
  <c r="AC147" i="17" l="1"/>
  <c r="AD147" i="17"/>
  <c r="AR147" i="17"/>
  <c r="AQ147" i="17"/>
  <c r="AP147" i="17"/>
  <c r="AH147" i="17"/>
  <c r="AG147" i="17"/>
  <c r="AF147" i="17"/>
  <c r="E148" i="17"/>
  <c r="D148" i="17"/>
  <c r="C148" i="17"/>
  <c r="B148" i="17"/>
  <c r="A149" i="17"/>
  <c r="AC148" i="17" l="1"/>
  <c r="AD148" i="17"/>
  <c r="AR148" i="17"/>
  <c r="AQ148" i="17"/>
  <c r="AH148" i="17"/>
  <c r="AP148" i="17"/>
  <c r="AG148" i="17"/>
  <c r="AF148" i="17"/>
  <c r="D149" i="17"/>
  <c r="C149" i="17"/>
  <c r="B149" i="17"/>
  <c r="E149" i="17"/>
  <c r="A150" i="17"/>
  <c r="AC149" i="17" l="1"/>
  <c r="AD149" i="17"/>
  <c r="AR149" i="17"/>
  <c r="AP149" i="17"/>
  <c r="AQ149" i="17"/>
  <c r="AH149" i="17"/>
  <c r="AG149" i="17"/>
  <c r="AF149" i="17"/>
  <c r="E150" i="17"/>
  <c r="A151" i="17"/>
  <c r="D150" i="17"/>
  <c r="C150" i="17"/>
  <c r="B150" i="17"/>
  <c r="AC150" i="17" l="1"/>
  <c r="AD150" i="17"/>
  <c r="AR150" i="17"/>
  <c r="AQ150" i="17"/>
  <c r="AP150" i="17"/>
  <c r="AH150" i="17"/>
  <c r="AG150" i="17"/>
  <c r="AF150" i="17"/>
  <c r="C151" i="17"/>
  <c r="B151" i="17"/>
  <c r="E151" i="17"/>
  <c r="D151" i="17"/>
  <c r="A152" i="17"/>
  <c r="AC151" i="17" l="1"/>
  <c r="AD151" i="17"/>
  <c r="AR151" i="17"/>
  <c r="AQ151" i="17"/>
  <c r="AH151" i="17"/>
  <c r="AP151" i="17"/>
  <c r="AG151" i="17"/>
  <c r="AF151" i="17"/>
  <c r="C152" i="17"/>
  <c r="E152" i="17"/>
  <c r="A153" i="17"/>
  <c r="D152" i="17"/>
  <c r="B152" i="17"/>
  <c r="AC152" i="17" l="1"/>
  <c r="AD152" i="17"/>
  <c r="AR152" i="17"/>
  <c r="AQ152" i="17"/>
  <c r="AP152" i="17"/>
  <c r="AH152" i="17"/>
  <c r="AG152" i="17"/>
  <c r="AF152" i="17"/>
  <c r="C153" i="17"/>
  <c r="E153" i="17"/>
  <c r="D153" i="17"/>
  <c r="A154" i="17"/>
  <c r="B153" i="17"/>
  <c r="AC153" i="17" l="1"/>
  <c r="AD153" i="17"/>
  <c r="AR153" i="17"/>
  <c r="AQ153" i="17"/>
  <c r="AP153" i="17"/>
  <c r="AG153" i="17"/>
  <c r="AH153" i="17"/>
  <c r="AF153" i="17"/>
  <c r="C154" i="17"/>
  <c r="A155" i="17"/>
  <c r="E154" i="17"/>
  <c r="D154" i="17"/>
  <c r="B154" i="17"/>
  <c r="AC154" i="17" l="1"/>
  <c r="AD154" i="17"/>
  <c r="AR154" i="17"/>
  <c r="AQ154" i="17"/>
  <c r="AP154" i="17"/>
  <c r="AH154" i="17"/>
  <c r="AG154" i="17"/>
  <c r="AF154" i="17"/>
  <c r="A156" i="17"/>
  <c r="D155" i="17"/>
  <c r="C155" i="17"/>
  <c r="B155" i="17"/>
  <c r="E155" i="17"/>
  <c r="AC155" i="17" l="1"/>
  <c r="AD155" i="17"/>
  <c r="AR155" i="17"/>
  <c r="AQ155" i="17"/>
  <c r="AP155" i="17"/>
  <c r="AG155" i="17"/>
  <c r="AH155" i="17"/>
  <c r="AF155" i="17"/>
  <c r="D156" i="17"/>
  <c r="C156" i="17"/>
  <c r="B156" i="17"/>
  <c r="A157" i="17"/>
  <c r="E156" i="17"/>
  <c r="AC156" i="17" l="1"/>
  <c r="AD156" i="17"/>
  <c r="AR156" i="17"/>
  <c r="AQ156" i="17"/>
  <c r="AP156" i="17"/>
  <c r="AF156" i="17"/>
  <c r="AH156" i="17"/>
  <c r="AG156" i="17"/>
  <c r="E157" i="17"/>
  <c r="D157" i="17"/>
  <c r="C157" i="17"/>
  <c r="A158" i="17"/>
  <c r="B157" i="17"/>
  <c r="AC157" i="17" l="1"/>
  <c r="AD157" i="17"/>
  <c r="AR157" i="17"/>
  <c r="AQ157" i="17"/>
  <c r="AP157" i="17"/>
  <c r="AF157" i="17"/>
  <c r="AH157" i="17"/>
  <c r="AG157" i="17"/>
  <c r="C158" i="17"/>
  <c r="A159" i="17"/>
  <c r="E158" i="17"/>
  <c r="D158" i="17"/>
  <c r="B158" i="17"/>
  <c r="AC158" i="17" l="1"/>
  <c r="AD158" i="17"/>
  <c r="AR158" i="17"/>
  <c r="AP158" i="17"/>
  <c r="AQ158" i="17"/>
  <c r="AH158" i="17"/>
  <c r="AF158" i="17"/>
  <c r="AG158" i="17"/>
  <c r="A160" i="17"/>
  <c r="D159" i="17"/>
  <c r="C159" i="17"/>
  <c r="B159" i="17"/>
  <c r="E159" i="17"/>
  <c r="AC159" i="17" l="1"/>
  <c r="AD159" i="17"/>
  <c r="AR159" i="17"/>
  <c r="AQ159" i="17"/>
  <c r="AH159" i="17"/>
  <c r="AP159" i="17"/>
  <c r="AF159" i="17"/>
  <c r="AG159" i="17"/>
  <c r="E160" i="17"/>
  <c r="D160" i="17"/>
  <c r="C160" i="17"/>
  <c r="A161" i="17"/>
  <c r="B160" i="17"/>
  <c r="AC160" i="17" l="1"/>
  <c r="AD160" i="17"/>
  <c r="AR160" i="17"/>
  <c r="AQ160" i="17"/>
  <c r="AP160" i="17"/>
  <c r="AH160" i="17"/>
  <c r="AF160" i="17"/>
  <c r="AG160" i="17"/>
  <c r="E161" i="17"/>
  <c r="A162" i="17"/>
  <c r="D161" i="17"/>
  <c r="B161" i="17"/>
  <c r="C161" i="17"/>
  <c r="AC161" i="17" l="1"/>
  <c r="AD161" i="17"/>
  <c r="AR161" i="17"/>
  <c r="AQ161" i="17"/>
  <c r="AP161" i="17"/>
  <c r="AH161" i="17"/>
  <c r="AG161" i="17"/>
  <c r="AF161" i="17"/>
  <c r="C162" i="17"/>
  <c r="B162" i="17"/>
  <c r="E162" i="17"/>
  <c r="D162" i="17"/>
  <c r="A163" i="17"/>
  <c r="AC162" i="17" l="1"/>
  <c r="AD162" i="17"/>
  <c r="AR162" i="17"/>
  <c r="AQ162" i="17"/>
  <c r="AP162" i="17"/>
  <c r="AH162" i="17"/>
  <c r="AG162" i="17"/>
  <c r="AF162" i="17"/>
  <c r="A164" i="17"/>
  <c r="D163" i="17"/>
  <c r="C163" i="17"/>
  <c r="E163" i="17"/>
  <c r="B163" i="17"/>
  <c r="AC163" i="17" l="1"/>
  <c r="AD163" i="17"/>
  <c r="AR163" i="17"/>
  <c r="AQ163" i="17"/>
  <c r="AP163" i="17"/>
  <c r="AH163" i="17"/>
  <c r="AF163" i="17"/>
  <c r="AG163" i="17"/>
  <c r="E164" i="17"/>
  <c r="D164" i="17"/>
  <c r="C164" i="17"/>
  <c r="A165" i="17"/>
  <c r="B164" i="17"/>
  <c r="AC164" i="17" l="1"/>
  <c r="AD164" i="17"/>
  <c r="AR164" i="17"/>
  <c r="AQ164" i="17"/>
  <c r="AP164" i="17"/>
  <c r="AH164" i="17"/>
  <c r="AG164" i="17"/>
  <c r="AF164" i="17"/>
  <c r="E165" i="17"/>
  <c r="A166" i="17"/>
  <c r="B165" i="17"/>
  <c r="C165" i="17"/>
  <c r="D165" i="17"/>
  <c r="AC165" i="17" l="1"/>
  <c r="AD165" i="17"/>
  <c r="AR165" i="17"/>
  <c r="AQ165" i="17"/>
  <c r="AP165" i="17"/>
  <c r="AG165" i="17"/>
  <c r="AH165" i="17"/>
  <c r="AF165" i="17"/>
  <c r="C166" i="17"/>
  <c r="B166" i="17"/>
  <c r="E166" i="17"/>
  <c r="D166" i="17"/>
  <c r="A167" i="17"/>
  <c r="AC166" i="17" l="1"/>
  <c r="AD166" i="17"/>
  <c r="AR166" i="17"/>
  <c r="AQ166" i="17"/>
  <c r="AP166" i="17"/>
  <c r="AH166" i="17"/>
  <c r="AG166" i="17"/>
  <c r="AF166" i="17"/>
  <c r="A168" i="17"/>
  <c r="D167" i="17"/>
  <c r="C167" i="17"/>
  <c r="E167" i="17"/>
  <c r="B167" i="17"/>
  <c r="AC167" i="17" l="1"/>
  <c r="AD167" i="17"/>
  <c r="AR167" i="17"/>
  <c r="AQ167" i="17"/>
  <c r="AP167" i="17"/>
  <c r="AH167" i="17"/>
  <c r="AG167" i="17"/>
  <c r="AF167" i="17"/>
  <c r="E168" i="17"/>
  <c r="D168" i="17"/>
  <c r="C168" i="17"/>
  <c r="B168" i="17"/>
  <c r="A169" i="17"/>
  <c r="AC168" i="17" l="1"/>
  <c r="AD168" i="17"/>
  <c r="AR168" i="17"/>
  <c r="AQ168" i="17"/>
  <c r="AP168" i="17"/>
  <c r="AH168" i="17"/>
  <c r="AG168" i="17"/>
  <c r="AF168" i="17"/>
  <c r="E169" i="17"/>
  <c r="A170" i="17"/>
  <c r="B169" i="17"/>
  <c r="D169" i="17"/>
  <c r="C169" i="17"/>
  <c r="AC169" i="17" l="1"/>
  <c r="AD169" i="17"/>
  <c r="AR169" i="17"/>
  <c r="AQ169" i="17"/>
  <c r="AP169" i="17"/>
  <c r="AH169" i="17"/>
  <c r="AF169" i="17"/>
  <c r="AG169" i="17"/>
  <c r="C170" i="17"/>
  <c r="B170" i="17"/>
  <c r="E170" i="17"/>
  <c r="D170" i="17"/>
  <c r="A171" i="17"/>
  <c r="AC170" i="17" l="1"/>
  <c r="AD170" i="17"/>
  <c r="AR170" i="17"/>
  <c r="AQ170" i="17"/>
  <c r="AP170" i="17"/>
  <c r="AG170" i="17"/>
  <c r="AH170" i="17"/>
  <c r="AF170" i="17"/>
  <c r="A172" i="17"/>
  <c r="D171" i="17"/>
  <c r="C171" i="17"/>
  <c r="E171" i="17"/>
  <c r="B171" i="17"/>
  <c r="AC171" i="17" l="1"/>
  <c r="AD171" i="17"/>
  <c r="AR171" i="17"/>
  <c r="AQ171" i="17"/>
  <c r="AP171" i="17"/>
  <c r="AH171" i="17"/>
  <c r="AG171" i="17"/>
  <c r="AF171" i="17"/>
  <c r="A173" i="17"/>
  <c r="E172" i="17"/>
  <c r="D172" i="17"/>
  <c r="C172" i="17"/>
  <c r="B172" i="17"/>
  <c r="AC172" i="17" l="1"/>
  <c r="AD172" i="17"/>
  <c r="AR172" i="17"/>
  <c r="AQ172" i="17"/>
  <c r="AH172" i="17"/>
  <c r="AP172" i="17"/>
  <c r="AG172" i="17"/>
  <c r="AF172" i="17"/>
  <c r="E173" i="17"/>
  <c r="B173" i="17"/>
  <c r="A174" i="17"/>
  <c r="C173" i="17"/>
  <c r="D173" i="17"/>
  <c r="AC173" i="17" l="1"/>
  <c r="AD173" i="17"/>
  <c r="AR173" i="17"/>
  <c r="AQ173" i="17"/>
  <c r="AP173" i="17"/>
  <c r="AH173" i="17"/>
  <c r="AG173" i="17"/>
  <c r="AF173" i="17"/>
  <c r="C174" i="17"/>
  <c r="B174" i="17"/>
  <c r="A175" i="17"/>
  <c r="E174" i="17"/>
  <c r="D174" i="17"/>
  <c r="AC174" i="17" l="1"/>
  <c r="AD174" i="17"/>
  <c r="AR174" i="17"/>
  <c r="AQ174" i="17"/>
  <c r="AP174" i="17"/>
  <c r="AH174" i="17"/>
  <c r="AF174" i="17"/>
  <c r="AG174" i="17"/>
  <c r="A176" i="17"/>
  <c r="D175" i="17"/>
  <c r="C175" i="17"/>
  <c r="E175" i="17"/>
  <c r="B175" i="17"/>
  <c r="AC175" i="17" l="1"/>
  <c r="AD175" i="17"/>
  <c r="AR175" i="17"/>
  <c r="AQ175" i="17"/>
  <c r="AH175" i="17"/>
  <c r="AP175" i="17"/>
  <c r="AG175" i="17"/>
  <c r="AF175" i="17"/>
  <c r="A177" i="17"/>
  <c r="D176" i="17"/>
  <c r="C176" i="17"/>
  <c r="B176" i="17"/>
  <c r="E176" i="17"/>
  <c r="AC176" i="17" l="1"/>
  <c r="AD176" i="17"/>
  <c r="AR176" i="17"/>
  <c r="AQ176" i="17"/>
  <c r="AP176" i="17"/>
  <c r="AH176" i="17"/>
  <c r="AG176" i="17"/>
  <c r="AF176" i="17"/>
  <c r="E177" i="17"/>
  <c r="A178" i="17"/>
  <c r="B177" i="17"/>
  <c r="D177" i="17"/>
  <c r="C177" i="17"/>
  <c r="AC177" i="17" l="1"/>
  <c r="AD177" i="17"/>
  <c r="AR177" i="17"/>
  <c r="AQ177" i="17"/>
  <c r="AP177" i="17"/>
  <c r="AG177" i="17"/>
  <c r="AH177" i="17"/>
  <c r="AF177" i="17"/>
  <c r="C178" i="17"/>
  <c r="B178" i="17"/>
  <c r="E178" i="17"/>
  <c r="A179" i="17"/>
  <c r="D178" i="17"/>
  <c r="AC178" i="17" l="1"/>
  <c r="AD178" i="17"/>
  <c r="AR178" i="17"/>
  <c r="AQ178" i="17"/>
  <c r="AP178" i="17"/>
  <c r="AH178" i="17"/>
  <c r="AF178" i="17"/>
  <c r="AG178" i="17"/>
  <c r="A180" i="17"/>
  <c r="D179" i="17"/>
  <c r="C179" i="17"/>
  <c r="B179" i="17"/>
  <c r="E179" i="17"/>
  <c r="AC179" i="17" l="1"/>
  <c r="AD179" i="17"/>
  <c r="AR179" i="17"/>
  <c r="AP179" i="17"/>
  <c r="AQ179" i="17"/>
  <c r="AH179" i="17"/>
  <c r="AF179" i="17"/>
  <c r="AG179" i="17"/>
  <c r="A181" i="17"/>
  <c r="D180" i="17"/>
  <c r="B180" i="17"/>
  <c r="C180" i="17"/>
  <c r="E180" i="17"/>
  <c r="AC180" i="17" l="1"/>
  <c r="AD180" i="17"/>
  <c r="AR180" i="17"/>
  <c r="AQ180" i="17"/>
  <c r="AP180" i="17"/>
  <c r="AH180" i="17"/>
  <c r="AF180" i="17"/>
  <c r="AG180" i="17"/>
  <c r="E181" i="17"/>
  <c r="A182" i="17"/>
  <c r="D181" i="17"/>
  <c r="C181" i="17"/>
  <c r="B181" i="17"/>
  <c r="AC181" i="17" l="1"/>
  <c r="AD181" i="17"/>
  <c r="AR181" i="17"/>
  <c r="AQ181" i="17"/>
  <c r="AP181" i="17"/>
  <c r="AF181" i="17"/>
  <c r="AG181" i="17"/>
  <c r="AH181" i="17"/>
  <c r="C182" i="17"/>
  <c r="B182" i="17"/>
  <c r="D182" i="17"/>
  <c r="E182" i="17"/>
  <c r="A183" i="17"/>
  <c r="AC182" i="17" l="1"/>
  <c r="AD182" i="17"/>
  <c r="AR182" i="17"/>
  <c r="AQ182" i="17"/>
  <c r="AP182" i="17"/>
  <c r="AH182" i="17"/>
  <c r="AG182" i="17"/>
  <c r="AF182" i="17"/>
  <c r="A184" i="17"/>
  <c r="D183" i="17"/>
  <c r="C183" i="17"/>
  <c r="E183" i="17"/>
  <c r="B183" i="17"/>
  <c r="AC183" i="17" l="1"/>
  <c r="AD183" i="17"/>
  <c r="AR183" i="17"/>
  <c r="AQ183" i="17"/>
  <c r="AP183" i="17"/>
  <c r="AH183" i="17"/>
  <c r="AF183" i="17"/>
  <c r="AG183" i="17"/>
  <c r="E184" i="17"/>
  <c r="A185" i="17"/>
  <c r="D184" i="17"/>
  <c r="C184" i="17"/>
  <c r="B184" i="17"/>
  <c r="AC184" i="17" l="1"/>
  <c r="AD184" i="17"/>
  <c r="AR184" i="17"/>
  <c r="AQ184" i="17"/>
  <c r="AP184" i="17"/>
  <c r="AH184" i="17"/>
  <c r="AG184" i="17"/>
  <c r="AF184" i="17"/>
  <c r="E185" i="17"/>
  <c r="A186" i="17"/>
  <c r="D185" i="17"/>
  <c r="B185" i="17"/>
  <c r="C185" i="17"/>
  <c r="AC185" i="17" l="1"/>
  <c r="AD185" i="17"/>
  <c r="AR185" i="17"/>
  <c r="AQ185" i="17"/>
  <c r="AH185" i="17"/>
  <c r="AG185" i="17"/>
  <c r="AP185" i="17"/>
  <c r="AF185" i="17"/>
  <c r="C186" i="17"/>
  <c r="B186" i="17"/>
  <c r="E186" i="17"/>
  <c r="A187" i="17"/>
  <c r="D186" i="17"/>
  <c r="AC186" i="17" l="1"/>
  <c r="AD186" i="17"/>
  <c r="AR186" i="17"/>
  <c r="AP186" i="17"/>
  <c r="AQ186" i="17"/>
  <c r="AG186" i="17"/>
  <c r="AH186" i="17"/>
  <c r="AF186" i="17"/>
  <c r="A188" i="17"/>
  <c r="D187" i="17"/>
  <c r="C187" i="17"/>
  <c r="B187" i="17"/>
  <c r="E187" i="17"/>
  <c r="AC187" i="17" l="1"/>
  <c r="AD187" i="17"/>
  <c r="AR187" i="17"/>
  <c r="AQ187" i="17"/>
  <c r="AP187" i="17"/>
  <c r="AH187" i="17"/>
  <c r="AF187" i="17"/>
  <c r="AG187" i="17"/>
  <c r="E188" i="17"/>
  <c r="A189" i="17"/>
  <c r="D188" i="17"/>
  <c r="C188" i="17"/>
  <c r="B188" i="17"/>
  <c r="AC188" i="17" l="1"/>
  <c r="AD188" i="17"/>
  <c r="AR188" i="17"/>
  <c r="AQ188" i="17"/>
  <c r="AP188" i="17"/>
  <c r="AH188" i="17"/>
  <c r="AG188" i="17"/>
  <c r="AF188" i="17"/>
  <c r="E189" i="17"/>
  <c r="A190" i="17"/>
  <c r="D189" i="17"/>
  <c r="B189" i="17"/>
  <c r="C189" i="17"/>
  <c r="AC189" i="17" l="1"/>
  <c r="AD189" i="17"/>
  <c r="AR189" i="17"/>
  <c r="A191" i="17"/>
  <c r="AQ189" i="17"/>
  <c r="AP189" i="17"/>
  <c r="AG189" i="17"/>
  <c r="AH189" i="17"/>
  <c r="AF189" i="17"/>
  <c r="C190" i="17"/>
  <c r="B190" i="17"/>
  <c r="E190" i="17"/>
  <c r="D190" i="17"/>
  <c r="AC190" i="17" l="1"/>
  <c r="AD190" i="17"/>
  <c r="AR190" i="17"/>
  <c r="A192" i="17"/>
  <c r="B191" i="17"/>
  <c r="C191" i="17"/>
  <c r="D191" i="17"/>
  <c r="E191" i="17"/>
  <c r="AQ190" i="17"/>
  <c r="AP190" i="17"/>
  <c r="AH190" i="17"/>
  <c r="AF190" i="17"/>
  <c r="AG190" i="17"/>
  <c r="L19" i="2"/>
  <c r="I19" i="2"/>
  <c r="H19" i="2"/>
  <c r="L18" i="2"/>
  <c r="I18" i="2"/>
  <c r="H18" i="2"/>
  <c r="L29" i="2"/>
  <c r="L28" i="2"/>
  <c r="L27" i="2"/>
  <c r="L26" i="2"/>
  <c r="L25" i="2"/>
  <c r="L24" i="2"/>
  <c r="L23" i="2"/>
  <c r="L22" i="2"/>
  <c r="L21" i="2"/>
  <c r="L2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L17" i="2"/>
  <c r="L16" i="2"/>
  <c r="L15" i="2"/>
  <c r="L14" i="2"/>
  <c r="L13" i="2"/>
  <c r="L12" i="2"/>
  <c r="L11" i="2"/>
  <c r="L10" i="2"/>
  <c r="L9" i="2"/>
  <c r="L8" i="2"/>
  <c r="L7" i="2"/>
  <c r="L6" i="2"/>
  <c r="L5" i="2"/>
  <c r="L4" i="2"/>
  <c r="L3" i="2"/>
  <c r="L2"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4" i="2"/>
  <c r="AB125" i="2"/>
  <c r="AB126" i="2"/>
  <c r="AB127" i="2"/>
  <c r="AB128"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3" i="2"/>
  <c r="AB254" i="2"/>
  <c r="AB255" i="2"/>
  <c r="AB256" i="2"/>
  <c r="AB257" i="2"/>
  <c r="AB258" i="2"/>
  <c r="AB259" i="2"/>
  <c r="AB260" i="2"/>
  <c r="AB261" i="2"/>
  <c r="AB262" i="2"/>
  <c r="AB263" i="2"/>
  <c r="AB264" i="2"/>
  <c r="AB265" i="2"/>
  <c r="AB266" i="2"/>
  <c r="AB267" i="2"/>
  <c r="AB268"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32" i="2"/>
  <c r="AB333" i="2"/>
  <c r="AB334" i="2"/>
  <c r="AB335" i="2"/>
  <c r="AB336" i="2"/>
  <c r="AB337" i="2"/>
  <c r="AB338" i="2"/>
  <c r="AB339" i="2"/>
  <c r="AB340" i="2"/>
  <c r="AB341" i="2"/>
  <c r="AB342" i="2"/>
  <c r="AB343" i="2"/>
  <c r="AB344" i="2"/>
  <c r="AB345" i="2"/>
  <c r="AB346" i="2"/>
  <c r="AB347" i="2"/>
  <c r="AB348" i="2"/>
  <c r="AB352" i="2"/>
  <c r="AB353"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407" i="2"/>
  <c r="AB408" i="2"/>
  <c r="AB409" i="2"/>
  <c r="AB410" i="2"/>
  <c r="AB411" i="2"/>
  <c r="AB412" i="2"/>
  <c r="AB413" i="2"/>
  <c r="AB414" i="2"/>
  <c r="AB415" i="2"/>
  <c r="AB416" i="2"/>
  <c r="AB417" i="2"/>
  <c r="AB418" i="2"/>
  <c r="AB419" i="2"/>
  <c r="AB420" i="2"/>
  <c r="AB422" i="2"/>
  <c r="AB423" i="2"/>
  <c r="AB424" i="2"/>
  <c r="AB425" i="2"/>
  <c r="AB426" i="2"/>
  <c r="AB427" i="2"/>
  <c r="AB428" i="2"/>
  <c r="AB429" i="2"/>
  <c r="AB430" i="2"/>
  <c r="AB431" i="2"/>
  <c r="AB432" i="2"/>
  <c r="AB433" i="2"/>
  <c r="AB434" i="2"/>
  <c r="AB435"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3" i="2"/>
  <c r="AB674" i="2"/>
  <c r="AB675" i="2"/>
  <c r="AB676" i="2"/>
  <c r="AB677" i="2"/>
  <c r="AB678" i="2"/>
  <c r="AB679" i="2"/>
  <c r="AB680" i="2"/>
  <c r="AB681" i="2"/>
  <c r="AB682" i="2"/>
  <c r="AB683" i="2"/>
  <c r="AB684" i="2"/>
  <c r="AB693" i="2"/>
  <c r="AB694"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4" i="14"/>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C191" i="17" l="1"/>
  <c r="AD191" i="17"/>
  <c r="AR191" i="17"/>
  <c r="AG191" i="17"/>
  <c r="AH191" i="17"/>
  <c r="AP191" i="17"/>
  <c r="AQ191" i="17"/>
  <c r="AF191" i="17"/>
  <c r="A193" i="17"/>
  <c r="B192" i="17"/>
  <c r="C192" i="17"/>
  <c r="D192" i="17"/>
  <c r="E192" i="17"/>
  <c r="AC192" i="17" l="1"/>
  <c r="AD192" i="17"/>
  <c r="AR192" i="17"/>
  <c r="AH192" i="17"/>
  <c r="AP192" i="17"/>
  <c r="AQ192" i="17"/>
  <c r="AG192" i="17"/>
  <c r="AF192" i="17"/>
  <c r="A194" i="17"/>
  <c r="B193" i="17"/>
  <c r="E193" i="17"/>
  <c r="D193" i="17"/>
  <c r="C193" i="17"/>
  <c r="AC193" i="17" l="1"/>
  <c r="AD193" i="17"/>
  <c r="AR193" i="17"/>
  <c r="AF193" i="17"/>
  <c r="AG193" i="17"/>
  <c r="AQ193" i="17"/>
  <c r="AH193" i="17"/>
  <c r="AP193" i="17"/>
  <c r="A195" i="17"/>
  <c r="D194" i="17"/>
  <c r="C194" i="17"/>
  <c r="B194" i="17"/>
  <c r="E194" i="17"/>
  <c r="AC194" i="17" l="1"/>
  <c r="AD194" i="17"/>
  <c r="AR194" i="17"/>
  <c r="AG194" i="17"/>
  <c r="AP194" i="17"/>
  <c r="AQ194" i="17"/>
  <c r="AF194" i="17"/>
  <c r="AH194" i="17"/>
  <c r="A196" i="17"/>
  <c r="C195" i="17"/>
  <c r="E195" i="17"/>
  <c r="D195" i="17"/>
  <c r="B195" i="17"/>
  <c r="AC195" i="17" l="1"/>
  <c r="AD195" i="17"/>
  <c r="AR195" i="17"/>
  <c r="AG195" i="17"/>
  <c r="AF195" i="17"/>
  <c r="AQ195" i="17"/>
  <c r="AP195" i="17"/>
  <c r="AH195" i="17"/>
  <c r="A197" i="17"/>
  <c r="B196" i="17"/>
  <c r="E196" i="17"/>
  <c r="D196" i="17"/>
  <c r="C196" i="17"/>
  <c r="AC196" i="17" l="1"/>
  <c r="AD196" i="17"/>
  <c r="AR196" i="17"/>
  <c r="AH196" i="17"/>
  <c r="AP196" i="17"/>
  <c r="AF196" i="17"/>
  <c r="AG196" i="17"/>
  <c r="AQ196" i="17"/>
  <c r="A198" i="17"/>
  <c r="B197" i="17"/>
  <c r="D197" i="17"/>
  <c r="C197" i="17"/>
  <c r="E197" i="17"/>
  <c r="AC197" i="17" l="1"/>
  <c r="AD197" i="17"/>
  <c r="AR197" i="17"/>
  <c r="AF197" i="17"/>
  <c r="AP197" i="17"/>
  <c r="AH197" i="17"/>
  <c r="AG197" i="17"/>
  <c r="AQ197" i="17"/>
  <c r="A199" i="17"/>
  <c r="C198" i="17"/>
  <c r="B198" i="17"/>
  <c r="E198" i="17"/>
  <c r="D198" i="17"/>
  <c r="AC198" i="17" l="1"/>
  <c r="AD198" i="17"/>
  <c r="AR198" i="17"/>
  <c r="AH198" i="17"/>
  <c r="AP198" i="17"/>
  <c r="AF198" i="17"/>
  <c r="AG198" i="17"/>
  <c r="AQ198" i="17"/>
  <c r="A200" i="17"/>
  <c r="B199" i="17"/>
  <c r="C199" i="17"/>
  <c r="D199" i="17"/>
  <c r="E199" i="17"/>
  <c r="AC199" i="17" l="1"/>
  <c r="AD199" i="17"/>
  <c r="AR199" i="17"/>
  <c r="AP199" i="17"/>
  <c r="AG199" i="17"/>
  <c r="AH199" i="17"/>
  <c r="AQ199" i="17"/>
  <c r="AF199" i="17"/>
  <c r="A201" i="17"/>
  <c r="E200" i="17"/>
  <c r="D200" i="17"/>
  <c r="C200" i="17"/>
  <c r="B200" i="17"/>
  <c r="AC200" i="17" l="1"/>
  <c r="AD200" i="17"/>
  <c r="AR200" i="17"/>
  <c r="AQ200" i="17"/>
  <c r="AG200" i="17"/>
  <c r="AP200" i="17"/>
  <c r="AH200" i="17"/>
  <c r="AF200" i="17"/>
  <c r="A202" i="17"/>
  <c r="E201" i="17"/>
  <c r="D201" i="17"/>
  <c r="C201" i="17"/>
  <c r="B201" i="17"/>
  <c r="AC201" i="17" l="1"/>
  <c r="AD201" i="17"/>
  <c r="AR201" i="17"/>
  <c r="AH201" i="17"/>
  <c r="AG201" i="17"/>
  <c r="AF201" i="17"/>
  <c r="AP201" i="17"/>
  <c r="AQ201" i="17"/>
  <c r="A203" i="17"/>
  <c r="E202" i="17"/>
  <c r="D202" i="17"/>
  <c r="C202" i="17"/>
  <c r="B202" i="17"/>
  <c r="AC202" i="17" l="1"/>
  <c r="AD202" i="17"/>
  <c r="AR202" i="17"/>
  <c r="AQ202" i="17"/>
  <c r="AF202" i="17"/>
  <c r="AP202" i="17"/>
  <c r="AG202" i="17"/>
  <c r="AH202" i="17"/>
  <c r="A204" i="17"/>
  <c r="D203" i="17"/>
  <c r="E203" i="17"/>
  <c r="C203" i="17"/>
  <c r="B203" i="17"/>
  <c r="AC203" i="17" l="1"/>
  <c r="AD203" i="17"/>
  <c r="AR203" i="17"/>
  <c r="AG203" i="17"/>
  <c r="AF203" i="17"/>
  <c r="AP203" i="17"/>
  <c r="AQ203" i="17"/>
  <c r="AH203" i="17"/>
  <c r="A205" i="17"/>
  <c r="D204" i="17"/>
  <c r="E204" i="17"/>
  <c r="B204" i="17"/>
  <c r="C204" i="17"/>
  <c r="AC204" i="17" l="1"/>
  <c r="AD204" i="17"/>
  <c r="AR204" i="17"/>
  <c r="AQ204" i="17"/>
  <c r="AH204" i="17"/>
  <c r="AG204" i="17"/>
  <c r="AP204" i="17"/>
  <c r="AF204" i="17"/>
  <c r="A206" i="17"/>
  <c r="B205" i="17"/>
  <c r="D205" i="17"/>
  <c r="C205" i="17"/>
  <c r="E205" i="17"/>
  <c r="AC205" i="17" l="1"/>
  <c r="AD205" i="17"/>
  <c r="AR205" i="17"/>
  <c r="AG205" i="17"/>
  <c r="AP205" i="17"/>
  <c r="AH205" i="17"/>
  <c r="AF205" i="17"/>
  <c r="AQ205" i="17"/>
  <c r="A207" i="17"/>
  <c r="B206" i="17"/>
  <c r="E206" i="17"/>
  <c r="C206" i="17"/>
  <c r="D206" i="17"/>
  <c r="AC206" i="17" l="1"/>
  <c r="AD206" i="17"/>
  <c r="AR206" i="17"/>
  <c r="AG206" i="17"/>
  <c r="AH206" i="17"/>
  <c r="AP206" i="17"/>
  <c r="AF206" i="17"/>
  <c r="AQ206" i="17"/>
  <c r="A208" i="17"/>
  <c r="B207" i="17"/>
  <c r="D207" i="17"/>
  <c r="C207" i="17"/>
  <c r="E207" i="17"/>
  <c r="AC207" i="17" l="1"/>
  <c r="AD207" i="17"/>
  <c r="AR207" i="17"/>
  <c r="AF207" i="17"/>
  <c r="AH207" i="17"/>
  <c r="AP207" i="17"/>
  <c r="AQ207" i="17"/>
  <c r="AG207" i="17"/>
  <c r="A209" i="17"/>
  <c r="C208" i="17"/>
  <c r="B208" i="17"/>
  <c r="E208" i="17"/>
  <c r="D208" i="17"/>
  <c r="AC208" i="17" l="1"/>
  <c r="AD208" i="17"/>
  <c r="AR208" i="17"/>
  <c r="AH208" i="17"/>
  <c r="AQ208" i="17"/>
  <c r="AP208" i="17"/>
  <c r="AG208" i="17"/>
  <c r="AF208" i="17"/>
  <c r="A210" i="17"/>
  <c r="D209" i="17"/>
  <c r="B209" i="17"/>
  <c r="C209" i="17"/>
  <c r="E209" i="17"/>
  <c r="AC209" i="17" l="1"/>
  <c r="AD209" i="17"/>
  <c r="AR209" i="17"/>
  <c r="AF209" i="17"/>
  <c r="AP209" i="17"/>
  <c r="AH209" i="17"/>
  <c r="AG209" i="17"/>
  <c r="AQ209" i="17"/>
  <c r="A211" i="17"/>
  <c r="B210" i="17"/>
  <c r="E210" i="17"/>
  <c r="D210" i="17"/>
  <c r="C210" i="17"/>
  <c r="AC210" i="17" l="1"/>
  <c r="AD210" i="17"/>
  <c r="AR210" i="17"/>
  <c r="AH210" i="17"/>
  <c r="AG210" i="17"/>
  <c r="AF210" i="17"/>
  <c r="AP210" i="17"/>
  <c r="AQ210" i="17"/>
  <c r="A212" i="17"/>
  <c r="D211" i="17"/>
  <c r="B211" i="17"/>
  <c r="C211" i="17"/>
  <c r="E211" i="17"/>
  <c r="AC211" i="17" l="1"/>
  <c r="AD211" i="17"/>
  <c r="AR211" i="17"/>
  <c r="AG211" i="17"/>
  <c r="AQ211" i="17"/>
  <c r="AH211" i="17"/>
  <c r="AP211" i="17"/>
  <c r="AF211" i="17"/>
  <c r="A213" i="17"/>
  <c r="E212" i="17"/>
  <c r="D212" i="17"/>
  <c r="C212" i="17"/>
  <c r="B212" i="17"/>
  <c r="AC212" i="17" l="1"/>
  <c r="AD212" i="17"/>
  <c r="AR212" i="17"/>
  <c r="AG212" i="17"/>
  <c r="AQ212" i="17"/>
  <c r="AF212" i="17"/>
  <c r="AP212" i="17"/>
  <c r="AH212" i="17"/>
  <c r="A214" i="17"/>
  <c r="D213" i="17"/>
  <c r="E213" i="17"/>
  <c r="B213" i="17"/>
  <c r="C213" i="17"/>
  <c r="AC213" i="17" l="1"/>
  <c r="AD213" i="17"/>
  <c r="AR213" i="17"/>
  <c r="AH213" i="17"/>
  <c r="AF213" i="17"/>
  <c r="AP213" i="17"/>
  <c r="AQ213" i="17"/>
  <c r="AG213" i="17"/>
  <c r="A215" i="17"/>
  <c r="E214" i="17"/>
  <c r="D214" i="17"/>
  <c r="C214" i="17"/>
  <c r="B214" i="17"/>
  <c r="AC214" i="17" l="1"/>
  <c r="AD214" i="17"/>
  <c r="AR214" i="17"/>
  <c r="AP214" i="17"/>
  <c r="AF214" i="17"/>
  <c r="AH214" i="17"/>
  <c r="AG214" i="17"/>
  <c r="AQ214" i="17"/>
  <c r="A216" i="17"/>
  <c r="D215" i="17"/>
  <c r="C215" i="17"/>
  <c r="B215" i="17"/>
  <c r="E215" i="17"/>
  <c r="AC215" i="17" l="1"/>
  <c r="AD215" i="17"/>
  <c r="AR215" i="17"/>
  <c r="AG215" i="17"/>
  <c r="AQ215" i="17"/>
  <c r="AP215" i="17"/>
  <c r="AF215" i="17"/>
  <c r="AH215" i="17"/>
  <c r="A217" i="17"/>
  <c r="E216" i="17"/>
  <c r="D216" i="17"/>
  <c r="C216" i="17"/>
  <c r="B216" i="17"/>
  <c r="AC216" i="17" l="1"/>
  <c r="AD216" i="17"/>
  <c r="AR216" i="17"/>
  <c r="AF216" i="17"/>
  <c r="AQ216" i="17"/>
  <c r="AP216" i="17"/>
  <c r="AG216" i="17"/>
  <c r="AH216" i="17"/>
  <c r="A218" i="17"/>
  <c r="B217" i="17"/>
  <c r="E217" i="17"/>
  <c r="D217" i="17"/>
  <c r="C217" i="17"/>
  <c r="AC217" i="17" l="1"/>
  <c r="AD217" i="17"/>
  <c r="AR217" i="17"/>
  <c r="AH217" i="17"/>
  <c r="AF217" i="17"/>
  <c r="AP217" i="17"/>
  <c r="AG217" i="17"/>
  <c r="AQ217" i="17"/>
  <c r="A219" i="17"/>
  <c r="C218" i="17"/>
  <c r="E218" i="17"/>
  <c r="D218" i="17"/>
  <c r="B218" i="17"/>
  <c r="AC218" i="17" l="1"/>
  <c r="AD218" i="17"/>
  <c r="AR218" i="17"/>
  <c r="AH218" i="17"/>
  <c r="AQ218" i="17"/>
  <c r="AP218" i="17"/>
  <c r="AG218" i="17"/>
  <c r="AF218" i="17"/>
  <c r="A220" i="17"/>
  <c r="C219" i="17"/>
  <c r="B219" i="17"/>
  <c r="E219" i="17"/>
  <c r="D219" i="17"/>
  <c r="AC219" i="17" l="1"/>
  <c r="AD219" i="17"/>
  <c r="AR219" i="17"/>
  <c r="AF219" i="17"/>
  <c r="AG219" i="17"/>
  <c r="AQ219" i="17"/>
  <c r="AP219" i="17"/>
  <c r="AH219" i="17"/>
  <c r="A221" i="17"/>
  <c r="E220" i="17"/>
  <c r="D220" i="17"/>
  <c r="B220" i="17"/>
  <c r="C220" i="17"/>
  <c r="AC220" i="17" l="1"/>
  <c r="AD220" i="17"/>
  <c r="AR220" i="17"/>
  <c r="AP220" i="17"/>
  <c r="AH220" i="17"/>
  <c r="AG220" i="17"/>
  <c r="AQ220" i="17"/>
  <c r="AF220" i="17"/>
  <c r="A222" i="17"/>
  <c r="D221" i="17"/>
  <c r="C221" i="17"/>
  <c r="B221" i="17"/>
  <c r="E221" i="17"/>
  <c r="AC221" i="17" l="1"/>
  <c r="AD221" i="17"/>
  <c r="AR221" i="17"/>
  <c r="AF221" i="17"/>
  <c r="AP221" i="17"/>
  <c r="AG221" i="17"/>
  <c r="AH221" i="17"/>
  <c r="AQ221" i="17"/>
  <c r="A223" i="17"/>
  <c r="C222" i="17"/>
  <c r="B222" i="17"/>
  <c r="E222" i="17"/>
  <c r="D222" i="17"/>
  <c r="AC222" i="17" l="1"/>
  <c r="AD222" i="17"/>
  <c r="AR222" i="17"/>
  <c r="AH222" i="17"/>
  <c r="AP222" i="17"/>
  <c r="AG222" i="17"/>
  <c r="AF222" i="17"/>
  <c r="AQ222" i="17"/>
  <c r="A224" i="17"/>
  <c r="B223" i="17"/>
  <c r="C223" i="17"/>
  <c r="D223" i="17"/>
  <c r="E223" i="17"/>
  <c r="AC223" i="17" l="1"/>
  <c r="AD223" i="17"/>
  <c r="AR223" i="17"/>
  <c r="AF223" i="17"/>
  <c r="AQ223" i="17"/>
  <c r="AH223" i="17"/>
  <c r="AP223" i="17"/>
  <c r="AG223" i="17"/>
  <c r="A225" i="17"/>
  <c r="B224" i="17"/>
  <c r="E224" i="17"/>
  <c r="D224" i="17"/>
  <c r="C224" i="17"/>
  <c r="AC224" i="17" l="1"/>
  <c r="AD224" i="17"/>
  <c r="AR224" i="17"/>
  <c r="AF224" i="17"/>
  <c r="AQ224" i="17"/>
  <c r="AP224" i="17"/>
  <c r="AH224" i="17"/>
  <c r="AG224" i="17"/>
  <c r="A226" i="17"/>
  <c r="E225" i="17"/>
  <c r="C225" i="17"/>
  <c r="B225" i="17"/>
  <c r="D225" i="17"/>
  <c r="AC225" i="17" l="1"/>
  <c r="AD225" i="17"/>
  <c r="AR225" i="17"/>
  <c r="AG225" i="17"/>
  <c r="AP225" i="17"/>
  <c r="AF225" i="17"/>
  <c r="AQ225" i="17"/>
  <c r="AH225" i="17"/>
  <c r="A227" i="17"/>
  <c r="E226" i="17"/>
  <c r="D226" i="17"/>
  <c r="B226" i="17"/>
  <c r="C226" i="17"/>
  <c r="AC226" i="17" l="1"/>
  <c r="AD226" i="17"/>
  <c r="AR226" i="17"/>
  <c r="AF226" i="17"/>
  <c r="AQ226" i="17"/>
  <c r="AH226" i="17"/>
  <c r="AP226" i="17"/>
  <c r="AG226" i="17"/>
  <c r="A228" i="17"/>
  <c r="E227" i="17"/>
  <c r="D227" i="17"/>
  <c r="C227" i="17"/>
  <c r="B227" i="17"/>
  <c r="AC227" i="17" l="1"/>
  <c r="AD227" i="17"/>
  <c r="AR227" i="17"/>
  <c r="AH227" i="17"/>
  <c r="AF227" i="17"/>
  <c r="AQ227" i="17"/>
  <c r="AG227" i="17"/>
  <c r="AP227" i="17"/>
  <c r="A229" i="17"/>
  <c r="E228" i="17"/>
  <c r="D228" i="17"/>
  <c r="C228" i="17"/>
  <c r="B228" i="17"/>
  <c r="AC228" i="17" l="1"/>
  <c r="AD228" i="17"/>
  <c r="AR228" i="17"/>
  <c r="AH228" i="17"/>
  <c r="AG228" i="17"/>
  <c r="AF228" i="17"/>
  <c r="AP228" i="17"/>
  <c r="AQ228" i="17"/>
  <c r="A230" i="17"/>
  <c r="B229" i="17"/>
  <c r="E229" i="17"/>
  <c r="C229" i="17"/>
  <c r="D229" i="17"/>
  <c r="AC229" i="17" l="1"/>
  <c r="AD229" i="17"/>
  <c r="AR229" i="17"/>
  <c r="AG229" i="17"/>
  <c r="AP229" i="17"/>
  <c r="AQ229" i="17"/>
  <c r="AF229" i="17"/>
  <c r="AH229" i="17"/>
  <c r="A231" i="17"/>
  <c r="B230" i="17"/>
  <c r="C230" i="17"/>
  <c r="E230" i="17"/>
  <c r="D230" i="17"/>
  <c r="AC230" i="17" l="1"/>
  <c r="AD230" i="17"/>
  <c r="AR230" i="17"/>
  <c r="AF230" i="17"/>
  <c r="AH230" i="17"/>
  <c r="AP230" i="17"/>
  <c r="AG230" i="17"/>
  <c r="AQ230" i="17"/>
  <c r="A232" i="17"/>
  <c r="C231" i="17"/>
  <c r="B231" i="17"/>
  <c r="E231" i="17"/>
  <c r="D231" i="17"/>
  <c r="AC231" i="17" l="1"/>
  <c r="AD231" i="17"/>
  <c r="AR231" i="17"/>
  <c r="AP231" i="17"/>
  <c r="AG231" i="17"/>
  <c r="AF231" i="17"/>
  <c r="AH231" i="17"/>
  <c r="AQ231" i="17"/>
  <c r="A233" i="17"/>
  <c r="C232" i="17"/>
  <c r="B232" i="17"/>
  <c r="D232" i="17"/>
  <c r="E232" i="17"/>
  <c r="AC232" i="17" l="1"/>
  <c r="AD232" i="17"/>
  <c r="AR232" i="17"/>
  <c r="AG232" i="17"/>
  <c r="AQ232" i="17"/>
  <c r="AH232" i="17"/>
  <c r="AF232" i="17"/>
  <c r="AP232" i="17"/>
  <c r="A234" i="17"/>
  <c r="C233" i="17"/>
  <c r="E233" i="17"/>
  <c r="B233" i="17"/>
  <c r="D233" i="17"/>
  <c r="AC233" i="17" l="1"/>
  <c r="AD233" i="17"/>
  <c r="AR233" i="17"/>
  <c r="AQ233" i="17"/>
  <c r="AH233" i="17"/>
  <c r="AF233" i="17"/>
  <c r="AP233" i="17"/>
  <c r="AG233" i="17"/>
  <c r="A235" i="17"/>
  <c r="D234" i="17"/>
  <c r="C234" i="17"/>
  <c r="B234" i="17"/>
  <c r="E234" i="17"/>
  <c r="AC234" i="17" l="1"/>
  <c r="AD234" i="17"/>
  <c r="AR234" i="17"/>
  <c r="AF234" i="17"/>
  <c r="AG234" i="17"/>
  <c r="AQ234" i="17"/>
  <c r="AH234" i="17"/>
  <c r="AP234" i="17"/>
  <c r="A236" i="17"/>
  <c r="C235" i="17"/>
  <c r="E235" i="17"/>
  <c r="D235" i="17"/>
  <c r="B235" i="17"/>
  <c r="AC235" i="17" l="1"/>
  <c r="AD235" i="17"/>
  <c r="AR235" i="17"/>
  <c r="AG235" i="17"/>
  <c r="AQ235" i="17"/>
  <c r="AH235" i="17"/>
  <c r="AP235" i="17"/>
  <c r="AF235" i="17"/>
  <c r="A237" i="17"/>
  <c r="C236" i="17"/>
  <c r="B236" i="17"/>
  <c r="D236" i="17"/>
  <c r="E236" i="17"/>
  <c r="AC236" i="17" l="1"/>
  <c r="AD236" i="17"/>
  <c r="AR236" i="17"/>
  <c r="AQ236" i="17"/>
  <c r="AP236" i="17"/>
  <c r="AG236" i="17"/>
  <c r="AF236" i="17"/>
  <c r="AH236" i="17"/>
  <c r="A238" i="17"/>
  <c r="B237" i="17"/>
  <c r="D237" i="17"/>
  <c r="C237" i="17"/>
  <c r="E237" i="17"/>
  <c r="AC237" i="17" l="1"/>
  <c r="AD237" i="17"/>
  <c r="AR237" i="17"/>
  <c r="AH237" i="17"/>
  <c r="AF237" i="17"/>
  <c r="AP237" i="17"/>
  <c r="AG237" i="17"/>
  <c r="AQ237" i="17"/>
  <c r="A239" i="17"/>
  <c r="B238" i="17"/>
  <c r="E238" i="17"/>
  <c r="D238" i="17"/>
  <c r="C238" i="17"/>
  <c r="AC238" i="17" l="1"/>
  <c r="AD238" i="17"/>
  <c r="AR238" i="17"/>
  <c r="AH238" i="17"/>
  <c r="AP238" i="17"/>
  <c r="AG238" i="17"/>
  <c r="AQ238" i="17"/>
  <c r="AF238" i="17"/>
  <c r="A240" i="17"/>
  <c r="D239" i="17"/>
  <c r="E239" i="17"/>
  <c r="B239" i="17"/>
  <c r="C239" i="17"/>
  <c r="AC239" i="17" l="1"/>
  <c r="AD239" i="17"/>
  <c r="AR239" i="17"/>
  <c r="AG239" i="17"/>
  <c r="AP239" i="17"/>
  <c r="AQ239" i="17"/>
  <c r="AF239" i="17"/>
  <c r="AH239" i="17"/>
  <c r="A241" i="17"/>
  <c r="D240" i="17"/>
  <c r="C240" i="17"/>
  <c r="B240" i="17"/>
  <c r="E240" i="17"/>
  <c r="AC240" i="17" l="1"/>
  <c r="AD240" i="17"/>
  <c r="AR240" i="17"/>
  <c r="AF240" i="17"/>
  <c r="AQ240" i="17"/>
  <c r="AH240" i="17"/>
  <c r="AP240" i="17"/>
  <c r="AG240" i="17"/>
  <c r="A242" i="17"/>
  <c r="C241" i="17"/>
  <c r="B241" i="17"/>
  <c r="D241" i="17"/>
  <c r="E241" i="17"/>
  <c r="AC241" i="17" l="1"/>
  <c r="AD241" i="17"/>
  <c r="AR241" i="17"/>
  <c r="AF241" i="17"/>
  <c r="AP241" i="17"/>
  <c r="AH241" i="17"/>
  <c r="AQ241" i="17"/>
  <c r="AG241" i="17"/>
  <c r="A243" i="17"/>
  <c r="E242" i="17"/>
  <c r="D242" i="17"/>
  <c r="C242" i="17"/>
  <c r="B242" i="17"/>
  <c r="AC242" i="17" l="1"/>
  <c r="AD242" i="17"/>
  <c r="AR242" i="17"/>
  <c r="AH242" i="17"/>
  <c r="AG242" i="17"/>
  <c r="AP242" i="17"/>
  <c r="AQ242" i="17"/>
  <c r="AF242" i="17"/>
  <c r="A244" i="17"/>
  <c r="E243" i="17"/>
  <c r="D243" i="17"/>
  <c r="B243" i="17"/>
  <c r="C243" i="17"/>
  <c r="AC243" i="17" l="1"/>
  <c r="AD243" i="17"/>
  <c r="AR243" i="17"/>
  <c r="AG243" i="17"/>
  <c r="AF243" i="17"/>
  <c r="AQ243" i="17"/>
  <c r="AP243" i="17"/>
  <c r="AH243" i="17"/>
  <c r="A245" i="17"/>
  <c r="C244" i="17"/>
  <c r="B244" i="17"/>
  <c r="E244" i="17"/>
  <c r="D244" i="17"/>
  <c r="AC244" i="17" l="1"/>
  <c r="AD244" i="17"/>
  <c r="AR244" i="17"/>
  <c r="AQ244" i="17"/>
  <c r="AP244" i="17"/>
  <c r="AG244" i="17"/>
  <c r="AF244" i="17"/>
  <c r="AH244" i="17"/>
  <c r="A246" i="17"/>
  <c r="D245" i="17"/>
  <c r="C245" i="17"/>
  <c r="E245" i="17"/>
  <c r="B245" i="17"/>
  <c r="AC245" i="17" l="1"/>
  <c r="AD245" i="17"/>
  <c r="AR245" i="17"/>
  <c r="AF245" i="17"/>
  <c r="AP245" i="17"/>
  <c r="AH245" i="17"/>
  <c r="AQ245" i="17"/>
  <c r="AG245" i="17"/>
  <c r="A247" i="17"/>
  <c r="B246" i="17"/>
  <c r="E246" i="17"/>
  <c r="C246" i="17"/>
  <c r="D246" i="17"/>
  <c r="AC246" i="17" l="1"/>
  <c r="AD246" i="17"/>
  <c r="AR246" i="17"/>
  <c r="AG246" i="17"/>
  <c r="AF246" i="17"/>
  <c r="AQ246" i="17"/>
  <c r="AH246" i="17"/>
  <c r="AP246" i="17"/>
  <c r="A248" i="17"/>
  <c r="E247" i="17"/>
  <c r="D247" i="17"/>
  <c r="B247" i="17"/>
  <c r="C247" i="17"/>
  <c r="AC247" i="17" l="1"/>
  <c r="AD247" i="17"/>
  <c r="AR247" i="17"/>
  <c r="AG247" i="17"/>
  <c r="AQ247" i="17"/>
  <c r="AF247" i="17"/>
  <c r="AP247" i="17"/>
  <c r="AH247" i="17"/>
  <c r="A249" i="17"/>
  <c r="D248" i="17"/>
  <c r="C248" i="17"/>
  <c r="B248" i="17"/>
  <c r="E248" i="17"/>
  <c r="AC248" i="17" l="1"/>
  <c r="AD248" i="17"/>
  <c r="AR248" i="17"/>
  <c r="AQ248" i="17"/>
  <c r="AP248" i="17"/>
  <c r="AF248" i="17"/>
  <c r="AG248" i="17"/>
  <c r="AH248" i="17"/>
  <c r="A250" i="17"/>
  <c r="D249" i="17"/>
  <c r="E249" i="17"/>
  <c r="C249" i="17"/>
  <c r="B249" i="17"/>
  <c r="AC249" i="17" l="1"/>
  <c r="AD249" i="17"/>
  <c r="AR249" i="17"/>
  <c r="AP249" i="17"/>
  <c r="AQ249" i="17"/>
  <c r="AG249" i="17"/>
  <c r="AF249" i="17"/>
  <c r="AH249" i="17"/>
  <c r="A251" i="17"/>
  <c r="C250" i="17"/>
  <c r="B250" i="17"/>
  <c r="D250" i="17"/>
  <c r="E250" i="17"/>
  <c r="AC250" i="17" l="1"/>
  <c r="AD250" i="17"/>
  <c r="AR250" i="17"/>
  <c r="AQ250" i="17"/>
  <c r="AG250" i="17"/>
  <c r="AF250" i="17"/>
  <c r="AH250" i="17"/>
  <c r="AP250" i="17"/>
  <c r="A252" i="17"/>
  <c r="C251" i="17"/>
  <c r="E251" i="17"/>
  <c r="D251" i="17"/>
  <c r="B251" i="17"/>
  <c r="AC251" i="17" l="1"/>
  <c r="AD251" i="17"/>
  <c r="AR251" i="17"/>
  <c r="AF251" i="17"/>
  <c r="AQ251" i="17"/>
  <c r="AH251" i="17"/>
  <c r="AP251" i="17"/>
  <c r="AG251" i="17"/>
  <c r="A253" i="17"/>
  <c r="E252" i="17"/>
  <c r="D252" i="17"/>
  <c r="C252" i="17"/>
  <c r="B252" i="17"/>
  <c r="AC252" i="17" l="1"/>
  <c r="AD252" i="17"/>
  <c r="AR252" i="17"/>
  <c r="AF252" i="17"/>
  <c r="AH252" i="17"/>
  <c r="AP252" i="17"/>
  <c r="AQ252" i="17"/>
  <c r="AG252" i="17"/>
  <c r="A254" i="17"/>
  <c r="D253" i="17"/>
  <c r="E253" i="17"/>
  <c r="C253" i="17"/>
  <c r="B253" i="17"/>
  <c r="AC253" i="17" l="1"/>
  <c r="AD253" i="17"/>
  <c r="AR253" i="17"/>
  <c r="AG253" i="17"/>
  <c r="AP253" i="17"/>
  <c r="AQ253" i="17"/>
  <c r="AH253" i="17"/>
  <c r="AF253" i="17"/>
  <c r="A255" i="17"/>
  <c r="B254" i="17"/>
  <c r="E254" i="17"/>
  <c r="D254" i="17"/>
  <c r="C254" i="17"/>
  <c r="AC254" i="17" l="1"/>
  <c r="AD254" i="17"/>
  <c r="AR254" i="17"/>
  <c r="AP254" i="17"/>
  <c r="AH254" i="17"/>
  <c r="AQ254" i="17"/>
  <c r="AF254" i="17"/>
  <c r="AG254" i="17"/>
  <c r="A256" i="17"/>
  <c r="E255" i="17"/>
  <c r="C255" i="17"/>
  <c r="D255" i="17"/>
  <c r="B255" i="17"/>
  <c r="AC255" i="17" l="1"/>
  <c r="AD255" i="17"/>
  <c r="AR255" i="17"/>
  <c r="AQ255" i="17"/>
  <c r="AP255" i="17"/>
  <c r="AF255" i="17"/>
  <c r="AG255" i="17"/>
  <c r="AH255" i="17"/>
  <c r="A257" i="17"/>
  <c r="B256" i="17"/>
  <c r="E256" i="17"/>
  <c r="C256" i="17"/>
  <c r="D256" i="17"/>
  <c r="AC256" i="17" l="1"/>
  <c r="AD256" i="17"/>
  <c r="AR256" i="17"/>
  <c r="AG256" i="17"/>
  <c r="AP256" i="17"/>
  <c r="AH256" i="17"/>
  <c r="AF256" i="17"/>
  <c r="AQ256" i="17"/>
  <c r="A258" i="17"/>
  <c r="C257" i="17"/>
  <c r="E257" i="17"/>
  <c r="B257" i="17"/>
  <c r="D257" i="17"/>
  <c r="AC257" i="17" l="1"/>
  <c r="AD257" i="17"/>
  <c r="AR257" i="17"/>
  <c r="AF257" i="17"/>
  <c r="AG257" i="17"/>
  <c r="AH257" i="17"/>
  <c r="AP257" i="17"/>
  <c r="AQ257" i="17"/>
  <c r="A259" i="17"/>
  <c r="D258" i="17"/>
  <c r="B258" i="17"/>
  <c r="C258" i="17"/>
  <c r="E258" i="17"/>
  <c r="AC258" i="17" l="1"/>
  <c r="AD258" i="17"/>
  <c r="AR258" i="17"/>
  <c r="AH258" i="17"/>
  <c r="AP258" i="17"/>
  <c r="AG258" i="17"/>
  <c r="AF258" i="17"/>
  <c r="AQ258" i="17"/>
  <c r="A260" i="17"/>
  <c r="E259" i="17"/>
  <c r="B259" i="17"/>
  <c r="C259" i="17"/>
  <c r="D259" i="17"/>
  <c r="AC259" i="17" l="1"/>
  <c r="AD259" i="17"/>
  <c r="AR259" i="17"/>
  <c r="AH259" i="17"/>
  <c r="AP259" i="17"/>
  <c r="AF259" i="17"/>
  <c r="AQ259" i="17"/>
  <c r="AG259" i="17"/>
  <c r="A261" i="17"/>
  <c r="E260" i="17"/>
  <c r="D260" i="17"/>
  <c r="B260" i="17"/>
  <c r="C260" i="17"/>
  <c r="AC260" i="17" l="1"/>
  <c r="AD260" i="17"/>
  <c r="AR260" i="17"/>
  <c r="AQ260" i="17"/>
  <c r="AP260" i="17"/>
  <c r="AH260" i="17"/>
  <c r="AF260" i="17"/>
  <c r="AG260" i="17"/>
  <c r="A262" i="17"/>
  <c r="E261" i="17"/>
  <c r="D261" i="17"/>
  <c r="C261" i="17"/>
  <c r="B261" i="17"/>
  <c r="AC261" i="17" l="1"/>
  <c r="AD261" i="17"/>
  <c r="AR261" i="17"/>
  <c r="AG261" i="17"/>
  <c r="AQ261" i="17"/>
  <c r="AF261" i="17"/>
  <c r="AP261" i="17"/>
  <c r="AH261" i="17"/>
  <c r="A263" i="17"/>
  <c r="D262" i="17"/>
  <c r="C262" i="17"/>
  <c r="B262" i="17"/>
  <c r="E262" i="17"/>
  <c r="AC262" i="17" l="1"/>
  <c r="AD262" i="17"/>
  <c r="AR262" i="17"/>
  <c r="AF262" i="17"/>
  <c r="AG262" i="17"/>
  <c r="AH262" i="17"/>
  <c r="AP262" i="17"/>
  <c r="AQ262" i="17"/>
  <c r="A264" i="17"/>
  <c r="B263" i="17"/>
  <c r="C263" i="17"/>
  <c r="D263" i="17"/>
  <c r="E263" i="17"/>
  <c r="E1060" i="2"/>
  <c r="H1060" i="2"/>
  <c r="I1060" i="2"/>
  <c r="J1060" i="2"/>
  <c r="AC263" i="17" l="1"/>
  <c r="AD263" i="17"/>
  <c r="AR263" i="17"/>
  <c r="AQ263" i="17"/>
  <c r="AH263" i="17"/>
  <c r="AG263" i="17"/>
  <c r="AF263" i="17"/>
  <c r="AP263" i="17"/>
  <c r="C264" i="17"/>
  <c r="B264" i="17"/>
  <c r="A265" i="17"/>
  <c r="D264" i="17"/>
  <c r="E264" i="17"/>
  <c r="AC264" i="17" l="1"/>
  <c r="AD264" i="17"/>
  <c r="AR264" i="17"/>
  <c r="AF264" i="17"/>
  <c r="AP264" i="17"/>
  <c r="AQ264" i="17"/>
  <c r="AG264" i="17"/>
  <c r="AH264" i="17"/>
  <c r="D265" i="17"/>
  <c r="A266" i="17"/>
  <c r="E265" i="17"/>
  <c r="C265" i="17"/>
  <c r="B265" i="17"/>
  <c r="AC265" i="17" l="1"/>
  <c r="AD265" i="17"/>
  <c r="AR265" i="17"/>
  <c r="E266" i="17"/>
  <c r="C266" i="17"/>
  <c r="D266" i="17"/>
  <c r="A267" i="17"/>
  <c r="B266" i="17"/>
  <c r="AF265" i="17"/>
  <c r="AP265" i="17"/>
  <c r="AG265" i="17"/>
  <c r="AH265" i="17"/>
  <c r="AQ265" i="17"/>
  <c r="AC266" i="17" l="1"/>
  <c r="AD266" i="17"/>
  <c r="AR266" i="17"/>
  <c r="A268" i="17"/>
  <c r="C267" i="17"/>
  <c r="B267" i="17"/>
  <c r="D267" i="17"/>
  <c r="E267" i="17"/>
  <c r="AQ266" i="17"/>
  <c r="AF266" i="17"/>
  <c r="AP266" i="17"/>
  <c r="AH266" i="17"/>
  <c r="AG266" i="17"/>
  <c r="AC267" i="17" l="1"/>
  <c r="AD267" i="17"/>
  <c r="AR267" i="17"/>
  <c r="AF267" i="17"/>
  <c r="AG267" i="17"/>
  <c r="AP267" i="17"/>
  <c r="AH267" i="17"/>
  <c r="AQ267" i="17"/>
  <c r="C268" i="17"/>
  <c r="B268" i="17"/>
  <c r="E268" i="17"/>
  <c r="D268" i="17"/>
  <c r="A269" i="17"/>
  <c r="AC268" i="17" l="1"/>
  <c r="AD268" i="17"/>
  <c r="AR268" i="17"/>
  <c r="B269" i="17"/>
  <c r="A270" i="17"/>
  <c r="D269" i="17"/>
  <c r="E269" i="17"/>
  <c r="C269" i="17"/>
  <c r="AH268" i="17"/>
  <c r="AQ268" i="17"/>
  <c r="AF268" i="17"/>
  <c r="AG268" i="17"/>
  <c r="AP268" i="17"/>
  <c r="AC269" i="17" l="1"/>
  <c r="AD269" i="17"/>
  <c r="AR269" i="17"/>
  <c r="AP269" i="17"/>
  <c r="AF269" i="17"/>
  <c r="AQ269" i="17"/>
  <c r="AG269" i="17"/>
  <c r="AH269" i="17"/>
  <c r="C270" i="17"/>
  <c r="D270" i="17"/>
  <c r="A271" i="17"/>
  <c r="E270" i="17"/>
  <c r="B270" i="17"/>
  <c r="AC270" i="17" l="1"/>
  <c r="AD270" i="17"/>
  <c r="AR270" i="17"/>
  <c r="B271" i="17"/>
  <c r="C271" i="17"/>
  <c r="A272" i="17"/>
  <c r="D271" i="17"/>
  <c r="E271" i="17"/>
  <c r="AH270" i="17"/>
  <c r="AF270" i="17"/>
  <c r="AP270" i="17"/>
  <c r="AQ270" i="17"/>
  <c r="AG270" i="17"/>
  <c r="AC271" i="17" l="1"/>
  <c r="AD271" i="17"/>
  <c r="AR271" i="17"/>
  <c r="AP271" i="17"/>
  <c r="AQ271" i="17"/>
  <c r="AG271" i="17"/>
  <c r="AF271" i="17"/>
  <c r="AH271" i="17"/>
  <c r="D272" i="17"/>
  <c r="E272" i="17"/>
  <c r="C272" i="17"/>
  <c r="A273" i="17"/>
  <c r="B272" i="17"/>
  <c r="AC272" i="17" l="1"/>
  <c r="AD272" i="17"/>
  <c r="AR272" i="17"/>
  <c r="C273" i="17"/>
  <c r="D273" i="17"/>
  <c r="A274" i="17"/>
  <c r="B273" i="17"/>
  <c r="E273" i="17"/>
  <c r="AQ272" i="17"/>
  <c r="AF272" i="17"/>
  <c r="AH272" i="17"/>
  <c r="AG272" i="17"/>
  <c r="AP272" i="17"/>
  <c r="AC273" i="17" l="1"/>
  <c r="AD273" i="17"/>
  <c r="AR273" i="17"/>
  <c r="E274" i="17"/>
  <c r="C274" i="17"/>
  <c r="A275" i="17"/>
  <c r="D274" i="17"/>
  <c r="B274" i="17"/>
  <c r="AF273" i="17"/>
  <c r="AH273" i="17"/>
  <c r="AG273" i="17"/>
  <c r="AQ273" i="17"/>
  <c r="AP273" i="17"/>
  <c r="AC274" i="17" l="1"/>
  <c r="AD274" i="17"/>
  <c r="AR274" i="17"/>
  <c r="AQ274" i="17"/>
  <c r="AF274" i="17"/>
  <c r="AG274" i="17"/>
  <c r="AH274" i="17"/>
  <c r="AP274" i="17"/>
  <c r="A276" i="17"/>
  <c r="E275" i="17"/>
  <c r="C275" i="17"/>
  <c r="B275" i="17"/>
  <c r="D275" i="17"/>
  <c r="AC275" i="17" l="1"/>
  <c r="AD275" i="17"/>
  <c r="AR275" i="17"/>
  <c r="AG275" i="17"/>
  <c r="AQ275" i="17"/>
  <c r="AH275" i="17"/>
  <c r="AF275" i="17"/>
  <c r="AP275" i="17"/>
  <c r="C276" i="17"/>
  <c r="B276" i="17"/>
  <c r="D276" i="17"/>
  <c r="E276" i="17"/>
  <c r="A277" i="17"/>
  <c r="AC276" i="17" l="1"/>
  <c r="AD276" i="17"/>
  <c r="AR276" i="17"/>
  <c r="D277" i="17"/>
  <c r="A278" i="17"/>
  <c r="C277" i="17"/>
  <c r="E277" i="17"/>
  <c r="B277" i="17"/>
  <c r="AG276" i="17"/>
  <c r="AQ276" i="17"/>
  <c r="AP276" i="17"/>
  <c r="AH276" i="17"/>
  <c r="AF276" i="17"/>
  <c r="AC277" i="17" l="1"/>
  <c r="AD277" i="17"/>
  <c r="AR277" i="17"/>
  <c r="B278" i="17"/>
  <c r="E278" i="17"/>
  <c r="A279" i="17"/>
  <c r="C278" i="17"/>
  <c r="D278" i="17"/>
  <c r="AG277" i="17"/>
  <c r="AQ277" i="17"/>
  <c r="AF277" i="17"/>
  <c r="AH277" i="17"/>
  <c r="AP277" i="17"/>
  <c r="AC278" i="17" l="1"/>
  <c r="AD278" i="17"/>
  <c r="AR278" i="17"/>
  <c r="AH278" i="17"/>
  <c r="AG278" i="17"/>
  <c r="AQ278" i="17"/>
  <c r="AF278" i="17"/>
  <c r="AP278" i="17"/>
  <c r="C279" i="17"/>
  <c r="E279" i="17"/>
  <c r="B279" i="17"/>
  <c r="A280" i="17"/>
  <c r="D279" i="17"/>
  <c r="AC279" i="17" l="1"/>
  <c r="AD279" i="17"/>
  <c r="AR279" i="17"/>
  <c r="AG279" i="17"/>
  <c r="AF279" i="17"/>
  <c r="AP279" i="17"/>
  <c r="AQ279" i="17"/>
  <c r="AH279" i="17"/>
  <c r="B280" i="17"/>
  <c r="A281" i="17"/>
  <c r="E280" i="17"/>
  <c r="C280" i="17"/>
  <c r="D280" i="17"/>
  <c r="AC280" i="17" l="1"/>
  <c r="AD280" i="17"/>
  <c r="AR280" i="17"/>
  <c r="AG280" i="17"/>
  <c r="AQ280" i="17"/>
  <c r="AH280" i="17"/>
  <c r="AP280" i="17"/>
  <c r="AF280" i="17"/>
  <c r="D281" i="17"/>
  <c r="B281" i="17"/>
  <c r="C281" i="17"/>
  <c r="E281" i="17"/>
  <c r="A282" i="17"/>
  <c r="AC281" i="17" l="1"/>
  <c r="AD281" i="17"/>
  <c r="AR281" i="17"/>
  <c r="B282" i="17"/>
  <c r="A283" i="17"/>
  <c r="C282" i="17"/>
  <c r="E282" i="17"/>
  <c r="D282" i="17"/>
  <c r="AH281" i="17"/>
  <c r="AP281" i="17"/>
  <c r="AG281" i="17"/>
  <c r="AF281" i="17"/>
  <c r="AQ281" i="17"/>
  <c r="AC282" i="17" l="1"/>
  <c r="AD282" i="17"/>
  <c r="AR282" i="17"/>
  <c r="AH282" i="17"/>
  <c r="AP282" i="17"/>
  <c r="AF282" i="17"/>
  <c r="AQ282" i="17"/>
  <c r="AG282" i="17"/>
  <c r="B283" i="17"/>
  <c r="A284" i="17"/>
  <c r="E283" i="17"/>
  <c r="C283" i="17"/>
  <c r="D283" i="17"/>
  <c r="AC283" i="17" l="1"/>
  <c r="AD283" i="17"/>
  <c r="AR283" i="17"/>
  <c r="AF283" i="17"/>
  <c r="AH283" i="17"/>
  <c r="AP283" i="17"/>
  <c r="AQ283" i="17"/>
  <c r="AG283" i="17"/>
  <c r="C284" i="17"/>
  <c r="B284" i="17"/>
  <c r="A285" i="17"/>
  <c r="D284" i="17"/>
  <c r="E284" i="17"/>
  <c r="AC284" i="17" l="1"/>
  <c r="AD284" i="17"/>
  <c r="AR284" i="17"/>
  <c r="AG284" i="17"/>
  <c r="AF284" i="17"/>
  <c r="AP284" i="17"/>
  <c r="AQ284" i="17"/>
  <c r="AH284" i="17"/>
  <c r="C285" i="17"/>
  <c r="A286" i="17"/>
  <c r="E285" i="17"/>
  <c r="D285" i="17"/>
  <c r="B285" i="17"/>
  <c r="E56" i="4"/>
  <c r="E55" i="4"/>
  <c r="E54" i="4"/>
  <c r="E53" i="4"/>
  <c r="E52" i="4"/>
  <c r="E51" i="4"/>
  <c r="E50" i="4"/>
  <c r="E49" i="4"/>
  <c r="E48" i="4"/>
  <c r="E47" i="4"/>
  <c r="E46" i="4"/>
  <c r="E45" i="4"/>
  <c r="E44" i="4"/>
  <c r="E43" i="4"/>
  <c r="E42" i="4"/>
  <c r="E41" i="4"/>
  <c r="E40" i="4"/>
  <c r="E39" i="4"/>
  <c r="E38" i="4"/>
  <c r="J450" i="2" s="1"/>
  <c r="E37" i="4"/>
  <c r="E36" i="4"/>
  <c r="J449" i="2" s="1"/>
  <c r="E35" i="4"/>
  <c r="E34" i="4"/>
  <c r="E33" i="4"/>
  <c r="J448" i="2" s="1"/>
  <c r="E32" i="4"/>
  <c r="E31" i="4"/>
  <c r="E30" i="4"/>
  <c r="E29" i="4"/>
  <c r="E28" i="4"/>
  <c r="E27" i="4"/>
  <c r="J672" i="2" s="1"/>
  <c r="E26" i="4"/>
  <c r="E25" i="4"/>
  <c r="J526" i="2" s="1"/>
  <c r="E24" i="4"/>
  <c r="E23" i="4"/>
  <c r="J528" i="2" s="1"/>
  <c r="E22" i="4"/>
  <c r="J410" i="2" s="1"/>
  <c r="E21" i="4"/>
  <c r="J447" i="2" s="1"/>
  <c r="E20" i="4"/>
  <c r="E19" i="4"/>
  <c r="E18" i="4"/>
  <c r="J252" i="2" s="1"/>
  <c r="E17" i="4"/>
  <c r="E16" i="4"/>
  <c r="J533" i="2" s="1"/>
  <c r="E15" i="4"/>
  <c r="E14" i="4"/>
  <c r="J446" i="2" s="1"/>
  <c r="E13" i="4"/>
  <c r="E12" i="4"/>
  <c r="E11" i="4"/>
  <c r="E10" i="4"/>
  <c r="E9" i="4"/>
  <c r="J532" i="2" s="1"/>
  <c r="E8" i="4"/>
  <c r="E7" i="4"/>
  <c r="E6" i="4"/>
  <c r="J531" i="2" s="1"/>
  <c r="E5" i="4"/>
  <c r="E4" i="4"/>
  <c r="E3" i="4"/>
  <c r="Q183" i="6"/>
  <c r="P183" i="6"/>
  <c r="O183" i="6"/>
  <c r="J183" i="6"/>
  <c r="I183" i="6"/>
  <c r="H183" i="6"/>
  <c r="E183" i="6"/>
  <c r="D183" i="6"/>
  <c r="C183" i="6"/>
  <c r="Q182" i="6"/>
  <c r="P182" i="6"/>
  <c r="O182" i="6"/>
  <c r="J182" i="6"/>
  <c r="I182" i="6"/>
  <c r="H182" i="6"/>
  <c r="E182" i="6"/>
  <c r="D182" i="6"/>
  <c r="C182" i="6"/>
  <c r="Q181" i="6"/>
  <c r="P181" i="6"/>
  <c r="O181" i="6"/>
  <c r="J181" i="6"/>
  <c r="I181" i="6"/>
  <c r="H181" i="6"/>
  <c r="E181" i="6"/>
  <c r="D181" i="6"/>
  <c r="C181" i="6"/>
  <c r="Q180" i="6"/>
  <c r="P180" i="6"/>
  <c r="O180" i="6"/>
  <c r="J180" i="6"/>
  <c r="I180" i="6"/>
  <c r="H180" i="6"/>
  <c r="E180" i="6"/>
  <c r="D180" i="6"/>
  <c r="C180" i="6"/>
  <c r="Q179" i="6"/>
  <c r="P179" i="6"/>
  <c r="O179" i="6"/>
  <c r="J179" i="6"/>
  <c r="I179" i="6"/>
  <c r="H179" i="6"/>
  <c r="E179" i="6"/>
  <c r="D179" i="6"/>
  <c r="C179" i="6"/>
  <c r="Q178" i="6"/>
  <c r="P178" i="6"/>
  <c r="O178" i="6"/>
  <c r="J178" i="6"/>
  <c r="I178" i="6"/>
  <c r="H178" i="6"/>
  <c r="E178" i="6"/>
  <c r="D178" i="6"/>
  <c r="C178" i="6"/>
  <c r="Q177" i="6"/>
  <c r="P177" i="6"/>
  <c r="O177" i="6"/>
  <c r="J177" i="6"/>
  <c r="I177" i="6"/>
  <c r="H177" i="6"/>
  <c r="E177" i="6"/>
  <c r="D177" i="6"/>
  <c r="C177" i="6"/>
  <c r="Q176" i="6"/>
  <c r="P176" i="6"/>
  <c r="O176" i="6"/>
  <c r="J176" i="6"/>
  <c r="I176" i="6"/>
  <c r="H176" i="6"/>
  <c r="E176" i="6"/>
  <c r="D176" i="6"/>
  <c r="C176" i="6"/>
  <c r="Q175" i="6"/>
  <c r="P175" i="6"/>
  <c r="O175" i="6"/>
  <c r="J175" i="6"/>
  <c r="I175" i="6"/>
  <c r="H175" i="6"/>
  <c r="E175" i="6"/>
  <c r="D175" i="6"/>
  <c r="C175" i="6"/>
  <c r="Q174" i="6"/>
  <c r="P174" i="6"/>
  <c r="O174" i="6"/>
  <c r="J174" i="6"/>
  <c r="I174" i="6"/>
  <c r="H174" i="6"/>
  <c r="E174" i="6"/>
  <c r="D174" i="6"/>
  <c r="C174" i="6"/>
  <c r="Q173" i="6"/>
  <c r="P173" i="6"/>
  <c r="O173" i="6"/>
  <c r="J173" i="6"/>
  <c r="I173" i="6"/>
  <c r="H173" i="6"/>
  <c r="E173" i="6"/>
  <c r="D173" i="6"/>
  <c r="C173" i="6"/>
  <c r="Q172" i="6"/>
  <c r="P172" i="6"/>
  <c r="O172" i="6"/>
  <c r="J172" i="6"/>
  <c r="I172" i="6"/>
  <c r="H172" i="6"/>
  <c r="E172" i="6"/>
  <c r="D172" i="6"/>
  <c r="C172" i="6"/>
  <c r="Q171" i="6"/>
  <c r="P171" i="6"/>
  <c r="O171" i="6"/>
  <c r="J171" i="6"/>
  <c r="I171" i="6"/>
  <c r="H171" i="6"/>
  <c r="E171" i="6"/>
  <c r="D171" i="6"/>
  <c r="C171" i="6"/>
  <c r="Q170" i="6"/>
  <c r="P170" i="6"/>
  <c r="O170" i="6"/>
  <c r="J170" i="6"/>
  <c r="I170" i="6"/>
  <c r="H170" i="6"/>
  <c r="E170" i="6"/>
  <c r="D170" i="6"/>
  <c r="C170" i="6"/>
  <c r="Q169" i="6"/>
  <c r="P169" i="6"/>
  <c r="O169" i="6"/>
  <c r="J169" i="6"/>
  <c r="I169" i="6"/>
  <c r="H169" i="6"/>
  <c r="E169" i="6"/>
  <c r="D169" i="6"/>
  <c r="C169" i="6"/>
  <c r="Q168" i="6"/>
  <c r="P168" i="6"/>
  <c r="O168" i="6"/>
  <c r="J168" i="6"/>
  <c r="I168" i="6"/>
  <c r="H168" i="6"/>
  <c r="E168" i="6"/>
  <c r="D168" i="6"/>
  <c r="C168" i="6"/>
  <c r="Q167" i="6"/>
  <c r="P167" i="6"/>
  <c r="O167" i="6"/>
  <c r="J167" i="6"/>
  <c r="I167" i="6"/>
  <c r="H167" i="6"/>
  <c r="E167" i="6"/>
  <c r="D167" i="6"/>
  <c r="C167" i="6"/>
  <c r="Q166" i="6"/>
  <c r="P166" i="6"/>
  <c r="O166" i="6"/>
  <c r="J166" i="6"/>
  <c r="I166" i="6"/>
  <c r="H166" i="6"/>
  <c r="E166" i="6"/>
  <c r="D166" i="6"/>
  <c r="C166" i="6"/>
  <c r="Q165" i="6"/>
  <c r="P165" i="6"/>
  <c r="O165" i="6"/>
  <c r="J165" i="6"/>
  <c r="I165" i="6"/>
  <c r="H165" i="6"/>
  <c r="E165" i="6"/>
  <c r="D165" i="6"/>
  <c r="C165" i="6"/>
  <c r="Q164" i="6"/>
  <c r="P164" i="6"/>
  <c r="O164" i="6"/>
  <c r="J164" i="6"/>
  <c r="I164" i="6"/>
  <c r="H164" i="6"/>
  <c r="E164" i="6"/>
  <c r="D164" i="6"/>
  <c r="C164" i="6"/>
  <c r="Q163" i="6"/>
  <c r="P163" i="6"/>
  <c r="O163" i="6"/>
  <c r="J163" i="6"/>
  <c r="I163" i="6"/>
  <c r="H163" i="6"/>
  <c r="E163" i="6"/>
  <c r="D163" i="6"/>
  <c r="C163" i="6"/>
  <c r="Q162" i="6"/>
  <c r="P162" i="6"/>
  <c r="O162" i="6"/>
  <c r="J162" i="6"/>
  <c r="I162" i="6"/>
  <c r="H162" i="6"/>
  <c r="E162" i="6"/>
  <c r="D162" i="6"/>
  <c r="C162" i="6"/>
  <c r="Q161" i="6"/>
  <c r="P161" i="6"/>
  <c r="O161" i="6"/>
  <c r="J161" i="6"/>
  <c r="I161" i="6"/>
  <c r="H161" i="6"/>
  <c r="E161" i="6"/>
  <c r="D161" i="6"/>
  <c r="C161" i="6"/>
  <c r="Q160" i="6"/>
  <c r="P160" i="6"/>
  <c r="O160" i="6"/>
  <c r="J160" i="6"/>
  <c r="I160" i="6"/>
  <c r="H160" i="6"/>
  <c r="E160" i="6"/>
  <c r="D160" i="6"/>
  <c r="C160" i="6"/>
  <c r="Q159" i="6"/>
  <c r="P159" i="6"/>
  <c r="O159" i="6"/>
  <c r="J159" i="6"/>
  <c r="I159" i="6"/>
  <c r="H159" i="6"/>
  <c r="E159" i="6"/>
  <c r="D159" i="6"/>
  <c r="C159" i="6"/>
  <c r="Q158" i="6"/>
  <c r="P158" i="6"/>
  <c r="O158" i="6"/>
  <c r="J158" i="6"/>
  <c r="I158" i="6"/>
  <c r="H158" i="6"/>
  <c r="E158" i="6"/>
  <c r="D158" i="6"/>
  <c r="C158" i="6"/>
  <c r="Q157" i="6"/>
  <c r="P157" i="6"/>
  <c r="O157" i="6"/>
  <c r="J157" i="6"/>
  <c r="I157" i="6"/>
  <c r="H157" i="6"/>
  <c r="E157" i="6"/>
  <c r="D157" i="6"/>
  <c r="C157" i="6"/>
  <c r="Q156" i="6"/>
  <c r="P156" i="6"/>
  <c r="O156" i="6"/>
  <c r="J156" i="6"/>
  <c r="I156" i="6"/>
  <c r="H156" i="6"/>
  <c r="E156" i="6"/>
  <c r="D156" i="6"/>
  <c r="C156" i="6"/>
  <c r="Q155" i="6"/>
  <c r="P155" i="6"/>
  <c r="O155" i="6"/>
  <c r="J155" i="6"/>
  <c r="I155" i="6"/>
  <c r="H155" i="6"/>
  <c r="E155" i="6"/>
  <c r="D155" i="6"/>
  <c r="C155" i="6"/>
  <c r="Q154" i="6"/>
  <c r="P154" i="6"/>
  <c r="O154" i="6"/>
  <c r="J154" i="6"/>
  <c r="I154" i="6"/>
  <c r="H154" i="6"/>
  <c r="E154" i="6"/>
  <c r="D154" i="6"/>
  <c r="C154" i="6"/>
  <c r="Q153" i="6"/>
  <c r="P153" i="6"/>
  <c r="O153" i="6"/>
  <c r="J153" i="6"/>
  <c r="I153" i="6"/>
  <c r="H153" i="6"/>
  <c r="E153" i="6"/>
  <c r="D153" i="6"/>
  <c r="C153" i="6"/>
  <c r="Q152" i="6"/>
  <c r="P152" i="6"/>
  <c r="O152" i="6"/>
  <c r="J152" i="6"/>
  <c r="I152" i="6"/>
  <c r="H152" i="6"/>
  <c r="E152" i="6"/>
  <c r="D152" i="6"/>
  <c r="C152" i="6"/>
  <c r="Q151" i="6"/>
  <c r="P151" i="6"/>
  <c r="O151" i="6"/>
  <c r="J151" i="6"/>
  <c r="I151" i="6"/>
  <c r="H151" i="6"/>
  <c r="E151" i="6"/>
  <c r="D151" i="6"/>
  <c r="C151" i="6"/>
  <c r="Q150" i="6"/>
  <c r="P150" i="6"/>
  <c r="O150" i="6"/>
  <c r="J150" i="6"/>
  <c r="I150" i="6"/>
  <c r="H150" i="6"/>
  <c r="E150" i="6"/>
  <c r="D150" i="6"/>
  <c r="C150" i="6"/>
  <c r="Q149" i="6"/>
  <c r="P149" i="6"/>
  <c r="O149" i="6"/>
  <c r="J149" i="6"/>
  <c r="I149" i="6"/>
  <c r="H149" i="6"/>
  <c r="E149" i="6"/>
  <c r="D149" i="6"/>
  <c r="C149" i="6"/>
  <c r="Q148" i="6"/>
  <c r="P148" i="6"/>
  <c r="O148" i="6"/>
  <c r="J148" i="6"/>
  <c r="I148" i="6"/>
  <c r="H148" i="6"/>
  <c r="E148" i="6"/>
  <c r="D148" i="6"/>
  <c r="C148" i="6"/>
  <c r="Q147" i="6"/>
  <c r="P147" i="6"/>
  <c r="O147" i="6"/>
  <c r="J147" i="6"/>
  <c r="I147" i="6"/>
  <c r="H147" i="6"/>
  <c r="E147" i="6"/>
  <c r="D147" i="6"/>
  <c r="C147" i="6"/>
  <c r="Q146" i="6"/>
  <c r="P146" i="6"/>
  <c r="O146" i="6"/>
  <c r="J146" i="6"/>
  <c r="I146" i="6"/>
  <c r="H146" i="6"/>
  <c r="E146" i="6"/>
  <c r="D146" i="6"/>
  <c r="C146" i="6"/>
  <c r="Q145" i="6"/>
  <c r="P145" i="6"/>
  <c r="O145" i="6"/>
  <c r="J145" i="6"/>
  <c r="I145" i="6"/>
  <c r="H145" i="6"/>
  <c r="E145" i="6"/>
  <c r="D145" i="6"/>
  <c r="C145" i="6"/>
  <c r="Q144" i="6"/>
  <c r="P144" i="6"/>
  <c r="O144" i="6"/>
  <c r="J144" i="6"/>
  <c r="I144" i="6"/>
  <c r="H144" i="6"/>
  <c r="E144" i="6"/>
  <c r="D144" i="6"/>
  <c r="C144" i="6"/>
  <c r="Q143" i="6"/>
  <c r="P143" i="6"/>
  <c r="O143" i="6"/>
  <c r="J143" i="6"/>
  <c r="I143" i="6"/>
  <c r="H143" i="6"/>
  <c r="E143" i="6"/>
  <c r="D143" i="6"/>
  <c r="C143" i="6"/>
  <c r="Q142" i="6"/>
  <c r="P142" i="6"/>
  <c r="O142" i="6"/>
  <c r="J142" i="6"/>
  <c r="T142" i="6" s="1"/>
  <c r="I142" i="6"/>
  <c r="H142" i="6"/>
  <c r="E142" i="6"/>
  <c r="D142" i="6"/>
  <c r="C142" i="6"/>
  <c r="Q141" i="6"/>
  <c r="P141" i="6"/>
  <c r="O141" i="6"/>
  <c r="J141" i="6"/>
  <c r="I141" i="6"/>
  <c r="H141" i="6"/>
  <c r="E141" i="6"/>
  <c r="D141" i="6"/>
  <c r="C141" i="6"/>
  <c r="Q140" i="6"/>
  <c r="P140" i="6"/>
  <c r="O140" i="6"/>
  <c r="J140" i="6"/>
  <c r="I140" i="6"/>
  <c r="H140" i="6"/>
  <c r="E140" i="6"/>
  <c r="D140" i="6"/>
  <c r="C140" i="6"/>
  <c r="Q139" i="6"/>
  <c r="P139" i="6"/>
  <c r="O139" i="6"/>
  <c r="J139" i="6"/>
  <c r="I139" i="6"/>
  <c r="H139" i="6"/>
  <c r="E139" i="6"/>
  <c r="D139" i="6"/>
  <c r="C139" i="6"/>
  <c r="Q138" i="6"/>
  <c r="P138" i="6"/>
  <c r="O138" i="6"/>
  <c r="J138" i="6"/>
  <c r="I138" i="6"/>
  <c r="H138" i="6"/>
  <c r="E138" i="6"/>
  <c r="D138" i="6"/>
  <c r="C138" i="6"/>
  <c r="Q137" i="6"/>
  <c r="P137" i="6"/>
  <c r="O137" i="6"/>
  <c r="J137" i="6"/>
  <c r="I137" i="6"/>
  <c r="H137" i="6"/>
  <c r="E137" i="6"/>
  <c r="D137" i="6"/>
  <c r="C137" i="6"/>
  <c r="Q136" i="6"/>
  <c r="P136" i="6"/>
  <c r="O136" i="6"/>
  <c r="J136" i="6"/>
  <c r="I136" i="6"/>
  <c r="H136" i="6"/>
  <c r="E136" i="6"/>
  <c r="D136" i="6"/>
  <c r="C136" i="6"/>
  <c r="Q135" i="6"/>
  <c r="P135" i="6"/>
  <c r="O135" i="6"/>
  <c r="J135" i="6"/>
  <c r="I135" i="6"/>
  <c r="H135" i="6"/>
  <c r="E135" i="6"/>
  <c r="D135" i="6"/>
  <c r="C135" i="6"/>
  <c r="Q134" i="6"/>
  <c r="P134" i="6"/>
  <c r="O134" i="6"/>
  <c r="J134" i="6"/>
  <c r="I134" i="6"/>
  <c r="H134" i="6"/>
  <c r="E134" i="6"/>
  <c r="D134" i="6"/>
  <c r="C134" i="6"/>
  <c r="Q133" i="6"/>
  <c r="P133" i="6"/>
  <c r="O133" i="6"/>
  <c r="J133" i="6"/>
  <c r="I133" i="6"/>
  <c r="H133" i="6"/>
  <c r="E133" i="6"/>
  <c r="D133" i="6"/>
  <c r="C133" i="6"/>
  <c r="Q132" i="6"/>
  <c r="P132" i="6"/>
  <c r="O132" i="6"/>
  <c r="J132" i="6"/>
  <c r="I132" i="6"/>
  <c r="H132" i="6"/>
  <c r="E132" i="6"/>
  <c r="D132" i="6"/>
  <c r="C132" i="6"/>
  <c r="Q131" i="6"/>
  <c r="P131" i="6"/>
  <c r="O131" i="6"/>
  <c r="J131" i="6"/>
  <c r="I131" i="6"/>
  <c r="H131" i="6"/>
  <c r="E131" i="6"/>
  <c r="D131" i="6"/>
  <c r="C131" i="6"/>
  <c r="Q130" i="6"/>
  <c r="P130" i="6"/>
  <c r="O130" i="6"/>
  <c r="J130" i="6"/>
  <c r="I130" i="6"/>
  <c r="H130" i="6"/>
  <c r="E130" i="6"/>
  <c r="D130" i="6"/>
  <c r="C130" i="6"/>
  <c r="Q129" i="6"/>
  <c r="P129" i="6"/>
  <c r="O129" i="6"/>
  <c r="J129" i="6"/>
  <c r="I129" i="6"/>
  <c r="H129" i="6"/>
  <c r="E129" i="6"/>
  <c r="D129" i="6"/>
  <c r="C129" i="6"/>
  <c r="Q128" i="6"/>
  <c r="P128" i="6"/>
  <c r="O128" i="6"/>
  <c r="J128" i="6"/>
  <c r="I128" i="6"/>
  <c r="H128" i="6"/>
  <c r="E128" i="6"/>
  <c r="D128" i="6"/>
  <c r="C128" i="6"/>
  <c r="Q127" i="6"/>
  <c r="P127" i="6"/>
  <c r="O127" i="6"/>
  <c r="J127" i="6"/>
  <c r="I127" i="6"/>
  <c r="H127" i="6"/>
  <c r="E127" i="6"/>
  <c r="D127" i="6"/>
  <c r="C127" i="6"/>
  <c r="Q126" i="6"/>
  <c r="P126" i="6"/>
  <c r="O126" i="6"/>
  <c r="J126" i="6"/>
  <c r="I126" i="6"/>
  <c r="H126" i="6"/>
  <c r="E126" i="6"/>
  <c r="D126" i="6"/>
  <c r="C126" i="6"/>
  <c r="Q125" i="6"/>
  <c r="P125" i="6"/>
  <c r="O125" i="6"/>
  <c r="J125" i="6"/>
  <c r="I125" i="6"/>
  <c r="H125" i="6"/>
  <c r="E125" i="6"/>
  <c r="D125" i="6"/>
  <c r="C125" i="6"/>
  <c r="Q124" i="6"/>
  <c r="P124" i="6"/>
  <c r="O124" i="6"/>
  <c r="J124" i="6"/>
  <c r="I124" i="6"/>
  <c r="H124" i="6"/>
  <c r="E124" i="6"/>
  <c r="D124" i="6"/>
  <c r="C124" i="6"/>
  <c r="Q123" i="6"/>
  <c r="P123" i="6"/>
  <c r="O123" i="6"/>
  <c r="J123" i="6"/>
  <c r="I123" i="6"/>
  <c r="H123" i="6"/>
  <c r="E123" i="6"/>
  <c r="D123" i="6"/>
  <c r="C123" i="6"/>
  <c r="Q122" i="6"/>
  <c r="P122" i="6"/>
  <c r="O122" i="6"/>
  <c r="J122" i="6"/>
  <c r="I122" i="6"/>
  <c r="H122" i="6"/>
  <c r="E122" i="6"/>
  <c r="D122" i="6"/>
  <c r="C122" i="6"/>
  <c r="Q121" i="6"/>
  <c r="P121" i="6"/>
  <c r="O121" i="6"/>
  <c r="J121" i="6"/>
  <c r="I121" i="6"/>
  <c r="H121" i="6"/>
  <c r="E121" i="6"/>
  <c r="D121" i="6"/>
  <c r="C121" i="6"/>
  <c r="Q120" i="6"/>
  <c r="P120" i="6"/>
  <c r="O120" i="6"/>
  <c r="J120" i="6"/>
  <c r="I120" i="6"/>
  <c r="H120" i="6"/>
  <c r="E120" i="6"/>
  <c r="D120" i="6"/>
  <c r="C120" i="6"/>
  <c r="Q119" i="6"/>
  <c r="P119" i="6"/>
  <c r="O119" i="6"/>
  <c r="J119" i="6"/>
  <c r="I119" i="6"/>
  <c r="H119" i="6"/>
  <c r="E119" i="6"/>
  <c r="D119" i="6"/>
  <c r="C119" i="6"/>
  <c r="Q118" i="6"/>
  <c r="P118" i="6"/>
  <c r="O118" i="6"/>
  <c r="J118" i="6"/>
  <c r="I118" i="6"/>
  <c r="H118" i="6"/>
  <c r="E118" i="6"/>
  <c r="D118" i="6"/>
  <c r="C118" i="6"/>
  <c r="Q117" i="6"/>
  <c r="P117" i="6"/>
  <c r="O117" i="6"/>
  <c r="J117" i="6"/>
  <c r="I117" i="6"/>
  <c r="H117" i="6"/>
  <c r="E117" i="6"/>
  <c r="D117" i="6"/>
  <c r="C117" i="6"/>
  <c r="Q116" i="6"/>
  <c r="P116" i="6"/>
  <c r="O116" i="6"/>
  <c r="J116" i="6"/>
  <c r="I116" i="6"/>
  <c r="H116" i="6"/>
  <c r="E116" i="6"/>
  <c r="D116" i="6"/>
  <c r="C116" i="6"/>
  <c r="Q115" i="6"/>
  <c r="P115" i="6"/>
  <c r="O115" i="6"/>
  <c r="J115" i="6"/>
  <c r="I115" i="6"/>
  <c r="H115" i="6"/>
  <c r="E115" i="6"/>
  <c r="D115" i="6"/>
  <c r="C115" i="6"/>
  <c r="Q114" i="6"/>
  <c r="P114" i="6"/>
  <c r="O114" i="6"/>
  <c r="J114" i="6"/>
  <c r="I114" i="6"/>
  <c r="H114" i="6"/>
  <c r="E114" i="6"/>
  <c r="D114" i="6"/>
  <c r="C114" i="6"/>
  <c r="Q113" i="6"/>
  <c r="P113" i="6"/>
  <c r="O113" i="6"/>
  <c r="J113" i="6"/>
  <c r="I113" i="6"/>
  <c r="H113" i="6"/>
  <c r="E113" i="6"/>
  <c r="D113" i="6"/>
  <c r="C113" i="6"/>
  <c r="Q112" i="6"/>
  <c r="P112" i="6"/>
  <c r="O112" i="6"/>
  <c r="J112" i="6"/>
  <c r="I112" i="6"/>
  <c r="H112" i="6"/>
  <c r="E112" i="6"/>
  <c r="D112" i="6"/>
  <c r="C112" i="6"/>
  <c r="Q111" i="6"/>
  <c r="P111" i="6"/>
  <c r="O111" i="6"/>
  <c r="J111" i="6"/>
  <c r="I111" i="6"/>
  <c r="H111" i="6"/>
  <c r="E111" i="6"/>
  <c r="D111" i="6"/>
  <c r="C111" i="6"/>
  <c r="Q110" i="6"/>
  <c r="P110" i="6"/>
  <c r="O110" i="6"/>
  <c r="J110" i="6"/>
  <c r="I110" i="6"/>
  <c r="H110" i="6"/>
  <c r="E110" i="6"/>
  <c r="D110" i="6"/>
  <c r="C110" i="6"/>
  <c r="Q109" i="6"/>
  <c r="P109" i="6"/>
  <c r="O109" i="6"/>
  <c r="J109" i="6"/>
  <c r="I109" i="6"/>
  <c r="H109" i="6"/>
  <c r="E109" i="6"/>
  <c r="D109" i="6"/>
  <c r="C109" i="6"/>
  <c r="Q108" i="6"/>
  <c r="P108" i="6"/>
  <c r="O108" i="6"/>
  <c r="J108" i="6"/>
  <c r="I108" i="6"/>
  <c r="H108" i="6"/>
  <c r="E108" i="6"/>
  <c r="D108" i="6"/>
  <c r="C108" i="6"/>
  <c r="Q107" i="6"/>
  <c r="P107" i="6"/>
  <c r="O107" i="6"/>
  <c r="J107" i="6"/>
  <c r="I107" i="6"/>
  <c r="H107" i="6"/>
  <c r="E107" i="6"/>
  <c r="D107" i="6"/>
  <c r="C107" i="6"/>
  <c r="Q106" i="6"/>
  <c r="P106" i="6"/>
  <c r="O106" i="6"/>
  <c r="J106" i="6"/>
  <c r="I106" i="6"/>
  <c r="H106" i="6"/>
  <c r="E106" i="6"/>
  <c r="D106" i="6"/>
  <c r="C106" i="6"/>
  <c r="Q105" i="6"/>
  <c r="P105" i="6"/>
  <c r="O105" i="6"/>
  <c r="J105" i="6"/>
  <c r="I105" i="6"/>
  <c r="H105" i="6"/>
  <c r="E105" i="6"/>
  <c r="D105" i="6"/>
  <c r="C105" i="6"/>
  <c r="Q104" i="6"/>
  <c r="P104" i="6"/>
  <c r="O104" i="6"/>
  <c r="J104" i="6"/>
  <c r="I104" i="6"/>
  <c r="H104" i="6"/>
  <c r="E104" i="6"/>
  <c r="D104" i="6"/>
  <c r="C104" i="6"/>
  <c r="Q103" i="6"/>
  <c r="P103" i="6"/>
  <c r="O103" i="6"/>
  <c r="J103" i="6"/>
  <c r="I103" i="6"/>
  <c r="H103" i="6"/>
  <c r="E103" i="6"/>
  <c r="D103" i="6"/>
  <c r="C103" i="6"/>
  <c r="Q102" i="6"/>
  <c r="P102" i="6"/>
  <c r="O102" i="6"/>
  <c r="J102" i="6"/>
  <c r="I102" i="6"/>
  <c r="H102" i="6"/>
  <c r="E102" i="6"/>
  <c r="D102" i="6"/>
  <c r="C102" i="6"/>
  <c r="Q101" i="6"/>
  <c r="P101" i="6"/>
  <c r="O101" i="6"/>
  <c r="J101" i="6"/>
  <c r="I101" i="6"/>
  <c r="H101" i="6"/>
  <c r="E101" i="6"/>
  <c r="D101" i="6"/>
  <c r="C101" i="6"/>
  <c r="Q100" i="6"/>
  <c r="P100" i="6"/>
  <c r="O100" i="6"/>
  <c r="J100" i="6"/>
  <c r="I100" i="6"/>
  <c r="H100" i="6"/>
  <c r="E100" i="6"/>
  <c r="D100" i="6"/>
  <c r="C100" i="6"/>
  <c r="Q99" i="6"/>
  <c r="P99" i="6"/>
  <c r="O99" i="6"/>
  <c r="J99" i="6"/>
  <c r="I99" i="6"/>
  <c r="H99" i="6"/>
  <c r="E99" i="6"/>
  <c r="D99" i="6"/>
  <c r="C99" i="6"/>
  <c r="Q98" i="6"/>
  <c r="P98" i="6"/>
  <c r="O98" i="6"/>
  <c r="J98" i="6"/>
  <c r="I98" i="6"/>
  <c r="H98" i="6"/>
  <c r="E98" i="6"/>
  <c r="D98" i="6"/>
  <c r="C98" i="6"/>
  <c r="Q97" i="6"/>
  <c r="P97" i="6"/>
  <c r="O97" i="6"/>
  <c r="J97" i="6"/>
  <c r="I97" i="6"/>
  <c r="H97" i="6"/>
  <c r="E97" i="6"/>
  <c r="D97" i="6"/>
  <c r="C97" i="6"/>
  <c r="Q96" i="6"/>
  <c r="P96" i="6"/>
  <c r="O96" i="6"/>
  <c r="J96" i="6"/>
  <c r="I96" i="6"/>
  <c r="H96" i="6"/>
  <c r="E96" i="6"/>
  <c r="D96" i="6"/>
  <c r="C96" i="6"/>
  <c r="Q95" i="6"/>
  <c r="P95" i="6"/>
  <c r="O95" i="6"/>
  <c r="J95" i="6"/>
  <c r="I95" i="6"/>
  <c r="H95" i="6"/>
  <c r="E95" i="6"/>
  <c r="D95" i="6"/>
  <c r="C95" i="6"/>
  <c r="Q94" i="6"/>
  <c r="P94" i="6"/>
  <c r="O94" i="6"/>
  <c r="J94" i="6"/>
  <c r="I94" i="6"/>
  <c r="H94" i="6"/>
  <c r="E94" i="6"/>
  <c r="D94" i="6"/>
  <c r="C94" i="6"/>
  <c r="Q93" i="6"/>
  <c r="P93" i="6"/>
  <c r="O93" i="6"/>
  <c r="J93" i="6"/>
  <c r="I93" i="6"/>
  <c r="H93" i="6"/>
  <c r="E93" i="6"/>
  <c r="D93" i="6"/>
  <c r="C93" i="6"/>
  <c r="Q92" i="6"/>
  <c r="P92" i="6"/>
  <c r="O92" i="6"/>
  <c r="J92" i="6"/>
  <c r="I92" i="6"/>
  <c r="H92" i="6"/>
  <c r="E92" i="6"/>
  <c r="D92" i="6"/>
  <c r="C92" i="6"/>
  <c r="Q91" i="6"/>
  <c r="P91" i="6"/>
  <c r="O91" i="6"/>
  <c r="J91" i="6"/>
  <c r="I91" i="6"/>
  <c r="H91" i="6"/>
  <c r="E91" i="6"/>
  <c r="D91" i="6"/>
  <c r="C91" i="6"/>
  <c r="Q90" i="6"/>
  <c r="P90" i="6"/>
  <c r="O90" i="6"/>
  <c r="J90" i="6"/>
  <c r="I90" i="6"/>
  <c r="H90" i="6"/>
  <c r="E90" i="6"/>
  <c r="D90" i="6"/>
  <c r="C90" i="6"/>
  <c r="Q89" i="6"/>
  <c r="P89" i="6"/>
  <c r="O89" i="6"/>
  <c r="J89" i="6"/>
  <c r="I89" i="6"/>
  <c r="H89" i="6"/>
  <c r="E89" i="6"/>
  <c r="D89" i="6"/>
  <c r="C89" i="6"/>
  <c r="Q88" i="6"/>
  <c r="P88" i="6"/>
  <c r="O88" i="6"/>
  <c r="J88" i="6"/>
  <c r="I88" i="6"/>
  <c r="H88" i="6"/>
  <c r="E88" i="6"/>
  <c r="D88" i="6"/>
  <c r="C88" i="6"/>
  <c r="Q87" i="6"/>
  <c r="P87" i="6"/>
  <c r="O87" i="6"/>
  <c r="J87" i="6"/>
  <c r="I87" i="6"/>
  <c r="H87" i="6"/>
  <c r="E87" i="6"/>
  <c r="D87" i="6"/>
  <c r="C87" i="6"/>
  <c r="Q86" i="6"/>
  <c r="P86" i="6"/>
  <c r="O86" i="6"/>
  <c r="J86" i="6"/>
  <c r="I86" i="6"/>
  <c r="H86" i="6"/>
  <c r="E86" i="6"/>
  <c r="D86" i="6"/>
  <c r="C86" i="6"/>
  <c r="Q85" i="6"/>
  <c r="P85" i="6"/>
  <c r="O85" i="6"/>
  <c r="J85" i="6"/>
  <c r="I85" i="6"/>
  <c r="H85" i="6"/>
  <c r="E85" i="6"/>
  <c r="D85" i="6"/>
  <c r="C85" i="6"/>
  <c r="Q84" i="6"/>
  <c r="P84" i="6"/>
  <c r="O84" i="6"/>
  <c r="J84" i="6"/>
  <c r="I84" i="6"/>
  <c r="H84" i="6"/>
  <c r="E84" i="6"/>
  <c r="D84" i="6"/>
  <c r="C84" i="6"/>
  <c r="Q83" i="6"/>
  <c r="P83" i="6"/>
  <c r="O83" i="6"/>
  <c r="J83" i="6"/>
  <c r="I83" i="6"/>
  <c r="H83" i="6"/>
  <c r="E83" i="6"/>
  <c r="D83" i="6"/>
  <c r="C83" i="6"/>
  <c r="Q82" i="6"/>
  <c r="P82" i="6"/>
  <c r="O82" i="6"/>
  <c r="J82" i="6"/>
  <c r="I82" i="6"/>
  <c r="H82" i="6"/>
  <c r="E82" i="6"/>
  <c r="D82" i="6"/>
  <c r="C82" i="6"/>
  <c r="Q81" i="6"/>
  <c r="P81" i="6"/>
  <c r="O81" i="6"/>
  <c r="J81" i="6"/>
  <c r="I81" i="6"/>
  <c r="H81" i="6"/>
  <c r="E81" i="6"/>
  <c r="D81" i="6"/>
  <c r="C81" i="6"/>
  <c r="Q80" i="6"/>
  <c r="P80" i="6"/>
  <c r="O80" i="6"/>
  <c r="J80" i="6"/>
  <c r="I80" i="6"/>
  <c r="H80" i="6"/>
  <c r="E80" i="6"/>
  <c r="D80" i="6"/>
  <c r="C80" i="6"/>
  <c r="Q79" i="6"/>
  <c r="P79" i="6"/>
  <c r="O79" i="6"/>
  <c r="J79" i="6"/>
  <c r="I79" i="6"/>
  <c r="H79" i="6"/>
  <c r="E79" i="6"/>
  <c r="D79" i="6"/>
  <c r="C79" i="6"/>
  <c r="Q78" i="6"/>
  <c r="P78" i="6"/>
  <c r="O78" i="6"/>
  <c r="J78" i="6"/>
  <c r="I78" i="6"/>
  <c r="H78" i="6"/>
  <c r="E78" i="6"/>
  <c r="D78" i="6"/>
  <c r="C78" i="6"/>
  <c r="Q77" i="6"/>
  <c r="P77" i="6"/>
  <c r="O77" i="6"/>
  <c r="J77" i="6"/>
  <c r="I77" i="6"/>
  <c r="H77" i="6"/>
  <c r="E77" i="6"/>
  <c r="D77" i="6"/>
  <c r="C77" i="6"/>
  <c r="Q76" i="6"/>
  <c r="P76" i="6"/>
  <c r="O76" i="6"/>
  <c r="J76" i="6"/>
  <c r="I76" i="6"/>
  <c r="H76" i="6"/>
  <c r="E76" i="6"/>
  <c r="D76" i="6"/>
  <c r="C76" i="6"/>
  <c r="Q75" i="6"/>
  <c r="P75" i="6"/>
  <c r="O75" i="6"/>
  <c r="J75" i="6"/>
  <c r="I75" i="6"/>
  <c r="H75" i="6"/>
  <c r="E75" i="6"/>
  <c r="D75" i="6"/>
  <c r="C75" i="6"/>
  <c r="Q74" i="6"/>
  <c r="P74" i="6"/>
  <c r="O74" i="6"/>
  <c r="J74" i="6"/>
  <c r="I74" i="6"/>
  <c r="H74" i="6"/>
  <c r="E74" i="6"/>
  <c r="D74" i="6"/>
  <c r="C74" i="6"/>
  <c r="Q73" i="6"/>
  <c r="P73" i="6"/>
  <c r="O73" i="6"/>
  <c r="J73" i="6"/>
  <c r="I73" i="6"/>
  <c r="H73" i="6"/>
  <c r="E73" i="6"/>
  <c r="D73" i="6"/>
  <c r="C73" i="6"/>
  <c r="Q72" i="6"/>
  <c r="P72" i="6"/>
  <c r="O72" i="6"/>
  <c r="J72" i="6"/>
  <c r="I72" i="6"/>
  <c r="H72" i="6"/>
  <c r="E72" i="6"/>
  <c r="D72" i="6"/>
  <c r="C72" i="6"/>
  <c r="Q71" i="6"/>
  <c r="P71" i="6"/>
  <c r="O71" i="6"/>
  <c r="J71" i="6"/>
  <c r="I71" i="6"/>
  <c r="H71" i="6"/>
  <c r="E71" i="6"/>
  <c r="D71" i="6"/>
  <c r="C71" i="6"/>
  <c r="Q70" i="6"/>
  <c r="P70" i="6"/>
  <c r="O70" i="6"/>
  <c r="J70" i="6"/>
  <c r="I70" i="6"/>
  <c r="H70" i="6"/>
  <c r="E70" i="6"/>
  <c r="D70" i="6"/>
  <c r="C70" i="6"/>
  <c r="Q69" i="6"/>
  <c r="P69" i="6"/>
  <c r="O69" i="6"/>
  <c r="J69" i="6"/>
  <c r="I69" i="6"/>
  <c r="H69" i="6"/>
  <c r="E69" i="6"/>
  <c r="D69" i="6"/>
  <c r="C69" i="6"/>
  <c r="Q68" i="6"/>
  <c r="P68" i="6"/>
  <c r="O68" i="6"/>
  <c r="J68" i="6"/>
  <c r="I68" i="6"/>
  <c r="H68" i="6"/>
  <c r="E68" i="6"/>
  <c r="D68" i="6"/>
  <c r="C68" i="6"/>
  <c r="Q67" i="6"/>
  <c r="P67" i="6"/>
  <c r="O67" i="6"/>
  <c r="J67" i="6"/>
  <c r="I67" i="6"/>
  <c r="H67" i="6"/>
  <c r="E67" i="6"/>
  <c r="D67" i="6"/>
  <c r="C67" i="6"/>
  <c r="Q66" i="6"/>
  <c r="P66" i="6"/>
  <c r="O66" i="6"/>
  <c r="J66" i="6"/>
  <c r="I66" i="6"/>
  <c r="H66" i="6"/>
  <c r="E66" i="6"/>
  <c r="D66" i="6"/>
  <c r="C66" i="6"/>
  <c r="Q65" i="6"/>
  <c r="P65" i="6"/>
  <c r="O65" i="6"/>
  <c r="J65" i="6"/>
  <c r="I65" i="6"/>
  <c r="H65" i="6"/>
  <c r="E65" i="6"/>
  <c r="D65" i="6"/>
  <c r="C65" i="6"/>
  <c r="Q64" i="6"/>
  <c r="P64" i="6"/>
  <c r="O64" i="6"/>
  <c r="J64" i="6"/>
  <c r="I64" i="6"/>
  <c r="H64" i="6"/>
  <c r="E64" i="6"/>
  <c r="D64" i="6"/>
  <c r="C64" i="6"/>
  <c r="Q63" i="6"/>
  <c r="P63" i="6"/>
  <c r="O63" i="6"/>
  <c r="J63" i="6"/>
  <c r="I63" i="6"/>
  <c r="H63" i="6"/>
  <c r="E63" i="6"/>
  <c r="D63" i="6"/>
  <c r="C63" i="6"/>
  <c r="Q62" i="6"/>
  <c r="P62" i="6"/>
  <c r="O62" i="6"/>
  <c r="J62" i="6"/>
  <c r="I62" i="6"/>
  <c r="H62" i="6"/>
  <c r="E62" i="6"/>
  <c r="D62" i="6"/>
  <c r="C62" i="6"/>
  <c r="Q61" i="6"/>
  <c r="P61" i="6"/>
  <c r="O61" i="6"/>
  <c r="J61" i="6"/>
  <c r="I61" i="6"/>
  <c r="H61" i="6"/>
  <c r="E61" i="6"/>
  <c r="D61" i="6"/>
  <c r="C61" i="6"/>
  <c r="Q60" i="6"/>
  <c r="P60" i="6"/>
  <c r="O60" i="6"/>
  <c r="J60" i="6"/>
  <c r="I60" i="6"/>
  <c r="H60" i="6"/>
  <c r="E60" i="6"/>
  <c r="D60" i="6"/>
  <c r="C60" i="6"/>
  <c r="Q59" i="6"/>
  <c r="P59" i="6"/>
  <c r="O59" i="6"/>
  <c r="J59" i="6"/>
  <c r="I59" i="6"/>
  <c r="H59" i="6"/>
  <c r="E59" i="6"/>
  <c r="D59" i="6"/>
  <c r="C59" i="6"/>
  <c r="Q58" i="6"/>
  <c r="P58" i="6"/>
  <c r="O58" i="6"/>
  <c r="J58" i="6"/>
  <c r="I58" i="6"/>
  <c r="H58" i="6"/>
  <c r="E58" i="6"/>
  <c r="D58" i="6"/>
  <c r="C58" i="6"/>
  <c r="Q57" i="6"/>
  <c r="P57" i="6"/>
  <c r="O57" i="6"/>
  <c r="J57" i="6"/>
  <c r="I57" i="6"/>
  <c r="H57" i="6"/>
  <c r="E57" i="6"/>
  <c r="D57" i="6"/>
  <c r="C57" i="6"/>
  <c r="Q56" i="6"/>
  <c r="P56" i="6"/>
  <c r="O56" i="6"/>
  <c r="J56" i="6"/>
  <c r="I56" i="6"/>
  <c r="H56" i="6"/>
  <c r="E56" i="6"/>
  <c r="D56" i="6"/>
  <c r="C56" i="6"/>
  <c r="Q55" i="6"/>
  <c r="P55" i="6"/>
  <c r="O55" i="6"/>
  <c r="J55" i="6"/>
  <c r="I55" i="6"/>
  <c r="H55" i="6"/>
  <c r="E55" i="6"/>
  <c r="D55" i="6"/>
  <c r="C55" i="6"/>
  <c r="Q54" i="6"/>
  <c r="P54" i="6"/>
  <c r="O54" i="6"/>
  <c r="J54" i="6"/>
  <c r="I54" i="6"/>
  <c r="H54" i="6"/>
  <c r="E54" i="6"/>
  <c r="D54" i="6"/>
  <c r="C54" i="6"/>
  <c r="Q53" i="6"/>
  <c r="P53" i="6"/>
  <c r="O53" i="6"/>
  <c r="J53" i="6"/>
  <c r="I53" i="6"/>
  <c r="H53" i="6"/>
  <c r="E53" i="6"/>
  <c r="D53" i="6"/>
  <c r="C53" i="6"/>
  <c r="Q52" i="6"/>
  <c r="P52" i="6"/>
  <c r="O52" i="6"/>
  <c r="J52" i="6"/>
  <c r="I52" i="6"/>
  <c r="H52" i="6"/>
  <c r="E52" i="6"/>
  <c r="D52" i="6"/>
  <c r="C52" i="6"/>
  <c r="Q51" i="6"/>
  <c r="P51" i="6"/>
  <c r="O51" i="6"/>
  <c r="J51" i="6"/>
  <c r="I51" i="6"/>
  <c r="H51" i="6"/>
  <c r="E51" i="6"/>
  <c r="D51" i="6"/>
  <c r="C51" i="6"/>
  <c r="Q50" i="6"/>
  <c r="P50" i="6"/>
  <c r="O50" i="6"/>
  <c r="J50" i="6"/>
  <c r="I50" i="6"/>
  <c r="H50" i="6"/>
  <c r="E50" i="6"/>
  <c r="D50" i="6"/>
  <c r="C50" i="6"/>
  <c r="Q49" i="6"/>
  <c r="P49" i="6"/>
  <c r="O49" i="6"/>
  <c r="J49" i="6"/>
  <c r="I49" i="6"/>
  <c r="H49" i="6"/>
  <c r="E49" i="6"/>
  <c r="D49" i="6"/>
  <c r="C49" i="6"/>
  <c r="Q48" i="6"/>
  <c r="P48" i="6"/>
  <c r="O48" i="6"/>
  <c r="J48" i="6"/>
  <c r="I48" i="6"/>
  <c r="H48" i="6"/>
  <c r="E48" i="6"/>
  <c r="D48" i="6"/>
  <c r="C48" i="6"/>
  <c r="Q47" i="6"/>
  <c r="P47" i="6"/>
  <c r="O47" i="6"/>
  <c r="J47" i="6"/>
  <c r="I47" i="6"/>
  <c r="H47" i="6"/>
  <c r="E47" i="6"/>
  <c r="D47" i="6"/>
  <c r="C47" i="6"/>
  <c r="Q46" i="6"/>
  <c r="P46" i="6"/>
  <c r="O46" i="6"/>
  <c r="J46" i="6"/>
  <c r="I46" i="6"/>
  <c r="H46" i="6"/>
  <c r="E46" i="6"/>
  <c r="D46" i="6"/>
  <c r="C46" i="6"/>
  <c r="Q45" i="6"/>
  <c r="P45" i="6"/>
  <c r="O45" i="6"/>
  <c r="J45" i="6"/>
  <c r="I45" i="6"/>
  <c r="H45" i="6"/>
  <c r="E45" i="6"/>
  <c r="D45" i="6"/>
  <c r="C45" i="6"/>
  <c r="Q44" i="6"/>
  <c r="P44" i="6"/>
  <c r="O44" i="6"/>
  <c r="J44" i="6"/>
  <c r="I44" i="6"/>
  <c r="H44" i="6"/>
  <c r="E44" i="6"/>
  <c r="D44" i="6"/>
  <c r="C44" i="6"/>
  <c r="Q43" i="6"/>
  <c r="P43" i="6"/>
  <c r="O43" i="6"/>
  <c r="J43" i="6"/>
  <c r="I43" i="6"/>
  <c r="H43" i="6"/>
  <c r="E43" i="6"/>
  <c r="D43" i="6"/>
  <c r="C43" i="6"/>
  <c r="Q42" i="6"/>
  <c r="P42" i="6"/>
  <c r="O42" i="6"/>
  <c r="J42" i="6"/>
  <c r="I42" i="6"/>
  <c r="H42" i="6"/>
  <c r="E42" i="6"/>
  <c r="D42" i="6"/>
  <c r="C42" i="6"/>
  <c r="Q41" i="6"/>
  <c r="P41" i="6"/>
  <c r="O41" i="6"/>
  <c r="J41" i="6"/>
  <c r="I41" i="6"/>
  <c r="H41" i="6"/>
  <c r="E41" i="6"/>
  <c r="D41" i="6"/>
  <c r="C41" i="6"/>
  <c r="Q40" i="6"/>
  <c r="P40" i="6"/>
  <c r="O40" i="6"/>
  <c r="J40" i="6"/>
  <c r="I40" i="6"/>
  <c r="H40" i="6"/>
  <c r="E40" i="6"/>
  <c r="D40" i="6"/>
  <c r="C40" i="6"/>
  <c r="Q39" i="6"/>
  <c r="P39" i="6"/>
  <c r="O39" i="6"/>
  <c r="J39" i="6"/>
  <c r="I39" i="6"/>
  <c r="H39" i="6"/>
  <c r="E39" i="6"/>
  <c r="D39" i="6"/>
  <c r="C39" i="6"/>
  <c r="Q38" i="6"/>
  <c r="P38" i="6"/>
  <c r="O38" i="6"/>
  <c r="J38" i="6"/>
  <c r="I38" i="6"/>
  <c r="H38" i="6"/>
  <c r="E38" i="6"/>
  <c r="D38" i="6"/>
  <c r="C38" i="6"/>
  <c r="Q37" i="6"/>
  <c r="P37" i="6"/>
  <c r="O37" i="6"/>
  <c r="J37" i="6"/>
  <c r="I37" i="6"/>
  <c r="H37" i="6"/>
  <c r="E37" i="6"/>
  <c r="D37" i="6"/>
  <c r="C37" i="6"/>
  <c r="Q36" i="6"/>
  <c r="P36" i="6"/>
  <c r="O36" i="6"/>
  <c r="J36" i="6"/>
  <c r="I36" i="6"/>
  <c r="H36" i="6"/>
  <c r="E36" i="6"/>
  <c r="D36" i="6"/>
  <c r="C36" i="6"/>
  <c r="Q35" i="6"/>
  <c r="P35" i="6"/>
  <c r="O35" i="6"/>
  <c r="J35" i="6"/>
  <c r="I35" i="6"/>
  <c r="H35" i="6"/>
  <c r="E35" i="6"/>
  <c r="D35" i="6"/>
  <c r="C35" i="6"/>
  <c r="Q34" i="6"/>
  <c r="P34" i="6"/>
  <c r="O34" i="6"/>
  <c r="J34" i="6"/>
  <c r="I34" i="6"/>
  <c r="H34" i="6"/>
  <c r="E34" i="6"/>
  <c r="D34" i="6"/>
  <c r="C34" i="6"/>
  <c r="Q33" i="6"/>
  <c r="P33" i="6"/>
  <c r="O33" i="6"/>
  <c r="J33" i="6"/>
  <c r="I33" i="6"/>
  <c r="H33" i="6"/>
  <c r="E33" i="6"/>
  <c r="D33" i="6"/>
  <c r="C33" i="6"/>
  <c r="Q32" i="6"/>
  <c r="P32" i="6"/>
  <c r="O32" i="6"/>
  <c r="J32" i="6"/>
  <c r="I32" i="6"/>
  <c r="H32" i="6"/>
  <c r="E32" i="6"/>
  <c r="D32" i="6"/>
  <c r="C32" i="6"/>
  <c r="Q31" i="6"/>
  <c r="P31" i="6"/>
  <c r="O31" i="6"/>
  <c r="J31" i="6"/>
  <c r="I31" i="6"/>
  <c r="H31" i="6"/>
  <c r="E31" i="6"/>
  <c r="D31" i="6"/>
  <c r="C31" i="6"/>
  <c r="Q30" i="6"/>
  <c r="P30" i="6"/>
  <c r="O30" i="6"/>
  <c r="J30" i="6"/>
  <c r="I30" i="6"/>
  <c r="H30" i="6"/>
  <c r="E30" i="6"/>
  <c r="D30" i="6"/>
  <c r="C30" i="6"/>
  <c r="Q29" i="6"/>
  <c r="P29" i="6"/>
  <c r="O29" i="6"/>
  <c r="J29" i="6"/>
  <c r="I29" i="6"/>
  <c r="H29" i="6"/>
  <c r="E29" i="6"/>
  <c r="D29" i="6"/>
  <c r="C29" i="6"/>
  <c r="Q28" i="6"/>
  <c r="P28" i="6"/>
  <c r="O28" i="6"/>
  <c r="J28" i="6"/>
  <c r="I28" i="6"/>
  <c r="H28" i="6"/>
  <c r="E28" i="6"/>
  <c r="D28" i="6"/>
  <c r="C28" i="6"/>
  <c r="Q27" i="6"/>
  <c r="P27" i="6"/>
  <c r="O27" i="6"/>
  <c r="J27" i="6"/>
  <c r="I27" i="6"/>
  <c r="H27" i="6"/>
  <c r="E27" i="6"/>
  <c r="D27" i="6"/>
  <c r="C27" i="6"/>
  <c r="Q26" i="6"/>
  <c r="P26" i="6"/>
  <c r="O26" i="6"/>
  <c r="J26" i="6"/>
  <c r="I26" i="6"/>
  <c r="H26" i="6"/>
  <c r="E26" i="6"/>
  <c r="D26" i="6"/>
  <c r="C26" i="6"/>
  <c r="Q25" i="6"/>
  <c r="P25" i="6"/>
  <c r="O25" i="6"/>
  <c r="J25" i="6"/>
  <c r="I25" i="6"/>
  <c r="H25" i="6"/>
  <c r="E25" i="6"/>
  <c r="D25" i="6"/>
  <c r="C25" i="6"/>
  <c r="Q24" i="6"/>
  <c r="P24" i="6"/>
  <c r="O24" i="6"/>
  <c r="J24" i="6"/>
  <c r="I24" i="6"/>
  <c r="H24" i="6"/>
  <c r="E24" i="6"/>
  <c r="D24" i="6"/>
  <c r="C24" i="6"/>
  <c r="Q23" i="6"/>
  <c r="P23" i="6"/>
  <c r="O23" i="6"/>
  <c r="J23" i="6"/>
  <c r="I23" i="6"/>
  <c r="H23" i="6"/>
  <c r="E23" i="6"/>
  <c r="D23" i="6"/>
  <c r="C23" i="6"/>
  <c r="Q22" i="6"/>
  <c r="P22" i="6"/>
  <c r="O22" i="6"/>
  <c r="J22" i="6"/>
  <c r="I22" i="6"/>
  <c r="H22" i="6"/>
  <c r="E22" i="6"/>
  <c r="D22" i="6"/>
  <c r="C22" i="6"/>
  <c r="Q21" i="6"/>
  <c r="P21" i="6"/>
  <c r="O21" i="6"/>
  <c r="J21" i="6"/>
  <c r="I21" i="6"/>
  <c r="H21" i="6"/>
  <c r="E21" i="6"/>
  <c r="D21" i="6"/>
  <c r="C21" i="6"/>
  <c r="Q20" i="6"/>
  <c r="P20" i="6"/>
  <c r="O20" i="6"/>
  <c r="J20" i="6"/>
  <c r="I20" i="6"/>
  <c r="H20" i="6"/>
  <c r="E20" i="6"/>
  <c r="D20" i="6"/>
  <c r="C20" i="6"/>
  <c r="Q19" i="6"/>
  <c r="P19" i="6"/>
  <c r="O19" i="6"/>
  <c r="J19" i="6"/>
  <c r="I19" i="6"/>
  <c r="H19" i="6"/>
  <c r="E19" i="6"/>
  <c r="D19" i="6"/>
  <c r="C19" i="6"/>
  <c r="Q18" i="6"/>
  <c r="P18" i="6"/>
  <c r="O18" i="6"/>
  <c r="J18" i="6"/>
  <c r="I18" i="6"/>
  <c r="H18" i="6"/>
  <c r="E18" i="6"/>
  <c r="D18" i="6"/>
  <c r="C18" i="6"/>
  <c r="Q17" i="6"/>
  <c r="P17" i="6"/>
  <c r="O17" i="6"/>
  <c r="J17" i="6"/>
  <c r="I17" i="6"/>
  <c r="H17" i="6"/>
  <c r="E17" i="6"/>
  <c r="D17" i="6"/>
  <c r="C17" i="6"/>
  <c r="Q16" i="6"/>
  <c r="P16" i="6"/>
  <c r="O16" i="6"/>
  <c r="J16" i="6"/>
  <c r="I16" i="6"/>
  <c r="H16" i="6"/>
  <c r="E16" i="6"/>
  <c r="D16" i="6"/>
  <c r="C16" i="6"/>
  <c r="Q15" i="6"/>
  <c r="P15" i="6"/>
  <c r="O15" i="6"/>
  <c r="J15" i="6"/>
  <c r="I15" i="6"/>
  <c r="H15" i="6"/>
  <c r="E15" i="6"/>
  <c r="D15" i="6"/>
  <c r="C15" i="6"/>
  <c r="Q14" i="6"/>
  <c r="P14" i="6"/>
  <c r="O14" i="6"/>
  <c r="J14" i="6"/>
  <c r="I14" i="6"/>
  <c r="H14" i="6"/>
  <c r="E14" i="6"/>
  <c r="D14" i="6"/>
  <c r="C14" i="6"/>
  <c r="Q13" i="6"/>
  <c r="P13" i="6"/>
  <c r="O13" i="6"/>
  <c r="J13" i="6"/>
  <c r="I13" i="6"/>
  <c r="H13" i="6"/>
  <c r="E13" i="6"/>
  <c r="D13" i="6"/>
  <c r="C13" i="6"/>
  <c r="Q12" i="6"/>
  <c r="P12" i="6"/>
  <c r="O12" i="6"/>
  <c r="J12" i="6"/>
  <c r="I12" i="6"/>
  <c r="H12" i="6"/>
  <c r="E12" i="6"/>
  <c r="D12" i="6"/>
  <c r="C12" i="6"/>
  <c r="Q11" i="6"/>
  <c r="P11" i="6"/>
  <c r="O11" i="6"/>
  <c r="J11" i="6"/>
  <c r="I11" i="6"/>
  <c r="H11" i="6"/>
  <c r="E11" i="6"/>
  <c r="D11" i="6"/>
  <c r="C11" i="6"/>
  <c r="Q10" i="6"/>
  <c r="P10" i="6"/>
  <c r="O10" i="6"/>
  <c r="J10" i="6"/>
  <c r="I10" i="6"/>
  <c r="H10" i="6"/>
  <c r="E10" i="6"/>
  <c r="D10" i="6"/>
  <c r="C10" i="6"/>
  <c r="Q9" i="6"/>
  <c r="P9" i="6"/>
  <c r="O9" i="6"/>
  <c r="J9" i="6"/>
  <c r="I9" i="6"/>
  <c r="H9" i="6"/>
  <c r="E9" i="6"/>
  <c r="D9" i="6"/>
  <c r="C9" i="6"/>
  <c r="Q8" i="6"/>
  <c r="P8" i="6"/>
  <c r="O8" i="6"/>
  <c r="J8" i="6"/>
  <c r="I8" i="6"/>
  <c r="H8" i="6"/>
  <c r="E8" i="6"/>
  <c r="D8" i="6"/>
  <c r="C8" i="6"/>
  <c r="Q7" i="6"/>
  <c r="P7" i="6"/>
  <c r="O7" i="6"/>
  <c r="J7" i="6"/>
  <c r="I7" i="6"/>
  <c r="H7" i="6"/>
  <c r="E7" i="6"/>
  <c r="D7" i="6"/>
  <c r="C7" i="6"/>
  <c r="Q6" i="6"/>
  <c r="P6" i="6"/>
  <c r="O6" i="6"/>
  <c r="J6" i="6"/>
  <c r="I6" i="6"/>
  <c r="H6" i="6"/>
  <c r="E6" i="6"/>
  <c r="D6" i="6"/>
  <c r="C6" i="6"/>
  <c r="Q5" i="6"/>
  <c r="P5" i="6"/>
  <c r="O5" i="6"/>
  <c r="J5" i="6"/>
  <c r="I5" i="6"/>
  <c r="H5" i="6"/>
  <c r="E5" i="6"/>
  <c r="D5" i="6"/>
  <c r="C5" i="6"/>
  <c r="Q4" i="6"/>
  <c r="P4" i="6"/>
  <c r="O4" i="6"/>
  <c r="J4" i="6"/>
  <c r="I4" i="6"/>
  <c r="H4" i="6"/>
  <c r="E4" i="6"/>
  <c r="D4" i="6"/>
  <c r="C4" i="6"/>
  <c r="Q3" i="6"/>
  <c r="P3" i="6"/>
  <c r="O3" i="6"/>
  <c r="J3" i="6"/>
  <c r="I3" i="6"/>
  <c r="H3" i="6"/>
  <c r="E3" i="6"/>
  <c r="D3" i="6"/>
  <c r="C3" i="6"/>
  <c r="A3" i="6"/>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Q2" i="6"/>
  <c r="P2" i="6"/>
  <c r="O2" i="6"/>
  <c r="J2" i="6"/>
  <c r="I2" i="6"/>
  <c r="H2" i="6"/>
  <c r="E2" i="6"/>
  <c r="D2" i="6"/>
  <c r="C2" i="6"/>
  <c r="Q1195" i="5"/>
  <c r="P1195" i="5"/>
  <c r="O1195" i="5"/>
  <c r="J1195" i="5"/>
  <c r="I1195" i="5"/>
  <c r="H1195" i="5"/>
  <c r="E1195" i="5"/>
  <c r="D1195" i="5"/>
  <c r="C1195" i="5"/>
  <c r="Q1194" i="5"/>
  <c r="P1194" i="5"/>
  <c r="O1194" i="5"/>
  <c r="J1194" i="5"/>
  <c r="I1194" i="5"/>
  <c r="H1194" i="5"/>
  <c r="E1194" i="5"/>
  <c r="D1194" i="5"/>
  <c r="C1194" i="5"/>
  <c r="Q1193" i="5"/>
  <c r="P1193" i="5"/>
  <c r="O1193" i="5"/>
  <c r="J1193" i="5"/>
  <c r="I1193" i="5"/>
  <c r="H1193" i="5"/>
  <c r="E1193" i="5"/>
  <c r="D1193" i="5"/>
  <c r="C1193" i="5"/>
  <c r="Q1192" i="5"/>
  <c r="P1192" i="5"/>
  <c r="O1192" i="5"/>
  <c r="J1192" i="5"/>
  <c r="I1192" i="5"/>
  <c r="H1192" i="5"/>
  <c r="E1192" i="5"/>
  <c r="D1192" i="5"/>
  <c r="C1192" i="5"/>
  <c r="Q1191" i="5"/>
  <c r="P1191" i="5"/>
  <c r="O1191" i="5"/>
  <c r="J1191" i="5"/>
  <c r="I1191" i="5"/>
  <c r="H1191" i="5"/>
  <c r="E1191" i="5"/>
  <c r="D1191" i="5"/>
  <c r="C1191" i="5"/>
  <c r="Q1190" i="5"/>
  <c r="P1190" i="5"/>
  <c r="O1190" i="5"/>
  <c r="J1190" i="5"/>
  <c r="I1190" i="5"/>
  <c r="H1190" i="5"/>
  <c r="E1190" i="5"/>
  <c r="D1190" i="5"/>
  <c r="C1190" i="5"/>
  <c r="Q1189" i="5"/>
  <c r="P1189" i="5"/>
  <c r="O1189" i="5"/>
  <c r="J1189" i="5"/>
  <c r="I1189" i="5"/>
  <c r="H1189" i="5"/>
  <c r="E1189" i="5"/>
  <c r="D1189" i="5"/>
  <c r="C1189" i="5"/>
  <c r="Q1188" i="5"/>
  <c r="P1188" i="5"/>
  <c r="O1188" i="5"/>
  <c r="J1188" i="5"/>
  <c r="I1188" i="5"/>
  <c r="H1188" i="5"/>
  <c r="E1188" i="5"/>
  <c r="D1188" i="5"/>
  <c r="C1188" i="5"/>
  <c r="Q1187" i="5"/>
  <c r="P1187" i="5"/>
  <c r="O1187" i="5"/>
  <c r="J1187" i="5"/>
  <c r="I1187" i="5"/>
  <c r="H1187" i="5"/>
  <c r="E1187" i="5"/>
  <c r="D1187" i="5"/>
  <c r="C1187" i="5"/>
  <c r="Q1186" i="5"/>
  <c r="P1186" i="5"/>
  <c r="O1186" i="5"/>
  <c r="J1186" i="5"/>
  <c r="I1186" i="5"/>
  <c r="H1186" i="5"/>
  <c r="E1186" i="5"/>
  <c r="D1186" i="5"/>
  <c r="C1186" i="5"/>
  <c r="Q1185" i="5"/>
  <c r="P1185" i="5"/>
  <c r="O1185" i="5"/>
  <c r="J1185" i="5"/>
  <c r="I1185" i="5"/>
  <c r="H1185" i="5"/>
  <c r="E1185" i="5"/>
  <c r="D1185" i="5"/>
  <c r="C1185" i="5"/>
  <c r="Q1184" i="5"/>
  <c r="P1184" i="5"/>
  <c r="O1184" i="5"/>
  <c r="J1184" i="5"/>
  <c r="I1184" i="5"/>
  <c r="H1184" i="5"/>
  <c r="E1184" i="5"/>
  <c r="D1184" i="5"/>
  <c r="C1184" i="5"/>
  <c r="Q1183" i="5"/>
  <c r="P1183" i="5"/>
  <c r="O1183" i="5"/>
  <c r="J1183" i="5"/>
  <c r="I1183" i="5"/>
  <c r="H1183" i="5"/>
  <c r="E1183" i="5"/>
  <c r="D1183" i="5"/>
  <c r="C1183" i="5"/>
  <c r="Q1182" i="5"/>
  <c r="P1182" i="5"/>
  <c r="O1182" i="5"/>
  <c r="J1182" i="5"/>
  <c r="I1182" i="5"/>
  <c r="H1182" i="5"/>
  <c r="E1182" i="5"/>
  <c r="D1182" i="5"/>
  <c r="C1182" i="5"/>
  <c r="Q1181" i="5"/>
  <c r="P1181" i="5"/>
  <c r="O1181" i="5"/>
  <c r="J1181" i="5"/>
  <c r="I1181" i="5"/>
  <c r="H1181" i="5"/>
  <c r="E1181" i="5"/>
  <c r="D1181" i="5"/>
  <c r="C1181" i="5"/>
  <c r="Q1180" i="5"/>
  <c r="P1180" i="5"/>
  <c r="O1180" i="5"/>
  <c r="J1180" i="5"/>
  <c r="I1180" i="5"/>
  <c r="H1180" i="5"/>
  <c r="E1180" i="5"/>
  <c r="D1180" i="5"/>
  <c r="C1180" i="5"/>
  <c r="Q1179" i="5"/>
  <c r="P1179" i="5"/>
  <c r="O1179" i="5"/>
  <c r="J1179" i="5"/>
  <c r="I1179" i="5"/>
  <c r="H1179" i="5"/>
  <c r="E1179" i="5"/>
  <c r="D1179" i="5"/>
  <c r="C1179" i="5"/>
  <c r="Q1178" i="5"/>
  <c r="P1178" i="5"/>
  <c r="O1178" i="5"/>
  <c r="J1178" i="5"/>
  <c r="I1178" i="5"/>
  <c r="H1178" i="5"/>
  <c r="E1178" i="5"/>
  <c r="D1178" i="5"/>
  <c r="C1178" i="5"/>
  <c r="Q1177" i="5"/>
  <c r="P1177" i="5"/>
  <c r="O1177" i="5"/>
  <c r="J1177" i="5"/>
  <c r="I1177" i="5"/>
  <c r="H1177" i="5"/>
  <c r="E1177" i="5"/>
  <c r="D1177" i="5"/>
  <c r="C1177" i="5"/>
  <c r="Q1176" i="5"/>
  <c r="P1176" i="5"/>
  <c r="O1176" i="5"/>
  <c r="J1176" i="5"/>
  <c r="I1176" i="5"/>
  <c r="H1176" i="5"/>
  <c r="E1176" i="5"/>
  <c r="D1176" i="5"/>
  <c r="C1176" i="5"/>
  <c r="Q1175" i="5"/>
  <c r="P1175" i="5"/>
  <c r="O1175" i="5"/>
  <c r="J1175" i="5"/>
  <c r="I1175" i="5"/>
  <c r="H1175" i="5"/>
  <c r="E1175" i="5"/>
  <c r="D1175" i="5"/>
  <c r="C1175" i="5"/>
  <c r="Q1174" i="5"/>
  <c r="P1174" i="5"/>
  <c r="O1174" i="5"/>
  <c r="J1174" i="5"/>
  <c r="I1174" i="5"/>
  <c r="H1174" i="5"/>
  <c r="E1174" i="5"/>
  <c r="D1174" i="5"/>
  <c r="C1174" i="5"/>
  <c r="Q1173" i="5"/>
  <c r="P1173" i="5"/>
  <c r="O1173" i="5"/>
  <c r="J1173" i="5"/>
  <c r="I1173" i="5"/>
  <c r="H1173" i="5"/>
  <c r="E1173" i="5"/>
  <c r="D1173" i="5"/>
  <c r="C1173" i="5"/>
  <c r="Q1172" i="5"/>
  <c r="P1172" i="5"/>
  <c r="O1172" i="5"/>
  <c r="J1172" i="5"/>
  <c r="I1172" i="5"/>
  <c r="H1172" i="5"/>
  <c r="E1172" i="5"/>
  <c r="D1172" i="5"/>
  <c r="C1172" i="5"/>
  <c r="Q1171" i="5"/>
  <c r="P1171" i="5"/>
  <c r="O1171" i="5"/>
  <c r="J1171" i="5"/>
  <c r="I1171" i="5"/>
  <c r="H1171" i="5"/>
  <c r="E1171" i="5"/>
  <c r="D1171" i="5"/>
  <c r="C1171" i="5"/>
  <c r="Q1170" i="5"/>
  <c r="P1170" i="5"/>
  <c r="O1170" i="5"/>
  <c r="J1170" i="5"/>
  <c r="I1170" i="5"/>
  <c r="H1170" i="5"/>
  <c r="E1170" i="5"/>
  <c r="D1170" i="5"/>
  <c r="C1170" i="5"/>
  <c r="Q1169" i="5"/>
  <c r="P1169" i="5"/>
  <c r="O1169" i="5"/>
  <c r="J1169" i="5"/>
  <c r="I1169" i="5"/>
  <c r="H1169" i="5"/>
  <c r="E1169" i="5"/>
  <c r="D1169" i="5"/>
  <c r="C1169" i="5"/>
  <c r="Q1168" i="5"/>
  <c r="P1168" i="5"/>
  <c r="O1168" i="5"/>
  <c r="J1168" i="5"/>
  <c r="I1168" i="5"/>
  <c r="H1168" i="5"/>
  <c r="E1168" i="5"/>
  <c r="D1168" i="5"/>
  <c r="C1168" i="5"/>
  <c r="Q1167" i="5"/>
  <c r="P1167" i="5"/>
  <c r="O1167" i="5"/>
  <c r="J1167" i="5"/>
  <c r="I1167" i="5"/>
  <c r="H1167" i="5"/>
  <c r="E1167" i="5"/>
  <c r="D1167" i="5"/>
  <c r="C1167" i="5"/>
  <c r="Q1166" i="5"/>
  <c r="P1166" i="5"/>
  <c r="O1166" i="5"/>
  <c r="J1166" i="5"/>
  <c r="I1166" i="5"/>
  <c r="H1166" i="5"/>
  <c r="E1166" i="5"/>
  <c r="D1166" i="5"/>
  <c r="C1166" i="5"/>
  <c r="Q1165" i="5"/>
  <c r="P1165" i="5"/>
  <c r="O1165" i="5"/>
  <c r="J1165" i="5"/>
  <c r="I1165" i="5"/>
  <c r="H1165" i="5"/>
  <c r="E1165" i="5"/>
  <c r="D1165" i="5"/>
  <c r="C1165" i="5"/>
  <c r="Q1164" i="5"/>
  <c r="P1164" i="5"/>
  <c r="O1164" i="5"/>
  <c r="J1164" i="5"/>
  <c r="I1164" i="5"/>
  <c r="H1164" i="5"/>
  <c r="E1164" i="5"/>
  <c r="D1164" i="5"/>
  <c r="C1164" i="5"/>
  <c r="Q1163" i="5"/>
  <c r="P1163" i="5"/>
  <c r="O1163" i="5"/>
  <c r="J1163" i="5"/>
  <c r="I1163" i="5"/>
  <c r="H1163" i="5"/>
  <c r="E1163" i="5"/>
  <c r="D1163" i="5"/>
  <c r="C1163" i="5"/>
  <c r="Q1162" i="5"/>
  <c r="P1162" i="5"/>
  <c r="O1162" i="5"/>
  <c r="J1162" i="5"/>
  <c r="I1162" i="5"/>
  <c r="H1162" i="5"/>
  <c r="E1162" i="5"/>
  <c r="D1162" i="5"/>
  <c r="C1162" i="5"/>
  <c r="Q1161" i="5"/>
  <c r="P1161" i="5"/>
  <c r="O1161" i="5"/>
  <c r="J1161" i="5"/>
  <c r="I1161" i="5"/>
  <c r="H1161" i="5"/>
  <c r="E1161" i="5"/>
  <c r="D1161" i="5"/>
  <c r="C1161" i="5"/>
  <c r="Q1160" i="5"/>
  <c r="P1160" i="5"/>
  <c r="O1160" i="5"/>
  <c r="J1160" i="5"/>
  <c r="I1160" i="5"/>
  <c r="H1160" i="5"/>
  <c r="E1160" i="5"/>
  <c r="D1160" i="5"/>
  <c r="C1160" i="5"/>
  <c r="Q1159" i="5"/>
  <c r="P1159" i="5"/>
  <c r="O1159" i="5"/>
  <c r="J1159" i="5"/>
  <c r="I1159" i="5"/>
  <c r="H1159" i="5"/>
  <c r="E1159" i="5"/>
  <c r="D1159" i="5"/>
  <c r="C1159" i="5"/>
  <c r="Q1158" i="5"/>
  <c r="P1158" i="5"/>
  <c r="O1158" i="5"/>
  <c r="J1158" i="5"/>
  <c r="I1158" i="5"/>
  <c r="H1158" i="5"/>
  <c r="E1158" i="5"/>
  <c r="D1158" i="5"/>
  <c r="C1158" i="5"/>
  <c r="Q1157" i="5"/>
  <c r="P1157" i="5"/>
  <c r="O1157" i="5"/>
  <c r="J1157" i="5"/>
  <c r="I1157" i="5"/>
  <c r="H1157" i="5"/>
  <c r="E1157" i="5"/>
  <c r="D1157" i="5"/>
  <c r="C1157" i="5"/>
  <c r="Q1156" i="5"/>
  <c r="P1156" i="5"/>
  <c r="O1156" i="5"/>
  <c r="J1156" i="5"/>
  <c r="I1156" i="5"/>
  <c r="H1156" i="5"/>
  <c r="E1156" i="5"/>
  <c r="D1156" i="5"/>
  <c r="C1156" i="5"/>
  <c r="Q1155" i="5"/>
  <c r="P1155" i="5"/>
  <c r="O1155" i="5"/>
  <c r="J1155" i="5"/>
  <c r="I1155" i="5"/>
  <c r="H1155" i="5"/>
  <c r="E1155" i="5"/>
  <c r="D1155" i="5"/>
  <c r="C1155" i="5"/>
  <c r="Q1154" i="5"/>
  <c r="P1154" i="5"/>
  <c r="O1154" i="5"/>
  <c r="J1154" i="5"/>
  <c r="I1154" i="5"/>
  <c r="H1154" i="5"/>
  <c r="E1154" i="5"/>
  <c r="D1154" i="5"/>
  <c r="C1154" i="5"/>
  <c r="Q1153" i="5"/>
  <c r="P1153" i="5"/>
  <c r="O1153" i="5"/>
  <c r="J1153" i="5"/>
  <c r="I1153" i="5"/>
  <c r="H1153" i="5"/>
  <c r="E1153" i="5"/>
  <c r="D1153" i="5"/>
  <c r="C1153" i="5"/>
  <c r="Q1152" i="5"/>
  <c r="P1152" i="5"/>
  <c r="O1152" i="5"/>
  <c r="J1152" i="5"/>
  <c r="I1152" i="5"/>
  <c r="H1152" i="5"/>
  <c r="E1152" i="5"/>
  <c r="D1152" i="5"/>
  <c r="C1152" i="5"/>
  <c r="Q1151" i="5"/>
  <c r="P1151" i="5"/>
  <c r="O1151" i="5"/>
  <c r="J1151" i="5"/>
  <c r="I1151" i="5"/>
  <c r="H1151" i="5"/>
  <c r="E1151" i="5"/>
  <c r="D1151" i="5"/>
  <c r="C1151" i="5"/>
  <c r="Q1150" i="5"/>
  <c r="P1150" i="5"/>
  <c r="O1150" i="5"/>
  <c r="J1150" i="5"/>
  <c r="I1150" i="5"/>
  <c r="H1150" i="5"/>
  <c r="E1150" i="5"/>
  <c r="D1150" i="5"/>
  <c r="C1150" i="5"/>
  <c r="Q1149" i="5"/>
  <c r="P1149" i="5"/>
  <c r="O1149" i="5"/>
  <c r="J1149" i="5"/>
  <c r="I1149" i="5"/>
  <c r="H1149" i="5"/>
  <c r="E1149" i="5"/>
  <c r="D1149" i="5"/>
  <c r="C1149" i="5"/>
  <c r="Q1148" i="5"/>
  <c r="P1148" i="5"/>
  <c r="O1148" i="5"/>
  <c r="J1148" i="5"/>
  <c r="I1148" i="5"/>
  <c r="H1148" i="5"/>
  <c r="E1148" i="5"/>
  <c r="D1148" i="5"/>
  <c r="C1148" i="5"/>
  <c r="Q1147" i="5"/>
  <c r="P1147" i="5"/>
  <c r="O1147" i="5"/>
  <c r="J1147" i="5"/>
  <c r="I1147" i="5"/>
  <c r="H1147" i="5"/>
  <c r="E1147" i="5"/>
  <c r="D1147" i="5"/>
  <c r="C1147" i="5"/>
  <c r="Q1146" i="5"/>
  <c r="P1146" i="5"/>
  <c r="O1146" i="5"/>
  <c r="J1146" i="5"/>
  <c r="I1146" i="5"/>
  <c r="H1146" i="5"/>
  <c r="E1146" i="5"/>
  <c r="D1146" i="5"/>
  <c r="C1146" i="5"/>
  <c r="Q1145" i="5"/>
  <c r="P1145" i="5"/>
  <c r="O1145" i="5"/>
  <c r="J1145" i="5"/>
  <c r="I1145" i="5"/>
  <c r="H1145" i="5"/>
  <c r="E1145" i="5"/>
  <c r="D1145" i="5"/>
  <c r="C1145" i="5"/>
  <c r="Q1144" i="5"/>
  <c r="P1144" i="5"/>
  <c r="O1144" i="5"/>
  <c r="J1144" i="5"/>
  <c r="I1144" i="5"/>
  <c r="H1144" i="5"/>
  <c r="E1144" i="5"/>
  <c r="D1144" i="5"/>
  <c r="C1144" i="5"/>
  <c r="Q1143" i="5"/>
  <c r="P1143" i="5"/>
  <c r="O1143" i="5"/>
  <c r="J1143" i="5"/>
  <c r="I1143" i="5"/>
  <c r="H1143" i="5"/>
  <c r="E1143" i="5"/>
  <c r="D1143" i="5"/>
  <c r="C1143" i="5"/>
  <c r="Q1142" i="5"/>
  <c r="P1142" i="5"/>
  <c r="O1142" i="5"/>
  <c r="J1142" i="5"/>
  <c r="I1142" i="5"/>
  <c r="H1142" i="5"/>
  <c r="E1142" i="5"/>
  <c r="D1142" i="5"/>
  <c r="C1142" i="5"/>
  <c r="Q1141" i="5"/>
  <c r="P1141" i="5"/>
  <c r="O1141" i="5"/>
  <c r="J1141" i="5"/>
  <c r="I1141" i="5"/>
  <c r="H1141" i="5"/>
  <c r="E1141" i="5"/>
  <c r="D1141" i="5"/>
  <c r="C1141" i="5"/>
  <c r="Q1140" i="5"/>
  <c r="P1140" i="5"/>
  <c r="O1140" i="5"/>
  <c r="J1140" i="5"/>
  <c r="I1140" i="5"/>
  <c r="H1140" i="5"/>
  <c r="E1140" i="5"/>
  <c r="D1140" i="5"/>
  <c r="C1140" i="5"/>
  <c r="Q1139" i="5"/>
  <c r="P1139" i="5"/>
  <c r="O1139" i="5"/>
  <c r="J1139" i="5"/>
  <c r="I1139" i="5"/>
  <c r="H1139" i="5"/>
  <c r="E1139" i="5"/>
  <c r="D1139" i="5"/>
  <c r="C1139" i="5"/>
  <c r="Q1138" i="5"/>
  <c r="P1138" i="5"/>
  <c r="O1138" i="5"/>
  <c r="J1138" i="5"/>
  <c r="I1138" i="5"/>
  <c r="H1138" i="5"/>
  <c r="E1138" i="5"/>
  <c r="D1138" i="5"/>
  <c r="C1138" i="5"/>
  <c r="Q1137" i="5"/>
  <c r="P1137" i="5"/>
  <c r="O1137" i="5"/>
  <c r="J1137" i="5"/>
  <c r="I1137" i="5"/>
  <c r="H1137" i="5"/>
  <c r="E1137" i="5"/>
  <c r="D1137" i="5"/>
  <c r="C1137" i="5"/>
  <c r="Q1136" i="5"/>
  <c r="P1136" i="5"/>
  <c r="O1136" i="5"/>
  <c r="J1136" i="5"/>
  <c r="I1136" i="5"/>
  <c r="H1136" i="5"/>
  <c r="E1136" i="5"/>
  <c r="D1136" i="5"/>
  <c r="C1136" i="5"/>
  <c r="Q1135" i="5"/>
  <c r="P1135" i="5"/>
  <c r="O1135" i="5"/>
  <c r="J1135" i="5"/>
  <c r="I1135" i="5"/>
  <c r="H1135" i="5"/>
  <c r="E1135" i="5"/>
  <c r="D1135" i="5"/>
  <c r="C1135" i="5"/>
  <c r="Q1134" i="5"/>
  <c r="P1134" i="5"/>
  <c r="O1134" i="5"/>
  <c r="J1134" i="5"/>
  <c r="I1134" i="5"/>
  <c r="H1134" i="5"/>
  <c r="E1134" i="5"/>
  <c r="D1134" i="5"/>
  <c r="C1134" i="5"/>
  <c r="Q1133" i="5"/>
  <c r="P1133" i="5"/>
  <c r="O1133" i="5"/>
  <c r="J1133" i="5"/>
  <c r="I1133" i="5"/>
  <c r="H1133" i="5"/>
  <c r="E1133" i="5"/>
  <c r="D1133" i="5"/>
  <c r="C1133" i="5"/>
  <c r="Q1132" i="5"/>
  <c r="P1132" i="5"/>
  <c r="O1132" i="5"/>
  <c r="J1132" i="5"/>
  <c r="I1132" i="5"/>
  <c r="H1132" i="5"/>
  <c r="E1132" i="5"/>
  <c r="D1132" i="5"/>
  <c r="C1132" i="5"/>
  <c r="Q1131" i="5"/>
  <c r="P1131" i="5"/>
  <c r="O1131" i="5"/>
  <c r="J1131" i="5"/>
  <c r="I1131" i="5"/>
  <c r="H1131" i="5"/>
  <c r="E1131" i="5"/>
  <c r="D1131" i="5"/>
  <c r="C1131" i="5"/>
  <c r="Q1130" i="5"/>
  <c r="P1130" i="5"/>
  <c r="O1130" i="5"/>
  <c r="J1130" i="5"/>
  <c r="I1130" i="5"/>
  <c r="H1130" i="5"/>
  <c r="E1130" i="5"/>
  <c r="D1130" i="5"/>
  <c r="C1130" i="5"/>
  <c r="Q1129" i="5"/>
  <c r="P1129" i="5"/>
  <c r="O1129" i="5"/>
  <c r="J1129" i="5"/>
  <c r="I1129" i="5"/>
  <c r="H1129" i="5"/>
  <c r="E1129" i="5"/>
  <c r="D1129" i="5"/>
  <c r="C1129" i="5"/>
  <c r="Q1128" i="5"/>
  <c r="P1128" i="5"/>
  <c r="O1128" i="5"/>
  <c r="J1128" i="5"/>
  <c r="I1128" i="5"/>
  <c r="H1128" i="5"/>
  <c r="E1128" i="5"/>
  <c r="D1128" i="5"/>
  <c r="C1128" i="5"/>
  <c r="Q1127" i="5"/>
  <c r="P1127" i="5"/>
  <c r="O1127" i="5"/>
  <c r="J1127" i="5"/>
  <c r="I1127" i="5"/>
  <c r="H1127" i="5"/>
  <c r="E1127" i="5"/>
  <c r="D1127" i="5"/>
  <c r="C1127" i="5"/>
  <c r="Q1126" i="5"/>
  <c r="P1126" i="5"/>
  <c r="O1126" i="5"/>
  <c r="J1126" i="5"/>
  <c r="I1126" i="5"/>
  <c r="H1126" i="5"/>
  <c r="E1126" i="5"/>
  <c r="D1126" i="5"/>
  <c r="C1126" i="5"/>
  <c r="Q1125" i="5"/>
  <c r="P1125" i="5"/>
  <c r="O1125" i="5"/>
  <c r="J1125" i="5"/>
  <c r="I1125" i="5"/>
  <c r="H1125" i="5"/>
  <c r="E1125" i="5"/>
  <c r="D1125" i="5"/>
  <c r="C1125" i="5"/>
  <c r="Q1124" i="5"/>
  <c r="P1124" i="5"/>
  <c r="O1124" i="5"/>
  <c r="J1124" i="5"/>
  <c r="I1124" i="5"/>
  <c r="H1124" i="5"/>
  <c r="E1124" i="5"/>
  <c r="D1124" i="5"/>
  <c r="C1124" i="5"/>
  <c r="Q1123" i="5"/>
  <c r="P1123" i="5"/>
  <c r="O1123" i="5"/>
  <c r="J1123" i="5"/>
  <c r="I1123" i="5"/>
  <c r="H1123" i="5"/>
  <c r="E1123" i="5"/>
  <c r="D1123" i="5"/>
  <c r="C1123" i="5"/>
  <c r="Q1122" i="5"/>
  <c r="P1122" i="5"/>
  <c r="O1122" i="5"/>
  <c r="J1122" i="5"/>
  <c r="I1122" i="5"/>
  <c r="H1122" i="5"/>
  <c r="E1122" i="5"/>
  <c r="D1122" i="5"/>
  <c r="C1122" i="5"/>
  <c r="Q1121" i="5"/>
  <c r="P1121" i="5"/>
  <c r="O1121" i="5"/>
  <c r="J1121" i="5"/>
  <c r="I1121" i="5"/>
  <c r="H1121" i="5"/>
  <c r="E1121" i="5"/>
  <c r="D1121" i="5"/>
  <c r="C1121" i="5"/>
  <c r="Q1120" i="5"/>
  <c r="P1120" i="5"/>
  <c r="O1120" i="5"/>
  <c r="J1120" i="5"/>
  <c r="I1120" i="5"/>
  <c r="H1120" i="5"/>
  <c r="E1120" i="5"/>
  <c r="D1120" i="5"/>
  <c r="C1120" i="5"/>
  <c r="Q1119" i="5"/>
  <c r="P1119" i="5"/>
  <c r="O1119" i="5"/>
  <c r="J1119" i="5"/>
  <c r="I1119" i="5"/>
  <c r="H1119" i="5"/>
  <c r="E1119" i="5"/>
  <c r="D1119" i="5"/>
  <c r="C1119" i="5"/>
  <c r="Q1118" i="5"/>
  <c r="P1118" i="5"/>
  <c r="O1118" i="5"/>
  <c r="J1118" i="5"/>
  <c r="I1118" i="5"/>
  <c r="H1118" i="5"/>
  <c r="E1118" i="5"/>
  <c r="D1118" i="5"/>
  <c r="C1118" i="5"/>
  <c r="Q1117" i="5"/>
  <c r="P1117" i="5"/>
  <c r="O1117" i="5"/>
  <c r="J1117" i="5"/>
  <c r="I1117" i="5"/>
  <c r="H1117" i="5"/>
  <c r="E1117" i="5"/>
  <c r="D1117" i="5"/>
  <c r="C1117" i="5"/>
  <c r="Q1116" i="5"/>
  <c r="P1116" i="5"/>
  <c r="O1116" i="5"/>
  <c r="J1116" i="5"/>
  <c r="I1116" i="5"/>
  <c r="H1116" i="5"/>
  <c r="E1116" i="5"/>
  <c r="D1116" i="5"/>
  <c r="C1116" i="5"/>
  <c r="Q1115" i="5"/>
  <c r="P1115" i="5"/>
  <c r="O1115" i="5"/>
  <c r="J1115" i="5"/>
  <c r="I1115" i="5"/>
  <c r="H1115" i="5"/>
  <c r="E1115" i="5"/>
  <c r="D1115" i="5"/>
  <c r="C1115" i="5"/>
  <c r="Q1114" i="5"/>
  <c r="P1114" i="5"/>
  <c r="O1114" i="5"/>
  <c r="J1114" i="5"/>
  <c r="I1114" i="5"/>
  <c r="H1114" i="5"/>
  <c r="E1114" i="5"/>
  <c r="D1114" i="5"/>
  <c r="C1114" i="5"/>
  <c r="Q1113" i="5"/>
  <c r="P1113" i="5"/>
  <c r="O1113" i="5"/>
  <c r="J1113" i="5"/>
  <c r="I1113" i="5"/>
  <c r="H1113" i="5"/>
  <c r="E1113" i="5"/>
  <c r="D1113" i="5"/>
  <c r="C1113" i="5"/>
  <c r="Q1112" i="5"/>
  <c r="P1112" i="5"/>
  <c r="O1112" i="5"/>
  <c r="J1112" i="5"/>
  <c r="I1112" i="5"/>
  <c r="H1112" i="5"/>
  <c r="E1112" i="5"/>
  <c r="D1112" i="5"/>
  <c r="C1112" i="5"/>
  <c r="Q1111" i="5"/>
  <c r="P1111" i="5"/>
  <c r="O1111" i="5"/>
  <c r="J1111" i="5"/>
  <c r="I1111" i="5"/>
  <c r="H1111" i="5"/>
  <c r="E1111" i="5"/>
  <c r="D1111" i="5"/>
  <c r="C1111" i="5"/>
  <c r="Q1110" i="5"/>
  <c r="P1110" i="5"/>
  <c r="O1110" i="5"/>
  <c r="J1110" i="5"/>
  <c r="I1110" i="5"/>
  <c r="H1110" i="5"/>
  <c r="E1110" i="5"/>
  <c r="D1110" i="5"/>
  <c r="C1110" i="5"/>
  <c r="Q1109" i="5"/>
  <c r="P1109" i="5"/>
  <c r="O1109" i="5"/>
  <c r="J1109" i="5"/>
  <c r="I1109" i="5"/>
  <c r="H1109" i="5"/>
  <c r="E1109" i="5"/>
  <c r="D1109" i="5"/>
  <c r="C1109" i="5"/>
  <c r="Q1108" i="5"/>
  <c r="P1108" i="5"/>
  <c r="O1108" i="5"/>
  <c r="J1108" i="5"/>
  <c r="I1108" i="5"/>
  <c r="H1108" i="5"/>
  <c r="E1108" i="5"/>
  <c r="D1108" i="5"/>
  <c r="C1108" i="5"/>
  <c r="Q1107" i="5"/>
  <c r="P1107" i="5"/>
  <c r="O1107" i="5"/>
  <c r="J1107" i="5"/>
  <c r="I1107" i="5"/>
  <c r="H1107" i="5"/>
  <c r="E1107" i="5"/>
  <c r="D1107" i="5"/>
  <c r="C1107" i="5"/>
  <c r="Q1106" i="5"/>
  <c r="P1106" i="5"/>
  <c r="O1106" i="5"/>
  <c r="J1106" i="5"/>
  <c r="I1106" i="5"/>
  <c r="H1106" i="5"/>
  <c r="E1106" i="5"/>
  <c r="D1106" i="5"/>
  <c r="C1106" i="5"/>
  <c r="Q1105" i="5"/>
  <c r="P1105" i="5"/>
  <c r="O1105" i="5"/>
  <c r="J1105" i="5"/>
  <c r="I1105" i="5"/>
  <c r="H1105" i="5"/>
  <c r="E1105" i="5"/>
  <c r="D1105" i="5"/>
  <c r="C1105" i="5"/>
  <c r="Q1104" i="5"/>
  <c r="P1104" i="5"/>
  <c r="O1104" i="5"/>
  <c r="J1104" i="5"/>
  <c r="I1104" i="5"/>
  <c r="H1104" i="5"/>
  <c r="E1104" i="5"/>
  <c r="D1104" i="5"/>
  <c r="C1104" i="5"/>
  <c r="Q1103" i="5"/>
  <c r="P1103" i="5"/>
  <c r="O1103" i="5"/>
  <c r="J1103" i="5"/>
  <c r="I1103" i="5"/>
  <c r="H1103" i="5"/>
  <c r="E1103" i="5"/>
  <c r="D1103" i="5"/>
  <c r="C1103" i="5"/>
  <c r="Q1102" i="5"/>
  <c r="P1102" i="5"/>
  <c r="O1102" i="5"/>
  <c r="J1102" i="5"/>
  <c r="I1102" i="5"/>
  <c r="H1102" i="5"/>
  <c r="E1102" i="5"/>
  <c r="D1102" i="5"/>
  <c r="C1102" i="5"/>
  <c r="Q1101" i="5"/>
  <c r="P1101" i="5"/>
  <c r="O1101" i="5"/>
  <c r="J1101" i="5"/>
  <c r="I1101" i="5"/>
  <c r="H1101" i="5"/>
  <c r="E1101" i="5"/>
  <c r="D1101" i="5"/>
  <c r="C1101" i="5"/>
  <c r="Q1100" i="5"/>
  <c r="P1100" i="5"/>
  <c r="O1100" i="5"/>
  <c r="J1100" i="5"/>
  <c r="I1100" i="5"/>
  <c r="H1100" i="5"/>
  <c r="E1100" i="5"/>
  <c r="D1100" i="5"/>
  <c r="C1100" i="5"/>
  <c r="Q1099" i="5"/>
  <c r="P1099" i="5"/>
  <c r="O1099" i="5"/>
  <c r="J1099" i="5"/>
  <c r="I1099" i="5"/>
  <c r="H1099" i="5"/>
  <c r="E1099" i="5"/>
  <c r="D1099" i="5"/>
  <c r="C1099" i="5"/>
  <c r="Q1098" i="5"/>
  <c r="P1098" i="5"/>
  <c r="O1098" i="5"/>
  <c r="J1098" i="5"/>
  <c r="I1098" i="5"/>
  <c r="H1098" i="5"/>
  <c r="E1098" i="5"/>
  <c r="D1098" i="5"/>
  <c r="C1098" i="5"/>
  <c r="Q1097" i="5"/>
  <c r="P1097" i="5"/>
  <c r="O1097" i="5"/>
  <c r="J1097" i="5"/>
  <c r="I1097" i="5"/>
  <c r="H1097" i="5"/>
  <c r="E1097" i="5"/>
  <c r="D1097" i="5"/>
  <c r="C1097" i="5"/>
  <c r="Q1096" i="5"/>
  <c r="P1096" i="5"/>
  <c r="O1096" i="5"/>
  <c r="J1096" i="5"/>
  <c r="I1096" i="5"/>
  <c r="H1096" i="5"/>
  <c r="E1096" i="5"/>
  <c r="D1096" i="5"/>
  <c r="C1096" i="5"/>
  <c r="Q1095" i="5"/>
  <c r="P1095" i="5"/>
  <c r="O1095" i="5"/>
  <c r="J1095" i="5"/>
  <c r="I1095" i="5"/>
  <c r="H1095" i="5"/>
  <c r="E1095" i="5"/>
  <c r="D1095" i="5"/>
  <c r="C1095" i="5"/>
  <c r="Q1094" i="5"/>
  <c r="P1094" i="5"/>
  <c r="O1094" i="5"/>
  <c r="J1094" i="5"/>
  <c r="I1094" i="5"/>
  <c r="H1094" i="5"/>
  <c r="E1094" i="5"/>
  <c r="D1094" i="5"/>
  <c r="C1094" i="5"/>
  <c r="Q1093" i="5"/>
  <c r="P1093" i="5"/>
  <c r="O1093" i="5"/>
  <c r="J1093" i="5"/>
  <c r="I1093" i="5"/>
  <c r="H1093" i="5"/>
  <c r="E1093" i="5"/>
  <c r="D1093" i="5"/>
  <c r="C1093" i="5"/>
  <c r="Q1092" i="5"/>
  <c r="P1092" i="5"/>
  <c r="O1092" i="5"/>
  <c r="J1092" i="5"/>
  <c r="I1092" i="5"/>
  <c r="H1092" i="5"/>
  <c r="E1092" i="5"/>
  <c r="D1092" i="5"/>
  <c r="C1092" i="5"/>
  <c r="Q1091" i="5"/>
  <c r="P1091" i="5"/>
  <c r="O1091" i="5"/>
  <c r="J1091" i="5"/>
  <c r="I1091" i="5"/>
  <c r="H1091" i="5"/>
  <c r="E1091" i="5"/>
  <c r="D1091" i="5"/>
  <c r="C1091" i="5"/>
  <c r="Q1090" i="5"/>
  <c r="P1090" i="5"/>
  <c r="O1090" i="5"/>
  <c r="J1090" i="5"/>
  <c r="I1090" i="5"/>
  <c r="H1090" i="5"/>
  <c r="E1090" i="5"/>
  <c r="D1090" i="5"/>
  <c r="C1090" i="5"/>
  <c r="Q1089" i="5"/>
  <c r="P1089" i="5"/>
  <c r="O1089" i="5"/>
  <c r="J1089" i="5"/>
  <c r="I1089" i="5"/>
  <c r="H1089" i="5"/>
  <c r="E1089" i="5"/>
  <c r="D1089" i="5"/>
  <c r="C1089" i="5"/>
  <c r="Q1088" i="5"/>
  <c r="P1088" i="5"/>
  <c r="O1088" i="5"/>
  <c r="J1088" i="5"/>
  <c r="I1088" i="5"/>
  <c r="H1088" i="5"/>
  <c r="E1088" i="5"/>
  <c r="D1088" i="5"/>
  <c r="C1088" i="5"/>
  <c r="Q1087" i="5"/>
  <c r="P1087" i="5"/>
  <c r="O1087" i="5"/>
  <c r="J1087" i="5"/>
  <c r="I1087" i="5"/>
  <c r="H1087" i="5"/>
  <c r="E1087" i="5"/>
  <c r="D1087" i="5"/>
  <c r="C1087" i="5"/>
  <c r="Q1086" i="5"/>
  <c r="P1086" i="5"/>
  <c r="O1086" i="5"/>
  <c r="J1086" i="5"/>
  <c r="I1086" i="5"/>
  <c r="H1086" i="5"/>
  <c r="E1086" i="5"/>
  <c r="D1086" i="5"/>
  <c r="C1086" i="5"/>
  <c r="Q1085" i="5"/>
  <c r="P1085" i="5"/>
  <c r="O1085" i="5"/>
  <c r="J1085" i="5"/>
  <c r="I1085" i="5"/>
  <c r="H1085" i="5"/>
  <c r="E1085" i="5"/>
  <c r="D1085" i="5"/>
  <c r="C1085" i="5"/>
  <c r="Q1084" i="5"/>
  <c r="P1084" i="5"/>
  <c r="O1084" i="5"/>
  <c r="J1084" i="5"/>
  <c r="I1084" i="5"/>
  <c r="H1084" i="5"/>
  <c r="E1084" i="5"/>
  <c r="D1084" i="5"/>
  <c r="C1084" i="5"/>
  <c r="Q1083" i="5"/>
  <c r="P1083" i="5"/>
  <c r="O1083" i="5"/>
  <c r="J1083" i="5"/>
  <c r="I1083" i="5"/>
  <c r="H1083" i="5"/>
  <c r="E1083" i="5"/>
  <c r="D1083" i="5"/>
  <c r="C1083" i="5"/>
  <c r="Q1082" i="5"/>
  <c r="P1082" i="5"/>
  <c r="O1082" i="5"/>
  <c r="J1082" i="5"/>
  <c r="I1082" i="5"/>
  <c r="H1082" i="5"/>
  <c r="E1082" i="5"/>
  <c r="D1082" i="5"/>
  <c r="C1082" i="5"/>
  <c r="Q1081" i="5"/>
  <c r="P1081" i="5"/>
  <c r="O1081" i="5"/>
  <c r="J1081" i="5"/>
  <c r="I1081" i="5"/>
  <c r="H1081" i="5"/>
  <c r="E1081" i="5"/>
  <c r="D1081" i="5"/>
  <c r="C1081" i="5"/>
  <c r="Q1080" i="5"/>
  <c r="P1080" i="5"/>
  <c r="O1080" i="5"/>
  <c r="J1080" i="5"/>
  <c r="I1080" i="5"/>
  <c r="H1080" i="5"/>
  <c r="E1080" i="5"/>
  <c r="D1080" i="5"/>
  <c r="C1080" i="5"/>
  <c r="Q1079" i="5"/>
  <c r="P1079" i="5"/>
  <c r="O1079" i="5"/>
  <c r="J1079" i="5"/>
  <c r="I1079" i="5"/>
  <c r="H1079" i="5"/>
  <c r="E1079" i="5"/>
  <c r="D1079" i="5"/>
  <c r="C1079" i="5"/>
  <c r="Q1078" i="5"/>
  <c r="P1078" i="5"/>
  <c r="O1078" i="5"/>
  <c r="J1078" i="5"/>
  <c r="I1078" i="5"/>
  <c r="H1078" i="5"/>
  <c r="E1078" i="5"/>
  <c r="D1078" i="5"/>
  <c r="C1078" i="5"/>
  <c r="Q1077" i="5"/>
  <c r="P1077" i="5"/>
  <c r="O1077" i="5"/>
  <c r="J1077" i="5"/>
  <c r="I1077" i="5"/>
  <c r="H1077" i="5"/>
  <c r="E1077" i="5"/>
  <c r="D1077" i="5"/>
  <c r="C1077" i="5"/>
  <c r="Q1076" i="5"/>
  <c r="P1076" i="5"/>
  <c r="O1076" i="5"/>
  <c r="J1076" i="5"/>
  <c r="I1076" i="5"/>
  <c r="H1076" i="5"/>
  <c r="E1076" i="5"/>
  <c r="D1076" i="5"/>
  <c r="C1076" i="5"/>
  <c r="Q1075" i="5"/>
  <c r="P1075" i="5"/>
  <c r="O1075" i="5"/>
  <c r="J1075" i="5"/>
  <c r="I1075" i="5"/>
  <c r="H1075" i="5"/>
  <c r="E1075" i="5"/>
  <c r="D1075" i="5"/>
  <c r="C1075" i="5"/>
  <c r="Q1074" i="5"/>
  <c r="P1074" i="5"/>
  <c r="O1074" i="5"/>
  <c r="J1074" i="5"/>
  <c r="I1074" i="5"/>
  <c r="H1074" i="5"/>
  <c r="E1074" i="5"/>
  <c r="D1074" i="5"/>
  <c r="C1074" i="5"/>
  <c r="Q1073" i="5"/>
  <c r="P1073" i="5"/>
  <c r="O1073" i="5"/>
  <c r="J1073" i="5"/>
  <c r="I1073" i="5"/>
  <c r="H1073" i="5"/>
  <c r="E1073" i="5"/>
  <c r="D1073" i="5"/>
  <c r="C1073" i="5"/>
  <c r="Q1072" i="5"/>
  <c r="P1072" i="5"/>
  <c r="O1072" i="5"/>
  <c r="J1072" i="5"/>
  <c r="I1072" i="5"/>
  <c r="H1072" i="5"/>
  <c r="E1072" i="5"/>
  <c r="D1072" i="5"/>
  <c r="C1072" i="5"/>
  <c r="Q1071" i="5"/>
  <c r="P1071" i="5"/>
  <c r="O1071" i="5"/>
  <c r="J1071" i="5"/>
  <c r="I1071" i="5"/>
  <c r="H1071" i="5"/>
  <c r="E1071" i="5"/>
  <c r="D1071" i="5"/>
  <c r="C1071" i="5"/>
  <c r="Q1070" i="5"/>
  <c r="P1070" i="5"/>
  <c r="O1070" i="5"/>
  <c r="J1070" i="5"/>
  <c r="I1070" i="5"/>
  <c r="H1070" i="5"/>
  <c r="E1070" i="5"/>
  <c r="D1070" i="5"/>
  <c r="C1070" i="5"/>
  <c r="Q1069" i="5"/>
  <c r="P1069" i="5"/>
  <c r="O1069" i="5"/>
  <c r="J1069" i="5"/>
  <c r="I1069" i="5"/>
  <c r="H1069" i="5"/>
  <c r="E1069" i="5"/>
  <c r="D1069" i="5"/>
  <c r="C1069" i="5"/>
  <c r="Q1068" i="5"/>
  <c r="P1068" i="5"/>
  <c r="O1068" i="5"/>
  <c r="J1068" i="5"/>
  <c r="I1068" i="5"/>
  <c r="H1068" i="5"/>
  <c r="E1068" i="5"/>
  <c r="D1068" i="5"/>
  <c r="C1068" i="5"/>
  <c r="Q1067" i="5"/>
  <c r="P1067" i="5"/>
  <c r="O1067" i="5"/>
  <c r="J1067" i="5"/>
  <c r="I1067" i="5"/>
  <c r="H1067" i="5"/>
  <c r="E1067" i="5"/>
  <c r="D1067" i="5"/>
  <c r="C1067" i="5"/>
  <c r="Q1066" i="5"/>
  <c r="P1066" i="5"/>
  <c r="O1066" i="5"/>
  <c r="J1066" i="5"/>
  <c r="I1066" i="5"/>
  <c r="H1066" i="5"/>
  <c r="E1066" i="5"/>
  <c r="D1066" i="5"/>
  <c r="C1066" i="5"/>
  <c r="Q1065" i="5"/>
  <c r="P1065" i="5"/>
  <c r="O1065" i="5"/>
  <c r="J1065" i="5"/>
  <c r="I1065" i="5"/>
  <c r="H1065" i="5"/>
  <c r="E1065" i="5"/>
  <c r="D1065" i="5"/>
  <c r="C1065" i="5"/>
  <c r="Q1064" i="5"/>
  <c r="P1064" i="5"/>
  <c r="O1064" i="5"/>
  <c r="J1064" i="5"/>
  <c r="I1064" i="5"/>
  <c r="H1064" i="5"/>
  <c r="E1064" i="5"/>
  <c r="D1064" i="5"/>
  <c r="C1064" i="5"/>
  <c r="Q1063" i="5"/>
  <c r="P1063" i="5"/>
  <c r="O1063" i="5"/>
  <c r="J1063" i="5"/>
  <c r="I1063" i="5"/>
  <c r="H1063" i="5"/>
  <c r="E1063" i="5"/>
  <c r="D1063" i="5"/>
  <c r="C1063" i="5"/>
  <c r="Q1062" i="5"/>
  <c r="P1062" i="5"/>
  <c r="O1062" i="5"/>
  <c r="J1062" i="5"/>
  <c r="I1062" i="5"/>
  <c r="H1062" i="5"/>
  <c r="E1062" i="5"/>
  <c r="D1062" i="5"/>
  <c r="C1062" i="5"/>
  <c r="Q1061" i="5"/>
  <c r="P1061" i="5"/>
  <c r="O1061" i="5"/>
  <c r="J1061" i="5"/>
  <c r="I1061" i="5"/>
  <c r="H1061" i="5"/>
  <c r="E1061" i="5"/>
  <c r="D1061" i="5"/>
  <c r="C1061" i="5"/>
  <c r="Q1060" i="5"/>
  <c r="P1060" i="5"/>
  <c r="O1060" i="5"/>
  <c r="J1060" i="5"/>
  <c r="I1060" i="5"/>
  <c r="H1060" i="5"/>
  <c r="E1060" i="5"/>
  <c r="D1060" i="5"/>
  <c r="C1060" i="5"/>
  <c r="Q1059" i="5"/>
  <c r="P1059" i="5"/>
  <c r="O1059" i="5"/>
  <c r="J1059" i="5"/>
  <c r="I1059" i="5"/>
  <c r="H1059" i="5"/>
  <c r="E1059" i="5"/>
  <c r="D1059" i="5"/>
  <c r="C1059" i="5"/>
  <c r="Q1058" i="5"/>
  <c r="P1058" i="5"/>
  <c r="O1058" i="5"/>
  <c r="J1058" i="5"/>
  <c r="I1058" i="5"/>
  <c r="H1058" i="5"/>
  <c r="E1058" i="5"/>
  <c r="D1058" i="5"/>
  <c r="C1058" i="5"/>
  <c r="Q1057" i="5"/>
  <c r="P1057" i="5"/>
  <c r="O1057" i="5"/>
  <c r="J1057" i="5"/>
  <c r="I1057" i="5"/>
  <c r="H1057" i="5"/>
  <c r="E1057" i="5"/>
  <c r="D1057" i="5"/>
  <c r="C1057" i="5"/>
  <c r="Q1056" i="5"/>
  <c r="P1056" i="5"/>
  <c r="O1056" i="5"/>
  <c r="J1056" i="5"/>
  <c r="I1056" i="5"/>
  <c r="H1056" i="5"/>
  <c r="E1056" i="5"/>
  <c r="D1056" i="5"/>
  <c r="C1056" i="5"/>
  <c r="Q1055" i="5"/>
  <c r="P1055" i="5"/>
  <c r="O1055" i="5"/>
  <c r="J1055" i="5"/>
  <c r="I1055" i="5"/>
  <c r="H1055" i="5"/>
  <c r="E1055" i="5"/>
  <c r="D1055" i="5"/>
  <c r="C1055" i="5"/>
  <c r="Q1054" i="5"/>
  <c r="P1054" i="5"/>
  <c r="O1054" i="5"/>
  <c r="J1054" i="5"/>
  <c r="I1054" i="5"/>
  <c r="H1054" i="5"/>
  <c r="E1054" i="5"/>
  <c r="D1054" i="5"/>
  <c r="C1054" i="5"/>
  <c r="Q1053" i="5"/>
  <c r="P1053" i="5"/>
  <c r="O1053" i="5"/>
  <c r="J1053" i="5"/>
  <c r="I1053" i="5"/>
  <c r="H1053" i="5"/>
  <c r="E1053" i="5"/>
  <c r="D1053" i="5"/>
  <c r="C1053" i="5"/>
  <c r="Q1052" i="5"/>
  <c r="P1052" i="5"/>
  <c r="O1052" i="5"/>
  <c r="J1052" i="5"/>
  <c r="I1052" i="5"/>
  <c r="H1052" i="5"/>
  <c r="E1052" i="5"/>
  <c r="D1052" i="5"/>
  <c r="C1052" i="5"/>
  <c r="Q1051" i="5"/>
  <c r="P1051" i="5"/>
  <c r="O1051" i="5"/>
  <c r="J1051" i="5"/>
  <c r="I1051" i="5"/>
  <c r="H1051" i="5"/>
  <c r="E1051" i="5"/>
  <c r="D1051" i="5"/>
  <c r="C1051" i="5"/>
  <c r="Q1050" i="5"/>
  <c r="P1050" i="5"/>
  <c r="O1050" i="5"/>
  <c r="J1050" i="5"/>
  <c r="I1050" i="5"/>
  <c r="H1050" i="5"/>
  <c r="E1050" i="5"/>
  <c r="D1050" i="5"/>
  <c r="C1050" i="5"/>
  <c r="Q1049" i="5"/>
  <c r="P1049" i="5"/>
  <c r="O1049" i="5"/>
  <c r="J1049" i="5"/>
  <c r="I1049" i="5"/>
  <c r="H1049" i="5"/>
  <c r="E1049" i="5"/>
  <c r="D1049" i="5"/>
  <c r="C1049" i="5"/>
  <c r="Q1048" i="5"/>
  <c r="P1048" i="5"/>
  <c r="O1048" i="5"/>
  <c r="J1048" i="5"/>
  <c r="I1048" i="5"/>
  <c r="H1048" i="5"/>
  <c r="E1048" i="5"/>
  <c r="D1048" i="5"/>
  <c r="C1048" i="5"/>
  <c r="Q1047" i="5"/>
  <c r="P1047" i="5"/>
  <c r="O1047" i="5"/>
  <c r="J1047" i="5"/>
  <c r="I1047" i="5"/>
  <c r="H1047" i="5"/>
  <c r="E1047" i="5"/>
  <c r="D1047" i="5"/>
  <c r="C1047" i="5"/>
  <c r="Q1046" i="5"/>
  <c r="P1046" i="5"/>
  <c r="O1046" i="5"/>
  <c r="J1046" i="5"/>
  <c r="I1046" i="5"/>
  <c r="H1046" i="5"/>
  <c r="E1046" i="5"/>
  <c r="D1046" i="5"/>
  <c r="C1046" i="5"/>
  <c r="Q1045" i="5"/>
  <c r="P1045" i="5"/>
  <c r="O1045" i="5"/>
  <c r="J1045" i="5"/>
  <c r="I1045" i="5"/>
  <c r="H1045" i="5"/>
  <c r="E1045" i="5"/>
  <c r="D1045" i="5"/>
  <c r="C1045" i="5"/>
  <c r="Q1044" i="5"/>
  <c r="P1044" i="5"/>
  <c r="O1044" i="5"/>
  <c r="J1044" i="5"/>
  <c r="I1044" i="5"/>
  <c r="H1044" i="5"/>
  <c r="E1044" i="5"/>
  <c r="D1044" i="5"/>
  <c r="C1044" i="5"/>
  <c r="Q1043" i="5"/>
  <c r="P1043" i="5"/>
  <c r="O1043" i="5"/>
  <c r="J1043" i="5"/>
  <c r="I1043" i="5"/>
  <c r="H1043" i="5"/>
  <c r="E1043" i="5"/>
  <c r="D1043" i="5"/>
  <c r="C1043" i="5"/>
  <c r="Q1042" i="5"/>
  <c r="P1042" i="5"/>
  <c r="O1042" i="5"/>
  <c r="J1042" i="5"/>
  <c r="I1042" i="5"/>
  <c r="H1042" i="5"/>
  <c r="E1042" i="5"/>
  <c r="D1042" i="5"/>
  <c r="C1042" i="5"/>
  <c r="Q1041" i="5"/>
  <c r="P1041" i="5"/>
  <c r="O1041" i="5"/>
  <c r="J1041" i="5"/>
  <c r="I1041" i="5"/>
  <c r="H1041" i="5"/>
  <c r="E1041" i="5"/>
  <c r="D1041" i="5"/>
  <c r="C1041" i="5"/>
  <c r="Q1040" i="5"/>
  <c r="P1040" i="5"/>
  <c r="O1040" i="5"/>
  <c r="J1040" i="5"/>
  <c r="I1040" i="5"/>
  <c r="H1040" i="5"/>
  <c r="E1040" i="5"/>
  <c r="D1040" i="5"/>
  <c r="C1040" i="5"/>
  <c r="Q1039" i="5"/>
  <c r="P1039" i="5"/>
  <c r="O1039" i="5"/>
  <c r="J1039" i="5"/>
  <c r="I1039" i="5"/>
  <c r="H1039" i="5"/>
  <c r="E1039" i="5"/>
  <c r="D1039" i="5"/>
  <c r="C1039" i="5"/>
  <c r="Q1038" i="5"/>
  <c r="P1038" i="5"/>
  <c r="O1038" i="5"/>
  <c r="J1038" i="5"/>
  <c r="I1038" i="5"/>
  <c r="H1038" i="5"/>
  <c r="E1038" i="5"/>
  <c r="D1038" i="5"/>
  <c r="C1038" i="5"/>
  <c r="Q1037" i="5"/>
  <c r="P1037" i="5"/>
  <c r="O1037" i="5"/>
  <c r="J1037" i="5"/>
  <c r="I1037" i="5"/>
  <c r="H1037" i="5"/>
  <c r="E1037" i="5"/>
  <c r="D1037" i="5"/>
  <c r="C1037" i="5"/>
  <c r="Q1036" i="5"/>
  <c r="P1036" i="5"/>
  <c r="O1036" i="5"/>
  <c r="J1036" i="5"/>
  <c r="I1036" i="5"/>
  <c r="H1036" i="5"/>
  <c r="E1036" i="5"/>
  <c r="D1036" i="5"/>
  <c r="C1036" i="5"/>
  <c r="Q1035" i="5"/>
  <c r="P1035" i="5"/>
  <c r="O1035" i="5"/>
  <c r="J1035" i="5"/>
  <c r="I1035" i="5"/>
  <c r="H1035" i="5"/>
  <c r="E1035" i="5"/>
  <c r="D1035" i="5"/>
  <c r="C1035" i="5"/>
  <c r="Q1034" i="5"/>
  <c r="P1034" i="5"/>
  <c r="O1034" i="5"/>
  <c r="J1034" i="5"/>
  <c r="I1034" i="5"/>
  <c r="H1034" i="5"/>
  <c r="E1034" i="5"/>
  <c r="D1034" i="5"/>
  <c r="C1034" i="5"/>
  <c r="Q1033" i="5"/>
  <c r="P1033" i="5"/>
  <c r="O1033" i="5"/>
  <c r="J1033" i="5"/>
  <c r="I1033" i="5"/>
  <c r="H1033" i="5"/>
  <c r="E1033" i="5"/>
  <c r="D1033" i="5"/>
  <c r="C1033" i="5"/>
  <c r="Q1032" i="5"/>
  <c r="P1032" i="5"/>
  <c r="O1032" i="5"/>
  <c r="J1032" i="5"/>
  <c r="I1032" i="5"/>
  <c r="H1032" i="5"/>
  <c r="E1032" i="5"/>
  <c r="D1032" i="5"/>
  <c r="C1032" i="5"/>
  <c r="Q1031" i="5"/>
  <c r="P1031" i="5"/>
  <c r="O1031" i="5"/>
  <c r="J1031" i="5"/>
  <c r="I1031" i="5"/>
  <c r="H1031" i="5"/>
  <c r="E1031" i="5"/>
  <c r="D1031" i="5"/>
  <c r="C1031" i="5"/>
  <c r="Q1030" i="5"/>
  <c r="P1030" i="5"/>
  <c r="O1030" i="5"/>
  <c r="J1030" i="5"/>
  <c r="I1030" i="5"/>
  <c r="H1030" i="5"/>
  <c r="E1030" i="5"/>
  <c r="D1030" i="5"/>
  <c r="C1030" i="5"/>
  <c r="Q1029" i="5"/>
  <c r="P1029" i="5"/>
  <c r="O1029" i="5"/>
  <c r="J1029" i="5"/>
  <c r="I1029" i="5"/>
  <c r="H1029" i="5"/>
  <c r="E1029" i="5"/>
  <c r="D1029" i="5"/>
  <c r="C1029" i="5"/>
  <c r="Q1028" i="5"/>
  <c r="P1028" i="5"/>
  <c r="O1028" i="5"/>
  <c r="J1028" i="5"/>
  <c r="I1028" i="5"/>
  <c r="H1028" i="5"/>
  <c r="E1028" i="5"/>
  <c r="D1028" i="5"/>
  <c r="C1028" i="5"/>
  <c r="Q1027" i="5"/>
  <c r="P1027" i="5"/>
  <c r="O1027" i="5"/>
  <c r="J1027" i="5"/>
  <c r="I1027" i="5"/>
  <c r="H1027" i="5"/>
  <c r="E1027" i="5"/>
  <c r="D1027" i="5"/>
  <c r="C1027" i="5"/>
  <c r="Q1026" i="5"/>
  <c r="P1026" i="5"/>
  <c r="O1026" i="5"/>
  <c r="J1026" i="5"/>
  <c r="I1026" i="5"/>
  <c r="H1026" i="5"/>
  <c r="E1026" i="5"/>
  <c r="D1026" i="5"/>
  <c r="C1026" i="5"/>
  <c r="Q1025" i="5"/>
  <c r="P1025" i="5"/>
  <c r="O1025" i="5"/>
  <c r="J1025" i="5"/>
  <c r="I1025" i="5"/>
  <c r="H1025" i="5"/>
  <c r="E1025" i="5"/>
  <c r="D1025" i="5"/>
  <c r="C1025" i="5"/>
  <c r="Q1024" i="5"/>
  <c r="P1024" i="5"/>
  <c r="O1024" i="5"/>
  <c r="J1024" i="5"/>
  <c r="I1024" i="5"/>
  <c r="H1024" i="5"/>
  <c r="E1024" i="5"/>
  <c r="D1024" i="5"/>
  <c r="C1024" i="5"/>
  <c r="Q1023" i="5"/>
  <c r="P1023" i="5"/>
  <c r="O1023" i="5"/>
  <c r="J1023" i="5"/>
  <c r="I1023" i="5"/>
  <c r="H1023" i="5"/>
  <c r="E1023" i="5"/>
  <c r="D1023" i="5"/>
  <c r="C1023" i="5"/>
  <c r="Q1022" i="5"/>
  <c r="P1022" i="5"/>
  <c r="O1022" i="5"/>
  <c r="J1022" i="5"/>
  <c r="I1022" i="5"/>
  <c r="H1022" i="5"/>
  <c r="E1022" i="5"/>
  <c r="D1022" i="5"/>
  <c r="C1022" i="5"/>
  <c r="Q1021" i="5"/>
  <c r="P1021" i="5"/>
  <c r="O1021" i="5"/>
  <c r="J1021" i="5"/>
  <c r="I1021" i="5"/>
  <c r="H1021" i="5"/>
  <c r="E1021" i="5"/>
  <c r="D1021" i="5"/>
  <c r="C1021" i="5"/>
  <c r="Q1020" i="5"/>
  <c r="P1020" i="5"/>
  <c r="O1020" i="5"/>
  <c r="J1020" i="5"/>
  <c r="I1020" i="5"/>
  <c r="H1020" i="5"/>
  <c r="E1020" i="5"/>
  <c r="D1020" i="5"/>
  <c r="C1020" i="5"/>
  <c r="Q1019" i="5"/>
  <c r="P1019" i="5"/>
  <c r="O1019" i="5"/>
  <c r="J1019" i="5"/>
  <c r="I1019" i="5"/>
  <c r="H1019" i="5"/>
  <c r="E1019" i="5"/>
  <c r="D1019" i="5"/>
  <c r="C1019" i="5"/>
  <c r="Q1018" i="5"/>
  <c r="P1018" i="5"/>
  <c r="O1018" i="5"/>
  <c r="J1018" i="5"/>
  <c r="I1018" i="5"/>
  <c r="H1018" i="5"/>
  <c r="E1018" i="5"/>
  <c r="D1018" i="5"/>
  <c r="C1018" i="5"/>
  <c r="Q1017" i="5"/>
  <c r="P1017" i="5"/>
  <c r="O1017" i="5"/>
  <c r="J1017" i="5"/>
  <c r="I1017" i="5"/>
  <c r="H1017" i="5"/>
  <c r="E1017" i="5"/>
  <c r="D1017" i="5"/>
  <c r="C1017" i="5"/>
  <c r="Q1016" i="5"/>
  <c r="P1016" i="5"/>
  <c r="O1016" i="5"/>
  <c r="J1016" i="5"/>
  <c r="I1016" i="5"/>
  <c r="H1016" i="5"/>
  <c r="E1016" i="5"/>
  <c r="D1016" i="5"/>
  <c r="C1016" i="5"/>
  <c r="Q1015" i="5"/>
  <c r="P1015" i="5"/>
  <c r="O1015" i="5"/>
  <c r="J1015" i="5"/>
  <c r="I1015" i="5"/>
  <c r="H1015" i="5"/>
  <c r="E1015" i="5"/>
  <c r="D1015" i="5"/>
  <c r="C1015" i="5"/>
  <c r="Q1014" i="5"/>
  <c r="P1014" i="5"/>
  <c r="O1014" i="5"/>
  <c r="J1014" i="5"/>
  <c r="I1014" i="5"/>
  <c r="H1014" i="5"/>
  <c r="E1014" i="5"/>
  <c r="D1014" i="5"/>
  <c r="C1014" i="5"/>
  <c r="Q1013" i="5"/>
  <c r="P1013" i="5"/>
  <c r="O1013" i="5"/>
  <c r="J1013" i="5"/>
  <c r="I1013" i="5"/>
  <c r="H1013" i="5"/>
  <c r="E1013" i="5"/>
  <c r="D1013" i="5"/>
  <c r="C1013" i="5"/>
  <c r="Q1012" i="5"/>
  <c r="P1012" i="5"/>
  <c r="O1012" i="5"/>
  <c r="J1012" i="5"/>
  <c r="I1012" i="5"/>
  <c r="H1012" i="5"/>
  <c r="E1012" i="5"/>
  <c r="D1012" i="5"/>
  <c r="C1012" i="5"/>
  <c r="Q1011" i="5"/>
  <c r="P1011" i="5"/>
  <c r="O1011" i="5"/>
  <c r="J1011" i="5"/>
  <c r="I1011" i="5"/>
  <c r="H1011" i="5"/>
  <c r="E1011" i="5"/>
  <c r="D1011" i="5"/>
  <c r="C1011" i="5"/>
  <c r="Q1010" i="5"/>
  <c r="P1010" i="5"/>
  <c r="O1010" i="5"/>
  <c r="J1010" i="5"/>
  <c r="I1010" i="5"/>
  <c r="H1010" i="5"/>
  <c r="E1010" i="5"/>
  <c r="D1010" i="5"/>
  <c r="C1010" i="5"/>
  <c r="Q1009" i="5"/>
  <c r="P1009" i="5"/>
  <c r="O1009" i="5"/>
  <c r="J1009" i="5"/>
  <c r="I1009" i="5"/>
  <c r="H1009" i="5"/>
  <c r="E1009" i="5"/>
  <c r="D1009" i="5"/>
  <c r="C1009" i="5"/>
  <c r="Q1008" i="5"/>
  <c r="P1008" i="5"/>
  <c r="O1008" i="5"/>
  <c r="J1008" i="5"/>
  <c r="I1008" i="5"/>
  <c r="H1008" i="5"/>
  <c r="E1008" i="5"/>
  <c r="D1008" i="5"/>
  <c r="C1008" i="5"/>
  <c r="Q1007" i="5"/>
  <c r="P1007" i="5"/>
  <c r="O1007" i="5"/>
  <c r="J1007" i="5"/>
  <c r="I1007" i="5"/>
  <c r="H1007" i="5"/>
  <c r="E1007" i="5"/>
  <c r="D1007" i="5"/>
  <c r="C1007" i="5"/>
  <c r="Q1006" i="5"/>
  <c r="P1006" i="5"/>
  <c r="O1006" i="5"/>
  <c r="J1006" i="5"/>
  <c r="I1006" i="5"/>
  <c r="H1006" i="5"/>
  <c r="E1006" i="5"/>
  <c r="D1006" i="5"/>
  <c r="C1006" i="5"/>
  <c r="Q1005" i="5"/>
  <c r="P1005" i="5"/>
  <c r="O1005" i="5"/>
  <c r="J1005" i="5"/>
  <c r="I1005" i="5"/>
  <c r="H1005" i="5"/>
  <c r="E1005" i="5"/>
  <c r="D1005" i="5"/>
  <c r="C1005" i="5"/>
  <c r="Q1004" i="5"/>
  <c r="P1004" i="5"/>
  <c r="O1004" i="5"/>
  <c r="J1004" i="5"/>
  <c r="I1004" i="5"/>
  <c r="H1004" i="5"/>
  <c r="E1004" i="5"/>
  <c r="D1004" i="5"/>
  <c r="C1004" i="5"/>
  <c r="Q1003" i="5"/>
  <c r="P1003" i="5"/>
  <c r="O1003" i="5"/>
  <c r="J1003" i="5"/>
  <c r="I1003" i="5"/>
  <c r="H1003" i="5"/>
  <c r="E1003" i="5"/>
  <c r="D1003" i="5"/>
  <c r="C1003" i="5"/>
  <c r="Q1002" i="5"/>
  <c r="P1002" i="5"/>
  <c r="O1002" i="5"/>
  <c r="J1002" i="5"/>
  <c r="I1002" i="5"/>
  <c r="H1002" i="5"/>
  <c r="E1002" i="5"/>
  <c r="D1002" i="5"/>
  <c r="C1002" i="5"/>
  <c r="Q1001" i="5"/>
  <c r="P1001" i="5"/>
  <c r="O1001" i="5"/>
  <c r="J1001" i="5"/>
  <c r="I1001" i="5"/>
  <c r="H1001" i="5"/>
  <c r="E1001" i="5"/>
  <c r="D1001" i="5"/>
  <c r="C1001" i="5"/>
  <c r="Q1000" i="5"/>
  <c r="P1000" i="5"/>
  <c r="O1000" i="5"/>
  <c r="J1000" i="5"/>
  <c r="I1000" i="5"/>
  <c r="H1000" i="5"/>
  <c r="E1000" i="5"/>
  <c r="D1000" i="5"/>
  <c r="C1000" i="5"/>
  <c r="Q999" i="5"/>
  <c r="P999" i="5"/>
  <c r="O999" i="5"/>
  <c r="J999" i="5"/>
  <c r="I999" i="5"/>
  <c r="H999" i="5"/>
  <c r="E999" i="5"/>
  <c r="D999" i="5"/>
  <c r="C999" i="5"/>
  <c r="Q998" i="5"/>
  <c r="P998" i="5"/>
  <c r="O998" i="5"/>
  <c r="J998" i="5"/>
  <c r="I998" i="5"/>
  <c r="H998" i="5"/>
  <c r="E998" i="5"/>
  <c r="D998" i="5"/>
  <c r="C998" i="5"/>
  <c r="Q997" i="5"/>
  <c r="P997" i="5"/>
  <c r="O997" i="5"/>
  <c r="J997" i="5"/>
  <c r="I997" i="5"/>
  <c r="H997" i="5"/>
  <c r="E997" i="5"/>
  <c r="D997" i="5"/>
  <c r="C997" i="5"/>
  <c r="Q996" i="5"/>
  <c r="P996" i="5"/>
  <c r="O996" i="5"/>
  <c r="J996" i="5"/>
  <c r="I996" i="5"/>
  <c r="H996" i="5"/>
  <c r="E996" i="5"/>
  <c r="D996" i="5"/>
  <c r="C996" i="5"/>
  <c r="Q995" i="5"/>
  <c r="P995" i="5"/>
  <c r="O995" i="5"/>
  <c r="J995" i="5"/>
  <c r="I995" i="5"/>
  <c r="H995" i="5"/>
  <c r="E995" i="5"/>
  <c r="D995" i="5"/>
  <c r="C995" i="5"/>
  <c r="Q994" i="5"/>
  <c r="P994" i="5"/>
  <c r="O994" i="5"/>
  <c r="J994" i="5"/>
  <c r="I994" i="5"/>
  <c r="H994" i="5"/>
  <c r="E994" i="5"/>
  <c r="D994" i="5"/>
  <c r="C994" i="5"/>
  <c r="Q993" i="5"/>
  <c r="P993" i="5"/>
  <c r="O993" i="5"/>
  <c r="J993" i="5"/>
  <c r="I993" i="5"/>
  <c r="H993" i="5"/>
  <c r="E993" i="5"/>
  <c r="D993" i="5"/>
  <c r="C993" i="5"/>
  <c r="Q992" i="5"/>
  <c r="P992" i="5"/>
  <c r="O992" i="5"/>
  <c r="J992" i="5"/>
  <c r="I992" i="5"/>
  <c r="H992" i="5"/>
  <c r="E992" i="5"/>
  <c r="D992" i="5"/>
  <c r="C992" i="5"/>
  <c r="Q991" i="5"/>
  <c r="P991" i="5"/>
  <c r="O991" i="5"/>
  <c r="J991" i="5"/>
  <c r="I991" i="5"/>
  <c r="H991" i="5"/>
  <c r="E991" i="5"/>
  <c r="D991" i="5"/>
  <c r="C991" i="5"/>
  <c r="Q990" i="5"/>
  <c r="P990" i="5"/>
  <c r="O990" i="5"/>
  <c r="J990" i="5"/>
  <c r="I990" i="5"/>
  <c r="H990" i="5"/>
  <c r="E990" i="5"/>
  <c r="D990" i="5"/>
  <c r="C990" i="5"/>
  <c r="Q989" i="5"/>
  <c r="P989" i="5"/>
  <c r="O989" i="5"/>
  <c r="J989" i="5"/>
  <c r="I989" i="5"/>
  <c r="H989" i="5"/>
  <c r="E989" i="5"/>
  <c r="D989" i="5"/>
  <c r="C989" i="5"/>
  <c r="Q988" i="5"/>
  <c r="P988" i="5"/>
  <c r="O988" i="5"/>
  <c r="J988" i="5"/>
  <c r="I988" i="5"/>
  <c r="H988" i="5"/>
  <c r="E988" i="5"/>
  <c r="D988" i="5"/>
  <c r="C988" i="5"/>
  <c r="Q987" i="5"/>
  <c r="P987" i="5"/>
  <c r="O987" i="5"/>
  <c r="J987" i="5"/>
  <c r="I987" i="5"/>
  <c r="H987" i="5"/>
  <c r="E987" i="5"/>
  <c r="D987" i="5"/>
  <c r="C987" i="5"/>
  <c r="Q986" i="5"/>
  <c r="P986" i="5"/>
  <c r="O986" i="5"/>
  <c r="J986" i="5"/>
  <c r="I986" i="5"/>
  <c r="H986" i="5"/>
  <c r="E986" i="5"/>
  <c r="D986" i="5"/>
  <c r="C986" i="5"/>
  <c r="Q985" i="5"/>
  <c r="P985" i="5"/>
  <c r="O985" i="5"/>
  <c r="J985" i="5"/>
  <c r="I985" i="5"/>
  <c r="H985" i="5"/>
  <c r="E985" i="5"/>
  <c r="D985" i="5"/>
  <c r="C985" i="5"/>
  <c r="Q984" i="5"/>
  <c r="P984" i="5"/>
  <c r="O984" i="5"/>
  <c r="J984" i="5"/>
  <c r="I984" i="5"/>
  <c r="H984" i="5"/>
  <c r="E984" i="5"/>
  <c r="D984" i="5"/>
  <c r="C984" i="5"/>
  <c r="Q983" i="5"/>
  <c r="P983" i="5"/>
  <c r="O983" i="5"/>
  <c r="J983" i="5"/>
  <c r="I983" i="5"/>
  <c r="H983" i="5"/>
  <c r="E983" i="5"/>
  <c r="D983" i="5"/>
  <c r="C983" i="5"/>
  <c r="Q982" i="5"/>
  <c r="P982" i="5"/>
  <c r="O982" i="5"/>
  <c r="J982" i="5"/>
  <c r="I982" i="5"/>
  <c r="H982" i="5"/>
  <c r="E982" i="5"/>
  <c r="D982" i="5"/>
  <c r="C982" i="5"/>
  <c r="Q981" i="5"/>
  <c r="P981" i="5"/>
  <c r="O981" i="5"/>
  <c r="J981" i="5"/>
  <c r="I981" i="5"/>
  <c r="H981" i="5"/>
  <c r="E981" i="5"/>
  <c r="D981" i="5"/>
  <c r="C981" i="5"/>
  <c r="Q980" i="5"/>
  <c r="P980" i="5"/>
  <c r="O980" i="5"/>
  <c r="J980" i="5"/>
  <c r="I980" i="5"/>
  <c r="H980" i="5"/>
  <c r="E980" i="5"/>
  <c r="D980" i="5"/>
  <c r="C980" i="5"/>
  <c r="Q979" i="5"/>
  <c r="P979" i="5"/>
  <c r="O979" i="5"/>
  <c r="J979" i="5"/>
  <c r="I979" i="5"/>
  <c r="H979" i="5"/>
  <c r="E979" i="5"/>
  <c r="D979" i="5"/>
  <c r="C979" i="5"/>
  <c r="Q978" i="5"/>
  <c r="P978" i="5"/>
  <c r="O978" i="5"/>
  <c r="J978" i="5"/>
  <c r="I978" i="5"/>
  <c r="H978" i="5"/>
  <c r="E978" i="5"/>
  <c r="D978" i="5"/>
  <c r="C978" i="5"/>
  <c r="Q977" i="5"/>
  <c r="P977" i="5"/>
  <c r="O977" i="5"/>
  <c r="J977" i="5"/>
  <c r="I977" i="5"/>
  <c r="H977" i="5"/>
  <c r="E977" i="5"/>
  <c r="D977" i="5"/>
  <c r="C977" i="5"/>
  <c r="Q976" i="5"/>
  <c r="P976" i="5"/>
  <c r="O976" i="5"/>
  <c r="J976" i="5"/>
  <c r="I976" i="5"/>
  <c r="H976" i="5"/>
  <c r="E976" i="5"/>
  <c r="D976" i="5"/>
  <c r="C976" i="5"/>
  <c r="Q975" i="5"/>
  <c r="P975" i="5"/>
  <c r="O975" i="5"/>
  <c r="J975" i="5"/>
  <c r="I975" i="5"/>
  <c r="H975" i="5"/>
  <c r="E975" i="5"/>
  <c r="D975" i="5"/>
  <c r="C975" i="5"/>
  <c r="Q974" i="5"/>
  <c r="P974" i="5"/>
  <c r="O974" i="5"/>
  <c r="J974" i="5"/>
  <c r="I974" i="5"/>
  <c r="H974" i="5"/>
  <c r="E974" i="5"/>
  <c r="D974" i="5"/>
  <c r="C974" i="5"/>
  <c r="Q973" i="5"/>
  <c r="P973" i="5"/>
  <c r="O973" i="5"/>
  <c r="J973" i="5"/>
  <c r="I973" i="5"/>
  <c r="H973" i="5"/>
  <c r="E973" i="5"/>
  <c r="D973" i="5"/>
  <c r="C973" i="5"/>
  <c r="Q972" i="5"/>
  <c r="P972" i="5"/>
  <c r="O972" i="5"/>
  <c r="J972" i="5"/>
  <c r="I972" i="5"/>
  <c r="H972" i="5"/>
  <c r="E972" i="5"/>
  <c r="D972" i="5"/>
  <c r="C972" i="5"/>
  <c r="Q971" i="5"/>
  <c r="P971" i="5"/>
  <c r="O971" i="5"/>
  <c r="J971" i="5"/>
  <c r="I971" i="5"/>
  <c r="H971" i="5"/>
  <c r="E971" i="5"/>
  <c r="D971" i="5"/>
  <c r="C971" i="5"/>
  <c r="Q970" i="5"/>
  <c r="P970" i="5"/>
  <c r="O970" i="5"/>
  <c r="J970" i="5"/>
  <c r="I970" i="5"/>
  <c r="H970" i="5"/>
  <c r="E970" i="5"/>
  <c r="D970" i="5"/>
  <c r="C970" i="5"/>
  <c r="Q969" i="5"/>
  <c r="P969" i="5"/>
  <c r="O969" i="5"/>
  <c r="J969" i="5"/>
  <c r="I969" i="5"/>
  <c r="H969" i="5"/>
  <c r="E969" i="5"/>
  <c r="D969" i="5"/>
  <c r="C969" i="5"/>
  <c r="Q968" i="5"/>
  <c r="P968" i="5"/>
  <c r="O968" i="5"/>
  <c r="J968" i="5"/>
  <c r="I968" i="5"/>
  <c r="H968" i="5"/>
  <c r="E968" i="5"/>
  <c r="D968" i="5"/>
  <c r="C968" i="5"/>
  <c r="Q967" i="5"/>
  <c r="P967" i="5"/>
  <c r="O967" i="5"/>
  <c r="J967" i="5"/>
  <c r="I967" i="5"/>
  <c r="H967" i="5"/>
  <c r="E967" i="5"/>
  <c r="D967" i="5"/>
  <c r="C967" i="5"/>
  <c r="Q966" i="5"/>
  <c r="P966" i="5"/>
  <c r="O966" i="5"/>
  <c r="J966" i="5"/>
  <c r="I966" i="5"/>
  <c r="H966" i="5"/>
  <c r="E966" i="5"/>
  <c r="D966" i="5"/>
  <c r="C966" i="5"/>
  <c r="Q965" i="5"/>
  <c r="P965" i="5"/>
  <c r="O965" i="5"/>
  <c r="J965" i="5"/>
  <c r="I965" i="5"/>
  <c r="H965" i="5"/>
  <c r="E965" i="5"/>
  <c r="D965" i="5"/>
  <c r="C965" i="5"/>
  <c r="Q964" i="5"/>
  <c r="P964" i="5"/>
  <c r="O964" i="5"/>
  <c r="J964" i="5"/>
  <c r="I964" i="5"/>
  <c r="H964" i="5"/>
  <c r="E964" i="5"/>
  <c r="D964" i="5"/>
  <c r="C964" i="5"/>
  <c r="Q963" i="5"/>
  <c r="P963" i="5"/>
  <c r="O963" i="5"/>
  <c r="J963" i="5"/>
  <c r="I963" i="5"/>
  <c r="H963" i="5"/>
  <c r="E963" i="5"/>
  <c r="D963" i="5"/>
  <c r="C963" i="5"/>
  <c r="Q962" i="5"/>
  <c r="P962" i="5"/>
  <c r="O962" i="5"/>
  <c r="J962" i="5"/>
  <c r="I962" i="5"/>
  <c r="H962" i="5"/>
  <c r="E962" i="5"/>
  <c r="D962" i="5"/>
  <c r="C962" i="5"/>
  <c r="Q961" i="5"/>
  <c r="P961" i="5"/>
  <c r="O961" i="5"/>
  <c r="J961" i="5"/>
  <c r="I961" i="5"/>
  <c r="H961" i="5"/>
  <c r="E961" i="5"/>
  <c r="D961" i="5"/>
  <c r="C961" i="5"/>
  <c r="Q960" i="5"/>
  <c r="P960" i="5"/>
  <c r="O960" i="5"/>
  <c r="J960" i="5"/>
  <c r="I960" i="5"/>
  <c r="H960" i="5"/>
  <c r="E960" i="5"/>
  <c r="D960" i="5"/>
  <c r="C960" i="5"/>
  <c r="Q959" i="5"/>
  <c r="P959" i="5"/>
  <c r="O959" i="5"/>
  <c r="J959" i="5"/>
  <c r="I959" i="5"/>
  <c r="H959" i="5"/>
  <c r="E959" i="5"/>
  <c r="D959" i="5"/>
  <c r="C959" i="5"/>
  <c r="Q958" i="5"/>
  <c r="P958" i="5"/>
  <c r="O958" i="5"/>
  <c r="J958" i="5"/>
  <c r="I958" i="5"/>
  <c r="H958" i="5"/>
  <c r="E958" i="5"/>
  <c r="D958" i="5"/>
  <c r="C958" i="5"/>
  <c r="Q957" i="5"/>
  <c r="P957" i="5"/>
  <c r="O957" i="5"/>
  <c r="J957" i="5"/>
  <c r="I957" i="5"/>
  <c r="H957" i="5"/>
  <c r="E957" i="5"/>
  <c r="D957" i="5"/>
  <c r="C957" i="5"/>
  <c r="Q956" i="5"/>
  <c r="P956" i="5"/>
  <c r="O956" i="5"/>
  <c r="J956" i="5"/>
  <c r="I956" i="5"/>
  <c r="H956" i="5"/>
  <c r="E956" i="5"/>
  <c r="D956" i="5"/>
  <c r="C956" i="5"/>
  <c r="Q955" i="5"/>
  <c r="P955" i="5"/>
  <c r="O955" i="5"/>
  <c r="J955" i="5"/>
  <c r="I955" i="5"/>
  <c r="H955" i="5"/>
  <c r="E955" i="5"/>
  <c r="D955" i="5"/>
  <c r="C955" i="5"/>
  <c r="Q954" i="5"/>
  <c r="P954" i="5"/>
  <c r="O954" i="5"/>
  <c r="J954" i="5"/>
  <c r="I954" i="5"/>
  <c r="H954" i="5"/>
  <c r="E954" i="5"/>
  <c r="D954" i="5"/>
  <c r="C954" i="5"/>
  <c r="Q953" i="5"/>
  <c r="P953" i="5"/>
  <c r="O953" i="5"/>
  <c r="J953" i="5"/>
  <c r="I953" i="5"/>
  <c r="H953" i="5"/>
  <c r="E953" i="5"/>
  <c r="D953" i="5"/>
  <c r="C953" i="5"/>
  <c r="Q952" i="5"/>
  <c r="P952" i="5"/>
  <c r="O952" i="5"/>
  <c r="J952" i="5"/>
  <c r="I952" i="5"/>
  <c r="H952" i="5"/>
  <c r="E952" i="5"/>
  <c r="D952" i="5"/>
  <c r="C952" i="5"/>
  <c r="Q951" i="5"/>
  <c r="P951" i="5"/>
  <c r="O951" i="5"/>
  <c r="J951" i="5"/>
  <c r="I951" i="5"/>
  <c r="H951" i="5"/>
  <c r="E951" i="5"/>
  <c r="D951" i="5"/>
  <c r="C951" i="5"/>
  <c r="Q950" i="5"/>
  <c r="P950" i="5"/>
  <c r="O950" i="5"/>
  <c r="J950" i="5"/>
  <c r="I950" i="5"/>
  <c r="H950" i="5"/>
  <c r="E950" i="5"/>
  <c r="D950" i="5"/>
  <c r="C950" i="5"/>
  <c r="Q949" i="5"/>
  <c r="P949" i="5"/>
  <c r="O949" i="5"/>
  <c r="J949" i="5"/>
  <c r="I949" i="5"/>
  <c r="H949" i="5"/>
  <c r="E949" i="5"/>
  <c r="D949" i="5"/>
  <c r="C949" i="5"/>
  <c r="Q948" i="5"/>
  <c r="P948" i="5"/>
  <c r="O948" i="5"/>
  <c r="J948" i="5"/>
  <c r="I948" i="5"/>
  <c r="H948" i="5"/>
  <c r="E948" i="5"/>
  <c r="D948" i="5"/>
  <c r="C948" i="5"/>
  <c r="Q947" i="5"/>
  <c r="P947" i="5"/>
  <c r="O947" i="5"/>
  <c r="J947" i="5"/>
  <c r="I947" i="5"/>
  <c r="H947" i="5"/>
  <c r="E947" i="5"/>
  <c r="D947" i="5"/>
  <c r="C947" i="5"/>
  <c r="Q946" i="5"/>
  <c r="P946" i="5"/>
  <c r="O946" i="5"/>
  <c r="J946" i="5"/>
  <c r="I946" i="5"/>
  <c r="H946" i="5"/>
  <c r="E946" i="5"/>
  <c r="D946" i="5"/>
  <c r="C946" i="5"/>
  <c r="Q945" i="5"/>
  <c r="P945" i="5"/>
  <c r="O945" i="5"/>
  <c r="J945" i="5"/>
  <c r="I945" i="5"/>
  <c r="H945" i="5"/>
  <c r="E945" i="5"/>
  <c r="D945" i="5"/>
  <c r="C945" i="5"/>
  <c r="Q944" i="5"/>
  <c r="P944" i="5"/>
  <c r="O944" i="5"/>
  <c r="J944" i="5"/>
  <c r="I944" i="5"/>
  <c r="H944" i="5"/>
  <c r="E944" i="5"/>
  <c r="D944" i="5"/>
  <c r="C944" i="5"/>
  <c r="Q943" i="5"/>
  <c r="P943" i="5"/>
  <c r="O943" i="5"/>
  <c r="J943" i="5"/>
  <c r="I943" i="5"/>
  <c r="H943" i="5"/>
  <c r="E943" i="5"/>
  <c r="D943" i="5"/>
  <c r="C943" i="5"/>
  <c r="Q942" i="5"/>
  <c r="P942" i="5"/>
  <c r="O942" i="5"/>
  <c r="J942" i="5"/>
  <c r="I942" i="5"/>
  <c r="H942" i="5"/>
  <c r="E942" i="5"/>
  <c r="D942" i="5"/>
  <c r="C942" i="5"/>
  <c r="Q941" i="5"/>
  <c r="P941" i="5"/>
  <c r="O941" i="5"/>
  <c r="J941" i="5"/>
  <c r="I941" i="5"/>
  <c r="H941" i="5"/>
  <c r="E941" i="5"/>
  <c r="D941" i="5"/>
  <c r="C941" i="5"/>
  <c r="Q940" i="5"/>
  <c r="P940" i="5"/>
  <c r="O940" i="5"/>
  <c r="J940" i="5"/>
  <c r="I940" i="5"/>
  <c r="H940" i="5"/>
  <c r="E940" i="5"/>
  <c r="D940" i="5"/>
  <c r="C940" i="5"/>
  <c r="Q939" i="5"/>
  <c r="P939" i="5"/>
  <c r="O939" i="5"/>
  <c r="J939" i="5"/>
  <c r="I939" i="5"/>
  <c r="H939" i="5"/>
  <c r="E939" i="5"/>
  <c r="D939" i="5"/>
  <c r="C939" i="5"/>
  <c r="Q938" i="5"/>
  <c r="P938" i="5"/>
  <c r="O938" i="5"/>
  <c r="J938" i="5"/>
  <c r="I938" i="5"/>
  <c r="H938" i="5"/>
  <c r="E938" i="5"/>
  <c r="D938" i="5"/>
  <c r="C938" i="5"/>
  <c r="Q937" i="5"/>
  <c r="P937" i="5"/>
  <c r="O937" i="5"/>
  <c r="J937" i="5"/>
  <c r="I937" i="5"/>
  <c r="H937" i="5"/>
  <c r="E937" i="5"/>
  <c r="D937" i="5"/>
  <c r="C937" i="5"/>
  <c r="Q936" i="5"/>
  <c r="P936" i="5"/>
  <c r="O936" i="5"/>
  <c r="J936" i="5"/>
  <c r="I936" i="5"/>
  <c r="H936" i="5"/>
  <c r="E936" i="5"/>
  <c r="D936" i="5"/>
  <c r="C936" i="5"/>
  <c r="Q935" i="5"/>
  <c r="P935" i="5"/>
  <c r="O935" i="5"/>
  <c r="J935" i="5"/>
  <c r="I935" i="5"/>
  <c r="H935" i="5"/>
  <c r="E935" i="5"/>
  <c r="D935" i="5"/>
  <c r="C935" i="5"/>
  <c r="Q934" i="5"/>
  <c r="P934" i="5"/>
  <c r="O934" i="5"/>
  <c r="J934" i="5"/>
  <c r="I934" i="5"/>
  <c r="H934" i="5"/>
  <c r="E934" i="5"/>
  <c r="D934" i="5"/>
  <c r="C934" i="5"/>
  <c r="Q933" i="5"/>
  <c r="P933" i="5"/>
  <c r="O933" i="5"/>
  <c r="J933" i="5"/>
  <c r="I933" i="5"/>
  <c r="H933" i="5"/>
  <c r="E933" i="5"/>
  <c r="D933" i="5"/>
  <c r="C933" i="5"/>
  <c r="Q932" i="5"/>
  <c r="P932" i="5"/>
  <c r="O932" i="5"/>
  <c r="J932" i="5"/>
  <c r="I932" i="5"/>
  <c r="H932" i="5"/>
  <c r="E932" i="5"/>
  <c r="D932" i="5"/>
  <c r="C932" i="5"/>
  <c r="Q931" i="5"/>
  <c r="P931" i="5"/>
  <c r="O931" i="5"/>
  <c r="J931" i="5"/>
  <c r="I931" i="5"/>
  <c r="H931" i="5"/>
  <c r="E931" i="5"/>
  <c r="D931" i="5"/>
  <c r="C931" i="5"/>
  <c r="Q930" i="5"/>
  <c r="P930" i="5"/>
  <c r="O930" i="5"/>
  <c r="J930" i="5"/>
  <c r="I930" i="5"/>
  <c r="H930" i="5"/>
  <c r="E930" i="5"/>
  <c r="D930" i="5"/>
  <c r="C930" i="5"/>
  <c r="Q929" i="5"/>
  <c r="P929" i="5"/>
  <c r="O929" i="5"/>
  <c r="J929" i="5"/>
  <c r="I929" i="5"/>
  <c r="H929" i="5"/>
  <c r="E929" i="5"/>
  <c r="D929" i="5"/>
  <c r="C929" i="5"/>
  <c r="Q928" i="5"/>
  <c r="P928" i="5"/>
  <c r="O928" i="5"/>
  <c r="J928" i="5"/>
  <c r="I928" i="5"/>
  <c r="H928" i="5"/>
  <c r="E928" i="5"/>
  <c r="D928" i="5"/>
  <c r="C928" i="5"/>
  <c r="Q927" i="5"/>
  <c r="P927" i="5"/>
  <c r="O927" i="5"/>
  <c r="J927" i="5"/>
  <c r="I927" i="5"/>
  <c r="H927" i="5"/>
  <c r="E927" i="5"/>
  <c r="D927" i="5"/>
  <c r="C927" i="5"/>
  <c r="Q926" i="5"/>
  <c r="P926" i="5"/>
  <c r="O926" i="5"/>
  <c r="J926" i="5"/>
  <c r="I926" i="5"/>
  <c r="H926" i="5"/>
  <c r="E926" i="5"/>
  <c r="D926" i="5"/>
  <c r="C926" i="5"/>
  <c r="Q925" i="5"/>
  <c r="P925" i="5"/>
  <c r="O925" i="5"/>
  <c r="J925" i="5"/>
  <c r="I925" i="5"/>
  <c r="H925" i="5"/>
  <c r="E925" i="5"/>
  <c r="D925" i="5"/>
  <c r="C925" i="5"/>
  <c r="Q924" i="5"/>
  <c r="P924" i="5"/>
  <c r="O924" i="5"/>
  <c r="J924" i="5"/>
  <c r="I924" i="5"/>
  <c r="H924" i="5"/>
  <c r="E924" i="5"/>
  <c r="D924" i="5"/>
  <c r="C924" i="5"/>
  <c r="Q923" i="5"/>
  <c r="P923" i="5"/>
  <c r="O923" i="5"/>
  <c r="J923" i="5"/>
  <c r="I923" i="5"/>
  <c r="H923" i="5"/>
  <c r="E923" i="5"/>
  <c r="D923" i="5"/>
  <c r="C923" i="5"/>
  <c r="Q922" i="5"/>
  <c r="P922" i="5"/>
  <c r="O922" i="5"/>
  <c r="J922" i="5"/>
  <c r="I922" i="5"/>
  <c r="H922" i="5"/>
  <c r="E922" i="5"/>
  <c r="D922" i="5"/>
  <c r="C922" i="5"/>
  <c r="Q921" i="5"/>
  <c r="P921" i="5"/>
  <c r="O921" i="5"/>
  <c r="J921" i="5"/>
  <c r="I921" i="5"/>
  <c r="H921" i="5"/>
  <c r="E921" i="5"/>
  <c r="D921" i="5"/>
  <c r="C921" i="5"/>
  <c r="Q920" i="5"/>
  <c r="P920" i="5"/>
  <c r="O920" i="5"/>
  <c r="J920" i="5"/>
  <c r="I920" i="5"/>
  <c r="H920" i="5"/>
  <c r="E920" i="5"/>
  <c r="D920" i="5"/>
  <c r="C920" i="5"/>
  <c r="Q919" i="5"/>
  <c r="P919" i="5"/>
  <c r="O919" i="5"/>
  <c r="J919" i="5"/>
  <c r="I919" i="5"/>
  <c r="H919" i="5"/>
  <c r="E919" i="5"/>
  <c r="D919" i="5"/>
  <c r="C919" i="5"/>
  <c r="Q918" i="5"/>
  <c r="P918" i="5"/>
  <c r="O918" i="5"/>
  <c r="J918" i="5"/>
  <c r="I918" i="5"/>
  <c r="H918" i="5"/>
  <c r="E918" i="5"/>
  <c r="D918" i="5"/>
  <c r="C918" i="5"/>
  <c r="Q917" i="5"/>
  <c r="P917" i="5"/>
  <c r="O917" i="5"/>
  <c r="J917" i="5"/>
  <c r="I917" i="5"/>
  <c r="H917" i="5"/>
  <c r="E917" i="5"/>
  <c r="D917" i="5"/>
  <c r="C917" i="5"/>
  <c r="Q916" i="5"/>
  <c r="P916" i="5"/>
  <c r="O916" i="5"/>
  <c r="J916" i="5"/>
  <c r="I916" i="5"/>
  <c r="H916" i="5"/>
  <c r="E916" i="5"/>
  <c r="D916" i="5"/>
  <c r="C916" i="5"/>
  <c r="Q915" i="5"/>
  <c r="P915" i="5"/>
  <c r="O915" i="5"/>
  <c r="J915" i="5"/>
  <c r="I915" i="5"/>
  <c r="H915" i="5"/>
  <c r="E915" i="5"/>
  <c r="D915" i="5"/>
  <c r="C915" i="5"/>
  <c r="Q914" i="5"/>
  <c r="P914" i="5"/>
  <c r="O914" i="5"/>
  <c r="J914" i="5"/>
  <c r="I914" i="5"/>
  <c r="H914" i="5"/>
  <c r="E914" i="5"/>
  <c r="D914" i="5"/>
  <c r="C914" i="5"/>
  <c r="Q913" i="5"/>
  <c r="P913" i="5"/>
  <c r="O913" i="5"/>
  <c r="J913" i="5"/>
  <c r="I913" i="5"/>
  <c r="H913" i="5"/>
  <c r="E913" i="5"/>
  <c r="D913" i="5"/>
  <c r="C913" i="5"/>
  <c r="Q912" i="5"/>
  <c r="P912" i="5"/>
  <c r="O912" i="5"/>
  <c r="J912" i="5"/>
  <c r="I912" i="5"/>
  <c r="H912" i="5"/>
  <c r="E912" i="5"/>
  <c r="D912" i="5"/>
  <c r="C912" i="5"/>
  <c r="Q911" i="5"/>
  <c r="P911" i="5"/>
  <c r="O911" i="5"/>
  <c r="J911" i="5"/>
  <c r="I911" i="5"/>
  <c r="H911" i="5"/>
  <c r="E911" i="5"/>
  <c r="D911" i="5"/>
  <c r="C911" i="5"/>
  <c r="Q910" i="5"/>
  <c r="P910" i="5"/>
  <c r="O910" i="5"/>
  <c r="J910" i="5"/>
  <c r="I910" i="5"/>
  <c r="H910" i="5"/>
  <c r="E910" i="5"/>
  <c r="D910" i="5"/>
  <c r="C910" i="5"/>
  <c r="Q909" i="5"/>
  <c r="P909" i="5"/>
  <c r="O909" i="5"/>
  <c r="J909" i="5"/>
  <c r="I909" i="5"/>
  <c r="H909" i="5"/>
  <c r="E909" i="5"/>
  <c r="D909" i="5"/>
  <c r="C909" i="5"/>
  <c r="Q908" i="5"/>
  <c r="P908" i="5"/>
  <c r="O908" i="5"/>
  <c r="J908" i="5"/>
  <c r="I908" i="5"/>
  <c r="H908" i="5"/>
  <c r="E908" i="5"/>
  <c r="D908" i="5"/>
  <c r="C908" i="5"/>
  <c r="Q907" i="5"/>
  <c r="P907" i="5"/>
  <c r="O907" i="5"/>
  <c r="J907" i="5"/>
  <c r="I907" i="5"/>
  <c r="H907" i="5"/>
  <c r="E907" i="5"/>
  <c r="D907" i="5"/>
  <c r="C907" i="5"/>
  <c r="Q906" i="5"/>
  <c r="P906" i="5"/>
  <c r="O906" i="5"/>
  <c r="J906" i="5"/>
  <c r="I906" i="5"/>
  <c r="H906" i="5"/>
  <c r="E906" i="5"/>
  <c r="D906" i="5"/>
  <c r="C906" i="5"/>
  <c r="Q905" i="5"/>
  <c r="P905" i="5"/>
  <c r="O905" i="5"/>
  <c r="J905" i="5"/>
  <c r="I905" i="5"/>
  <c r="H905" i="5"/>
  <c r="E905" i="5"/>
  <c r="D905" i="5"/>
  <c r="C905" i="5"/>
  <c r="Q904" i="5"/>
  <c r="P904" i="5"/>
  <c r="O904" i="5"/>
  <c r="J904" i="5"/>
  <c r="I904" i="5"/>
  <c r="H904" i="5"/>
  <c r="E904" i="5"/>
  <c r="D904" i="5"/>
  <c r="C904" i="5"/>
  <c r="Q903" i="5"/>
  <c r="P903" i="5"/>
  <c r="O903" i="5"/>
  <c r="J903" i="5"/>
  <c r="I903" i="5"/>
  <c r="H903" i="5"/>
  <c r="E903" i="5"/>
  <c r="D903" i="5"/>
  <c r="C903" i="5"/>
  <c r="Q902" i="5"/>
  <c r="P902" i="5"/>
  <c r="O902" i="5"/>
  <c r="J902" i="5"/>
  <c r="I902" i="5"/>
  <c r="H902" i="5"/>
  <c r="E902" i="5"/>
  <c r="D902" i="5"/>
  <c r="C902" i="5"/>
  <c r="Q901" i="5"/>
  <c r="P901" i="5"/>
  <c r="O901" i="5"/>
  <c r="J901" i="5"/>
  <c r="I901" i="5"/>
  <c r="H901" i="5"/>
  <c r="E901" i="5"/>
  <c r="D901" i="5"/>
  <c r="C901" i="5"/>
  <c r="Q900" i="5"/>
  <c r="P900" i="5"/>
  <c r="O900" i="5"/>
  <c r="J900" i="5"/>
  <c r="I900" i="5"/>
  <c r="H900" i="5"/>
  <c r="E900" i="5"/>
  <c r="D900" i="5"/>
  <c r="C900" i="5"/>
  <c r="Q899" i="5"/>
  <c r="P899" i="5"/>
  <c r="O899" i="5"/>
  <c r="J899" i="5"/>
  <c r="I899" i="5"/>
  <c r="H899" i="5"/>
  <c r="E899" i="5"/>
  <c r="D899" i="5"/>
  <c r="C899" i="5"/>
  <c r="Q898" i="5"/>
  <c r="P898" i="5"/>
  <c r="O898" i="5"/>
  <c r="J898" i="5"/>
  <c r="I898" i="5"/>
  <c r="H898" i="5"/>
  <c r="E898" i="5"/>
  <c r="D898" i="5"/>
  <c r="C898" i="5"/>
  <c r="Q897" i="5"/>
  <c r="P897" i="5"/>
  <c r="O897" i="5"/>
  <c r="J897" i="5"/>
  <c r="I897" i="5"/>
  <c r="H897" i="5"/>
  <c r="E897" i="5"/>
  <c r="D897" i="5"/>
  <c r="C897" i="5"/>
  <c r="Q896" i="5"/>
  <c r="P896" i="5"/>
  <c r="O896" i="5"/>
  <c r="J896" i="5"/>
  <c r="I896" i="5"/>
  <c r="H896" i="5"/>
  <c r="E896" i="5"/>
  <c r="D896" i="5"/>
  <c r="C896" i="5"/>
  <c r="Q895" i="5"/>
  <c r="P895" i="5"/>
  <c r="O895" i="5"/>
  <c r="J895" i="5"/>
  <c r="I895" i="5"/>
  <c r="H895" i="5"/>
  <c r="E895" i="5"/>
  <c r="D895" i="5"/>
  <c r="C895" i="5"/>
  <c r="Q894" i="5"/>
  <c r="P894" i="5"/>
  <c r="O894" i="5"/>
  <c r="J894" i="5"/>
  <c r="I894" i="5"/>
  <c r="H894" i="5"/>
  <c r="E894" i="5"/>
  <c r="D894" i="5"/>
  <c r="C894" i="5"/>
  <c r="Q893" i="5"/>
  <c r="P893" i="5"/>
  <c r="O893" i="5"/>
  <c r="J893" i="5"/>
  <c r="I893" i="5"/>
  <c r="H893" i="5"/>
  <c r="E893" i="5"/>
  <c r="D893" i="5"/>
  <c r="C893" i="5"/>
  <c r="Q892" i="5"/>
  <c r="P892" i="5"/>
  <c r="O892" i="5"/>
  <c r="J892" i="5"/>
  <c r="I892" i="5"/>
  <c r="H892" i="5"/>
  <c r="E892" i="5"/>
  <c r="D892" i="5"/>
  <c r="C892" i="5"/>
  <c r="Q891" i="5"/>
  <c r="P891" i="5"/>
  <c r="O891" i="5"/>
  <c r="J891" i="5"/>
  <c r="I891" i="5"/>
  <c r="H891" i="5"/>
  <c r="E891" i="5"/>
  <c r="D891" i="5"/>
  <c r="C891" i="5"/>
  <c r="Q890" i="5"/>
  <c r="P890" i="5"/>
  <c r="O890" i="5"/>
  <c r="J890" i="5"/>
  <c r="I890" i="5"/>
  <c r="H890" i="5"/>
  <c r="E890" i="5"/>
  <c r="D890" i="5"/>
  <c r="C890" i="5"/>
  <c r="Q889" i="5"/>
  <c r="P889" i="5"/>
  <c r="O889" i="5"/>
  <c r="J889" i="5"/>
  <c r="I889" i="5"/>
  <c r="H889" i="5"/>
  <c r="E889" i="5"/>
  <c r="D889" i="5"/>
  <c r="C889" i="5"/>
  <c r="Q888" i="5"/>
  <c r="P888" i="5"/>
  <c r="O888" i="5"/>
  <c r="J888" i="5"/>
  <c r="I888" i="5"/>
  <c r="H888" i="5"/>
  <c r="E888" i="5"/>
  <c r="D888" i="5"/>
  <c r="C888" i="5"/>
  <c r="Q887" i="5"/>
  <c r="P887" i="5"/>
  <c r="O887" i="5"/>
  <c r="J887" i="5"/>
  <c r="I887" i="5"/>
  <c r="H887" i="5"/>
  <c r="E887" i="5"/>
  <c r="D887" i="5"/>
  <c r="C887" i="5"/>
  <c r="Q886" i="5"/>
  <c r="P886" i="5"/>
  <c r="O886" i="5"/>
  <c r="J886" i="5"/>
  <c r="I886" i="5"/>
  <c r="H886" i="5"/>
  <c r="E886" i="5"/>
  <c r="D886" i="5"/>
  <c r="C886" i="5"/>
  <c r="Q885" i="5"/>
  <c r="P885" i="5"/>
  <c r="O885" i="5"/>
  <c r="J885" i="5"/>
  <c r="I885" i="5"/>
  <c r="H885" i="5"/>
  <c r="E885" i="5"/>
  <c r="D885" i="5"/>
  <c r="C885" i="5"/>
  <c r="Q884" i="5"/>
  <c r="P884" i="5"/>
  <c r="O884" i="5"/>
  <c r="J884" i="5"/>
  <c r="I884" i="5"/>
  <c r="H884" i="5"/>
  <c r="E884" i="5"/>
  <c r="D884" i="5"/>
  <c r="C884" i="5"/>
  <c r="Q883" i="5"/>
  <c r="P883" i="5"/>
  <c r="O883" i="5"/>
  <c r="J883" i="5"/>
  <c r="I883" i="5"/>
  <c r="H883" i="5"/>
  <c r="E883" i="5"/>
  <c r="D883" i="5"/>
  <c r="C883" i="5"/>
  <c r="Q882" i="5"/>
  <c r="P882" i="5"/>
  <c r="O882" i="5"/>
  <c r="J882" i="5"/>
  <c r="I882" i="5"/>
  <c r="H882" i="5"/>
  <c r="E882" i="5"/>
  <c r="D882" i="5"/>
  <c r="C882" i="5"/>
  <c r="Q881" i="5"/>
  <c r="P881" i="5"/>
  <c r="O881" i="5"/>
  <c r="J881" i="5"/>
  <c r="I881" i="5"/>
  <c r="H881" i="5"/>
  <c r="E881" i="5"/>
  <c r="D881" i="5"/>
  <c r="C881" i="5"/>
  <c r="Q880" i="5"/>
  <c r="P880" i="5"/>
  <c r="O880" i="5"/>
  <c r="J880" i="5"/>
  <c r="I880" i="5"/>
  <c r="H880" i="5"/>
  <c r="E880" i="5"/>
  <c r="D880" i="5"/>
  <c r="C880" i="5"/>
  <c r="Q879" i="5"/>
  <c r="P879" i="5"/>
  <c r="O879" i="5"/>
  <c r="J879" i="5"/>
  <c r="I879" i="5"/>
  <c r="H879" i="5"/>
  <c r="E879" i="5"/>
  <c r="D879" i="5"/>
  <c r="C879" i="5"/>
  <c r="Q878" i="5"/>
  <c r="P878" i="5"/>
  <c r="O878" i="5"/>
  <c r="J878" i="5"/>
  <c r="I878" i="5"/>
  <c r="H878" i="5"/>
  <c r="E878" i="5"/>
  <c r="D878" i="5"/>
  <c r="C878" i="5"/>
  <c r="Q877" i="5"/>
  <c r="P877" i="5"/>
  <c r="O877" i="5"/>
  <c r="J877" i="5"/>
  <c r="I877" i="5"/>
  <c r="H877" i="5"/>
  <c r="E877" i="5"/>
  <c r="D877" i="5"/>
  <c r="C877" i="5"/>
  <c r="Q876" i="5"/>
  <c r="P876" i="5"/>
  <c r="O876" i="5"/>
  <c r="J876" i="5"/>
  <c r="I876" i="5"/>
  <c r="H876" i="5"/>
  <c r="E876" i="5"/>
  <c r="D876" i="5"/>
  <c r="C876" i="5"/>
  <c r="Q875" i="5"/>
  <c r="P875" i="5"/>
  <c r="O875" i="5"/>
  <c r="J875" i="5"/>
  <c r="I875" i="5"/>
  <c r="H875" i="5"/>
  <c r="E875" i="5"/>
  <c r="D875" i="5"/>
  <c r="C875" i="5"/>
  <c r="Q874" i="5"/>
  <c r="P874" i="5"/>
  <c r="O874" i="5"/>
  <c r="J874" i="5"/>
  <c r="I874" i="5"/>
  <c r="H874" i="5"/>
  <c r="E874" i="5"/>
  <c r="D874" i="5"/>
  <c r="C874" i="5"/>
  <c r="Q873" i="5"/>
  <c r="P873" i="5"/>
  <c r="O873" i="5"/>
  <c r="J873" i="5"/>
  <c r="I873" i="5"/>
  <c r="H873" i="5"/>
  <c r="E873" i="5"/>
  <c r="D873" i="5"/>
  <c r="C873" i="5"/>
  <c r="Q872" i="5"/>
  <c r="P872" i="5"/>
  <c r="O872" i="5"/>
  <c r="J872" i="5"/>
  <c r="I872" i="5"/>
  <c r="H872" i="5"/>
  <c r="E872" i="5"/>
  <c r="D872" i="5"/>
  <c r="C872" i="5"/>
  <c r="Q871" i="5"/>
  <c r="P871" i="5"/>
  <c r="O871" i="5"/>
  <c r="J871" i="5"/>
  <c r="I871" i="5"/>
  <c r="H871" i="5"/>
  <c r="E871" i="5"/>
  <c r="D871" i="5"/>
  <c r="C871" i="5"/>
  <c r="Q870" i="5"/>
  <c r="P870" i="5"/>
  <c r="O870" i="5"/>
  <c r="J870" i="5"/>
  <c r="I870" i="5"/>
  <c r="H870" i="5"/>
  <c r="E870" i="5"/>
  <c r="D870" i="5"/>
  <c r="C870" i="5"/>
  <c r="Q869" i="5"/>
  <c r="P869" i="5"/>
  <c r="O869" i="5"/>
  <c r="J869" i="5"/>
  <c r="I869" i="5"/>
  <c r="H869" i="5"/>
  <c r="E869" i="5"/>
  <c r="D869" i="5"/>
  <c r="C869" i="5"/>
  <c r="Q868" i="5"/>
  <c r="P868" i="5"/>
  <c r="O868" i="5"/>
  <c r="J868" i="5"/>
  <c r="I868" i="5"/>
  <c r="H868" i="5"/>
  <c r="E868" i="5"/>
  <c r="D868" i="5"/>
  <c r="C868" i="5"/>
  <c r="Q867" i="5"/>
  <c r="P867" i="5"/>
  <c r="O867" i="5"/>
  <c r="J867" i="5"/>
  <c r="I867" i="5"/>
  <c r="H867" i="5"/>
  <c r="E867" i="5"/>
  <c r="D867" i="5"/>
  <c r="C867" i="5"/>
  <c r="Q866" i="5"/>
  <c r="P866" i="5"/>
  <c r="O866" i="5"/>
  <c r="J866" i="5"/>
  <c r="I866" i="5"/>
  <c r="H866" i="5"/>
  <c r="E866" i="5"/>
  <c r="D866" i="5"/>
  <c r="C866" i="5"/>
  <c r="Q865" i="5"/>
  <c r="P865" i="5"/>
  <c r="O865" i="5"/>
  <c r="J865" i="5"/>
  <c r="I865" i="5"/>
  <c r="H865" i="5"/>
  <c r="E865" i="5"/>
  <c r="D865" i="5"/>
  <c r="C865" i="5"/>
  <c r="Q864" i="5"/>
  <c r="P864" i="5"/>
  <c r="O864" i="5"/>
  <c r="J864" i="5"/>
  <c r="I864" i="5"/>
  <c r="H864" i="5"/>
  <c r="E864" i="5"/>
  <c r="D864" i="5"/>
  <c r="C864" i="5"/>
  <c r="Q863" i="5"/>
  <c r="P863" i="5"/>
  <c r="O863" i="5"/>
  <c r="J863" i="5"/>
  <c r="I863" i="5"/>
  <c r="H863" i="5"/>
  <c r="E863" i="5"/>
  <c r="D863" i="5"/>
  <c r="C863" i="5"/>
  <c r="Q862" i="5"/>
  <c r="P862" i="5"/>
  <c r="O862" i="5"/>
  <c r="J862" i="5"/>
  <c r="I862" i="5"/>
  <c r="H862" i="5"/>
  <c r="E862" i="5"/>
  <c r="D862" i="5"/>
  <c r="C862" i="5"/>
  <c r="Q861" i="5"/>
  <c r="P861" i="5"/>
  <c r="O861" i="5"/>
  <c r="J861" i="5"/>
  <c r="I861" i="5"/>
  <c r="H861" i="5"/>
  <c r="E861" i="5"/>
  <c r="D861" i="5"/>
  <c r="C861" i="5"/>
  <c r="Q860" i="5"/>
  <c r="P860" i="5"/>
  <c r="O860" i="5"/>
  <c r="J860" i="5"/>
  <c r="I860" i="5"/>
  <c r="H860" i="5"/>
  <c r="E860" i="5"/>
  <c r="D860" i="5"/>
  <c r="C860" i="5"/>
  <c r="Q859" i="5"/>
  <c r="P859" i="5"/>
  <c r="O859" i="5"/>
  <c r="J859" i="5"/>
  <c r="I859" i="5"/>
  <c r="H859" i="5"/>
  <c r="E859" i="5"/>
  <c r="D859" i="5"/>
  <c r="C859" i="5"/>
  <c r="Q858" i="5"/>
  <c r="P858" i="5"/>
  <c r="O858" i="5"/>
  <c r="J858" i="5"/>
  <c r="I858" i="5"/>
  <c r="H858" i="5"/>
  <c r="E858" i="5"/>
  <c r="D858" i="5"/>
  <c r="C858" i="5"/>
  <c r="Q857" i="5"/>
  <c r="P857" i="5"/>
  <c r="O857" i="5"/>
  <c r="J857" i="5"/>
  <c r="I857" i="5"/>
  <c r="H857" i="5"/>
  <c r="E857" i="5"/>
  <c r="D857" i="5"/>
  <c r="C857" i="5"/>
  <c r="Q856" i="5"/>
  <c r="P856" i="5"/>
  <c r="O856" i="5"/>
  <c r="J856" i="5"/>
  <c r="I856" i="5"/>
  <c r="H856" i="5"/>
  <c r="E856" i="5"/>
  <c r="D856" i="5"/>
  <c r="C856" i="5"/>
  <c r="Q855" i="5"/>
  <c r="P855" i="5"/>
  <c r="O855" i="5"/>
  <c r="J855" i="5"/>
  <c r="I855" i="5"/>
  <c r="H855" i="5"/>
  <c r="E855" i="5"/>
  <c r="D855" i="5"/>
  <c r="C855" i="5"/>
  <c r="Q854" i="5"/>
  <c r="P854" i="5"/>
  <c r="O854" i="5"/>
  <c r="J854" i="5"/>
  <c r="I854" i="5"/>
  <c r="H854" i="5"/>
  <c r="E854" i="5"/>
  <c r="D854" i="5"/>
  <c r="C854" i="5"/>
  <c r="Q853" i="5"/>
  <c r="P853" i="5"/>
  <c r="O853" i="5"/>
  <c r="J853" i="5"/>
  <c r="I853" i="5"/>
  <c r="H853" i="5"/>
  <c r="E853" i="5"/>
  <c r="D853" i="5"/>
  <c r="C853" i="5"/>
  <c r="Q852" i="5"/>
  <c r="P852" i="5"/>
  <c r="O852" i="5"/>
  <c r="J852" i="5"/>
  <c r="I852" i="5"/>
  <c r="H852" i="5"/>
  <c r="E852" i="5"/>
  <c r="D852" i="5"/>
  <c r="C852" i="5"/>
  <c r="Q851" i="5"/>
  <c r="P851" i="5"/>
  <c r="O851" i="5"/>
  <c r="J851" i="5"/>
  <c r="I851" i="5"/>
  <c r="H851" i="5"/>
  <c r="E851" i="5"/>
  <c r="D851" i="5"/>
  <c r="C851" i="5"/>
  <c r="Q850" i="5"/>
  <c r="P850" i="5"/>
  <c r="O850" i="5"/>
  <c r="J850" i="5"/>
  <c r="I850" i="5"/>
  <c r="H850" i="5"/>
  <c r="E850" i="5"/>
  <c r="D850" i="5"/>
  <c r="C850" i="5"/>
  <c r="Q849" i="5"/>
  <c r="P849" i="5"/>
  <c r="O849" i="5"/>
  <c r="J849" i="5"/>
  <c r="I849" i="5"/>
  <c r="H849" i="5"/>
  <c r="E849" i="5"/>
  <c r="D849" i="5"/>
  <c r="C849" i="5"/>
  <c r="Q848" i="5"/>
  <c r="P848" i="5"/>
  <c r="O848" i="5"/>
  <c r="J848" i="5"/>
  <c r="I848" i="5"/>
  <c r="H848" i="5"/>
  <c r="E848" i="5"/>
  <c r="D848" i="5"/>
  <c r="C848" i="5"/>
  <c r="Q847" i="5"/>
  <c r="P847" i="5"/>
  <c r="O847" i="5"/>
  <c r="J847" i="5"/>
  <c r="I847" i="5"/>
  <c r="H847" i="5"/>
  <c r="E847" i="5"/>
  <c r="D847" i="5"/>
  <c r="C847" i="5"/>
  <c r="Q846" i="5"/>
  <c r="P846" i="5"/>
  <c r="O846" i="5"/>
  <c r="J846" i="5"/>
  <c r="I846" i="5"/>
  <c r="H846" i="5"/>
  <c r="E846" i="5"/>
  <c r="D846" i="5"/>
  <c r="C846" i="5"/>
  <c r="Q845" i="5"/>
  <c r="P845" i="5"/>
  <c r="O845" i="5"/>
  <c r="J845" i="5"/>
  <c r="I845" i="5"/>
  <c r="H845" i="5"/>
  <c r="E845" i="5"/>
  <c r="D845" i="5"/>
  <c r="C845" i="5"/>
  <c r="Q844" i="5"/>
  <c r="P844" i="5"/>
  <c r="O844" i="5"/>
  <c r="J844" i="5"/>
  <c r="I844" i="5"/>
  <c r="H844" i="5"/>
  <c r="E844" i="5"/>
  <c r="D844" i="5"/>
  <c r="C844" i="5"/>
  <c r="Q843" i="5"/>
  <c r="P843" i="5"/>
  <c r="O843" i="5"/>
  <c r="J843" i="5"/>
  <c r="I843" i="5"/>
  <c r="H843" i="5"/>
  <c r="E843" i="5"/>
  <c r="D843" i="5"/>
  <c r="C843" i="5"/>
  <c r="Q842" i="5"/>
  <c r="P842" i="5"/>
  <c r="O842" i="5"/>
  <c r="J842" i="5"/>
  <c r="I842" i="5"/>
  <c r="H842" i="5"/>
  <c r="E842" i="5"/>
  <c r="D842" i="5"/>
  <c r="C842" i="5"/>
  <c r="Q841" i="5"/>
  <c r="P841" i="5"/>
  <c r="O841" i="5"/>
  <c r="J841" i="5"/>
  <c r="I841" i="5"/>
  <c r="H841" i="5"/>
  <c r="E841" i="5"/>
  <c r="D841" i="5"/>
  <c r="C841" i="5"/>
  <c r="Q840" i="5"/>
  <c r="P840" i="5"/>
  <c r="O840" i="5"/>
  <c r="J840" i="5"/>
  <c r="I840" i="5"/>
  <c r="H840" i="5"/>
  <c r="E840" i="5"/>
  <c r="D840" i="5"/>
  <c r="C840" i="5"/>
  <c r="Q839" i="5"/>
  <c r="P839" i="5"/>
  <c r="O839" i="5"/>
  <c r="J839" i="5"/>
  <c r="I839" i="5"/>
  <c r="H839" i="5"/>
  <c r="E839" i="5"/>
  <c r="D839" i="5"/>
  <c r="C839" i="5"/>
  <c r="Q838" i="5"/>
  <c r="P838" i="5"/>
  <c r="O838" i="5"/>
  <c r="J838" i="5"/>
  <c r="I838" i="5"/>
  <c r="H838" i="5"/>
  <c r="E838" i="5"/>
  <c r="D838" i="5"/>
  <c r="C838" i="5"/>
  <c r="Q837" i="5"/>
  <c r="P837" i="5"/>
  <c r="O837" i="5"/>
  <c r="J837" i="5"/>
  <c r="I837" i="5"/>
  <c r="H837" i="5"/>
  <c r="E837" i="5"/>
  <c r="D837" i="5"/>
  <c r="C837" i="5"/>
  <c r="Q836" i="5"/>
  <c r="P836" i="5"/>
  <c r="O836" i="5"/>
  <c r="J836" i="5"/>
  <c r="I836" i="5"/>
  <c r="H836" i="5"/>
  <c r="E836" i="5"/>
  <c r="D836" i="5"/>
  <c r="C836" i="5"/>
  <c r="Q835" i="5"/>
  <c r="P835" i="5"/>
  <c r="O835" i="5"/>
  <c r="J835" i="5"/>
  <c r="I835" i="5"/>
  <c r="H835" i="5"/>
  <c r="E835" i="5"/>
  <c r="D835" i="5"/>
  <c r="C835" i="5"/>
  <c r="Q834" i="5"/>
  <c r="P834" i="5"/>
  <c r="O834" i="5"/>
  <c r="J834" i="5"/>
  <c r="I834" i="5"/>
  <c r="H834" i="5"/>
  <c r="E834" i="5"/>
  <c r="D834" i="5"/>
  <c r="C834" i="5"/>
  <c r="Q833" i="5"/>
  <c r="P833" i="5"/>
  <c r="O833" i="5"/>
  <c r="J833" i="5"/>
  <c r="I833" i="5"/>
  <c r="H833" i="5"/>
  <c r="E833" i="5"/>
  <c r="D833" i="5"/>
  <c r="C833" i="5"/>
  <c r="Q832" i="5"/>
  <c r="P832" i="5"/>
  <c r="O832" i="5"/>
  <c r="J832" i="5"/>
  <c r="I832" i="5"/>
  <c r="H832" i="5"/>
  <c r="E832" i="5"/>
  <c r="D832" i="5"/>
  <c r="C832" i="5"/>
  <c r="Q831" i="5"/>
  <c r="P831" i="5"/>
  <c r="O831" i="5"/>
  <c r="J831" i="5"/>
  <c r="I831" i="5"/>
  <c r="H831" i="5"/>
  <c r="E831" i="5"/>
  <c r="D831" i="5"/>
  <c r="C831" i="5"/>
  <c r="Q830" i="5"/>
  <c r="P830" i="5"/>
  <c r="O830" i="5"/>
  <c r="J830" i="5"/>
  <c r="I830" i="5"/>
  <c r="H830" i="5"/>
  <c r="E830" i="5"/>
  <c r="D830" i="5"/>
  <c r="C830" i="5"/>
  <c r="Q829" i="5"/>
  <c r="P829" i="5"/>
  <c r="O829" i="5"/>
  <c r="J829" i="5"/>
  <c r="I829" i="5"/>
  <c r="H829" i="5"/>
  <c r="E829" i="5"/>
  <c r="D829" i="5"/>
  <c r="C829" i="5"/>
  <c r="Q828" i="5"/>
  <c r="P828" i="5"/>
  <c r="O828" i="5"/>
  <c r="J828" i="5"/>
  <c r="I828" i="5"/>
  <c r="H828" i="5"/>
  <c r="E828" i="5"/>
  <c r="D828" i="5"/>
  <c r="C828" i="5"/>
  <c r="Q827" i="5"/>
  <c r="P827" i="5"/>
  <c r="O827" i="5"/>
  <c r="J827" i="5"/>
  <c r="I827" i="5"/>
  <c r="H827" i="5"/>
  <c r="E827" i="5"/>
  <c r="D827" i="5"/>
  <c r="C827" i="5"/>
  <c r="Q826" i="5"/>
  <c r="P826" i="5"/>
  <c r="O826" i="5"/>
  <c r="J826" i="5"/>
  <c r="I826" i="5"/>
  <c r="H826" i="5"/>
  <c r="E826" i="5"/>
  <c r="D826" i="5"/>
  <c r="C826" i="5"/>
  <c r="Q825" i="5"/>
  <c r="P825" i="5"/>
  <c r="O825" i="5"/>
  <c r="J825" i="5"/>
  <c r="I825" i="5"/>
  <c r="H825" i="5"/>
  <c r="E825" i="5"/>
  <c r="D825" i="5"/>
  <c r="C825" i="5"/>
  <c r="Q824" i="5"/>
  <c r="P824" i="5"/>
  <c r="O824" i="5"/>
  <c r="J824" i="5"/>
  <c r="I824" i="5"/>
  <c r="H824" i="5"/>
  <c r="E824" i="5"/>
  <c r="D824" i="5"/>
  <c r="C824" i="5"/>
  <c r="Q823" i="5"/>
  <c r="P823" i="5"/>
  <c r="O823" i="5"/>
  <c r="J823" i="5"/>
  <c r="I823" i="5"/>
  <c r="H823" i="5"/>
  <c r="E823" i="5"/>
  <c r="D823" i="5"/>
  <c r="C823" i="5"/>
  <c r="Q822" i="5"/>
  <c r="P822" i="5"/>
  <c r="O822" i="5"/>
  <c r="J822" i="5"/>
  <c r="I822" i="5"/>
  <c r="H822" i="5"/>
  <c r="E822" i="5"/>
  <c r="D822" i="5"/>
  <c r="C822" i="5"/>
  <c r="Q821" i="5"/>
  <c r="P821" i="5"/>
  <c r="O821" i="5"/>
  <c r="J821" i="5"/>
  <c r="I821" i="5"/>
  <c r="H821" i="5"/>
  <c r="E821" i="5"/>
  <c r="D821" i="5"/>
  <c r="C821" i="5"/>
  <c r="Q820" i="5"/>
  <c r="P820" i="5"/>
  <c r="O820" i="5"/>
  <c r="J820" i="5"/>
  <c r="I820" i="5"/>
  <c r="H820" i="5"/>
  <c r="E820" i="5"/>
  <c r="D820" i="5"/>
  <c r="C820" i="5"/>
  <c r="Q819" i="5"/>
  <c r="P819" i="5"/>
  <c r="O819" i="5"/>
  <c r="J819" i="5"/>
  <c r="I819" i="5"/>
  <c r="H819" i="5"/>
  <c r="E819" i="5"/>
  <c r="D819" i="5"/>
  <c r="C819" i="5"/>
  <c r="Q818" i="5"/>
  <c r="P818" i="5"/>
  <c r="O818" i="5"/>
  <c r="J818" i="5"/>
  <c r="I818" i="5"/>
  <c r="H818" i="5"/>
  <c r="E818" i="5"/>
  <c r="D818" i="5"/>
  <c r="C818" i="5"/>
  <c r="Q817" i="5"/>
  <c r="P817" i="5"/>
  <c r="O817" i="5"/>
  <c r="J817" i="5"/>
  <c r="I817" i="5"/>
  <c r="H817" i="5"/>
  <c r="E817" i="5"/>
  <c r="D817" i="5"/>
  <c r="C817" i="5"/>
  <c r="Q816" i="5"/>
  <c r="P816" i="5"/>
  <c r="O816" i="5"/>
  <c r="J816" i="5"/>
  <c r="I816" i="5"/>
  <c r="H816" i="5"/>
  <c r="E816" i="5"/>
  <c r="D816" i="5"/>
  <c r="C816" i="5"/>
  <c r="Q815" i="5"/>
  <c r="P815" i="5"/>
  <c r="O815" i="5"/>
  <c r="J815" i="5"/>
  <c r="I815" i="5"/>
  <c r="H815" i="5"/>
  <c r="E815" i="5"/>
  <c r="D815" i="5"/>
  <c r="C815" i="5"/>
  <c r="Q814" i="5"/>
  <c r="P814" i="5"/>
  <c r="O814" i="5"/>
  <c r="J814" i="5"/>
  <c r="I814" i="5"/>
  <c r="H814" i="5"/>
  <c r="E814" i="5"/>
  <c r="D814" i="5"/>
  <c r="C814" i="5"/>
  <c r="Q813" i="5"/>
  <c r="P813" i="5"/>
  <c r="O813" i="5"/>
  <c r="J813" i="5"/>
  <c r="I813" i="5"/>
  <c r="H813" i="5"/>
  <c r="E813" i="5"/>
  <c r="D813" i="5"/>
  <c r="C813" i="5"/>
  <c r="Q812" i="5"/>
  <c r="P812" i="5"/>
  <c r="O812" i="5"/>
  <c r="J812" i="5"/>
  <c r="I812" i="5"/>
  <c r="H812" i="5"/>
  <c r="E812" i="5"/>
  <c r="D812" i="5"/>
  <c r="C812" i="5"/>
  <c r="Q811" i="5"/>
  <c r="P811" i="5"/>
  <c r="O811" i="5"/>
  <c r="J811" i="5"/>
  <c r="I811" i="5"/>
  <c r="H811" i="5"/>
  <c r="E811" i="5"/>
  <c r="D811" i="5"/>
  <c r="C811" i="5"/>
  <c r="Q810" i="5"/>
  <c r="P810" i="5"/>
  <c r="O810" i="5"/>
  <c r="J810" i="5"/>
  <c r="I810" i="5"/>
  <c r="H810" i="5"/>
  <c r="E810" i="5"/>
  <c r="D810" i="5"/>
  <c r="C810" i="5"/>
  <c r="Q809" i="5"/>
  <c r="P809" i="5"/>
  <c r="O809" i="5"/>
  <c r="J809" i="5"/>
  <c r="I809" i="5"/>
  <c r="H809" i="5"/>
  <c r="E809" i="5"/>
  <c r="D809" i="5"/>
  <c r="C809" i="5"/>
  <c r="Q808" i="5"/>
  <c r="P808" i="5"/>
  <c r="O808" i="5"/>
  <c r="J808" i="5"/>
  <c r="I808" i="5"/>
  <c r="H808" i="5"/>
  <c r="E808" i="5"/>
  <c r="D808" i="5"/>
  <c r="C808" i="5"/>
  <c r="Q807" i="5"/>
  <c r="P807" i="5"/>
  <c r="O807" i="5"/>
  <c r="J807" i="5"/>
  <c r="I807" i="5"/>
  <c r="H807" i="5"/>
  <c r="E807" i="5"/>
  <c r="D807" i="5"/>
  <c r="C807" i="5"/>
  <c r="Q806" i="5"/>
  <c r="P806" i="5"/>
  <c r="O806" i="5"/>
  <c r="J806" i="5"/>
  <c r="I806" i="5"/>
  <c r="H806" i="5"/>
  <c r="E806" i="5"/>
  <c r="D806" i="5"/>
  <c r="C806" i="5"/>
  <c r="Q805" i="5"/>
  <c r="P805" i="5"/>
  <c r="O805" i="5"/>
  <c r="J805" i="5"/>
  <c r="I805" i="5"/>
  <c r="H805" i="5"/>
  <c r="E805" i="5"/>
  <c r="D805" i="5"/>
  <c r="C805" i="5"/>
  <c r="Q804" i="5"/>
  <c r="P804" i="5"/>
  <c r="O804" i="5"/>
  <c r="J804" i="5"/>
  <c r="I804" i="5"/>
  <c r="H804" i="5"/>
  <c r="E804" i="5"/>
  <c r="D804" i="5"/>
  <c r="C804" i="5"/>
  <c r="Q803" i="5"/>
  <c r="P803" i="5"/>
  <c r="O803" i="5"/>
  <c r="J803" i="5"/>
  <c r="I803" i="5"/>
  <c r="H803" i="5"/>
  <c r="E803" i="5"/>
  <c r="D803" i="5"/>
  <c r="C803" i="5"/>
  <c r="Q802" i="5"/>
  <c r="P802" i="5"/>
  <c r="O802" i="5"/>
  <c r="J802" i="5"/>
  <c r="I802" i="5"/>
  <c r="H802" i="5"/>
  <c r="E802" i="5"/>
  <c r="D802" i="5"/>
  <c r="C802" i="5"/>
  <c r="Q801" i="5"/>
  <c r="P801" i="5"/>
  <c r="O801" i="5"/>
  <c r="J801" i="5"/>
  <c r="I801" i="5"/>
  <c r="H801" i="5"/>
  <c r="E801" i="5"/>
  <c r="D801" i="5"/>
  <c r="C801" i="5"/>
  <c r="Q800" i="5"/>
  <c r="P800" i="5"/>
  <c r="O800" i="5"/>
  <c r="J800" i="5"/>
  <c r="I800" i="5"/>
  <c r="H800" i="5"/>
  <c r="E800" i="5"/>
  <c r="D800" i="5"/>
  <c r="C800" i="5"/>
  <c r="Q799" i="5"/>
  <c r="P799" i="5"/>
  <c r="O799" i="5"/>
  <c r="J799" i="5"/>
  <c r="I799" i="5"/>
  <c r="H799" i="5"/>
  <c r="E799" i="5"/>
  <c r="D799" i="5"/>
  <c r="C799" i="5"/>
  <c r="Q798" i="5"/>
  <c r="P798" i="5"/>
  <c r="O798" i="5"/>
  <c r="J798" i="5"/>
  <c r="I798" i="5"/>
  <c r="H798" i="5"/>
  <c r="E798" i="5"/>
  <c r="D798" i="5"/>
  <c r="C798" i="5"/>
  <c r="Q797" i="5"/>
  <c r="P797" i="5"/>
  <c r="O797" i="5"/>
  <c r="J797" i="5"/>
  <c r="I797" i="5"/>
  <c r="H797" i="5"/>
  <c r="E797" i="5"/>
  <c r="D797" i="5"/>
  <c r="C797" i="5"/>
  <c r="Q796" i="5"/>
  <c r="P796" i="5"/>
  <c r="O796" i="5"/>
  <c r="J796" i="5"/>
  <c r="I796" i="5"/>
  <c r="H796" i="5"/>
  <c r="E796" i="5"/>
  <c r="D796" i="5"/>
  <c r="C796" i="5"/>
  <c r="Q795" i="5"/>
  <c r="P795" i="5"/>
  <c r="O795" i="5"/>
  <c r="J795" i="5"/>
  <c r="I795" i="5"/>
  <c r="H795" i="5"/>
  <c r="E795" i="5"/>
  <c r="D795" i="5"/>
  <c r="C795" i="5"/>
  <c r="Q794" i="5"/>
  <c r="P794" i="5"/>
  <c r="O794" i="5"/>
  <c r="J794" i="5"/>
  <c r="I794" i="5"/>
  <c r="H794" i="5"/>
  <c r="E794" i="5"/>
  <c r="D794" i="5"/>
  <c r="C794" i="5"/>
  <c r="Q793" i="5"/>
  <c r="P793" i="5"/>
  <c r="O793" i="5"/>
  <c r="J793" i="5"/>
  <c r="I793" i="5"/>
  <c r="H793" i="5"/>
  <c r="E793" i="5"/>
  <c r="D793" i="5"/>
  <c r="C793" i="5"/>
  <c r="Q792" i="5"/>
  <c r="P792" i="5"/>
  <c r="O792" i="5"/>
  <c r="J792" i="5"/>
  <c r="I792" i="5"/>
  <c r="H792" i="5"/>
  <c r="E792" i="5"/>
  <c r="D792" i="5"/>
  <c r="C792" i="5"/>
  <c r="Q791" i="5"/>
  <c r="P791" i="5"/>
  <c r="O791" i="5"/>
  <c r="J791" i="5"/>
  <c r="I791" i="5"/>
  <c r="H791" i="5"/>
  <c r="E791" i="5"/>
  <c r="D791" i="5"/>
  <c r="C791" i="5"/>
  <c r="Q790" i="5"/>
  <c r="P790" i="5"/>
  <c r="O790" i="5"/>
  <c r="J790" i="5"/>
  <c r="I790" i="5"/>
  <c r="H790" i="5"/>
  <c r="E790" i="5"/>
  <c r="D790" i="5"/>
  <c r="C790" i="5"/>
  <c r="Q789" i="5"/>
  <c r="P789" i="5"/>
  <c r="O789" i="5"/>
  <c r="J789" i="5"/>
  <c r="I789" i="5"/>
  <c r="H789" i="5"/>
  <c r="E789" i="5"/>
  <c r="D789" i="5"/>
  <c r="C789" i="5"/>
  <c r="Q788" i="5"/>
  <c r="P788" i="5"/>
  <c r="O788" i="5"/>
  <c r="J788" i="5"/>
  <c r="I788" i="5"/>
  <c r="H788" i="5"/>
  <c r="E788" i="5"/>
  <c r="D788" i="5"/>
  <c r="C788" i="5"/>
  <c r="Q787" i="5"/>
  <c r="P787" i="5"/>
  <c r="O787" i="5"/>
  <c r="J787" i="5"/>
  <c r="I787" i="5"/>
  <c r="H787" i="5"/>
  <c r="E787" i="5"/>
  <c r="D787" i="5"/>
  <c r="C787" i="5"/>
  <c r="Q786" i="5"/>
  <c r="P786" i="5"/>
  <c r="O786" i="5"/>
  <c r="J786" i="5"/>
  <c r="I786" i="5"/>
  <c r="H786" i="5"/>
  <c r="E786" i="5"/>
  <c r="D786" i="5"/>
  <c r="C786" i="5"/>
  <c r="Q785" i="5"/>
  <c r="P785" i="5"/>
  <c r="O785" i="5"/>
  <c r="J785" i="5"/>
  <c r="I785" i="5"/>
  <c r="H785" i="5"/>
  <c r="E785" i="5"/>
  <c r="D785" i="5"/>
  <c r="C785" i="5"/>
  <c r="Q784" i="5"/>
  <c r="P784" i="5"/>
  <c r="O784" i="5"/>
  <c r="J784" i="5"/>
  <c r="I784" i="5"/>
  <c r="H784" i="5"/>
  <c r="E784" i="5"/>
  <c r="D784" i="5"/>
  <c r="C784" i="5"/>
  <c r="Q783" i="5"/>
  <c r="P783" i="5"/>
  <c r="O783" i="5"/>
  <c r="J783" i="5"/>
  <c r="I783" i="5"/>
  <c r="H783" i="5"/>
  <c r="E783" i="5"/>
  <c r="D783" i="5"/>
  <c r="C783" i="5"/>
  <c r="Q782" i="5"/>
  <c r="P782" i="5"/>
  <c r="O782" i="5"/>
  <c r="J782" i="5"/>
  <c r="I782" i="5"/>
  <c r="H782" i="5"/>
  <c r="E782" i="5"/>
  <c r="D782" i="5"/>
  <c r="C782" i="5"/>
  <c r="Q781" i="5"/>
  <c r="P781" i="5"/>
  <c r="O781" i="5"/>
  <c r="J781" i="5"/>
  <c r="I781" i="5"/>
  <c r="H781" i="5"/>
  <c r="E781" i="5"/>
  <c r="D781" i="5"/>
  <c r="C781" i="5"/>
  <c r="Q780" i="5"/>
  <c r="P780" i="5"/>
  <c r="O780" i="5"/>
  <c r="J780" i="5"/>
  <c r="I780" i="5"/>
  <c r="H780" i="5"/>
  <c r="E780" i="5"/>
  <c r="D780" i="5"/>
  <c r="C780" i="5"/>
  <c r="Q779" i="5"/>
  <c r="P779" i="5"/>
  <c r="O779" i="5"/>
  <c r="J779" i="5"/>
  <c r="I779" i="5"/>
  <c r="H779" i="5"/>
  <c r="E779" i="5"/>
  <c r="D779" i="5"/>
  <c r="C779" i="5"/>
  <c r="Q778" i="5"/>
  <c r="P778" i="5"/>
  <c r="O778" i="5"/>
  <c r="J778" i="5"/>
  <c r="I778" i="5"/>
  <c r="H778" i="5"/>
  <c r="E778" i="5"/>
  <c r="D778" i="5"/>
  <c r="C778" i="5"/>
  <c r="Q777" i="5"/>
  <c r="P777" i="5"/>
  <c r="O777" i="5"/>
  <c r="J777" i="5"/>
  <c r="I777" i="5"/>
  <c r="H777" i="5"/>
  <c r="E777" i="5"/>
  <c r="D777" i="5"/>
  <c r="C777" i="5"/>
  <c r="Q776" i="5"/>
  <c r="P776" i="5"/>
  <c r="O776" i="5"/>
  <c r="J776" i="5"/>
  <c r="I776" i="5"/>
  <c r="H776" i="5"/>
  <c r="E776" i="5"/>
  <c r="D776" i="5"/>
  <c r="C776" i="5"/>
  <c r="Q775" i="5"/>
  <c r="P775" i="5"/>
  <c r="O775" i="5"/>
  <c r="J775" i="5"/>
  <c r="I775" i="5"/>
  <c r="H775" i="5"/>
  <c r="E775" i="5"/>
  <c r="D775" i="5"/>
  <c r="C775" i="5"/>
  <c r="Q774" i="5"/>
  <c r="P774" i="5"/>
  <c r="O774" i="5"/>
  <c r="J774" i="5"/>
  <c r="I774" i="5"/>
  <c r="H774" i="5"/>
  <c r="E774" i="5"/>
  <c r="D774" i="5"/>
  <c r="C774" i="5"/>
  <c r="Q773" i="5"/>
  <c r="P773" i="5"/>
  <c r="O773" i="5"/>
  <c r="J773" i="5"/>
  <c r="I773" i="5"/>
  <c r="H773" i="5"/>
  <c r="E773" i="5"/>
  <c r="D773" i="5"/>
  <c r="C773" i="5"/>
  <c r="Q772" i="5"/>
  <c r="P772" i="5"/>
  <c r="O772" i="5"/>
  <c r="J772" i="5"/>
  <c r="I772" i="5"/>
  <c r="H772" i="5"/>
  <c r="E772" i="5"/>
  <c r="D772" i="5"/>
  <c r="C772" i="5"/>
  <c r="Q771" i="5"/>
  <c r="P771" i="5"/>
  <c r="O771" i="5"/>
  <c r="J771" i="5"/>
  <c r="I771" i="5"/>
  <c r="H771" i="5"/>
  <c r="E771" i="5"/>
  <c r="D771" i="5"/>
  <c r="C771" i="5"/>
  <c r="Q770" i="5"/>
  <c r="P770" i="5"/>
  <c r="O770" i="5"/>
  <c r="J770" i="5"/>
  <c r="I770" i="5"/>
  <c r="H770" i="5"/>
  <c r="E770" i="5"/>
  <c r="D770" i="5"/>
  <c r="C770" i="5"/>
  <c r="Q769" i="5"/>
  <c r="P769" i="5"/>
  <c r="O769" i="5"/>
  <c r="J769" i="5"/>
  <c r="I769" i="5"/>
  <c r="H769" i="5"/>
  <c r="E769" i="5"/>
  <c r="D769" i="5"/>
  <c r="C769" i="5"/>
  <c r="Q768" i="5"/>
  <c r="P768" i="5"/>
  <c r="O768" i="5"/>
  <c r="J768" i="5"/>
  <c r="I768" i="5"/>
  <c r="H768" i="5"/>
  <c r="E768" i="5"/>
  <c r="D768" i="5"/>
  <c r="C768" i="5"/>
  <c r="Q767" i="5"/>
  <c r="P767" i="5"/>
  <c r="O767" i="5"/>
  <c r="J767" i="5"/>
  <c r="I767" i="5"/>
  <c r="H767" i="5"/>
  <c r="E767" i="5"/>
  <c r="D767" i="5"/>
  <c r="C767" i="5"/>
  <c r="Q766" i="5"/>
  <c r="P766" i="5"/>
  <c r="O766" i="5"/>
  <c r="J766" i="5"/>
  <c r="I766" i="5"/>
  <c r="H766" i="5"/>
  <c r="E766" i="5"/>
  <c r="D766" i="5"/>
  <c r="C766" i="5"/>
  <c r="Q765" i="5"/>
  <c r="P765" i="5"/>
  <c r="O765" i="5"/>
  <c r="J765" i="5"/>
  <c r="I765" i="5"/>
  <c r="H765" i="5"/>
  <c r="E765" i="5"/>
  <c r="D765" i="5"/>
  <c r="C765" i="5"/>
  <c r="Q764" i="5"/>
  <c r="P764" i="5"/>
  <c r="O764" i="5"/>
  <c r="J764" i="5"/>
  <c r="I764" i="5"/>
  <c r="H764" i="5"/>
  <c r="E764" i="5"/>
  <c r="D764" i="5"/>
  <c r="C764" i="5"/>
  <c r="Q763" i="5"/>
  <c r="P763" i="5"/>
  <c r="O763" i="5"/>
  <c r="J763" i="5"/>
  <c r="I763" i="5"/>
  <c r="H763" i="5"/>
  <c r="E763" i="5"/>
  <c r="D763" i="5"/>
  <c r="C763" i="5"/>
  <c r="Q762" i="5"/>
  <c r="P762" i="5"/>
  <c r="O762" i="5"/>
  <c r="J762" i="5"/>
  <c r="I762" i="5"/>
  <c r="H762" i="5"/>
  <c r="E762" i="5"/>
  <c r="D762" i="5"/>
  <c r="C762" i="5"/>
  <c r="Q761" i="5"/>
  <c r="P761" i="5"/>
  <c r="O761" i="5"/>
  <c r="J761" i="5"/>
  <c r="I761" i="5"/>
  <c r="H761" i="5"/>
  <c r="E761" i="5"/>
  <c r="D761" i="5"/>
  <c r="C761" i="5"/>
  <c r="Q760" i="5"/>
  <c r="P760" i="5"/>
  <c r="O760" i="5"/>
  <c r="J760" i="5"/>
  <c r="I760" i="5"/>
  <c r="H760" i="5"/>
  <c r="E760" i="5"/>
  <c r="D760" i="5"/>
  <c r="C760" i="5"/>
  <c r="Q759" i="5"/>
  <c r="P759" i="5"/>
  <c r="O759" i="5"/>
  <c r="J759" i="5"/>
  <c r="I759" i="5"/>
  <c r="H759" i="5"/>
  <c r="E759" i="5"/>
  <c r="D759" i="5"/>
  <c r="C759" i="5"/>
  <c r="Q758" i="5"/>
  <c r="P758" i="5"/>
  <c r="O758" i="5"/>
  <c r="J758" i="5"/>
  <c r="I758" i="5"/>
  <c r="H758" i="5"/>
  <c r="E758" i="5"/>
  <c r="D758" i="5"/>
  <c r="C758" i="5"/>
  <c r="Q757" i="5"/>
  <c r="P757" i="5"/>
  <c r="O757" i="5"/>
  <c r="J757" i="5"/>
  <c r="I757" i="5"/>
  <c r="H757" i="5"/>
  <c r="E757" i="5"/>
  <c r="D757" i="5"/>
  <c r="C757" i="5"/>
  <c r="Q756" i="5"/>
  <c r="P756" i="5"/>
  <c r="O756" i="5"/>
  <c r="J756" i="5"/>
  <c r="I756" i="5"/>
  <c r="H756" i="5"/>
  <c r="E756" i="5"/>
  <c r="D756" i="5"/>
  <c r="C756" i="5"/>
  <c r="Q755" i="5"/>
  <c r="P755" i="5"/>
  <c r="O755" i="5"/>
  <c r="J755" i="5"/>
  <c r="I755" i="5"/>
  <c r="H755" i="5"/>
  <c r="E755" i="5"/>
  <c r="D755" i="5"/>
  <c r="C755" i="5"/>
  <c r="Q754" i="5"/>
  <c r="P754" i="5"/>
  <c r="O754" i="5"/>
  <c r="J754" i="5"/>
  <c r="I754" i="5"/>
  <c r="H754" i="5"/>
  <c r="E754" i="5"/>
  <c r="D754" i="5"/>
  <c r="C754" i="5"/>
  <c r="Q753" i="5"/>
  <c r="P753" i="5"/>
  <c r="O753" i="5"/>
  <c r="J753" i="5"/>
  <c r="I753" i="5"/>
  <c r="H753" i="5"/>
  <c r="E753" i="5"/>
  <c r="D753" i="5"/>
  <c r="C753" i="5"/>
  <c r="Q752" i="5"/>
  <c r="P752" i="5"/>
  <c r="O752" i="5"/>
  <c r="J752" i="5"/>
  <c r="I752" i="5"/>
  <c r="H752" i="5"/>
  <c r="E752" i="5"/>
  <c r="D752" i="5"/>
  <c r="C752" i="5"/>
  <c r="Q751" i="5"/>
  <c r="P751" i="5"/>
  <c r="O751" i="5"/>
  <c r="J751" i="5"/>
  <c r="I751" i="5"/>
  <c r="H751" i="5"/>
  <c r="E751" i="5"/>
  <c r="D751" i="5"/>
  <c r="C751" i="5"/>
  <c r="Q750" i="5"/>
  <c r="P750" i="5"/>
  <c r="O750" i="5"/>
  <c r="J750" i="5"/>
  <c r="I750" i="5"/>
  <c r="H750" i="5"/>
  <c r="E750" i="5"/>
  <c r="D750" i="5"/>
  <c r="C750" i="5"/>
  <c r="Q749" i="5"/>
  <c r="P749" i="5"/>
  <c r="O749" i="5"/>
  <c r="J749" i="5"/>
  <c r="I749" i="5"/>
  <c r="H749" i="5"/>
  <c r="E749" i="5"/>
  <c r="D749" i="5"/>
  <c r="C749" i="5"/>
  <c r="Q748" i="5"/>
  <c r="P748" i="5"/>
  <c r="O748" i="5"/>
  <c r="J748" i="5"/>
  <c r="I748" i="5"/>
  <c r="H748" i="5"/>
  <c r="E748" i="5"/>
  <c r="D748" i="5"/>
  <c r="C748" i="5"/>
  <c r="Q747" i="5"/>
  <c r="P747" i="5"/>
  <c r="O747" i="5"/>
  <c r="J747" i="5"/>
  <c r="I747" i="5"/>
  <c r="H747" i="5"/>
  <c r="E747" i="5"/>
  <c r="D747" i="5"/>
  <c r="C747" i="5"/>
  <c r="Q746" i="5"/>
  <c r="P746" i="5"/>
  <c r="O746" i="5"/>
  <c r="J746" i="5"/>
  <c r="I746" i="5"/>
  <c r="H746" i="5"/>
  <c r="E746" i="5"/>
  <c r="D746" i="5"/>
  <c r="C746" i="5"/>
  <c r="Q745" i="5"/>
  <c r="P745" i="5"/>
  <c r="O745" i="5"/>
  <c r="J745" i="5"/>
  <c r="I745" i="5"/>
  <c r="H745" i="5"/>
  <c r="E745" i="5"/>
  <c r="D745" i="5"/>
  <c r="C745" i="5"/>
  <c r="Q744" i="5"/>
  <c r="P744" i="5"/>
  <c r="O744" i="5"/>
  <c r="J744" i="5"/>
  <c r="I744" i="5"/>
  <c r="H744" i="5"/>
  <c r="E744" i="5"/>
  <c r="D744" i="5"/>
  <c r="C744" i="5"/>
  <c r="Q743" i="5"/>
  <c r="P743" i="5"/>
  <c r="O743" i="5"/>
  <c r="J743" i="5"/>
  <c r="I743" i="5"/>
  <c r="H743" i="5"/>
  <c r="E743" i="5"/>
  <c r="D743" i="5"/>
  <c r="C743" i="5"/>
  <c r="Q742" i="5"/>
  <c r="P742" i="5"/>
  <c r="O742" i="5"/>
  <c r="J742" i="5"/>
  <c r="I742" i="5"/>
  <c r="H742" i="5"/>
  <c r="E742" i="5"/>
  <c r="D742" i="5"/>
  <c r="C742" i="5"/>
  <c r="Q741" i="5"/>
  <c r="P741" i="5"/>
  <c r="O741" i="5"/>
  <c r="J741" i="5"/>
  <c r="I741" i="5"/>
  <c r="H741" i="5"/>
  <c r="E741" i="5"/>
  <c r="D741" i="5"/>
  <c r="C741" i="5"/>
  <c r="Q740" i="5"/>
  <c r="P740" i="5"/>
  <c r="O740" i="5"/>
  <c r="J740" i="5"/>
  <c r="I740" i="5"/>
  <c r="H740" i="5"/>
  <c r="E740" i="5"/>
  <c r="D740" i="5"/>
  <c r="C740" i="5"/>
  <c r="Q739" i="5"/>
  <c r="P739" i="5"/>
  <c r="O739" i="5"/>
  <c r="J739" i="5"/>
  <c r="I739" i="5"/>
  <c r="H739" i="5"/>
  <c r="E739" i="5"/>
  <c r="D739" i="5"/>
  <c r="C739" i="5"/>
  <c r="Q738" i="5"/>
  <c r="P738" i="5"/>
  <c r="O738" i="5"/>
  <c r="J738" i="5"/>
  <c r="I738" i="5"/>
  <c r="H738" i="5"/>
  <c r="E738" i="5"/>
  <c r="D738" i="5"/>
  <c r="C738" i="5"/>
  <c r="Q737" i="5"/>
  <c r="P737" i="5"/>
  <c r="O737" i="5"/>
  <c r="J737" i="5"/>
  <c r="I737" i="5"/>
  <c r="H737" i="5"/>
  <c r="E737" i="5"/>
  <c r="D737" i="5"/>
  <c r="C737" i="5"/>
  <c r="Q736" i="5"/>
  <c r="P736" i="5"/>
  <c r="O736" i="5"/>
  <c r="J736" i="5"/>
  <c r="I736" i="5"/>
  <c r="H736" i="5"/>
  <c r="E736" i="5"/>
  <c r="D736" i="5"/>
  <c r="C736" i="5"/>
  <c r="Q735" i="5"/>
  <c r="P735" i="5"/>
  <c r="O735" i="5"/>
  <c r="J735" i="5"/>
  <c r="I735" i="5"/>
  <c r="H735" i="5"/>
  <c r="E735" i="5"/>
  <c r="D735" i="5"/>
  <c r="C735" i="5"/>
  <c r="Q734" i="5"/>
  <c r="P734" i="5"/>
  <c r="O734" i="5"/>
  <c r="J734" i="5"/>
  <c r="I734" i="5"/>
  <c r="H734" i="5"/>
  <c r="E734" i="5"/>
  <c r="D734" i="5"/>
  <c r="C734" i="5"/>
  <c r="Q733" i="5"/>
  <c r="P733" i="5"/>
  <c r="O733" i="5"/>
  <c r="J733" i="5"/>
  <c r="I733" i="5"/>
  <c r="H733" i="5"/>
  <c r="E733" i="5"/>
  <c r="D733" i="5"/>
  <c r="C733" i="5"/>
  <c r="Q732" i="5"/>
  <c r="P732" i="5"/>
  <c r="O732" i="5"/>
  <c r="J732" i="5"/>
  <c r="I732" i="5"/>
  <c r="H732" i="5"/>
  <c r="E732" i="5"/>
  <c r="D732" i="5"/>
  <c r="C732" i="5"/>
  <c r="Q731" i="5"/>
  <c r="P731" i="5"/>
  <c r="O731" i="5"/>
  <c r="J731" i="5"/>
  <c r="I731" i="5"/>
  <c r="H731" i="5"/>
  <c r="E731" i="5"/>
  <c r="D731" i="5"/>
  <c r="C731" i="5"/>
  <c r="Q730" i="5"/>
  <c r="P730" i="5"/>
  <c r="O730" i="5"/>
  <c r="J730" i="5"/>
  <c r="I730" i="5"/>
  <c r="H730" i="5"/>
  <c r="E730" i="5"/>
  <c r="D730" i="5"/>
  <c r="C730" i="5"/>
  <c r="Q729" i="5"/>
  <c r="P729" i="5"/>
  <c r="O729" i="5"/>
  <c r="J729" i="5"/>
  <c r="I729" i="5"/>
  <c r="H729" i="5"/>
  <c r="E729" i="5"/>
  <c r="D729" i="5"/>
  <c r="C729" i="5"/>
  <c r="Q728" i="5"/>
  <c r="P728" i="5"/>
  <c r="O728" i="5"/>
  <c r="J728" i="5"/>
  <c r="I728" i="5"/>
  <c r="H728" i="5"/>
  <c r="E728" i="5"/>
  <c r="D728" i="5"/>
  <c r="C728" i="5"/>
  <c r="Q727" i="5"/>
  <c r="P727" i="5"/>
  <c r="O727" i="5"/>
  <c r="J727" i="5"/>
  <c r="I727" i="5"/>
  <c r="H727" i="5"/>
  <c r="E727" i="5"/>
  <c r="D727" i="5"/>
  <c r="C727" i="5"/>
  <c r="Q726" i="5"/>
  <c r="P726" i="5"/>
  <c r="O726" i="5"/>
  <c r="J726" i="5"/>
  <c r="I726" i="5"/>
  <c r="H726" i="5"/>
  <c r="E726" i="5"/>
  <c r="D726" i="5"/>
  <c r="C726" i="5"/>
  <c r="Q725" i="5"/>
  <c r="P725" i="5"/>
  <c r="O725" i="5"/>
  <c r="J725" i="5"/>
  <c r="I725" i="5"/>
  <c r="H725" i="5"/>
  <c r="E725" i="5"/>
  <c r="D725" i="5"/>
  <c r="C725" i="5"/>
  <c r="Q724" i="5"/>
  <c r="P724" i="5"/>
  <c r="O724" i="5"/>
  <c r="J724" i="5"/>
  <c r="I724" i="5"/>
  <c r="H724" i="5"/>
  <c r="E724" i="5"/>
  <c r="D724" i="5"/>
  <c r="C724" i="5"/>
  <c r="Q723" i="5"/>
  <c r="P723" i="5"/>
  <c r="O723" i="5"/>
  <c r="J723" i="5"/>
  <c r="I723" i="5"/>
  <c r="H723" i="5"/>
  <c r="E723" i="5"/>
  <c r="D723" i="5"/>
  <c r="C723" i="5"/>
  <c r="Q722" i="5"/>
  <c r="P722" i="5"/>
  <c r="O722" i="5"/>
  <c r="J722" i="5"/>
  <c r="I722" i="5"/>
  <c r="H722" i="5"/>
  <c r="E722" i="5"/>
  <c r="D722" i="5"/>
  <c r="C722" i="5"/>
  <c r="Q721" i="5"/>
  <c r="P721" i="5"/>
  <c r="O721" i="5"/>
  <c r="J721" i="5"/>
  <c r="I721" i="5"/>
  <c r="H721" i="5"/>
  <c r="E721" i="5"/>
  <c r="D721" i="5"/>
  <c r="C721" i="5"/>
  <c r="Q720" i="5"/>
  <c r="P720" i="5"/>
  <c r="O720" i="5"/>
  <c r="J720" i="5"/>
  <c r="I720" i="5"/>
  <c r="H720" i="5"/>
  <c r="E720" i="5"/>
  <c r="D720" i="5"/>
  <c r="C720" i="5"/>
  <c r="Q719" i="5"/>
  <c r="P719" i="5"/>
  <c r="O719" i="5"/>
  <c r="J719" i="5"/>
  <c r="I719" i="5"/>
  <c r="H719" i="5"/>
  <c r="E719" i="5"/>
  <c r="D719" i="5"/>
  <c r="C719" i="5"/>
  <c r="Q718" i="5"/>
  <c r="P718" i="5"/>
  <c r="O718" i="5"/>
  <c r="J718" i="5"/>
  <c r="I718" i="5"/>
  <c r="H718" i="5"/>
  <c r="E718" i="5"/>
  <c r="D718" i="5"/>
  <c r="C718" i="5"/>
  <c r="Q717" i="5"/>
  <c r="P717" i="5"/>
  <c r="O717" i="5"/>
  <c r="J717" i="5"/>
  <c r="I717" i="5"/>
  <c r="H717" i="5"/>
  <c r="E717" i="5"/>
  <c r="D717" i="5"/>
  <c r="C717" i="5"/>
  <c r="Q716" i="5"/>
  <c r="P716" i="5"/>
  <c r="O716" i="5"/>
  <c r="J716" i="5"/>
  <c r="I716" i="5"/>
  <c r="H716" i="5"/>
  <c r="E716" i="5"/>
  <c r="D716" i="5"/>
  <c r="C716" i="5"/>
  <c r="Q715" i="5"/>
  <c r="P715" i="5"/>
  <c r="O715" i="5"/>
  <c r="J715" i="5"/>
  <c r="I715" i="5"/>
  <c r="H715" i="5"/>
  <c r="E715" i="5"/>
  <c r="D715" i="5"/>
  <c r="C715" i="5"/>
  <c r="Q714" i="5"/>
  <c r="P714" i="5"/>
  <c r="O714" i="5"/>
  <c r="J714" i="5"/>
  <c r="I714" i="5"/>
  <c r="H714" i="5"/>
  <c r="E714" i="5"/>
  <c r="D714" i="5"/>
  <c r="C714" i="5"/>
  <c r="Q713" i="5"/>
  <c r="P713" i="5"/>
  <c r="O713" i="5"/>
  <c r="J713" i="5"/>
  <c r="I713" i="5"/>
  <c r="H713" i="5"/>
  <c r="E713" i="5"/>
  <c r="D713" i="5"/>
  <c r="C713" i="5"/>
  <c r="Q712" i="5"/>
  <c r="P712" i="5"/>
  <c r="O712" i="5"/>
  <c r="J712" i="5"/>
  <c r="I712" i="5"/>
  <c r="H712" i="5"/>
  <c r="E712" i="5"/>
  <c r="D712" i="5"/>
  <c r="C712" i="5"/>
  <c r="Q711" i="5"/>
  <c r="P711" i="5"/>
  <c r="O711" i="5"/>
  <c r="J711" i="5"/>
  <c r="I711" i="5"/>
  <c r="H711" i="5"/>
  <c r="E711" i="5"/>
  <c r="D711" i="5"/>
  <c r="C711" i="5"/>
  <c r="Q710" i="5"/>
  <c r="P710" i="5"/>
  <c r="O710" i="5"/>
  <c r="J710" i="5"/>
  <c r="I710" i="5"/>
  <c r="H710" i="5"/>
  <c r="E710" i="5"/>
  <c r="D710" i="5"/>
  <c r="C710" i="5"/>
  <c r="Q709" i="5"/>
  <c r="P709" i="5"/>
  <c r="O709" i="5"/>
  <c r="J709" i="5"/>
  <c r="I709" i="5"/>
  <c r="H709" i="5"/>
  <c r="E709" i="5"/>
  <c r="D709" i="5"/>
  <c r="C709" i="5"/>
  <c r="Q708" i="5"/>
  <c r="P708" i="5"/>
  <c r="O708" i="5"/>
  <c r="J708" i="5"/>
  <c r="I708" i="5"/>
  <c r="H708" i="5"/>
  <c r="E708" i="5"/>
  <c r="D708" i="5"/>
  <c r="C708" i="5"/>
  <c r="Q707" i="5"/>
  <c r="P707" i="5"/>
  <c r="O707" i="5"/>
  <c r="J707" i="5"/>
  <c r="I707" i="5"/>
  <c r="H707" i="5"/>
  <c r="E707" i="5"/>
  <c r="D707" i="5"/>
  <c r="C707" i="5"/>
  <c r="Q706" i="5"/>
  <c r="P706" i="5"/>
  <c r="O706" i="5"/>
  <c r="J706" i="5"/>
  <c r="I706" i="5"/>
  <c r="H706" i="5"/>
  <c r="E706" i="5"/>
  <c r="D706" i="5"/>
  <c r="C706" i="5"/>
  <c r="Q705" i="5"/>
  <c r="P705" i="5"/>
  <c r="O705" i="5"/>
  <c r="J705" i="5"/>
  <c r="I705" i="5"/>
  <c r="H705" i="5"/>
  <c r="E705" i="5"/>
  <c r="D705" i="5"/>
  <c r="C705" i="5"/>
  <c r="Q704" i="5"/>
  <c r="P704" i="5"/>
  <c r="O704" i="5"/>
  <c r="J704" i="5"/>
  <c r="I704" i="5"/>
  <c r="H704" i="5"/>
  <c r="E704" i="5"/>
  <c r="D704" i="5"/>
  <c r="C704" i="5"/>
  <c r="Q703" i="5"/>
  <c r="P703" i="5"/>
  <c r="O703" i="5"/>
  <c r="J703" i="5"/>
  <c r="I703" i="5"/>
  <c r="H703" i="5"/>
  <c r="E703" i="5"/>
  <c r="D703" i="5"/>
  <c r="C703" i="5"/>
  <c r="Q702" i="5"/>
  <c r="P702" i="5"/>
  <c r="O702" i="5"/>
  <c r="J702" i="5"/>
  <c r="I702" i="5"/>
  <c r="H702" i="5"/>
  <c r="E702" i="5"/>
  <c r="D702" i="5"/>
  <c r="C702" i="5"/>
  <c r="Q701" i="5"/>
  <c r="P701" i="5"/>
  <c r="O701" i="5"/>
  <c r="J701" i="5"/>
  <c r="I701" i="5"/>
  <c r="H701" i="5"/>
  <c r="E701" i="5"/>
  <c r="D701" i="5"/>
  <c r="C701" i="5"/>
  <c r="Q700" i="5"/>
  <c r="P700" i="5"/>
  <c r="O700" i="5"/>
  <c r="J700" i="5"/>
  <c r="I700" i="5"/>
  <c r="H700" i="5"/>
  <c r="E700" i="5"/>
  <c r="D700" i="5"/>
  <c r="C700" i="5"/>
  <c r="Q699" i="5"/>
  <c r="P699" i="5"/>
  <c r="O699" i="5"/>
  <c r="J699" i="5"/>
  <c r="I699" i="5"/>
  <c r="H699" i="5"/>
  <c r="E699" i="5"/>
  <c r="D699" i="5"/>
  <c r="C699" i="5"/>
  <c r="Q698" i="5"/>
  <c r="P698" i="5"/>
  <c r="O698" i="5"/>
  <c r="J698" i="5"/>
  <c r="I698" i="5"/>
  <c r="H698" i="5"/>
  <c r="E698" i="5"/>
  <c r="D698" i="5"/>
  <c r="C698" i="5"/>
  <c r="Q697" i="5"/>
  <c r="P697" i="5"/>
  <c r="O697" i="5"/>
  <c r="J697" i="5"/>
  <c r="I697" i="5"/>
  <c r="H697" i="5"/>
  <c r="E697" i="5"/>
  <c r="D697" i="5"/>
  <c r="C697" i="5"/>
  <c r="Q696" i="5"/>
  <c r="P696" i="5"/>
  <c r="O696" i="5"/>
  <c r="J696" i="5"/>
  <c r="I696" i="5"/>
  <c r="H696" i="5"/>
  <c r="E696" i="5"/>
  <c r="D696" i="5"/>
  <c r="C696" i="5"/>
  <c r="Q695" i="5"/>
  <c r="P695" i="5"/>
  <c r="O695" i="5"/>
  <c r="J695" i="5"/>
  <c r="I695" i="5"/>
  <c r="H695" i="5"/>
  <c r="E695" i="5"/>
  <c r="D695" i="5"/>
  <c r="C695" i="5"/>
  <c r="Q694" i="5"/>
  <c r="P694" i="5"/>
  <c r="O694" i="5"/>
  <c r="J694" i="5"/>
  <c r="I694" i="5"/>
  <c r="H694" i="5"/>
  <c r="E694" i="5"/>
  <c r="D694" i="5"/>
  <c r="C694" i="5"/>
  <c r="Q693" i="5"/>
  <c r="P693" i="5"/>
  <c r="O693" i="5"/>
  <c r="J693" i="5"/>
  <c r="I693" i="5"/>
  <c r="H693" i="5"/>
  <c r="E693" i="5"/>
  <c r="D693" i="5"/>
  <c r="C693" i="5"/>
  <c r="Q692" i="5"/>
  <c r="P692" i="5"/>
  <c r="O692" i="5"/>
  <c r="J692" i="5"/>
  <c r="I692" i="5"/>
  <c r="H692" i="5"/>
  <c r="E692" i="5"/>
  <c r="D692" i="5"/>
  <c r="C692" i="5"/>
  <c r="Q691" i="5"/>
  <c r="P691" i="5"/>
  <c r="O691" i="5"/>
  <c r="J691" i="5"/>
  <c r="I691" i="5"/>
  <c r="H691" i="5"/>
  <c r="E691" i="5"/>
  <c r="D691" i="5"/>
  <c r="C691" i="5"/>
  <c r="Q690" i="5"/>
  <c r="P690" i="5"/>
  <c r="O690" i="5"/>
  <c r="J690" i="5"/>
  <c r="I690" i="5"/>
  <c r="H690" i="5"/>
  <c r="E690" i="5"/>
  <c r="D690" i="5"/>
  <c r="C690" i="5"/>
  <c r="Q689" i="5"/>
  <c r="P689" i="5"/>
  <c r="O689" i="5"/>
  <c r="J689" i="5"/>
  <c r="I689" i="5"/>
  <c r="H689" i="5"/>
  <c r="E689" i="5"/>
  <c r="D689" i="5"/>
  <c r="C689" i="5"/>
  <c r="Q688" i="5"/>
  <c r="P688" i="5"/>
  <c r="O688" i="5"/>
  <c r="J688" i="5"/>
  <c r="I688" i="5"/>
  <c r="H688" i="5"/>
  <c r="E688" i="5"/>
  <c r="D688" i="5"/>
  <c r="C688" i="5"/>
  <c r="Q687" i="5"/>
  <c r="P687" i="5"/>
  <c r="O687" i="5"/>
  <c r="J687" i="5"/>
  <c r="I687" i="5"/>
  <c r="H687" i="5"/>
  <c r="E687" i="5"/>
  <c r="D687" i="5"/>
  <c r="C687" i="5"/>
  <c r="Q686" i="5"/>
  <c r="P686" i="5"/>
  <c r="O686" i="5"/>
  <c r="J686" i="5"/>
  <c r="I686" i="5"/>
  <c r="H686" i="5"/>
  <c r="E686" i="5"/>
  <c r="D686" i="5"/>
  <c r="C686" i="5"/>
  <c r="Q685" i="5"/>
  <c r="P685" i="5"/>
  <c r="O685" i="5"/>
  <c r="J685" i="5"/>
  <c r="I685" i="5"/>
  <c r="H685" i="5"/>
  <c r="E685" i="5"/>
  <c r="D685" i="5"/>
  <c r="C685" i="5"/>
  <c r="Q684" i="5"/>
  <c r="P684" i="5"/>
  <c r="O684" i="5"/>
  <c r="J684" i="5"/>
  <c r="I684" i="5"/>
  <c r="H684" i="5"/>
  <c r="E684" i="5"/>
  <c r="D684" i="5"/>
  <c r="C684" i="5"/>
  <c r="Q683" i="5"/>
  <c r="P683" i="5"/>
  <c r="O683" i="5"/>
  <c r="J683" i="5"/>
  <c r="I683" i="5"/>
  <c r="H683" i="5"/>
  <c r="E683" i="5"/>
  <c r="D683" i="5"/>
  <c r="C683" i="5"/>
  <c r="Q682" i="5"/>
  <c r="P682" i="5"/>
  <c r="O682" i="5"/>
  <c r="J682" i="5"/>
  <c r="I682" i="5"/>
  <c r="H682" i="5"/>
  <c r="E682" i="5"/>
  <c r="D682" i="5"/>
  <c r="C682" i="5"/>
  <c r="Q681" i="5"/>
  <c r="P681" i="5"/>
  <c r="O681" i="5"/>
  <c r="J681" i="5"/>
  <c r="I681" i="5"/>
  <c r="H681" i="5"/>
  <c r="E681" i="5"/>
  <c r="D681" i="5"/>
  <c r="C681" i="5"/>
  <c r="Q680" i="5"/>
  <c r="P680" i="5"/>
  <c r="O680" i="5"/>
  <c r="J680" i="5"/>
  <c r="I680" i="5"/>
  <c r="H680" i="5"/>
  <c r="E680" i="5"/>
  <c r="D680" i="5"/>
  <c r="C680" i="5"/>
  <c r="Q679" i="5"/>
  <c r="P679" i="5"/>
  <c r="O679" i="5"/>
  <c r="J679" i="5"/>
  <c r="I679" i="5"/>
  <c r="H679" i="5"/>
  <c r="E679" i="5"/>
  <c r="D679" i="5"/>
  <c r="C679" i="5"/>
  <c r="Q678" i="5"/>
  <c r="P678" i="5"/>
  <c r="O678" i="5"/>
  <c r="J678" i="5"/>
  <c r="I678" i="5"/>
  <c r="H678" i="5"/>
  <c r="E678" i="5"/>
  <c r="D678" i="5"/>
  <c r="C678" i="5"/>
  <c r="Q677" i="5"/>
  <c r="P677" i="5"/>
  <c r="O677" i="5"/>
  <c r="J677" i="5"/>
  <c r="I677" i="5"/>
  <c r="H677" i="5"/>
  <c r="E677" i="5"/>
  <c r="D677" i="5"/>
  <c r="C677" i="5"/>
  <c r="Q676" i="5"/>
  <c r="P676" i="5"/>
  <c r="O676" i="5"/>
  <c r="J676" i="5"/>
  <c r="I676" i="5"/>
  <c r="H676" i="5"/>
  <c r="E676" i="5"/>
  <c r="D676" i="5"/>
  <c r="C676" i="5"/>
  <c r="Q675" i="5"/>
  <c r="P675" i="5"/>
  <c r="O675" i="5"/>
  <c r="J675" i="5"/>
  <c r="I675" i="5"/>
  <c r="H675" i="5"/>
  <c r="E675" i="5"/>
  <c r="D675" i="5"/>
  <c r="C675" i="5"/>
  <c r="Q674" i="5"/>
  <c r="P674" i="5"/>
  <c r="O674" i="5"/>
  <c r="J674" i="5"/>
  <c r="I674" i="5"/>
  <c r="H674" i="5"/>
  <c r="E674" i="5"/>
  <c r="D674" i="5"/>
  <c r="C674" i="5"/>
  <c r="Q673" i="5"/>
  <c r="P673" i="5"/>
  <c r="O673" i="5"/>
  <c r="J673" i="5"/>
  <c r="I673" i="5"/>
  <c r="H673" i="5"/>
  <c r="E673" i="5"/>
  <c r="D673" i="5"/>
  <c r="C673" i="5"/>
  <c r="Q672" i="5"/>
  <c r="P672" i="5"/>
  <c r="O672" i="5"/>
  <c r="J672" i="5"/>
  <c r="I672" i="5"/>
  <c r="H672" i="5"/>
  <c r="E672" i="5"/>
  <c r="D672" i="5"/>
  <c r="C672" i="5"/>
  <c r="Q671" i="5"/>
  <c r="P671" i="5"/>
  <c r="O671" i="5"/>
  <c r="J671" i="5"/>
  <c r="I671" i="5"/>
  <c r="H671" i="5"/>
  <c r="E671" i="5"/>
  <c r="D671" i="5"/>
  <c r="C671" i="5"/>
  <c r="Q670" i="5"/>
  <c r="P670" i="5"/>
  <c r="O670" i="5"/>
  <c r="J670" i="5"/>
  <c r="I670" i="5"/>
  <c r="H670" i="5"/>
  <c r="E670" i="5"/>
  <c r="D670" i="5"/>
  <c r="C670" i="5"/>
  <c r="Q669" i="5"/>
  <c r="P669" i="5"/>
  <c r="O669" i="5"/>
  <c r="J669" i="5"/>
  <c r="I669" i="5"/>
  <c r="H669" i="5"/>
  <c r="E669" i="5"/>
  <c r="D669" i="5"/>
  <c r="C669" i="5"/>
  <c r="Q668" i="5"/>
  <c r="P668" i="5"/>
  <c r="O668" i="5"/>
  <c r="J668" i="5"/>
  <c r="I668" i="5"/>
  <c r="H668" i="5"/>
  <c r="E668" i="5"/>
  <c r="D668" i="5"/>
  <c r="C668" i="5"/>
  <c r="Q667" i="5"/>
  <c r="P667" i="5"/>
  <c r="O667" i="5"/>
  <c r="J667" i="5"/>
  <c r="I667" i="5"/>
  <c r="H667" i="5"/>
  <c r="E667" i="5"/>
  <c r="D667" i="5"/>
  <c r="C667" i="5"/>
  <c r="Q666" i="5"/>
  <c r="P666" i="5"/>
  <c r="O666" i="5"/>
  <c r="J666" i="5"/>
  <c r="I666" i="5"/>
  <c r="H666" i="5"/>
  <c r="E666" i="5"/>
  <c r="D666" i="5"/>
  <c r="C666" i="5"/>
  <c r="Q665" i="5"/>
  <c r="P665" i="5"/>
  <c r="O665" i="5"/>
  <c r="J665" i="5"/>
  <c r="I665" i="5"/>
  <c r="H665" i="5"/>
  <c r="E665" i="5"/>
  <c r="D665" i="5"/>
  <c r="C665" i="5"/>
  <c r="Q664" i="5"/>
  <c r="P664" i="5"/>
  <c r="O664" i="5"/>
  <c r="J664" i="5"/>
  <c r="I664" i="5"/>
  <c r="H664" i="5"/>
  <c r="E664" i="5"/>
  <c r="D664" i="5"/>
  <c r="C664" i="5"/>
  <c r="Q663" i="5"/>
  <c r="P663" i="5"/>
  <c r="O663" i="5"/>
  <c r="J663" i="5"/>
  <c r="I663" i="5"/>
  <c r="H663" i="5"/>
  <c r="E663" i="5"/>
  <c r="D663" i="5"/>
  <c r="C663" i="5"/>
  <c r="Q662" i="5"/>
  <c r="P662" i="5"/>
  <c r="O662" i="5"/>
  <c r="J662" i="5"/>
  <c r="I662" i="5"/>
  <c r="H662" i="5"/>
  <c r="E662" i="5"/>
  <c r="D662" i="5"/>
  <c r="C662" i="5"/>
  <c r="Q661" i="5"/>
  <c r="P661" i="5"/>
  <c r="O661" i="5"/>
  <c r="J661" i="5"/>
  <c r="I661" i="5"/>
  <c r="H661" i="5"/>
  <c r="E661" i="5"/>
  <c r="D661" i="5"/>
  <c r="C661" i="5"/>
  <c r="Q660" i="5"/>
  <c r="P660" i="5"/>
  <c r="O660" i="5"/>
  <c r="J660" i="5"/>
  <c r="I660" i="5"/>
  <c r="H660" i="5"/>
  <c r="E660" i="5"/>
  <c r="D660" i="5"/>
  <c r="C660" i="5"/>
  <c r="Q659" i="5"/>
  <c r="P659" i="5"/>
  <c r="O659" i="5"/>
  <c r="J659" i="5"/>
  <c r="I659" i="5"/>
  <c r="H659" i="5"/>
  <c r="E659" i="5"/>
  <c r="D659" i="5"/>
  <c r="C659" i="5"/>
  <c r="Q658" i="5"/>
  <c r="P658" i="5"/>
  <c r="O658" i="5"/>
  <c r="J658" i="5"/>
  <c r="I658" i="5"/>
  <c r="H658" i="5"/>
  <c r="E658" i="5"/>
  <c r="D658" i="5"/>
  <c r="C658" i="5"/>
  <c r="Q657" i="5"/>
  <c r="P657" i="5"/>
  <c r="O657" i="5"/>
  <c r="J657" i="5"/>
  <c r="I657" i="5"/>
  <c r="H657" i="5"/>
  <c r="E657" i="5"/>
  <c r="D657" i="5"/>
  <c r="C657" i="5"/>
  <c r="Q656" i="5"/>
  <c r="P656" i="5"/>
  <c r="O656" i="5"/>
  <c r="J656" i="5"/>
  <c r="I656" i="5"/>
  <c r="H656" i="5"/>
  <c r="E656" i="5"/>
  <c r="D656" i="5"/>
  <c r="C656" i="5"/>
  <c r="Q655" i="5"/>
  <c r="P655" i="5"/>
  <c r="O655" i="5"/>
  <c r="J655" i="5"/>
  <c r="I655" i="5"/>
  <c r="H655" i="5"/>
  <c r="E655" i="5"/>
  <c r="D655" i="5"/>
  <c r="C655" i="5"/>
  <c r="Q654" i="5"/>
  <c r="P654" i="5"/>
  <c r="O654" i="5"/>
  <c r="J654" i="5"/>
  <c r="I654" i="5"/>
  <c r="H654" i="5"/>
  <c r="E654" i="5"/>
  <c r="D654" i="5"/>
  <c r="C654" i="5"/>
  <c r="Q653" i="5"/>
  <c r="P653" i="5"/>
  <c r="O653" i="5"/>
  <c r="J653" i="5"/>
  <c r="I653" i="5"/>
  <c r="H653" i="5"/>
  <c r="E653" i="5"/>
  <c r="D653" i="5"/>
  <c r="C653" i="5"/>
  <c r="Q652" i="5"/>
  <c r="P652" i="5"/>
  <c r="O652" i="5"/>
  <c r="J652" i="5"/>
  <c r="I652" i="5"/>
  <c r="H652" i="5"/>
  <c r="E652" i="5"/>
  <c r="D652" i="5"/>
  <c r="C652" i="5"/>
  <c r="Q651" i="5"/>
  <c r="P651" i="5"/>
  <c r="O651" i="5"/>
  <c r="J651" i="5"/>
  <c r="I651" i="5"/>
  <c r="H651" i="5"/>
  <c r="E651" i="5"/>
  <c r="D651" i="5"/>
  <c r="C651" i="5"/>
  <c r="Q650" i="5"/>
  <c r="P650" i="5"/>
  <c r="O650" i="5"/>
  <c r="J650" i="5"/>
  <c r="I650" i="5"/>
  <c r="H650" i="5"/>
  <c r="E650" i="5"/>
  <c r="D650" i="5"/>
  <c r="C650" i="5"/>
  <c r="Q649" i="5"/>
  <c r="P649" i="5"/>
  <c r="O649" i="5"/>
  <c r="J649" i="5"/>
  <c r="I649" i="5"/>
  <c r="H649" i="5"/>
  <c r="E649" i="5"/>
  <c r="D649" i="5"/>
  <c r="C649" i="5"/>
  <c r="Q648" i="5"/>
  <c r="P648" i="5"/>
  <c r="O648" i="5"/>
  <c r="J648" i="5"/>
  <c r="I648" i="5"/>
  <c r="H648" i="5"/>
  <c r="E648" i="5"/>
  <c r="D648" i="5"/>
  <c r="C648" i="5"/>
  <c r="Q647" i="5"/>
  <c r="P647" i="5"/>
  <c r="O647" i="5"/>
  <c r="J647" i="5"/>
  <c r="I647" i="5"/>
  <c r="H647" i="5"/>
  <c r="E647" i="5"/>
  <c r="D647" i="5"/>
  <c r="C647" i="5"/>
  <c r="Q646" i="5"/>
  <c r="P646" i="5"/>
  <c r="O646" i="5"/>
  <c r="J646" i="5"/>
  <c r="I646" i="5"/>
  <c r="H646" i="5"/>
  <c r="E646" i="5"/>
  <c r="D646" i="5"/>
  <c r="C646" i="5"/>
  <c r="Q645" i="5"/>
  <c r="P645" i="5"/>
  <c r="O645" i="5"/>
  <c r="J645" i="5"/>
  <c r="I645" i="5"/>
  <c r="H645" i="5"/>
  <c r="E645" i="5"/>
  <c r="D645" i="5"/>
  <c r="C645" i="5"/>
  <c r="Q644" i="5"/>
  <c r="P644" i="5"/>
  <c r="O644" i="5"/>
  <c r="J644" i="5"/>
  <c r="I644" i="5"/>
  <c r="H644" i="5"/>
  <c r="E644" i="5"/>
  <c r="D644" i="5"/>
  <c r="C644" i="5"/>
  <c r="Q643" i="5"/>
  <c r="P643" i="5"/>
  <c r="O643" i="5"/>
  <c r="J643" i="5"/>
  <c r="I643" i="5"/>
  <c r="H643" i="5"/>
  <c r="E643" i="5"/>
  <c r="D643" i="5"/>
  <c r="C643" i="5"/>
  <c r="Q642" i="5"/>
  <c r="P642" i="5"/>
  <c r="O642" i="5"/>
  <c r="J642" i="5"/>
  <c r="I642" i="5"/>
  <c r="H642" i="5"/>
  <c r="E642" i="5"/>
  <c r="D642" i="5"/>
  <c r="C642" i="5"/>
  <c r="Q641" i="5"/>
  <c r="P641" i="5"/>
  <c r="O641" i="5"/>
  <c r="J641" i="5"/>
  <c r="I641" i="5"/>
  <c r="H641" i="5"/>
  <c r="E641" i="5"/>
  <c r="D641" i="5"/>
  <c r="C641" i="5"/>
  <c r="Q640" i="5"/>
  <c r="P640" i="5"/>
  <c r="O640" i="5"/>
  <c r="J640" i="5"/>
  <c r="I640" i="5"/>
  <c r="H640" i="5"/>
  <c r="E640" i="5"/>
  <c r="D640" i="5"/>
  <c r="C640" i="5"/>
  <c r="Q639" i="5"/>
  <c r="P639" i="5"/>
  <c r="O639" i="5"/>
  <c r="J639" i="5"/>
  <c r="I639" i="5"/>
  <c r="H639" i="5"/>
  <c r="E639" i="5"/>
  <c r="D639" i="5"/>
  <c r="C639" i="5"/>
  <c r="Q638" i="5"/>
  <c r="P638" i="5"/>
  <c r="O638" i="5"/>
  <c r="J638" i="5"/>
  <c r="I638" i="5"/>
  <c r="H638" i="5"/>
  <c r="E638" i="5"/>
  <c r="D638" i="5"/>
  <c r="C638" i="5"/>
  <c r="Q637" i="5"/>
  <c r="P637" i="5"/>
  <c r="O637" i="5"/>
  <c r="J637" i="5"/>
  <c r="I637" i="5"/>
  <c r="H637" i="5"/>
  <c r="E637" i="5"/>
  <c r="D637" i="5"/>
  <c r="C637" i="5"/>
  <c r="Q636" i="5"/>
  <c r="P636" i="5"/>
  <c r="O636" i="5"/>
  <c r="J636" i="5"/>
  <c r="I636" i="5"/>
  <c r="H636" i="5"/>
  <c r="E636" i="5"/>
  <c r="D636" i="5"/>
  <c r="C636" i="5"/>
  <c r="Q635" i="5"/>
  <c r="P635" i="5"/>
  <c r="O635" i="5"/>
  <c r="J635" i="5"/>
  <c r="I635" i="5"/>
  <c r="H635" i="5"/>
  <c r="E635" i="5"/>
  <c r="D635" i="5"/>
  <c r="C635" i="5"/>
  <c r="Q634" i="5"/>
  <c r="P634" i="5"/>
  <c r="O634" i="5"/>
  <c r="J634" i="5"/>
  <c r="I634" i="5"/>
  <c r="H634" i="5"/>
  <c r="E634" i="5"/>
  <c r="D634" i="5"/>
  <c r="C634" i="5"/>
  <c r="Q633" i="5"/>
  <c r="P633" i="5"/>
  <c r="O633" i="5"/>
  <c r="J633" i="5"/>
  <c r="I633" i="5"/>
  <c r="H633" i="5"/>
  <c r="E633" i="5"/>
  <c r="D633" i="5"/>
  <c r="C633" i="5"/>
  <c r="Q632" i="5"/>
  <c r="P632" i="5"/>
  <c r="O632" i="5"/>
  <c r="J632" i="5"/>
  <c r="I632" i="5"/>
  <c r="H632" i="5"/>
  <c r="E632" i="5"/>
  <c r="D632" i="5"/>
  <c r="C632" i="5"/>
  <c r="Q631" i="5"/>
  <c r="P631" i="5"/>
  <c r="O631" i="5"/>
  <c r="J631" i="5"/>
  <c r="I631" i="5"/>
  <c r="H631" i="5"/>
  <c r="E631" i="5"/>
  <c r="D631" i="5"/>
  <c r="C631" i="5"/>
  <c r="Q630" i="5"/>
  <c r="P630" i="5"/>
  <c r="O630" i="5"/>
  <c r="J630" i="5"/>
  <c r="I630" i="5"/>
  <c r="H630" i="5"/>
  <c r="E630" i="5"/>
  <c r="D630" i="5"/>
  <c r="C630" i="5"/>
  <c r="Q629" i="5"/>
  <c r="P629" i="5"/>
  <c r="O629" i="5"/>
  <c r="J629" i="5"/>
  <c r="I629" i="5"/>
  <c r="H629" i="5"/>
  <c r="E629" i="5"/>
  <c r="D629" i="5"/>
  <c r="C629" i="5"/>
  <c r="Q628" i="5"/>
  <c r="P628" i="5"/>
  <c r="O628" i="5"/>
  <c r="J628" i="5"/>
  <c r="I628" i="5"/>
  <c r="H628" i="5"/>
  <c r="E628" i="5"/>
  <c r="D628" i="5"/>
  <c r="C628" i="5"/>
  <c r="Q627" i="5"/>
  <c r="P627" i="5"/>
  <c r="O627" i="5"/>
  <c r="J627" i="5"/>
  <c r="I627" i="5"/>
  <c r="H627" i="5"/>
  <c r="E627" i="5"/>
  <c r="D627" i="5"/>
  <c r="C627" i="5"/>
  <c r="Q626" i="5"/>
  <c r="P626" i="5"/>
  <c r="O626" i="5"/>
  <c r="J626" i="5"/>
  <c r="I626" i="5"/>
  <c r="H626" i="5"/>
  <c r="E626" i="5"/>
  <c r="D626" i="5"/>
  <c r="C626" i="5"/>
  <c r="Q625" i="5"/>
  <c r="P625" i="5"/>
  <c r="O625" i="5"/>
  <c r="J625" i="5"/>
  <c r="I625" i="5"/>
  <c r="H625" i="5"/>
  <c r="E625" i="5"/>
  <c r="D625" i="5"/>
  <c r="C625" i="5"/>
  <c r="Q624" i="5"/>
  <c r="P624" i="5"/>
  <c r="O624" i="5"/>
  <c r="J624" i="5"/>
  <c r="I624" i="5"/>
  <c r="H624" i="5"/>
  <c r="E624" i="5"/>
  <c r="D624" i="5"/>
  <c r="C624" i="5"/>
  <c r="Q623" i="5"/>
  <c r="P623" i="5"/>
  <c r="O623" i="5"/>
  <c r="J623" i="5"/>
  <c r="I623" i="5"/>
  <c r="H623" i="5"/>
  <c r="E623" i="5"/>
  <c r="D623" i="5"/>
  <c r="C623" i="5"/>
  <c r="Q622" i="5"/>
  <c r="P622" i="5"/>
  <c r="O622" i="5"/>
  <c r="J622" i="5"/>
  <c r="I622" i="5"/>
  <c r="H622" i="5"/>
  <c r="E622" i="5"/>
  <c r="D622" i="5"/>
  <c r="C622" i="5"/>
  <c r="Q621" i="5"/>
  <c r="P621" i="5"/>
  <c r="O621" i="5"/>
  <c r="J621" i="5"/>
  <c r="I621" i="5"/>
  <c r="H621" i="5"/>
  <c r="E621" i="5"/>
  <c r="D621" i="5"/>
  <c r="C621" i="5"/>
  <c r="Q620" i="5"/>
  <c r="P620" i="5"/>
  <c r="O620" i="5"/>
  <c r="J620" i="5"/>
  <c r="I620" i="5"/>
  <c r="H620" i="5"/>
  <c r="E620" i="5"/>
  <c r="D620" i="5"/>
  <c r="C620" i="5"/>
  <c r="Q619" i="5"/>
  <c r="P619" i="5"/>
  <c r="O619" i="5"/>
  <c r="J619" i="5"/>
  <c r="I619" i="5"/>
  <c r="H619" i="5"/>
  <c r="E619" i="5"/>
  <c r="D619" i="5"/>
  <c r="C619" i="5"/>
  <c r="Q618" i="5"/>
  <c r="P618" i="5"/>
  <c r="O618" i="5"/>
  <c r="J618" i="5"/>
  <c r="I618" i="5"/>
  <c r="H618" i="5"/>
  <c r="E618" i="5"/>
  <c r="D618" i="5"/>
  <c r="C618" i="5"/>
  <c r="Q617" i="5"/>
  <c r="P617" i="5"/>
  <c r="O617" i="5"/>
  <c r="J617" i="5"/>
  <c r="I617" i="5"/>
  <c r="H617" i="5"/>
  <c r="E617" i="5"/>
  <c r="D617" i="5"/>
  <c r="C617" i="5"/>
  <c r="Q616" i="5"/>
  <c r="P616" i="5"/>
  <c r="O616" i="5"/>
  <c r="J616" i="5"/>
  <c r="I616" i="5"/>
  <c r="H616" i="5"/>
  <c r="E616" i="5"/>
  <c r="D616" i="5"/>
  <c r="C616" i="5"/>
  <c r="Q615" i="5"/>
  <c r="P615" i="5"/>
  <c r="O615" i="5"/>
  <c r="J615" i="5"/>
  <c r="I615" i="5"/>
  <c r="H615" i="5"/>
  <c r="E615" i="5"/>
  <c r="D615" i="5"/>
  <c r="C615" i="5"/>
  <c r="Q614" i="5"/>
  <c r="P614" i="5"/>
  <c r="O614" i="5"/>
  <c r="J614" i="5"/>
  <c r="I614" i="5"/>
  <c r="H614" i="5"/>
  <c r="E614" i="5"/>
  <c r="D614" i="5"/>
  <c r="C614" i="5"/>
  <c r="Q613" i="5"/>
  <c r="P613" i="5"/>
  <c r="O613" i="5"/>
  <c r="J613" i="5"/>
  <c r="I613" i="5"/>
  <c r="H613" i="5"/>
  <c r="E613" i="5"/>
  <c r="D613" i="5"/>
  <c r="C613" i="5"/>
  <c r="Q612" i="5"/>
  <c r="P612" i="5"/>
  <c r="O612" i="5"/>
  <c r="J612" i="5"/>
  <c r="I612" i="5"/>
  <c r="H612" i="5"/>
  <c r="E612" i="5"/>
  <c r="D612" i="5"/>
  <c r="C612" i="5"/>
  <c r="Q611" i="5"/>
  <c r="P611" i="5"/>
  <c r="O611" i="5"/>
  <c r="J611" i="5"/>
  <c r="I611" i="5"/>
  <c r="H611" i="5"/>
  <c r="E611" i="5"/>
  <c r="D611" i="5"/>
  <c r="C611" i="5"/>
  <c r="Q610" i="5"/>
  <c r="P610" i="5"/>
  <c r="O610" i="5"/>
  <c r="J610" i="5"/>
  <c r="I610" i="5"/>
  <c r="H610" i="5"/>
  <c r="E610" i="5"/>
  <c r="D610" i="5"/>
  <c r="C610" i="5"/>
  <c r="Q609" i="5"/>
  <c r="P609" i="5"/>
  <c r="O609" i="5"/>
  <c r="J609" i="5"/>
  <c r="I609" i="5"/>
  <c r="H609" i="5"/>
  <c r="E609" i="5"/>
  <c r="D609" i="5"/>
  <c r="C609" i="5"/>
  <c r="Q608" i="5"/>
  <c r="P608" i="5"/>
  <c r="O608" i="5"/>
  <c r="J608" i="5"/>
  <c r="I608" i="5"/>
  <c r="H608" i="5"/>
  <c r="E608" i="5"/>
  <c r="D608" i="5"/>
  <c r="C608" i="5"/>
  <c r="Q607" i="5"/>
  <c r="P607" i="5"/>
  <c r="O607" i="5"/>
  <c r="J607" i="5"/>
  <c r="I607" i="5"/>
  <c r="H607" i="5"/>
  <c r="E607" i="5"/>
  <c r="D607" i="5"/>
  <c r="C607" i="5"/>
  <c r="Q606" i="5"/>
  <c r="P606" i="5"/>
  <c r="O606" i="5"/>
  <c r="J606" i="5"/>
  <c r="I606" i="5"/>
  <c r="H606" i="5"/>
  <c r="E606" i="5"/>
  <c r="D606" i="5"/>
  <c r="C606" i="5"/>
  <c r="Q605" i="5"/>
  <c r="P605" i="5"/>
  <c r="O605" i="5"/>
  <c r="J605" i="5"/>
  <c r="I605" i="5"/>
  <c r="H605" i="5"/>
  <c r="E605" i="5"/>
  <c r="D605" i="5"/>
  <c r="C605" i="5"/>
  <c r="Q604" i="5"/>
  <c r="P604" i="5"/>
  <c r="O604" i="5"/>
  <c r="J604" i="5"/>
  <c r="I604" i="5"/>
  <c r="H604" i="5"/>
  <c r="E604" i="5"/>
  <c r="D604" i="5"/>
  <c r="C604" i="5"/>
  <c r="Q603" i="5"/>
  <c r="P603" i="5"/>
  <c r="O603" i="5"/>
  <c r="J603" i="5"/>
  <c r="I603" i="5"/>
  <c r="H603" i="5"/>
  <c r="E603" i="5"/>
  <c r="D603" i="5"/>
  <c r="C603" i="5"/>
  <c r="Q602" i="5"/>
  <c r="P602" i="5"/>
  <c r="O602" i="5"/>
  <c r="J602" i="5"/>
  <c r="I602" i="5"/>
  <c r="H602" i="5"/>
  <c r="E602" i="5"/>
  <c r="D602" i="5"/>
  <c r="C602" i="5"/>
  <c r="Q601" i="5"/>
  <c r="P601" i="5"/>
  <c r="O601" i="5"/>
  <c r="J601" i="5"/>
  <c r="I601" i="5"/>
  <c r="H601" i="5"/>
  <c r="E601" i="5"/>
  <c r="D601" i="5"/>
  <c r="C601" i="5"/>
  <c r="Q600" i="5"/>
  <c r="P600" i="5"/>
  <c r="O600" i="5"/>
  <c r="J600" i="5"/>
  <c r="I600" i="5"/>
  <c r="H600" i="5"/>
  <c r="E600" i="5"/>
  <c r="D600" i="5"/>
  <c r="C600" i="5"/>
  <c r="Q599" i="5"/>
  <c r="P599" i="5"/>
  <c r="O599" i="5"/>
  <c r="J599" i="5"/>
  <c r="I599" i="5"/>
  <c r="H599" i="5"/>
  <c r="E599" i="5"/>
  <c r="D599" i="5"/>
  <c r="C599" i="5"/>
  <c r="Q598" i="5"/>
  <c r="P598" i="5"/>
  <c r="O598" i="5"/>
  <c r="J598" i="5"/>
  <c r="I598" i="5"/>
  <c r="H598" i="5"/>
  <c r="E598" i="5"/>
  <c r="D598" i="5"/>
  <c r="C598" i="5"/>
  <c r="Q597" i="5"/>
  <c r="P597" i="5"/>
  <c r="O597" i="5"/>
  <c r="J597" i="5"/>
  <c r="I597" i="5"/>
  <c r="H597" i="5"/>
  <c r="E597" i="5"/>
  <c r="D597" i="5"/>
  <c r="C597" i="5"/>
  <c r="Q596" i="5"/>
  <c r="P596" i="5"/>
  <c r="O596" i="5"/>
  <c r="J596" i="5"/>
  <c r="I596" i="5"/>
  <c r="H596" i="5"/>
  <c r="E596" i="5"/>
  <c r="D596" i="5"/>
  <c r="C596" i="5"/>
  <c r="Q595" i="5"/>
  <c r="P595" i="5"/>
  <c r="O595" i="5"/>
  <c r="J595" i="5"/>
  <c r="I595" i="5"/>
  <c r="H595" i="5"/>
  <c r="E595" i="5"/>
  <c r="D595" i="5"/>
  <c r="C595" i="5"/>
  <c r="Q594" i="5"/>
  <c r="P594" i="5"/>
  <c r="O594" i="5"/>
  <c r="J594" i="5"/>
  <c r="I594" i="5"/>
  <c r="H594" i="5"/>
  <c r="E594" i="5"/>
  <c r="D594" i="5"/>
  <c r="C594" i="5"/>
  <c r="Q593" i="5"/>
  <c r="P593" i="5"/>
  <c r="O593" i="5"/>
  <c r="J593" i="5"/>
  <c r="I593" i="5"/>
  <c r="H593" i="5"/>
  <c r="E593" i="5"/>
  <c r="D593" i="5"/>
  <c r="C593" i="5"/>
  <c r="Q592" i="5"/>
  <c r="P592" i="5"/>
  <c r="O592" i="5"/>
  <c r="J592" i="5"/>
  <c r="I592" i="5"/>
  <c r="H592" i="5"/>
  <c r="E592" i="5"/>
  <c r="D592" i="5"/>
  <c r="C592" i="5"/>
  <c r="Q591" i="5"/>
  <c r="P591" i="5"/>
  <c r="O591" i="5"/>
  <c r="J591" i="5"/>
  <c r="I591" i="5"/>
  <c r="H591" i="5"/>
  <c r="E591" i="5"/>
  <c r="D591" i="5"/>
  <c r="C591" i="5"/>
  <c r="Q590" i="5"/>
  <c r="P590" i="5"/>
  <c r="O590" i="5"/>
  <c r="J590" i="5"/>
  <c r="I590" i="5"/>
  <c r="H590" i="5"/>
  <c r="E590" i="5"/>
  <c r="D590" i="5"/>
  <c r="C590" i="5"/>
  <c r="Q589" i="5"/>
  <c r="P589" i="5"/>
  <c r="O589" i="5"/>
  <c r="J589" i="5"/>
  <c r="I589" i="5"/>
  <c r="H589" i="5"/>
  <c r="E589" i="5"/>
  <c r="D589" i="5"/>
  <c r="C589" i="5"/>
  <c r="Q588" i="5"/>
  <c r="P588" i="5"/>
  <c r="O588" i="5"/>
  <c r="J588" i="5"/>
  <c r="I588" i="5"/>
  <c r="H588" i="5"/>
  <c r="E588" i="5"/>
  <c r="D588" i="5"/>
  <c r="C588" i="5"/>
  <c r="Q587" i="5"/>
  <c r="P587" i="5"/>
  <c r="O587" i="5"/>
  <c r="J587" i="5"/>
  <c r="I587" i="5"/>
  <c r="H587" i="5"/>
  <c r="E587" i="5"/>
  <c r="D587" i="5"/>
  <c r="C587" i="5"/>
  <c r="Q586" i="5"/>
  <c r="P586" i="5"/>
  <c r="O586" i="5"/>
  <c r="J586" i="5"/>
  <c r="I586" i="5"/>
  <c r="H586" i="5"/>
  <c r="E586" i="5"/>
  <c r="D586" i="5"/>
  <c r="C586" i="5"/>
  <c r="Q585" i="5"/>
  <c r="P585" i="5"/>
  <c r="O585" i="5"/>
  <c r="J585" i="5"/>
  <c r="I585" i="5"/>
  <c r="H585" i="5"/>
  <c r="E585" i="5"/>
  <c r="D585" i="5"/>
  <c r="C585" i="5"/>
  <c r="Q584" i="5"/>
  <c r="P584" i="5"/>
  <c r="O584" i="5"/>
  <c r="J584" i="5"/>
  <c r="I584" i="5"/>
  <c r="H584" i="5"/>
  <c r="E584" i="5"/>
  <c r="D584" i="5"/>
  <c r="C584" i="5"/>
  <c r="Q583" i="5"/>
  <c r="P583" i="5"/>
  <c r="O583" i="5"/>
  <c r="J583" i="5"/>
  <c r="I583" i="5"/>
  <c r="H583" i="5"/>
  <c r="E583" i="5"/>
  <c r="D583" i="5"/>
  <c r="C583" i="5"/>
  <c r="Q582" i="5"/>
  <c r="P582" i="5"/>
  <c r="O582" i="5"/>
  <c r="J582" i="5"/>
  <c r="I582" i="5"/>
  <c r="H582" i="5"/>
  <c r="E582" i="5"/>
  <c r="D582" i="5"/>
  <c r="C582" i="5"/>
  <c r="Q581" i="5"/>
  <c r="P581" i="5"/>
  <c r="O581" i="5"/>
  <c r="J581" i="5"/>
  <c r="I581" i="5"/>
  <c r="H581" i="5"/>
  <c r="E581" i="5"/>
  <c r="D581" i="5"/>
  <c r="C581" i="5"/>
  <c r="Q580" i="5"/>
  <c r="P580" i="5"/>
  <c r="O580" i="5"/>
  <c r="J580" i="5"/>
  <c r="I580" i="5"/>
  <c r="H580" i="5"/>
  <c r="E580" i="5"/>
  <c r="D580" i="5"/>
  <c r="C580" i="5"/>
  <c r="Q579" i="5"/>
  <c r="P579" i="5"/>
  <c r="O579" i="5"/>
  <c r="J579" i="5"/>
  <c r="I579" i="5"/>
  <c r="H579" i="5"/>
  <c r="E579" i="5"/>
  <c r="D579" i="5"/>
  <c r="C579" i="5"/>
  <c r="Q578" i="5"/>
  <c r="P578" i="5"/>
  <c r="O578" i="5"/>
  <c r="J578" i="5"/>
  <c r="I578" i="5"/>
  <c r="H578" i="5"/>
  <c r="E578" i="5"/>
  <c r="D578" i="5"/>
  <c r="C578" i="5"/>
  <c r="Q577" i="5"/>
  <c r="P577" i="5"/>
  <c r="O577" i="5"/>
  <c r="J577" i="5"/>
  <c r="I577" i="5"/>
  <c r="H577" i="5"/>
  <c r="E577" i="5"/>
  <c r="D577" i="5"/>
  <c r="C577" i="5"/>
  <c r="Q576" i="5"/>
  <c r="P576" i="5"/>
  <c r="O576" i="5"/>
  <c r="J576" i="5"/>
  <c r="I576" i="5"/>
  <c r="H576" i="5"/>
  <c r="E576" i="5"/>
  <c r="D576" i="5"/>
  <c r="C576" i="5"/>
  <c r="Q575" i="5"/>
  <c r="P575" i="5"/>
  <c r="O575" i="5"/>
  <c r="J575" i="5"/>
  <c r="I575" i="5"/>
  <c r="H575" i="5"/>
  <c r="E575" i="5"/>
  <c r="D575" i="5"/>
  <c r="C575" i="5"/>
  <c r="Q574" i="5"/>
  <c r="P574" i="5"/>
  <c r="O574" i="5"/>
  <c r="J574" i="5"/>
  <c r="I574" i="5"/>
  <c r="H574" i="5"/>
  <c r="E574" i="5"/>
  <c r="D574" i="5"/>
  <c r="C574" i="5"/>
  <c r="Q573" i="5"/>
  <c r="P573" i="5"/>
  <c r="O573" i="5"/>
  <c r="J573" i="5"/>
  <c r="I573" i="5"/>
  <c r="H573" i="5"/>
  <c r="E573" i="5"/>
  <c r="D573" i="5"/>
  <c r="C573" i="5"/>
  <c r="Q572" i="5"/>
  <c r="P572" i="5"/>
  <c r="O572" i="5"/>
  <c r="J572" i="5"/>
  <c r="I572" i="5"/>
  <c r="H572" i="5"/>
  <c r="E572" i="5"/>
  <c r="D572" i="5"/>
  <c r="C572" i="5"/>
  <c r="Q571" i="5"/>
  <c r="P571" i="5"/>
  <c r="O571" i="5"/>
  <c r="J571" i="5"/>
  <c r="I571" i="5"/>
  <c r="H571" i="5"/>
  <c r="E571" i="5"/>
  <c r="D571" i="5"/>
  <c r="C571" i="5"/>
  <c r="Q570" i="5"/>
  <c r="P570" i="5"/>
  <c r="O570" i="5"/>
  <c r="J570" i="5"/>
  <c r="I570" i="5"/>
  <c r="H570" i="5"/>
  <c r="E570" i="5"/>
  <c r="D570" i="5"/>
  <c r="C570" i="5"/>
  <c r="Q569" i="5"/>
  <c r="P569" i="5"/>
  <c r="O569" i="5"/>
  <c r="J569" i="5"/>
  <c r="I569" i="5"/>
  <c r="H569" i="5"/>
  <c r="E569" i="5"/>
  <c r="D569" i="5"/>
  <c r="C569" i="5"/>
  <c r="Q568" i="5"/>
  <c r="P568" i="5"/>
  <c r="O568" i="5"/>
  <c r="J568" i="5"/>
  <c r="I568" i="5"/>
  <c r="H568" i="5"/>
  <c r="E568" i="5"/>
  <c r="D568" i="5"/>
  <c r="C568" i="5"/>
  <c r="Q567" i="5"/>
  <c r="P567" i="5"/>
  <c r="O567" i="5"/>
  <c r="J567" i="5"/>
  <c r="I567" i="5"/>
  <c r="H567" i="5"/>
  <c r="E567" i="5"/>
  <c r="D567" i="5"/>
  <c r="C567" i="5"/>
  <c r="Q566" i="5"/>
  <c r="P566" i="5"/>
  <c r="O566" i="5"/>
  <c r="J566" i="5"/>
  <c r="I566" i="5"/>
  <c r="H566" i="5"/>
  <c r="E566" i="5"/>
  <c r="D566" i="5"/>
  <c r="C566" i="5"/>
  <c r="Q565" i="5"/>
  <c r="P565" i="5"/>
  <c r="O565" i="5"/>
  <c r="J565" i="5"/>
  <c r="I565" i="5"/>
  <c r="H565" i="5"/>
  <c r="E565" i="5"/>
  <c r="D565" i="5"/>
  <c r="C565" i="5"/>
  <c r="Q564" i="5"/>
  <c r="P564" i="5"/>
  <c r="O564" i="5"/>
  <c r="J564" i="5"/>
  <c r="I564" i="5"/>
  <c r="H564" i="5"/>
  <c r="E564" i="5"/>
  <c r="D564" i="5"/>
  <c r="C564" i="5"/>
  <c r="Q563" i="5"/>
  <c r="P563" i="5"/>
  <c r="O563" i="5"/>
  <c r="J563" i="5"/>
  <c r="I563" i="5"/>
  <c r="H563" i="5"/>
  <c r="E563" i="5"/>
  <c r="D563" i="5"/>
  <c r="C563" i="5"/>
  <c r="Q562" i="5"/>
  <c r="P562" i="5"/>
  <c r="O562" i="5"/>
  <c r="J562" i="5"/>
  <c r="I562" i="5"/>
  <c r="H562" i="5"/>
  <c r="E562" i="5"/>
  <c r="D562" i="5"/>
  <c r="C562" i="5"/>
  <c r="Q561" i="5"/>
  <c r="P561" i="5"/>
  <c r="O561" i="5"/>
  <c r="J561" i="5"/>
  <c r="I561" i="5"/>
  <c r="H561" i="5"/>
  <c r="E561" i="5"/>
  <c r="D561" i="5"/>
  <c r="C561" i="5"/>
  <c r="Q560" i="5"/>
  <c r="P560" i="5"/>
  <c r="O560" i="5"/>
  <c r="J560" i="5"/>
  <c r="I560" i="5"/>
  <c r="H560" i="5"/>
  <c r="E560" i="5"/>
  <c r="D560" i="5"/>
  <c r="C560" i="5"/>
  <c r="Q559" i="5"/>
  <c r="P559" i="5"/>
  <c r="O559" i="5"/>
  <c r="J559" i="5"/>
  <c r="I559" i="5"/>
  <c r="H559" i="5"/>
  <c r="E559" i="5"/>
  <c r="D559" i="5"/>
  <c r="C559" i="5"/>
  <c r="Q558" i="5"/>
  <c r="P558" i="5"/>
  <c r="O558" i="5"/>
  <c r="J558" i="5"/>
  <c r="I558" i="5"/>
  <c r="H558" i="5"/>
  <c r="E558" i="5"/>
  <c r="D558" i="5"/>
  <c r="C558" i="5"/>
  <c r="Q557" i="5"/>
  <c r="P557" i="5"/>
  <c r="O557" i="5"/>
  <c r="J557" i="5"/>
  <c r="I557" i="5"/>
  <c r="H557" i="5"/>
  <c r="E557" i="5"/>
  <c r="D557" i="5"/>
  <c r="C557" i="5"/>
  <c r="Q556" i="5"/>
  <c r="P556" i="5"/>
  <c r="O556" i="5"/>
  <c r="J556" i="5"/>
  <c r="I556" i="5"/>
  <c r="H556" i="5"/>
  <c r="E556" i="5"/>
  <c r="D556" i="5"/>
  <c r="C556" i="5"/>
  <c r="Q555" i="5"/>
  <c r="P555" i="5"/>
  <c r="O555" i="5"/>
  <c r="J555" i="5"/>
  <c r="I555" i="5"/>
  <c r="H555" i="5"/>
  <c r="E555" i="5"/>
  <c r="D555" i="5"/>
  <c r="C555" i="5"/>
  <c r="Q554" i="5"/>
  <c r="P554" i="5"/>
  <c r="O554" i="5"/>
  <c r="J554" i="5"/>
  <c r="I554" i="5"/>
  <c r="H554" i="5"/>
  <c r="E554" i="5"/>
  <c r="D554" i="5"/>
  <c r="C554" i="5"/>
  <c r="Q553" i="5"/>
  <c r="P553" i="5"/>
  <c r="O553" i="5"/>
  <c r="J553" i="5"/>
  <c r="I553" i="5"/>
  <c r="H553" i="5"/>
  <c r="E553" i="5"/>
  <c r="D553" i="5"/>
  <c r="C553" i="5"/>
  <c r="Q552" i="5"/>
  <c r="P552" i="5"/>
  <c r="O552" i="5"/>
  <c r="J552" i="5"/>
  <c r="I552" i="5"/>
  <c r="H552" i="5"/>
  <c r="E552" i="5"/>
  <c r="D552" i="5"/>
  <c r="C552" i="5"/>
  <c r="Q551" i="5"/>
  <c r="P551" i="5"/>
  <c r="O551" i="5"/>
  <c r="J551" i="5"/>
  <c r="I551" i="5"/>
  <c r="H551" i="5"/>
  <c r="E551" i="5"/>
  <c r="D551" i="5"/>
  <c r="C551" i="5"/>
  <c r="Q550" i="5"/>
  <c r="P550" i="5"/>
  <c r="O550" i="5"/>
  <c r="J550" i="5"/>
  <c r="I550" i="5"/>
  <c r="H550" i="5"/>
  <c r="E550" i="5"/>
  <c r="D550" i="5"/>
  <c r="C550" i="5"/>
  <c r="Q549" i="5"/>
  <c r="P549" i="5"/>
  <c r="O549" i="5"/>
  <c r="J549" i="5"/>
  <c r="I549" i="5"/>
  <c r="H549" i="5"/>
  <c r="E549" i="5"/>
  <c r="D549" i="5"/>
  <c r="C549" i="5"/>
  <c r="Q548" i="5"/>
  <c r="P548" i="5"/>
  <c r="O548" i="5"/>
  <c r="J548" i="5"/>
  <c r="I548" i="5"/>
  <c r="H548" i="5"/>
  <c r="E548" i="5"/>
  <c r="D548" i="5"/>
  <c r="C548" i="5"/>
  <c r="Q547" i="5"/>
  <c r="P547" i="5"/>
  <c r="O547" i="5"/>
  <c r="J547" i="5"/>
  <c r="I547" i="5"/>
  <c r="H547" i="5"/>
  <c r="E547" i="5"/>
  <c r="D547" i="5"/>
  <c r="C547" i="5"/>
  <c r="Q546" i="5"/>
  <c r="P546" i="5"/>
  <c r="O546" i="5"/>
  <c r="J546" i="5"/>
  <c r="I546" i="5"/>
  <c r="H546" i="5"/>
  <c r="E546" i="5"/>
  <c r="D546" i="5"/>
  <c r="C546" i="5"/>
  <c r="Q545" i="5"/>
  <c r="P545" i="5"/>
  <c r="O545" i="5"/>
  <c r="J545" i="5"/>
  <c r="I545" i="5"/>
  <c r="H545" i="5"/>
  <c r="E545" i="5"/>
  <c r="D545" i="5"/>
  <c r="C545" i="5"/>
  <c r="Q544" i="5"/>
  <c r="P544" i="5"/>
  <c r="O544" i="5"/>
  <c r="J544" i="5"/>
  <c r="I544" i="5"/>
  <c r="H544" i="5"/>
  <c r="E544" i="5"/>
  <c r="D544" i="5"/>
  <c r="C544" i="5"/>
  <c r="Q543" i="5"/>
  <c r="P543" i="5"/>
  <c r="O543" i="5"/>
  <c r="J543" i="5"/>
  <c r="I543" i="5"/>
  <c r="H543" i="5"/>
  <c r="E543" i="5"/>
  <c r="D543" i="5"/>
  <c r="C543" i="5"/>
  <c r="Q542" i="5"/>
  <c r="P542" i="5"/>
  <c r="O542" i="5"/>
  <c r="J542" i="5"/>
  <c r="I542" i="5"/>
  <c r="H542" i="5"/>
  <c r="E542" i="5"/>
  <c r="D542" i="5"/>
  <c r="C542" i="5"/>
  <c r="Q541" i="5"/>
  <c r="P541" i="5"/>
  <c r="O541" i="5"/>
  <c r="J541" i="5"/>
  <c r="I541" i="5"/>
  <c r="H541" i="5"/>
  <c r="E541" i="5"/>
  <c r="D541" i="5"/>
  <c r="C541" i="5"/>
  <c r="Q540" i="5"/>
  <c r="P540" i="5"/>
  <c r="O540" i="5"/>
  <c r="J540" i="5"/>
  <c r="I540" i="5"/>
  <c r="H540" i="5"/>
  <c r="E540" i="5"/>
  <c r="D540" i="5"/>
  <c r="C540" i="5"/>
  <c r="Q539" i="5"/>
  <c r="P539" i="5"/>
  <c r="O539" i="5"/>
  <c r="J539" i="5"/>
  <c r="I539" i="5"/>
  <c r="H539" i="5"/>
  <c r="E539" i="5"/>
  <c r="D539" i="5"/>
  <c r="C539" i="5"/>
  <c r="Q538" i="5"/>
  <c r="P538" i="5"/>
  <c r="O538" i="5"/>
  <c r="J538" i="5"/>
  <c r="I538" i="5"/>
  <c r="H538" i="5"/>
  <c r="E538" i="5"/>
  <c r="D538" i="5"/>
  <c r="C538" i="5"/>
  <c r="Q537" i="5"/>
  <c r="P537" i="5"/>
  <c r="O537" i="5"/>
  <c r="J537" i="5"/>
  <c r="I537" i="5"/>
  <c r="H537" i="5"/>
  <c r="E537" i="5"/>
  <c r="D537" i="5"/>
  <c r="C537" i="5"/>
  <c r="Q536" i="5"/>
  <c r="P536" i="5"/>
  <c r="O536" i="5"/>
  <c r="J536" i="5"/>
  <c r="I536" i="5"/>
  <c r="H536" i="5"/>
  <c r="E536" i="5"/>
  <c r="D536" i="5"/>
  <c r="C536" i="5"/>
  <c r="Q535" i="5"/>
  <c r="P535" i="5"/>
  <c r="O535" i="5"/>
  <c r="J535" i="5"/>
  <c r="I535" i="5"/>
  <c r="H535" i="5"/>
  <c r="E535" i="5"/>
  <c r="D535" i="5"/>
  <c r="C535" i="5"/>
  <c r="Q534" i="5"/>
  <c r="P534" i="5"/>
  <c r="O534" i="5"/>
  <c r="J534" i="5"/>
  <c r="I534" i="5"/>
  <c r="H534" i="5"/>
  <c r="E534" i="5"/>
  <c r="D534" i="5"/>
  <c r="C534" i="5"/>
  <c r="Q533" i="5"/>
  <c r="P533" i="5"/>
  <c r="O533" i="5"/>
  <c r="J533" i="5"/>
  <c r="I533" i="5"/>
  <c r="H533" i="5"/>
  <c r="E533" i="5"/>
  <c r="D533" i="5"/>
  <c r="C533" i="5"/>
  <c r="Q532" i="5"/>
  <c r="P532" i="5"/>
  <c r="O532" i="5"/>
  <c r="J532" i="5"/>
  <c r="I532" i="5"/>
  <c r="H532" i="5"/>
  <c r="E532" i="5"/>
  <c r="D532" i="5"/>
  <c r="C532" i="5"/>
  <c r="Q531" i="5"/>
  <c r="P531" i="5"/>
  <c r="O531" i="5"/>
  <c r="J531" i="5"/>
  <c r="I531" i="5"/>
  <c r="H531" i="5"/>
  <c r="E531" i="5"/>
  <c r="D531" i="5"/>
  <c r="C531" i="5"/>
  <c r="Q530" i="5"/>
  <c r="P530" i="5"/>
  <c r="O530" i="5"/>
  <c r="J530" i="5"/>
  <c r="I530" i="5"/>
  <c r="H530" i="5"/>
  <c r="E530" i="5"/>
  <c r="D530" i="5"/>
  <c r="C530" i="5"/>
  <c r="Q529" i="5"/>
  <c r="P529" i="5"/>
  <c r="O529" i="5"/>
  <c r="J529" i="5"/>
  <c r="I529" i="5"/>
  <c r="H529" i="5"/>
  <c r="E529" i="5"/>
  <c r="D529" i="5"/>
  <c r="C529" i="5"/>
  <c r="Q528" i="5"/>
  <c r="P528" i="5"/>
  <c r="O528" i="5"/>
  <c r="J528" i="5"/>
  <c r="I528" i="5"/>
  <c r="H528" i="5"/>
  <c r="E528" i="5"/>
  <c r="D528" i="5"/>
  <c r="C528" i="5"/>
  <c r="Q527" i="5"/>
  <c r="P527" i="5"/>
  <c r="O527" i="5"/>
  <c r="J527" i="5"/>
  <c r="I527" i="5"/>
  <c r="H527" i="5"/>
  <c r="E527" i="5"/>
  <c r="D527" i="5"/>
  <c r="C527" i="5"/>
  <c r="Q526" i="5"/>
  <c r="P526" i="5"/>
  <c r="O526" i="5"/>
  <c r="J526" i="5"/>
  <c r="I526" i="5"/>
  <c r="H526" i="5"/>
  <c r="E526" i="5"/>
  <c r="D526" i="5"/>
  <c r="C526" i="5"/>
  <c r="Q525" i="5"/>
  <c r="P525" i="5"/>
  <c r="O525" i="5"/>
  <c r="J525" i="5"/>
  <c r="I525" i="5"/>
  <c r="H525" i="5"/>
  <c r="E525" i="5"/>
  <c r="D525" i="5"/>
  <c r="C525" i="5"/>
  <c r="Q524" i="5"/>
  <c r="P524" i="5"/>
  <c r="O524" i="5"/>
  <c r="J524" i="5"/>
  <c r="I524" i="5"/>
  <c r="H524" i="5"/>
  <c r="E524" i="5"/>
  <c r="D524" i="5"/>
  <c r="C524" i="5"/>
  <c r="Q523" i="5"/>
  <c r="P523" i="5"/>
  <c r="O523" i="5"/>
  <c r="J523" i="5"/>
  <c r="I523" i="5"/>
  <c r="H523" i="5"/>
  <c r="E523" i="5"/>
  <c r="D523" i="5"/>
  <c r="C523" i="5"/>
  <c r="Q522" i="5"/>
  <c r="P522" i="5"/>
  <c r="O522" i="5"/>
  <c r="J522" i="5"/>
  <c r="I522" i="5"/>
  <c r="H522" i="5"/>
  <c r="E522" i="5"/>
  <c r="D522" i="5"/>
  <c r="C522" i="5"/>
  <c r="Q521" i="5"/>
  <c r="P521" i="5"/>
  <c r="O521" i="5"/>
  <c r="J521" i="5"/>
  <c r="I521" i="5"/>
  <c r="H521" i="5"/>
  <c r="E521" i="5"/>
  <c r="D521" i="5"/>
  <c r="C521" i="5"/>
  <c r="Q520" i="5"/>
  <c r="P520" i="5"/>
  <c r="O520" i="5"/>
  <c r="J520" i="5"/>
  <c r="I520" i="5"/>
  <c r="H520" i="5"/>
  <c r="E520" i="5"/>
  <c r="D520" i="5"/>
  <c r="C520" i="5"/>
  <c r="Q519" i="5"/>
  <c r="P519" i="5"/>
  <c r="O519" i="5"/>
  <c r="J519" i="5"/>
  <c r="I519" i="5"/>
  <c r="H519" i="5"/>
  <c r="E519" i="5"/>
  <c r="D519" i="5"/>
  <c r="C519" i="5"/>
  <c r="Q518" i="5"/>
  <c r="P518" i="5"/>
  <c r="O518" i="5"/>
  <c r="J518" i="5"/>
  <c r="I518" i="5"/>
  <c r="H518" i="5"/>
  <c r="E518" i="5"/>
  <c r="D518" i="5"/>
  <c r="C518" i="5"/>
  <c r="Q517" i="5"/>
  <c r="P517" i="5"/>
  <c r="O517" i="5"/>
  <c r="J517" i="5"/>
  <c r="I517" i="5"/>
  <c r="H517" i="5"/>
  <c r="E517" i="5"/>
  <c r="D517" i="5"/>
  <c r="C517" i="5"/>
  <c r="Q516" i="5"/>
  <c r="P516" i="5"/>
  <c r="O516" i="5"/>
  <c r="J516" i="5"/>
  <c r="I516" i="5"/>
  <c r="H516" i="5"/>
  <c r="E516" i="5"/>
  <c r="D516" i="5"/>
  <c r="C516" i="5"/>
  <c r="Q515" i="5"/>
  <c r="P515" i="5"/>
  <c r="O515" i="5"/>
  <c r="J515" i="5"/>
  <c r="I515" i="5"/>
  <c r="H515" i="5"/>
  <c r="E515" i="5"/>
  <c r="D515" i="5"/>
  <c r="C515" i="5"/>
  <c r="Q514" i="5"/>
  <c r="P514" i="5"/>
  <c r="O514" i="5"/>
  <c r="J514" i="5"/>
  <c r="I514" i="5"/>
  <c r="H514" i="5"/>
  <c r="E514" i="5"/>
  <c r="D514" i="5"/>
  <c r="C514" i="5"/>
  <c r="Q513" i="5"/>
  <c r="P513" i="5"/>
  <c r="O513" i="5"/>
  <c r="J513" i="5"/>
  <c r="I513" i="5"/>
  <c r="H513" i="5"/>
  <c r="E513" i="5"/>
  <c r="D513" i="5"/>
  <c r="C513" i="5"/>
  <c r="Q512" i="5"/>
  <c r="P512" i="5"/>
  <c r="O512" i="5"/>
  <c r="J512" i="5"/>
  <c r="I512" i="5"/>
  <c r="H512" i="5"/>
  <c r="E512" i="5"/>
  <c r="D512" i="5"/>
  <c r="C512" i="5"/>
  <c r="Q511" i="5"/>
  <c r="P511" i="5"/>
  <c r="O511" i="5"/>
  <c r="J511" i="5"/>
  <c r="I511" i="5"/>
  <c r="H511" i="5"/>
  <c r="E511" i="5"/>
  <c r="D511" i="5"/>
  <c r="C511" i="5"/>
  <c r="Q510" i="5"/>
  <c r="P510" i="5"/>
  <c r="O510" i="5"/>
  <c r="J510" i="5"/>
  <c r="I510" i="5"/>
  <c r="H510" i="5"/>
  <c r="E510" i="5"/>
  <c r="D510" i="5"/>
  <c r="C510" i="5"/>
  <c r="Q509" i="5"/>
  <c r="P509" i="5"/>
  <c r="O509" i="5"/>
  <c r="J509" i="5"/>
  <c r="I509" i="5"/>
  <c r="H509" i="5"/>
  <c r="E509" i="5"/>
  <c r="D509" i="5"/>
  <c r="C509" i="5"/>
  <c r="Q508" i="5"/>
  <c r="P508" i="5"/>
  <c r="O508" i="5"/>
  <c r="J508" i="5"/>
  <c r="I508" i="5"/>
  <c r="H508" i="5"/>
  <c r="E508" i="5"/>
  <c r="D508" i="5"/>
  <c r="C508" i="5"/>
  <c r="Q507" i="5"/>
  <c r="P507" i="5"/>
  <c r="O507" i="5"/>
  <c r="J507" i="5"/>
  <c r="I507" i="5"/>
  <c r="H507" i="5"/>
  <c r="E507" i="5"/>
  <c r="D507" i="5"/>
  <c r="C507" i="5"/>
  <c r="Q506" i="5"/>
  <c r="P506" i="5"/>
  <c r="O506" i="5"/>
  <c r="J506" i="5"/>
  <c r="I506" i="5"/>
  <c r="H506" i="5"/>
  <c r="E506" i="5"/>
  <c r="D506" i="5"/>
  <c r="C506" i="5"/>
  <c r="Q505" i="5"/>
  <c r="P505" i="5"/>
  <c r="O505" i="5"/>
  <c r="J505" i="5"/>
  <c r="I505" i="5"/>
  <c r="H505" i="5"/>
  <c r="E505" i="5"/>
  <c r="D505" i="5"/>
  <c r="C505" i="5"/>
  <c r="Q504" i="5"/>
  <c r="P504" i="5"/>
  <c r="O504" i="5"/>
  <c r="J504" i="5"/>
  <c r="I504" i="5"/>
  <c r="H504" i="5"/>
  <c r="E504" i="5"/>
  <c r="D504" i="5"/>
  <c r="C504" i="5"/>
  <c r="Q503" i="5"/>
  <c r="P503" i="5"/>
  <c r="O503" i="5"/>
  <c r="J503" i="5"/>
  <c r="I503" i="5"/>
  <c r="H503" i="5"/>
  <c r="E503" i="5"/>
  <c r="D503" i="5"/>
  <c r="C503" i="5"/>
  <c r="Q502" i="5"/>
  <c r="P502" i="5"/>
  <c r="O502" i="5"/>
  <c r="J502" i="5"/>
  <c r="I502" i="5"/>
  <c r="H502" i="5"/>
  <c r="E502" i="5"/>
  <c r="D502" i="5"/>
  <c r="C502" i="5"/>
  <c r="Q501" i="5"/>
  <c r="P501" i="5"/>
  <c r="O501" i="5"/>
  <c r="J501" i="5"/>
  <c r="I501" i="5"/>
  <c r="H501" i="5"/>
  <c r="E501" i="5"/>
  <c r="D501" i="5"/>
  <c r="C501" i="5"/>
  <c r="Q500" i="5"/>
  <c r="P500" i="5"/>
  <c r="O500" i="5"/>
  <c r="J500" i="5"/>
  <c r="I500" i="5"/>
  <c r="H500" i="5"/>
  <c r="E500" i="5"/>
  <c r="D500" i="5"/>
  <c r="C500" i="5"/>
  <c r="Q499" i="5"/>
  <c r="P499" i="5"/>
  <c r="O499" i="5"/>
  <c r="J499" i="5"/>
  <c r="I499" i="5"/>
  <c r="H499" i="5"/>
  <c r="E499" i="5"/>
  <c r="D499" i="5"/>
  <c r="C499" i="5"/>
  <c r="Q498" i="5"/>
  <c r="P498" i="5"/>
  <c r="O498" i="5"/>
  <c r="J498" i="5"/>
  <c r="I498" i="5"/>
  <c r="H498" i="5"/>
  <c r="E498" i="5"/>
  <c r="D498" i="5"/>
  <c r="C498" i="5"/>
  <c r="Q497" i="5"/>
  <c r="P497" i="5"/>
  <c r="O497" i="5"/>
  <c r="J497" i="5"/>
  <c r="I497" i="5"/>
  <c r="H497" i="5"/>
  <c r="E497" i="5"/>
  <c r="D497" i="5"/>
  <c r="C497" i="5"/>
  <c r="Q496" i="5"/>
  <c r="P496" i="5"/>
  <c r="O496" i="5"/>
  <c r="J496" i="5"/>
  <c r="I496" i="5"/>
  <c r="H496" i="5"/>
  <c r="E496" i="5"/>
  <c r="D496" i="5"/>
  <c r="C496" i="5"/>
  <c r="Q495" i="5"/>
  <c r="P495" i="5"/>
  <c r="O495" i="5"/>
  <c r="J495" i="5"/>
  <c r="I495" i="5"/>
  <c r="H495" i="5"/>
  <c r="E495" i="5"/>
  <c r="D495" i="5"/>
  <c r="C495" i="5"/>
  <c r="Q494" i="5"/>
  <c r="P494" i="5"/>
  <c r="O494" i="5"/>
  <c r="J494" i="5"/>
  <c r="I494" i="5"/>
  <c r="H494" i="5"/>
  <c r="E494" i="5"/>
  <c r="D494" i="5"/>
  <c r="C494" i="5"/>
  <c r="Q493" i="5"/>
  <c r="P493" i="5"/>
  <c r="O493" i="5"/>
  <c r="J493" i="5"/>
  <c r="I493" i="5"/>
  <c r="H493" i="5"/>
  <c r="E493" i="5"/>
  <c r="D493" i="5"/>
  <c r="C493" i="5"/>
  <c r="Q492" i="5"/>
  <c r="P492" i="5"/>
  <c r="O492" i="5"/>
  <c r="J492" i="5"/>
  <c r="I492" i="5"/>
  <c r="H492" i="5"/>
  <c r="E492" i="5"/>
  <c r="D492" i="5"/>
  <c r="C492" i="5"/>
  <c r="Q491" i="5"/>
  <c r="P491" i="5"/>
  <c r="O491" i="5"/>
  <c r="J491" i="5"/>
  <c r="I491" i="5"/>
  <c r="H491" i="5"/>
  <c r="E491" i="5"/>
  <c r="D491" i="5"/>
  <c r="C491" i="5"/>
  <c r="Q490" i="5"/>
  <c r="P490" i="5"/>
  <c r="O490" i="5"/>
  <c r="J490" i="5"/>
  <c r="I490" i="5"/>
  <c r="H490" i="5"/>
  <c r="E490" i="5"/>
  <c r="D490" i="5"/>
  <c r="C490" i="5"/>
  <c r="Q489" i="5"/>
  <c r="P489" i="5"/>
  <c r="O489" i="5"/>
  <c r="J489" i="5"/>
  <c r="I489" i="5"/>
  <c r="H489" i="5"/>
  <c r="E489" i="5"/>
  <c r="D489" i="5"/>
  <c r="C489" i="5"/>
  <c r="Q488" i="5"/>
  <c r="P488" i="5"/>
  <c r="O488" i="5"/>
  <c r="J488" i="5"/>
  <c r="I488" i="5"/>
  <c r="H488" i="5"/>
  <c r="E488" i="5"/>
  <c r="D488" i="5"/>
  <c r="C488" i="5"/>
  <c r="Q487" i="5"/>
  <c r="P487" i="5"/>
  <c r="O487" i="5"/>
  <c r="J487" i="5"/>
  <c r="I487" i="5"/>
  <c r="H487" i="5"/>
  <c r="E487" i="5"/>
  <c r="D487" i="5"/>
  <c r="C487" i="5"/>
  <c r="Q486" i="5"/>
  <c r="P486" i="5"/>
  <c r="O486" i="5"/>
  <c r="J486" i="5"/>
  <c r="I486" i="5"/>
  <c r="H486" i="5"/>
  <c r="E486" i="5"/>
  <c r="D486" i="5"/>
  <c r="C486" i="5"/>
  <c r="Q485" i="5"/>
  <c r="P485" i="5"/>
  <c r="O485" i="5"/>
  <c r="J485" i="5"/>
  <c r="I485" i="5"/>
  <c r="H485" i="5"/>
  <c r="E485" i="5"/>
  <c r="D485" i="5"/>
  <c r="C485" i="5"/>
  <c r="Q484" i="5"/>
  <c r="P484" i="5"/>
  <c r="O484" i="5"/>
  <c r="J484" i="5"/>
  <c r="I484" i="5"/>
  <c r="H484" i="5"/>
  <c r="E484" i="5"/>
  <c r="D484" i="5"/>
  <c r="C484" i="5"/>
  <c r="Q483" i="5"/>
  <c r="P483" i="5"/>
  <c r="O483" i="5"/>
  <c r="J483" i="5"/>
  <c r="I483" i="5"/>
  <c r="H483" i="5"/>
  <c r="E483" i="5"/>
  <c r="D483" i="5"/>
  <c r="C483" i="5"/>
  <c r="Q482" i="5"/>
  <c r="P482" i="5"/>
  <c r="O482" i="5"/>
  <c r="J482" i="5"/>
  <c r="I482" i="5"/>
  <c r="H482" i="5"/>
  <c r="E482" i="5"/>
  <c r="D482" i="5"/>
  <c r="C482" i="5"/>
  <c r="Q481" i="5"/>
  <c r="P481" i="5"/>
  <c r="O481" i="5"/>
  <c r="J481" i="5"/>
  <c r="I481" i="5"/>
  <c r="H481" i="5"/>
  <c r="E481" i="5"/>
  <c r="D481" i="5"/>
  <c r="C481" i="5"/>
  <c r="Q480" i="5"/>
  <c r="P480" i="5"/>
  <c r="O480" i="5"/>
  <c r="J480" i="5"/>
  <c r="I480" i="5"/>
  <c r="H480" i="5"/>
  <c r="E480" i="5"/>
  <c r="D480" i="5"/>
  <c r="C480" i="5"/>
  <c r="Q479" i="5"/>
  <c r="P479" i="5"/>
  <c r="O479" i="5"/>
  <c r="J479" i="5"/>
  <c r="I479" i="5"/>
  <c r="H479" i="5"/>
  <c r="E479" i="5"/>
  <c r="D479" i="5"/>
  <c r="C479" i="5"/>
  <c r="Q478" i="5"/>
  <c r="P478" i="5"/>
  <c r="O478" i="5"/>
  <c r="J478" i="5"/>
  <c r="I478" i="5"/>
  <c r="H478" i="5"/>
  <c r="E478" i="5"/>
  <c r="D478" i="5"/>
  <c r="C478" i="5"/>
  <c r="Q477" i="5"/>
  <c r="P477" i="5"/>
  <c r="O477" i="5"/>
  <c r="J477" i="5"/>
  <c r="I477" i="5"/>
  <c r="H477" i="5"/>
  <c r="E477" i="5"/>
  <c r="D477" i="5"/>
  <c r="C477" i="5"/>
  <c r="Q476" i="5"/>
  <c r="P476" i="5"/>
  <c r="O476" i="5"/>
  <c r="J476" i="5"/>
  <c r="I476" i="5"/>
  <c r="H476" i="5"/>
  <c r="E476" i="5"/>
  <c r="D476" i="5"/>
  <c r="C476" i="5"/>
  <c r="Q475" i="5"/>
  <c r="P475" i="5"/>
  <c r="O475" i="5"/>
  <c r="J475" i="5"/>
  <c r="I475" i="5"/>
  <c r="H475" i="5"/>
  <c r="E475" i="5"/>
  <c r="D475" i="5"/>
  <c r="C475" i="5"/>
  <c r="Q474" i="5"/>
  <c r="P474" i="5"/>
  <c r="O474" i="5"/>
  <c r="J474" i="5"/>
  <c r="I474" i="5"/>
  <c r="H474" i="5"/>
  <c r="E474" i="5"/>
  <c r="D474" i="5"/>
  <c r="C474" i="5"/>
  <c r="Q473" i="5"/>
  <c r="P473" i="5"/>
  <c r="O473" i="5"/>
  <c r="J473" i="5"/>
  <c r="I473" i="5"/>
  <c r="H473" i="5"/>
  <c r="E473" i="5"/>
  <c r="D473" i="5"/>
  <c r="C473" i="5"/>
  <c r="Q472" i="5"/>
  <c r="P472" i="5"/>
  <c r="O472" i="5"/>
  <c r="J472" i="5"/>
  <c r="I472" i="5"/>
  <c r="H472" i="5"/>
  <c r="E472" i="5"/>
  <c r="D472" i="5"/>
  <c r="C472" i="5"/>
  <c r="Q471" i="5"/>
  <c r="P471" i="5"/>
  <c r="O471" i="5"/>
  <c r="J471" i="5"/>
  <c r="I471" i="5"/>
  <c r="H471" i="5"/>
  <c r="E471" i="5"/>
  <c r="D471" i="5"/>
  <c r="C471" i="5"/>
  <c r="Q470" i="5"/>
  <c r="P470" i="5"/>
  <c r="O470" i="5"/>
  <c r="J470" i="5"/>
  <c r="I470" i="5"/>
  <c r="H470" i="5"/>
  <c r="E470" i="5"/>
  <c r="D470" i="5"/>
  <c r="C470" i="5"/>
  <c r="Q469" i="5"/>
  <c r="P469" i="5"/>
  <c r="O469" i="5"/>
  <c r="J469" i="5"/>
  <c r="I469" i="5"/>
  <c r="H469" i="5"/>
  <c r="E469" i="5"/>
  <c r="D469" i="5"/>
  <c r="C469" i="5"/>
  <c r="Q468" i="5"/>
  <c r="P468" i="5"/>
  <c r="O468" i="5"/>
  <c r="J468" i="5"/>
  <c r="I468" i="5"/>
  <c r="H468" i="5"/>
  <c r="E468" i="5"/>
  <c r="D468" i="5"/>
  <c r="C468" i="5"/>
  <c r="Q467" i="5"/>
  <c r="P467" i="5"/>
  <c r="O467" i="5"/>
  <c r="J467" i="5"/>
  <c r="I467" i="5"/>
  <c r="H467" i="5"/>
  <c r="E467" i="5"/>
  <c r="D467" i="5"/>
  <c r="C467" i="5"/>
  <c r="Q466" i="5"/>
  <c r="P466" i="5"/>
  <c r="O466" i="5"/>
  <c r="J466" i="5"/>
  <c r="I466" i="5"/>
  <c r="H466" i="5"/>
  <c r="E466" i="5"/>
  <c r="D466" i="5"/>
  <c r="C466" i="5"/>
  <c r="Q465" i="5"/>
  <c r="P465" i="5"/>
  <c r="O465" i="5"/>
  <c r="J465" i="5"/>
  <c r="I465" i="5"/>
  <c r="H465" i="5"/>
  <c r="E465" i="5"/>
  <c r="D465" i="5"/>
  <c r="C465" i="5"/>
  <c r="Q464" i="5"/>
  <c r="P464" i="5"/>
  <c r="O464" i="5"/>
  <c r="J464" i="5"/>
  <c r="I464" i="5"/>
  <c r="H464" i="5"/>
  <c r="E464" i="5"/>
  <c r="D464" i="5"/>
  <c r="C464" i="5"/>
  <c r="Q463" i="5"/>
  <c r="P463" i="5"/>
  <c r="O463" i="5"/>
  <c r="J463" i="5"/>
  <c r="I463" i="5"/>
  <c r="H463" i="5"/>
  <c r="E463" i="5"/>
  <c r="D463" i="5"/>
  <c r="C463" i="5"/>
  <c r="Q462" i="5"/>
  <c r="P462" i="5"/>
  <c r="O462" i="5"/>
  <c r="J462" i="5"/>
  <c r="I462" i="5"/>
  <c r="H462" i="5"/>
  <c r="E462" i="5"/>
  <c r="D462" i="5"/>
  <c r="C462" i="5"/>
  <c r="Q461" i="5"/>
  <c r="P461" i="5"/>
  <c r="O461" i="5"/>
  <c r="J461" i="5"/>
  <c r="I461" i="5"/>
  <c r="H461" i="5"/>
  <c r="E461" i="5"/>
  <c r="D461" i="5"/>
  <c r="C461" i="5"/>
  <c r="Q460" i="5"/>
  <c r="P460" i="5"/>
  <c r="O460" i="5"/>
  <c r="J460" i="5"/>
  <c r="I460" i="5"/>
  <c r="H460" i="5"/>
  <c r="E460" i="5"/>
  <c r="D460" i="5"/>
  <c r="C460" i="5"/>
  <c r="Q459" i="5"/>
  <c r="P459" i="5"/>
  <c r="O459" i="5"/>
  <c r="J459" i="5"/>
  <c r="I459" i="5"/>
  <c r="H459" i="5"/>
  <c r="E459" i="5"/>
  <c r="D459" i="5"/>
  <c r="C459" i="5"/>
  <c r="Q458" i="5"/>
  <c r="P458" i="5"/>
  <c r="O458" i="5"/>
  <c r="J458" i="5"/>
  <c r="I458" i="5"/>
  <c r="H458" i="5"/>
  <c r="E458" i="5"/>
  <c r="D458" i="5"/>
  <c r="C458" i="5"/>
  <c r="Q457" i="5"/>
  <c r="P457" i="5"/>
  <c r="O457" i="5"/>
  <c r="J457" i="5"/>
  <c r="I457" i="5"/>
  <c r="H457" i="5"/>
  <c r="E457" i="5"/>
  <c r="D457" i="5"/>
  <c r="C457" i="5"/>
  <c r="Q456" i="5"/>
  <c r="P456" i="5"/>
  <c r="O456" i="5"/>
  <c r="J456" i="5"/>
  <c r="I456" i="5"/>
  <c r="H456" i="5"/>
  <c r="E456" i="5"/>
  <c r="D456" i="5"/>
  <c r="C456" i="5"/>
  <c r="Q455" i="5"/>
  <c r="P455" i="5"/>
  <c r="O455" i="5"/>
  <c r="J455" i="5"/>
  <c r="I455" i="5"/>
  <c r="H455" i="5"/>
  <c r="E455" i="5"/>
  <c r="D455" i="5"/>
  <c r="C455" i="5"/>
  <c r="Q454" i="5"/>
  <c r="P454" i="5"/>
  <c r="O454" i="5"/>
  <c r="J454" i="5"/>
  <c r="I454" i="5"/>
  <c r="H454" i="5"/>
  <c r="E454" i="5"/>
  <c r="D454" i="5"/>
  <c r="C454" i="5"/>
  <c r="Q453" i="5"/>
  <c r="P453" i="5"/>
  <c r="O453" i="5"/>
  <c r="J453" i="5"/>
  <c r="I453" i="5"/>
  <c r="H453" i="5"/>
  <c r="E453" i="5"/>
  <c r="D453" i="5"/>
  <c r="C453" i="5"/>
  <c r="Q452" i="5"/>
  <c r="P452" i="5"/>
  <c r="O452" i="5"/>
  <c r="J452" i="5"/>
  <c r="I452" i="5"/>
  <c r="H452" i="5"/>
  <c r="E452" i="5"/>
  <c r="D452" i="5"/>
  <c r="C452" i="5"/>
  <c r="Q451" i="5"/>
  <c r="P451" i="5"/>
  <c r="O451" i="5"/>
  <c r="J451" i="5"/>
  <c r="I451" i="5"/>
  <c r="H451" i="5"/>
  <c r="E451" i="5"/>
  <c r="D451" i="5"/>
  <c r="C451" i="5"/>
  <c r="Q450" i="5"/>
  <c r="P450" i="5"/>
  <c r="O450" i="5"/>
  <c r="J450" i="5"/>
  <c r="I450" i="5"/>
  <c r="H450" i="5"/>
  <c r="E450" i="5"/>
  <c r="D450" i="5"/>
  <c r="C450" i="5"/>
  <c r="Q449" i="5"/>
  <c r="P449" i="5"/>
  <c r="O449" i="5"/>
  <c r="J449" i="5"/>
  <c r="I449" i="5"/>
  <c r="H449" i="5"/>
  <c r="E449" i="5"/>
  <c r="D449" i="5"/>
  <c r="C449" i="5"/>
  <c r="Q448" i="5"/>
  <c r="P448" i="5"/>
  <c r="O448" i="5"/>
  <c r="J448" i="5"/>
  <c r="I448" i="5"/>
  <c r="H448" i="5"/>
  <c r="E448" i="5"/>
  <c r="D448" i="5"/>
  <c r="C448" i="5"/>
  <c r="Q447" i="5"/>
  <c r="P447" i="5"/>
  <c r="O447" i="5"/>
  <c r="J447" i="5"/>
  <c r="I447" i="5"/>
  <c r="H447" i="5"/>
  <c r="E447" i="5"/>
  <c r="D447" i="5"/>
  <c r="C447" i="5"/>
  <c r="Q446" i="5"/>
  <c r="P446" i="5"/>
  <c r="O446" i="5"/>
  <c r="J446" i="5"/>
  <c r="I446" i="5"/>
  <c r="H446" i="5"/>
  <c r="E446" i="5"/>
  <c r="D446" i="5"/>
  <c r="C446" i="5"/>
  <c r="Q445" i="5"/>
  <c r="P445" i="5"/>
  <c r="O445" i="5"/>
  <c r="J445" i="5"/>
  <c r="I445" i="5"/>
  <c r="H445" i="5"/>
  <c r="E445" i="5"/>
  <c r="D445" i="5"/>
  <c r="C445" i="5"/>
  <c r="Q444" i="5"/>
  <c r="P444" i="5"/>
  <c r="O444" i="5"/>
  <c r="J444" i="5"/>
  <c r="I444" i="5"/>
  <c r="H444" i="5"/>
  <c r="E444" i="5"/>
  <c r="D444" i="5"/>
  <c r="C444" i="5"/>
  <c r="Q443" i="5"/>
  <c r="P443" i="5"/>
  <c r="O443" i="5"/>
  <c r="J443" i="5"/>
  <c r="I443" i="5"/>
  <c r="H443" i="5"/>
  <c r="E443" i="5"/>
  <c r="D443" i="5"/>
  <c r="C443" i="5"/>
  <c r="Q442" i="5"/>
  <c r="P442" i="5"/>
  <c r="O442" i="5"/>
  <c r="J442" i="5"/>
  <c r="I442" i="5"/>
  <c r="H442" i="5"/>
  <c r="E442" i="5"/>
  <c r="D442" i="5"/>
  <c r="C442" i="5"/>
  <c r="Q441" i="5"/>
  <c r="P441" i="5"/>
  <c r="O441" i="5"/>
  <c r="J441" i="5"/>
  <c r="I441" i="5"/>
  <c r="H441" i="5"/>
  <c r="E441" i="5"/>
  <c r="D441" i="5"/>
  <c r="C441" i="5"/>
  <c r="Q440" i="5"/>
  <c r="P440" i="5"/>
  <c r="O440" i="5"/>
  <c r="J440" i="5"/>
  <c r="I440" i="5"/>
  <c r="H440" i="5"/>
  <c r="E440" i="5"/>
  <c r="D440" i="5"/>
  <c r="C440" i="5"/>
  <c r="Q439" i="5"/>
  <c r="P439" i="5"/>
  <c r="O439" i="5"/>
  <c r="J439" i="5"/>
  <c r="I439" i="5"/>
  <c r="H439" i="5"/>
  <c r="E439" i="5"/>
  <c r="D439" i="5"/>
  <c r="C439" i="5"/>
  <c r="Q438" i="5"/>
  <c r="P438" i="5"/>
  <c r="O438" i="5"/>
  <c r="J438" i="5"/>
  <c r="I438" i="5"/>
  <c r="H438" i="5"/>
  <c r="E438" i="5"/>
  <c r="D438" i="5"/>
  <c r="C438" i="5"/>
  <c r="Q437" i="5"/>
  <c r="P437" i="5"/>
  <c r="O437" i="5"/>
  <c r="J437" i="5"/>
  <c r="I437" i="5"/>
  <c r="H437" i="5"/>
  <c r="E437" i="5"/>
  <c r="D437" i="5"/>
  <c r="C437" i="5"/>
  <c r="Q436" i="5"/>
  <c r="P436" i="5"/>
  <c r="O436" i="5"/>
  <c r="J436" i="5"/>
  <c r="I436" i="5"/>
  <c r="H436" i="5"/>
  <c r="E436" i="5"/>
  <c r="D436" i="5"/>
  <c r="C436" i="5"/>
  <c r="Q435" i="5"/>
  <c r="P435" i="5"/>
  <c r="O435" i="5"/>
  <c r="J435" i="5"/>
  <c r="I435" i="5"/>
  <c r="H435" i="5"/>
  <c r="E435" i="5"/>
  <c r="D435" i="5"/>
  <c r="C435" i="5"/>
  <c r="Q434" i="5"/>
  <c r="P434" i="5"/>
  <c r="O434" i="5"/>
  <c r="J434" i="5"/>
  <c r="I434" i="5"/>
  <c r="H434" i="5"/>
  <c r="E434" i="5"/>
  <c r="D434" i="5"/>
  <c r="C434" i="5"/>
  <c r="Q433" i="5"/>
  <c r="P433" i="5"/>
  <c r="O433" i="5"/>
  <c r="J433" i="5"/>
  <c r="I433" i="5"/>
  <c r="H433" i="5"/>
  <c r="E433" i="5"/>
  <c r="D433" i="5"/>
  <c r="C433" i="5"/>
  <c r="Q432" i="5"/>
  <c r="P432" i="5"/>
  <c r="O432" i="5"/>
  <c r="J432" i="5"/>
  <c r="I432" i="5"/>
  <c r="H432" i="5"/>
  <c r="E432" i="5"/>
  <c r="D432" i="5"/>
  <c r="C432" i="5"/>
  <c r="Q431" i="5"/>
  <c r="P431" i="5"/>
  <c r="O431" i="5"/>
  <c r="J431" i="5"/>
  <c r="I431" i="5"/>
  <c r="H431" i="5"/>
  <c r="E431" i="5"/>
  <c r="D431" i="5"/>
  <c r="C431" i="5"/>
  <c r="Q430" i="5"/>
  <c r="P430" i="5"/>
  <c r="O430" i="5"/>
  <c r="J430" i="5"/>
  <c r="I430" i="5"/>
  <c r="H430" i="5"/>
  <c r="E430" i="5"/>
  <c r="D430" i="5"/>
  <c r="C430" i="5"/>
  <c r="Q429" i="5"/>
  <c r="P429" i="5"/>
  <c r="O429" i="5"/>
  <c r="J429" i="5"/>
  <c r="I429" i="5"/>
  <c r="H429" i="5"/>
  <c r="E429" i="5"/>
  <c r="D429" i="5"/>
  <c r="C429" i="5"/>
  <c r="Q428" i="5"/>
  <c r="P428" i="5"/>
  <c r="O428" i="5"/>
  <c r="J428" i="5"/>
  <c r="I428" i="5"/>
  <c r="H428" i="5"/>
  <c r="E428" i="5"/>
  <c r="D428" i="5"/>
  <c r="C428" i="5"/>
  <c r="Q427" i="5"/>
  <c r="P427" i="5"/>
  <c r="O427" i="5"/>
  <c r="J427" i="5"/>
  <c r="I427" i="5"/>
  <c r="H427" i="5"/>
  <c r="E427" i="5"/>
  <c r="D427" i="5"/>
  <c r="C427" i="5"/>
  <c r="Q426" i="5"/>
  <c r="P426" i="5"/>
  <c r="O426" i="5"/>
  <c r="J426" i="5"/>
  <c r="I426" i="5"/>
  <c r="H426" i="5"/>
  <c r="E426" i="5"/>
  <c r="D426" i="5"/>
  <c r="C426" i="5"/>
  <c r="Q425" i="5"/>
  <c r="P425" i="5"/>
  <c r="O425" i="5"/>
  <c r="J425" i="5"/>
  <c r="I425" i="5"/>
  <c r="H425" i="5"/>
  <c r="E425" i="5"/>
  <c r="D425" i="5"/>
  <c r="C425" i="5"/>
  <c r="Q424" i="5"/>
  <c r="P424" i="5"/>
  <c r="O424" i="5"/>
  <c r="J424" i="5"/>
  <c r="I424" i="5"/>
  <c r="H424" i="5"/>
  <c r="E424" i="5"/>
  <c r="D424" i="5"/>
  <c r="C424" i="5"/>
  <c r="Q423" i="5"/>
  <c r="P423" i="5"/>
  <c r="O423" i="5"/>
  <c r="J423" i="5"/>
  <c r="I423" i="5"/>
  <c r="H423" i="5"/>
  <c r="E423" i="5"/>
  <c r="D423" i="5"/>
  <c r="C423" i="5"/>
  <c r="Q422" i="5"/>
  <c r="P422" i="5"/>
  <c r="O422" i="5"/>
  <c r="J422" i="5"/>
  <c r="I422" i="5"/>
  <c r="H422" i="5"/>
  <c r="E422" i="5"/>
  <c r="D422" i="5"/>
  <c r="C422" i="5"/>
  <c r="Q421" i="5"/>
  <c r="P421" i="5"/>
  <c r="O421" i="5"/>
  <c r="J421" i="5"/>
  <c r="I421" i="5"/>
  <c r="H421" i="5"/>
  <c r="E421" i="5"/>
  <c r="D421" i="5"/>
  <c r="C421" i="5"/>
  <c r="Q420" i="5"/>
  <c r="P420" i="5"/>
  <c r="O420" i="5"/>
  <c r="J420" i="5"/>
  <c r="I420" i="5"/>
  <c r="H420" i="5"/>
  <c r="E420" i="5"/>
  <c r="D420" i="5"/>
  <c r="C420" i="5"/>
  <c r="Q419" i="5"/>
  <c r="P419" i="5"/>
  <c r="O419" i="5"/>
  <c r="J419" i="5"/>
  <c r="I419" i="5"/>
  <c r="H419" i="5"/>
  <c r="E419" i="5"/>
  <c r="D419" i="5"/>
  <c r="C419" i="5"/>
  <c r="Q418" i="5"/>
  <c r="P418" i="5"/>
  <c r="O418" i="5"/>
  <c r="J418" i="5"/>
  <c r="I418" i="5"/>
  <c r="H418" i="5"/>
  <c r="E418" i="5"/>
  <c r="D418" i="5"/>
  <c r="C418" i="5"/>
  <c r="Q417" i="5"/>
  <c r="P417" i="5"/>
  <c r="O417" i="5"/>
  <c r="J417" i="5"/>
  <c r="I417" i="5"/>
  <c r="H417" i="5"/>
  <c r="E417" i="5"/>
  <c r="D417" i="5"/>
  <c r="C417" i="5"/>
  <c r="Q416" i="5"/>
  <c r="P416" i="5"/>
  <c r="O416" i="5"/>
  <c r="J416" i="5"/>
  <c r="I416" i="5"/>
  <c r="H416" i="5"/>
  <c r="E416" i="5"/>
  <c r="D416" i="5"/>
  <c r="C416" i="5"/>
  <c r="Q415" i="5"/>
  <c r="P415" i="5"/>
  <c r="O415" i="5"/>
  <c r="J415" i="5"/>
  <c r="I415" i="5"/>
  <c r="H415" i="5"/>
  <c r="E415" i="5"/>
  <c r="D415" i="5"/>
  <c r="C415" i="5"/>
  <c r="Q414" i="5"/>
  <c r="P414" i="5"/>
  <c r="O414" i="5"/>
  <c r="J414" i="5"/>
  <c r="I414" i="5"/>
  <c r="H414" i="5"/>
  <c r="E414" i="5"/>
  <c r="D414" i="5"/>
  <c r="C414" i="5"/>
  <c r="Q413" i="5"/>
  <c r="P413" i="5"/>
  <c r="O413" i="5"/>
  <c r="J413" i="5"/>
  <c r="I413" i="5"/>
  <c r="H413" i="5"/>
  <c r="E413" i="5"/>
  <c r="D413" i="5"/>
  <c r="C413" i="5"/>
  <c r="Q412" i="5"/>
  <c r="P412" i="5"/>
  <c r="O412" i="5"/>
  <c r="J412" i="5"/>
  <c r="I412" i="5"/>
  <c r="H412" i="5"/>
  <c r="E412" i="5"/>
  <c r="D412" i="5"/>
  <c r="C412" i="5"/>
  <c r="Q411" i="5"/>
  <c r="P411" i="5"/>
  <c r="O411" i="5"/>
  <c r="J411" i="5"/>
  <c r="I411" i="5"/>
  <c r="H411" i="5"/>
  <c r="E411" i="5"/>
  <c r="D411" i="5"/>
  <c r="C411" i="5"/>
  <c r="Q410" i="5"/>
  <c r="P410" i="5"/>
  <c r="O410" i="5"/>
  <c r="J410" i="5"/>
  <c r="I410" i="5"/>
  <c r="H410" i="5"/>
  <c r="E410" i="5"/>
  <c r="D410" i="5"/>
  <c r="C410" i="5"/>
  <c r="Q409" i="5"/>
  <c r="P409" i="5"/>
  <c r="O409" i="5"/>
  <c r="J409" i="5"/>
  <c r="I409" i="5"/>
  <c r="H409" i="5"/>
  <c r="E409" i="5"/>
  <c r="D409" i="5"/>
  <c r="C409" i="5"/>
  <c r="Q408" i="5"/>
  <c r="P408" i="5"/>
  <c r="O408" i="5"/>
  <c r="J408" i="5"/>
  <c r="I408" i="5"/>
  <c r="H408" i="5"/>
  <c r="E408" i="5"/>
  <c r="D408" i="5"/>
  <c r="C408" i="5"/>
  <c r="Q407" i="5"/>
  <c r="P407" i="5"/>
  <c r="O407" i="5"/>
  <c r="J407" i="5"/>
  <c r="I407" i="5"/>
  <c r="H407" i="5"/>
  <c r="E407" i="5"/>
  <c r="D407" i="5"/>
  <c r="C407" i="5"/>
  <c r="Q406" i="5"/>
  <c r="P406" i="5"/>
  <c r="O406" i="5"/>
  <c r="J406" i="5"/>
  <c r="I406" i="5"/>
  <c r="H406" i="5"/>
  <c r="E406" i="5"/>
  <c r="D406" i="5"/>
  <c r="C406" i="5"/>
  <c r="Q405" i="5"/>
  <c r="P405" i="5"/>
  <c r="O405" i="5"/>
  <c r="J405" i="5"/>
  <c r="I405" i="5"/>
  <c r="H405" i="5"/>
  <c r="E405" i="5"/>
  <c r="D405" i="5"/>
  <c r="C405" i="5"/>
  <c r="Q404" i="5"/>
  <c r="P404" i="5"/>
  <c r="O404" i="5"/>
  <c r="J404" i="5"/>
  <c r="I404" i="5"/>
  <c r="H404" i="5"/>
  <c r="E404" i="5"/>
  <c r="D404" i="5"/>
  <c r="C404" i="5"/>
  <c r="Q403" i="5"/>
  <c r="P403" i="5"/>
  <c r="O403" i="5"/>
  <c r="J403" i="5"/>
  <c r="I403" i="5"/>
  <c r="H403" i="5"/>
  <c r="E403" i="5"/>
  <c r="D403" i="5"/>
  <c r="C403" i="5"/>
  <c r="Q402" i="5"/>
  <c r="P402" i="5"/>
  <c r="O402" i="5"/>
  <c r="J402" i="5"/>
  <c r="I402" i="5"/>
  <c r="H402" i="5"/>
  <c r="E402" i="5"/>
  <c r="D402" i="5"/>
  <c r="C402" i="5"/>
  <c r="Q401" i="5"/>
  <c r="P401" i="5"/>
  <c r="O401" i="5"/>
  <c r="J401" i="5"/>
  <c r="I401" i="5"/>
  <c r="H401" i="5"/>
  <c r="E401" i="5"/>
  <c r="D401" i="5"/>
  <c r="C401" i="5"/>
  <c r="Q400" i="5"/>
  <c r="P400" i="5"/>
  <c r="O400" i="5"/>
  <c r="J400" i="5"/>
  <c r="I400" i="5"/>
  <c r="H400" i="5"/>
  <c r="E400" i="5"/>
  <c r="D400" i="5"/>
  <c r="C400" i="5"/>
  <c r="Q399" i="5"/>
  <c r="P399" i="5"/>
  <c r="O399" i="5"/>
  <c r="J399" i="5"/>
  <c r="I399" i="5"/>
  <c r="H399" i="5"/>
  <c r="E399" i="5"/>
  <c r="D399" i="5"/>
  <c r="C399" i="5"/>
  <c r="Q398" i="5"/>
  <c r="P398" i="5"/>
  <c r="O398" i="5"/>
  <c r="J398" i="5"/>
  <c r="I398" i="5"/>
  <c r="H398" i="5"/>
  <c r="E398" i="5"/>
  <c r="D398" i="5"/>
  <c r="C398" i="5"/>
  <c r="Q397" i="5"/>
  <c r="P397" i="5"/>
  <c r="O397" i="5"/>
  <c r="J397" i="5"/>
  <c r="I397" i="5"/>
  <c r="H397" i="5"/>
  <c r="E397" i="5"/>
  <c r="D397" i="5"/>
  <c r="C397" i="5"/>
  <c r="Q396" i="5"/>
  <c r="P396" i="5"/>
  <c r="O396" i="5"/>
  <c r="J396" i="5"/>
  <c r="I396" i="5"/>
  <c r="H396" i="5"/>
  <c r="E396" i="5"/>
  <c r="D396" i="5"/>
  <c r="C396" i="5"/>
  <c r="Q395" i="5"/>
  <c r="P395" i="5"/>
  <c r="O395" i="5"/>
  <c r="J395" i="5"/>
  <c r="I395" i="5"/>
  <c r="H395" i="5"/>
  <c r="E395" i="5"/>
  <c r="D395" i="5"/>
  <c r="C395" i="5"/>
  <c r="Q394" i="5"/>
  <c r="P394" i="5"/>
  <c r="O394" i="5"/>
  <c r="J394" i="5"/>
  <c r="I394" i="5"/>
  <c r="H394" i="5"/>
  <c r="E394" i="5"/>
  <c r="D394" i="5"/>
  <c r="C394" i="5"/>
  <c r="Q393" i="5"/>
  <c r="P393" i="5"/>
  <c r="O393" i="5"/>
  <c r="J393" i="5"/>
  <c r="I393" i="5"/>
  <c r="H393" i="5"/>
  <c r="E393" i="5"/>
  <c r="D393" i="5"/>
  <c r="C393" i="5"/>
  <c r="Q392" i="5"/>
  <c r="P392" i="5"/>
  <c r="O392" i="5"/>
  <c r="J392" i="5"/>
  <c r="I392" i="5"/>
  <c r="H392" i="5"/>
  <c r="E392" i="5"/>
  <c r="D392" i="5"/>
  <c r="C392" i="5"/>
  <c r="Q391" i="5"/>
  <c r="P391" i="5"/>
  <c r="O391" i="5"/>
  <c r="J391" i="5"/>
  <c r="I391" i="5"/>
  <c r="H391" i="5"/>
  <c r="E391" i="5"/>
  <c r="D391" i="5"/>
  <c r="C391" i="5"/>
  <c r="Q390" i="5"/>
  <c r="P390" i="5"/>
  <c r="O390" i="5"/>
  <c r="J390" i="5"/>
  <c r="I390" i="5"/>
  <c r="H390" i="5"/>
  <c r="E390" i="5"/>
  <c r="D390" i="5"/>
  <c r="C390" i="5"/>
  <c r="Q389" i="5"/>
  <c r="P389" i="5"/>
  <c r="O389" i="5"/>
  <c r="J389" i="5"/>
  <c r="I389" i="5"/>
  <c r="H389" i="5"/>
  <c r="E389" i="5"/>
  <c r="D389" i="5"/>
  <c r="C389" i="5"/>
  <c r="Q388" i="5"/>
  <c r="P388" i="5"/>
  <c r="O388" i="5"/>
  <c r="J388" i="5"/>
  <c r="I388" i="5"/>
  <c r="H388" i="5"/>
  <c r="E388" i="5"/>
  <c r="D388" i="5"/>
  <c r="C388" i="5"/>
  <c r="Q387" i="5"/>
  <c r="P387" i="5"/>
  <c r="O387" i="5"/>
  <c r="J387" i="5"/>
  <c r="I387" i="5"/>
  <c r="H387" i="5"/>
  <c r="E387" i="5"/>
  <c r="D387" i="5"/>
  <c r="C387" i="5"/>
  <c r="Q386" i="5"/>
  <c r="P386" i="5"/>
  <c r="O386" i="5"/>
  <c r="J386" i="5"/>
  <c r="I386" i="5"/>
  <c r="H386" i="5"/>
  <c r="E386" i="5"/>
  <c r="D386" i="5"/>
  <c r="C386" i="5"/>
  <c r="Q385" i="5"/>
  <c r="P385" i="5"/>
  <c r="O385" i="5"/>
  <c r="J385" i="5"/>
  <c r="I385" i="5"/>
  <c r="H385" i="5"/>
  <c r="E385" i="5"/>
  <c r="D385" i="5"/>
  <c r="C385" i="5"/>
  <c r="Q384" i="5"/>
  <c r="P384" i="5"/>
  <c r="O384" i="5"/>
  <c r="J384" i="5"/>
  <c r="I384" i="5"/>
  <c r="H384" i="5"/>
  <c r="E384" i="5"/>
  <c r="D384" i="5"/>
  <c r="C384" i="5"/>
  <c r="Q383" i="5"/>
  <c r="P383" i="5"/>
  <c r="O383" i="5"/>
  <c r="J383" i="5"/>
  <c r="I383" i="5"/>
  <c r="H383" i="5"/>
  <c r="E383" i="5"/>
  <c r="D383" i="5"/>
  <c r="C383" i="5"/>
  <c r="Q382" i="5"/>
  <c r="P382" i="5"/>
  <c r="O382" i="5"/>
  <c r="J382" i="5"/>
  <c r="I382" i="5"/>
  <c r="H382" i="5"/>
  <c r="E382" i="5"/>
  <c r="D382" i="5"/>
  <c r="C382" i="5"/>
  <c r="Q381" i="5"/>
  <c r="P381" i="5"/>
  <c r="O381" i="5"/>
  <c r="J381" i="5"/>
  <c r="I381" i="5"/>
  <c r="H381" i="5"/>
  <c r="E381" i="5"/>
  <c r="D381" i="5"/>
  <c r="C381" i="5"/>
  <c r="Q380" i="5"/>
  <c r="P380" i="5"/>
  <c r="O380" i="5"/>
  <c r="J380" i="5"/>
  <c r="I380" i="5"/>
  <c r="H380" i="5"/>
  <c r="E380" i="5"/>
  <c r="D380" i="5"/>
  <c r="C380" i="5"/>
  <c r="Q379" i="5"/>
  <c r="P379" i="5"/>
  <c r="O379" i="5"/>
  <c r="J379" i="5"/>
  <c r="I379" i="5"/>
  <c r="H379" i="5"/>
  <c r="E379" i="5"/>
  <c r="D379" i="5"/>
  <c r="C379" i="5"/>
  <c r="Q378" i="5"/>
  <c r="P378" i="5"/>
  <c r="O378" i="5"/>
  <c r="J378" i="5"/>
  <c r="I378" i="5"/>
  <c r="H378" i="5"/>
  <c r="E378" i="5"/>
  <c r="D378" i="5"/>
  <c r="C378" i="5"/>
  <c r="Q377" i="5"/>
  <c r="P377" i="5"/>
  <c r="O377" i="5"/>
  <c r="J377" i="5"/>
  <c r="I377" i="5"/>
  <c r="H377" i="5"/>
  <c r="E377" i="5"/>
  <c r="D377" i="5"/>
  <c r="C377" i="5"/>
  <c r="Q376" i="5"/>
  <c r="P376" i="5"/>
  <c r="O376" i="5"/>
  <c r="J376" i="5"/>
  <c r="I376" i="5"/>
  <c r="H376" i="5"/>
  <c r="E376" i="5"/>
  <c r="D376" i="5"/>
  <c r="C376" i="5"/>
  <c r="Q375" i="5"/>
  <c r="P375" i="5"/>
  <c r="O375" i="5"/>
  <c r="J375" i="5"/>
  <c r="I375" i="5"/>
  <c r="H375" i="5"/>
  <c r="E375" i="5"/>
  <c r="D375" i="5"/>
  <c r="C375" i="5"/>
  <c r="Q374" i="5"/>
  <c r="P374" i="5"/>
  <c r="O374" i="5"/>
  <c r="J374" i="5"/>
  <c r="I374" i="5"/>
  <c r="H374" i="5"/>
  <c r="E374" i="5"/>
  <c r="D374" i="5"/>
  <c r="C374" i="5"/>
  <c r="Q373" i="5"/>
  <c r="P373" i="5"/>
  <c r="O373" i="5"/>
  <c r="J373" i="5"/>
  <c r="I373" i="5"/>
  <c r="H373" i="5"/>
  <c r="E373" i="5"/>
  <c r="D373" i="5"/>
  <c r="C373" i="5"/>
  <c r="Q372" i="5"/>
  <c r="P372" i="5"/>
  <c r="O372" i="5"/>
  <c r="J372" i="5"/>
  <c r="I372" i="5"/>
  <c r="H372" i="5"/>
  <c r="E372" i="5"/>
  <c r="D372" i="5"/>
  <c r="C372" i="5"/>
  <c r="Q371" i="5"/>
  <c r="P371" i="5"/>
  <c r="O371" i="5"/>
  <c r="J371" i="5"/>
  <c r="I371" i="5"/>
  <c r="H371" i="5"/>
  <c r="E371" i="5"/>
  <c r="D371" i="5"/>
  <c r="C371" i="5"/>
  <c r="Q370" i="5"/>
  <c r="P370" i="5"/>
  <c r="O370" i="5"/>
  <c r="J370" i="5"/>
  <c r="I370" i="5"/>
  <c r="H370" i="5"/>
  <c r="E370" i="5"/>
  <c r="D370" i="5"/>
  <c r="C370" i="5"/>
  <c r="Q369" i="5"/>
  <c r="P369" i="5"/>
  <c r="O369" i="5"/>
  <c r="J369" i="5"/>
  <c r="I369" i="5"/>
  <c r="H369" i="5"/>
  <c r="E369" i="5"/>
  <c r="D369" i="5"/>
  <c r="C369" i="5"/>
  <c r="Q368" i="5"/>
  <c r="P368" i="5"/>
  <c r="O368" i="5"/>
  <c r="J368" i="5"/>
  <c r="I368" i="5"/>
  <c r="H368" i="5"/>
  <c r="E368" i="5"/>
  <c r="D368" i="5"/>
  <c r="C368" i="5"/>
  <c r="Q367" i="5"/>
  <c r="P367" i="5"/>
  <c r="O367" i="5"/>
  <c r="J367" i="5"/>
  <c r="I367" i="5"/>
  <c r="H367" i="5"/>
  <c r="E367" i="5"/>
  <c r="D367" i="5"/>
  <c r="C367" i="5"/>
  <c r="Q366" i="5"/>
  <c r="P366" i="5"/>
  <c r="O366" i="5"/>
  <c r="J366" i="5"/>
  <c r="I366" i="5"/>
  <c r="H366" i="5"/>
  <c r="E366" i="5"/>
  <c r="D366" i="5"/>
  <c r="C366" i="5"/>
  <c r="Q365" i="5"/>
  <c r="P365" i="5"/>
  <c r="O365" i="5"/>
  <c r="J365" i="5"/>
  <c r="I365" i="5"/>
  <c r="H365" i="5"/>
  <c r="E365" i="5"/>
  <c r="D365" i="5"/>
  <c r="C365" i="5"/>
  <c r="Q364" i="5"/>
  <c r="P364" i="5"/>
  <c r="O364" i="5"/>
  <c r="J364" i="5"/>
  <c r="I364" i="5"/>
  <c r="H364" i="5"/>
  <c r="E364" i="5"/>
  <c r="D364" i="5"/>
  <c r="C364" i="5"/>
  <c r="Q363" i="5"/>
  <c r="P363" i="5"/>
  <c r="O363" i="5"/>
  <c r="J363" i="5"/>
  <c r="I363" i="5"/>
  <c r="H363" i="5"/>
  <c r="E363" i="5"/>
  <c r="D363" i="5"/>
  <c r="C363" i="5"/>
  <c r="Q362" i="5"/>
  <c r="P362" i="5"/>
  <c r="O362" i="5"/>
  <c r="J362" i="5"/>
  <c r="I362" i="5"/>
  <c r="H362" i="5"/>
  <c r="E362" i="5"/>
  <c r="D362" i="5"/>
  <c r="C362" i="5"/>
  <c r="Q361" i="5"/>
  <c r="P361" i="5"/>
  <c r="O361" i="5"/>
  <c r="J361" i="5"/>
  <c r="I361" i="5"/>
  <c r="H361" i="5"/>
  <c r="E361" i="5"/>
  <c r="D361" i="5"/>
  <c r="C361" i="5"/>
  <c r="Q360" i="5"/>
  <c r="P360" i="5"/>
  <c r="O360" i="5"/>
  <c r="J360" i="5"/>
  <c r="I360" i="5"/>
  <c r="H360" i="5"/>
  <c r="E360" i="5"/>
  <c r="D360" i="5"/>
  <c r="C360" i="5"/>
  <c r="Q359" i="5"/>
  <c r="P359" i="5"/>
  <c r="O359" i="5"/>
  <c r="J359" i="5"/>
  <c r="I359" i="5"/>
  <c r="H359" i="5"/>
  <c r="E359" i="5"/>
  <c r="D359" i="5"/>
  <c r="C359" i="5"/>
  <c r="Q358" i="5"/>
  <c r="P358" i="5"/>
  <c r="O358" i="5"/>
  <c r="J358" i="5"/>
  <c r="I358" i="5"/>
  <c r="H358" i="5"/>
  <c r="E358" i="5"/>
  <c r="D358" i="5"/>
  <c r="C358" i="5"/>
  <c r="Q357" i="5"/>
  <c r="P357" i="5"/>
  <c r="O357" i="5"/>
  <c r="J357" i="5"/>
  <c r="I357" i="5"/>
  <c r="H357" i="5"/>
  <c r="E357" i="5"/>
  <c r="D357" i="5"/>
  <c r="C357" i="5"/>
  <c r="Q356" i="5"/>
  <c r="P356" i="5"/>
  <c r="O356" i="5"/>
  <c r="J356" i="5"/>
  <c r="I356" i="5"/>
  <c r="H356" i="5"/>
  <c r="E356" i="5"/>
  <c r="D356" i="5"/>
  <c r="C356" i="5"/>
  <c r="Q355" i="5"/>
  <c r="P355" i="5"/>
  <c r="O355" i="5"/>
  <c r="J355" i="5"/>
  <c r="I355" i="5"/>
  <c r="H355" i="5"/>
  <c r="E355" i="5"/>
  <c r="D355" i="5"/>
  <c r="C355" i="5"/>
  <c r="Q354" i="5"/>
  <c r="P354" i="5"/>
  <c r="O354" i="5"/>
  <c r="J354" i="5"/>
  <c r="I354" i="5"/>
  <c r="H354" i="5"/>
  <c r="E354" i="5"/>
  <c r="D354" i="5"/>
  <c r="C354" i="5"/>
  <c r="Q353" i="5"/>
  <c r="P353" i="5"/>
  <c r="O353" i="5"/>
  <c r="J353" i="5"/>
  <c r="I353" i="5"/>
  <c r="H353" i="5"/>
  <c r="E353" i="5"/>
  <c r="D353" i="5"/>
  <c r="C353" i="5"/>
  <c r="Q352" i="5"/>
  <c r="P352" i="5"/>
  <c r="O352" i="5"/>
  <c r="J352" i="5"/>
  <c r="I352" i="5"/>
  <c r="H352" i="5"/>
  <c r="E352" i="5"/>
  <c r="D352" i="5"/>
  <c r="C352" i="5"/>
  <c r="Q351" i="5"/>
  <c r="P351" i="5"/>
  <c r="O351" i="5"/>
  <c r="J351" i="5"/>
  <c r="I351" i="5"/>
  <c r="H351" i="5"/>
  <c r="E351" i="5"/>
  <c r="D351" i="5"/>
  <c r="C351" i="5"/>
  <c r="Q350" i="5"/>
  <c r="P350" i="5"/>
  <c r="O350" i="5"/>
  <c r="J350" i="5"/>
  <c r="I350" i="5"/>
  <c r="H350" i="5"/>
  <c r="E350" i="5"/>
  <c r="D350" i="5"/>
  <c r="C350" i="5"/>
  <c r="Q349" i="5"/>
  <c r="P349" i="5"/>
  <c r="O349" i="5"/>
  <c r="J349" i="5"/>
  <c r="I349" i="5"/>
  <c r="H349" i="5"/>
  <c r="E349" i="5"/>
  <c r="D349" i="5"/>
  <c r="C349" i="5"/>
  <c r="Q348" i="5"/>
  <c r="P348" i="5"/>
  <c r="O348" i="5"/>
  <c r="J348" i="5"/>
  <c r="I348" i="5"/>
  <c r="H348" i="5"/>
  <c r="E348" i="5"/>
  <c r="D348" i="5"/>
  <c r="C348" i="5"/>
  <c r="Q347" i="5"/>
  <c r="P347" i="5"/>
  <c r="O347" i="5"/>
  <c r="J347" i="5"/>
  <c r="I347" i="5"/>
  <c r="H347" i="5"/>
  <c r="E347" i="5"/>
  <c r="D347" i="5"/>
  <c r="C347" i="5"/>
  <c r="Q346" i="5"/>
  <c r="P346" i="5"/>
  <c r="O346" i="5"/>
  <c r="J346" i="5"/>
  <c r="I346" i="5"/>
  <c r="H346" i="5"/>
  <c r="E346" i="5"/>
  <c r="D346" i="5"/>
  <c r="C346" i="5"/>
  <c r="Q345" i="5"/>
  <c r="P345" i="5"/>
  <c r="O345" i="5"/>
  <c r="J345" i="5"/>
  <c r="I345" i="5"/>
  <c r="H345" i="5"/>
  <c r="E345" i="5"/>
  <c r="D345" i="5"/>
  <c r="C345" i="5"/>
  <c r="Q344" i="5"/>
  <c r="P344" i="5"/>
  <c r="O344" i="5"/>
  <c r="J344" i="5"/>
  <c r="I344" i="5"/>
  <c r="H344" i="5"/>
  <c r="E344" i="5"/>
  <c r="D344" i="5"/>
  <c r="C344" i="5"/>
  <c r="Q343" i="5"/>
  <c r="P343" i="5"/>
  <c r="O343" i="5"/>
  <c r="J343" i="5"/>
  <c r="I343" i="5"/>
  <c r="H343" i="5"/>
  <c r="E343" i="5"/>
  <c r="D343" i="5"/>
  <c r="C343" i="5"/>
  <c r="Q342" i="5"/>
  <c r="P342" i="5"/>
  <c r="O342" i="5"/>
  <c r="J342" i="5"/>
  <c r="I342" i="5"/>
  <c r="H342" i="5"/>
  <c r="E342" i="5"/>
  <c r="D342" i="5"/>
  <c r="C342" i="5"/>
  <c r="Q341" i="5"/>
  <c r="P341" i="5"/>
  <c r="O341" i="5"/>
  <c r="J341" i="5"/>
  <c r="I341" i="5"/>
  <c r="H341" i="5"/>
  <c r="E341" i="5"/>
  <c r="D341" i="5"/>
  <c r="C341" i="5"/>
  <c r="Q340" i="5"/>
  <c r="P340" i="5"/>
  <c r="O340" i="5"/>
  <c r="J340" i="5"/>
  <c r="I340" i="5"/>
  <c r="H340" i="5"/>
  <c r="E340" i="5"/>
  <c r="D340" i="5"/>
  <c r="C340" i="5"/>
  <c r="Q339" i="5"/>
  <c r="P339" i="5"/>
  <c r="O339" i="5"/>
  <c r="J339" i="5"/>
  <c r="I339" i="5"/>
  <c r="H339" i="5"/>
  <c r="E339" i="5"/>
  <c r="D339" i="5"/>
  <c r="C339" i="5"/>
  <c r="Q338" i="5"/>
  <c r="P338" i="5"/>
  <c r="O338" i="5"/>
  <c r="J338" i="5"/>
  <c r="I338" i="5"/>
  <c r="H338" i="5"/>
  <c r="E338" i="5"/>
  <c r="D338" i="5"/>
  <c r="C338" i="5"/>
  <c r="Q337" i="5"/>
  <c r="P337" i="5"/>
  <c r="O337" i="5"/>
  <c r="J337" i="5"/>
  <c r="I337" i="5"/>
  <c r="H337" i="5"/>
  <c r="E337" i="5"/>
  <c r="D337" i="5"/>
  <c r="C337" i="5"/>
  <c r="Q336" i="5"/>
  <c r="P336" i="5"/>
  <c r="O336" i="5"/>
  <c r="J336" i="5"/>
  <c r="I336" i="5"/>
  <c r="H336" i="5"/>
  <c r="E336" i="5"/>
  <c r="D336" i="5"/>
  <c r="C336" i="5"/>
  <c r="Q335" i="5"/>
  <c r="P335" i="5"/>
  <c r="O335" i="5"/>
  <c r="J335" i="5"/>
  <c r="I335" i="5"/>
  <c r="H335" i="5"/>
  <c r="E335" i="5"/>
  <c r="D335" i="5"/>
  <c r="C335" i="5"/>
  <c r="Q334" i="5"/>
  <c r="P334" i="5"/>
  <c r="O334" i="5"/>
  <c r="J334" i="5"/>
  <c r="I334" i="5"/>
  <c r="H334" i="5"/>
  <c r="E334" i="5"/>
  <c r="D334" i="5"/>
  <c r="C334" i="5"/>
  <c r="Q333" i="5"/>
  <c r="P333" i="5"/>
  <c r="O333" i="5"/>
  <c r="J333" i="5"/>
  <c r="I333" i="5"/>
  <c r="H333" i="5"/>
  <c r="E333" i="5"/>
  <c r="D333" i="5"/>
  <c r="C333" i="5"/>
  <c r="Q332" i="5"/>
  <c r="P332" i="5"/>
  <c r="O332" i="5"/>
  <c r="J332" i="5"/>
  <c r="I332" i="5"/>
  <c r="H332" i="5"/>
  <c r="E332" i="5"/>
  <c r="D332" i="5"/>
  <c r="C332" i="5"/>
  <c r="Q331" i="5"/>
  <c r="P331" i="5"/>
  <c r="O331" i="5"/>
  <c r="J331" i="5"/>
  <c r="I331" i="5"/>
  <c r="H331" i="5"/>
  <c r="E331" i="5"/>
  <c r="D331" i="5"/>
  <c r="C331" i="5"/>
  <c r="Q330" i="5"/>
  <c r="P330" i="5"/>
  <c r="O330" i="5"/>
  <c r="J330" i="5"/>
  <c r="I330" i="5"/>
  <c r="H330" i="5"/>
  <c r="E330" i="5"/>
  <c r="D330" i="5"/>
  <c r="C330" i="5"/>
  <c r="Q329" i="5"/>
  <c r="P329" i="5"/>
  <c r="O329" i="5"/>
  <c r="J329" i="5"/>
  <c r="I329" i="5"/>
  <c r="H329" i="5"/>
  <c r="E329" i="5"/>
  <c r="D329" i="5"/>
  <c r="C329" i="5"/>
  <c r="Q328" i="5"/>
  <c r="P328" i="5"/>
  <c r="O328" i="5"/>
  <c r="J328" i="5"/>
  <c r="I328" i="5"/>
  <c r="H328" i="5"/>
  <c r="E328" i="5"/>
  <c r="D328" i="5"/>
  <c r="C328" i="5"/>
  <c r="Q327" i="5"/>
  <c r="P327" i="5"/>
  <c r="O327" i="5"/>
  <c r="J327" i="5"/>
  <c r="I327" i="5"/>
  <c r="H327" i="5"/>
  <c r="E327" i="5"/>
  <c r="D327" i="5"/>
  <c r="C327" i="5"/>
  <c r="Q326" i="5"/>
  <c r="P326" i="5"/>
  <c r="O326" i="5"/>
  <c r="J326" i="5"/>
  <c r="I326" i="5"/>
  <c r="H326" i="5"/>
  <c r="E326" i="5"/>
  <c r="D326" i="5"/>
  <c r="C326" i="5"/>
  <c r="Q325" i="5"/>
  <c r="P325" i="5"/>
  <c r="O325" i="5"/>
  <c r="J325" i="5"/>
  <c r="I325" i="5"/>
  <c r="H325" i="5"/>
  <c r="E325" i="5"/>
  <c r="D325" i="5"/>
  <c r="C325" i="5"/>
  <c r="Q324" i="5"/>
  <c r="P324" i="5"/>
  <c r="O324" i="5"/>
  <c r="J324" i="5"/>
  <c r="I324" i="5"/>
  <c r="H324" i="5"/>
  <c r="E324" i="5"/>
  <c r="D324" i="5"/>
  <c r="C324" i="5"/>
  <c r="Q323" i="5"/>
  <c r="P323" i="5"/>
  <c r="O323" i="5"/>
  <c r="J323" i="5"/>
  <c r="I323" i="5"/>
  <c r="H323" i="5"/>
  <c r="E323" i="5"/>
  <c r="D323" i="5"/>
  <c r="C323" i="5"/>
  <c r="Q322" i="5"/>
  <c r="P322" i="5"/>
  <c r="O322" i="5"/>
  <c r="J322" i="5"/>
  <c r="I322" i="5"/>
  <c r="H322" i="5"/>
  <c r="E322" i="5"/>
  <c r="D322" i="5"/>
  <c r="C322" i="5"/>
  <c r="Q321" i="5"/>
  <c r="P321" i="5"/>
  <c r="O321" i="5"/>
  <c r="J321" i="5"/>
  <c r="I321" i="5"/>
  <c r="H321" i="5"/>
  <c r="E321" i="5"/>
  <c r="D321" i="5"/>
  <c r="C321" i="5"/>
  <c r="Q320" i="5"/>
  <c r="P320" i="5"/>
  <c r="O320" i="5"/>
  <c r="J320" i="5"/>
  <c r="I320" i="5"/>
  <c r="H320" i="5"/>
  <c r="E320" i="5"/>
  <c r="D320" i="5"/>
  <c r="C320" i="5"/>
  <c r="Q319" i="5"/>
  <c r="P319" i="5"/>
  <c r="O319" i="5"/>
  <c r="J319" i="5"/>
  <c r="I319" i="5"/>
  <c r="H319" i="5"/>
  <c r="E319" i="5"/>
  <c r="D319" i="5"/>
  <c r="C319" i="5"/>
  <c r="Q318" i="5"/>
  <c r="P318" i="5"/>
  <c r="O318" i="5"/>
  <c r="J318" i="5"/>
  <c r="I318" i="5"/>
  <c r="H318" i="5"/>
  <c r="E318" i="5"/>
  <c r="D318" i="5"/>
  <c r="C318" i="5"/>
  <c r="Q317" i="5"/>
  <c r="P317" i="5"/>
  <c r="O317" i="5"/>
  <c r="J317" i="5"/>
  <c r="I317" i="5"/>
  <c r="H317" i="5"/>
  <c r="E317" i="5"/>
  <c r="D317" i="5"/>
  <c r="C317" i="5"/>
  <c r="Q316" i="5"/>
  <c r="P316" i="5"/>
  <c r="O316" i="5"/>
  <c r="J316" i="5"/>
  <c r="I316" i="5"/>
  <c r="H316" i="5"/>
  <c r="E316" i="5"/>
  <c r="D316" i="5"/>
  <c r="C316" i="5"/>
  <c r="Q315" i="5"/>
  <c r="P315" i="5"/>
  <c r="O315" i="5"/>
  <c r="J315" i="5"/>
  <c r="I315" i="5"/>
  <c r="H315" i="5"/>
  <c r="E315" i="5"/>
  <c r="D315" i="5"/>
  <c r="C315" i="5"/>
  <c r="Q314" i="5"/>
  <c r="P314" i="5"/>
  <c r="O314" i="5"/>
  <c r="J314" i="5"/>
  <c r="I314" i="5"/>
  <c r="H314" i="5"/>
  <c r="E314" i="5"/>
  <c r="D314" i="5"/>
  <c r="C314" i="5"/>
  <c r="Q313" i="5"/>
  <c r="P313" i="5"/>
  <c r="O313" i="5"/>
  <c r="J313" i="5"/>
  <c r="I313" i="5"/>
  <c r="H313" i="5"/>
  <c r="E313" i="5"/>
  <c r="D313" i="5"/>
  <c r="C313" i="5"/>
  <c r="Q312" i="5"/>
  <c r="P312" i="5"/>
  <c r="O312" i="5"/>
  <c r="J312" i="5"/>
  <c r="I312" i="5"/>
  <c r="H312" i="5"/>
  <c r="E312" i="5"/>
  <c r="D312" i="5"/>
  <c r="C312" i="5"/>
  <c r="Q311" i="5"/>
  <c r="P311" i="5"/>
  <c r="O311" i="5"/>
  <c r="J311" i="5"/>
  <c r="I311" i="5"/>
  <c r="H311" i="5"/>
  <c r="E311" i="5"/>
  <c r="D311" i="5"/>
  <c r="C311" i="5"/>
  <c r="Q310" i="5"/>
  <c r="P310" i="5"/>
  <c r="O310" i="5"/>
  <c r="J310" i="5"/>
  <c r="I310" i="5"/>
  <c r="H310" i="5"/>
  <c r="E310" i="5"/>
  <c r="D310" i="5"/>
  <c r="C310" i="5"/>
  <c r="Q309" i="5"/>
  <c r="P309" i="5"/>
  <c r="O309" i="5"/>
  <c r="J309" i="5"/>
  <c r="I309" i="5"/>
  <c r="H309" i="5"/>
  <c r="E309" i="5"/>
  <c r="D309" i="5"/>
  <c r="C309" i="5"/>
  <c r="Q308" i="5"/>
  <c r="P308" i="5"/>
  <c r="O308" i="5"/>
  <c r="J308" i="5"/>
  <c r="I308" i="5"/>
  <c r="H308" i="5"/>
  <c r="E308" i="5"/>
  <c r="D308" i="5"/>
  <c r="C308" i="5"/>
  <c r="Q307" i="5"/>
  <c r="P307" i="5"/>
  <c r="O307" i="5"/>
  <c r="J307" i="5"/>
  <c r="I307" i="5"/>
  <c r="H307" i="5"/>
  <c r="E307" i="5"/>
  <c r="D307" i="5"/>
  <c r="C307" i="5"/>
  <c r="Q306" i="5"/>
  <c r="P306" i="5"/>
  <c r="O306" i="5"/>
  <c r="J306" i="5"/>
  <c r="I306" i="5"/>
  <c r="H306" i="5"/>
  <c r="E306" i="5"/>
  <c r="D306" i="5"/>
  <c r="C306" i="5"/>
  <c r="Q305" i="5"/>
  <c r="P305" i="5"/>
  <c r="O305" i="5"/>
  <c r="J305" i="5"/>
  <c r="I305" i="5"/>
  <c r="H305" i="5"/>
  <c r="E305" i="5"/>
  <c r="D305" i="5"/>
  <c r="C305" i="5"/>
  <c r="Q304" i="5"/>
  <c r="P304" i="5"/>
  <c r="O304" i="5"/>
  <c r="J304" i="5"/>
  <c r="I304" i="5"/>
  <c r="H304" i="5"/>
  <c r="E304" i="5"/>
  <c r="D304" i="5"/>
  <c r="C304" i="5"/>
  <c r="Q303" i="5"/>
  <c r="P303" i="5"/>
  <c r="O303" i="5"/>
  <c r="J303" i="5"/>
  <c r="I303" i="5"/>
  <c r="H303" i="5"/>
  <c r="E303" i="5"/>
  <c r="D303" i="5"/>
  <c r="C303" i="5"/>
  <c r="Q302" i="5"/>
  <c r="P302" i="5"/>
  <c r="O302" i="5"/>
  <c r="J302" i="5"/>
  <c r="I302" i="5"/>
  <c r="H302" i="5"/>
  <c r="E302" i="5"/>
  <c r="D302" i="5"/>
  <c r="C302" i="5"/>
  <c r="Q301" i="5"/>
  <c r="P301" i="5"/>
  <c r="O301" i="5"/>
  <c r="J301" i="5"/>
  <c r="I301" i="5"/>
  <c r="H301" i="5"/>
  <c r="E301" i="5"/>
  <c r="D301" i="5"/>
  <c r="C301" i="5"/>
  <c r="Q300" i="5"/>
  <c r="P300" i="5"/>
  <c r="O300" i="5"/>
  <c r="J300" i="5"/>
  <c r="I300" i="5"/>
  <c r="H300" i="5"/>
  <c r="E300" i="5"/>
  <c r="D300" i="5"/>
  <c r="C300" i="5"/>
  <c r="Q299" i="5"/>
  <c r="P299" i="5"/>
  <c r="O299" i="5"/>
  <c r="J299" i="5"/>
  <c r="I299" i="5"/>
  <c r="H299" i="5"/>
  <c r="E299" i="5"/>
  <c r="D299" i="5"/>
  <c r="C299" i="5"/>
  <c r="Q298" i="5"/>
  <c r="P298" i="5"/>
  <c r="O298" i="5"/>
  <c r="J298" i="5"/>
  <c r="I298" i="5"/>
  <c r="H298" i="5"/>
  <c r="E298" i="5"/>
  <c r="D298" i="5"/>
  <c r="C298" i="5"/>
  <c r="Q297" i="5"/>
  <c r="P297" i="5"/>
  <c r="O297" i="5"/>
  <c r="J297" i="5"/>
  <c r="I297" i="5"/>
  <c r="H297" i="5"/>
  <c r="E297" i="5"/>
  <c r="D297" i="5"/>
  <c r="C297" i="5"/>
  <c r="Q296" i="5"/>
  <c r="P296" i="5"/>
  <c r="O296" i="5"/>
  <c r="J296" i="5"/>
  <c r="I296" i="5"/>
  <c r="H296" i="5"/>
  <c r="E296" i="5"/>
  <c r="D296" i="5"/>
  <c r="C296" i="5"/>
  <c r="Q295" i="5"/>
  <c r="P295" i="5"/>
  <c r="O295" i="5"/>
  <c r="J295" i="5"/>
  <c r="I295" i="5"/>
  <c r="H295" i="5"/>
  <c r="E295" i="5"/>
  <c r="D295" i="5"/>
  <c r="C295" i="5"/>
  <c r="Q294" i="5"/>
  <c r="P294" i="5"/>
  <c r="O294" i="5"/>
  <c r="J294" i="5"/>
  <c r="I294" i="5"/>
  <c r="H294" i="5"/>
  <c r="E294" i="5"/>
  <c r="D294" i="5"/>
  <c r="C294" i="5"/>
  <c r="Q293" i="5"/>
  <c r="P293" i="5"/>
  <c r="O293" i="5"/>
  <c r="J293" i="5"/>
  <c r="I293" i="5"/>
  <c r="H293" i="5"/>
  <c r="E293" i="5"/>
  <c r="D293" i="5"/>
  <c r="C293" i="5"/>
  <c r="Q292" i="5"/>
  <c r="P292" i="5"/>
  <c r="O292" i="5"/>
  <c r="J292" i="5"/>
  <c r="I292" i="5"/>
  <c r="H292" i="5"/>
  <c r="E292" i="5"/>
  <c r="D292" i="5"/>
  <c r="C292" i="5"/>
  <c r="Q291" i="5"/>
  <c r="P291" i="5"/>
  <c r="O291" i="5"/>
  <c r="J291" i="5"/>
  <c r="I291" i="5"/>
  <c r="H291" i="5"/>
  <c r="E291" i="5"/>
  <c r="D291" i="5"/>
  <c r="C291" i="5"/>
  <c r="Q290" i="5"/>
  <c r="P290" i="5"/>
  <c r="O290" i="5"/>
  <c r="J290" i="5"/>
  <c r="I290" i="5"/>
  <c r="H290" i="5"/>
  <c r="E290" i="5"/>
  <c r="D290" i="5"/>
  <c r="C290" i="5"/>
  <c r="Q289" i="5"/>
  <c r="P289" i="5"/>
  <c r="O289" i="5"/>
  <c r="J289" i="5"/>
  <c r="I289" i="5"/>
  <c r="H289" i="5"/>
  <c r="E289" i="5"/>
  <c r="D289" i="5"/>
  <c r="C289" i="5"/>
  <c r="Q288" i="5"/>
  <c r="P288" i="5"/>
  <c r="O288" i="5"/>
  <c r="J288" i="5"/>
  <c r="I288" i="5"/>
  <c r="H288" i="5"/>
  <c r="E288" i="5"/>
  <c r="D288" i="5"/>
  <c r="C288" i="5"/>
  <c r="Q287" i="5"/>
  <c r="P287" i="5"/>
  <c r="O287" i="5"/>
  <c r="J287" i="5"/>
  <c r="I287" i="5"/>
  <c r="H287" i="5"/>
  <c r="E287" i="5"/>
  <c r="D287" i="5"/>
  <c r="C287" i="5"/>
  <c r="Q286" i="5"/>
  <c r="P286" i="5"/>
  <c r="O286" i="5"/>
  <c r="J286" i="5"/>
  <c r="I286" i="5"/>
  <c r="H286" i="5"/>
  <c r="E286" i="5"/>
  <c r="D286" i="5"/>
  <c r="C286" i="5"/>
  <c r="Q285" i="5"/>
  <c r="P285" i="5"/>
  <c r="O285" i="5"/>
  <c r="J285" i="5"/>
  <c r="I285" i="5"/>
  <c r="H285" i="5"/>
  <c r="E285" i="5"/>
  <c r="D285" i="5"/>
  <c r="C285" i="5"/>
  <c r="Q284" i="5"/>
  <c r="P284" i="5"/>
  <c r="O284" i="5"/>
  <c r="J284" i="5"/>
  <c r="I284" i="5"/>
  <c r="H284" i="5"/>
  <c r="E284" i="5"/>
  <c r="D284" i="5"/>
  <c r="C284" i="5"/>
  <c r="Q283" i="5"/>
  <c r="P283" i="5"/>
  <c r="O283" i="5"/>
  <c r="J283" i="5"/>
  <c r="I283" i="5"/>
  <c r="H283" i="5"/>
  <c r="E283" i="5"/>
  <c r="D283" i="5"/>
  <c r="C283" i="5"/>
  <c r="Q282" i="5"/>
  <c r="P282" i="5"/>
  <c r="O282" i="5"/>
  <c r="J282" i="5"/>
  <c r="I282" i="5"/>
  <c r="H282" i="5"/>
  <c r="E282" i="5"/>
  <c r="D282" i="5"/>
  <c r="C282" i="5"/>
  <c r="Q281" i="5"/>
  <c r="P281" i="5"/>
  <c r="O281" i="5"/>
  <c r="J281" i="5"/>
  <c r="I281" i="5"/>
  <c r="H281" i="5"/>
  <c r="E281" i="5"/>
  <c r="D281" i="5"/>
  <c r="C281" i="5"/>
  <c r="Q280" i="5"/>
  <c r="P280" i="5"/>
  <c r="O280" i="5"/>
  <c r="J280" i="5"/>
  <c r="I280" i="5"/>
  <c r="H280" i="5"/>
  <c r="E280" i="5"/>
  <c r="D280" i="5"/>
  <c r="C280" i="5"/>
  <c r="Q279" i="5"/>
  <c r="P279" i="5"/>
  <c r="O279" i="5"/>
  <c r="J279" i="5"/>
  <c r="I279" i="5"/>
  <c r="H279" i="5"/>
  <c r="E279" i="5"/>
  <c r="D279" i="5"/>
  <c r="C279" i="5"/>
  <c r="Q278" i="5"/>
  <c r="P278" i="5"/>
  <c r="O278" i="5"/>
  <c r="J278" i="5"/>
  <c r="I278" i="5"/>
  <c r="H278" i="5"/>
  <c r="E278" i="5"/>
  <c r="D278" i="5"/>
  <c r="C278" i="5"/>
  <c r="Q277" i="5"/>
  <c r="P277" i="5"/>
  <c r="O277" i="5"/>
  <c r="J277" i="5"/>
  <c r="I277" i="5"/>
  <c r="H277" i="5"/>
  <c r="E277" i="5"/>
  <c r="D277" i="5"/>
  <c r="C277" i="5"/>
  <c r="Q276" i="5"/>
  <c r="P276" i="5"/>
  <c r="O276" i="5"/>
  <c r="J276" i="5"/>
  <c r="I276" i="5"/>
  <c r="H276" i="5"/>
  <c r="E276" i="5"/>
  <c r="D276" i="5"/>
  <c r="C276" i="5"/>
  <c r="Q275" i="5"/>
  <c r="P275" i="5"/>
  <c r="O275" i="5"/>
  <c r="J275" i="5"/>
  <c r="I275" i="5"/>
  <c r="H275" i="5"/>
  <c r="E275" i="5"/>
  <c r="D275" i="5"/>
  <c r="C275" i="5"/>
  <c r="Q274" i="5"/>
  <c r="P274" i="5"/>
  <c r="O274" i="5"/>
  <c r="J274" i="5"/>
  <c r="I274" i="5"/>
  <c r="H274" i="5"/>
  <c r="E274" i="5"/>
  <c r="D274" i="5"/>
  <c r="C274" i="5"/>
  <c r="Q273" i="5"/>
  <c r="P273" i="5"/>
  <c r="O273" i="5"/>
  <c r="J273" i="5"/>
  <c r="I273" i="5"/>
  <c r="H273" i="5"/>
  <c r="E273" i="5"/>
  <c r="D273" i="5"/>
  <c r="C273" i="5"/>
  <c r="Q272" i="5"/>
  <c r="P272" i="5"/>
  <c r="O272" i="5"/>
  <c r="J272" i="5"/>
  <c r="I272" i="5"/>
  <c r="H272" i="5"/>
  <c r="E272" i="5"/>
  <c r="D272" i="5"/>
  <c r="C272" i="5"/>
  <c r="Q271" i="5"/>
  <c r="P271" i="5"/>
  <c r="O271" i="5"/>
  <c r="J271" i="5"/>
  <c r="I271" i="5"/>
  <c r="H271" i="5"/>
  <c r="E271" i="5"/>
  <c r="D271" i="5"/>
  <c r="C271" i="5"/>
  <c r="Q270" i="5"/>
  <c r="P270" i="5"/>
  <c r="O270" i="5"/>
  <c r="J270" i="5"/>
  <c r="I270" i="5"/>
  <c r="H270" i="5"/>
  <c r="E270" i="5"/>
  <c r="D270" i="5"/>
  <c r="C270" i="5"/>
  <c r="Q269" i="5"/>
  <c r="P269" i="5"/>
  <c r="O269" i="5"/>
  <c r="J269" i="5"/>
  <c r="I269" i="5"/>
  <c r="H269" i="5"/>
  <c r="E269" i="5"/>
  <c r="D269" i="5"/>
  <c r="C269" i="5"/>
  <c r="Q268" i="5"/>
  <c r="P268" i="5"/>
  <c r="O268" i="5"/>
  <c r="J268" i="5"/>
  <c r="I268" i="5"/>
  <c r="H268" i="5"/>
  <c r="E268" i="5"/>
  <c r="D268" i="5"/>
  <c r="C268" i="5"/>
  <c r="Q267" i="5"/>
  <c r="P267" i="5"/>
  <c r="O267" i="5"/>
  <c r="J267" i="5"/>
  <c r="I267" i="5"/>
  <c r="H267" i="5"/>
  <c r="E267" i="5"/>
  <c r="D267" i="5"/>
  <c r="C267" i="5"/>
  <c r="Q266" i="5"/>
  <c r="P266" i="5"/>
  <c r="O266" i="5"/>
  <c r="J266" i="5"/>
  <c r="I266" i="5"/>
  <c r="H266" i="5"/>
  <c r="E266" i="5"/>
  <c r="D266" i="5"/>
  <c r="C266" i="5"/>
  <c r="Q265" i="5"/>
  <c r="P265" i="5"/>
  <c r="O265" i="5"/>
  <c r="J265" i="5"/>
  <c r="I265" i="5"/>
  <c r="H265" i="5"/>
  <c r="E265" i="5"/>
  <c r="D265" i="5"/>
  <c r="C265" i="5"/>
  <c r="Q264" i="5"/>
  <c r="P264" i="5"/>
  <c r="O264" i="5"/>
  <c r="J264" i="5"/>
  <c r="I264" i="5"/>
  <c r="H264" i="5"/>
  <c r="E264" i="5"/>
  <c r="D264" i="5"/>
  <c r="C264" i="5"/>
  <c r="Q263" i="5"/>
  <c r="P263" i="5"/>
  <c r="O263" i="5"/>
  <c r="J263" i="5"/>
  <c r="I263" i="5"/>
  <c r="H263" i="5"/>
  <c r="E263" i="5"/>
  <c r="D263" i="5"/>
  <c r="C263" i="5"/>
  <c r="Q262" i="5"/>
  <c r="P262" i="5"/>
  <c r="O262" i="5"/>
  <c r="J262" i="5"/>
  <c r="I262" i="5"/>
  <c r="H262" i="5"/>
  <c r="E262" i="5"/>
  <c r="D262" i="5"/>
  <c r="C262" i="5"/>
  <c r="Q261" i="5"/>
  <c r="P261" i="5"/>
  <c r="O261" i="5"/>
  <c r="J261" i="5"/>
  <c r="I261" i="5"/>
  <c r="H261" i="5"/>
  <c r="E261" i="5"/>
  <c r="D261" i="5"/>
  <c r="C261" i="5"/>
  <c r="Q260" i="5"/>
  <c r="P260" i="5"/>
  <c r="O260" i="5"/>
  <c r="J260" i="5"/>
  <c r="I260" i="5"/>
  <c r="H260" i="5"/>
  <c r="E260" i="5"/>
  <c r="D260" i="5"/>
  <c r="C260" i="5"/>
  <c r="Q259" i="5"/>
  <c r="P259" i="5"/>
  <c r="O259" i="5"/>
  <c r="J259" i="5"/>
  <c r="I259" i="5"/>
  <c r="H259" i="5"/>
  <c r="E259" i="5"/>
  <c r="D259" i="5"/>
  <c r="C259" i="5"/>
  <c r="Q258" i="5"/>
  <c r="P258" i="5"/>
  <c r="O258" i="5"/>
  <c r="J258" i="5"/>
  <c r="I258" i="5"/>
  <c r="H258" i="5"/>
  <c r="E258" i="5"/>
  <c r="D258" i="5"/>
  <c r="C258" i="5"/>
  <c r="Q257" i="5"/>
  <c r="P257" i="5"/>
  <c r="O257" i="5"/>
  <c r="J257" i="5"/>
  <c r="I257" i="5"/>
  <c r="H257" i="5"/>
  <c r="E257" i="5"/>
  <c r="D257" i="5"/>
  <c r="C257" i="5"/>
  <c r="Q256" i="5"/>
  <c r="P256" i="5"/>
  <c r="O256" i="5"/>
  <c r="J256" i="5"/>
  <c r="I256" i="5"/>
  <c r="H256" i="5"/>
  <c r="E256" i="5"/>
  <c r="D256" i="5"/>
  <c r="C256" i="5"/>
  <c r="Q255" i="5"/>
  <c r="P255" i="5"/>
  <c r="O255" i="5"/>
  <c r="J255" i="5"/>
  <c r="I255" i="5"/>
  <c r="H255" i="5"/>
  <c r="E255" i="5"/>
  <c r="D255" i="5"/>
  <c r="C255" i="5"/>
  <c r="Q254" i="5"/>
  <c r="P254" i="5"/>
  <c r="O254" i="5"/>
  <c r="J254" i="5"/>
  <c r="I254" i="5"/>
  <c r="H254" i="5"/>
  <c r="E254" i="5"/>
  <c r="D254" i="5"/>
  <c r="C254" i="5"/>
  <c r="Q253" i="5"/>
  <c r="P253" i="5"/>
  <c r="O253" i="5"/>
  <c r="J253" i="5"/>
  <c r="I253" i="5"/>
  <c r="H253" i="5"/>
  <c r="E253" i="5"/>
  <c r="D253" i="5"/>
  <c r="C253" i="5"/>
  <c r="Q252" i="5"/>
  <c r="P252" i="5"/>
  <c r="O252" i="5"/>
  <c r="J252" i="5"/>
  <c r="I252" i="5"/>
  <c r="H252" i="5"/>
  <c r="E252" i="5"/>
  <c r="D252" i="5"/>
  <c r="C252" i="5"/>
  <c r="Q251" i="5"/>
  <c r="P251" i="5"/>
  <c r="O251" i="5"/>
  <c r="J251" i="5"/>
  <c r="I251" i="5"/>
  <c r="H251" i="5"/>
  <c r="E251" i="5"/>
  <c r="D251" i="5"/>
  <c r="C251" i="5"/>
  <c r="Q250" i="5"/>
  <c r="P250" i="5"/>
  <c r="O250" i="5"/>
  <c r="J250" i="5"/>
  <c r="I250" i="5"/>
  <c r="H250" i="5"/>
  <c r="E250" i="5"/>
  <c r="D250" i="5"/>
  <c r="C250" i="5"/>
  <c r="Q249" i="5"/>
  <c r="P249" i="5"/>
  <c r="O249" i="5"/>
  <c r="J249" i="5"/>
  <c r="I249" i="5"/>
  <c r="H249" i="5"/>
  <c r="E249" i="5"/>
  <c r="D249" i="5"/>
  <c r="C249" i="5"/>
  <c r="Q248" i="5"/>
  <c r="P248" i="5"/>
  <c r="O248" i="5"/>
  <c r="J248" i="5"/>
  <c r="I248" i="5"/>
  <c r="H248" i="5"/>
  <c r="E248" i="5"/>
  <c r="D248" i="5"/>
  <c r="C248" i="5"/>
  <c r="Q247" i="5"/>
  <c r="P247" i="5"/>
  <c r="O247" i="5"/>
  <c r="J247" i="5"/>
  <c r="I247" i="5"/>
  <c r="H247" i="5"/>
  <c r="E247" i="5"/>
  <c r="D247" i="5"/>
  <c r="C247" i="5"/>
  <c r="Q246" i="5"/>
  <c r="P246" i="5"/>
  <c r="O246" i="5"/>
  <c r="J246" i="5"/>
  <c r="I246" i="5"/>
  <c r="H246" i="5"/>
  <c r="E246" i="5"/>
  <c r="D246" i="5"/>
  <c r="C246" i="5"/>
  <c r="Q245" i="5"/>
  <c r="P245" i="5"/>
  <c r="O245" i="5"/>
  <c r="J245" i="5"/>
  <c r="I245" i="5"/>
  <c r="H245" i="5"/>
  <c r="E245" i="5"/>
  <c r="D245" i="5"/>
  <c r="C245" i="5"/>
  <c r="Q244" i="5"/>
  <c r="P244" i="5"/>
  <c r="O244" i="5"/>
  <c r="J244" i="5"/>
  <c r="I244" i="5"/>
  <c r="H244" i="5"/>
  <c r="E244" i="5"/>
  <c r="D244" i="5"/>
  <c r="C244" i="5"/>
  <c r="Q243" i="5"/>
  <c r="P243" i="5"/>
  <c r="O243" i="5"/>
  <c r="J243" i="5"/>
  <c r="I243" i="5"/>
  <c r="H243" i="5"/>
  <c r="E243" i="5"/>
  <c r="D243" i="5"/>
  <c r="C243" i="5"/>
  <c r="Q242" i="5"/>
  <c r="P242" i="5"/>
  <c r="O242" i="5"/>
  <c r="J242" i="5"/>
  <c r="I242" i="5"/>
  <c r="H242" i="5"/>
  <c r="E242" i="5"/>
  <c r="D242" i="5"/>
  <c r="C242" i="5"/>
  <c r="Q241" i="5"/>
  <c r="P241" i="5"/>
  <c r="O241" i="5"/>
  <c r="J241" i="5"/>
  <c r="I241" i="5"/>
  <c r="H241" i="5"/>
  <c r="E241" i="5"/>
  <c r="D241" i="5"/>
  <c r="C241" i="5"/>
  <c r="Q240" i="5"/>
  <c r="P240" i="5"/>
  <c r="O240" i="5"/>
  <c r="J240" i="5"/>
  <c r="I240" i="5"/>
  <c r="H240" i="5"/>
  <c r="E240" i="5"/>
  <c r="D240" i="5"/>
  <c r="C240" i="5"/>
  <c r="Q239" i="5"/>
  <c r="P239" i="5"/>
  <c r="O239" i="5"/>
  <c r="J239" i="5"/>
  <c r="I239" i="5"/>
  <c r="H239" i="5"/>
  <c r="E239" i="5"/>
  <c r="D239" i="5"/>
  <c r="C239" i="5"/>
  <c r="Q238" i="5"/>
  <c r="P238" i="5"/>
  <c r="O238" i="5"/>
  <c r="J238" i="5"/>
  <c r="I238" i="5"/>
  <c r="H238" i="5"/>
  <c r="E238" i="5"/>
  <c r="D238" i="5"/>
  <c r="C238" i="5"/>
  <c r="Q237" i="5"/>
  <c r="P237" i="5"/>
  <c r="O237" i="5"/>
  <c r="J237" i="5"/>
  <c r="I237" i="5"/>
  <c r="H237" i="5"/>
  <c r="E237" i="5"/>
  <c r="D237" i="5"/>
  <c r="C237" i="5"/>
  <c r="Q236" i="5"/>
  <c r="P236" i="5"/>
  <c r="O236" i="5"/>
  <c r="J236" i="5"/>
  <c r="I236" i="5"/>
  <c r="H236" i="5"/>
  <c r="E236" i="5"/>
  <c r="D236" i="5"/>
  <c r="C236" i="5"/>
  <c r="Q235" i="5"/>
  <c r="P235" i="5"/>
  <c r="O235" i="5"/>
  <c r="J235" i="5"/>
  <c r="I235" i="5"/>
  <c r="H235" i="5"/>
  <c r="E235" i="5"/>
  <c r="D235" i="5"/>
  <c r="C235" i="5"/>
  <c r="Q234" i="5"/>
  <c r="P234" i="5"/>
  <c r="O234" i="5"/>
  <c r="J234" i="5"/>
  <c r="I234" i="5"/>
  <c r="H234" i="5"/>
  <c r="E234" i="5"/>
  <c r="D234" i="5"/>
  <c r="C234" i="5"/>
  <c r="Q233" i="5"/>
  <c r="P233" i="5"/>
  <c r="O233" i="5"/>
  <c r="J233" i="5"/>
  <c r="I233" i="5"/>
  <c r="H233" i="5"/>
  <c r="E233" i="5"/>
  <c r="D233" i="5"/>
  <c r="C233" i="5"/>
  <c r="Q232" i="5"/>
  <c r="P232" i="5"/>
  <c r="O232" i="5"/>
  <c r="J232" i="5"/>
  <c r="I232" i="5"/>
  <c r="H232" i="5"/>
  <c r="E232" i="5"/>
  <c r="D232" i="5"/>
  <c r="C232" i="5"/>
  <c r="Q231" i="5"/>
  <c r="P231" i="5"/>
  <c r="O231" i="5"/>
  <c r="J231" i="5"/>
  <c r="I231" i="5"/>
  <c r="H231" i="5"/>
  <c r="E231" i="5"/>
  <c r="D231" i="5"/>
  <c r="C231" i="5"/>
  <c r="Q230" i="5"/>
  <c r="P230" i="5"/>
  <c r="O230" i="5"/>
  <c r="J230" i="5"/>
  <c r="I230" i="5"/>
  <c r="H230" i="5"/>
  <c r="E230" i="5"/>
  <c r="D230" i="5"/>
  <c r="C230" i="5"/>
  <c r="Q229" i="5"/>
  <c r="P229" i="5"/>
  <c r="O229" i="5"/>
  <c r="J229" i="5"/>
  <c r="I229" i="5"/>
  <c r="H229" i="5"/>
  <c r="E229" i="5"/>
  <c r="D229" i="5"/>
  <c r="C229" i="5"/>
  <c r="Q228" i="5"/>
  <c r="P228" i="5"/>
  <c r="O228" i="5"/>
  <c r="J228" i="5"/>
  <c r="I228" i="5"/>
  <c r="H228" i="5"/>
  <c r="E228" i="5"/>
  <c r="D228" i="5"/>
  <c r="C228" i="5"/>
  <c r="Q227" i="5"/>
  <c r="P227" i="5"/>
  <c r="O227" i="5"/>
  <c r="J227" i="5"/>
  <c r="I227" i="5"/>
  <c r="H227" i="5"/>
  <c r="E227" i="5"/>
  <c r="D227" i="5"/>
  <c r="C227" i="5"/>
  <c r="Q226" i="5"/>
  <c r="P226" i="5"/>
  <c r="O226" i="5"/>
  <c r="J226" i="5"/>
  <c r="I226" i="5"/>
  <c r="H226" i="5"/>
  <c r="E226" i="5"/>
  <c r="D226" i="5"/>
  <c r="C226" i="5"/>
  <c r="Q225" i="5"/>
  <c r="P225" i="5"/>
  <c r="O225" i="5"/>
  <c r="J225" i="5"/>
  <c r="I225" i="5"/>
  <c r="H225" i="5"/>
  <c r="E225" i="5"/>
  <c r="D225" i="5"/>
  <c r="C225" i="5"/>
  <c r="Q224" i="5"/>
  <c r="P224" i="5"/>
  <c r="O224" i="5"/>
  <c r="J224" i="5"/>
  <c r="I224" i="5"/>
  <c r="H224" i="5"/>
  <c r="E224" i="5"/>
  <c r="D224" i="5"/>
  <c r="C224" i="5"/>
  <c r="Q223" i="5"/>
  <c r="P223" i="5"/>
  <c r="O223" i="5"/>
  <c r="J223" i="5"/>
  <c r="I223" i="5"/>
  <c r="H223" i="5"/>
  <c r="E223" i="5"/>
  <c r="D223" i="5"/>
  <c r="C223" i="5"/>
  <c r="Q222" i="5"/>
  <c r="P222" i="5"/>
  <c r="O222" i="5"/>
  <c r="J222" i="5"/>
  <c r="I222" i="5"/>
  <c r="H222" i="5"/>
  <c r="E222" i="5"/>
  <c r="D222" i="5"/>
  <c r="C222" i="5"/>
  <c r="Q221" i="5"/>
  <c r="P221" i="5"/>
  <c r="O221" i="5"/>
  <c r="J221" i="5"/>
  <c r="I221" i="5"/>
  <c r="H221" i="5"/>
  <c r="E221" i="5"/>
  <c r="D221" i="5"/>
  <c r="C221" i="5"/>
  <c r="Q220" i="5"/>
  <c r="P220" i="5"/>
  <c r="O220" i="5"/>
  <c r="J220" i="5"/>
  <c r="I220" i="5"/>
  <c r="H220" i="5"/>
  <c r="E220" i="5"/>
  <c r="D220" i="5"/>
  <c r="C220" i="5"/>
  <c r="Q219" i="5"/>
  <c r="P219" i="5"/>
  <c r="O219" i="5"/>
  <c r="J219" i="5"/>
  <c r="I219" i="5"/>
  <c r="H219" i="5"/>
  <c r="E219" i="5"/>
  <c r="D219" i="5"/>
  <c r="C219" i="5"/>
  <c r="Q218" i="5"/>
  <c r="P218" i="5"/>
  <c r="O218" i="5"/>
  <c r="J218" i="5"/>
  <c r="I218" i="5"/>
  <c r="H218" i="5"/>
  <c r="E218" i="5"/>
  <c r="D218" i="5"/>
  <c r="C218" i="5"/>
  <c r="Q217" i="5"/>
  <c r="P217" i="5"/>
  <c r="O217" i="5"/>
  <c r="J217" i="5"/>
  <c r="I217" i="5"/>
  <c r="H217" i="5"/>
  <c r="E217" i="5"/>
  <c r="D217" i="5"/>
  <c r="C217" i="5"/>
  <c r="Q216" i="5"/>
  <c r="P216" i="5"/>
  <c r="O216" i="5"/>
  <c r="J216" i="5"/>
  <c r="I216" i="5"/>
  <c r="H216" i="5"/>
  <c r="E216" i="5"/>
  <c r="D216" i="5"/>
  <c r="C216" i="5"/>
  <c r="Q215" i="5"/>
  <c r="P215" i="5"/>
  <c r="O215" i="5"/>
  <c r="J215" i="5"/>
  <c r="I215" i="5"/>
  <c r="H215" i="5"/>
  <c r="E215" i="5"/>
  <c r="D215" i="5"/>
  <c r="C215" i="5"/>
  <c r="Q214" i="5"/>
  <c r="P214" i="5"/>
  <c r="O214" i="5"/>
  <c r="J214" i="5"/>
  <c r="I214" i="5"/>
  <c r="H214" i="5"/>
  <c r="E214" i="5"/>
  <c r="D214" i="5"/>
  <c r="C214" i="5"/>
  <c r="Q213" i="5"/>
  <c r="P213" i="5"/>
  <c r="O213" i="5"/>
  <c r="J213" i="5"/>
  <c r="I213" i="5"/>
  <c r="H213" i="5"/>
  <c r="E213" i="5"/>
  <c r="D213" i="5"/>
  <c r="C213" i="5"/>
  <c r="Q212" i="5"/>
  <c r="P212" i="5"/>
  <c r="O212" i="5"/>
  <c r="J212" i="5"/>
  <c r="I212" i="5"/>
  <c r="H212" i="5"/>
  <c r="E212" i="5"/>
  <c r="D212" i="5"/>
  <c r="C212" i="5"/>
  <c r="Q211" i="5"/>
  <c r="P211" i="5"/>
  <c r="O211" i="5"/>
  <c r="J211" i="5"/>
  <c r="I211" i="5"/>
  <c r="H211" i="5"/>
  <c r="E211" i="5"/>
  <c r="D211" i="5"/>
  <c r="C211" i="5"/>
  <c r="Q210" i="5"/>
  <c r="P210" i="5"/>
  <c r="O210" i="5"/>
  <c r="J210" i="5"/>
  <c r="I210" i="5"/>
  <c r="H210" i="5"/>
  <c r="E210" i="5"/>
  <c r="D210" i="5"/>
  <c r="C210" i="5"/>
  <c r="Q209" i="5"/>
  <c r="P209" i="5"/>
  <c r="O209" i="5"/>
  <c r="J209" i="5"/>
  <c r="I209" i="5"/>
  <c r="H209" i="5"/>
  <c r="E209" i="5"/>
  <c r="D209" i="5"/>
  <c r="C209" i="5"/>
  <c r="Q208" i="5"/>
  <c r="P208" i="5"/>
  <c r="O208" i="5"/>
  <c r="J208" i="5"/>
  <c r="I208" i="5"/>
  <c r="H208" i="5"/>
  <c r="E208" i="5"/>
  <c r="D208" i="5"/>
  <c r="C208" i="5"/>
  <c r="Q207" i="5"/>
  <c r="P207" i="5"/>
  <c r="O207" i="5"/>
  <c r="J207" i="5"/>
  <c r="I207" i="5"/>
  <c r="H207" i="5"/>
  <c r="E207" i="5"/>
  <c r="D207" i="5"/>
  <c r="C207" i="5"/>
  <c r="Q206" i="5"/>
  <c r="P206" i="5"/>
  <c r="O206" i="5"/>
  <c r="J206" i="5"/>
  <c r="I206" i="5"/>
  <c r="H206" i="5"/>
  <c r="E206" i="5"/>
  <c r="D206" i="5"/>
  <c r="C206" i="5"/>
  <c r="Q205" i="5"/>
  <c r="P205" i="5"/>
  <c r="O205" i="5"/>
  <c r="J205" i="5"/>
  <c r="I205" i="5"/>
  <c r="H205" i="5"/>
  <c r="E205" i="5"/>
  <c r="D205" i="5"/>
  <c r="C205" i="5"/>
  <c r="Q204" i="5"/>
  <c r="P204" i="5"/>
  <c r="O204" i="5"/>
  <c r="J204" i="5"/>
  <c r="I204" i="5"/>
  <c r="H204" i="5"/>
  <c r="E204" i="5"/>
  <c r="D204" i="5"/>
  <c r="C204" i="5"/>
  <c r="Q203" i="5"/>
  <c r="P203" i="5"/>
  <c r="O203" i="5"/>
  <c r="J203" i="5"/>
  <c r="I203" i="5"/>
  <c r="H203" i="5"/>
  <c r="E203" i="5"/>
  <c r="D203" i="5"/>
  <c r="C203" i="5"/>
  <c r="Q202" i="5"/>
  <c r="P202" i="5"/>
  <c r="O202" i="5"/>
  <c r="J202" i="5"/>
  <c r="I202" i="5"/>
  <c r="H202" i="5"/>
  <c r="E202" i="5"/>
  <c r="D202" i="5"/>
  <c r="C202" i="5"/>
  <c r="Q201" i="5"/>
  <c r="P201" i="5"/>
  <c r="O201" i="5"/>
  <c r="J201" i="5"/>
  <c r="I201" i="5"/>
  <c r="H201" i="5"/>
  <c r="E201" i="5"/>
  <c r="D201" i="5"/>
  <c r="C201" i="5"/>
  <c r="Q200" i="5"/>
  <c r="P200" i="5"/>
  <c r="O200" i="5"/>
  <c r="J200" i="5"/>
  <c r="I200" i="5"/>
  <c r="H200" i="5"/>
  <c r="E200" i="5"/>
  <c r="D200" i="5"/>
  <c r="C200" i="5"/>
  <c r="Q199" i="5"/>
  <c r="P199" i="5"/>
  <c r="O199" i="5"/>
  <c r="J199" i="5"/>
  <c r="I199" i="5"/>
  <c r="H199" i="5"/>
  <c r="E199" i="5"/>
  <c r="D199" i="5"/>
  <c r="C199" i="5"/>
  <c r="Q198" i="5"/>
  <c r="P198" i="5"/>
  <c r="O198" i="5"/>
  <c r="J198" i="5"/>
  <c r="I198" i="5"/>
  <c r="H198" i="5"/>
  <c r="E198" i="5"/>
  <c r="D198" i="5"/>
  <c r="C198" i="5"/>
  <c r="Q197" i="5"/>
  <c r="P197" i="5"/>
  <c r="O197" i="5"/>
  <c r="J197" i="5"/>
  <c r="I197" i="5"/>
  <c r="H197" i="5"/>
  <c r="E197" i="5"/>
  <c r="D197" i="5"/>
  <c r="C197" i="5"/>
  <c r="Q196" i="5"/>
  <c r="P196" i="5"/>
  <c r="O196" i="5"/>
  <c r="J196" i="5"/>
  <c r="I196" i="5"/>
  <c r="H196" i="5"/>
  <c r="E196" i="5"/>
  <c r="D196" i="5"/>
  <c r="C196" i="5"/>
  <c r="Q195" i="5"/>
  <c r="P195" i="5"/>
  <c r="O195" i="5"/>
  <c r="J195" i="5"/>
  <c r="I195" i="5"/>
  <c r="H195" i="5"/>
  <c r="E195" i="5"/>
  <c r="D195" i="5"/>
  <c r="C195" i="5"/>
  <c r="Q194" i="5"/>
  <c r="P194" i="5"/>
  <c r="O194" i="5"/>
  <c r="J194" i="5"/>
  <c r="I194" i="5"/>
  <c r="H194" i="5"/>
  <c r="E194" i="5"/>
  <c r="D194" i="5"/>
  <c r="C194" i="5"/>
  <c r="Q193" i="5"/>
  <c r="P193" i="5"/>
  <c r="O193" i="5"/>
  <c r="J193" i="5"/>
  <c r="I193" i="5"/>
  <c r="H193" i="5"/>
  <c r="E193" i="5"/>
  <c r="D193" i="5"/>
  <c r="C193" i="5"/>
  <c r="Q192" i="5"/>
  <c r="P192" i="5"/>
  <c r="O192" i="5"/>
  <c r="J192" i="5"/>
  <c r="I192" i="5"/>
  <c r="H192" i="5"/>
  <c r="E192" i="5"/>
  <c r="D192" i="5"/>
  <c r="C192" i="5"/>
  <c r="Q191" i="5"/>
  <c r="P191" i="5"/>
  <c r="O191" i="5"/>
  <c r="J191" i="5"/>
  <c r="I191" i="5"/>
  <c r="H191" i="5"/>
  <c r="E191" i="5"/>
  <c r="D191" i="5"/>
  <c r="C191" i="5"/>
  <c r="Q190" i="5"/>
  <c r="P190" i="5"/>
  <c r="O190" i="5"/>
  <c r="J190" i="5"/>
  <c r="I190" i="5"/>
  <c r="H190" i="5"/>
  <c r="E190" i="5"/>
  <c r="D190" i="5"/>
  <c r="C190" i="5"/>
  <c r="Q189" i="5"/>
  <c r="P189" i="5"/>
  <c r="O189" i="5"/>
  <c r="J189" i="5"/>
  <c r="I189" i="5"/>
  <c r="H189" i="5"/>
  <c r="E189" i="5"/>
  <c r="D189" i="5"/>
  <c r="C189" i="5"/>
  <c r="Q188" i="5"/>
  <c r="P188" i="5"/>
  <c r="O188" i="5"/>
  <c r="J188" i="5"/>
  <c r="I188" i="5"/>
  <c r="H188" i="5"/>
  <c r="E188" i="5"/>
  <c r="D188" i="5"/>
  <c r="C188" i="5"/>
  <c r="Q187" i="5"/>
  <c r="P187" i="5"/>
  <c r="O187" i="5"/>
  <c r="J187" i="5"/>
  <c r="I187" i="5"/>
  <c r="H187" i="5"/>
  <c r="E187" i="5"/>
  <c r="D187" i="5"/>
  <c r="C187" i="5"/>
  <c r="Q186" i="5"/>
  <c r="P186" i="5"/>
  <c r="O186" i="5"/>
  <c r="J186" i="5"/>
  <c r="I186" i="5"/>
  <c r="H186" i="5"/>
  <c r="E186" i="5"/>
  <c r="D186" i="5"/>
  <c r="C186" i="5"/>
  <c r="Q185" i="5"/>
  <c r="P185" i="5"/>
  <c r="O185" i="5"/>
  <c r="J185" i="5"/>
  <c r="I185" i="5"/>
  <c r="H185" i="5"/>
  <c r="E185" i="5"/>
  <c r="D185" i="5"/>
  <c r="C185" i="5"/>
  <c r="Q184" i="5"/>
  <c r="P184" i="5"/>
  <c r="O184" i="5"/>
  <c r="J184" i="5"/>
  <c r="I184" i="5"/>
  <c r="H184" i="5"/>
  <c r="E184" i="5"/>
  <c r="D184" i="5"/>
  <c r="C184" i="5"/>
  <c r="Q183" i="5"/>
  <c r="P183" i="5"/>
  <c r="O183" i="5"/>
  <c r="J183" i="5"/>
  <c r="I183" i="5"/>
  <c r="H183" i="5"/>
  <c r="E183" i="5"/>
  <c r="D183" i="5"/>
  <c r="C183" i="5"/>
  <c r="Q182" i="5"/>
  <c r="P182" i="5"/>
  <c r="O182" i="5"/>
  <c r="J182" i="5"/>
  <c r="I182" i="5"/>
  <c r="H182" i="5"/>
  <c r="E182" i="5"/>
  <c r="D182" i="5"/>
  <c r="C182" i="5"/>
  <c r="Q181" i="5"/>
  <c r="P181" i="5"/>
  <c r="O181" i="5"/>
  <c r="J181" i="5"/>
  <c r="I181" i="5"/>
  <c r="H181" i="5"/>
  <c r="E181" i="5"/>
  <c r="D181" i="5"/>
  <c r="C181" i="5"/>
  <c r="Q180" i="5"/>
  <c r="P180" i="5"/>
  <c r="O180" i="5"/>
  <c r="J180" i="5"/>
  <c r="I180" i="5"/>
  <c r="H180" i="5"/>
  <c r="E180" i="5"/>
  <c r="D180" i="5"/>
  <c r="C180" i="5"/>
  <c r="Q179" i="5"/>
  <c r="P179" i="5"/>
  <c r="O179" i="5"/>
  <c r="J179" i="5"/>
  <c r="I179" i="5"/>
  <c r="H179" i="5"/>
  <c r="E179" i="5"/>
  <c r="D179" i="5"/>
  <c r="C179" i="5"/>
  <c r="Q178" i="5"/>
  <c r="P178" i="5"/>
  <c r="O178" i="5"/>
  <c r="J178" i="5"/>
  <c r="I178" i="5"/>
  <c r="H178" i="5"/>
  <c r="E178" i="5"/>
  <c r="D178" i="5"/>
  <c r="C178" i="5"/>
  <c r="Q177" i="5"/>
  <c r="P177" i="5"/>
  <c r="O177" i="5"/>
  <c r="J177" i="5"/>
  <c r="I177" i="5"/>
  <c r="H177" i="5"/>
  <c r="E177" i="5"/>
  <c r="D177" i="5"/>
  <c r="C177" i="5"/>
  <c r="Q176" i="5"/>
  <c r="P176" i="5"/>
  <c r="O176" i="5"/>
  <c r="J176" i="5"/>
  <c r="I176" i="5"/>
  <c r="H176" i="5"/>
  <c r="E176" i="5"/>
  <c r="D176" i="5"/>
  <c r="C176" i="5"/>
  <c r="Q175" i="5"/>
  <c r="P175" i="5"/>
  <c r="O175" i="5"/>
  <c r="J175" i="5"/>
  <c r="I175" i="5"/>
  <c r="H175" i="5"/>
  <c r="E175" i="5"/>
  <c r="D175" i="5"/>
  <c r="C175" i="5"/>
  <c r="Q174" i="5"/>
  <c r="P174" i="5"/>
  <c r="O174" i="5"/>
  <c r="J174" i="5"/>
  <c r="I174" i="5"/>
  <c r="H174" i="5"/>
  <c r="E174" i="5"/>
  <c r="D174" i="5"/>
  <c r="C174" i="5"/>
  <c r="Q173" i="5"/>
  <c r="P173" i="5"/>
  <c r="O173" i="5"/>
  <c r="J173" i="5"/>
  <c r="I173" i="5"/>
  <c r="H173" i="5"/>
  <c r="E173" i="5"/>
  <c r="D173" i="5"/>
  <c r="C173" i="5"/>
  <c r="Q172" i="5"/>
  <c r="P172" i="5"/>
  <c r="O172" i="5"/>
  <c r="J172" i="5"/>
  <c r="I172" i="5"/>
  <c r="H172" i="5"/>
  <c r="E172" i="5"/>
  <c r="D172" i="5"/>
  <c r="C172" i="5"/>
  <c r="Q171" i="5"/>
  <c r="P171" i="5"/>
  <c r="O171" i="5"/>
  <c r="J171" i="5"/>
  <c r="I171" i="5"/>
  <c r="H171" i="5"/>
  <c r="E171" i="5"/>
  <c r="D171" i="5"/>
  <c r="C171" i="5"/>
  <c r="Q170" i="5"/>
  <c r="P170" i="5"/>
  <c r="O170" i="5"/>
  <c r="J170" i="5"/>
  <c r="I170" i="5"/>
  <c r="H170" i="5"/>
  <c r="E170" i="5"/>
  <c r="D170" i="5"/>
  <c r="C170" i="5"/>
  <c r="Q169" i="5"/>
  <c r="P169" i="5"/>
  <c r="O169" i="5"/>
  <c r="J169" i="5"/>
  <c r="I169" i="5"/>
  <c r="H169" i="5"/>
  <c r="E169" i="5"/>
  <c r="D169" i="5"/>
  <c r="C169" i="5"/>
  <c r="Q168" i="5"/>
  <c r="P168" i="5"/>
  <c r="O168" i="5"/>
  <c r="J168" i="5"/>
  <c r="I168" i="5"/>
  <c r="H168" i="5"/>
  <c r="E168" i="5"/>
  <c r="D168" i="5"/>
  <c r="C168" i="5"/>
  <c r="Q167" i="5"/>
  <c r="P167" i="5"/>
  <c r="O167" i="5"/>
  <c r="J167" i="5"/>
  <c r="I167" i="5"/>
  <c r="H167" i="5"/>
  <c r="E167" i="5"/>
  <c r="D167" i="5"/>
  <c r="C167" i="5"/>
  <c r="Q166" i="5"/>
  <c r="P166" i="5"/>
  <c r="O166" i="5"/>
  <c r="J166" i="5"/>
  <c r="I166" i="5"/>
  <c r="H166" i="5"/>
  <c r="E166" i="5"/>
  <c r="D166" i="5"/>
  <c r="C166" i="5"/>
  <c r="Q165" i="5"/>
  <c r="P165" i="5"/>
  <c r="O165" i="5"/>
  <c r="J165" i="5"/>
  <c r="I165" i="5"/>
  <c r="H165" i="5"/>
  <c r="E165" i="5"/>
  <c r="D165" i="5"/>
  <c r="C165" i="5"/>
  <c r="Q164" i="5"/>
  <c r="P164" i="5"/>
  <c r="O164" i="5"/>
  <c r="J164" i="5"/>
  <c r="I164" i="5"/>
  <c r="H164" i="5"/>
  <c r="E164" i="5"/>
  <c r="D164" i="5"/>
  <c r="C164" i="5"/>
  <c r="Q163" i="5"/>
  <c r="P163" i="5"/>
  <c r="O163" i="5"/>
  <c r="J163" i="5"/>
  <c r="I163" i="5"/>
  <c r="H163" i="5"/>
  <c r="E163" i="5"/>
  <c r="D163" i="5"/>
  <c r="C163" i="5"/>
  <c r="Q162" i="5"/>
  <c r="P162" i="5"/>
  <c r="O162" i="5"/>
  <c r="J162" i="5"/>
  <c r="I162" i="5"/>
  <c r="H162" i="5"/>
  <c r="E162" i="5"/>
  <c r="D162" i="5"/>
  <c r="C162" i="5"/>
  <c r="Q161" i="5"/>
  <c r="P161" i="5"/>
  <c r="O161" i="5"/>
  <c r="J161" i="5"/>
  <c r="I161" i="5"/>
  <c r="H161" i="5"/>
  <c r="E161" i="5"/>
  <c r="D161" i="5"/>
  <c r="C161" i="5"/>
  <c r="Q160" i="5"/>
  <c r="P160" i="5"/>
  <c r="O160" i="5"/>
  <c r="J160" i="5"/>
  <c r="I160" i="5"/>
  <c r="H160" i="5"/>
  <c r="E160" i="5"/>
  <c r="D160" i="5"/>
  <c r="C160" i="5"/>
  <c r="Q159" i="5"/>
  <c r="P159" i="5"/>
  <c r="O159" i="5"/>
  <c r="J159" i="5"/>
  <c r="I159" i="5"/>
  <c r="H159" i="5"/>
  <c r="E159" i="5"/>
  <c r="D159" i="5"/>
  <c r="C159" i="5"/>
  <c r="Q158" i="5"/>
  <c r="P158" i="5"/>
  <c r="O158" i="5"/>
  <c r="J158" i="5"/>
  <c r="I158" i="5"/>
  <c r="H158" i="5"/>
  <c r="E158" i="5"/>
  <c r="D158" i="5"/>
  <c r="C158" i="5"/>
  <c r="Q157" i="5"/>
  <c r="P157" i="5"/>
  <c r="O157" i="5"/>
  <c r="J157" i="5"/>
  <c r="I157" i="5"/>
  <c r="H157" i="5"/>
  <c r="E157" i="5"/>
  <c r="D157" i="5"/>
  <c r="C157" i="5"/>
  <c r="Q156" i="5"/>
  <c r="P156" i="5"/>
  <c r="O156" i="5"/>
  <c r="J156" i="5"/>
  <c r="I156" i="5"/>
  <c r="H156" i="5"/>
  <c r="E156" i="5"/>
  <c r="D156" i="5"/>
  <c r="C156" i="5"/>
  <c r="Q155" i="5"/>
  <c r="P155" i="5"/>
  <c r="O155" i="5"/>
  <c r="J155" i="5"/>
  <c r="I155" i="5"/>
  <c r="H155" i="5"/>
  <c r="E155" i="5"/>
  <c r="D155" i="5"/>
  <c r="C155" i="5"/>
  <c r="Q154" i="5"/>
  <c r="P154" i="5"/>
  <c r="O154" i="5"/>
  <c r="J154" i="5"/>
  <c r="I154" i="5"/>
  <c r="H154" i="5"/>
  <c r="E154" i="5"/>
  <c r="D154" i="5"/>
  <c r="C154" i="5"/>
  <c r="Q153" i="5"/>
  <c r="P153" i="5"/>
  <c r="O153" i="5"/>
  <c r="J153" i="5"/>
  <c r="I153" i="5"/>
  <c r="H153" i="5"/>
  <c r="E153" i="5"/>
  <c r="D153" i="5"/>
  <c r="C153" i="5"/>
  <c r="Q152" i="5"/>
  <c r="P152" i="5"/>
  <c r="O152" i="5"/>
  <c r="J152" i="5"/>
  <c r="I152" i="5"/>
  <c r="H152" i="5"/>
  <c r="E152" i="5"/>
  <c r="D152" i="5"/>
  <c r="C152" i="5"/>
  <c r="Q151" i="5"/>
  <c r="P151" i="5"/>
  <c r="O151" i="5"/>
  <c r="J151" i="5"/>
  <c r="I151" i="5"/>
  <c r="H151" i="5"/>
  <c r="E151" i="5"/>
  <c r="D151" i="5"/>
  <c r="C151" i="5"/>
  <c r="Q150" i="5"/>
  <c r="P150" i="5"/>
  <c r="O150" i="5"/>
  <c r="J150" i="5"/>
  <c r="I150" i="5"/>
  <c r="H150" i="5"/>
  <c r="E150" i="5"/>
  <c r="D150" i="5"/>
  <c r="C150" i="5"/>
  <c r="Q149" i="5"/>
  <c r="P149" i="5"/>
  <c r="O149" i="5"/>
  <c r="J149" i="5"/>
  <c r="I149" i="5"/>
  <c r="H149" i="5"/>
  <c r="E149" i="5"/>
  <c r="D149" i="5"/>
  <c r="C149" i="5"/>
  <c r="Q148" i="5"/>
  <c r="P148" i="5"/>
  <c r="O148" i="5"/>
  <c r="J148" i="5"/>
  <c r="I148" i="5"/>
  <c r="H148" i="5"/>
  <c r="E148" i="5"/>
  <c r="D148" i="5"/>
  <c r="C148" i="5"/>
  <c r="Q147" i="5"/>
  <c r="P147" i="5"/>
  <c r="O147" i="5"/>
  <c r="J147" i="5"/>
  <c r="I147" i="5"/>
  <c r="H147" i="5"/>
  <c r="E147" i="5"/>
  <c r="D147" i="5"/>
  <c r="C147" i="5"/>
  <c r="Q146" i="5"/>
  <c r="P146" i="5"/>
  <c r="O146" i="5"/>
  <c r="J146" i="5"/>
  <c r="I146" i="5"/>
  <c r="H146" i="5"/>
  <c r="E146" i="5"/>
  <c r="D146" i="5"/>
  <c r="C146" i="5"/>
  <c r="Q145" i="5"/>
  <c r="P145" i="5"/>
  <c r="O145" i="5"/>
  <c r="J145" i="5"/>
  <c r="I145" i="5"/>
  <c r="H145" i="5"/>
  <c r="E145" i="5"/>
  <c r="D145" i="5"/>
  <c r="C145" i="5"/>
  <c r="Q144" i="5"/>
  <c r="P144" i="5"/>
  <c r="O144" i="5"/>
  <c r="J144" i="5"/>
  <c r="I144" i="5"/>
  <c r="H144" i="5"/>
  <c r="E144" i="5"/>
  <c r="D144" i="5"/>
  <c r="C144" i="5"/>
  <c r="Q143" i="5"/>
  <c r="P143" i="5"/>
  <c r="O143" i="5"/>
  <c r="J143" i="5"/>
  <c r="I143" i="5"/>
  <c r="H143" i="5"/>
  <c r="E143" i="5"/>
  <c r="D143" i="5"/>
  <c r="C143" i="5"/>
  <c r="Q142" i="5"/>
  <c r="P142" i="5"/>
  <c r="O142" i="5"/>
  <c r="J142" i="5"/>
  <c r="I142" i="5"/>
  <c r="H142" i="5"/>
  <c r="E142" i="5"/>
  <c r="D142" i="5"/>
  <c r="C142" i="5"/>
  <c r="Q141" i="5"/>
  <c r="P141" i="5"/>
  <c r="O141" i="5"/>
  <c r="J141" i="5"/>
  <c r="I141" i="5"/>
  <c r="H141" i="5"/>
  <c r="E141" i="5"/>
  <c r="D141" i="5"/>
  <c r="C141" i="5"/>
  <c r="Q140" i="5"/>
  <c r="P140" i="5"/>
  <c r="O140" i="5"/>
  <c r="J140" i="5"/>
  <c r="I140" i="5"/>
  <c r="H140" i="5"/>
  <c r="E140" i="5"/>
  <c r="D140" i="5"/>
  <c r="C140" i="5"/>
  <c r="Q139" i="5"/>
  <c r="P139" i="5"/>
  <c r="O139" i="5"/>
  <c r="J139" i="5"/>
  <c r="I139" i="5"/>
  <c r="H139" i="5"/>
  <c r="E139" i="5"/>
  <c r="D139" i="5"/>
  <c r="C139" i="5"/>
  <c r="Q138" i="5"/>
  <c r="P138" i="5"/>
  <c r="O138" i="5"/>
  <c r="J138" i="5"/>
  <c r="I138" i="5"/>
  <c r="H138" i="5"/>
  <c r="E138" i="5"/>
  <c r="D138" i="5"/>
  <c r="C138" i="5"/>
  <c r="Q137" i="5"/>
  <c r="P137" i="5"/>
  <c r="O137" i="5"/>
  <c r="J137" i="5"/>
  <c r="I137" i="5"/>
  <c r="H137" i="5"/>
  <c r="E137" i="5"/>
  <c r="D137" i="5"/>
  <c r="C137" i="5"/>
  <c r="Q136" i="5"/>
  <c r="P136" i="5"/>
  <c r="O136" i="5"/>
  <c r="J136" i="5"/>
  <c r="I136" i="5"/>
  <c r="H136" i="5"/>
  <c r="E136" i="5"/>
  <c r="D136" i="5"/>
  <c r="C136" i="5"/>
  <c r="Q135" i="5"/>
  <c r="P135" i="5"/>
  <c r="O135" i="5"/>
  <c r="J135" i="5"/>
  <c r="I135" i="5"/>
  <c r="H135" i="5"/>
  <c r="E135" i="5"/>
  <c r="D135" i="5"/>
  <c r="C135" i="5"/>
  <c r="Q134" i="5"/>
  <c r="P134" i="5"/>
  <c r="O134" i="5"/>
  <c r="J134" i="5"/>
  <c r="I134" i="5"/>
  <c r="H134" i="5"/>
  <c r="E134" i="5"/>
  <c r="D134" i="5"/>
  <c r="C134" i="5"/>
  <c r="Q133" i="5"/>
  <c r="P133" i="5"/>
  <c r="O133" i="5"/>
  <c r="J133" i="5"/>
  <c r="I133" i="5"/>
  <c r="H133" i="5"/>
  <c r="E133" i="5"/>
  <c r="D133" i="5"/>
  <c r="C133" i="5"/>
  <c r="Q132" i="5"/>
  <c r="P132" i="5"/>
  <c r="O132" i="5"/>
  <c r="J132" i="5"/>
  <c r="I132" i="5"/>
  <c r="H132" i="5"/>
  <c r="E132" i="5"/>
  <c r="D132" i="5"/>
  <c r="C132" i="5"/>
  <c r="Q131" i="5"/>
  <c r="P131" i="5"/>
  <c r="O131" i="5"/>
  <c r="J131" i="5"/>
  <c r="I131" i="5"/>
  <c r="H131" i="5"/>
  <c r="E131" i="5"/>
  <c r="D131" i="5"/>
  <c r="C131" i="5"/>
  <c r="Q130" i="5"/>
  <c r="P130" i="5"/>
  <c r="O130" i="5"/>
  <c r="J130" i="5"/>
  <c r="I130" i="5"/>
  <c r="H130" i="5"/>
  <c r="E130" i="5"/>
  <c r="D130" i="5"/>
  <c r="C130" i="5"/>
  <c r="Q129" i="5"/>
  <c r="P129" i="5"/>
  <c r="O129" i="5"/>
  <c r="J129" i="5"/>
  <c r="I129" i="5"/>
  <c r="H129" i="5"/>
  <c r="E129" i="5"/>
  <c r="D129" i="5"/>
  <c r="C129" i="5"/>
  <c r="Q128" i="5"/>
  <c r="P128" i="5"/>
  <c r="O128" i="5"/>
  <c r="J128" i="5"/>
  <c r="I128" i="5"/>
  <c r="H128" i="5"/>
  <c r="E128" i="5"/>
  <c r="D128" i="5"/>
  <c r="C128" i="5"/>
  <c r="Q127" i="5"/>
  <c r="P127" i="5"/>
  <c r="O127" i="5"/>
  <c r="J127" i="5"/>
  <c r="I127" i="5"/>
  <c r="H127" i="5"/>
  <c r="E127" i="5"/>
  <c r="D127" i="5"/>
  <c r="C127" i="5"/>
  <c r="Q126" i="5"/>
  <c r="P126" i="5"/>
  <c r="O126" i="5"/>
  <c r="J126" i="5"/>
  <c r="I126" i="5"/>
  <c r="H126" i="5"/>
  <c r="E126" i="5"/>
  <c r="D126" i="5"/>
  <c r="C126" i="5"/>
  <c r="Q125" i="5"/>
  <c r="P125" i="5"/>
  <c r="O125" i="5"/>
  <c r="J125" i="5"/>
  <c r="I125" i="5"/>
  <c r="H125" i="5"/>
  <c r="E125" i="5"/>
  <c r="D125" i="5"/>
  <c r="C125" i="5"/>
  <c r="Q124" i="5"/>
  <c r="P124" i="5"/>
  <c r="O124" i="5"/>
  <c r="J124" i="5"/>
  <c r="I124" i="5"/>
  <c r="H124" i="5"/>
  <c r="E124" i="5"/>
  <c r="D124" i="5"/>
  <c r="C124" i="5"/>
  <c r="Q123" i="5"/>
  <c r="P123" i="5"/>
  <c r="O123" i="5"/>
  <c r="J123" i="5"/>
  <c r="I123" i="5"/>
  <c r="H123" i="5"/>
  <c r="E123" i="5"/>
  <c r="D123" i="5"/>
  <c r="C123" i="5"/>
  <c r="Q122" i="5"/>
  <c r="P122" i="5"/>
  <c r="O122" i="5"/>
  <c r="J122" i="5"/>
  <c r="I122" i="5"/>
  <c r="H122" i="5"/>
  <c r="E122" i="5"/>
  <c r="D122" i="5"/>
  <c r="C122" i="5"/>
  <c r="Q121" i="5"/>
  <c r="P121" i="5"/>
  <c r="O121" i="5"/>
  <c r="J121" i="5"/>
  <c r="I121" i="5"/>
  <c r="H121" i="5"/>
  <c r="E121" i="5"/>
  <c r="D121" i="5"/>
  <c r="C121" i="5"/>
  <c r="Q120" i="5"/>
  <c r="P120" i="5"/>
  <c r="O120" i="5"/>
  <c r="J120" i="5"/>
  <c r="I120" i="5"/>
  <c r="H120" i="5"/>
  <c r="E120" i="5"/>
  <c r="D120" i="5"/>
  <c r="C120" i="5"/>
  <c r="Q119" i="5"/>
  <c r="P119" i="5"/>
  <c r="O119" i="5"/>
  <c r="J119" i="5"/>
  <c r="I119" i="5"/>
  <c r="H119" i="5"/>
  <c r="E119" i="5"/>
  <c r="D119" i="5"/>
  <c r="C119" i="5"/>
  <c r="Q118" i="5"/>
  <c r="P118" i="5"/>
  <c r="O118" i="5"/>
  <c r="J118" i="5"/>
  <c r="I118" i="5"/>
  <c r="H118" i="5"/>
  <c r="E118" i="5"/>
  <c r="D118" i="5"/>
  <c r="C118" i="5"/>
  <c r="Q117" i="5"/>
  <c r="P117" i="5"/>
  <c r="O117" i="5"/>
  <c r="J117" i="5"/>
  <c r="I117" i="5"/>
  <c r="H117" i="5"/>
  <c r="E117" i="5"/>
  <c r="D117" i="5"/>
  <c r="C117" i="5"/>
  <c r="Q116" i="5"/>
  <c r="P116" i="5"/>
  <c r="O116" i="5"/>
  <c r="J116" i="5"/>
  <c r="I116" i="5"/>
  <c r="H116" i="5"/>
  <c r="E116" i="5"/>
  <c r="D116" i="5"/>
  <c r="C116" i="5"/>
  <c r="Q115" i="5"/>
  <c r="P115" i="5"/>
  <c r="O115" i="5"/>
  <c r="J115" i="5"/>
  <c r="I115" i="5"/>
  <c r="H115" i="5"/>
  <c r="E115" i="5"/>
  <c r="D115" i="5"/>
  <c r="C115" i="5"/>
  <c r="Q114" i="5"/>
  <c r="P114" i="5"/>
  <c r="O114" i="5"/>
  <c r="J114" i="5"/>
  <c r="I114" i="5"/>
  <c r="H114" i="5"/>
  <c r="E114" i="5"/>
  <c r="D114" i="5"/>
  <c r="C114" i="5"/>
  <c r="Q113" i="5"/>
  <c r="P113" i="5"/>
  <c r="O113" i="5"/>
  <c r="J113" i="5"/>
  <c r="I113" i="5"/>
  <c r="H113" i="5"/>
  <c r="E113" i="5"/>
  <c r="D113" i="5"/>
  <c r="C113" i="5"/>
  <c r="Q112" i="5"/>
  <c r="P112" i="5"/>
  <c r="O112" i="5"/>
  <c r="J112" i="5"/>
  <c r="I112" i="5"/>
  <c r="H112" i="5"/>
  <c r="E112" i="5"/>
  <c r="D112" i="5"/>
  <c r="C112" i="5"/>
  <c r="Q111" i="5"/>
  <c r="P111" i="5"/>
  <c r="O111" i="5"/>
  <c r="J111" i="5"/>
  <c r="I111" i="5"/>
  <c r="H111" i="5"/>
  <c r="E111" i="5"/>
  <c r="D111" i="5"/>
  <c r="C111" i="5"/>
  <c r="Q110" i="5"/>
  <c r="P110" i="5"/>
  <c r="O110" i="5"/>
  <c r="J110" i="5"/>
  <c r="I110" i="5"/>
  <c r="H110" i="5"/>
  <c r="E110" i="5"/>
  <c r="D110" i="5"/>
  <c r="C110" i="5"/>
  <c r="Q109" i="5"/>
  <c r="P109" i="5"/>
  <c r="O109" i="5"/>
  <c r="J109" i="5"/>
  <c r="I109" i="5"/>
  <c r="H109" i="5"/>
  <c r="E109" i="5"/>
  <c r="D109" i="5"/>
  <c r="C109" i="5"/>
  <c r="Q108" i="5"/>
  <c r="P108" i="5"/>
  <c r="O108" i="5"/>
  <c r="J108" i="5"/>
  <c r="I108" i="5"/>
  <c r="H108" i="5"/>
  <c r="E108" i="5"/>
  <c r="D108" i="5"/>
  <c r="C108" i="5"/>
  <c r="Q107" i="5"/>
  <c r="P107" i="5"/>
  <c r="O107" i="5"/>
  <c r="J107" i="5"/>
  <c r="I107" i="5"/>
  <c r="H107" i="5"/>
  <c r="E107" i="5"/>
  <c r="D107" i="5"/>
  <c r="C107" i="5"/>
  <c r="Q106" i="5"/>
  <c r="P106" i="5"/>
  <c r="O106" i="5"/>
  <c r="J106" i="5"/>
  <c r="I106" i="5"/>
  <c r="H106" i="5"/>
  <c r="E106" i="5"/>
  <c r="D106" i="5"/>
  <c r="C106" i="5"/>
  <c r="Q105" i="5"/>
  <c r="P105" i="5"/>
  <c r="O105" i="5"/>
  <c r="J105" i="5"/>
  <c r="I105" i="5"/>
  <c r="H105" i="5"/>
  <c r="E105" i="5"/>
  <c r="D105" i="5"/>
  <c r="C105" i="5"/>
  <c r="Q104" i="5"/>
  <c r="P104" i="5"/>
  <c r="O104" i="5"/>
  <c r="J104" i="5"/>
  <c r="I104" i="5"/>
  <c r="H104" i="5"/>
  <c r="E104" i="5"/>
  <c r="D104" i="5"/>
  <c r="C104" i="5"/>
  <c r="Q103" i="5"/>
  <c r="P103" i="5"/>
  <c r="O103" i="5"/>
  <c r="J103" i="5"/>
  <c r="I103" i="5"/>
  <c r="H103" i="5"/>
  <c r="E103" i="5"/>
  <c r="D103" i="5"/>
  <c r="C103" i="5"/>
  <c r="Q102" i="5"/>
  <c r="P102" i="5"/>
  <c r="O102" i="5"/>
  <c r="J102" i="5"/>
  <c r="I102" i="5"/>
  <c r="H102" i="5"/>
  <c r="E102" i="5"/>
  <c r="D102" i="5"/>
  <c r="C102" i="5"/>
  <c r="Q101" i="5"/>
  <c r="P101" i="5"/>
  <c r="O101" i="5"/>
  <c r="J101" i="5"/>
  <c r="I101" i="5"/>
  <c r="H101" i="5"/>
  <c r="E101" i="5"/>
  <c r="D101" i="5"/>
  <c r="C101" i="5"/>
  <c r="Q100" i="5"/>
  <c r="P100" i="5"/>
  <c r="O100" i="5"/>
  <c r="J100" i="5"/>
  <c r="I100" i="5"/>
  <c r="H100" i="5"/>
  <c r="E100" i="5"/>
  <c r="D100" i="5"/>
  <c r="C100" i="5"/>
  <c r="Q99" i="5"/>
  <c r="P99" i="5"/>
  <c r="O99" i="5"/>
  <c r="J99" i="5"/>
  <c r="I99" i="5"/>
  <c r="H99" i="5"/>
  <c r="E99" i="5"/>
  <c r="D99" i="5"/>
  <c r="C99" i="5"/>
  <c r="Q98" i="5"/>
  <c r="P98" i="5"/>
  <c r="O98" i="5"/>
  <c r="J98" i="5"/>
  <c r="I98" i="5"/>
  <c r="H98" i="5"/>
  <c r="E98" i="5"/>
  <c r="D98" i="5"/>
  <c r="C98" i="5"/>
  <c r="Q97" i="5"/>
  <c r="P97" i="5"/>
  <c r="O97" i="5"/>
  <c r="J97" i="5"/>
  <c r="I97" i="5"/>
  <c r="H97" i="5"/>
  <c r="E97" i="5"/>
  <c r="D97" i="5"/>
  <c r="C97" i="5"/>
  <c r="Q96" i="5"/>
  <c r="P96" i="5"/>
  <c r="O96" i="5"/>
  <c r="J96" i="5"/>
  <c r="I96" i="5"/>
  <c r="H96" i="5"/>
  <c r="E96" i="5"/>
  <c r="D96" i="5"/>
  <c r="C96" i="5"/>
  <c r="Q95" i="5"/>
  <c r="P95" i="5"/>
  <c r="O95" i="5"/>
  <c r="J95" i="5"/>
  <c r="I95" i="5"/>
  <c r="H95" i="5"/>
  <c r="E95" i="5"/>
  <c r="D95" i="5"/>
  <c r="C95" i="5"/>
  <c r="Q94" i="5"/>
  <c r="P94" i="5"/>
  <c r="O94" i="5"/>
  <c r="J94" i="5"/>
  <c r="I94" i="5"/>
  <c r="H94" i="5"/>
  <c r="E94" i="5"/>
  <c r="D94" i="5"/>
  <c r="C94" i="5"/>
  <c r="Q93" i="5"/>
  <c r="P93" i="5"/>
  <c r="O93" i="5"/>
  <c r="J93" i="5"/>
  <c r="I93" i="5"/>
  <c r="H93" i="5"/>
  <c r="E93" i="5"/>
  <c r="D93" i="5"/>
  <c r="C93" i="5"/>
  <c r="Q92" i="5"/>
  <c r="P92" i="5"/>
  <c r="O92" i="5"/>
  <c r="J92" i="5"/>
  <c r="I92" i="5"/>
  <c r="H92" i="5"/>
  <c r="E92" i="5"/>
  <c r="D92" i="5"/>
  <c r="C92" i="5"/>
  <c r="Q91" i="5"/>
  <c r="P91" i="5"/>
  <c r="O91" i="5"/>
  <c r="J91" i="5"/>
  <c r="I91" i="5"/>
  <c r="H91" i="5"/>
  <c r="E91" i="5"/>
  <c r="D91" i="5"/>
  <c r="C91" i="5"/>
  <c r="Q90" i="5"/>
  <c r="P90" i="5"/>
  <c r="O90" i="5"/>
  <c r="J90" i="5"/>
  <c r="I90" i="5"/>
  <c r="H90" i="5"/>
  <c r="E90" i="5"/>
  <c r="D90" i="5"/>
  <c r="C90" i="5"/>
  <c r="Q89" i="5"/>
  <c r="P89" i="5"/>
  <c r="O89" i="5"/>
  <c r="J89" i="5"/>
  <c r="I89" i="5"/>
  <c r="H89" i="5"/>
  <c r="E89" i="5"/>
  <c r="D89" i="5"/>
  <c r="C89" i="5"/>
  <c r="Q88" i="5"/>
  <c r="P88" i="5"/>
  <c r="O88" i="5"/>
  <c r="J88" i="5"/>
  <c r="I88" i="5"/>
  <c r="H88" i="5"/>
  <c r="E88" i="5"/>
  <c r="D88" i="5"/>
  <c r="C88" i="5"/>
  <c r="Q87" i="5"/>
  <c r="P87" i="5"/>
  <c r="O87" i="5"/>
  <c r="J87" i="5"/>
  <c r="I87" i="5"/>
  <c r="H87" i="5"/>
  <c r="E87" i="5"/>
  <c r="D87" i="5"/>
  <c r="C87" i="5"/>
  <c r="Q86" i="5"/>
  <c r="P86" i="5"/>
  <c r="O86" i="5"/>
  <c r="J86" i="5"/>
  <c r="I86" i="5"/>
  <c r="H86" i="5"/>
  <c r="E86" i="5"/>
  <c r="D86" i="5"/>
  <c r="C86" i="5"/>
  <c r="Q85" i="5"/>
  <c r="P85" i="5"/>
  <c r="O85" i="5"/>
  <c r="J85" i="5"/>
  <c r="I85" i="5"/>
  <c r="H85" i="5"/>
  <c r="E85" i="5"/>
  <c r="D85" i="5"/>
  <c r="C85" i="5"/>
  <c r="Q84" i="5"/>
  <c r="P84" i="5"/>
  <c r="O84" i="5"/>
  <c r="J84" i="5"/>
  <c r="I84" i="5"/>
  <c r="H84" i="5"/>
  <c r="E84" i="5"/>
  <c r="D84" i="5"/>
  <c r="C84" i="5"/>
  <c r="Q83" i="5"/>
  <c r="P83" i="5"/>
  <c r="O83" i="5"/>
  <c r="J83" i="5"/>
  <c r="I83" i="5"/>
  <c r="H83" i="5"/>
  <c r="E83" i="5"/>
  <c r="D83" i="5"/>
  <c r="C83" i="5"/>
  <c r="Q82" i="5"/>
  <c r="P82" i="5"/>
  <c r="O82" i="5"/>
  <c r="J82" i="5"/>
  <c r="I82" i="5"/>
  <c r="H82" i="5"/>
  <c r="E82" i="5"/>
  <c r="D82" i="5"/>
  <c r="C82" i="5"/>
  <c r="Q81" i="5"/>
  <c r="P81" i="5"/>
  <c r="O81" i="5"/>
  <c r="J81" i="5"/>
  <c r="I81" i="5"/>
  <c r="H81" i="5"/>
  <c r="E81" i="5"/>
  <c r="D81" i="5"/>
  <c r="C81" i="5"/>
  <c r="Q80" i="5"/>
  <c r="P80" i="5"/>
  <c r="O80" i="5"/>
  <c r="J80" i="5"/>
  <c r="I80" i="5"/>
  <c r="H80" i="5"/>
  <c r="E80" i="5"/>
  <c r="D80" i="5"/>
  <c r="C80" i="5"/>
  <c r="Q79" i="5"/>
  <c r="P79" i="5"/>
  <c r="O79" i="5"/>
  <c r="J79" i="5"/>
  <c r="I79" i="5"/>
  <c r="H79" i="5"/>
  <c r="E79" i="5"/>
  <c r="D79" i="5"/>
  <c r="C79" i="5"/>
  <c r="Q78" i="5"/>
  <c r="P78" i="5"/>
  <c r="O78" i="5"/>
  <c r="J78" i="5"/>
  <c r="I78" i="5"/>
  <c r="H78" i="5"/>
  <c r="E78" i="5"/>
  <c r="D78" i="5"/>
  <c r="C78" i="5"/>
  <c r="Q77" i="5"/>
  <c r="P77" i="5"/>
  <c r="O77" i="5"/>
  <c r="J77" i="5"/>
  <c r="I77" i="5"/>
  <c r="H77" i="5"/>
  <c r="E77" i="5"/>
  <c r="D77" i="5"/>
  <c r="C77" i="5"/>
  <c r="Q76" i="5"/>
  <c r="P76" i="5"/>
  <c r="O76" i="5"/>
  <c r="J76" i="5"/>
  <c r="I76" i="5"/>
  <c r="H76" i="5"/>
  <c r="E76" i="5"/>
  <c r="D76" i="5"/>
  <c r="C76" i="5"/>
  <c r="Q75" i="5"/>
  <c r="P75" i="5"/>
  <c r="O75" i="5"/>
  <c r="J75" i="5"/>
  <c r="I75" i="5"/>
  <c r="H75" i="5"/>
  <c r="E75" i="5"/>
  <c r="D75" i="5"/>
  <c r="C75" i="5"/>
  <c r="Q74" i="5"/>
  <c r="P74" i="5"/>
  <c r="O74" i="5"/>
  <c r="J74" i="5"/>
  <c r="I74" i="5"/>
  <c r="H74" i="5"/>
  <c r="E74" i="5"/>
  <c r="D74" i="5"/>
  <c r="C74" i="5"/>
  <c r="Q73" i="5"/>
  <c r="P73" i="5"/>
  <c r="O73" i="5"/>
  <c r="J73" i="5"/>
  <c r="I73" i="5"/>
  <c r="H73" i="5"/>
  <c r="E73" i="5"/>
  <c r="D73" i="5"/>
  <c r="C73" i="5"/>
  <c r="Q72" i="5"/>
  <c r="P72" i="5"/>
  <c r="O72" i="5"/>
  <c r="J72" i="5"/>
  <c r="I72" i="5"/>
  <c r="H72" i="5"/>
  <c r="E72" i="5"/>
  <c r="D72" i="5"/>
  <c r="C72" i="5"/>
  <c r="Q71" i="5"/>
  <c r="P71" i="5"/>
  <c r="O71" i="5"/>
  <c r="J71" i="5"/>
  <c r="I71" i="5"/>
  <c r="H71" i="5"/>
  <c r="E71" i="5"/>
  <c r="D71" i="5"/>
  <c r="C71" i="5"/>
  <c r="Q70" i="5"/>
  <c r="P70" i="5"/>
  <c r="O70" i="5"/>
  <c r="J70" i="5"/>
  <c r="I70" i="5"/>
  <c r="H70" i="5"/>
  <c r="E70" i="5"/>
  <c r="D70" i="5"/>
  <c r="C70" i="5"/>
  <c r="Q69" i="5"/>
  <c r="P69" i="5"/>
  <c r="O69" i="5"/>
  <c r="J69" i="5"/>
  <c r="I69" i="5"/>
  <c r="H69" i="5"/>
  <c r="E69" i="5"/>
  <c r="D69" i="5"/>
  <c r="C69" i="5"/>
  <c r="Q68" i="5"/>
  <c r="P68" i="5"/>
  <c r="O68" i="5"/>
  <c r="J68" i="5"/>
  <c r="I68" i="5"/>
  <c r="H68" i="5"/>
  <c r="E68" i="5"/>
  <c r="D68" i="5"/>
  <c r="C68" i="5"/>
  <c r="Q67" i="5"/>
  <c r="P67" i="5"/>
  <c r="O67" i="5"/>
  <c r="J67" i="5"/>
  <c r="I67" i="5"/>
  <c r="H67" i="5"/>
  <c r="E67" i="5"/>
  <c r="D67" i="5"/>
  <c r="C67" i="5"/>
  <c r="Q66" i="5"/>
  <c r="P66" i="5"/>
  <c r="O66" i="5"/>
  <c r="J66" i="5"/>
  <c r="I66" i="5"/>
  <c r="H66" i="5"/>
  <c r="E66" i="5"/>
  <c r="D66" i="5"/>
  <c r="C66" i="5"/>
  <c r="Q65" i="5"/>
  <c r="P65" i="5"/>
  <c r="O65" i="5"/>
  <c r="J65" i="5"/>
  <c r="I65" i="5"/>
  <c r="H65" i="5"/>
  <c r="E65" i="5"/>
  <c r="D65" i="5"/>
  <c r="C65" i="5"/>
  <c r="Q64" i="5"/>
  <c r="P64" i="5"/>
  <c r="O64" i="5"/>
  <c r="J64" i="5"/>
  <c r="I64" i="5"/>
  <c r="H64" i="5"/>
  <c r="E64" i="5"/>
  <c r="D64" i="5"/>
  <c r="C64" i="5"/>
  <c r="Q63" i="5"/>
  <c r="P63" i="5"/>
  <c r="O63" i="5"/>
  <c r="J63" i="5"/>
  <c r="I63" i="5"/>
  <c r="H63" i="5"/>
  <c r="E63" i="5"/>
  <c r="D63" i="5"/>
  <c r="C63" i="5"/>
  <c r="Q62" i="5"/>
  <c r="P62" i="5"/>
  <c r="O62" i="5"/>
  <c r="J62" i="5"/>
  <c r="I62" i="5"/>
  <c r="H62" i="5"/>
  <c r="E62" i="5"/>
  <c r="D62" i="5"/>
  <c r="C62" i="5"/>
  <c r="Q61" i="5"/>
  <c r="P61" i="5"/>
  <c r="O61" i="5"/>
  <c r="J61" i="5"/>
  <c r="I61" i="5"/>
  <c r="H61" i="5"/>
  <c r="E61" i="5"/>
  <c r="D61" i="5"/>
  <c r="C61" i="5"/>
  <c r="Q60" i="5"/>
  <c r="P60" i="5"/>
  <c r="O60" i="5"/>
  <c r="J60" i="5"/>
  <c r="I60" i="5"/>
  <c r="H60" i="5"/>
  <c r="E60" i="5"/>
  <c r="D60" i="5"/>
  <c r="C60" i="5"/>
  <c r="Q59" i="5"/>
  <c r="P59" i="5"/>
  <c r="O59" i="5"/>
  <c r="J59" i="5"/>
  <c r="I59" i="5"/>
  <c r="H59" i="5"/>
  <c r="E59" i="5"/>
  <c r="D59" i="5"/>
  <c r="C59" i="5"/>
  <c r="Q58" i="5"/>
  <c r="P58" i="5"/>
  <c r="O58" i="5"/>
  <c r="J58" i="5"/>
  <c r="I58" i="5"/>
  <c r="H58" i="5"/>
  <c r="E58" i="5"/>
  <c r="D58" i="5"/>
  <c r="C58" i="5"/>
  <c r="Q57" i="5"/>
  <c r="P57" i="5"/>
  <c r="O57" i="5"/>
  <c r="J57" i="5"/>
  <c r="I57" i="5"/>
  <c r="H57" i="5"/>
  <c r="E57" i="5"/>
  <c r="D57" i="5"/>
  <c r="C57" i="5"/>
  <c r="Q56" i="5"/>
  <c r="P56" i="5"/>
  <c r="O56" i="5"/>
  <c r="J56" i="5"/>
  <c r="I56" i="5"/>
  <c r="H56" i="5"/>
  <c r="E56" i="5"/>
  <c r="D56" i="5"/>
  <c r="C56" i="5"/>
  <c r="Q55" i="5"/>
  <c r="P55" i="5"/>
  <c r="O55" i="5"/>
  <c r="J55" i="5"/>
  <c r="I55" i="5"/>
  <c r="H55" i="5"/>
  <c r="E55" i="5"/>
  <c r="D55" i="5"/>
  <c r="C55" i="5"/>
  <c r="Q54" i="5"/>
  <c r="P54" i="5"/>
  <c r="O54" i="5"/>
  <c r="J54" i="5"/>
  <c r="I54" i="5"/>
  <c r="H54" i="5"/>
  <c r="E54" i="5"/>
  <c r="D54" i="5"/>
  <c r="C54" i="5"/>
  <c r="Q53" i="5"/>
  <c r="P53" i="5"/>
  <c r="O53" i="5"/>
  <c r="J53" i="5"/>
  <c r="I53" i="5"/>
  <c r="H53" i="5"/>
  <c r="E53" i="5"/>
  <c r="D53" i="5"/>
  <c r="C53" i="5"/>
  <c r="Q52" i="5"/>
  <c r="P52" i="5"/>
  <c r="O52" i="5"/>
  <c r="J52" i="5"/>
  <c r="I52" i="5"/>
  <c r="H52" i="5"/>
  <c r="E52" i="5"/>
  <c r="D52" i="5"/>
  <c r="C52" i="5"/>
  <c r="Q51" i="5"/>
  <c r="P51" i="5"/>
  <c r="O51" i="5"/>
  <c r="J51" i="5"/>
  <c r="I51" i="5"/>
  <c r="H51" i="5"/>
  <c r="E51" i="5"/>
  <c r="D51" i="5"/>
  <c r="C51" i="5"/>
  <c r="Q50" i="5"/>
  <c r="P50" i="5"/>
  <c r="O50" i="5"/>
  <c r="J50" i="5"/>
  <c r="I50" i="5"/>
  <c r="H50" i="5"/>
  <c r="E50" i="5"/>
  <c r="D50" i="5"/>
  <c r="C50" i="5"/>
  <c r="Q49" i="5"/>
  <c r="P49" i="5"/>
  <c r="O49" i="5"/>
  <c r="J49" i="5"/>
  <c r="I49" i="5"/>
  <c r="H49" i="5"/>
  <c r="E49" i="5"/>
  <c r="D49" i="5"/>
  <c r="C49" i="5"/>
  <c r="Q48" i="5"/>
  <c r="P48" i="5"/>
  <c r="O48" i="5"/>
  <c r="J48" i="5"/>
  <c r="I48" i="5"/>
  <c r="H48" i="5"/>
  <c r="E48" i="5"/>
  <c r="D48" i="5"/>
  <c r="C48" i="5"/>
  <c r="Q47" i="5"/>
  <c r="P47" i="5"/>
  <c r="O47" i="5"/>
  <c r="J47" i="5"/>
  <c r="I47" i="5"/>
  <c r="H47" i="5"/>
  <c r="E47" i="5"/>
  <c r="D47" i="5"/>
  <c r="C47" i="5"/>
  <c r="Q46" i="5"/>
  <c r="P46" i="5"/>
  <c r="O46" i="5"/>
  <c r="J46" i="5"/>
  <c r="I46" i="5"/>
  <c r="H46" i="5"/>
  <c r="E46" i="5"/>
  <c r="D46" i="5"/>
  <c r="C46" i="5"/>
  <c r="Q45" i="5"/>
  <c r="P45" i="5"/>
  <c r="O45" i="5"/>
  <c r="J45" i="5"/>
  <c r="I45" i="5"/>
  <c r="H45" i="5"/>
  <c r="E45" i="5"/>
  <c r="D45" i="5"/>
  <c r="C45" i="5"/>
  <c r="Q44" i="5"/>
  <c r="P44" i="5"/>
  <c r="O44" i="5"/>
  <c r="J44" i="5"/>
  <c r="I44" i="5"/>
  <c r="H44" i="5"/>
  <c r="E44" i="5"/>
  <c r="D44" i="5"/>
  <c r="C44" i="5"/>
  <c r="Q43" i="5"/>
  <c r="P43" i="5"/>
  <c r="O43" i="5"/>
  <c r="J43" i="5"/>
  <c r="I43" i="5"/>
  <c r="H43" i="5"/>
  <c r="E43" i="5"/>
  <c r="D43" i="5"/>
  <c r="C43" i="5"/>
  <c r="Q42" i="5"/>
  <c r="P42" i="5"/>
  <c r="O42" i="5"/>
  <c r="J42" i="5"/>
  <c r="I42" i="5"/>
  <c r="H42" i="5"/>
  <c r="E42" i="5"/>
  <c r="D42" i="5"/>
  <c r="C42" i="5"/>
  <c r="Q41" i="5"/>
  <c r="P41" i="5"/>
  <c r="O41" i="5"/>
  <c r="J41" i="5"/>
  <c r="I41" i="5"/>
  <c r="H41" i="5"/>
  <c r="E41" i="5"/>
  <c r="D41" i="5"/>
  <c r="C41" i="5"/>
  <c r="Q40" i="5"/>
  <c r="P40" i="5"/>
  <c r="O40" i="5"/>
  <c r="J40" i="5"/>
  <c r="I40" i="5"/>
  <c r="H40" i="5"/>
  <c r="E40" i="5"/>
  <c r="D40" i="5"/>
  <c r="C40" i="5"/>
  <c r="Q39" i="5"/>
  <c r="P39" i="5"/>
  <c r="O39" i="5"/>
  <c r="J39" i="5"/>
  <c r="I39" i="5"/>
  <c r="H39" i="5"/>
  <c r="E39" i="5"/>
  <c r="D39" i="5"/>
  <c r="C39" i="5"/>
  <c r="Q38" i="5"/>
  <c r="P38" i="5"/>
  <c r="O38" i="5"/>
  <c r="J38" i="5"/>
  <c r="I38" i="5"/>
  <c r="H38" i="5"/>
  <c r="E38" i="5"/>
  <c r="D38" i="5"/>
  <c r="C38" i="5"/>
  <c r="Q37" i="5"/>
  <c r="P37" i="5"/>
  <c r="O37" i="5"/>
  <c r="J37" i="5"/>
  <c r="I37" i="5"/>
  <c r="H37" i="5"/>
  <c r="E37" i="5"/>
  <c r="D37" i="5"/>
  <c r="C37" i="5"/>
  <c r="Q36" i="5"/>
  <c r="P36" i="5"/>
  <c r="O36" i="5"/>
  <c r="J36" i="5"/>
  <c r="I36" i="5"/>
  <c r="H36" i="5"/>
  <c r="E36" i="5"/>
  <c r="D36" i="5"/>
  <c r="C36" i="5"/>
  <c r="Q35" i="5"/>
  <c r="P35" i="5"/>
  <c r="O35" i="5"/>
  <c r="J35" i="5"/>
  <c r="I35" i="5"/>
  <c r="H35" i="5"/>
  <c r="E35" i="5"/>
  <c r="D35" i="5"/>
  <c r="C35" i="5"/>
  <c r="Q34" i="5"/>
  <c r="P34" i="5"/>
  <c r="O34" i="5"/>
  <c r="J34" i="5"/>
  <c r="I34" i="5"/>
  <c r="H34" i="5"/>
  <c r="E34" i="5"/>
  <c r="D34" i="5"/>
  <c r="C34" i="5"/>
  <c r="Q33" i="5"/>
  <c r="P33" i="5"/>
  <c r="O33" i="5"/>
  <c r="J33" i="5"/>
  <c r="I33" i="5"/>
  <c r="H33" i="5"/>
  <c r="E33" i="5"/>
  <c r="D33" i="5"/>
  <c r="C33" i="5"/>
  <c r="Q32" i="5"/>
  <c r="P32" i="5"/>
  <c r="O32" i="5"/>
  <c r="J32" i="5"/>
  <c r="I32" i="5"/>
  <c r="H32" i="5"/>
  <c r="E32" i="5"/>
  <c r="D32" i="5"/>
  <c r="C32" i="5"/>
  <c r="Q31" i="5"/>
  <c r="P31" i="5"/>
  <c r="O31" i="5"/>
  <c r="J31" i="5"/>
  <c r="I31" i="5"/>
  <c r="H31" i="5"/>
  <c r="E31" i="5"/>
  <c r="D31" i="5"/>
  <c r="C31" i="5"/>
  <c r="Q30" i="5"/>
  <c r="P30" i="5"/>
  <c r="O30" i="5"/>
  <c r="J30" i="5"/>
  <c r="I30" i="5"/>
  <c r="H30" i="5"/>
  <c r="E30" i="5"/>
  <c r="D30" i="5"/>
  <c r="C30" i="5"/>
  <c r="Q29" i="5"/>
  <c r="P29" i="5"/>
  <c r="O29" i="5"/>
  <c r="J29" i="5"/>
  <c r="I29" i="5"/>
  <c r="H29" i="5"/>
  <c r="E29" i="5"/>
  <c r="D29" i="5"/>
  <c r="C29" i="5"/>
  <c r="Q28" i="5"/>
  <c r="P28" i="5"/>
  <c r="O28" i="5"/>
  <c r="J28" i="5"/>
  <c r="I28" i="5"/>
  <c r="H28" i="5"/>
  <c r="E28" i="5"/>
  <c r="D28" i="5"/>
  <c r="C28" i="5"/>
  <c r="Q27" i="5"/>
  <c r="P27" i="5"/>
  <c r="O27" i="5"/>
  <c r="J27" i="5"/>
  <c r="I27" i="5"/>
  <c r="H27" i="5"/>
  <c r="E27" i="5"/>
  <c r="D27" i="5"/>
  <c r="C27" i="5"/>
  <c r="Q26" i="5"/>
  <c r="P26" i="5"/>
  <c r="O26" i="5"/>
  <c r="J26" i="5"/>
  <c r="I26" i="5"/>
  <c r="H26" i="5"/>
  <c r="E26" i="5"/>
  <c r="D26" i="5"/>
  <c r="C26" i="5"/>
  <c r="Q25" i="5"/>
  <c r="P25" i="5"/>
  <c r="O25" i="5"/>
  <c r="J25" i="5"/>
  <c r="I25" i="5"/>
  <c r="H25" i="5"/>
  <c r="E25" i="5"/>
  <c r="D25" i="5"/>
  <c r="C25" i="5"/>
  <c r="Q24" i="5"/>
  <c r="P24" i="5"/>
  <c r="O24" i="5"/>
  <c r="J24" i="5"/>
  <c r="I24" i="5"/>
  <c r="H24" i="5"/>
  <c r="E24" i="5"/>
  <c r="D24" i="5"/>
  <c r="C24" i="5"/>
  <c r="Q23" i="5"/>
  <c r="P23" i="5"/>
  <c r="O23" i="5"/>
  <c r="J23" i="5"/>
  <c r="I23" i="5"/>
  <c r="H23" i="5"/>
  <c r="E23" i="5"/>
  <c r="D23" i="5"/>
  <c r="C23" i="5"/>
  <c r="Q22" i="5"/>
  <c r="P22" i="5"/>
  <c r="O22" i="5"/>
  <c r="J22" i="5"/>
  <c r="I22" i="5"/>
  <c r="H22" i="5"/>
  <c r="E22" i="5"/>
  <c r="D22" i="5"/>
  <c r="C22" i="5"/>
  <c r="Q21" i="5"/>
  <c r="P21" i="5"/>
  <c r="O21" i="5"/>
  <c r="J21" i="5"/>
  <c r="I21" i="5"/>
  <c r="H21" i="5"/>
  <c r="E21" i="5"/>
  <c r="D21" i="5"/>
  <c r="C21" i="5"/>
  <c r="Q20" i="5"/>
  <c r="P20" i="5"/>
  <c r="O20" i="5"/>
  <c r="J20" i="5"/>
  <c r="I20" i="5"/>
  <c r="H20" i="5"/>
  <c r="E20" i="5"/>
  <c r="D20" i="5"/>
  <c r="C20" i="5"/>
  <c r="Q19" i="5"/>
  <c r="P19" i="5"/>
  <c r="O19" i="5"/>
  <c r="J19" i="5"/>
  <c r="I19" i="5"/>
  <c r="H19" i="5"/>
  <c r="E19" i="5"/>
  <c r="D19" i="5"/>
  <c r="C19" i="5"/>
  <c r="Q18" i="5"/>
  <c r="P18" i="5"/>
  <c r="O18" i="5"/>
  <c r="J18" i="5"/>
  <c r="I18" i="5"/>
  <c r="H18" i="5"/>
  <c r="E18" i="5"/>
  <c r="D18" i="5"/>
  <c r="C18" i="5"/>
  <c r="Q17" i="5"/>
  <c r="P17" i="5"/>
  <c r="O17" i="5"/>
  <c r="J17" i="5"/>
  <c r="I17" i="5"/>
  <c r="H17" i="5"/>
  <c r="E17" i="5"/>
  <c r="D17" i="5"/>
  <c r="C17" i="5"/>
  <c r="Q16" i="5"/>
  <c r="P16" i="5"/>
  <c r="O16" i="5"/>
  <c r="J16" i="5"/>
  <c r="I16" i="5"/>
  <c r="H16" i="5"/>
  <c r="E16" i="5"/>
  <c r="D16" i="5"/>
  <c r="C16" i="5"/>
  <c r="Q15" i="5"/>
  <c r="P15" i="5"/>
  <c r="O15" i="5"/>
  <c r="J15" i="5"/>
  <c r="I15" i="5"/>
  <c r="H15" i="5"/>
  <c r="E15" i="5"/>
  <c r="D15" i="5"/>
  <c r="C15" i="5"/>
  <c r="Q14" i="5"/>
  <c r="P14" i="5"/>
  <c r="O14" i="5"/>
  <c r="J14" i="5"/>
  <c r="I14" i="5"/>
  <c r="H14" i="5"/>
  <c r="E14" i="5"/>
  <c r="D14" i="5"/>
  <c r="C14" i="5"/>
  <c r="Q13" i="5"/>
  <c r="P13" i="5"/>
  <c r="O13" i="5"/>
  <c r="J13" i="5"/>
  <c r="I13" i="5"/>
  <c r="H13" i="5"/>
  <c r="E13" i="5"/>
  <c r="D13" i="5"/>
  <c r="C13" i="5"/>
  <c r="Q12" i="5"/>
  <c r="P12" i="5"/>
  <c r="O12" i="5"/>
  <c r="J12" i="5"/>
  <c r="I12" i="5"/>
  <c r="H12" i="5"/>
  <c r="E12" i="5"/>
  <c r="D12" i="5"/>
  <c r="C12" i="5"/>
  <c r="Q11" i="5"/>
  <c r="P11" i="5"/>
  <c r="O11" i="5"/>
  <c r="J11" i="5"/>
  <c r="I11" i="5"/>
  <c r="H11" i="5"/>
  <c r="E11" i="5"/>
  <c r="D11" i="5"/>
  <c r="C11" i="5"/>
  <c r="Q10" i="5"/>
  <c r="P10" i="5"/>
  <c r="O10" i="5"/>
  <c r="J10" i="5"/>
  <c r="I10" i="5"/>
  <c r="H10" i="5"/>
  <c r="E10" i="5"/>
  <c r="D10" i="5"/>
  <c r="C10" i="5"/>
  <c r="Q9" i="5"/>
  <c r="P9" i="5"/>
  <c r="O9" i="5"/>
  <c r="J9" i="5"/>
  <c r="I9" i="5"/>
  <c r="H9" i="5"/>
  <c r="E9" i="5"/>
  <c r="D9" i="5"/>
  <c r="C9" i="5"/>
  <c r="Q8" i="5"/>
  <c r="P8" i="5"/>
  <c r="O8" i="5"/>
  <c r="J8" i="5"/>
  <c r="I8" i="5"/>
  <c r="H8" i="5"/>
  <c r="E8" i="5"/>
  <c r="D8" i="5"/>
  <c r="C8" i="5"/>
  <c r="Q7" i="5"/>
  <c r="P7" i="5"/>
  <c r="O7" i="5"/>
  <c r="J7" i="5"/>
  <c r="I7" i="5"/>
  <c r="H7" i="5"/>
  <c r="E7" i="5"/>
  <c r="D7" i="5"/>
  <c r="C7" i="5"/>
  <c r="Q6" i="5"/>
  <c r="P6" i="5"/>
  <c r="O6" i="5"/>
  <c r="J6" i="5"/>
  <c r="I6" i="5"/>
  <c r="H6" i="5"/>
  <c r="E6" i="5"/>
  <c r="D6" i="5"/>
  <c r="C6" i="5"/>
  <c r="Q5" i="5"/>
  <c r="P5" i="5"/>
  <c r="O5" i="5"/>
  <c r="J5" i="5"/>
  <c r="I5" i="5"/>
  <c r="H5" i="5"/>
  <c r="E5" i="5"/>
  <c r="D5" i="5"/>
  <c r="C5" i="5"/>
  <c r="Q4" i="5"/>
  <c r="P4" i="5"/>
  <c r="O4" i="5"/>
  <c r="J4" i="5"/>
  <c r="I4" i="5"/>
  <c r="H4" i="5"/>
  <c r="E4" i="5"/>
  <c r="D4" i="5"/>
  <c r="C4" i="5"/>
  <c r="Q3" i="5"/>
  <c r="P3" i="5"/>
  <c r="O3" i="5"/>
  <c r="J3" i="5"/>
  <c r="I3" i="5"/>
  <c r="H3" i="5"/>
  <c r="E3" i="5"/>
  <c r="D3" i="5"/>
  <c r="C3" i="5"/>
  <c r="Q2" i="5"/>
  <c r="P2" i="5"/>
  <c r="O2" i="5"/>
  <c r="J2" i="5"/>
  <c r="I2" i="5"/>
  <c r="H2" i="5"/>
  <c r="E2" i="5"/>
  <c r="D2" i="5"/>
  <c r="C2" i="5"/>
  <c r="A3" i="5"/>
  <c r="A4" i="5" s="1"/>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J1059" i="2"/>
  <c r="I1059" i="2"/>
  <c r="H1059" i="2"/>
  <c r="E1059" i="2"/>
  <c r="J1058" i="2"/>
  <c r="I1058" i="2"/>
  <c r="H1058" i="2"/>
  <c r="E1058" i="2"/>
  <c r="J1057" i="2"/>
  <c r="I1057" i="2"/>
  <c r="H1057" i="2"/>
  <c r="E1057" i="2"/>
  <c r="J1056" i="2"/>
  <c r="I1056" i="2"/>
  <c r="H1056" i="2"/>
  <c r="E1056" i="2"/>
  <c r="J1055" i="2"/>
  <c r="I1055" i="2"/>
  <c r="H1055" i="2"/>
  <c r="E1055" i="2"/>
  <c r="J1054" i="2"/>
  <c r="I1054" i="2"/>
  <c r="H1054" i="2"/>
  <c r="E1054" i="2"/>
  <c r="J1053" i="2"/>
  <c r="I1053" i="2"/>
  <c r="H1053" i="2"/>
  <c r="E1053" i="2"/>
  <c r="J1052" i="2"/>
  <c r="I1052" i="2"/>
  <c r="H1052" i="2"/>
  <c r="E1052" i="2"/>
  <c r="J1051" i="2"/>
  <c r="I1051" i="2"/>
  <c r="H1051" i="2"/>
  <c r="E1051" i="2"/>
  <c r="J1050" i="2"/>
  <c r="I1050" i="2"/>
  <c r="H1050" i="2"/>
  <c r="E1050" i="2"/>
  <c r="J1049" i="2"/>
  <c r="I1049" i="2"/>
  <c r="H1049" i="2"/>
  <c r="E1049" i="2"/>
  <c r="J1048" i="2"/>
  <c r="I1048" i="2"/>
  <c r="H1048" i="2"/>
  <c r="E1048" i="2"/>
  <c r="J1047" i="2"/>
  <c r="I1047" i="2"/>
  <c r="H1047" i="2"/>
  <c r="E1047" i="2"/>
  <c r="J1046" i="2"/>
  <c r="I1046" i="2"/>
  <c r="H1046" i="2"/>
  <c r="E1046" i="2"/>
  <c r="J1045" i="2"/>
  <c r="I1045" i="2"/>
  <c r="H1045" i="2"/>
  <c r="E1045" i="2"/>
  <c r="J1044" i="2"/>
  <c r="I1044" i="2"/>
  <c r="H1044" i="2"/>
  <c r="E1044" i="2"/>
  <c r="J1043" i="2"/>
  <c r="I1043" i="2"/>
  <c r="H1043" i="2"/>
  <c r="E1043" i="2"/>
  <c r="J1042" i="2"/>
  <c r="I1042" i="2"/>
  <c r="H1042" i="2"/>
  <c r="E1042" i="2"/>
  <c r="J1041" i="2"/>
  <c r="I1041" i="2"/>
  <c r="H1041" i="2"/>
  <c r="E1041" i="2"/>
  <c r="J1040" i="2"/>
  <c r="I1040" i="2"/>
  <c r="H1040" i="2"/>
  <c r="E1040" i="2"/>
  <c r="J1039" i="2"/>
  <c r="I1039" i="2"/>
  <c r="H1039" i="2"/>
  <c r="E1039" i="2"/>
  <c r="J1038" i="2"/>
  <c r="I1038" i="2"/>
  <c r="H1038" i="2"/>
  <c r="E1038" i="2"/>
  <c r="J1037" i="2"/>
  <c r="I1037" i="2"/>
  <c r="H1037" i="2"/>
  <c r="E1037" i="2"/>
  <c r="J1036" i="2"/>
  <c r="I1036" i="2"/>
  <c r="H1036" i="2"/>
  <c r="E1036" i="2"/>
  <c r="J1035" i="2"/>
  <c r="I1035" i="2"/>
  <c r="H1035" i="2"/>
  <c r="E1035" i="2"/>
  <c r="J1034" i="2"/>
  <c r="I1034" i="2"/>
  <c r="H1034" i="2"/>
  <c r="E1034" i="2"/>
  <c r="J1033" i="2"/>
  <c r="I1033" i="2"/>
  <c r="H1033" i="2"/>
  <c r="E1033" i="2"/>
  <c r="J1032" i="2"/>
  <c r="I1032" i="2"/>
  <c r="H1032" i="2"/>
  <c r="E1032" i="2"/>
  <c r="J1031" i="2"/>
  <c r="I1031" i="2"/>
  <c r="H1031" i="2"/>
  <c r="E1031" i="2"/>
  <c r="J1030" i="2"/>
  <c r="I1030" i="2"/>
  <c r="H1030" i="2"/>
  <c r="E1030" i="2"/>
  <c r="J1029" i="2"/>
  <c r="I1029" i="2"/>
  <c r="H1029" i="2"/>
  <c r="E1029" i="2"/>
  <c r="J1028" i="2"/>
  <c r="I1028" i="2"/>
  <c r="H1028" i="2"/>
  <c r="E1028" i="2"/>
  <c r="J1027" i="2"/>
  <c r="I1027" i="2"/>
  <c r="H1027" i="2"/>
  <c r="E1027" i="2"/>
  <c r="J1026" i="2"/>
  <c r="I1026" i="2"/>
  <c r="H1026" i="2"/>
  <c r="E1026" i="2"/>
  <c r="J1025" i="2"/>
  <c r="I1025" i="2"/>
  <c r="H1025" i="2"/>
  <c r="E1025" i="2"/>
  <c r="J1024" i="2"/>
  <c r="I1024" i="2"/>
  <c r="H1024" i="2"/>
  <c r="E1024" i="2"/>
  <c r="J1023" i="2"/>
  <c r="I1023" i="2"/>
  <c r="H1023" i="2"/>
  <c r="E1023" i="2"/>
  <c r="J1022" i="2"/>
  <c r="I1022" i="2"/>
  <c r="H1022" i="2"/>
  <c r="E1022" i="2"/>
  <c r="J1021" i="2"/>
  <c r="I1021" i="2"/>
  <c r="H1021" i="2"/>
  <c r="E1021" i="2"/>
  <c r="J1020" i="2"/>
  <c r="I1020" i="2"/>
  <c r="H1020" i="2"/>
  <c r="E1020" i="2"/>
  <c r="J1019" i="2"/>
  <c r="I1019" i="2"/>
  <c r="H1019" i="2"/>
  <c r="E1019" i="2"/>
  <c r="J1018" i="2"/>
  <c r="I1018" i="2"/>
  <c r="H1018" i="2"/>
  <c r="E1018" i="2"/>
  <c r="J1017" i="2"/>
  <c r="I1017" i="2"/>
  <c r="H1017" i="2"/>
  <c r="E1017" i="2"/>
  <c r="J1016" i="2"/>
  <c r="I1016" i="2"/>
  <c r="H1016" i="2"/>
  <c r="E1016" i="2"/>
  <c r="J1015" i="2"/>
  <c r="I1015" i="2"/>
  <c r="H1015" i="2"/>
  <c r="E1015" i="2"/>
  <c r="J1014" i="2"/>
  <c r="I1014" i="2"/>
  <c r="H1014" i="2"/>
  <c r="E1014" i="2"/>
  <c r="J1013" i="2"/>
  <c r="I1013" i="2"/>
  <c r="H1013" i="2"/>
  <c r="E1013" i="2"/>
  <c r="J1012" i="2"/>
  <c r="I1012" i="2"/>
  <c r="H1012" i="2"/>
  <c r="E1012" i="2"/>
  <c r="J1011" i="2"/>
  <c r="I1011" i="2"/>
  <c r="H1011" i="2"/>
  <c r="E1011" i="2"/>
  <c r="J1010" i="2"/>
  <c r="I1010" i="2"/>
  <c r="H1010" i="2"/>
  <c r="E1010" i="2"/>
  <c r="J1009" i="2"/>
  <c r="I1009" i="2"/>
  <c r="H1009" i="2"/>
  <c r="E1009" i="2"/>
  <c r="J1008" i="2"/>
  <c r="I1008" i="2"/>
  <c r="H1008" i="2"/>
  <c r="E1008" i="2"/>
  <c r="J1007" i="2"/>
  <c r="I1007" i="2"/>
  <c r="H1007" i="2"/>
  <c r="E1007" i="2"/>
  <c r="J1006" i="2"/>
  <c r="I1006" i="2"/>
  <c r="H1006" i="2"/>
  <c r="E1006" i="2"/>
  <c r="J1005" i="2"/>
  <c r="I1005" i="2"/>
  <c r="H1005" i="2"/>
  <c r="E1005" i="2"/>
  <c r="J1004" i="2"/>
  <c r="I1004" i="2"/>
  <c r="H1004" i="2"/>
  <c r="E1004" i="2"/>
  <c r="J1003" i="2"/>
  <c r="I1003" i="2"/>
  <c r="H1003" i="2"/>
  <c r="E1003" i="2"/>
  <c r="J1002" i="2"/>
  <c r="I1002" i="2"/>
  <c r="H1002" i="2"/>
  <c r="E1002" i="2"/>
  <c r="J1001" i="2"/>
  <c r="I1001" i="2"/>
  <c r="H1001" i="2"/>
  <c r="E1001" i="2"/>
  <c r="J1000" i="2"/>
  <c r="I1000" i="2"/>
  <c r="H1000" i="2"/>
  <c r="E1000" i="2"/>
  <c r="J999" i="2"/>
  <c r="I999" i="2"/>
  <c r="H999" i="2"/>
  <c r="E999" i="2"/>
  <c r="J998" i="2"/>
  <c r="I998" i="2"/>
  <c r="H998" i="2"/>
  <c r="E998" i="2"/>
  <c r="J997" i="2"/>
  <c r="I997" i="2"/>
  <c r="H997" i="2"/>
  <c r="E997" i="2"/>
  <c r="J996" i="2"/>
  <c r="I996" i="2"/>
  <c r="H996" i="2"/>
  <c r="E996" i="2"/>
  <c r="J995" i="2"/>
  <c r="I995" i="2"/>
  <c r="H995" i="2"/>
  <c r="E995" i="2"/>
  <c r="J994" i="2"/>
  <c r="I994" i="2"/>
  <c r="H994" i="2"/>
  <c r="E994" i="2"/>
  <c r="J993" i="2"/>
  <c r="I993" i="2"/>
  <c r="H993" i="2"/>
  <c r="E993" i="2"/>
  <c r="J992" i="2"/>
  <c r="I992" i="2"/>
  <c r="H992" i="2"/>
  <c r="E992" i="2"/>
  <c r="J991" i="2"/>
  <c r="I991" i="2"/>
  <c r="H991" i="2"/>
  <c r="E991" i="2"/>
  <c r="J990" i="2"/>
  <c r="I990" i="2"/>
  <c r="H990" i="2"/>
  <c r="E990" i="2"/>
  <c r="J989" i="2"/>
  <c r="I989" i="2"/>
  <c r="H989" i="2"/>
  <c r="E989" i="2"/>
  <c r="J988" i="2"/>
  <c r="I988" i="2"/>
  <c r="H988" i="2"/>
  <c r="E988" i="2"/>
  <c r="J987" i="2"/>
  <c r="I987" i="2"/>
  <c r="H987" i="2"/>
  <c r="E987" i="2"/>
  <c r="J986" i="2"/>
  <c r="I986" i="2"/>
  <c r="H986" i="2"/>
  <c r="E986" i="2"/>
  <c r="J985" i="2"/>
  <c r="I985" i="2"/>
  <c r="H985" i="2"/>
  <c r="E985" i="2"/>
  <c r="J984" i="2"/>
  <c r="I984" i="2"/>
  <c r="H984" i="2"/>
  <c r="E984" i="2"/>
  <c r="J983" i="2"/>
  <c r="I983" i="2"/>
  <c r="H983" i="2"/>
  <c r="E983" i="2"/>
  <c r="J982" i="2"/>
  <c r="I982" i="2"/>
  <c r="H982" i="2"/>
  <c r="E982" i="2"/>
  <c r="J981" i="2"/>
  <c r="I981" i="2"/>
  <c r="H981" i="2"/>
  <c r="E981" i="2"/>
  <c r="J980" i="2"/>
  <c r="I980" i="2"/>
  <c r="H980" i="2"/>
  <c r="E980" i="2"/>
  <c r="J979" i="2"/>
  <c r="I979" i="2"/>
  <c r="H979" i="2"/>
  <c r="E979" i="2"/>
  <c r="J978" i="2"/>
  <c r="I978" i="2"/>
  <c r="H978" i="2"/>
  <c r="E978" i="2"/>
  <c r="J977" i="2"/>
  <c r="I977" i="2"/>
  <c r="H977" i="2"/>
  <c r="E977" i="2"/>
  <c r="J976" i="2"/>
  <c r="I976" i="2"/>
  <c r="H976" i="2"/>
  <c r="E976" i="2"/>
  <c r="J975" i="2"/>
  <c r="I975" i="2"/>
  <c r="H975" i="2"/>
  <c r="E975" i="2"/>
  <c r="J974" i="2"/>
  <c r="I974" i="2"/>
  <c r="H974" i="2"/>
  <c r="E974" i="2"/>
  <c r="J973" i="2"/>
  <c r="I973" i="2"/>
  <c r="H973" i="2"/>
  <c r="E973" i="2"/>
  <c r="J972" i="2"/>
  <c r="I972" i="2"/>
  <c r="H972" i="2"/>
  <c r="E972" i="2"/>
  <c r="J971" i="2"/>
  <c r="I971" i="2"/>
  <c r="H971" i="2"/>
  <c r="E971" i="2"/>
  <c r="J970" i="2"/>
  <c r="I970" i="2"/>
  <c r="H970" i="2"/>
  <c r="E970" i="2"/>
  <c r="J969" i="2"/>
  <c r="I969" i="2"/>
  <c r="H969" i="2"/>
  <c r="E969" i="2"/>
  <c r="J968" i="2"/>
  <c r="I968" i="2"/>
  <c r="H968" i="2"/>
  <c r="E968" i="2"/>
  <c r="J967" i="2"/>
  <c r="I967" i="2"/>
  <c r="H967" i="2"/>
  <c r="E967" i="2"/>
  <c r="J966" i="2"/>
  <c r="I966" i="2"/>
  <c r="H966" i="2"/>
  <c r="E966" i="2"/>
  <c r="J965" i="2"/>
  <c r="I965" i="2"/>
  <c r="H965" i="2"/>
  <c r="E965" i="2"/>
  <c r="J964" i="2"/>
  <c r="I964" i="2"/>
  <c r="H964" i="2"/>
  <c r="E964" i="2"/>
  <c r="J963" i="2"/>
  <c r="I963" i="2"/>
  <c r="H963" i="2"/>
  <c r="E963" i="2"/>
  <c r="J962" i="2"/>
  <c r="I962" i="2"/>
  <c r="H962" i="2"/>
  <c r="E962" i="2"/>
  <c r="J961" i="2"/>
  <c r="I961" i="2"/>
  <c r="H961" i="2"/>
  <c r="E961" i="2"/>
  <c r="J960" i="2"/>
  <c r="I960" i="2"/>
  <c r="H960" i="2"/>
  <c r="E960" i="2"/>
  <c r="J959" i="2"/>
  <c r="I959" i="2"/>
  <c r="H959" i="2"/>
  <c r="E959" i="2"/>
  <c r="J958" i="2"/>
  <c r="I958" i="2"/>
  <c r="H958" i="2"/>
  <c r="E958" i="2"/>
  <c r="J957" i="2"/>
  <c r="I957" i="2"/>
  <c r="H957" i="2"/>
  <c r="E957" i="2"/>
  <c r="J956" i="2"/>
  <c r="I956" i="2"/>
  <c r="H956" i="2"/>
  <c r="E956" i="2"/>
  <c r="J955" i="2"/>
  <c r="I955" i="2"/>
  <c r="H955" i="2"/>
  <c r="E955" i="2"/>
  <c r="J954" i="2"/>
  <c r="I954" i="2"/>
  <c r="H954" i="2"/>
  <c r="E954" i="2"/>
  <c r="J953" i="2"/>
  <c r="I953" i="2"/>
  <c r="H953" i="2"/>
  <c r="E953" i="2"/>
  <c r="J952" i="2"/>
  <c r="I952" i="2"/>
  <c r="H952" i="2"/>
  <c r="E952" i="2"/>
  <c r="J951" i="2"/>
  <c r="I951" i="2"/>
  <c r="H951" i="2"/>
  <c r="E951" i="2"/>
  <c r="J950" i="2"/>
  <c r="I950" i="2"/>
  <c r="H950" i="2"/>
  <c r="E950" i="2"/>
  <c r="J949" i="2"/>
  <c r="I949" i="2"/>
  <c r="H949" i="2"/>
  <c r="E949" i="2"/>
  <c r="J948" i="2"/>
  <c r="I948" i="2"/>
  <c r="H948" i="2"/>
  <c r="E948" i="2"/>
  <c r="J947" i="2"/>
  <c r="I947" i="2"/>
  <c r="H947" i="2"/>
  <c r="E947" i="2"/>
  <c r="J946" i="2"/>
  <c r="I946" i="2"/>
  <c r="H946" i="2"/>
  <c r="E946" i="2"/>
  <c r="J945" i="2"/>
  <c r="I945" i="2"/>
  <c r="H945" i="2"/>
  <c r="E945" i="2"/>
  <c r="J944" i="2"/>
  <c r="I944" i="2"/>
  <c r="H944" i="2"/>
  <c r="E944" i="2"/>
  <c r="J943" i="2"/>
  <c r="I943" i="2"/>
  <c r="H943" i="2"/>
  <c r="E943" i="2"/>
  <c r="J942" i="2"/>
  <c r="I942" i="2"/>
  <c r="H942" i="2"/>
  <c r="E942" i="2"/>
  <c r="J941" i="2"/>
  <c r="I941" i="2"/>
  <c r="H941" i="2"/>
  <c r="E941" i="2"/>
  <c r="J940" i="2"/>
  <c r="I940" i="2"/>
  <c r="H940" i="2"/>
  <c r="E940" i="2"/>
  <c r="J939" i="2"/>
  <c r="I939" i="2"/>
  <c r="H939" i="2"/>
  <c r="E939" i="2"/>
  <c r="J938" i="2"/>
  <c r="I938" i="2"/>
  <c r="H938" i="2"/>
  <c r="E938" i="2"/>
  <c r="J937" i="2"/>
  <c r="I937" i="2"/>
  <c r="H937" i="2"/>
  <c r="E937" i="2"/>
  <c r="J936" i="2"/>
  <c r="I936" i="2"/>
  <c r="H936" i="2"/>
  <c r="E936" i="2"/>
  <c r="J935" i="2"/>
  <c r="I935" i="2"/>
  <c r="H935" i="2"/>
  <c r="E935" i="2"/>
  <c r="J934" i="2"/>
  <c r="I934" i="2"/>
  <c r="H934" i="2"/>
  <c r="E934" i="2"/>
  <c r="J933" i="2"/>
  <c r="I933" i="2"/>
  <c r="H933" i="2"/>
  <c r="E933" i="2"/>
  <c r="J932" i="2"/>
  <c r="I932" i="2"/>
  <c r="H932" i="2"/>
  <c r="E932" i="2"/>
  <c r="J931" i="2"/>
  <c r="I931" i="2"/>
  <c r="H931" i="2"/>
  <c r="E931" i="2"/>
  <c r="J930" i="2"/>
  <c r="I930" i="2"/>
  <c r="H930" i="2"/>
  <c r="E930" i="2"/>
  <c r="J929" i="2"/>
  <c r="I929" i="2"/>
  <c r="H929" i="2"/>
  <c r="E929" i="2"/>
  <c r="J928" i="2"/>
  <c r="I928" i="2"/>
  <c r="H928" i="2"/>
  <c r="E928" i="2"/>
  <c r="J927" i="2"/>
  <c r="I927" i="2"/>
  <c r="H927" i="2"/>
  <c r="E927" i="2"/>
  <c r="J926" i="2"/>
  <c r="I926" i="2"/>
  <c r="H926" i="2"/>
  <c r="E926" i="2"/>
  <c r="J925" i="2"/>
  <c r="I925" i="2"/>
  <c r="H925" i="2"/>
  <c r="E925" i="2"/>
  <c r="J924" i="2"/>
  <c r="I924" i="2"/>
  <c r="H924" i="2"/>
  <c r="E924" i="2"/>
  <c r="J923" i="2"/>
  <c r="I923" i="2"/>
  <c r="H923" i="2"/>
  <c r="E923" i="2"/>
  <c r="J922" i="2"/>
  <c r="I922" i="2"/>
  <c r="H922" i="2"/>
  <c r="E922" i="2"/>
  <c r="J921" i="2"/>
  <c r="I921" i="2"/>
  <c r="H921" i="2"/>
  <c r="E921" i="2"/>
  <c r="J920" i="2"/>
  <c r="I920" i="2"/>
  <c r="H920" i="2"/>
  <c r="E920" i="2"/>
  <c r="J919" i="2"/>
  <c r="I919" i="2"/>
  <c r="H919" i="2"/>
  <c r="E919" i="2"/>
  <c r="J918" i="2"/>
  <c r="I918" i="2"/>
  <c r="H918" i="2"/>
  <c r="E918" i="2"/>
  <c r="J917" i="2"/>
  <c r="I917" i="2"/>
  <c r="H917" i="2"/>
  <c r="E917" i="2"/>
  <c r="J916" i="2"/>
  <c r="I916" i="2"/>
  <c r="H916" i="2"/>
  <c r="E916" i="2"/>
  <c r="J915" i="2"/>
  <c r="I915" i="2"/>
  <c r="H915" i="2"/>
  <c r="E915" i="2"/>
  <c r="J914" i="2"/>
  <c r="I914" i="2"/>
  <c r="H914" i="2"/>
  <c r="E914" i="2"/>
  <c r="J913" i="2"/>
  <c r="I913" i="2"/>
  <c r="H913" i="2"/>
  <c r="E913" i="2"/>
  <c r="J912" i="2"/>
  <c r="I912" i="2"/>
  <c r="H912" i="2"/>
  <c r="E912" i="2"/>
  <c r="J911" i="2"/>
  <c r="I911" i="2"/>
  <c r="H911" i="2"/>
  <c r="E911" i="2"/>
  <c r="J910" i="2"/>
  <c r="I910" i="2"/>
  <c r="H910" i="2"/>
  <c r="E910" i="2"/>
  <c r="J909" i="2"/>
  <c r="I909" i="2"/>
  <c r="H909" i="2"/>
  <c r="E909" i="2"/>
  <c r="J908" i="2"/>
  <c r="I908" i="2"/>
  <c r="H908" i="2"/>
  <c r="E908" i="2"/>
  <c r="J907" i="2"/>
  <c r="I907" i="2"/>
  <c r="H907" i="2"/>
  <c r="E907" i="2"/>
  <c r="J906" i="2"/>
  <c r="I906" i="2"/>
  <c r="H906" i="2"/>
  <c r="E906" i="2"/>
  <c r="J905" i="2"/>
  <c r="I905" i="2"/>
  <c r="H905" i="2"/>
  <c r="E905" i="2"/>
  <c r="J904" i="2"/>
  <c r="I904" i="2"/>
  <c r="H904" i="2"/>
  <c r="E904" i="2"/>
  <c r="J903" i="2"/>
  <c r="I903" i="2"/>
  <c r="H903" i="2"/>
  <c r="E903" i="2"/>
  <c r="J902" i="2"/>
  <c r="I902" i="2"/>
  <c r="H902" i="2"/>
  <c r="E902" i="2"/>
  <c r="J901" i="2"/>
  <c r="I901" i="2"/>
  <c r="H901" i="2"/>
  <c r="E901" i="2"/>
  <c r="J900" i="2"/>
  <c r="I900" i="2"/>
  <c r="H900" i="2"/>
  <c r="E900" i="2"/>
  <c r="J899" i="2"/>
  <c r="I899" i="2"/>
  <c r="H899" i="2"/>
  <c r="E899" i="2"/>
  <c r="J898" i="2"/>
  <c r="I898" i="2"/>
  <c r="H898" i="2"/>
  <c r="E898" i="2"/>
  <c r="J897" i="2"/>
  <c r="I897" i="2"/>
  <c r="H897" i="2"/>
  <c r="E897" i="2"/>
  <c r="J896" i="2"/>
  <c r="I896" i="2"/>
  <c r="H896" i="2"/>
  <c r="E896" i="2"/>
  <c r="J895" i="2"/>
  <c r="I895" i="2"/>
  <c r="H895" i="2"/>
  <c r="E895" i="2"/>
  <c r="J894" i="2"/>
  <c r="I894" i="2"/>
  <c r="H894" i="2"/>
  <c r="E894" i="2"/>
  <c r="J893" i="2"/>
  <c r="I893" i="2"/>
  <c r="H893" i="2"/>
  <c r="E893" i="2"/>
  <c r="J892" i="2"/>
  <c r="I892" i="2"/>
  <c r="H892" i="2"/>
  <c r="E892" i="2"/>
  <c r="J891" i="2"/>
  <c r="I891" i="2"/>
  <c r="H891" i="2"/>
  <c r="E891" i="2"/>
  <c r="J890" i="2"/>
  <c r="I890" i="2"/>
  <c r="H890" i="2"/>
  <c r="E890" i="2"/>
  <c r="J889" i="2"/>
  <c r="I889" i="2"/>
  <c r="H889" i="2"/>
  <c r="E889" i="2"/>
  <c r="J888" i="2"/>
  <c r="I888" i="2"/>
  <c r="H888" i="2"/>
  <c r="E888" i="2"/>
  <c r="J887" i="2"/>
  <c r="I887" i="2"/>
  <c r="H887" i="2"/>
  <c r="E887" i="2"/>
  <c r="J886" i="2"/>
  <c r="I886" i="2"/>
  <c r="H886" i="2"/>
  <c r="E886" i="2"/>
  <c r="J885" i="2"/>
  <c r="I885" i="2"/>
  <c r="H885" i="2"/>
  <c r="E885" i="2"/>
  <c r="J884" i="2"/>
  <c r="I884" i="2"/>
  <c r="H884" i="2"/>
  <c r="E884" i="2"/>
  <c r="J883" i="2"/>
  <c r="I883" i="2"/>
  <c r="H883" i="2"/>
  <c r="E883" i="2"/>
  <c r="J882" i="2"/>
  <c r="I882" i="2"/>
  <c r="H882" i="2"/>
  <c r="E882" i="2"/>
  <c r="J881" i="2"/>
  <c r="I881" i="2"/>
  <c r="H881" i="2"/>
  <c r="E881" i="2"/>
  <c r="J880" i="2"/>
  <c r="I880" i="2"/>
  <c r="H880" i="2"/>
  <c r="E880" i="2"/>
  <c r="J879" i="2"/>
  <c r="I879" i="2"/>
  <c r="H879" i="2"/>
  <c r="E879" i="2"/>
  <c r="J878" i="2"/>
  <c r="I878" i="2"/>
  <c r="H878" i="2"/>
  <c r="E878" i="2"/>
  <c r="J877" i="2"/>
  <c r="I877" i="2"/>
  <c r="H877" i="2"/>
  <c r="E877" i="2"/>
  <c r="J876" i="2"/>
  <c r="I876" i="2"/>
  <c r="H876" i="2"/>
  <c r="E876" i="2"/>
  <c r="J875" i="2"/>
  <c r="I875" i="2"/>
  <c r="H875" i="2"/>
  <c r="E875" i="2"/>
  <c r="J874" i="2"/>
  <c r="I874" i="2"/>
  <c r="H874" i="2"/>
  <c r="E874" i="2"/>
  <c r="J873" i="2"/>
  <c r="I873" i="2"/>
  <c r="H873" i="2"/>
  <c r="E873" i="2"/>
  <c r="J872" i="2"/>
  <c r="I872" i="2"/>
  <c r="H872" i="2"/>
  <c r="E872" i="2"/>
  <c r="J871" i="2"/>
  <c r="I871" i="2"/>
  <c r="H871" i="2"/>
  <c r="E871" i="2"/>
  <c r="J870" i="2"/>
  <c r="I870" i="2"/>
  <c r="H870" i="2"/>
  <c r="E870" i="2"/>
  <c r="J869" i="2"/>
  <c r="I869" i="2"/>
  <c r="H869" i="2"/>
  <c r="E869" i="2"/>
  <c r="J868" i="2"/>
  <c r="I868" i="2"/>
  <c r="H868" i="2"/>
  <c r="E868" i="2"/>
  <c r="J867" i="2"/>
  <c r="I867" i="2"/>
  <c r="H867" i="2"/>
  <c r="E867" i="2"/>
  <c r="J866" i="2"/>
  <c r="I866" i="2"/>
  <c r="H866" i="2"/>
  <c r="E866" i="2"/>
  <c r="J865" i="2"/>
  <c r="I865" i="2"/>
  <c r="H865" i="2"/>
  <c r="E865" i="2"/>
  <c r="J864" i="2"/>
  <c r="I864" i="2"/>
  <c r="H864" i="2"/>
  <c r="E864" i="2"/>
  <c r="J863" i="2"/>
  <c r="I863" i="2"/>
  <c r="H863" i="2"/>
  <c r="E863" i="2"/>
  <c r="J862" i="2"/>
  <c r="I862" i="2"/>
  <c r="H862" i="2"/>
  <c r="E862" i="2"/>
  <c r="J861" i="2"/>
  <c r="I861" i="2"/>
  <c r="H861" i="2"/>
  <c r="E861" i="2"/>
  <c r="J860" i="2"/>
  <c r="I860" i="2"/>
  <c r="H860" i="2"/>
  <c r="E860" i="2"/>
  <c r="J859" i="2"/>
  <c r="I859" i="2"/>
  <c r="H859" i="2"/>
  <c r="E859" i="2"/>
  <c r="J858" i="2"/>
  <c r="I858" i="2"/>
  <c r="H858" i="2"/>
  <c r="E858" i="2"/>
  <c r="J857" i="2"/>
  <c r="I857" i="2"/>
  <c r="H857" i="2"/>
  <c r="E857" i="2"/>
  <c r="J856" i="2"/>
  <c r="I856" i="2"/>
  <c r="H856" i="2"/>
  <c r="E856" i="2"/>
  <c r="J855" i="2"/>
  <c r="I855" i="2"/>
  <c r="H855" i="2"/>
  <c r="E855" i="2"/>
  <c r="J854" i="2"/>
  <c r="I854" i="2"/>
  <c r="H854" i="2"/>
  <c r="E854" i="2"/>
  <c r="J853" i="2"/>
  <c r="I853" i="2"/>
  <c r="H853" i="2"/>
  <c r="E853" i="2"/>
  <c r="J852" i="2"/>
  <c r="I852" i="2"/>
  <c r="H852" i="2"/>
  <c r="E852" i="2"/>
  <c r="J851" i="2"/>
  <c r="I851" i="2"/>
  <c r="H851" i="2"/>
  <c r="E851" i="2"/>
  <c r="J850" i="2"/>
  <c r="I850" i="2"/>
  <c r="H850" i="2"/>
  <c r="E850" i="2"/>
  <c r="J849" i="2"/>
  <c r="I849" i="2"/>
  <c r="H849" i="2"/>
  <c r="E849" i="2"/>
  <c r="J848" i="2"/>
  <c r="I848" i="2"/>
  <c r="H848" i="2"/>
  <c r="E848" i="2"/>
  <c r="J847" i="2"/>
  <c r="I847" i="2"/>
  <c r="H847" i="2"/>
  <c r="E847" i="2"/>
  <c r="J846" i="2"/>
  <c r="I846" i="2"/>
  <c r="H846" i="2"/>
  <c r="E846" i="2"/>
  <c r="J845" i="2"/>
  <c r="I845" i="2"/>
  <c r="H845" i="2"/>
  <c r="E845" i="2"/>
  <c r="J844" i="2"/>
  <c r="I844" i="2"/>
  <c r="H844" i="2"/>
  <c r="E844" i="2"/>
  <c r="J843" i="2"/>
  <c r="I843" i="2"/>
  <c r="H843" i="2"/>
  <c r="E843" i="2"/>
  <c r="J842" i="2"/>
  <c r="I842" i="2"/>
  <c r="H842" i="2"/>
  <c r="E842" i="2"/>
  <c r="J841" i="2"/>
  <c r="I841" i="2"/>
  <c r="H841" i="2"/>
  <c r="E841" i="2"/>
  <c r="J840" i="2"/>
  <c r="I840" i="2"/>
  <c r="H840" i="2"/>
  <c r="E840" i="2"/>
  <c r="J839" i="2"/>
  <c r="I839" i="2"/>
  <c r="H839" i="2"/>
  <c r="E839" i="2"/>
  <c r="J838" i="2"/>
  <c r="I838" i="2"/>
  <c r="H838" i="2"/>
  <c r="E838" i="2"/>
  <c r="J837" i="2"/>
  <c r="I837" i="2"/>
  <c r="H837" i="2"/>
  <c r="E837" i="2"/>
  <c r="J836" i="2"/>
  <c r="I836" i="2"/>
  <c r="H836" i="2"/>
  <c r="E836" i="2"/>
  <c r="J835" i="2"/>
  <c r="I835" i="2"/>
  <c r="H835" i="2"/>
  <c r="E835" i="2"/>
  <c r="J834" i="2"/>
  <c r="I834" i="2"/>
  <c r="H834" i="2"/>
  <c r="E834" i="2"/>
  <c r="J833" i="2"/>
  <c r="I833" i="2"/>
  <c r="H833" i="2"/>
  <c r="E833" i="2"/>
  <c r="J832" i="2"/>
  <c r="I832" i="2"/>
  <c r="H832" i="2"/>
  <c r="E832" i="2"/>
  <c r="J831" i="2"/>
  <c r="I831" i="2"/>
  <c r="H831" i="2"/>
  <c r="E831" i="2"/>
  <c r="J830" i="2"/>
  <c r="I830" i="2"/>
  <c r="H830" i="2"/>
  <c r="E830" i="2"/>
  <c r="J829" i="2"/>
  <c r="I829" i="2"/>
  <c r="H829" i="2"/>
  <c r="E829" i="2"/>
  <c r="J828" i="2"/>
  <c r="I828" i="2"/>
  <c r="H828" i="2"/>
  <c r="E828" i="2"/>
  <c r="J827" i="2"/>
  <c r="I827" i="2"/>
  <c r="H827" i="2"/>
  <c r="E827" i="2"/>
  <c r="J826" i="2"/>
  <c r="I826" i="2"/>
  <c r="H826" i="2"/>
  <c r="E826" i="2"/>
  <c r="J825" i="2"/>
  <c r="I825" i="2"/>
  <c r="H825" i="2"/>
  <c r="E825" i="2"/>
  <c r="J824" i="2"/>
  <c r="I824" i="2"/>
  <c r="H824" i="2"/>
  <c r="E824" i="2"/>
  <c r="J823" i="2"/>
  <c r="I823" i="2"/>
  <c r="H823" i="2"/>
  <c r="E823" i="2"/>
  <c r="J822" i="2"/>
  <c r="I822" i="2"/>
  <c r="H822" i="2"/>
  <c r="E822" i="2"/>
  <c r="J821" i="2"/>
  <c r="I821" i="2"/>
  <c r="H821" i="2"/>
  <c r="E821" i="2"/>
  <c r="J820" i="2"/>
  <c r="I820" i="2"/>
  <c r="H820" i="2"/>
  <c r="E820" i="2"/>
  <c r="J819" i="2"/>
  <c r="I819" i="2"/>
  <c r="H819" i="2"/>
  <c r="E819" i="2"/>
  <c r="J818" i="2"/>
  <c r="I818" i="2"/>
  <c r="H818" i="2"/>
  <c r="E818" i="2"/>
  <c r="J817" i="2"/>
  <c r="I817" i="2"/>
  <c r="H817" i="2"/>
  <c r="E817" i="2"/>
  <c r="J816" i="2"/>
  <c r="I816" i="2"/>
  <c r="H816" i="2"/>
  <c r="E816" i="2"/>
  <c r="J815" i="2"/>
  <c r="I815" i="2"/>
  <c r="H815" i="2"/>
  <c r="E815" i="2"/>
  <c r="J814" i="2"/>
  <c r="I814" i="2"/>
  <c r="H814" i="2"/>
  <c r="E814" i="2"/>
  <c r="J813" i="2"/>
  <c r="I813" i="2"/>
  <c r="H813" i="2"/>
  <c r="E813" i="2"/>
  <c r="J812" i="2"/>
  <c r="I812" i="2"/>
  <c r="H812" i="2"/>
  <c r="E812" i="2"/>
  <c r="J811" i="2"/>
  <c r="I811" i="2"/>
  <c r="H811" i="2"/>
  <c r="E811" i="2"/>
  <c r="J810" i="2"/>
  <c r="I810" i="2"/>
  <c r="H810" i="2"/>
  <c r="E810" i="2"/>
  <c r="J809" i="2"/>
  <c r="I809" i="2"/>
  <c r="H809" i="2"/>
  <c r="E809" i="2"/>
  <c r="J808" i="2"/>
  <c r="I808" i="2"/>
  <c r="H808" i="2"/>
  <c r="E808" i="2"/>
  <c r="J807" i="2"/>
  <c r="I807" i="2"/>
  <c r="H807" i="2"/>
  <c r="E807" i="2"/>
  <c r="J806" i="2"/>
  <c r="I806" i="2"/>
  <c r="H806" i="2"/>
  <c r="E806" i="2"/>
  <c r="J805" i="2"/>
  <c r="I805" i="2"/>
  <c r="H805" i="2"/>
  <c r="E805" i="2"/>
  <c r="J804" i="2"/>
  <c r="I804" i="2"/>
  <c r="H804" i="2"/>
  <c r="E804" i="2"/>
  <c r="J803" i="2"/>
  <c r="I803" i="2"/>
  <c r="H803" i="2"/>
  <c r="E803" i="2"/>
  <c r="J802" i="2"/>
  <c r="I802" i="2"/>
  <c r="H802" i="2"/>
  <c r="E802" i="2"/>
  <c r="J801" i="2"/>
  <c r="I801" i="2"/>
  <c r="H801" i="2"/>
  <c r="E801" i="2"/>
  <c r="J800" i="2"/>
  <c r="I800" i="2"/>
  <c r="H800" i="2"/>
  <c r="E800" i="2"/>
  <c r="J799" i="2"/>
  <c r="I799" i="2"/>
  <c r="H799" i="2"/>
  <c r="E799" i="2"/>
  <c r="J798" i="2"/>
  <c r="I798" i="2"/>
  <c r="H798" i="2"/>
  <c r="E798" i="2"/>
  <c r="J797" i="2"/>
  <c r="I797" i="2"/>
  <c r="H797" i="2"/>
  <c r="E797" i="2"/>
  <c r="J796" i="2"/>
  <c r="I796" i="2"/>
  <c r="H796" i="2"/>
  <c r="E796" i="2"/>
  <c r="J795" i="2"/>
  <c r="I795" i="2"/>
  <c r="H795" i="2"/>
  <c r="E795" i="2"/>
  <c r="J794" i="2"/>
  <c r="I794" i="2"/>
  <c r="H794" i="2"/>
  <c r="E794" i="2"/>
  <c r="J793" i="2"/>
  <c r="I793" i="2"/>
  <c r="H793" i="2"/>
  <c r="E793" i="2"/>
  <c r="J792" i="2"/>
  <c r="I792" i="2"/>
  <c r="H792" i="2"/>
  <c r="E792" i="2"/>
  <c r="J791" i="2"/>
  <c r="I791" i="2"/>
  <c r="H791" i="2"/>
  <c r="E791" i="2"/>
  <c r="J790" i="2"/>
  <c r="I790" i="2"/>
  <c r="H790" i="2"/>
  <c r="E790" i="2"/>
  <c r="J789" i="2"/>
  <c r="I789" i="2"/>
  <c r="H789" i="2"/>
  <c r="E789" i="2"/>
  <c r="J788" i="2"/>
  <c r="I788" i="2"/>
  <c r="H788" i="2"/>
  <c r="E788" i="2"/>
  <c r="J787" i="2"/>
  <c r="I787" i="2"/>
  <c r="H787" i="2"/>
  <c r="E787" i="2"/>
  <c r="J786" i="2"/>
  <c r="I786" i="2"/>
  <c r="H786" i="2"/>
  <c r="E786" i="2"/>
  <c r="J785" i="2"/>
  <c r="I785" i="2"/>
  <c r="H785" i="2"/>
  <c r="E785" i="2"/>
  <c r="J784" i="2"/>
  <c r="I784" i="2"/>
  <c r="H784" i="2"/>
  <c r="E784" i="2"/>
  <c r="J783" i="2"/>
  <c r="I783" i="2"/>
  <c r="H783" i="2"/>
  <c r="E783" i="2"/>
  <c r="J782" i="2"/>
  <c r="I782" i="2"/>
  <c r="H782" i="2"/>
  <c r="E782" i="2"/>
  <c r="J781" i="2"/>
  <c r="I781" i="2"/>
  <c r="H781" i="2"/>
  <c r="E781" i="2"/>
  <c r="J780" i="2"/>
  <c r="I780" i="2"/>
  <c r="H780" i="2"/>
  <c r="E780" i="2"/>
  <c r="J779" i="2"/>
  <c r="I779" i="2"/>
  <c r="H779" i="2"/>
  <c r="E779" i="2"/>
  <c r="J778" i="2"/>
  <c r="I778" i="2"/>
  <c r="H778" i="2"/>
  <c r="E778" i="2"/>
  <c r="J777" i="2"/>
  <c r="I777" i="2"/>
  <c r="H777" i="2"/>
  <c r="E777" i="2"/>
  <c r="J776" i="2"/>
  <c r="I776" i="2"/>
  <c r="H776" i="2"/>
  <c r="E776" i="2"/>
  <c r="J775" i="2"/>
  <c r="I775" i="2"/>
  <c r="H775" i="2"/>
  <c r="E775" i="2"/>
  <c r="J774" i="2"/>
  <c r="I774" i="2"/>
  <c r="H774" i="2"/>
  <c r="E774" i="2"/>
  <c r="J773" i="2"/>
  <c r="I773" i="2"/>
  <c r="H773" i="2"/>
  <c r="E773" i="2"/>
  <c r="J772" i="2"/>
  <c r="I772" i="2"/>
  <c r="H772" i="2"/>
  <c r="E772" i="2"/>
  <c r="J771" i="2"/>
  <c r="I771" i="2"/>
  <c r="H771" i="2"/>
  <c r="E771" i="2"/>
  <c r="J770" i="2"/>
  <c r="I770" i="2"/>
  <c r="H770" i="2"/>
  <c r="E770" i="2"/>
  <c r="J769" i="2"/>
  <c r="I769" i="2"/>
  <c r="H769" i="2"/>
  <c r="E769" i="2"/>
  <c r="J768" i="2"/>
  <c r="I768" i="2"/>
  <c r="H768" i="2"/>
  <c r="E768" i="2"/>
  <c r="J767" i="2"/>
  <c r="I767" i="2"/>
  <c r="H767" i="2"/>
  <c r="E767" i="2"/>
  <c r="J766" i="2"/>
  <c r="I766" i="2"/>
  <c r="H766" i="2"/>
  <c r="E766" i="2"/>
  <c r="J765" i="2"/>
  <c r="I765" i="2"/>
  <c r="H765" i="2"/>
  <c r="E765" i="2"/>
  <c r="E764" i="2"/>
  <c r="E763" i="2"/>
  <c r="J762" i="2"/>
  <c r="I762" i="2"/>
  <c r="H762" i="2"/>
  <c r="E762" i="2"/>
  <c r="J761" i="2"/>
  <c r="I761" i="2"/>
  <c r="H761" i="2"/>
  <c r="E761" i="2"/>
  <c r="J760" i="2"/>
  <c r="I760" i="2"/>
  <c r="H760" i="2"/>
  <c r="E760" i="2"/>
  <c r="J759" i="2"/>
  <c r="I759" i="2"/>
  <c r="H759" i="2"/>
  <c r="E759" i="2"/>
  <c r="J758" i="2"/>
  <c r="I758" i="2"/>
  <c r="H758" i="2"/>
  <c r="E758" i="2"/>
  <c r="J757" i="2"/>
  <c r="I757" i="2"/>
  <c r="H757" i="2"/>
  <c r="E757" i="2"/>
  <c r="J756" i="2"/>
  <c r="I756" i="2"/>
  <c r="H756" i="2"/>
  <c r="E756" i="2"/>
  <c r="J755" i="2"/>
  <c r="I755" i="2"/>
  <c r="H755" i="2"/>
  <c r="E755" i="2"/>
  <c r="E754" i="2"/>
  <c r="E753" i="2"/>
  <c r="J752" i="2"/>
  <c r="I752" i="2"/>
  <c r="H752" i="2"/>
  <c r="E752" i="2"/>
  <c r="J751" i="2"/>
  <c r="I751" i="2"/>
  <c r="H751" i="2"/>
  <c r="E751" i="2"/>
  <c r="J750" i="2"/>
  <c r="I750" i="2"/>
  <c r="H750" i="2"/>
  <c r="E750" i="2"/>
  <c r="J749" i="2"/>
  <c r="I749" i="2"/>
  <c r="H749" i="2"/>
  <c r="E749" i="2"/>
  <c r="J748" i="2"/>
  <c r="I748" i="2"/>
  <c r="H748" i="2"/>
  <c r="E748" i="2"/>
  <c r="J747" i="2"/>
  <c r="I747" i="2"/>
  <c r="H747" i="2"/>
  <c r="E747" i="2"/>
  <c r="E746" i="2"/>
  <c r="E745" i="2"/>
  <c r="J744" i="2"/>
  <c r="I744" i="2"/>
  <c r="H744" i="2"/>
  <c r="E744" i="2"/>
  <c r="J743" i="2"/>
  <c r="I743" i="2"/>
  <c r="H743" i="2"/>
  <c r="E743" i="2"/>
  <c r="J742" i="2"/>
  <c r="I742" i="2"/>
  <c r="H742" i="2"/>
  <c r="E742" i="2"/>
  <c r="J741" i="2"/>
  <c r="I741" i="2"/>
  <c r="H741" i="2"/>
  <c r="E741" i="2"/>
  <c r="J740" i="2"/>
  <c r="I740" i="2"/>
  <c r="H740" i="2"/>
  <c r="E740" i="2"/>
  <c r="J739" i="2"/>
  <c r="I739" i="2"/>
  <c r="H739" i="2"/>
  <c r="E739" i="2"/>
  <c r="J738" i="2"/>
  <c r="I738" i="2"/>
  <c r="H738" i="2"/>
  <c r="E738" i="2"/>
  <c r="E737" i="2"/>
  <c r="E736" i="2"/>
  <c r="J735" i="2"/>
  <c r="I735" i="2"/>
  <c r="H735" i="2"/>
  <c r="E735" i="2"/>
  <c r="J734" i="2"/>
  <c r="I734" i="2"/>
  <c r="H734" i="2"/>
  <c r="E734" i="2"/>
  <c r="J733" i="2"/>
  <c r="I733" i="2"/>
  <c r="H733" i="2"/>
  <c r="E733" i="2"/>
  <c r="J732" i="2"/>
  <c r="I732" i="2"/>
  <c r="H732" i="2"/>
  <c r="E732" i="2"/>
  <c r="J731" i="2"/>
  <c r="I731" i="2"/>
  <c r="H731" i="2"/>
  <c r="E731" i="2"/>
  <c r="E730" i="2"/>
  <c r="E729" i="2"/>
  <c r="J728" i="2"/>
  <c r="I728" i="2"/>
  <c r="H728" i="2"/>
  <c r="E728" i="2"/>
  <c r="J727" i="2"/>
  <c r="I727" i="2"/>
  <c r="H727" i="2"/>
  <c r="E727" i="2"/>
  <c r="J726" i="2"/>
  <c r="I726" i="2"/>
  <c r="H726" i="2"/>
  <c r="E726" i="2"/>
  <c r="E725" i="2"/>
  <c r="E724" i="2"/>
  <c r="J723" i="2"/>
  <c r="I723" i="2"/>
  <c r="H723" i="2"/>
  <c r="E723" i="2"/>
  <c r="J722" i="2"/>
  <c r="I722" i="2"/>
  <c r="H722" i="2"/>
  <c r="E722" i="2"/>
  <c r="J721" i="2"/>
  <c r="I721" i="2"/>
  <c r="H721" i="2"/>
  <c r="E721" i="2"/>
  <c r="E720" i="2"/>
  <c r="E719" i="2"/>
  <c r="J718" i="2"/>
  <c r="I718" i="2"/>
  <c r="H718" i="2"/>
  <c r="E718" i="2"/>
  <c r="J717" i="2"/>
  <c r="I717" i="2"/>
  <c r="H717" i="2"/>
  <c r="E717" i="2"/>
  <c r="J716" i="2"/>
  <c r="I716" i="2"/>
  <c r="H716" i="2"/>
  <c r="E716" i="2"/>
  <c r="J715" i="2"/>
  <c r="I715" i="2"/>
  <c r="H715" i="2"/>
  <c r="E715" i="2"/>
  <c r="J714" i="2"/>
  <c r="I714" i="2"/>
  <c r="H714" i="2"/>
  <c r="E714" i="2"/>
  <c r="J713" i="2"/>
  <c r="I713" i="2"/>
  <c r="H713" i="2"/>
  <c r="E713" i="2"/>
  <c r="J712" i="2"/>
  <c r="I712" i="2"/>
  <c r="H712" i="2"/>
  <c r="E712" i="2"/>
  <c r="E711" i="2"/>
  <c r="E710" i="2"/>
  <c r="J709" i="2"/>
  <c r="I709" i="2"/>
  <c r="H709" i="2"/>
  <c r="E709" i="2"/>
  <c r="J708" i="2"/>
  <c r="I708" i="2"/>
  <c r="H708" i="2"/>
  <c r="E708" i="2"/>
  <c r="J707" i="2"/>
  <c r="I707" i="2"/>
  <c r="H707" i="2"/>
  <c r="E707" i="2"/>
  <c r="J706" i="2"/>
  <c r="I706" i="2"/>
  <c r="H706" i="2"/>
  <c r="E706" i="2"/>
  <c r="J705" i="2"/>
  <c r="I705" i="2"/>
  <c r="H705" i="2"/>
  <c r="E705" i="2"/>
  <c r="J704" i="2"/>
  <c r="I704" i="2"/>
  <c r="H704" i="2"/>
  <c r="E704" i="2"/>
  <c r="J703" i="2"/>
  <c r="I703" i="2"/>
  <c r="H703" i="2"/>
  <c r="E703" i="2"/>
  <c r="J702" i="2"/>
  <c r="I702" i="2"/>
  <c r="H702" i="2"/>
  <c r="E702" i="2"/>
  <c r="J701" i="2"/>
  <c r="I701" i="2"/>
  <c r="H701" i="2"/>
  <c r="E701" i="2"/>
  <c r="J700" i="2"/>
  <c r="I700" i="2"/>
  <c r="H700" i="2"/>
  <c r="E700" i="2"/>
  <c r="J699" i="2"/>
  <c r="I699" i="2"/>
  <c r="H699" i="2"/>
  <c r="E699" i="2"/>
  <c r="J698" i="2"/>
  <c r="I698" i="2"/>
  <c r="H698" i="2"/>
  <c r="E698" i="2"/>
  <c r="J697" i="2"/>
  <c r="I697" i="2"/>
  <c r="H697" i="2"/>
  <c r="E697" i="2"/>
  <c r="J696" i="2"/>
  <c r="I696" i="2"/>
  <c r="H696" i="2"/>
  <c r="E696" i="2"/>
  <c r="E694" i="2"/>
  <c r="E693" i="2"/>
  <c r="J692" i="2"/>
  <c r="I692" i="2"/>
  <c r="H692" i="2"/>
  <c r="E692" i="2"/>
  <c r="J691" i="2"/>
  <c r="I691" i="2"/>
  <c r="H691" i="2"/>
  <c r="E691" i="2"/>
  <c r="J690" i="2"/>
  <c r="I690" i="2"/>
  <c r="H690" i="2"/>
  <c r="E690" i="2"/>
  <c r="J689" i="2"/>
  <c r="I689" i="2"/>
  <c r="H689" i="2"/>
  <c r="E689" i="2"/>
  <c r="J688" i="2"/>
  <c r="I688" i="2"/>
  <c r="H688" i="2"/>
  <c r="E688" i="2"/>
  <c r="J687" i="2"/>
  <c r="I687" i="2"/>
  <c r="H687" i="2"/>
  <c r="E687" i="2"/>
  <c r="J686" i="2"/>
  <c r="I686" i="2"/>
  <c r="H686" i="2"/>
  <c r="E686" i="2"/>
  <c r="J685" i="2"/>
  <c r="I685" i="2"/>
  <c r="H685" i="2"/>
  <c r="E685" i="2"/>
  <c r="J684" i="2"/>
  <c r="I684" i="2"/>
  <c r="H684" i="2"/>
  <c r="E684" i="2"/>
  <c r="J683" i="2"/>
  <c r="I683" i="2"/>
  <c r="H683" i="2"/>
  <c r="E683" i="2"/>
  <c r="J682" i="2"/>
  <c r="I682" i="2"/>
  <c r="H682" i="2"/>
  <c r="E682" i="2"/>
  <c r="J681" i="2"/>
  <c r="I681" i="2"/>
  <c r="H681" i="2"/>
  <c r="E681" i="2"/>
  <c r="E680" i="2"/>
  <c r="E679" i="2"/>
  <c r="J678" i="2"/>
  <c r="I678" i="2"/>
  <c r="H678" i="2"/>
  <c r="E678" i="2"/>
  <c r="J677" i="2"/>
  <c r="I677" i="2"/>
  <c r="H677" i="2"/>
  <c r="E677" i="2"/>
  <c r="J676" i="2"/>
  <c r="I676" i="2"/>
  <c r="H676" i="2"/>
  <c r="E676" i="2"/>
  <c r="J675" i="2"/>
  <c r="I675" i="2"/>
  <c r="H675" i="2"/>
  <c r="E675" i="2"/>
  <c r="J674" i="2"/>
  <c r="I674" i="2"/>
  <c r="H674" i="2"/>
  <c r="E674" i="2"/>
  <c r="J673" i="2"/>
  <c r="I673" i="2"/>
  <c r="H673" i="2"/>
  <c r="E673" i="2"/>
  <c r="J671" i="2"/>
  <c r="I671" i="2"/>
  <c r="H671" i="2"/>
  <c r="E671" i="2"/>
  <c r="J670" i="2"/>
  <c r="I670" i="2"/>
  <c r="H670" i="2"/>
  <c r="E670" i="2"/>
  <c r="J669" i="2"/>
  <c r="I669" i="2"/>
  <c r="H669" i="2"/>
  <c r="E669" i="2"/>
  <c r="J668" i="2"/>
  <c r="I668" i="2"/>
  <c r="H668" i="2"/>
  <c r="E668" i="2"/>
  <c r="J667" i="2"/>
  <c r="I667" i="2"/>
  <c r="H667" i="2"/>
  <c r="E667" i="2"/>
  <c r="J666" i="2"/>
  <c r="I666" i="2"/>
  <c r="H666" i="2"/>
  <c r="E666" i="2"/>
  <c r="J665" i="2"/>
  <c r="I665" i="2"/>
  <c r="H665" i="2"/>
  <c r="E665" i="2"/>
  <c r="J664" i="2"/>
  <c r="I664" i="2"/>
  <c r="H664" i="2"/>
  <c r="E664" i="2"/>
  <c r="J663" i="2"/>
  <c r="I663" i="2"/>
  <c r="H663" i="2"/>
  <c r="E663" i="2"/>
  <c r="E662" i="2"/>
  <c r="E661" i="2"/>
  <c r="J660" i="2"/>
  <c r="I660" i="2"/>
  <c r="H660" i="2"/>
  <c r="E660" i="2"/>
  <c r="J659" i="2"/>
  <c r="I659" i="2"/>
  <c r="H659" i="2"/>
  <c r="E659" i="2"/>
  <c r="J658" i="2"/>
  <c r="I658" i="2"/>
  <c r="H658" i="2"/>
  <c r="E658" i="2"/>
  <c r="J657" i="2"/>
  <c r="I657" i="2"/>
  <c r="H657" i="2"/>
  <c r="E657" i="2"/>
  <c r="J656" i="2"/>
  <c r="I656" i="2"/>
  <c r="H656" i="2"/>
  <c r="E656" i="2"/>
  <c r="E655" i="2"/>
  <c r="E654" i="2"/>
  <c r="J653" i="2"/>
  <c r="I653" i="2"/>
  <c r="H653" i="2"/>
  <c r="E653" i="2"/>
  <c r="J652" i="2"/>
  <c r="I652" i="2"/>
  <c r="H652" i="2"/>
  <c r="E652" i="2"/>
  <c r="J651" i="2"/>
  <c r="I651" i="2"/>
  <c r="H651" i="2"/>
  <c r="E651" i="2"/>
  <c r="J650" i="2"/>
  <c r="I650" i="2"/>
  <c r="H650" i="2"/>
  <c r="E650" i="2"/>
  <c r="J649" i="2"/>
  <c r="I649" i="2"/>
  <c r="H649" i="2"/>
  <c r="E649" i="2"/>
  <c r="J648" i="2"/>
  <c r="I648" i="2"/>
  <c r="H648" i="2"/>
  <c r="E648" i="2"/>
  <c r="E647" i="2"/>
  <c r="E646" i="2"/>
  <c r="J645" i="2"/>
  <c r="I645" i="2"/>
  <c r="H645" i="2"/>
  <c r="E645" i="2"/>
  <c r="J644" i="2"/>
  <c r="I644" i="2"/>
  <c r="H644" i="2"/>
  <c r="E644" i="2"/>
  <c r="J643" i="2"/>
  <c r="I643" i="2"/>
  <c r="H643" i="2"/>
  <c r="E643" i="2"/>
  <c r="J642" i="2"/>
  <c r="I642" i="2"/>
  <c r="H642" i="2"/>
  <c r="E642" i="2"/>
  <c r="J641" i="2"/>
  <c r="I641" i="2"/>
  <c r="H641" i="2"/>
  <c r="E641" i="2"/>
  <c r="E640" i="2"/>
  <c r="E639" i="2"/>
  <c r="J638" i="2"/>
  <c r="I638" i="2"/>
  <c r="H638" i="2"/>
  <c r="E638" i="2"/>
  <c r="J637" i="2"/>
  <c r="I637" i="2"/>
  <c r="H637" i="2"/>
  <c r="E637" i="2"/>
  <c r="J635" i="2"/>
  <c r="I635" i="2"/>
  <c r="H635" i="2"/>
  <c r="E635" i="2"/>
  <c r="J634" i="2"/>
  <c r="I634" i="2"/>
  <c r="H634" i="2"/>
  <c r="E634" i="2"/>
  <c r="J633" i="2"/>
  <c r="I633" i="2"/>
  <c r="H633" i="2"/>
  <c r="E633" i="2"/>
  <c r="J632" i="2"/>
  <c r="I632" i="2"/>
  <c r="H632" i="2"/>
  <c r="E632" i="2"/>
  <c r="E631" i="2"/>
  <c r="E630" i="2"/>
  <c r="J629" i="2"/>
  <c r="I629" i="2"/>
  <c r="H629" i="2"/>
  <c r="E629" i="2"/>
  <c r="J628" i="2"/>
  <c r="I628" i="2"/>
  <c r="H628" i="2"/>
  <c r="E628" i="2"/>
  <c r="J627" i="2"/>
  <c r="I627" i="2"/>
  <c r="H627" i="2"/>
  <c r="E627" i="2"/>
  <c r="J626" i="2"/>
  <c r="I626" i="2"/>
  <c r="H626" i="2"/>
  <c r="E626" i="2"/>
  <c r="J625" i="2"/>
  <c r="I625" i="2"/>
  <c r="H625" i="2"/>
  <c r="E625" i="2"/>
  <c r="J624" i="2"/>
  <c r="I624" i="2"/>
  <c r="H624" i="2"/>
  <c r="E624" i="2"/>
  <c r="I623" i="2"/>
  <c r="H623" i="2"/>
  <c r="E623" i="2"/>
  <c r="E622" i="2"/>
  <c r="E621" i="2"/>
  <c r="J620" i="2"/>
  <c r="I620" i="2"/>
  <c r="H620" i="2"/>
  <c r="E620" i="2"/>
  <c r="J619" i="2"/>
  <c r="I619" i="2"/>
  <c r="H619" i="2"/>
  <c r="E619" i="2"/>
  <c r="J618" i="2"/>
  <c r="I618" i="2"/>
  <c r="H618" i="2"/>
  <c r="E618" i="2"/>
  <c r="J617" i="2"/>
  <c r="I617" i="2"/>
  <c r="H617" i="2"/>
  <c r="E617" i="2"/>
  <c r="E616" i="2"/>
  <c r="E615" i="2"/>
  <c r="J614" i="2"/>
  <c r="I614" i="2"/>
  <c r="H614" i="2"/>
  <c r="E614" i="2"/>
  <c r="J613" i="2"/>
  <c r="I613" i="2"/>
  <c r="H613" i="2"/>
  <c r="E613" i="2"/>
  <c r="J612" i="2"/>
  <c r="I612" i="2"/>
  <c r="H612" i="2"/>
  <c r="E612" i="2"/>
  <c r="E611" i="2"/>
  <c r="E610" i="2"/>
  <c r="J608" i="2"/>
  <c r="I608" i="2"/>
  <c r="H608" i="2"/>
  <c r="E608" i="2"/>
  <c r="J607" i="2"/>
  <c r="I607" i="2"/>
  <c r="H607" i="2"/>
  <c r="E607" i="2"/>
  <c r="I606" i="2"/>
  <c r="H606" i="2"/>
  <c r="E606" i="2"/>
  <c r="J605" i="2"/>
  <c r="I605" i="2"/>
  <c r="H605" i="2"/>
  <c r="E605" i="2"/>
  <c r="E604" i="2"/>
  <c r="E603" i="2"/>
  <c r="J602" i="2"/>
  <c r="I602" i="2"/>
  <c r="H602" i="2"/>
  <c r="E602" i="2"/>
  <c r="J601" i="2"/>
  <c r="I601" i="2"/>
  <c r="H601" i="2"/>
  <c r="E601" i="2"/>
  <c r="J600" i="2"/>
  <c r="I600" i="2"/>
  <c r="H600" i="2"/>
  <c r="E600" i="2"/>
  <c r="I599" i="2"/>
  <c r="H599" i="2"/>
  <c r="E599" i="2"/>
  <c r="J598" i="2"/>
  <c r="I598" i="2"/>
  <c r="H598" i="2"/>
  <c r="E598" i="2"/>
  <c r="E597" i="2"/>
  <c r="E596" i="2"/>
  <c r="J595" i="2"/>
  <c r="I595" i="2"/>
  <c r="H595" i="2"/>
  <c r="E595" i="2"/>
  <c r="J594" i="2"/>
  <c r="I594" i="2"/>
  <c r="H594" i="2"/>
  <c r="E594" i="2"/>
  <c r="J593" i="2"/>
  <c r="I593" i="2"/>
  <c r="H593" i="2"/>
  <c r="E593" i="2"/>
  <c r="J592" i="2"/>
  <c r="I592" i="2"/>
  <c r="H592" i="2"/>
  <c r="E592" i="2"/>
  <c r="E591" i="2"/>
  <c r="E590" i="2"/>
  <c r="J589" i="2"/>
  <c r="I589" i="2"/>
  <c r="H589" i="2"/>
  <c r="E589" i="2"/>
  <c r="J588" i="2"/>
  <c r="I588" i="2"/>
  <c r="H588" i="2"/>
  <c r="E588" i="2"/>
  <c r="J587" i="2"/>
  <c r="I587" i="2"/>
  <c r="H587" i="2"/>
  <c r="E587" i="2"/>
  <c r="J586" i="2"/>
  <c r="I586" i="2"/>
  <c r="H586" i="2"/>
  <c r="E586" i="2"/>
  <c r="J585" i="2"/>
  <c r="I585" i="2"/>
  <c r="H585" i="2"/>
  <c r="E585" i="2"/>
  <c r="J584" i="2"/>
  <c r="I584" i="2"/>
  <c r="H584" i="2"/>
  <c r="E584" i="2"/>
  <c r="J583" i="2"/>
  <c r="I583" i="2"/>
  <c r="H583" i="2"/>
  <c r="E583" i="2"/>
  <c r="J582" i="2"/>
  <c r="I582" i="2"/>
  <c r="H582" i="2"/>
  <c r="E582" i="2"/>
  <c r="E581" i="2"/>
  <c r="E580" i="2"/>
  <c r="J579" i="2"/>
  <c r="I579" i="2"/>
  <c r="H579" i="2"/>
  <c r="E579" i="2"/>
  <c r="J578" i="2"/>
  <c r="I578" i="2"/>
  <c r="H578" i="2"/>
  <c r="E578" i="2"/>
  <c r="J577" i="2"/>
  <c r="I577" i="2"/>
  <c r="H577" i="2"/>
  <c r="E577" i="2"/>
  <c r="E576" i="2"/>
  <c r="E575" i="2"/>
  <c r="J574" i="2"/>
  <c r="I574" i="2"/>
  <c r="H574" i="2"/>
  <c r="E574" i="2"/>
  <c r="J573" i="2"/>
  <c r="I573" i="2"/>
  <c r="H573" i="2"/>
  <c r="E573" i="2"/>
  <c r="J572" i="2"/>
  <c r="I572" i="2"/>
  <c r="H572" i="2"/>
  <c r="E572" i="2"/>
  <c r="E571" i="2"/>
  <c r="E570" i="2"/>
  <c r="J569" i="2"/>
  <c r="I569" i="2"/>
  <c r="H569" i="2"/>
  <c r="E569" i="2"/>
  <c r="J568" i="2"/>
  <c r="I568" i="2"/>
  <c r="H568" i="2"/>
  <c r="E568" i="2"/>
  <c r="J567" i="2"/>
  <c r="I567" i="2"/>
  <c r="H567" i="2"/>
  <c r="E567" i="2"/>
  <c r="J566" i="2"/>
  <c r="I566" i="2"/>
  <c r="H566" i="2"/>
  <c r="E566" i="2"/>
  <c r="J565" i="2"/>
  <c r="I565" i="2"/>
  <c r="E565" i="2"/>
  <c r="E564" i="2"/>
  <c r="E563" i="2"/>
  <c r="J562" i="2"/>
  <c r="I562" i="2"/>
  <c r="H562" i="2"/>
  <c r="E562" i="2"/>
  <c r="J561" i="2"/>
  <c r="I561" i="2"/>
  <c r="H561" i="2"/>
  <c r="E561" i="2"/>
  <c r="J560" i="2"/>
  <c r="I560" i="2"/>
  <c r="H560" i="2"/>
  <c r="E560" i="2"/>
  <c r="I559" i="2"/>
  <c r="H559" i="2"/>
  <c r="E559" i="2"/>
  <c r="J558" i="2"/>
  <c r="I558" i="2"/>
  <c r="H558" i="2"/>
  <c r="E558" i="2"/>
  <c r="J557" i="2"/>
  <c r="I557" i="2"/>
  <c r="H557" i="2"/>
  <c r="E557" i="2"/>
  <c r="E556" i="2"/>
  <c r="E555" i="2"/>
  <c r="J554" i="2"/>
  <c r="I554" i="2"/>
  <c r="H554" i="2"/>
  <c r="E554" i="2"/>
  <c r="J553" i="2"/>
  <c r="I553" i="2"/>
  <c r="H553" i="2"/>
  <c r="E553" i="2"/>
  <c r="J552" i="2"/>
  <c r="I552" i="2"/>
  <c r="H552" i="2"/>
  <c r="E552" i="2"/>
  <c r="J551" i="2"/>
  <c r="I551" i="2"/>
  <c r="H551" i="2"/>
  <c r="E551" i="2"/>
  <c r="I550" i="2"/>
  <c r="H550" i="2"/>
  <c r="E550" i="2"/>
  <c r="J549" i="2"/>
  <c r="I549" i="2"/>
  <c r="H549" i="2"/>
  <c r="E549" i="2"/>
  <c r="J548" i="2"/>
  <c r="I548" i="2"/>
  <c r="H548" i="2"/>
  <c r="E548" i="2"/>
  <c r="E547" i="2"/>
  <c r="E546" i="2"/>
  <c r="J545" i="2"/>
  <c r="I545" i="2"/>
  <c r="H545" i="2"/>
  <c r="E545" i="2"/>
  <c r="J544" i="2"/>
  <c r="I544" i="2"/>
  <c r="H544" i="2"/>
  <c r="E544" i="2"/>
  <c r="J543" i="2"/>
  <c r="I543" i="2"/>
  <c r="H543" i="2"/>
  <c r="E543" i="2"/>
  <c r="I542" i="2"/>
  <c r="H542" i="2"/>
  <c r="E542" i="2"/>
  <c r="J541" i="2"/>
  <c r="I541" i="2"/>
  <c r="H541" i="2"/>
  <c r="E541" i="2"/>
  <c r="J540" i="2"/>
  <c r="I540" i="2"/>
  <c r="H540" i="2"/>
  <c r="E540" i="2"/>
  <c r="J539" i="2"/>
  <c r="I539" i="2"/>
  <c r="H539" i="2"/>
  <c r="E539" i="2"/>
  <c r="I538" i="2"/>
  <c r="H538" i="2"/>
  <c r="E538" i="2"/>
  <c r="J537" i="2"/>
  <c r="I537" i="2"/>
  <c r="H537" i="2"/>
  <c r="E537" i="2"/>
  <c r="J536" i="2"/>
  <c r="I536" i="2"/>
  <c r="H536" i="2"/>
  <c r="E536" i="2"/>
  <c r="J535" i="2"/>
  <c r="I535" i="2"/>
  <c r="H535" i="2"/>
  <c r="E535" i="2"/>
  <c r="J534" i="2"/>
  <c r="I534" i="2"/>
  <c r="H534" i="2"/>
  <c r="E534" i="2"/>
  <c r="E533" i="2"/>
  <c r="E532" i="2"/>
  <c r="E531" i="2"/>
  <c r="E530" i="2"/>
  <c r="E529" i="2"/>
  <c r="E528" i="2"/>
  <c r="E527" i="2"/>
  <c r="E526" i="2"/>
  <c r="J525" i="2"/>
  <c r="I525" i="2"/>
  <c r="H525" i="2"/>
  <c r="E525" i="2"/>
  <c r="I524" i="2"/>
  <c r="H524" i="2"/>
  <c r="E524" i="2"/>
  <c r="I523" i="2"/>
  <c r="H523" i="2"/>
  <c r="E523" i="2"/>
  <c r="J522" i="2"/>
  <c r="I522" i="2"/>
  <c r="H522" i="2"/>
  <c r="E522" i="2"/>
  <c r="J521" i="2"/>
  <c r="I521" i="2"/>
  <c r="H521" i="2"/>
  <c r="E521" i="2"/>
  <c r="J520" i="2"/>
  <c r="I520" i="2"/>
  <c r="H520" i="2"/>
  <c r="E520" i="2"/>
  <c r="I519" i="2"/>
  <c r="H519" i="2"/>
  <c r="E519" i="2"/>
  <c r="I518" i="2"/>
  <c r="H518" i="2"/>
  <c r="E518" i="2"/>
  <c r="J517" i="2"/>
  <c r="I517" i="2"/>
  <c r="H517" i="2"/>
  <c r="E517" i="2"/>
  <c r="J516" i="2"/>
  <c r="I516" i="2"/>
  <c r="H516" i="2"/>
  <c r="E516" i="2"/>
  <c r="I515" i="2"/>
  <c r="H515" i="2"/>
  <c r="E515" i="2"/>
  <c r="E514" i="2"/>
  <c r="E513" i="2"/>
  <c r="J512" i="2"/>
  <c r="I512" i="2"/>
  <c r="H512" i="2"/>
  <c r="E512" i="2"/>
  <c r="J511" i="2"/>
  <c r="I511" i="2"/>
  <c r="H511" i="2"/>
  <c r="E511" i="2"/>
  <c r="J510" i="2"/>
  <c r="I510" i="2"/>
  <c r="H510" i="2"/>
  <c r="E510" i="2"/>
  <c r="J509" i="2"/>
  <c r="I509" i="2"/>
  <c r="H509" i="2"/>
  <c r="E509" i="2"/>
  <c r="J508" i="2"/>
  <c r="I508" i="2"/>
  <c r="H508" i="2"/>
  <c r="E508" i="2"/>
  <c r="J507" i="2"/>
  <c r="I507" i="2"/>
  <c r="H507" i="2"/>
  <c r="E507" i="2"/>
  <c r="J506" i="2"/>
  <c r="I506" i="2"/>
  <c r="H506" i="2"/>
  <c r="E506" i="2"/>
  <c r="J505" i="2"/>
  <c r="I505" i="2"/>
  <c r="H505" i="2"/>
  <c r="E505" i="2"/>
  <c r="J504" i="2"/>
  <c r="I504" i="2"/>
  <c r="H504" i="2"/>
  <c r="E504" i="2"/>
  <c r="E503" i="2"/>
  <c r="E502" i="2"/>
  <c r="J501" i="2"/>
  <c r="I501" i="2"/>
  <c r="H501" i="2"/>
  <c r="E501" i="2"/>
  <c r="J500" i="2"/>
  <c r="I500" i="2"/>
  <c r="H500" i="2"/>
  <c r="E500" i="2"/>
  <c r="I499" i="2"/>
  <c r="H499" i="2"/>
  <c r="E499" i="2"/>
  <c r="J498" i="2"/>
  <c r="I498" i="2"/>
  <c r="H498" i="2"/>
  <c r="E498" i="2"/>
  <c r="J497" i="2"/>
  <c r="I497" i="2"/>
  <c r="H497" i="2"/>
  <c r="E497" i="2"/>
  <c r="J496" i="2"/>
  <c r="I496" i="2"/>
  <c r="H496" i="2"/>
  <c r="E496" i="2"/>
  <c r="J495" i="2"/>
  <c r="I495" i="2"/>
  <c r="H495" i="2"/>
  <c r="E495" i="2"/>
  <c r="J494" i="2"/>
  <c r="I494" i="2"/>
  <c r="H494" i="2"/>
  <c r="E494" i="2"/>
  <c r="J493" i="2"/>
  <c r="I493" i="2"/>
  <c r="H493" i="2"/>
  <c r="E493" i="2"/>
  <c r="J492" i="2"/>
  <c r="I492" i="2"/>
  <c r="H492" i="2"/>
  <c r="E492" i="2"/>
  <c r="E491" i="2"/>
  <c r="E490" i="2"/>
  <c r="J489" i="2"/>
  <c r="I489" i="2"/>
  <c r="H489" i="2"/>
  <c r="E489" i="2"/>
  <c r="I488" i="2"/>
  <c r="H488" i="2"/>
  <c r="E488" i="2"/>
  <c r="J487" i="2"/>
  <c r="I487" i="2"/>
  <c r="H487" i="2"/>
  <c r="E487" i="2"/>
  <c r="J486" i="2"/>
  <c r="I486" i="2"/>
  <c r="H486" i="2"/>
  <c r="E486" i="2"/>
  <c r="J485" i="2"/>
  <c r="I485" i="2"/>
  <c r="H485" i="2"/>
  <c r="E485" i="2"/>
  <c r="J484" i="2"/>
  <c r="I484" i="2"/>
  <c r="H484" i="2"/>
  <c r="E484" i="2"/>
  <c r="J483" i="2"/>
  <c r="I483" i="2"/>
  <c r="H483" i="2"/>
  <c r="E483" i="2"/>
  <c r="J482" i="2"/>
  <c r="I482" i="2"/>
  <c r="H482" i="2"/>
  <c r="E482" i="2"/>
  <c r="J481" i="2"/>
  <c r="I481" i="2"/>
  <c r="H481" i="2"/>
  <c r="E481" i="2"/>
  <c r="J480" i="2"/>
  <c r="I480" i="2"/>
  <c r="H480" i="2"/>
  <c r="E480" i="2"/>
  <c r="J479" i="2"/>
  <c r="I479" i="2"/>
  <c r="H479" i="2"/>
  <c r="E479" i="2"/>
  <c r="J478" i="2"/>
  <c r="I478" i="2"/>
  <c r="H478" i="2"/>
  <c r="E478" i="2"/>
  <c r="J477" i="2"/>
  <c r="I477" i="2"/>
  <c r="H477" i="2"/>
  <c r="E477" i="2"/>
  <c r="E476" i="2"/>
  <c r="E475" i="2"/>
  <c r="I474" i="2"/>
  <c r="H474" i="2"/>
  <c r="E474" i="2"/>
  <c r="J473" i="2"/>
  <c r="I473" i="2"/>
  <c r="H473" i="2"/>
  <c r="E473" i="2"/>
  <c r="J472" i="2"/>
  <c r="I472" i="2"/>
  <c r="H472" i="2"/>
  <c r="E472" i="2"/>
  <c r="J471" i="2"/>
  <c r="I471" i="2"/>
  <c r="H471" i="2"/>
  <c r="E471" i="2"/>
  <c r="J470" i="2"/>
  <c r="I470" i="2"/>
  <c r="H470" i="2"/>
  <c r="E470" i="2"/>
  <c r="J469" i="2"/>
  <c r="I469" i="2"/>
  <c r="H469" i="2"/>
  <c r="E469" i="2"/>
  <c r="E468" i="2"/>
  <c r="E467" i="2"/>
  <c r="J466" i="2"/>
  <c r="I466" i="2"/>
  <c r="H466" i="2"/>
  <c r="E466" i="2"/>
  <c r="J465" i="2"/>
  <c r="I465" i="2"/>
  <c r="H465" i="2"/>
  <c r="E465" i="2"/>
  <c r="J464" i="2"/>
  <c r="I464" i="2"/>
  <c r="H464" i="2"/>
  <c r="E464" i="2"/>
  <c r="J463" i="2"/>
  <c r="I463" i="2"/>
  <c r="H463" i="2"/>
  <c r="E463" i="2"/>
  <c r="J462" i="2"/>
  <c r="I462" i="2"/>
  <c r="H462" i="2"/>
  <c r="E462" i="2"/>
  <c r="I461" i="2"/>
  <c r="H461" i="2"/>
  <c r="E461" i="2"/>
  <c r="J460" i="2"/>
  <c r="I460" i="2"/>
  <c r="H460" i="2"/>
  <c r="E460" i="2"/>
  <c r="J459" i="2"/>
  <c r="I459" i="2"/>
  <c r="H459" i="2"/>
  <c r="E459" i="2"/>
  <c r="J458" i="2"/>
  <c r="I458" i="2"/>
  <c r="H458" i="2"/>
  <c r="E458" i="2"/>
  <c r="J457" i="2"/>
  <c r="I457" i="2"/>
  <c r="H457" i="2"/>
  <c r="E457" i="2"/>
  <c r="J456" i="2"/>
  <c r="I456" i="2"/>
  <c r="H456" i="2"/>
  <c r="E456" i="2"/>
  <c r="J455" i="2"/>
  <c r="I455" i="2"/>
  <c r="H455" i="2"/>
  <c r="E455" i="2"/>
  <c r="J454" i="2"/>
  <c r="I454" i="2"/>
  <c r="H454" i="2"/>
  <c r="E454" i="2"/>
  <c r="J453" i="2"/>
  <c r="I453" i="2"/>
  <c r="H453" i="2"/>
  <c r="E453" i="2"/>
  <c r="I452" i="2"/>
  <c r="H452" i="2"/>
  <c r="E452" i="2"/>
  <c r="J451" i="2"/>
  <c r="I451" i="2"/>
  <c r="H451" i="2"/>
  <c r="E451" i="2"/>
  <c r="J442" i="2"/>
  <c r="I442" i="2"/>
  <c r="H442" i="2"/>
  <c r="E442" i="2"/>
  <c r="J441" i="2"/>
  <c r="I441" i="2"/>
  <c r="H441" i="2"/>
  <c r="E441" i="2"/>
  <c r="J440" i="2"/>
  <c r="I440" i="2"/>
  <c r="H440" i="2"/>
  <c r="E440" i="2"/>
  <c r="J439" i="2"/>
  <c r="I439" i="2"/>
  <c r="H439" i="2"/>
  <c r="E439" i="2"/>
  <c r="J438" i="2"/>
  <c r="I438" i="2"/>
  <c r="H438" i="2"/>
  <c r="E438" i="2"/>
  <c r="E437" i="2"/>
  <c r="E436" i="2"/>
  <c r="J435" i="2"/>
  <c r="I435" i="2"/>
  <c r="H435" i="2"/>
  <c r="E435" i="2"/>
  <c r="J434" i="2"/>
  <c r="I434" i="2"/>
  <c r="H434" i="2"/>
  <c r="E434" i="2"/>
  <c r="J433" i="2"/>
  <c r="I433" i="2"/>
  <c r="H433" i="2"/>
  <c r="E433" i="2"/>
  <c r="J432" i="2"/>
  <c r="I432" i="2"/>
  <c r="H432" i="2"/>
  <c r="E432" i="2"/>
  <c r="J431" i="2"/>
  <c r="I431" i="2"/>
  <c r="H431" i="2"/>
  <c r="E431" i="2"/>
  <c r="J430" i="2"/>
  <c r="I430" i="2"/>
  <c r="H430" i="2"/>
  <c r="E430" i="2"/>
  <c r="J429" i="2"/>
  <c r="I429" i="2"/>
  <c r="H429" i="2"/>
  <c r="E429" i="2"/>
  <c r="E428" i="2"/>
  <c r="E427" i="2"/>
  <c r="J426" i="2"/>
  <c r="I426" i="2"/>
  <c r="H426" i="2"/>
  <c r="E426" i="2"/>
  <c r="J425" i="2"/>
  <c r="I425" i="2"/>
  <c r="H425" i="2"/>
  <c r="E425" i="2"/>
  <c r="J424" i="2"/>
  <c r="I424" i="2"/>
  <c r="H424" i="2"/>
  <c r="E424" i="2"/>
  <c r="J423" i="2"/>
  <c r="I423" i="2"/>
  <c r="H423" i="2"/>
  <c r="E423" i="2"/>
  <c r="J422" i="2"/>
  <c r="I422" i="2"/>
  <c r="H422" i="2"/>
  <c r="E422" i="2"/>
  <c r="I420" i="2"/>
  <c r="H420" i="2"/>
  <c r="E420" i="2"/>
  <c r="I419" i="2"/>
  <c r="H419" i="2"/>
  <c r="E419" i="2"/>
  <c r="J418" i="2"/>
  <c r="I418" i="2"/>
  <c r="H418" i="2"/>
  <c r="E418" i="2"/>
  <c r="J417" i="2"/>
  <c r="I417" i="2"/>
  <c r="H417" i="2"/>
  <c r="E417" i="2"/>
  <c r="J416" i="2"/>
  <c r="I416" i="2"/>
  <c r="H416" i="2"/>
  <c r="E416" i="2"/>
  <c r="J415" i="2"/>
  <c r="I415" i="2"/>
  <c r="H415" i="2"/>
  <c r="E415" i="2"/>
  <c r="E414" i="2"/>
  <c r="E413" i="2"/>
  <c r="J412" i="2"/>
  <c r="I412" i="2"/>
  <c r="H412" i="2"/>
  <c r="E412" i="2"/>
  <c r="J411" i="2"/>
  <c r="I411" i="2"/>
  <c r="H411" i="2"/>
  <c r="E411" i="2"/>
  <c r="I410" i="2"/>
  <c r="H410" i="2"/>
  <c r="E410" i="2"/>
  <c r="I409" i="2"/>
  <c r="H409" i="2"/>
  <c r="E409" i="2"/>
  <c r="I408" i="2"/>
  <c r="H408" i="2"/>
  <c r="E408" i="2"/>
  <c r="J407" i="2"/>
  <c r="I407" i="2"/>
  <c r="H407" i="2"/>
  <c r="E407" i="2"/>
  <c r="J406" i="2"/>
  <c r="I406" i="2"/>
  <c r="H406" i="2"/>
  <c r="E406" i="2"/>
  <c r="J405" i="2"/>
  <c r="I405" i="2"/>
  <c r="H405" i="2"/>
  <c r="E405" i="2"/>
  <c r="J404" i="2"/>
  <c r="I404" i="2"/>
  <c r="H404" i="2"/>
  <c r="E404" i="2"/>
  <c r="J403" i="2"/>
  <c r="I403" i="2"/>
  <c r="H403" i="2"/>
  <c r="E403" i="2"/>
  <c r="J402" i="2"/>
  <c r="I402" i="2"/>
  <c r="H402" i="2"/>
  <c r="E402" i="2"/>
  <c r="J401" i="2"/>
  <c r="I401" i="2"/>
  <c r="H401" i="2"/>
  <c r="E401" i="2"/>
  <c r="I400" i="2"/>
  <c r="H400" i="2"/>
  <c r="E400" i="2"/>
  <c r="I399" i="2"/>
  <c r="H399" i="2"/>
  <c r="E399" i="2"/>
  <c r="J398" i="2"/>
  <c r="I398" i="2"/>
  <c r="H398" i="2"/>
  <c r="E398" i="2"/>
  <c r="J397" i="2"/>
  <c r="I397" i="2"/>
  <c r="H397" i="2"/>
  <c r="E397" i="2"/>
  <c r="J396" i="2"/>
  <c r="I396" i="2"/>
  <c r="H396" i="2"/>
  <c r="E396" i="2"/>
  <c r="J395" i="2"/>
  <c r="I395" i="2"/>
  <c r="H395" i="2"/>
  <c r="E395" i="2"/>
  <c r="J394" i="2"/>
  <c r="I394" i="2"/>
  <c r="H394" i="2"/>
  <c r="E394" i="2"/>
  <c r="J393" i="2"/>
  <c r="I393" i="2"/>
  <c r="H393" i="2"/>
  <c r="E393" i="2"/>
  <c r="J392" i="2"/>
  <c r="I392" i="2"/>
  <c r="H392" i="2"/>
  <c r="E392" i="2"/>
  <c r="I391" i="2"/>
  <c r="H391" i="2"/>
  <c r="E391" i="2"/>
  <c r="J390" i="2"/>
  <c r="I390" i="2"/>
  <c r="H390" i="2"/>
  <c r="E390" i="2"/>
  <c r="J389" i="2"/>
  <c r="I389" i="2"/>
  <c r="H389" i="2"/>
  <c r="E389" i="2"/>
  <c r="J388" i="2"/>
  <c r="I388" i="2"/>
  <c r="H388" i="2"/>
  <c r="E388" i="2"/>
  <c r="J387" i="2"/>
  <c r="I387" i="2"/>
  <c r="H387" i="2"/>
  <c r="E387" i="2"/>
  <c r="J386" i="2"/>
  <c r="I386" i="2"/>
  <c r="H386" i="2"/>
  <c r="E386" i="2"/>
  <c r="I385" i="2"/>
  <c r="H385" i="2"/>
  <c r="E385" i="2"/>
  <c r="J384" i="2"/>
  <c r="I384" i="2"/>
  <c r="H384" i="2"/>
  <c r="E384" i="2"/>
  <c r="J383" i="2"/>
  <c r="I383" i="2"/>
  <c r="H383" i="2"/>
  <c r="E383" i="2"/>
  <c r="I382" i="2"/>
  <c r="H382" i="2"/>
  <c r="E382" i="2"/>
  <c r="E381" i="2"/>
  <c r="E380" i="2"/>
  <c r="J379" i="2"/>
  <c r="I379" i="2"/>
  <c r="H379" i="2"/>
  <c r="E379" i="2"/>
  <c r="J378" i="2"/>
  <c r="I378" i="2"/>
  <c r="H378" i="2"/>
  <c r="E378" i="2"/>
  <c r="J377" i="2"/>
  <c r="I377" i="2"/>
  <c r="H377" i="2"/>
  <c r="E377" i="2"/>
  <c r="J376" i="2"/>
  <c r="I376" i="2"/>
  <c r="H376" i="2"/>
  <c r="E376" i="2"/>
  <c r="J375" i="2"/>
  <c r="I375" i="2"/>
  <c r="H375" i="2"/>
  <c r="E375" i="2"/>
  <c r="E374" i="2"/>
  <c r="E373" i="2"/>
  <c r="J372" i="2"/>
  <c r="I372" i="2"/>
  <c r="H372" i="2"/>
  <c r="E372" i="2"/>
  <c r="J371" i="2"/>
  <c r="I371" i="2"/>
  <c r="H371" i="2"/>
  <c r="E371" i="2"/>
  <c r="J370" i="2"/>
  <c r="I370" i="2"/>
  <c r="H370" i="2"/>
  <c r="E370" i="2"/>
  <c r="J369" i="2"/>
  <c r="I369" i="2"/>
  <c r="H369" i="2"/>
  <c r="E369" i="2"/>
  <c r="E368" i="2"/>
  <c r="E367" i="2"/>
  <c r="J366" i="2"/>
  <c r="I366" i="2"/>
  <c r="H366" i="2"/>
  <c r="E366" i="2"/>
  <c r="J365" i="2"/>
  <c r="I365" i="2"/>
  <c r="H365" i="2"/>
  <c r="E365" i="2"/>
  <c r="J364" i="2"/>
  <c r="I364" i="2"/>
  <c r="H364" i="2"/>
  <c r="E364" i="2"/>
  <c r="J363" i="2"/>
  <c r="I363" i="2"/>
  <c r="H363" i="2"/>
  <c r="E363" i="2"/>
  <c r="J362" i="2"/>
  <c r="I362" i="2"/>
  <c r="H362" i="2"/>
  <c r="E362" i="2"/>
  <c r="E361" i="2"/>
  <c r="E360" i="2"/>
  <c r="J359" i="2"/>
  <c r="I359" i="2"/>
  <c r="H359" i="2"/>
  <c r="E359" i="2"/>
  <c r="J358" i="2"/>
  <c r="I358" i="2"/>
  <c r="H358" i="2"/>
  <c r="E358" i="2"/>
  <c r="J357" i="2"/>
  <c r="I357" i="2"/>
  <c r="H357" i="2"/>
  <c r="E357" i="2"/>
  <c r="J356" i="2"/>
  <c r="I356" i="2"/>
  <c r="H356" i="2"/>
  <c r="E356" i="2"/>
  <c r="I355" i="2"/>
  <c r="H355" i="2"/>
  <c r="E355" i="2"/>
  <c r="J354" i="2"/>
  <c r="I354" i="2"/>
  <c r="H354" i="2"/>
  <c r="E354" i="2"/>
  <c r="J353" i="2"/>
  <c r="I353" i="2"/>
  <c r="H353" i="2"/>
  <c r="E353" i="2"/>
  <c r="J352" i="2"/>
  <c r="I352" i="2"/>
  <c r="H352" i="2"/>
  <c r="E352" i="2"/>
  <c r="I348" i="2"/>
  <c r="H348" i="2"/>
  <c r="E348" i="2"/>
  <c r="E347" i="2"/>
  <c r="E346" i="2"/>
  <c r="J345" i="2"/>
  <c r="I345" i="2"/>
  <c r="H345" i="2"/>
  <c r="E345" i="2"/>
  <c r="J344" i="2"/>
  <c r="I344" i="2"/>
  <c r="H344" i="2"/>
  <c r="E344" i="2"/>
  <c r="J343" i="2"/>
  <c r="I343" i="2"/>
  <c r="H343" i="2"/>
  <c r="E343" i="2"/>
  <c r="E342" i="2"/>
  <c r="E341" i="2"/>
  <c r="J340" i="2"/>
  <c r="I340" i="2"/>
  <c r="H340" i="2"/>
  <c r="E340" i="2"/>
  <c r="J339" i="2"/>
  <c r="I339" i="2"/>
  <c r="H339" i="2"/>
  <c r="E339" i="2"/>
  <c r="J338" i="2"/>
  <c r="I338" i="2"/>
  <c r="H338" i="2"/>
  <c r="E338" i="2"/>
  <c r="J337" i="2"/>
  <c r="I337" i="2"/>
  <c r="H337" i="2"/>
  <c r="E337" i="2"/>
  <c r="J336" i="2"/>
  <c r="I336" i="2"/>
  <c r="H336" i="2"/>
  <c r="E336" i="2"/>
  <c r="J335" i="2"/>
  <c r="I335" i="2"/>
  <c r="H335" i="2"/>
  <c r="E335" i="2"/>
  <c r="J334" i="2"/>
  <c r="I334" i="2"/>
  <c r="H334" i="2"/>
  <c r="E334" i="2"/>
  <c r="E333" i="2"/>
  <c r="E332" i="2"/>
  <c r="J331" i="2"/>
  <c r="I331" i="2"/>
  <c r="H331" i="2"/>
  <c r="E331" i="2"/>
  <c r="J330" i="2"/>
  <c r="I330" i="2"/>
  <c r="H330" i="2"/>
  <c r="E330" i="2"/>
  <c r="J329" i="2"/>
  <c r="I329" i="2"/>
  <c r="H329" i="2"/>
  <c r="E329" i="2"/>
  <c r="J328" i="2"/>
  <c r="I328" i="2"/>
  <c r="H328" i="2"/>
  <c r="E328" i="2"/>
  <c r="J327" i="2"/>
  <c r="I327" i="2"/>
  <c r="H327" i="2"/>
  <c r="E327" i="2"/>
  <c r="J326" i="2"/>
  <c r="I326" i="2"/>
  <c r="H326" i="2"/>
  <c r="E326" i="2"/>
  <c r="J325" i="2"/>
  <c r="I325" i="2"/>
  <c r="H325" i="2"/>
  <c r="E325" i="2"/>
  <c r="J324" i="2"/>
  <c r="I324" i="2"/>
  <c r="H324" i="2"/>
  <c r="E324" i="2"/>
  <c r="I323" i="2"/>
  <c r="H323" i="2"/>
  <c r="E323" i="2"/>
  <c r="J322" i="2"/>
  <c r="I322" i="2"/>
  <c r="H322" i="2"/>
  <c r="E322" i="2"/>
  <c r="J321" i="2"/>
  <c r="I321" i="2"/>
  <c r="H321" i="2"/>
  <c r="E321" i="2"/>
  <c r="J320" i="2"/>
  <c r="I320" i="2"/>
  <c r="H320" i="2"/>
  <c r="E320" i="2"/>
  <c r="J319" i="2"/>
  <c r="I319" i="2"/>
  <c r="H319" i="2"/>
  <c r="E319" i="2"/>
  <c r="E318" i="2"/>
  <c r="E317" i="2"/>
  <c r="J316" i="2"/>
  <c r="I316" i="2"/>
  <c r="H316" i="2"/>
  <c r="E316" i="2"/>
  <c r="I315" i="2"/>
  <c r="H315" i="2"/>
  <c r="E315" i="2"/>
  <c r="J314" i="2"/>
  <c r="I314" i="2"/>
  <c r="H314" i="2"/>
  <c r="E314" i="2"/>
  <c r="E313" i="2"/>
  <c r="E312" i="2"/>
  <c r="J311" i="2"/>
  <c r="I311" i="2"/>
  <c r="H311" i="2"/>
  <c r="E311" i="2"/>
  <c r="J310" i="2"/>
  <c r="I310" i="2"/>
  <c r="H310" i="2"/>
  <c r="E310" i="2"/>
  <c r="J309" i="2"/>
  <c r="I309" i="2"/>
  <c r="H309" i="2"/>
  <c r="E309" i="2"/>
  <c r="E308" i="2"/>
  <c r="E307" i="2"/>
  <c r="J306" i="2"/>
  <c r="I306" i="2"/>
  <c r="H306" i="2"/>
  <c r="E306" i="2"/>
  <c r="J305" i="2"/>
  <c r="I305" i="2"/>
  <c r="H305" i="2"/>
  <c r="E305" i="2"/>
  <c r="J304" i="2"/>
  <c r="I304" i="2"/>
  <c r="H304" i="2"/>
  <c r="E304" i="2"/>
  <c r="J303" i="2"/>
  <c r="I303" i="2"/>
  <c r="H303" i="2"/>
  <c r="E303" i="2"/>
  <c r="J302" i="2"/>
  <c r="I302" i="2"/>
  <c r="H302" i="2"/>
  <c r="E302" i="2"/>
  <c r="E301" i="2"/>
  <c r="E300" i="2"/>
  <c r="J299" i="2"/>
  <c r="I299" i="2"/>
  <c r="H299" i="2"/>
  <c r="E299" i="2"/>
  <c r="J298" i="2"/>
  <c r="I298" i="2"/>
  <c r="H298" i="2"/>
  <c r="E298" i="2"/>
  <c r="J297" i="2"/>
  <c r="I297" i="2"/>
  <c r="H297" i="2"/>
  <c r="E297" i="2"/>
  <c r="J296" i="2"/>
  <c r="I296" i="2"/>
  <c r="H296" i="2"/>
  <c r="E296" i="2"/>
  <c r="J295" i="2"/>
  <c r="I295" i="2"/>
  <c r="H295" i="2"/>
  <c r="E295" i="2"/>
  <c r="E294" i="2"/>
  <c r="E293" i="2"/>
  <c r="J292" i="2"/>
  <c r="I292" i="2"/>
  <c r="H292" i="2"/>
  <c r="E292" i="2"/>
  <c r="I291" i="2"/>
  <c r="H291" i="2"/>
  <c r="E291" i="2"/>
  <c r="J290" i="2"/>
  <c r="I290" i="2"/>
  <c r="H290" i="2"/>
  <c r="E290" i="2"/>
  <c r="E289" i="2"/>
  <c r="E288" i="2"/>
  <c r="J287" i="2"/>
  <c r="I287" i="2"/>
  <c r="H287" i="2"/>
  <c r="E287" i="2"/>
  <c r="J286" i="2"/>
  <c r="I286" i="2"/>
  <c r="H286" i="2"/>
  <c r="E286" i="2"/>
  <c r="J285" i="2"/>
  <c r="I285" i="2"/>
  <c r="H285" i="2"/>
  <c r="E285" i="2"/>
  <c r="J284" i="2"/>
  <c r="I284" i="2"/>
  <c r="H284" i="2"/>
  <c r="E284" i="2"/>
  <c r="E283" i="2"/>
  <c r="E282" i="2"/>
  <c r="I281" i="2"/>
  <c r="H281" i="2"/>
  <c r="E281" i="2"/>
  <c r="J280" i="2"/>
  <c r="I280" i="2"/>
  <c r="H280" i="2"/>
  <c r="E280" i="2"/>
  <c r="J279" i="2"/>
  <c r="I279" i="2"/>
  <c r="H279" i="2"/>
  <c r="E279" i="2"/>
  <c r="J278" i="2"/>
  <c r="I278" i="2"/>
  <c r="H278" i="2"/>
  <c r="E278" i="2"/>
  <c r="J277" i="2"/>
  <c r="I277" i="2"/>
  <c r="H277" i="2"/>
  <c r="E277" i="2"/>
  <c r="J276" i="2"/>
  <c r="I276" i="2"/>
  <c r="H276" i="2"/>
  <c r="E276" i="2"/>
  <c r="J275" i="2"/>
  <c r="I275" i="2"/>
  <c r="H275" i="2"/>
  <c r="E275" i="2"/>
  <c r="J274" i="2"/>
  <c r="I274" i="2"/>
  <c r="H274" i="2"/>
  <c r="E274" i="2"/>
  <c r="J273" i="2"/>
  <c r="I273" i="2"/>
  <c r="H273" i="2"/>
  <c r="E273" i="2"/>
  <c r="I272" i="2"/>
  <c r="H272" i="2"/>
  <c r="E272" i="2"/>
  <c r="J271" i="2"/>
  <c r="I271" i="2"/>
  <c r="H271" i="2"/>
  <c r="E271" i="2"/>
  <c r="J270" i="2"/>
  <c r="I270" i="2"/>
  <c r="H270" i="2"/>
  <c r="E270" i="2"/>
  <c r="I268" i="2"/>
  <c r="H268" i="2"/>
  <c r="E268" i="2"/>
  <c r="I267" i="2"/>
  <c r="H267" i="2"/>
  <c r="E267" i="2"/>
  <c r="J266" i="2"/>
  <c r="I266" i="2"/>
  <c r="H266" i="2"/>
  <c r="E266" i="2"/>
  <c r="E265" i="2"/>
  <c r="E264" i="2"/>
  <c r="I263" i="2"/>
  <c r="H263" i="2"/>
  <c r="E263" i="2"/>
  <c r="J262" i="2"/>
  <c r="I262" i="2"/>
  <c r="H262" i="2"/>
  <c r="E262" i="2"/>
  <c r="J261" i="2"/>
  <c r="I261" i="2"/>
  <c r="H261" i="2"/>
  <c r="E261" i="2"/>
  <c r="J260" i="2"/>
  <c r="I260" i="2"/>
  <c r="H260" i="2"/>
  <c r="E260" i="2"/>
  <c r="J259" i="2"/>
  <c r="I259" i="2"/>
  <c r="H259" i="2"/>
  <c r="E259" i="2"/>
  <c r="J258" i="2"/>
  <c r="I258" i="2"/>
  <c r="H258" i="2"/>
  <c r="E258" i="2"/>
  <c r="J257" i="2"/>
  <c r="I257" i="2"/>
  <c r="H257" i="2"/>
  <c r="E257" i="2"/>
  <c r="J256" i="2"/>
  <c r="I256" i="2"/>
  <c r="H256" i="2"/>
  <c r="E256" i="2"/>
  <c r="J255" i="2"/>
  <c r="I255" i="2"/>
  <c r="H255" i="2"/>
  <c r="E255" i="2"/>
  <c r="J254" i="2"/>
  <c r="I254" i="2"/>
  <c r="H254" i="2"/>
  <c r="E254" i="2"/>
  <c r="J253" i="2"/>
  <c r="I253" i="2"/>
  <c r="H253" i="2"/>
  <c r="E253" i="2"/>
  <c r="J251" i="2"/>
  <c r="I251" i="2"/>
  <c r="H251" i="2"/>
  <c r="E251" i="2"/>
  <c r="J250" i="2"/>
  <c r="I250" i="2"/>
  <c r="H250" i="2"/>
  <c r="E250" i="2"/>
  <c r="J249" i="2"/>
  <c r="I249" i="2"/>
  <c r="H249" i="2"/>
  <c r="E249" i="2"/>
  <c r="J248" i="2"/>
  <c r="I248" i="2"/>
  <c r="H248" i="2"/>
  <c r="E248" i="2"/>
  <c r="J247" i="2"/>
  <c r="I247" i="2"/>
  <c r="H247" i="2"/>
  <c r="E247" i="2"/>
  <c r="I246" i="2"/>
  <c r="H246" i="2"/>
  <c r="E246" i="2"/>
  <c r="I245" i="2"/>
  <c r="H245" i="2"/>
  <c r="E245" i="2"/>
  <c r="I244" i="2"/>
  <c r="H244" i="2"/>
  <c r="E244" i="2"/>
  <c r="J243" i="2"/>
  <c r="I243" i="2"/>
  <c r="H243" i="2"/>
  <c r="E243" i="2"/>
  <c r="J242" i="2"/>
  <c r="I242" i="2"/>
  <c r="H242" i="2"/>
  <c r="E242" i="2"/>
  <c r="E241" i="2"/>
  <c r="E240" i="2"/>
  <c r="J239" i="2"/>
  <c r="I239" i="2"/>
  <c r="H239" i="2"/>
  <c r="E239" i="2"/>
  <c r="J238" i="2"/>
  <c r="I238" i="2"/>
  <c r="H238" i="2"/>
  <c r="E238" i="2"/>
  <c r="J237" i="2"/>
  <c r="I237" i="2"/>
  <c r="H237" i="2"/>
  <c r="E237" i="2"/>
  <c r="J236" i="2"/>
  <c r="I236" i="2"/>
  <c r="H236" i="2"/>
  <c r="E236" i="2"/>
  <c r="J235" i="2"/>
  <c r="I235" i="2"/>
  <c r="H235" i="2"/>
  <c r="E235" i="2"/>
  <c r="J234" i="2"/>
  <c r="I234" i="2"/>
  <c r="H234" i="2"/>
  <c r="E234" i="2"/>
  <c r="J233" i="2"/>
  <c r="I233" i="2"/>
  <c r="H233" i="2"/>
  <c r="E233" i="2"/>
  <c r="J232" i="2"/>
  <c r="I232" i="2"/>
  <c r="H232" i="2"/>
  <c r="E232" i="2"/>
  <c r="J231" i="2"/>
  <c r="I231" i="2"/>
  <c r="H231" i="2"/>
  <c r="E231" i="2"/>
  <c r="J230" i="2"/>
  <c r="I230" i="2"/>
  <c r="H230" i="2"/>
  <c r="E230" i="2"/>
  <c r="I229" i="2"/>
  <c r="H229" i="2"/>
  <c r="E229" i="2"/>
  <c r="J228" i="2"/>
  <c r="I228" i="2"/>
  <c r="H228" i="2"/>
  <c r="E228" i="2"/>
  <c r="J227" i="2"/>
  <c r="I227" i="2"/>
  <c r="H227" i="2"/>
  <c r="E227" i="2"/>
  <c r="E226" i="2"/>
  <c r="E225" i="2"/>
  <c r="J224" i="2"/>
  <c r="I224" i="2"/>
  <c r="H224" i="2"/>
  <c r="E224" i="2"/>
  <c r="J223" i="2"/>
  <c r="I223" i="2"/>
  <c r="H223" i="2"/>
  <c r="E223" i="2"/>
  <c r="J222" i="2"/>
  <c r="I222" i="2"/>
  <c r="H222" i="2"/>
  <c r="E222" i="2"/>
  <c r="J221" i="2"/>
  <c r="I221" i="2"/>
  <c r="H221" i="2"/>
  <c r="E221" i="2"/>
  <c r="J220" i="2"/>
  <c r="I220" i="2"/>
  <c r="H220" i="2"/>
  <c r="E220" i="2"/>
  <c r="J219" i="2"/>
  <c r="I219" i="2"/>
  <c r="H219" i="2"/>
  <c r="E219" i="2"/>
  <c r="J218" i="2"/>
  <c r="I218" i="2"/>
  <c r="H218" i="2"/>
  <c r="E218" i="2"/>
  <c r="J217" i="2"/>
  <c r="I217" i="2"/>
  <c r="H217" i="2"/>
  <c r="E217" i="2"/>
  <c r="J216" i="2"/>
  <c r="I216" i="2"/>
  <c r="H216" i="2"/>
  <c r="E216" i="2"/>
  <c r="J215" i="2"/>
  <c r="I215" i="2"/>
  <c r="H215" i="2"/>
  <c r="E215" i="2"/>
  <c r="J214" i="2"/>
  <c r="I214" i="2"/>
  <c r="H214" i="2"/>
  <c r="E214" i="2"/>
  <c r="I213" i="2"/>
  <c r="H213" i="2"/>
  <c r="E213" i="2"/>
  <c r="J212" i="2"/>
  <c r="I212" i="2"/>
  <c r="H212" i="2"/>
  <c r="E212" i="2"/>
  <c r="J211" i="2"/>
  <c r="I211" i="2"/>
  <c r="H211" i="2"/>
  <c r="E211" i="2"/>
  <c r="J210" i="2"/>
  <c r="I210" i="2"/>
  <c r="H210" i="2"/>
  <c r="E210" i="2"/>
  <c r="J209" i="2"/>
  <c r="I209" i="2"/>
  <c r="H209" i="2"/>
  <c r="E209" i="2"/>
  <c r="J208" i="2"/>
  <c r="I208" i="2"/>
  <c r="H208" i="2"/>
  <c r="E208" i="2"/>
  <c r="J207" i="2"/>
  <c r="I207" i="2"/>
  <c r="H207" i="2"/>
  <c r="E207" i="2"/>
  <c r="J206" i="2"/>
  <c r="I206" i="2"/>
  <c r="H206" i="2"/>
  <c r="E206" i="2"/>
  <c r="J205" i="2"/>
  <c r="I205" i="2"/>
  <c r="H205" i="2"/>
  <c r="E205" i="2"/>
  <c r="J204" i="2"/>
  <c r="I204" i="2"/>
  <c r="H204" i="2"/>
  <c r="E204" i="2"/>
  <c r="J203" i="2"/>
  <c r="I203" i="2"/>
  <c r="H203" i="2"/>
  <c r="E203" i="2"/>
  <c r="I202" i="2"/>
  <c r="H202" i="2"/>
  <c r="E202" i="2"/>
  <c r="J201" i="2"/>
  <c r="I201" i="2"/>
  <c r="H201" i="2"/>
  <c r="E201" i="2"/>
  <c r="J200" i="2"/>
  <c r="I200" i="2"/>
  <c r="H200" i="2"/>
  <c r="E200" i="2"/>
  <c r="J199" i="2"/>
  <c r="I199" i="2"/>
  <c r="H199" i="2"/>
  <c r="E199" i="2"/>
  <c r="J198" i="2"/>
  <c r="I198" i="2"/>
  <c r="H198" i="2"/>
  <c r="E198" i="2"/>
  <c r="J197" i="2"/>
  <c r="I197" i="2"/>
  <c r="H197" i="2"/>
  <c r="E197" i="2"/>
  <c r="I196" i="2"/>
  <c r="H196" i="2"/>
  <c r="E196" i="2"/>
  <c r="J195" i="2"/>
  <c r="I195" i="2"/>
  <c r="H195" i="2"/>
  <c r="E195" i="2"/>
  <c r="J194" i="2"/>
  <c r="I194" i="2"/>
  <c r="H194" i="2"/>
  <c r="E194" i="2"/>
  <c r="E193" i="2"/>
  <c r="E192" i="2"/>
  <c r="J191" i="2"/>
  <c r="I191" i="2"/>
  <c r="H191" i="2"/>
  <c r="E191" i="2"/>
  <c r="J190" i="2"/>
  <c r="I190" i="2"/>
  <c r="H190" i="2"/>
  <c r="E190" i="2"/>
  <c r="J189" i="2"/>
  <c r="I189" i="2"/>
  <c r="H189" i="2"/>
  <c r="E189" i="2"/>
  <c r="J188" i="2"/>
  <c r="I188" i="2"/>
  <c r="H188" i="2"/>
  <c r="E188" i="2"/>
  <c r="J187" i="2"/>
  <c r="I187" i="2"/>
  <c r="H187" i="2"/>
  <c r="E187" i="2"/>
  <c r="J186" i="2"/>
  <c r="I186" i="2"/>
  <c r="H186" i="2"/>
  <c r="E186" i="2"/>
  <c r="J185" i="2"/>
  <c r="I185" i="2"/>
  <c r="H185" i="2"/>
  <c r="E185" i="2"/>
  <c r="J184" i="2"/>
  <c r="I184" i="2"/>
  <c r="H184" i="2"/>
  <c r="E184" i="2"/>
  <c r="J183" i="2"/>
  <c r="I183" i="2"/>
  <c r="H183" i="2"/>
  <c r="E183" i="2"/>
  <c r="J182" i="2"/>
  <c r="I182" i="2"/>
  <c r="H182" i="2"/>
  <c r="E182" i="2"/>
  <c r="J181" i="2"/>
  <c r="I181" i="2"/>
  <c r="H181" i="2"/>
  <c r="E181" i="2"/>
  <c r="J180" i="2"/>
  <c r="I180" i="2"/>
  <c r="H180" i="2"/>
  <c r="E180" i="2"/>
  <c r="J179" i="2"/>
  <c r="I179" i="2"/>
  <c r="H179" i="2"/>
  <c r="E179" i="2"/>
  <c r="J178" i="2"/>
  <c r="I178" i="2"/>
  <c r="H178" i="2"/>
  <c r="E178" i="2"/>
  <c r="J177" i="2"/>
  <c r="I177" i="2"/>
  <c r="H177" i="2"/>
  <c r="E177" i="2"/>
  <c r="J176" i="2"/>
  <c r="I176" i="2"/>
  <c r="H176" i="2"/>
  <c r="E176" i="2"/>
  <c r="J175" i="2"/>
  <c r="I175" i="2"/>
  <c r="H175" i="2"/>
  <c r="E175" i="2"/>
  <c r="J174" i="2"/>
  <c r="I174" i="2"/>
  <c r="H174" i="2"/>
  <c r="E174" i="2"/>
  <c r="J173" i="2"/>
  <c r="I173" i="2"/>
  <c r="H173" i="2"/>
  <c r="E173" i="2"/>
  <c r="J172" i="2"/>
  <c r="I172" i="2"/>
  <c r="H172" i="2"/>
  <c r="E172" i="2"/>
  <c r="J171" i="2"/>
  <c r="I171" i="2"/>
  <c r="H171" i="2"/>
  <c r="E171" i="2"/>
  <c r="J170" i="2"/>
  <c r="I170" i="2"/>
  <c r="H170" i="2"/>
  <c r="E170" i="2"/>
  <c r="I169" i="2"/>
  <c r="H169" i="2"/>
  <c r="E169" i="2"/>
  <c r="I168" i="2"/>
  <c r="H168" i="2"/>
  <c r="E168" i="2"/>
  <c r="I167" i="2"/>
  <c r="H167" i="2"/>
  <c r="E167" i="2"/>
  <c r="E166" i="2"/>
  <c r="E165" i="2"/>
  <c r="J164" i="2"/>
  <c r="I164" i="2"/>
  <c r="H164" i="2"/>
  <c r="E164" i="2"/>
  <c r="J163" i="2"/>
  <c r="I163" i="2"/>
  <c r="H163" i="2"/>
  <c r="E163" i="2"/>
  <c r="J162" i="2"/>
  <c r="I162" i="2"/>
  <c r="H162" i="2"/>
  <c r="E162" i="2"/>
  <c r="J161" i="2"/>
  <c r="I161" i="2"/>
  <c r="H161" i="2"/>
  <c r="E161" i="2"/>
  <c r="J160" i="2"/>
  <c r="I160" i="2"/>
  <c r="H160" i="2"/>
  <c r="E160" i="2"/>
  <c r="J159" i="2"/>
  <c r="I159" i="2"/>
  <c r="H159" i="2"/>
  <c r="E159" i="2"/>
  <c r="J158" i="2"/>
  <c r="I158" i="2"/>
  <c r="H158" i="2"/>
  <c r="E158" i="2"/>
  <c r="J157" i="2"/>
  <c r="I157" i="2"/>
  <c r="H157" i="2"/>
  <c r="E157" i="2"/>
  <c r="J156" i="2"/>
  <c r="I156" i="2"/>
  <c r="H156" i="2"/>
  <c r="E156" i="2"/>
  <c r="J155" i="2"/>
  <c r="I155" i="2"/>
  <c r="H155" i="2"/>
  <c r="E155" i="2"/>
  <c r="J154" i="2"/>
  <c r="I154" i="2"/>
  <c r="H154" i="2"/>
  <c r="E154" i="2"/>
  <c r="J153" i="2"/>
  <c r="I153" i="2"/>
  <c r="H153" i="2"/>
  <c r="E153" i="2"/>
  <c r="J152" i="2"/>
  <c r="I152" i="2"/>
  <c r="H152" i="2"/>
  <c r="E152" i="2"/>
  <c r="J151" i="2"/>
  <c r="I151" i="2"/>
  <c r="H151" i="2"/>
  <c r="E151" i="2"/>
  <c r="E150" i="2"/>
  <c r="J149" i="2"/>
  <c r="I149" i="2"/>
  <c r="H149" i="2"/>
  <c r="E149" i="2"/>
  <c r="J148" i="2"/>
  <c r="I148" i="2"/>
  <c r="H148" i="2"/>
  <c r="E148" i="2"/>
  <c r="J147" i="2"/>
  <c r="I147" i="2"/>
  <c r="H147" i="2"/>
  <c r="E147" i="2"/>
  <c r="J146" i="2"/>
  <c r="I146" i="2"/>
  <c r="H146" i="2"/>
  <c r="E146" i="2"/>
  <c r="J145" i="2"/>
  <c r="I145" i="2"/>
  <c r="H145" i="2"/>
  <c r="E145" i="2"/>
  <c r="J144" i="2"/>
  <c r="I144" i="2"/>
  <c r="H144" i="2"/>
  <c r="E144" i="2"/>
  <c r="J143" i="2"/>
  <c r="I143" i="2"/>
  <c r="H143" i="2"/>
  <c r="E143" i="2"/>
  <c r="J142" i="2"/>
  <c r="I142" i="2"/>
  <c r="H142" i="2"/>
  <c r="E142" i="2"/>
  <c r="J141" i="2"/>
  <c r="I141" i="2"/>
  <c r="H141" i="2"/>
  <c r="E141" i="2"/>
  <c r="J140" i="2"/>
  <c r="I140" i="2"/>
  <c r="H140" i="2"/>
  <c r="E140" i="2"/>
  <c r="J139" i="2"/>
  <c r="I139" i="2"/>
  <c r="H139" i="2"/>
  <c r="E139" i="2"/>
  <c r="J138" i="2"/>
  <c r="I138" i="2"/>
  <c r="H138" i="2"/>
  <c r="E138" i="2"/>
  <c r="J137" i="2"/>
  <c r="I137" i="2"/>
  <c r="H137" i="2"/>
  <c r="E137" i="2"/>
  <c r="J136" i="2"/>
  <c r="I136" i="2"/>
  <c r="H136" i="2"/>
  <c r="E136" i="2"/>
  <c r="I135" i="2"/>
  <c r="H135" i="2"/>
  <c r="E135" i="2"/>
  <c r="I134" i="2"/>
  <c r="H134" i="2"/>
  <c r="E134" i="2"/>
  <c r="I133" i="2"/>
  <c r="H133" i="2"/>
  <c r="E133" i="2"/>
  <c r="I132" i="2"/>
  <c r="H132" i="2"/>
  <c r="E132" i="2"/>
  <c r="J131" i="2"/>
  <c r="I131" i="2"/>
  <c r="H131" i="2"/>
  <c r="E131" i="2"/>
  <c r="E130" i="2"/>
  <c r="E129" i="2"/>
  <c r="J128" i="2"/>
  <c r="I128" i="2"/>
  <c r="H128" i="2"/>
  <c r="E128" i="2"/>
  <c r="J127" i="2"/>
  <c r="I127" i="2"/>
  <c r="H127" i="2"/>
  <c r="E127" i="2"/>
  <c r="J126" i="2"/>
  <c r="I126" i="2"/>
  <c r="H126" i="2"/>
  <c r="E126" i="2"/>
  <c r="J125" i="2"/>
  <c r="I125" i="2"/>
  <c r="H125" i="2"/>
  <c r="E125" i="2"/>
  <c r="J124" i="2"/>
  <c r="I124" i="2"/>
  <c r="H124" i="2"/>
  <c r="E124" i="2"/>
  <c r="J120" i="2"/>
  <c r="I120" i="2"/>
  <c r="H120" i="2"/>
  <c r="E120" i="2"/>
  <c r="J119" i="2"/>
  <c r="I119" i="2"/>
  <c r="H119" i="2"/>
  <c r="E119" i="2"/>
  <c r="J118" i="2"/>
  <c r="I118" i="2"/>
  <c r="H118" i="2"/>
  <c r="E118" i="2"/>
  <c r="J117" i="2"/>
  <c r="I117" i="2"/>
  <c r="H117" i="2"/>
  <c r="E117" i="2"/>
  <c r="J116" i="2"/>
  <c r="I116" i="2"/>
  <c r="H116" i="2"/>
  <c r="E116" i="2"/>
  <c r="J115" i="2"/>
  <c r="I115" i="2"/>
  <c r="H115" i="2"/>
  <c r="E115" i="2"/>
  <c r="J114" i="2"/>
  <c r="I114" i="2"/>
  <c r="H114" i="2"/>
  <c r="E114" i="2"/>
  <c r="J113" i="2"/>
  <c r="I113" i="2"/>
  <c r="H113" i="2"/>
  <c r="E113" i="2"/>
  <c r="I112" i="2"/>
  <c r="H112" i="2"/>
  <c r="E112" i="2"/>
  <c r="J111" i="2"/>
  <c r="I111" i="2"/>
  <c r="H111" i="2"/>
  <c r="E111" i="2"/>
  <c r="J110" i="2"/>
  <c r="I110" i="2"/>
  <c r="H110" i="2"/>
  <c r="E110" i="2"/>
  <c r="J109" i="2"/>
  <c r="I109" i="2"/>
  <c r="H109" i="2"/>
  <c r="E109" i="2"/>
  <c r="J108" i="2"/>
  <c r="I108" i="2"/>
  <c r="H108" i="2"/>
  <c r="E108" i="2"/>
  <c r="J107" i="2"/>
  <c r="I107" i="2"/>
  <c r="H107" i="2"/>
  <c r="E107" i="2"/>
  <c r="J106" i="2"/>
  <c r="I106" i="2"/>
  <c r="H106" i="2"/>
  <c r="E106" i="2"/>
  <c r="J105" i="2"/>
  <c r="I105" i="2"/>
  <c r="H105" i="2"/>
  <c r="E105" i="2"/>
  <c r="J104" i="2"/>
  <c r="I104" i="2"/>
  <c r="H104" i="2"/>
  <c r="E104" i="2"/>
  <c r="J103" i="2"/>
  <c r="I103" i="2"/>
  <c r="H103" i="2"/>
  <c r="E103" i="2"/>
  <c r="I102" i="2"/>
  <c r="H102" i="2"/>
  <c r="E102" i="2"/>
  <c r="I101" i="2"/>
  <c r="H101" i="2"/>
  <c r="E101" i="2"/>
  <c r="J100" i="2"/>
  <c r="I100" i="2"/>
  <c r="H100" i="2"/>
  <c r="E100" i="2"/>
  <c r="I99" i="2"/>
  <c r="H99" i="2"/>
  <c r="E99" i="2"/>
  <c r="J98" i="2"/>
  <c r="I98" i="2"/>
  <c r="H98" i="2"/>
  <c r="E98" i="2"/>
  <c r="J97" i="2"/>
  <c r="I97" i="2"/>
  <c r="H97" i="2"/>
  <c r="E97" i="2"/>
  <c r="J96" i="2"/>
  <c r="I96" i="2"/>
  <c r="H96" i="2"/>
  <c r="E96" i="2"/>
  <c r="E95" i="2"/>
  <c r="E94" i="2"/>
  <c r="J93" i="2"/>
  <c r="I93" i="2"/>
  <c r="H93" i="2"/>
  <c r="E93" i="2"/>
  <c r="J92" i="2"/>
  <c r="I92" i="2"/>
  <c r="H92" i="2"/>
  <c r="E92" i="2"/>
  <c r="J91" i="2"/>
  <c r="I91" i="2"/>
  <c r="H91" i="2"/>
  <c r="E91" i="2"/>
  <c r="J90" i="2"/>
  <c r="I90" i="2"/>
  <c r="H90" i="2"/>
  <c r="E90" i="2"/>
  <c r="J89" i="2"/>
  <c r="I89" i="2"/>
  <c r="H89" i="2"/>
  <c r="E89" i="2"/>
  <c r="J88" i="2"/>
  <c r="I88" i="2"/>
  <c r="H88" i="2"/>
  <c r="E88" i="2"/>
  <c r="J87" i="2"/>
  <c r="I87" i="2"/>
  <c r="H87" i="2"/>
  <c r="E87" i="2"/>
  <c r="J86" i="2"/>
  <c r="I86" i="2"/>
  <c r="H86" i="2"/>
  <c r="E86" i="2"/>
  <c r="I85" i="2"/>
  <c r="H85" i="2"/>
  <c r="E85" i="2"/>
  <c r="J84" i="2"/>
  <c r="I84" i="2"/>
  <c r="H84" i="2"/>
  <c r="E84" i="2"/>
  <c r="J83" i="2"/>
  <c r="I83" i="2"/>
  <c r="H83" i="2"/>
  <c r="E83" i="2"/>
  <c r="J82" i="2"/>
  <c r="I82" i="2"/>
  <c r="H82" i="2"/>
  <c r="E82" i="2"/>
  <c r="J81" i="2"/>
  <c r="I81" i="2"/>
  <c r="H81" i="2"/>
  <c r="E81" i="2"/>
  <c r="J80" i="2"/>
  <c r="I80" i="2"/>
  <c r="H80" i="2"/>
  <c r="E80" i="2"/>
  <c r="J79" i="2"/>
  <c r="I79" i="2"/>
  <c r="H79" i="2"/>
  <c r="E79" i="2"/>
  <c r="J78" i="2"/>
  <c r="I78" i="2"/>
  <c r="H78" i="2"/>
  <c r="E78" i="2"/>
  <c r="J77" i="2"/>
  <c r="I77" i="2"/>
  <c r="H77" i="2"/>
  <c r="E77" i="2"/>
  <c r="J76" i="2"/>
  <c r="I76" i="2"/>
  <c r="H76" i="2"/>
  <c r="E76" i="2"/>
  <c r="J75" i="2"/>
  <c r="I75" i="2"/>
  <c r="H75" i="2"/>
  <c r="E75" i="2"/>
  <c r="J74" i="2"/>
  <c r="I74" i="2"/>
  <c r="H74" i="2"/>
  <c r="E74" i="2"/>
  <c r="J73" i="2"/>
  <c r="I73" i="2"/>
  <c r="H73" i="2"/>
  <c r="E73" i="2"/>
  <c r="J72" i="2"/>
  <c r="I72" i="2"/>
  <c r="H72" i="2"/>
  <c r="E72" i="2"/>
  <c r="J71" i="2"/>
  <c r="I71" i="2"/>
  <c r="H71" i="2"/>
  <c r="E71" i="2"/>
  <c r="J70" i="2"/>
  <c r="I70" i="2"/>
  <c r="H70" i="2"/>
  <c r="E70" i="2"/>
  <c r="J69" i="2"/>
  <c r="I69" i="2"/>
  <c r="H69" i="2"/>
  <c r="E69" i="2"/>
  <c r="J68" i="2"/>
  <c r="I68" i="2"/>
  <c r="H68" i="2"/>
  <c r="E68" i="2"/>
  <c r="J67" i="2"/>
  <c r="I67" i="2"/>
  <c r="H67" i="2"/>
  <c r="E67" i="2"/>
  <c r="J66" i="2"/>
  <c r="I66" i="2"/>
  <c r="H66" i="2"/>
  <c r="E66" i="2"/>
  <c r="J65" i="2"/>
  <c r="I65" i="2"/>
  <c r="H65" i="2"/>
  <c r="E65" i="2"/>
  <c r="J64" i="2"/>
  <c r="I64" i="2"/>
  <c r="H64" i="2"/>
  <c r="E64" i="2"/>
  <c r="J63" i="2"/>
  <c r="I63" i="2"/>
  <c r="H63" i="2"/>
  <c r="E63" i="2"/>
  <c r="J62" i="2"/>
  <c r="I62" i="2"/>
  <c r="H62" i="2"/>
  <c r="E62" i="2"/>
  <c r="J61" i="2"/>
  <c r="I61" i="2"/>
  <c r="H61" i="2"/>
  <c r="E61" i="2"/>
  <c r="J60" i="2"/>
  <c r="I60" i="2"/>
  <c r="H60" i="2"/>
  <c r="E60" i="2"/>
  <c r="J59" i="2"/>
  <c r="I59" i="2"/>
  <c r="H59" i="2"/>
  <c r="E59" i="2"/>
  <c r="J58" i="2"/>
  <c r="I58" i="2"/>
  <c r="H58" i="2"/>
  <c r="E58" i="2"/>
  <c r="J57" i="2"/>
  <c r="I57" i="2"/>
  <c r="H57" i="2"/>
  <c r="E57" i="2"/>
  <c r="J56" i="2"/>
  <c r="I56" i="2"/>
  <c r="H56" i="2"/>
  <c r="E56" i="2"/>
  <c r="J55" i="2"/>
  <c r="I55" i="2"/>
  <c r="H55" i="2"/>
  <c r="E55" i="2"/>
  <c r="J54" i="2"/>
  <c r="I54" i="2"/>
  <c r="H54" i="2"/>
  <c r="E54" i="2"/>
  <c r="J53" i="2"/>
  <c r="I53" i="2"/>
  <c r="H53" i="2"/>
  <c r="E53" i="2"/>
  <c r="J52" i="2"/>
  <c r="I52" i="2"/>
  <c r="H52" i="2"/>
  <c r="E52" i="2"/>
  <c r="J51" i="2"/>
  <c r="I51" i="2"/>
  <c r="H51" i="2"/>
  <c r="E51" i="2"/>
  <c r="I50" i="2"/>
  <c r="H50" i="2"/>
  <c r="E50" i="2"/>
  <c r="I49" i="2"/>
  <c r="H49" i="2"/>
  <c r="E49" i="2"/>
  <c r="I48" i="2"/>
  <c r="H48" i="2"/>
  <c r="E48" i="2"/>
  <c r="I47" i="2"/>
  <c r="H47" i="2"/>
  <c r="E47" i="2"/>
  <c r="I46" i="2"/>
  <c r="H46" i="2"/>
  <c r="E46" i="2"/>
  <c r="J45" i="2"/>
  <c r="I45" i="2"/>
  <c r="H45" i="2"/>
  <c r="E45" i="2"/>
  <c r="J44" i="2"/>
  <c r="I44" i="2"/>
  <c r="H44" i="2"/>
  <c r="E44" i="2"/>
  <c r="J43" i="2"/>
  <c r="I43" i="2"/>
  <c r="H43" i="2"/>
  <c r="E43" i="2"/>
  <c r="J42" i="2"/>
  <c r="I42" i="2"/>
  <c r="H42" i="2"/>
  <c r="E42" i="2"/>
  <c r="J41" i="2"/>
  <c r="I41" i="2"/>
  <c r="H41" i="2"/>
  <c r="E41" i="2"/>
  <c r="J40" i="2"/>
  <c r="I40" i="2"/>
  <c r="H40" i="2"/>
  <c r="E40" i="2"/>
  <c r="J39" i="2"/>
  <c r="I39" i="2"/>
  <c r="H39" i="2"/>
  <c r="E39" i="2"/>
  <c r="J38" i="2"/>
  <c r="I38" i="2"/>
  <c r="H38" i="2"/>
  <c r="E38" i="2"/>
  <c r="J37" i="2"/>
  <c r="I37" i="2"/>
  <c r="H37" i="2"/>
  <c r="E37" i="2"/>
  <c r="I36" i="2"/>
  <c r="H36" i="2"/>
  <c r="E36" i="2"/>
  <c r="I35" i="2"/>
  <c r="H35" i="2"/>
  <c r="E35" i="2"/>
  <c r="J34" i="2"/>
  <c r="I34" i="2"/>
  <c r="H34" i="2"/>
  <c r="E34" i="2"/>
  <c r="J33" i="2"/>
  <c r="I33" i="2"/>
  <c r="H33" i="2"/>
  <c r="E33" i="2"/>
  <c r="J32" i="2"/>
  <c r="I32" i="2"/>
  <c r="H32" i="2"/>
  <c r="E32" i="2"/>
  <c r="I31" i="2"/>
  <c r="H31" i="2"/>
  <c r="E31" i="2"/>
  <c r="J30" i="2"/>
  <c r="I30" i="2"/>
  <c r="H30" i="2"/>
  <c r="E30" i="2"/>
  <c r="J29" i="2"/>
  <c r="I29" i="2"/>
  <c r="H29" i="2"/>
  <c r="E29" i="2"/>
  <c r="J28" i="2"/>
  <c r="I28" i="2"/>
  <c r="H28" i="2"/>
  <c r="E28" i="2"/>
  <c r="J27" i="2"/>
  <c r="I27" i="2"/>
  <c r="H27" i="2"/>
  <c r="E27" i="2"/>
  <c r="J26" i="2"/>
  <c r="I26" i="2"/>
  <c r="H26" i="2"/>
  <c r="E26" i="2"/>
  <c r="J25" i="2"/>
  <c r="I25" i="2"/>
  <c r="H25" i="2"/>
  <c r="E25" i="2"/>
  <c r="J24" i="2"/>
  <c r="I24" i="2"/>
  <c r="H24" i="2"/>
  <c r="E24" i="2"/>
  <c r="I23" i="2"/>
  <c r="H23" i="2"/>
  <c r="E23" i="2"/>
  <c r="I22" i="2"/>
  <c r="H22" i="2"/>
  <c r="E22" i="2"/>
  <c r="J21" i="2"/>
  <c r="I21" i="2"/>
  <c r="H21" i="2"/>
  <c r="E21" i="2"/>
  <c r="J20" i="2"/>
  <c r="I20" i="2"/>
  <c r="H20" i="2"/>
  <c r="E20" i="2"/>
  <c r="E19" i="2"/>
  <c r="E18" i="2"/>
  <c r="J17" i="2"/>
  <c r="I17" i="2"/>
  <c r="H17" i="2"/>
  <c r="E17" i="2"/>
  <c r="J16" i="2"/>
  <c r="I16" i="2"/>
  <c r="H16" i="2"/>
  <c r="E16" i="2"/>
  <c r="J15" i="2"/>
  <c r="I15" i="2"/>
  <c r="H15" i="2"/>
  <c r="E15" i="2"/>
  <c r="J14" i="2"/>
  <c r="I14" i="2"/>
  <c r="H14" i="2"/>
  <c r="E14" i="2"/>
  <c r="J13" i="2"/>
  <c r="I13" i="2"/>
  <c r="H13" i="2"/>
  <c r="E13" i="2"/>
  <c r="J12" i="2"/>
  <c r="I12" i="2"/>
  <c r="H12" i="2"/>
  <c r="E12" i="2"/>
  <c r="J11" i="2"/>
  <c r="I11" i="2"/>
  <c r="H11" i="2"/>
  <c r="E11" i="2"/>
  <c r="J10" i="2"/>
  <c r="I10" i="2"/>
  <c r="H10" i="2"/>
  <c r="E10" i="2"/>
  <c r="J9" i="2"/>
  <c r="I9" i="2"/>
  <c r="H9" i="2"/>
  <c r="E9" i="2"/>
  <c r="J8" i="2"/>
  <c r="I8" i="2"/>
  <c r="H8" i="2"/>
  <c r="E8" i="2"/>
  <c r="J7" i="2"/>
  <c r="I7" i="2"/>
  <c r="H7" i="2"/>
  <c r="E7" i="2"/>
  <c r="J6" i="2"/>
  <c r="I6" i="2"/>
  <c r="H6" i="2"/>
  <c r="E6" i="2"/>
  <c r="I5" i="2"/>
  <c r="H5" i="2"/>
  <c r="E5" i="2"/>
  <c r="J4" i="2"/>
  <c r="I4" i="2"/>
  <c r="H4" i="2"/>
  <c r="E4" i="2"/>
  <c r="I3" i="2"/>
  <c r="H3" i="2"/>
  <c r="E3" i="2"/>
  <c r="J2" i="2"/>
  <c r="I2" i="2"/>
  <c r="H2" i="2"/>
  <c r="E2" i="2"/>
  <c r="CY43" i="1"/>
  <c r="CX43" i="1"/>
  <c r="CW43" i="1"/>
  <c r="CV43" i="1"/>
  <c r="CU43" i="1"/>
  <c r="CT43" i="1"/>
  <c r="CS43" i="1"/>
  <c r="CR43" i="1"/>
  <c r="CY42" i="1"/>
  <c r="CX42" i="1"/>
  <c r="CW42" i="1"/>
  <c r="CV42" i="1"/>
  <c r="CU42" i="1"/>
  <c r="CT42" i="1"/>
  <c r="CS42" i="1"/>
  <c r="CR42" i="1"/>
  <c r="CY41" i="1"/>
  <c r="CX41" i="1"/>
  <c r="CW41" i="1"/>
  <c r="CV41" i="1"/>
  <c r="CU41" i="1"/>
  <c r="CT41" i="1"/>
  <c r="CS41" i="1"/>
  <c r="CR41" i="1"/>
  <c r="CY40" i="1"/>
  <c r="CX40" i="1"/>
  <c r="CW40" i="1"/>
  <c r="CV40" i="1"/>
  <c r="CU40" i="1"/>
  <c r="CT40" i="1"/>
  <c r="CS40" i="1"/>
  <c r="CR40" i="1"/>
  <c r="CY39" i="1"/>
  <c r="CX39" i="1"/>
  <c r="CW39" i="1"/>
  <c r="CV39" i="1"/>
  <c r="CU39" i="1"/>
  <c r="CT39" i="1"/>
  <c r="CS39" i="1"/>
  <c r="CR39" i="1"/>
  <c r="CY38" i="1"/>
  <c r="CX38" i="1"/>
  <c r="CW38" i="1"/>
  <c r="CV38" i="1"/>
  <c r="CU38" i="1"/>
  <c r="CT38" i="1"/>
  <c r="CS38" i="1"/>
  <c r="CR38" i="1"/>
  <c r="CY37" i="1"/>
  <c r="CX37" i="1"/>
  <c r="CW37" i="1"/>
  <c r="CV37" i="1"/>
  <c r="CU37" i="1"/>
  <c r="CT37" i="1"/>
  <c r="CS37" i="1"/>
  <c r="CR37" i="1"/>
  <c r="CY36" i="1"/>
  <c r="CX36" i="1"/>
  <c r="CW36" i="1"/>
  <c r="CV36" i="1"/>
  <c r="CU36" i="1"/>
  <c r="CT36" i="1"/>
  <c r="CS36" i="1"/>
  <c r="CR36" i="1"/>
  <c r="CY35" i="1"/>
  <c r="CX35" i="1"/>
  <c r="CW35" i="1"/>
  <c r="CV35" i="1"/>
  <c r="CU35" i="1"/>
  <c r="CT35" i="1"/>
  <c r="CS35" i="1"/>
  <c r="CR35" i="1"/>
  <c r="CY34" i="1"/>
  <c r="CX34" i="1"/>
  <c r="CW34" i="1"/>
  <c r="CV34" i="1"/>
  <c r="CU34" i="1"/>
  <c r="CT34" i="1"/>
  <c r="CS34" i="1"/>
  <c r="CR34" i="1"/>
  <c r="CY33" i="1"/>
  <c r="CX33" i="1"/>
  <c r="CW33" i="1"/>
  <c r="CV33" i="1"/>
  <c r="CU33" i="1"/>
  <c r="CT33" i="1"/>
  <c r="CS33" i="1"/>
  <c r="CR33" i="1"/>
  <c r="CY32" i="1"/>
  <c r="CX32" i="1"/>
  <c r="CW32" i="1"/>
  <c r="CV32" i="1"/>
  <c r="CU32" i="1"/>
  <c r="CT32" i="1"/>
  <c r="CS32" i="1"/>
  <c r="CR32" i="1"/>
  <c r="CY31" i="1"/>
  <c r="CX31" i="1"/>
  <c r="CW31" i="1"/>
  <c r="CV31" i="1"/>
  <c r="CU31" i="1"/>
  <c r="CT31" i="1"/>
  <c r="CS31" i="1"/>
  <c r="CR31" i="1"/>
  <c r="CY30" i="1"/>
  <c r="CX30" i="1"/>
  <c r="CW30" i="1"/>
  <c r="CV30" i="1"/>
  <c r="CU30" i="1"/>
  <c r="CT30" i="1"/>
  <c r="CS30" i="1"/>
  <c r="CR30" i="1"/>
  <c r="CY29" i="1"/>
  <c r="CX29" i="1"/>
  <c r="CW29" i="1"/>
  <c r="CV29" i="1"/>
  <c r="CU29" i="1"/>
  <c r="CT29" i="1"/>
  <c r="CS29" i="1"/>
  <c r="CR29" i="1"/>
  <c r="CY28" i="1"/>
  <c r="CX28" i="1"/>
  <c r="CW28" i="1"/>
  <c r="CV28" i="1"/>
  <c r="CU28" i="1"/>
  <c r="CT28" i="1"/>
  <c r="CS28" i="1"/>
  <c r="CR28" i="1"/>
  <c r="CY27" i="1"/>
  <c r="CX27" i="1"/>
  <c r="CW27" i="1"/>
  <c r="CV27" i="1"/>
  <c r="CU27" i="1"/>
  <c r="CT27" i="1"/>
  <c r="CS27" i="1"/>
  <c r="CR27" i="1"/>
  <c r="CY26" i="1"/>
  <c r="CX26" i="1"/>
  <c r="CW26" i="1"/>
  <c r="CV26" i="1"/>
  <c r="CU26" i="1"/>
  <c r="CT26" i="1"/>
  <c r="CS26" i="1"/>
  <c r="CR26" i="1"/>
  <c r="CY25" i="1"/>
  <c r="CX25" i="1"/>
  <c r="CW25" i="1"/>
  <c r="CV25" i="1"/>
  <c r="CU25" i="1"/>
  <c r="CT25" i="1"/>
  <c r="CS25" i="1"/>
  <c r="CR25" i="1"/>
  <c r="CY24" i="1"/>
  <c r="CX24" i="1"/>
  <c r="CW24" i="1"/>
  <c r="CV24" i="1"/>
  <c r="CU24" i="1"/>
  <c r="CT24" i="1"/>
  <c r="CS24" i="1"/>
  <c r="CR24" i="1"/>
  <c r="CY23" i="1"/>
  <c r="CX23" i="1"/>
  <c r="CW23" i="1"/>
  <c r="CV23" i="1"/>
  <c r="CU23" i="1"/>
  <c r="CT23" i="1"/>
  <c r="CS23" i="1"/>
  <c r="CR23" i="1"/>
  <c r="CY22" i="1"/>
  <c r="CX22" i="1"/>
  <c r="CW22" i="1"/>
  <c r="CV22" i="1"/>
  <c r="CU22" i="1"/>
  <c r="CT22" i="1"/>
  <c r="CS22" i="1"/>
  <c r="CR22" i="1"/>
  <c r="CY21" i="1"/>
  <c r="CX21" i="1"/>
  <c r="CW21" i="1"/>
  <c r="CV21" i="1"/>
  <c r="CU21" i="1"/>
  <c r="CT21" i="1"/>
  <c r="CS21" i="1"/>
  <c r="CR21" i="1"/>
  <c r="CY20" i="1"/>
  <c r="CX20" i="1"/>
  <c r="CW20" i="1"/>
  <c r="CV20" i="1"/>
  <c r="CU20" i="1"/>
  <c r="CT20" i="1"/>
  <c r="CS20" i="1"/>
  <c r="CR20" i="1"/>
  <c r="CY19" i="1"/>
  <c r="CX19" i="1"/>
  <c r="CW19" i="1"/>
  <c r="CV19" i="1"/>
  <c r="CU19" i="1"/>
  <c r="CT19" i="1"/>
  <c r="CS19" i="1"/>
  <c r="CR19" i="1"/>
  <c r="CY18" i="1"/>
  <c r="CX18" i="1"/>
  <c r="CW18" i="1"/>
  <c r="CV18" i="1"/>
  <c r="CU18" i="1"/>
  <c r="CT18" i="1"/>
  <c r="CS18" i="1"/>
  <c r="CR18" i="1"/>
  <c r="CY17" i="1"/>
  <c r="CX17" i="1"/>
  <c r="CW17" i="1"/>
  <c r="CV17" i="1"/>
  <c r="CU17" i="1"/>
  <c r="CT17" i="1"/>
  <c r="CS17" i="1"/>
  <c r="CR17" i="1"/>
  <c r="CY16" i="1"/>
  <c r="CX16" i="1"/>
  <c r="CW16" i="1"/>
  <c r="CV16" i="1"/>
  <c r="CU16" i="1"/>
  <c r="CT16" i="1"/>
  <c r="CS16" i="1"/>
  <c r="CR16" i="1"/>
  <c r="CY15" i="1"/>
  <c r="CX15" i="1"/>
  <c r="CW15" i="1"/>
  <c r="CV15" i="1"/>
  <c r="CU15" i="1"/>
  <c r="CT15" i="1"/>
  <c r="CS15" i="1"/>
  <c r="CR15" i="1"/>
  <c r="CY14" i="1"/>
  <c r="CX14" i="1"/>
  <c r="CW14" i="1"/>
  <c r="CV14" i="1"/>
  <c r="CU14" i="1"/>
  <c r="CT14" i="1"/>
  <c r="CS14" i="1"/>
  <c r="CR14" i="1"/>
  <c r="CY13" i="1"/>
  <c r="CX13" i="1"/>
  <c r="CW13" i="1"/>
  <c r="CV13" i="1"/>
  <c r="CU13" i="1"/>
  <c r="CT13" i="1"/>
  <c r="CS13" i="1"/>
  <c r="CR13" i="1"/>
  <c r="CY12" i="1"/>
  <c r="CX12" i="1"/>
  <c r="CW12" i="1"/>
  <c r="CV12" i="1"/>
  <c r="CU12" i="1"/>
  <c r="CT12" i="1"/>
  <c r="CS12" i="1"/>
  <c r="CR12" i="1"/>
  <c r="CY11" i="1"/>
  <c r="CX11" i="1"/>
  <c r="CW11" i="1"/>
  <c r="CV11" i="1"/>
  <c r="CU11" i="1"/>
  <c r="CT11" i="1"/>
  <c r="CS11" i="1"/>
  <c r="CR11" i="1"/>
  <c r="CY10" i="1"/>
  <c r="CX10" i="1"/>
  <c r="CW10" i="1"/>
  <c r="CV10" i="1"/>
  <c r="CU10" i="1"/>
  <c r="CT10" i="1"/>
  <c r="CS10" i="1"/>
  <c r="CR10" i="1"/>
  <c r="CY9" i="1"/>
  <c r="CX9" i="1"/>
  <c r="CW9" i="1"/>
  <c r="CV9" i="1"/>
  <c r="CU9" i="1"/>
  <c r="CT9" i="1"/>
  <c r="CS9" i="1"/>
  <c r="CR9" i="1"/>
  <c r="CY8" i="1"/>
  <c r="CX8" i="1"/>
  <c r="CW8" i="1"/>
  <c r="CV8" i="1"/>
  <c r="CU8" i="1"/>
  <c r="CT8" i="1"/>
  <c r="CS8" i="1"/>
  <c r="CR8" i="1"/>
  <c r="CY7" i="1"/>
  <c r="CX7" i="1"/>
  <c r="CW7" i="1"/>
  <c r="CV7" i="1"/>
  <c r="CU7" i="1"/>
  <c r="CT7" i="1"/>
  <c r="CS7" i="1"/>
  <c r="CR7" i="1"/>
  <c r="CY6" i="1"/>
  <c r="CX6" i="1"/>
  <c r="CW6" i="1"/>
  <c r="CV6" i="1"/>
  <c r="CU6" i="1"/>
  <c r="CT6" i="1"/>
  <c r="CS6" i="1"/>
  <c r="CR6" i="1"/>
  <c r="CY5" i="1"/>
  <c r="CX5" i="1"/>
  <c r="CW5" i="1"/>
  <c r="CV5" i="1"/>
  <c r="CU5" i="1"/>
  <c r="CT5" i="1"/>
  <c r="CS5" i="1"/>
  <c r="CR5" i="1"/>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F26" i="12"/>
  <c r="D26" i="12" s="1"/>
  <c r="B3" i="12"/>
  <c r="B2" i="12" s="1"/>
  <c r="O4" i="10"/>
  <c r="B1" i="10"/>
  <c r="A4" i="9"/>
  <c r="B1" i="9"/>
  <c r="T123" i="6" l="1"/>
  <c r="J421" i="2"/>
  <c r="J695" i="2"/>
  <c r="T147" i="6"/>
  <c r="J609" i="2"/>
  <c r="J636" i="2"/>
  <c r="J408" i="2"/>
  <c r="J694" i="2"/>
  <c r="J631" i="2"/>
  <c r="J680" i="2"/>
  <c r="J640" i="2"/>
  <c r="J662" i="2"/>
  <c r="J655" i="2"/>
  <c r="J647" i="2"/>
  <c r="J679" i="2"/>
  <c r="J646" i="2"/>
  <c r="J661" i="2"/>
  <c r="J654" i="2"/>
  <c r="J630" i="2"/>
  <c r="J693" i="2"/>
  <c r="J639" i="2"/>
  <c r="J132" i="2"/>
  <c r="J168" i="2"/>
  <c r="J268" i="2"/>
  <c r="J281" i="2"/>
  <c r="T4" i="6"/>
  <c r="T12" i="6"/>
  <c r="T44" i="6"/>
  <c r="T60" i="6"/>
  <c r="J134" i="2"/>
  <c r="J102" i="2"/>
  <c r="J246" i="2"/>
  <c r="J419" i="2"/>
  <c r="J112" i="2"/>
  <c r="J244" i="2"/>
  <c r="J263" i="2"/>
  <c r="J323" i="2"/>
  <c r="J22" i="2"/>
  <c r="J31" i="2"/>
  <c r="J35" i="2"/>
  <c r="J47" i="2"/>
  <c r="J49" i="2"/>
  <c r="J85" i="2"/>
  <c r="J229" i="2"/>
  <c r="J315" i="2"/>
  <c r="J355" i="2"/>
  <c r="J382" i="2"/>
  <c r="J391" i="2"/>
  <c r="J400" i="2"/>
  <c r="J409" i="2"/>
  <c r="J474" i="2"/>
  <c r="J515" i="2"/>
  <c r="J518" i="2"/>
  <c r="J523" i="2"/>
  <c r="J3" i="2"/>
  <c r="J196" i="2"/>
  <c r="J202" i="2"/>
  <c r="J213" i="2"/>
  <c r="J452" i="2"/>
  <c r="J461" i="2"/>
  <c r="J538" i="2"/>
  <c r="J542" i="2"/>
  <c r="J133" i="2"/>
  <c r="J135" i="2"/>
  <c r="J167" i="2"/>
  <c r="J169" i="2"/>
  <c r="J267" i="2"/>
  <c r="J272" i="2"/>
  <c r="J499" i="2"/>
  <c r="J101" i="2"/>
  <c r="J245" i="2"/>
  <c r="J420" i="2"/>
  <c r="J488" i="2"/>
  <c r="J559" i="2"/>
  <c r="J606" i="2"/>
  <c r="J623" i="2"/>
  <c r="J5" i="2"/>
  <c r="J99" i="2"/>
  <c r="J23" i="2"/>
  <c r="J36" i="2"/>
  <c r="J46" i="2"/>
  <c r="J48" i="2"/>
  <c r="J50" i="2"/>
  <c r="J291" i="2"/>
  <c r="J348" i="2"/>
  <c r="J385" i="2"/>
  <c r="J399" i="2"/>
  <c r="J519" i="2"/>
  <c r="J524" i="2"/>
  <c r="J550" i="2"/>
  <c r="J599" i="2"/>
  <c r="J349" i="2"/>
  <c r="J351" i="2"/>
  <c r="J350" i="2"/>
  <c r="J611" i="2"/>
  <c r="J604" i="2"/>
  <c r="J616" i="2"/>
  <c r="J622" i="2"/>
  <c r="J597" i="2"/>
  <c r="J581" i="2"/>
  <c r="J576" i="2"/>
  <c r="J547" i="2"/>
  <c r="J571" i="2"/>
  <c r="J564" i="2"/>
  <c r="J556" i="2"/>
  <c r="J591" i="2"/>
  <c r="J530" i="2"/>
  <c r="J514" i="2"/>
  <c r="J468" i="2"/>
  <c r="J491" i="2"/>
  <c r="J476" i="2"/>
  <c r="J503" i="2"/>
  <c r="J444" i="2"/>
  <c r="J428" i="2"/>
  <c r="J437" i="2"/>
  <c r="J414" i="2"/>
  <c r="J374" i="2"/>
  <c r="J381" i="2"/>
  <c r="J368" i="2"/>
  <c r="J361" i="2"/>
  <c r="J347" i="2"/>
  <c r="J333" i="2"/>
  <c r="J342" i="2"/>
  <c r="J318" i="2"/>
  <c r="J294" i="2"/>
  <c r="J308" i="2"/>
  <c r="J241" i="2"/>
  <c r="J289" i="2"/>
  <c r="J265" i="2"/>
  <c r="J301" i="2"/>
  <c r="J283" i="2"/>
  <c r="J313" i="2"/>
  <c r="J226" i="2"/>
  <c r="J193" i="2"/>
  <c r="J130" i="2"/>
  <c r="J166" i="2"/>
  <c r="J95" i="2"/>
  <c r="J19" i="2"/>
  <c r="T93" i="6"/>
  <c r="J527" i="2"/>
  <c r="J150" i="2"/>
  <c r="J121" i="2"/>
  <c r="J123" i="2"/>
  <c r="J122" i="2"/>
  <c r="J596" i="2"/>
  <c r="J603" i="2"/>
  <c r="J615" i="2"/>
  <c r="J621" i="2"/>
  <c r="J610" i="2"/>
  <c r="J575" i="2"/>
  <c r="J570" i="2"/>
  <c r="J590" i="2"/>
  <c r="J563" i="2"/>
  <c r="J580" i="2"/>
  <c r="J555" i="2"/>
  <c r="J546" i="2"/>
  <c r="J529" i="2"/>
  <c r="J475" i="2"/>
  <c r="J490" i="2"/>
  <c r="J467" i="2"/>
  <c r="J502" i="2"/>
  <c r="J513" i="2"/>
  <c r="J443" i="2"/>
  <c r="J436" i="2"/>
  <c r="J427" i="2"/>
  <c r="J413" i="2"/>
  <c r="J380" i="2"/>
  <c r="J373" i="2"/>
  <c r="J360" i="2"/>
  <c r="J367" i="2"/>
  <c r="J346" i="2"/>
  <c r="J341" i="2"/>
  <c r="J332" i="2"/>
  <c r="J317" i="2"/>
  <c r="J300" i="2"/>
  <c r="J282" i="2"/>
  <c r="J288" i="2"/>
  <c r="J264" i="2"/>
  <c r="J312" i="2"/>
  <c r="J293" i="2"/>
  <c r="J240" i="2"/>
  <c r="J307" i="2"/>
  <c r="J225" i="2"/>
  <c r="J165" i="2"/>
  <c r="J192" i="2"/>
  <c r="J129" i="2"/>
  <c r="J94" i="2"/>
  <c r="J18" i="2"/>
  <c r="T95" i="6"/>
  <c r="T111" i="6"/>
  <c r="T135" i="6"/>
  <c r="T167" i="6"/>
  <c r="T48" i="6"/>
  <c r="J445" i="2"/>
  <c r="J269" i="2"/>
  <c r="T171" i="6"/>
  <c r="AD1" i="1"/>
  <c r="AE1" i="1" s="1"/>
  <c r="AF1" i="1" s="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J1" i="1" s="1"/>
  <c r="BK1" i="1" s="1"/>
  <c r="BL1" i="1" s="1"/>
  <c r="BM1" i="1" s="1"/>
  <c r="BN1" i="1" s="1"/>
  <c r="BO1" i="1" s="1"/>
  <c r="AC285" i="17"/>
  <c r="AD285" i="17"/>
  <c r="AR285" i="17"/>
  <c r="T10" i="6"/>
  <c r="T14" i="6"/>
  <c r="T17" i="6"/>
  <c r="T18" i="6"/>
  <c r="T22" i="6"/>
  <c r="T62" i="6"/>
  <c r="T65" i="6"/>
  <c r="T66" i="6"/>
  <c r="T69" i="6"/>
  <c r="T129" i="6"/>
  <c r="T141" i="6"/>
  <c r="T145" i="6"/>
  <c r="T11" i="6"/>
  <c r="T15" i="6"/>
  <c r="T27" i="6"/>
  <c r="T43" i="6"/>
  <c r="T55" i="6"/>
  <c r="T59" i="6"/>
  <c r="T67" i="6"/>
  <c r="T68" i="6"/>
  <c r="T91" i="6"/>
  <c r="T92" i="6"/>
  <c r="T156" i="6"/>
  <c r="I18" i="9"/>
  <c r="K18" i="9"/>
  <c r="M18" i="9"/>
  <c r="T7" i="6"/>
  <c r="T35" i="6"/>
  <c r="T39" i="6"/>
  <c r="T139" i="6"/>
  <c r="T140" i="6"/>
  <c r="T75" i="6"/>
  <c r="T83" i="6"/>
  <c r="T87" i="6"/>
  <c r="T183" i="6"/>
  <c r="T5" i="6"/>
  <c r="T9" i="6"/>
  <c r="T114" i="6"/>
  <c r="T118" i="6"/>
  <c r="T122" i="6"/>
  <c r="T170" i="6"/>
  <c r="T76" i="6"/>
  <c r="T81" i="6"/>
  <c r="T97" i="6"/>
  <c r="T105" i="6"/>
  <c r="T148" i="6"/>
  <c r="T153" i="6"/>
  <c r="T160" i="6"/>
  <c r="T172" i="6"/>
  <c r="T173" i="6"/>
  <c r="T181" i="6"/>
  <c r="A11" i="9"/>
  <c r="K11" i="9"/>
  <c r="M11" i="9"/>
  <c r="I11" i="9"/>
  <c r="K4" i="9"/>
  <c r="I4" i="9"/>
  <c r="M4" i="9"/>
  <c r="C4" i="9"/>
  <c r="B4" i="9"/>
  <c r="AG285" i="17"/>
  <c r="AQ285" i="17"/>
  <c r="AF285" i="17"/>
  <c r="AP285" i="17"/>
  <c r="AH285" i="17"/>
  <c r="D286" i="17"/>
  <c r="C286" i="17"/>
  <c r="B286" i="17"/>
  <c r="E286" i="17"/>
  <c r="A287" i="17"/>
  <c r="T359" i="5"/>
  <c r="T431" i="5"/>
  <c r="T503" i="5"/>
  <c r="T575" i="5"/>
  <c r="T719" i="5"/>
  <c r="T791" i="5"/>
  <c r="T863" i="5"/>
  <c r="T23" i="6"/>
  <c r="T33" i="6"/>
  <c r="T38" i="6"/>
  <c r="T45" i="6"/>
  <c r="T61" i="6"/>
  <c r="T84" i="6"/>
  <c r="T98" i="6"/>
  <c r="T106" i="6"/>
  <c r="T121" i="6"/>
  <c r="T128" i="6"/>
  <c r="T131" i="6"/>
  <c r="T150" i="6"/>
  <c r="T158" i="6"/>
  <c r="T166" i="6"/>
  <c r="T25" i="6"/>
  <c r="T32" i="6"/>
  <c r="T63" i="6"/>
  <c r="T86" i="6"/>
  <c r="T103" i="6"/>
  <c r="T144" i="6"/>
  <c r="T34" i="6"/>
  <c r="T41" i="6"/>
  <c r="T49" i="6"/>
  <c r="T52" i="6"/>
  <c r="T57" i="6"/>
  <c r="T102" i="6"/>
  <c r="T110" i="6"/>
  <c r="T112" i="6"/>
  <c r="T117" i="6"/>
  <c r="T132" i="6"/>
  <c r="T154" i="6"/>
  <c r="T162" i="6"/>
  <c r="T169" i="6"/>
  <c r="T177" i="6"/>
  <c r="T16" i="6"/>
  <c r="T36" i="6"/>
  <c r="T46" i="6"/>
  <c r="T51" i="6"/>
  <c r="T74" i="6"/>
  <c r="T89" i="6"/>
  <c r="T99" i="6"/>
  <c r="T104" i="6"/>
  <c r="T107" i="6"/>
  <c r="T134" i="6"/>
  <c r="T151" i="6"/>
  <c r="T159" i="6"/>
  <c r="T647" i="5"/>
  <c r="T395" i="5"/>
  <c r="T467" i="5"/>
  <c r="T539" i="5"/>
  <c r="T611" i="5"/>
  <c r="T683" i="5"/>
  <c r="T755" i="5"/>
  <c r="T827" i="5"/>
  <c r="C3" i="12"/>
  <c r="T94" i="6"/>
  <c r="T155" i="6"/>
  <c r="CZ8" i="1"/>
  <c r="DB8" i="1" s="1"/>
  <c r="CZ12" i="1"/>
  <c r="DB12" i="1" s="1"/>
  <c r="CZ36" i="1"/>
  <c r="DB36" i="1" s="1"/>
  <c r="T146" i="6"/>
  <c r="T413" i="5"/>
  <c r="T557" i="5"/>
  <c r="T629" i="5"/>
  <c r="T701" i="5"/>
  <c r="T50" i="6"/>
  <c r="DA15" i="1"/>
  <c r="DA27" i="1"/>
  <c r="T47" i="6"/>
  <c r="T100" i="6"/>
  <c r="T113" i="6"/>
  <c r="T143" i="6"/>
  <c r="T8" i="6"/>
  <c r="T13" i="6"/>
  <c r="T26" i="6"/>
  <c r="T64" i="6"/>
  <c r="T78" i="6"/>
  <c r="T130" i="6"/>
  <c r="T157" i="6"/>
  <c r="T174" i="6"/>
  <c r="T178" i="6"/>
  <c r="T182" i="6"/>
  <c r="T2" i="6"/>
  <c r="T21" i="6"/>
  <c r="T30" i="6"/>
  <c r="T56" i="6"/>
  <c r="T73" i="6"/>
  <c r="T82" i="6"/>
  <c r="T96" i="6"/>
  <c r="T109" i="6"/>
  <c r="T152" i="6"/>
  <c r="T161" i="6"/>
  <c r="T165" i="6"/>
  <c r="T19" i="6"/>
  <c r="T20" i="6"/>
  <c r="T28" i="6"/>
  <c r="T42" i="6"/>
  <c r="T71" i="6"/>
  <c r="T72" i="6"/>
  <c r="T90" i="6"/>
  <c r="T108" i="6"/>
  <c r="T138" i="6"/>
  <c r="T163" i="6"/>
  <c r="T164" i="6"/>
  <c r="T6" i="6"/>
  <c r="T58" i="6"/>
  <c r="T115" i="6"/>
  <c r="T116" i="6"/>
  <c r="T124" i="6"/>
  <c r="T168" i="6"/>
  <c r="T24" i="6"/>
  <c r="T37" i="6"/>
  <c r="T79" i="6"/>
  <c r="T80" i="6"/>
  <c r="T85" i="6"/>
  <c r="T119" i="6"/>
  <c r="T120" i="6"/>
  <c r="T133" i="6"/>
  <c r="T175" i="6"/>
  <c r="T176" i="6"/>
  <c r="T179" i="6"/>
  <c r="T180" i="6"/>
  <c r="T31" i="6"/>
  <c r="T40" i="6"/>
  <c r="T70" i="6"/>
  <c r="T88" i="6"/>
  <c r="T136" i="6"/>
  <c r="T149" i="6"/>
  <c r="T3" i="6"/>
  <c r="T127" i="6"/>
  <c r="T485" i="5"/>
  <c r="T773" i="5"/>
  <c r="T845" i="5"/>
  <c r="T1077" i="5"/>
  <c r="T1101" i="5"/>
  <c r="T1125" i="5"/>
  <c r="T1149" i="5"/>
  <c r="T1173" i="5"/>
  <c r="T1182" i="5"/>
  <c r="T1071" i="5"/>
  <c r="T1095" i="5"/>
  <c r="T1119" i="5"/>
  <c r="T1143" i="5"/>
  <c r="T1167" i="5"/>
  <c r="T1191" i="5"/>
  <c r="T377" i="5"/>
  <c r="T449" i="5"/>
  <c r="T521" i="5"/>
  <c r="T593" i="5"/>
  <c r="T665" i="5"/>
  <c r="T737" i="5"/>
  <c r="T809" i="5"/>
  <c r="T881" i="5"/>
  <c r="T1089" i="5"/>
  <c r="T1113" i="5"/>
  <c r="T1137" i="5"/>
  <c r="T1161" i="5"/>
  <c r="T1185" i="5"/>
  <c r="T1083" i="5"/>
  <c r="T1107" i="5"/>
  <c r="T1131" i="5"/>
  <c r="T1155" i="5"/>
  <c r="T1179" i="5"/>
  <c r="K18" i="12"/>
  <c r="Z18" i="12"/>
  <c r="T18" i="12"/>
  <c r="DA29" i="1"/>
  <c r="DA41" i="1"/>
  <c r="CZ5" i="1"/>
  <c r="DB5" i="1" s="1"/>
  <c r="CZ9" i="1"/>
  <c r="DB9" i="1" s="1"/>
  <c r="CZ17" i="1"/>
  <c r="DB17" i="1" s="1"/>
  <c r="CZ21" i="1"/>
  <c r="DB21" i="1" s="1"/>
  <c r="CZ29" i="1"/>
  <c r="DB29" i="1" s="1"/>
  <c r="CZ33" i="1"/>
  <c r="DB33" i="1" s="1"/>
  <c r="CZ37" i="1"/>
  <c r="DB37" i="1" s="1"/>
  <c r="DA7" i="1"/>
  <c r="DA19" i="1"/>
  <c r="CZ26" i="1"/>
  <c r="DB26" i="1" s="1"/>
  <c r="DA23" i="1"/>
  <c r="DA38" i="1"/>
  <c r="DA39" i="1"/>
  <c r="CZ15" i="1"/>
  <c r="DB15" i="1" s="1"/>
  <c r="CZ23" i="1"/>
  <c r="DB23" i="1" s="1"/>
  <c r="CZ35" i="1"/>
  <c r="DB35" i="1" s="1"/>
  <c r="CZ24" i="1"/>
  <c r="DB24" i="1" s="1"/>
  <c r="CZ41" i="1"/>
  <c r="DB41" i="1" s="1"/>
  <c r="CZ13" i="1"/>
  <c r="DB13" i="1" s="1"/>
  <c r="CZ32" i="1"/>
  <c r="DB32" i="1" s="1"/>
  <c r="DA43" i="1"/>
  <c r="DA17" i="1"/>
  <c r="CZ20" i="1"/>
  <c r="DB20" i="1" s="1"/>
  <c r="DA26" i="1"/>
  <c r="CZ27" i="1"/>
  <c r="DB27" i="1" s="1"/>
  <c r="DA32" i="1"/>
  <c r="DA33" i="1"/>
  <c r="DA37" i="1"/>
  <c r="DA11" i="1"/>
  <c r="CZ14" i="1"/>
  <c r="DB14" i="1" s="1"/>
  <c r="DA20" i="1"/>
  <c r="DA21" i="1"/>
  <c r="CZ30" i="1"/>
  <c r="DB30" i="1" s="1"/>
  <c r="DA5" i="1"/>
  <c r="CZ11" i="1"/>
  <c r="DB11" i="1" s="1"/>
  <c r="DA14" i="1"/>
  <c r="CZ18" i="1"/>
  <c r="DB18" i="1" s="1"/>
  <c r="DA25" i="1"/>
  <c r="DA31" i="1"/>
  <c r="DA8" i="1"/>
  <c r="DA9" i="1"/>
  <c r="DA13" i="1"/>
  <c r="CZ34" i="1"/>
  <c r="DB34" i="1" s="1"/>
  <c r="CZ42" i="1"/>
  <c r="DB42" i="1" s="1"/>
  <c r="CZ6" i="1"/>
  <c r="DB6" i="1" s="1"/>
  <c r="CZ22" i="1"/>
  <c r="DB22" i="1" s="1"/>
  <c r="CZ25" i="1"/>
  <c r="DB25" i="1" s="1"/>
  <c r="DA35" i="1"/>
  <c r="CZ38" i="1"/>
  <c r="DB38" i="1" s="1"/>
  <c r="CZ39" i="1"/>
  <c r="DB39" i="1" s="1"/>
  <c r="B8" i="9"/>
  <c r="B7" i="9" s="1"/>
  <c r="Z9" i="12"/>
  <c r="AI9" i="12"/>
  <c r="C11" i="12"/>
  <c r="AA11" i="12"/>
  <c r="T2" i="5"/>
  <c r="T3" i="5"/>
  <c r="T4" i="5"/>
  <c r="T5" i="5"/>
  <c r="T6" i="5"/>
  <c r="T7" i="5"/>
  <c r="T8" i="5"/>
  <c r="T9" i="5"/>
  <c r="T10" i="5"/>
  <c r="T11" i="5"/>
  <c r="T12" i="5"/>
  <c r="T13" i="5"/>
  <c r="T14" i="5"/>
  <c r="T15" i="5"/>
  <c r="T16" i="5"/>
  <c r="T18" i="5"/>
  <c r="T19" i="5"/>
  <c r="T20" i="5"/>
  <c r="T21" i="5"/>
  <c r="T22" i="5"/>
  <c r="T23" i="5"/>
  <c r="T24" i="5"/>
  <c r="T25" i="5"/>
  <c r="T26" i="5"/>
  <c r="T27" i="5"/>
  <c r="T28" i="5"/>
  <c r="T29" i="5"/>
  <c r="T30" i="5"/>
  <c r="T31" i="5"/>
  <c r="T32" i="5"/>
  <c r="T33" i="5"/>
  <c r="T34" i="5"/>
  <c r="T36" i="5"/>
  <c r="T37" i="5"/>
  <c r="T38" i="5"/>
  <c r="T39" i="5"/>
  <c r="T40" i="5"/>
  <c r="T41" i="5"/>
  <c r="T42" i="5"/>
  <c r="T43" i="5"/>
  <c r="T44" i="5"/>
  <c r="T45" i="5"/>
  <c r="T46" i="5"/>
  <c r="T47" i="5"/>
  <c r="T48" i="5"/>
  <c r="T49" i="5"/>
  <c r="T50" i="5"/>
  <c r="T51" i="5"/>
  <c r="T52"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8" i="5"/>
  <c r="T199" i="5"/>
  <c r="T200" i="5"/>
  <c r="T201" i="5"/>
  <c r="T202" i="5"/>
  <c r="T203" i="5"/>
  <c r="T204" i="5"/>
  <c r="T205" i="5"/>
  <c r="T206" i="5"/>
  <c r="T207" i="5"/>
  <c r="T208" i="5"/>
  <c r="T209" i="5"/>
  <c r="T210" i="5"/>
  <c r="T211" i="5"/>
  <c r="T212" i="5"/>
  <c r="T213" i="5"/>
  <c r="T214" i="5"/>
  <c r="T216" i="5"/>
  <c r="T217" i="5"/>
  <c r="T218" i="5"/>
  <c r="T219" i="5"/>
  <c r="T220" i="5"/>
  <c r="T221" i="5"/>
  <c r="T222" i="5"/>
  <c r="T223" i="5"/>
  <c r="T224" i="5"/>
  <c r="T225" i="5"/>
  <c r="T226" i="5"/>
  <c r="T227" i="5"/>
  <c r="T228" i="5"/>
  <c r="T229" i="5"/>
  <c r="T230" i="5"/>
  <c r="T231" i="5"/>
  <c r="T232" i="5"/>
  <c r="T234" i="5"/>
  <c r="T235" i="5"/>
  <c r="T236" i="5"/>
  <c r="T237" i="5"/>
  <c r="T238" i="5"/>
  <c r="T239" i="5"/>
  <c r="T240" i="5"/>
  <c r="T241" i="5"/>
  <c r="T242" i="5"/>
  <c r="T243" i="5"/>
  <c r="T244" i="5"/>
  <c r="T245" i="5"/>
  <c r="T246" i="5"/>
  <c r="T247" i="5"/>
  <c r="T248" i="5"/>
  <c r="T249" i="5"/>
  <c r="T250" i="5"/>
  <c r="T252" i="5"/>
  <c r="T253" i="5"/>
  <c r="T254" i="5"/>
  <c r="T255" i="5"/>
  <c r="T256" i="5"/>
  <c r="T257" i="5"/>
  <c r="T258" i="5"/>
  <c r="T259" i="5"/>
  <c r="T260" i="5"/>
  <c r="T261" i="5"/>
  <c r="T262" i="5"/>
  <c r="T263" i="5"/>
  <c r="T264" i="5"/>
  <c r="T265" i="5"/>
  <c r="T266" i="5"/>
  <c r="T267" i="5"/>
  <c r="T268"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4" i="5"/>
  <c r="T325" i="5"/>
  <c r="T326" i="5"/>
  <c r="T327" i="5"/>
  <c r="T328" i="5"/>
  <c r="T329" i="5"/>
  <c r="T330" i="5"/>
  <c r="T331" i="5"/>
  <c r="T332" i="5"/>
  <c r="T333" i="5"/>
  <c r="T334" i="5"/>
  <c r="T335" i="5"/>
  <c r="T336" i="5"/>
  <c r="T337" i="5"/>
  <c r="T338" i="5"/>
  <c r="T339" i="5"/>
  <c r="T340" i="5"/>
  <c r="T342" i="5"/>
  <c r="T343" i="5"/>
  <c r="T344" i="5"/>
  <c r="T345" i="5"/>
  <c r="T346" i="5"/>
  <c r="T347" i="5"/>
  <c r="T348" i="5"/>
  <c r="T349" i="5"/>
  <c r="T350" i="5"/>
  <c r="T351" i="5"/>
  <c r="T352" i="5"/>
  <c r="T353" i="5"/>
  <c r="T354" i="5"/>
  <c r="T355" i="5"/>
  <c r="T356" i="5"/>
  <c r="T357" i="5"/>
  <c r="T358" i="5"/>
  <c r="T360" i="5"/>
  <c r="T361" i="5"/>
  <c r="T362" i="5"/>
  <c r="T363" i="5"/>
  <c r="T364" i="5"/>
  <c r="T365" i="5"/>
  <c r="T366" i="5"/>
  <c r="T367" i="5"/>
  <c r="T368" i="5"/>
  <c r="T369" i="5"/>
  <c r="T370" i="5"/>
  <c r="T371" i="5"/>
  <c r="T372" i="5"/>
  <c r="T373" i="5"/>
  <c r="T374" i="5"/>
  <c r="T375" i="5"/>
  <c r="T376" i="5"/>
  <c r="T378" i="5"/>
  <c r="T379" i="5"/>
  <c r="T380" i="5"/>
  <c r="T381" i="5"/>
  <c r="T382" i="5"/>
  <c r="T383" i="5"/>
  <c r="T384" i="5"/>
  <c r="T385" i="5"/>
  <c r="T386" i="5"/>
  <c r="T387" i="5"/>
  <c r="T388" i="5"/>
  <c r="T389" i="5"/>
  <c r="T390" i="5"/>
  <c r="T391" i="5"/>
  <c r="T392" i="5"/>
  <c r="T393" i="5"/>
  <c r="T394" i="5"/>
  <c r="T396" i="5"/>
  <c r="T397" i="5"/>
  <c r="T398" i="5"/>
  <c r="T399" i="5"/>
  <c r="T400" i="5"/>
  <c r="T401" i="5"/>
  <c r="T402" i="5"/>
  <c r="T403" i="5"/>
  <c r="T404" i="5"/>
  <c r="T405" i="5"/>
  <c r="T406" i="5"/>
  <c r="T407" i="5"/>
  <c r="T408" i="5"/>
  <c r="T409" i="5"/>
  <c r="T410" i="5"/>
  <c r="T411" i="5"/>
  <c r="T412" i="5"/>
  <c r="T414" i="5"/>
  <c r="T415" i="5"/>
  <c r="T416" i="5"/>
  <c r="T417" i="5"/>
  <c r="T418" i="5"/>
  <c r="T419" i="5"/>
  <c r="T420" i="5"/>
  <c r="T421" i="5"/>
  <c r="T422" i="5"/>
  <c r="T423" i="5"/>
  <c r="T424" i="5"/>
  <c r="T425" i="5"/>
  <c r="T426" i="5"/>
  <c r="T427" i="5"/>
  <c r="T428" i="5"/>
  <c r="T429" i="5"/>
  <c r="T430" i="5"/>
  <c r="T432" i="5"/>
  <c r="T433" i="5"/>
  <c r="T434" i="5"/>
  <c r="T435" i="5"/>
  <c r="T436" i="5"/>
  <c r="T437" i="5"/>
  <c r="T438" i="5"/>
  <c r="T439" i="5"/>
  <c r="T440" i="5"/>
  <c r="T441" i="5"/>
  <c r="T442" i="5"/>
  <c r="T443" i="5"/>
  <c r="T444" i="5"/>
  <c r="T445" i="5"/>
  <c r="T446" i="5"/>
  <c r="T447" i="5"/>
  <c r="T448" i="5"/>
  <c r="T450" i="5"/>
  <c r="T451" i="5"/>
  <c r="T452" i="5"/>
  <c r="T453" i="5"/>
  <c r="T454" i="5"/>
  <c r="T455" i="5"/>
  <c r="T456" i="5"/>
  <c r="T457" i="5"/>
  <c r="T458" i="5"/>
  <c r="T459" i="5"/>
  <c r="T460" i="5"/>
  <c r="T461" i="5"/>
  <c r="T462" i="5"/>
  <c r="T463" i="5"/>
  <c r="T464" i="5"/>
  <c r="T465" i="5"/>
  <c r="T466" i="5"/>
  <c r="T468" i="5"/>
  <c r="T469" i="5"/>
  <c r="T470" i="5"/>
  <c r="T471" i="5"/>
  <c r="T472" i="5"/>
  <c r="T473" i="5"/>
  <c r="T474" i="5"/>
  <c r="T475" i="5"/>
  <c r="T476" i="5"/>
  <c r="T477" i="5"/>
  <c r="T478" i="5"/>
  <c r="T479" i="5"/>
  <c r="T480" i="5"/>
  <c r="T481" i="5"/>
  <c r="T482" i="5"/>
  <c r="T483" i="5"/>
  <c r="T484" i="5"/>
  <c r="T486" i="5"/>
  <c r="T487" i="5"/>
  <c r="T488" i="5"/>
  <c r="T489" i="5"/>
  <c r="T490" i="5"/>
  <c r="T491" i="5"/>
  <c r="T492" i="5"/>
  <c r="T493" i="5"/>
  <c r="T494" i="5"/>
  <c r="T495" i="5"/>
  <c r="T496" i="5"/>
  <c r="T497" i="5"/>
  <c r="T498" i="5"/>
  <c r="T499" i="5"/>
  <c r="T500" i="5"/>
  <c r="T501" i="5"/>
  <c r="T502" i="5"/>
  <c r="T504" i="5"/>
  <c r="T505" i="5"/>
  <c r="T506" i="5"/>
  <c r="T507" i="5"/>
  <c r="T508" i="5"/>
  <c r="T509" i="5"/>
  <c r="T510" i="5"/>
  <c r="T511" i="5"/>
  <c r="T512" i="5"/>
  <c r="T513" i="5"/>
  <c r="T514" i="5"/>
  <c r="T515" i="5"/>
  <c r="T516" i="5"/>
  <c r="T517" i="5"/>
  <c r="T518" i="5"/>
  <c r="T519" i="5"/>
  <c r="T520" i="5"/>
  <c r="T522" i="5"/>
  <c r="T523" i="5"/>
  <c r="T524" i="5"/>
  <c r="T525" i="5"/>
  <c r="T526" i="5"/>
  <c r="T527" i="5"/>
  <c r="T528" i="5"/>
  <c r="T529" i="5"/>
  <c r="T530" i="5"/>
  <c r="T531" i="5"/>
  <c r="T532" i="5"/>
  <c r="T533" i="5"/>
  <c r="T534" i="5"/>
  <c r="T535" i="5"/>
  <c r="T536" i="5"/>
  <c r="T537" i="5"/>
  <c r="T538" i="5"/>
  <c r="T540" i="5"/>
  <c r="T541" i="5"/>
  <c r="T542" i="5"/>
  <c r="T543" i="5"/>
  <c r="T544" i="5"/>
  <c r="T545" i="5"/>
  <c r="T546" i="5"/>
  <c r="T547" i="5"/>
  <c r="T548" i="5"/>
  <c r="T549" i="5"/>
  <c r="T550" i="5"/>
  <c r="T551" i="5"/>
  <c r="T552" i="5"/>
  <c r="T553" i="5"/>
  <c r="T554" i="5"/>
  <c r="T555" i="5"/>
  <c r="T556" i="5"/>
  <c r="T558" i="5"/>
  <c r="T559" i="5"/>
  <c r="T560" i="5"/>
  <c r="T561" i="5"/>
  <c r="T562" i="5"/>
  <c r="T563" i="5"/>
  <c r="T564" i="5"/>
  <c r="T565" i="5"/>
  <c r="T566" i="5"/>
  <c r="T567" i="5"/>
  <c r="T568" i="5"/>
  <c r="T569" i="5"/>
  <c r="T570" i="5"/>
  <c r="T571" i="5"/>
  <c r="T572" i="5"/>
  <c r="T573" i="5"/>
  <c r="T574" i="5"/>
  <c r="T576" i="5"/>
  <c r="T577" i="5"/>
  <c r="T578" i="5"/>
  <c r="T579" i="5"/>
  <c r="T580" i="5"/>
  <c r="T581" i="5"/>
  <c r="T582" i="5"/>
  <c r="T583" i="5"/>
  <c r="T584" i="5"/>
  <c r="T585" i="5"/>
  <c r="T586" i="5"/>
  <c r="T587" i="5"/>
  <c r="T588" i="5"/>
  <c r="T589" i="5"/>
  <c r="T590" i="5"/>
  <c r="T591" i="5"/>
  <c r="T592" i="5"/>
  <c r="T594" i="5"/>
  <c r="T595" i="5"/>
  <c r="T596" i="5"/>
  <c r="T597" i="5"/>
  <c r="T598" i="5"/>
  <c r="T599" i="5"/>
  <c r="T600" i="5"/>
  <c r="T601" i="5"/>
  <c r="T602" i="5"/>
  <c r="T603" i="5"/>
  <c r="T604" i="5"/>
  <c r="T605" i="5"/>
  <c r="T606" i="5"/>
  <c r="T607" i="5"/>
  <c r="T608" i="5"/>
  <c r="T609" i="5"/>
  <c r="T610" i="5"/>
  <c r="T612" i="5"/>
  <c r="T613" i="5"/>
  <c r="T614" i="5"/>
  <c r="T615" i="5"/>
  <c r="T616" i="5"/>
  <c r="T617" i="5"/>
  <c r="T618" i="5"/>
  <c r="T619" i="5"/>
  <c r="T620" i="5"/>
  <c r="T621" i="5"/>
  <c r="T622" i="5"/>
  <c r="T623" i="5"/>
  <c r="T624" i="5"/>
  <c r="T625" i="5"/>
  <c r="T626" i="5"/>
  <c r="T627" i="5"/>
  <c r="T628" i="5"/>
  <c r="T630" i="5"/>
  <c r="T631" i="5"/>
  <c r="T632" i="5"/>
  <c r="T633" i="5"/>
  <c r="T634" i="5"/>
  <c r="T635" i="5"/>
  <c r="T636" i="5"/>
  <c r="T637" i="5"/>
  <c r="T638" i="5"/>
  <c r="T639" i="5"/>
  <c r="T640" i="5"/>
  <c r="T641" i="5"/>
  <c r="T642" i="5"/>
  <c r="T643" i="5"/>
  <c r="T644" i="5"/>
  <c r="T645" i="5"/>
  <c r="T646" i="5"/>
  <c r="T648" i="5"/>
  <c r="T649" i="5"/>
  <c r="T650" i="5"/>
  <c r="T651" i="5"/>
  <c r="T652" i="5"/>
  <c r="T653" i="5"/>
  <c r="T654" i="5"/>
  <c r="T655" i="5"/>
  <c r="T656" i="5"/>
  <c r="T657" i="5"/>
  <c r="T658" i="5"/>
  <c r="T659" i="5"/>
  <c r="T660" i="5"/>
  <c r="T661" i="5"/>
  <c r="T662" i="5"/>
  <c r="T663" i="5"/>
  <c r="T664" i="5"/>
  <c r="T666" i="5"/>
  <c r="T667" i="5"/>
  <c r="T668" i="5"/>
  <c r="T669" i="5"/>
  <c r="T670" i="5"/>
  <c r="T671" i="5"/>
  <c r="T672" i="5"/>
  <c r="T673" i="5"/>
  <c r="T674" i="5"/>
  <c r="T675" i="5"/>
  <c r="T676" i="5"/>
  <c r="T677" i="5"/>
  <c r="T678" i="5"/>
  <c r="T679" i="5"/>
  <c r="T680" i="5"/>
  <c r="T681" i="5"/>
  <c r="T682" i="5"/>
  <c r="T684" i="5"/>
  <c r="T685" i="5"/>
  <c r="T686" i="5"/>
  <c r="T687" i="5"/>
  <c r="T688" i="5"/>
  <c r="T689" i="5"/>
  <c r="T690" i="5"/>
  <c r="T691" i="5"/>
  <c r="T692" i="5"/>
  <c r="T693" i="5"/>
  <c r="T694" i="5"/>
  <c r="T695" i="5"/>
  <c r="T696" i="5"/>
  <c r="T697" i="5"/>
  <c r="T698" i="5"/>
  <c r="T699" i="5"/>
  <c r="T700" i="5"/>
  <c r="T702" i="5"/>
  <c r="T703" i="5"/>
  <c r="T704" i="5"/>
  <c r="T705" i="5"/>
  <c r="T706" i="5"/>
  <c r="T707" i="5"/>
  <c r="T708" i="5"/>
  <c r="T709" i="5"/>
  <c r="T710" i="5"/>
  <c r="T711" i="5"/>
  <c r="T712" i="5"/>
  <c r="T713" i="5"/>
  <c r="T714" i="5"/>
  <c r="T715" i="5"/>
  <c r="T716" i="5"/>
  <c r="T717" i="5"/>
  <c r="T718" i="5"/>
  <c r="T720" i="5"/>
  <c r="T721" i="5"/>
  <c r="T722" i="5"/>
  <c r="T723" i="5"/>
  <c r="T724" i="5"/>
  <c r="T725" i="5"/>
  <c r="T726" i="5"/>
  <c r="T727" i="5"/>
  <c r="T728" i="5"/>
  <c r="T729" i="5"/>
  <c r="T730" i="5"/>
  <c r="T731" i="5"/>
  <c r="T732" i="5"/>
  <c r="T733" i="5"/>
  <c r="T734" i="5"/>
  <c r="T735" i="5"/>
  <c r="T736" i="5"/>
  <c r="T738" i="5"/>
  <c r="T739" i="5"/>
  <c r="T740" i="5"/>
  <c r="T741" i="5"/>
  <c r="T742" i="5"/>
  <c r="T743" i="5"/>
  <c r="T744" i="5"/>
  <c r="T745" i="5"/>
  <c r="T746" i="5"/>
  <c r="T747" i="5"/>
  <c r="T748" i="5"/>
  <c r="T749" i="5"/>
  <c r="T750" i="5"/>
  <c r="T751" i="5"/>
  <c r="T752" i="5"/>
  <c r="T753" i="5"/>
  <c r="T754" i="5"/>
  <c r="T756" i="5"/>
  <c r="T757" i="5"/>
  <c r="T758" i="5"/>
  <c r="T759" i="5"/>
  <c r="T760" i="5"/>
  <c r="T761" i="5"/>
  <c r="T762" i="5"/>
  <c r="T763" i="5"/>
  <c r="T764" i="5"/>
  <c r="T765" i="5"/>
  <c r="T766" i="5"/>
  <c r="T767" i="5"/>
  <c r="T768" i="5"/>
  <c r="T769" i="5"/>
  <c r="T770" i="5"/>
  <c r="T771" i="5"/>
  <c r="T772" i="5"/>
  <c r="T774" i="5"/>
  <c r="T775" i="5"/>
  <c r="T776" i="5"/>
  <c r="T777" i="5"/>
  <c r="T778" i="5"/>
  <c r="T779" i="5"/>
  <c r="T780" i="5"/>
  <c r="T781" i="5"/>
  <c r="T782" i="5"/>
  <c r="T783" i="5"/>
  <c r="T784" i="5"/>
  <c r="T785" i="5"/>
  <c r="T786" i="5"/>
  <c r="T787" i="5"/>
  <c r="T788" i="5"/>
  <c r="T789" i="5"/>
  <c r="T790" i="5"/>
  <c r="T792" i="5"/>
  <c r="T793" i="5"/>
  <c r="T794" i="5"/>
  <c r="T795" i="5"/>
  <c r="T796" i="5"/>
  <c r="T797" i="5"/>
  <c r="T798" i="5"/>
  <c r="T799" i="5"/>
  <c r="T800" i="5"/>
  <c r="T801" i="5"/>
  <c r="T802" i="5"/>
  <c r="T803" i="5"/>
  <c r="T804" i="5"/>
  <c r="T805" i="5"/>
  <c r="T806" i="5"/>
  <c r="T807" i="5"/>
  <c r="T808" i="5"/>
  <c r="T810" i="5"/>
  <c r="T811" i="5"/>
  <c r="T812" i="5"/>
  <c r="T813" i="5"/>
  <c r="T814" i="5"/>
  <c r="T815" i="5"/>
  <c r="T816" i="5"/>
  <c r="T817" i="5"/>
  <c r="T818" i="5"/>
  <c r="T819" i="5"/>
  <c r="T820" i="5"/>
  <c r="T821" i="5"/>
  <c r="T822" i="5"/>
  <c r="T823" i="5"/>
  <c r="T824" i="5"/>
  <c r="T825" i="5"/>
  <c r="T826" i="5"/>
  <c r="T828" i="5"/>
  <c r="T829" i="5"/>
  <c r="T830" i="5"/>
  <c r="T831" i="5"/>
  <c r="T832" i="5"/>
  <c r="T833" i="5"/>
  <c r="T834" i="5"/>
  <c r="T835" i="5"/>
  <c r="T836" i="5"/>
  <c r="T837" i="5"/>
  <c r="T838" i="5"/>
  <c r="T839" i="5"/>
  <c r="T840" i="5"/>
  <c r="T841" i="5"/>
  <c r="T842" i="5"/>
  <c r="T843" i="5"/>
  <c r="T844" i="5"/>
  <c r="T846" i="5"/>
  <c r="T847" i="5"/>
  <c r="T848" i="5"/>
  <c r="T849" i="5"/>
  <c r="T850" i="5"/>
  <c r="T851" i="5"/>
  <c r="T852" i="5"/>
  <c r="T853" i="5"/>
  <c r="T854" i="5"/>
  <c r="T855" i="5"/>
  <c r="T856" i="5"/>
  <c r="T857" i="5"/>
  <c r="T858" i="5"/>
  <c r="T859" i="5"/>
  <c r="T860" i="5"/>
  <c r="T861" i="5"/>
  <c r="T862" i="5"/>
  <c r="T864" i="5"/>
  <c r="T865" i="5"/>
  <c r="T866" i="5"/>
  <c r="T867" i="5"/>
  <c r="T868" i="5"/>
  <c r="T869" i="5"/>
  <c r="T870" i="5"/>
  <c r="T871" i="5"/>
  <c r="T872" i="5"/>
  <c r="T873" i="5"/>
  <c r="T874" i="5"/>
  <c r="T875" i="5"/>
  <c r="T876" i="5"/>
  <c r="T877" i="5"/>
  <c r="T878" i="5"/>
  <c r="T879" i="5"/>
  <c r="T880" i="5"/>
  <c r="T882" i="5"/>
  <c r="T883" i="5"/>
  <c r="T884" i="5"/>
  <c r="T885" i="5"/>
  <c r="T886" i="5"/>
  <c r="T887" i="5"/>
  <c r="T888" i="5"/>
  <c r="T889" i="5"/>
  <c r="T890" i="5"/>
  <c r="T891" i="5"/>
  <c r="T892" i="5"/>
  <c r="T893" i="5"/>
  <c r="T894" i="5"/>
  <c r="T895" i="5"/>
  <c r="T896" i="5"/>
  <c r="T897" i="5"/>
  <c r="T898" i="5"/>
  <c r="T899" i="5"/>
  <c r="T900" i="5"/>
  <c r="T901" i="5"/>
  <c r="T902" i="5"/>
  <c r="T903" i="5"/>
  <c r="T904" i="5"/>
  <c r="T905" i="5"/>
  <c r="T906" i="5"/>
  <c r="T907" i="5"/>
  <c r="T908" i="5"/>
  <c r="T909" i="5"/>
  <c r="T910" i="5"/>
  <c r="T911" i="5"/>
  <c r="T912" i="5"/>
  <c r="T913" i="5"/>
  <c r="T914" i="5"/>
  <c r="T915" i="5"/>
  <c r="T916" i="5"/>
  <c r="T917" i="5"/>
  <c r="T918" i="5"/>
  <c r="T919" i="5"/>
  <c r="T920" i="5"/>
  <c r="T921" i="5"/>
  <c r="T922" i="5"/>
  <c r="T923" i="5"/>
  <c r="T924" i="5"/>
  <c r="T925" i="5"/>
  <c r="T926" i="5"/>
  <c r="T927" i="5"/>
  <c r="T928" i="5"/>
  <c r="T929" i="5"/>
  <c r="T930" i="5"/>
  <c r="T931" i="5"/>
  <c r="T932" i="5"/>
  <c r="T933" i="5"/>
  <c r="T934" i="5"/>
  <c r="T935" i="5"/>
  <c r="T936" i="5"/>
  <c r="T937" i="5"/>
  <c r="T938" i="5"/>
  <c r="T939" i="5"/>
  <c r="T940" i="5"/>
  <c r="T941" i="5"/>
  <c r="T942" i="5"/>
  <c r="T943" i="5"/>
  <c r="T944" i="5"/>
  <c r="T945" i="5"/>
  <c r="T946" i="5"/>
  <c r="T947" i="5"/>
  <c r="T948" i="5"/>
  <c r="T949" i="5"/>
  <c r="T950" i="5"/>
  <c r="T951" i="5"/>
  <c r="T952" i="5"/>
  <c r="T953" i="5"/>
  <c r="T954" i="5"/>
  <c r="T955" i="5"/>
  <c r="T956" i="5"/>
  <c r="T957" i="5"/>
  <c r="T958" i="5"/>
  <c r="T959" i="5"/>
  <c r="T960" i="5"/>
  <c r="T961" i="5"/>
  <c r="T962" i="5"/>
  <c r="T963" i="5"/>
  <c r="T964" i="5"/>
  <c r="T965" i="5"/>
  <c r="T966" i="5"/>
  <c r="T967" i="5"/>
  <c r="T968" i="5"/>
  <c r="T969" i="5"/>
  <c r="T970" i="5"/>
  <c r="T971" i="5"/>
  <c r="T972" i="5"/>
  <c r="T973" i="5"/>
  <c r="T974" i="5"/>
  <c r="T975" i="5"/>
  <c r="T976" i="5"/>
  <c r="T977" i="5"/>
  <c r="T978" i="5"/>
  <c r="T979" i="5"/>
  <c r="T980" i="5"/>
  <c r="T981" i="5"/>
  <c r="T982" i="5"/>
  <c r="T983" i="5"/>
  <c r="T984" i="5"/>
  <c r="T985" i="5"/>
  <c r="T986" i="5"/>
  <c r="T987" i="5"/>
  <c r="T988" i="5"/>
  <c r="T989" i="5"/>
  <c r="T990" i="5"/>
  <c r="T991" i="5"/>
  <c r="T992" i="5"/>
  <c r="T993" i="5"/>
  <c r="T994" i="5"/>
  <c r="T995" i="5"/>
  <c r="T996" i="5"/>
  <c r="T997" i="5"/>
  <c r="T998" i="5"/>
  <c r="T999" i="5"/>
  <c r="T1000" i="5"/>
  <c r="T1001" i="5"/>
  <c r="T1002" i="5"/>
  <c r="T1003" i="5"/>
  <c r="T1004" i="5"/>
  <c r="T1005" i="5"/>
  <c r="T1006" i="5"/>
  <c r="T1007" i="5"/>
  <c r="T1008" i="5"/>
  <c r="T1009" i="5"/>
  <c r="T1010" i="5"/>
  <c r="T1011" i="5"/>
  <c r="T1012" i="5"/>
  <c r="T1013" i="5"/>
  <c r="T1014" i="5"/>
  <c r="T1015" i="5"/>
  <c r="T1016" i="5"/>
  <c r="T1017" i="5"/>
  <c r="T1018" i="5"/>
  <c r="T1019" i="5"/>
  <c r="T1020" i="5"/>
  <c r="T1021" i="5"/>
  <c r="T1022" i="5"/>
  <c r="T1023" i="5"/>
  <c r="T1024" i="5"/>
  <c r="T1025" i="5"/>
  <c r="T1026" i="5"/>
  <c r="T1027" i="5"/>
  <c r="T1028" i="5"/>
  <c r="T1029" i="5"/>
  <c r="T1030" i="5"/>
  <c r="T1031" i="5"/>
  <c r="T1032" i="5"/>
  <c r="T1033" i="5"/>
  <c r="T1034" i="5"/>
  <c r="T1035" i="5"/>
  <c r="T1036" i="5"/>
  <c r="T1037" i="5"/>
  <c r="T1038" i="5"/>
  <c r="T1039" i="5"/>
  <c r="T1040" i="5"/>
  <c r="T1041" i="5"/>
  <c r="T1042" i="5"/>
  <c r="T1043" i="5"/>
  <c r="T1044" i="5"/>
  <c r="T1045" i="5"/>
  <c r="T1046" i="5"/>
  <c r="T1047" i="5"/>
  <c r="T1048" i="5"/>
  <c r="T1049" i="5"/>
  <c r="T1050" i="5"/>
  <c r="T1051" i="5"/>
  <c r="T1052" i="5"/>
  <c r="T1053" i="5"/>
  <c r="T1054" i="5"/>
  <c r="T1055" i="5"/>
  <c r="T1056" i="5"/>
  <c r="T1057" i="5"/>
  <c r="T1058" i="5"/>
  <c r="T1059" i="5"/>
  <c r="T1060" i="5"/>
  <c r="T1061" i="5"/>
  <c r="T1062" i="5"/>
  <c r="T1063" i="5"/>
  <c r="T1064" i="5"/>
  <c r="T1065" i="5"/>
  <c r="T1066" i="5"/>
  <c r="T1067" i="5"/>
  <c r="T1068" i="5"/>
  <c r="T1069" i="5"/>
  <c r="T1070" i="5"/>
  <c r="T1072" i="5"/>
  <c r="T1073" i="5"/>
  <c r="T1074" i="5"/>
  <c r="T1075" i="5"/>
  <c r="T1076" i="5"/>
  <c r="T1078" i="5"/>
  <c r="T1079" i="5"/>
  <c r="T1080" i="5"/>
  <c r="T1081" i="5"/>
  <c r="T1082" i="5"/>
  <c r="T1084" i="5"/>
  <c r="T1085" i="5"/>
  <c r="T1086" i="5"/>
  <c r="T1087" i="5"/>
  <c r="T1088" i="5"/>
  <c r="T1090" i="5"/>
  <c r="T1091" i="5"/>
  <c r="T1092" i="5"/>
  <c r="T1093" i="5"/>
  <c r="T1094" i="5"/>
  <c r="T1096" i="5"/>
  <c r="T1097" i="5"/>
  <c r="T1098" i="5"/>
  <c r="T1099" i="5"/>
  <c r="T1100" i="5"/>
  <c r="T1103" i="5"/>
  <c r="T1104" i="5"/>
  <c r="T1105" i="5"/>
  <c r="T1106" i="5"/>
  <c r="T1108" i="5"/>
  <c r="T1109" i="5"/>
  <c r="T1111" i="5"/>
  <c r="T1112" i="5"/>
  <c r="T1115" i="5"/>
  <c r="T1116" i="5"/>
  <c r="T1117" i="5"/>
  <c r="T1118" i="5"/>
  <c r="T1121" i="5"/>
  <c r="T1122" i="5"/>
  <c r="T1123" i="5"/>
  <c r="T1124" i="5"/>
  <c r="T1127" i="5"/>
  <c r="T1128" i="5"/>
  <c r="T1129" i="5"/>
  <c r="T1130" i="5"/>
  <c r="T1132" i="5"/>
  <c r="T1133" i="5"/>
  <c r="T1134" i="5"/>
  <c r="T1135" i="5"/>
  <c r="T1136" i="5"/>
  <c r="T1139" i="5"/>
  <c r="T1140" i="5"/>
  <c r="T1141" i="5"/>
  <c r="T1142" i="5"/>
  <c r="T1144" i="5"/>
  <c r="T1145" i="5"/>
  <c r="T1147" i="5"/>
  <c r="T1148" i="5"/>
  <c r="T1151" i="5"/>
  <c r="T1152" i="5"/>
  <c r="T1153" i="5"/>
  <c r="T1154" i="5"/>
  <c r="T1157" i="5"/>
  <c r="T1158" i="5"/>
  <c r="T1159" i="5"/>
  <c r="T1160" i="5"/>
  <c r="T1163" i="5"/>
  <c r="T1164" i="5"/>
  <c r="T1165" i="5"/>
  <c r="T1166" i="5"/>
  <c r="T1168" i="5"/>
  <c r="T1169" i="5"/>
  <c r="T1170" i="5"/>
  <c r="T1171" i="5"/>
  <c r="T1172" i="5"/>
  <c r="T1175" i="5"/>
  <c r="T1176" i="5"/>
  <c r="T1177" i="5"/>
  <c r="T1178" i="5"/>
  <c r="T1180" i="5"/>
  <c r="T1181" i="5"/>
  <c r="T1183" i="5"/>
  <c r="T1184" i="5"/>
  <c r="T1187" i="5"/>
  <c r="T1188" i="5"/>
  <c r="T1189" i="5"/>
  <c r="T1190" i="5"/>
  <c r="T1192" i="5"/>
  <c r="T1193" i="5"/>
  <c r="T1194" i="5"/>
  <c r="T1195" i="5"/>
  <c r="AH11" i="12"/>
  <c r="S18" i="12"/>
  <c r="K17" i="12"/>
  <c r="AH9" i="12"/>
  <c r="Z6" i="12"/>
  <c r="L18" i="12"/>
  <c r="D17" i="12"/>
  <c r="AI11" i="12"/>
  <c r="AA9" i="12"/>
  <c r="T6" i="12"/>
  <c r="C18" i="12"/>
  <c r="Z11" i="12"/>
  <c r="S9" i="12"/>
  <c r="K6" i="12"/>
  <c r="AI17" i="12"/>
  <c r="L9" i="12"/>
  <c r="J6" i="12"/>
  <c r="AI18" i="12"/>
  <c r="AA17" i="12"/>
  <c r="L11" i="12"/>
  <c r="D9" i="12"/>
  <c r="C6" i="12"/>
  <c r="T11" i="12"/>
  <c r="AH17" i="12"/>
  <c r="S11" i="12"/>
  <c r="K9" i="12"/>
  <c r="D6" i="12"/>
  <c r="AH18" i="12"/>
  <c r="Z17" i="12"/>
  <c r="K11" i="12"/>
  <c r="C9" i="12"/>
  <c r="B6" i="12"/>
  <c r="AA18" i="12"/>
  <c r="T17" i="12"/>
  <c r="D11" i="12"/>
  <c r="AI6" i="12"/>
  <c r="L6" i="12"/>
  <c r="S6" i="12"/>
  <c r="C17" i="12"/>
  <c r="AA6" i="12"/>
  <c r="L17" i="12"/>
  <c r="AH6" i="12"/>
  <c r="S17" i="12"/>
  <c r="T9" i="12"/>
  <c r="D18" i="12"/>
  <c r="B4" i="10"/>
  <c r="CZ10" i="1"/>
  <c r="DB10" i="1" s="1"/>
  <c r="CZ16" i="1"/>
  <c r="DB16" i="1" s="1"/>
  <c r="CZ28" i="1"/>
  <c r="DB28" i="1" s="1"/>
  <c r="CZ40" i="1"/>
  <c r="DB40" i="1" s="1"/>
  <c r="CZ7" i="1"/>
  <c r="DB7" i="1" s="1"/>
  <c r="CZ19" i="1"/>
  <c r="DB19" i="1" s="1"/>
  <c r="CZ31" i="1"/>
  <c r="DB31" i="1" s="1"/>
  <c r="CZ43" i="1"/>
  <c r="DB43" i="1" s="1"/>
  <c r="DA6" i="1"/>
  <c r="DA12" i="1"/>
  <c r="DA18" i="1"/>
  <c r="DA24" i="1"/>
  <c r="DA30" i="1"/>
  <c r="DA36" i="1"/>
  <c r="DA42" i="1"/>
  <c r="DA10" i="1"/>
  <c r="DA16" i="1"/>
  <c r="DA22" i="1"/>
  <c r="DA28" i="1"/>
  <c r="DA34" i="1"/>
  <c r="DA40" i="1"/>
  <c r="T323" i="5"/>
  <c r="T53" i="5"/>
  <c r="T269" i="5"/>
  <c r="T35" i="5"/>
  <c r="T251" i="5"/>
  <c r="T17" i="5"/>
  <c r="T233" i="5"/>
  <c r="T215" i="5"/>
  <c r="T197" i="5"/>
  <c r="T125" i="5"/>
  <c r="T341" i="5"/>
  <c r="T1110" i="5"/>
  <c r="T1146" i="5"/>
  <c r="T1126" i="5"/>
  <c r="T1162" i="5"/>
  <c r="T77" i="6"/>
  <c r="T54" i="6"/>
  <c r="T126" i="6"/>
  <c r="T1120" i="5"/>
  <c r="T1156" i="5"/>
  <c r="T1186" i="5"/>
  <c r="T137" i="6"/>
  <c r="T1114" i="5"/>
  <c r="T1150" i="5"/>
  <c r="T53" i="6"/>
  <c r="T125" i="6"/>
  <c r="T1102" i="5"/>
  <c r="T1138" i="5"/>
  <c r="T1174" i="5"/>
  <c r="T29" i="6"/>
  <c r="T101" i="6"/>
  <c r="E6" i="12"/>
  <c r="M6" i="12"/>
  <c r="U6" i="12"/>
  <c r="AB6" i="12"/>
  <c r="AJ6" i="12"/>
  <c r="E9" i="12"/>
  <c r="M9" i="12"/>
  <c r="U9" i="12"/>
  <c r="AB9" i="12"/>
  <c r="AJ9" i="12"/>
  <c r="E11" i="12"/>
  <c r="M11" i="12"/>
  <c r="U11" i="12"/>
  <c r="AB11" i="12"/>
  <c r="AJ11" i="12"/>
  <c r="E17" i="12"/>
  <c r="M17" i="12"/>
  <c r="U17" i="12"/>
  <c r="AB17" i="12"/>
  <c r="AJ17" i="12"/>
  <c r="E18" i="12"/>
  <c r="M18" i="12"/>
  <c r="U18" i="12"/>
  <c r="AB18" i="12"/>
  <c r="AJ18" i="12"/>
  <c r="F6" i="12"/>
  <c r="N6" i="12"/>
  <c r="V6" i="12"/>
  <c r="AC6" i="12"/>
  <c r="AK6" i="12"/>
  <c r="F9" i="12"/>
  <c r="N9" i="12"/>
  <c r="V9" i="12"/>
  <c r="AC9" i="12"/>
  <c r="AK9" i="12"/>
  <c r="F11" i="12"/>
  <c r="N11" i="12"/>
  <c r="V11" i="12"/>
  <c r="AC11" i="12"/>
  <c r="AK11" i="12"/>
  <c r="F17" i="12"/>
  <c r="N17" i="12"/>
  <c r="V17" i="12"/>
  <c r="AC17" i="12"/>
  <c r="AK17" i="12"/>
  <c r="F18" i="12"/>
  <c r="N18" i="12"/>
  <c r="V18" i="12"/>
  <c r="AC18" i="12"/>
  <c r="AK18" i="12"/>
  <c r="A4" i="10"/>
  <c r="G6" i="12"/>
  <c r="O6" i="12"/>
  <c r="W6" i="12"/>
  <c r="AD6" i="12"/>
  <c r="AL6" i="12"/>
  <c r="G9" i="12"/>
  <c r="O9" i="12"/>
  <c r="W9" i="12"/>
  <c r="AD9" i="12"/>
  <c r="AL9" i="12"/>
  <c r="G11" i="12"/>
  <c r="O11" i="12"/>
  <c r="W11" i="12"/>
  <c r="AD11" i="12"/>
  <c r="AL11" i="12"/>
  <c r="G17" i="12"/>
  <c r="O17" i="12"/>
  <c r="W17" i="12"/>
  <c r="AD17" i="12"/>
  <c r="AL17" i="12"/>
  <c r="G18" i="12"/>
  <c r="O18" i="12"/>
  <c r="W18" i="12"/>
  <c r="AD18" i="12"/>
  <c r="AL18" i="12"/>
  <c r="H6" i="12"/>
  <c r="P6" i="12"/>
  <c r="X6" i="12"/>
  <c r="AE6" i="12"/>
  <c r="AM6" i="12"/>
  <c r="H9" i="12"/>
  <c r="P9" i="12"/>
  <c r="X9" i="12"/>
  <c r="AE9" i="12"/>
  <c r="AM9" i="12"/>
  <c r="H11" i="12"/>
  <c r="P11" i="12"/>
  <c r="X11" i="12"/>
  <c r="AE11" i="12"/>
  <c r="AM11" i="12"/>
  <c r="H17" i="12"/>
  <c r="P17" i="12"/>
  <c r="X17" i="12"/>
  <c r="AE17" i="12"/>
  <c r="AM17" i="12"/>
  <c r="H18" i="12"/>
  <c r="P18" i="12"/>
  <c r="X18" i="12"/>
  <c r="AE18" i="12"/>
  <c r="AM18" i="12"/>
  <c r="I6" i="12"/>
  <c r="Q6" i="12"/>
  <c r="AF6" i="12"/>
  <c r="AN6" i="12"/>
  <c r="I9" i="12"/>
  <c r="Q9" i="12"/>
  <c r="AF9" i="12"/>
  <c r="AN9" i="12"/>
  <c r="I11" i="12"/>
  <c r="Q11" i="12"/>
  <c r="AF11" i="12"/>
  <c r="AN11" i="12"/>
  <c r="I17" i="12"/>
  <c r="Q17" i="12"/>
  <c r="AF17" i="12"/>
  <c r="AN17" i="12"/>
  <c r="I18" i="12"/>
  <c r="Q18" i="12"/>
  <c r="AF18" i="12"/>
  <c r="AN18" i="12"/>
  <c r="R6" i="12"/>
  <c r="Y6" i="12"/>
  <c r="AG6" i="12"/>
  <c r="B9" i="12"/>
  <c r="J9" i="12"/>
  <c r="R9" i="12"/>
  <c r="Y9" i="12"/>
  <c r="AG9" i="12"/>
  <c r="B11" i="12"/>
  <c r="J11" i="12"/>
  <c r="R11" i="12"/>
  <c r="Y11" i="12"/>
  <c r="AG11" i="12"/>
  <c r="B14" i="12"/>
  <c r="B17" i="12"/>
  <c r="J17" i="12"/>
  <c r="R17" i="12"/>
  <c r="Y17" i="12"/>
  <c r="AG17" i="12"/>
  <c r="B18" i="12"/>
  <c r="J18" i="12"/>
  <c r="R18" i="12"/>
  <c r="Y18" i="12"/>
  <c r="AG18" i="12"/>
  <c r="E108" i="12"/>
  <c r="E100" i="12"/>
  <c r="E92" i="12"/>
  <c r="E84" i="12"/>
  <c r="E72" i="12"/>
  <c r="E64" i="12"/>
  <c r="E60" i="12"/>
  <c r="E52" i="12"/>
  <c r="E44" i="12"/>
  <c r="E40" i="12"/>
  <c r="E32" i="12"/>
  <c r="E104" i="12"/>
  <c r="E96" i="12"/>
  <c r="E88" i="12"/>
  <c r="E80" i="12"/>
  <c r="E76" i="12"/>
  <c r="E68" i="12"/>
  <c r="E56" i="12"/>
  <c r="E48" i="12"/>
  <c r="E36" i="12"/>
  <c r="E107" i="12"/>
  <c r="E103" i="12"/>
  <c r="E99" i="12"/>
  <c r="E95" i="12"/>
  <c r="E91" i="12"/>
  <c r="E87" i="12"/>
  <c r="E83" i="12"/>
  <c r="E79" i="12"/>
  <c r="E75" i="12"/>
  <c r="E71" i="12"/>
  <c r="E67" i="12"/>
  <c r="E63" i="12"/>
  <c r="E59" i="12"/>
  <c r="E55" i="12"/>
  <c r="E51" i="12"/>
  <c r="E47" i="12"/>
  <c r="E43" i="12"/>
  <c r="E39" i="12"/>
  <c r="E35" i="12"/>
  <c r="E31" i="12"/>
  <c r="E106" i="12"/>
  <c r="E98" i="12"/>
  <c r="E94" i="12"/>
  <c r="E86" i="12"/>
  <c r="E78" i="12"/>
  <c r="E70" i="12"/>
  <c r="E62" i="12"/>
  <c r="E50" i="12"/>
  <c r="E42" i="12"/>
  <c r="E34" i="12"/>
  <c r="E105" i="12"/>
  <c r="E89" i="12"/>
  <c r="E85" i="12"/>
  <c r="E77" i="12"/>
  <c r="E65" i="12"/>
  <c r="E53" i="12"/>
  <c r="E37" i="12"/>
  <c r="E102" i="12"/>
  <c r="E90" i="12"/>
  <c r="E82" i="12"/>
  <c r="E74" i="12"/>
  <c r="E66" i="12"/>
  <c r="E58" i="12"/>
  <c r="E54" i="12"/>
  <c r="E46" i="12"/>
  <c r="E38" i="12"/>
  <c r="E30" i="12"/>
  <c r="E93" i="12"/>
  <c r="E69" i="12"/>
  <c r="E49" i="12"/>
  <c r="E33" i="12"/>
  <c r="E97" i="12"/>
  <c r="E81" i="12"/>
  <c r="E61" i="12"/>
  <c r="E45" i="12"/>
  <c r="E101" i="12"/>
  <c r="E73" i="12"/>
  <c r="E57" i="12"/>
  <c r="E41" i="12"/>
  <c r="BQ1" i="1" l="1"/>
  <c r="BR1" i="1" s="1"/>
  <c r="BS1" i="1" s="1"/>
  <c r="BT1" i="1" s="1"/>
  <c r="BU1" i="1" s="1"/>
  <c r="BV1" i="1" s="1"/>
  <c r="BW1" i="1" s="1"/>
  <c r="BX1" i="1" s="1"/>
  <c r="BY1" i="1" s="1"/>
  <c r="BZ1" i="1" s="1"/>
  <c r="CA1" i="1" s="1"/>
  <c r="CB1" i="1" s="1"/>
  <c r="CC1" i="1" s="1"/>
  <c r="CD1" i="1" s="1"/>
  <c r="CE1" i="1" s="1"/>
  <c r="CF1" i="1" s="1"/>
  <c r="CG1" i="1" s="1"/>
  <c r="CH1" i="1" s="1"/>
  <c r="CI1" i="1" s="1"/>
  <c r="CJ1" i="1" s="1"/>
  <c r="CK1" i="1" s="1"/>
  <c r="CL1" i="1" s="1"/>
  <c r="CM1" i="1" s="1"/>
  <c r="CN1" i="1" s="1"/>
  <c r="CO1" i="1" s="1"/>
  <c r="CP1" i="1" s="1"/>
  <c r="CQ1" i="1" s="1"/>
  <c r="CR1" i="1" s="1"/>
  <c r="CS1" i="1" s="1"/>
  <c r="CT1" i="1" s="1"/>
  <c r="CU1" i="1" s="1"/>
  <c r="CV1" i="1" s="1"/>
  <c r="CW1" i="1" s="1"/>
  <c r="CX1" i="1" s="1"/>
  <c r="CY1" i="1" s="1"/>
  <c r="CZ1" i="1" s="1"/>
  <c r="DA1" i="1" s="1"/>
  <c r="DB1" i="1" s="1"/>
  <c r="AC286" i="17"/>
  <c r="AD286" i="17"/>
  <c r="AR286" i="17"/>
  <c r="O18" i="9"/>
  <c r="O4" i="9"/>
  <c r="O11" i="9"/>
  <c r="A18" i="9"/>
  <c r="C18" i="9" s="1"/>
  <c r="C11" i="9"/>
  <c r="D287" i="17"/>
  <c r="B287" i="17"/>
  <c r="C287" i="17"/>
  <c r="A288" i="17"/>
  <c r="E287" i="17"/>
  <c r="AQ286" i="17"/>
  <c r="AF286" i="17"/>
  <c r="AP286" i="17"/>
  <c r="AH286" i="17"/>
  <c r="AG286" i="17"/>
  <c r="B11" i="9"/>
  <c r="B15" i="9"/>
  <c r="B14" i="9" s="1"/>
  <c r="T19" i="12"/>
  <c r="K19" i="12"/>
  <c r="Z19" i="12"/>
  <c r="L19" i="12"/>
  <c r="N19" i="12"/>
  <c r="P19" i="12"/>
  <c r="C19" i="12"/>
  <c r="Y19" i="12"/>
  <c r="AI19" i="12"/>
  <c r="AH19" i="12"/>
  <c r="AA19" i="12"/>
  <c r="D19" i="12"/>
  <c r="AN19" i="12"/>
  <c r="S19" i="12"/>
  <c r="V19" i="12"/>
  <c r="X19" i="12"/>
  <c r="Q19" i="12"/>
  <c r="W19" i="12"/>
  <c r="U19" i="12"/>
  <c r="O19" i="12"/>
  <c r="M19" i="12"/>
  <c r="AM19" i="12"/>
  <c r="G19" i="12"/>
  <c r="AK19" i="12"/>
  <c r="E19" i="12"/>
  <c r="AG19" i="12"/>
  <c r="AE19" i="12"/>
  <c r="AC19" i="12"/>
  <c r="J19" i="12"/>
  <c r="AF19" i="12"/>
  <c r="AG20" i="12"/>
  <c r="Y20" i="12"/>
  <c r="R20" i="12"/>
  <c r="J20" i="12"/>
  <c r="B20" i="12"/>
  <c r="B16" i="12"/>
  <c r="B13" i="12"/>
  <c r="AG7" i="12"/>
  <c r="Y7" i="12"/>
  <c r="R7" i="12"/>
  <c r="J7" i="12"/>
  <c r="B7" i="12"/>
  <c r="AG5" i="12"/>
  <c r="Y5" i="12"/>
  <c r="R5" i="12"/>
  <c r="J5" i="12"/>
  <c r="B5" i="12"/>
  <c r="AN20" i="12"/>
  <c r="AF20" i="12"/>
  <c r="Q20" i="12"/>
  <c r="I20" i="12"/>
  <c r="AN7" i="12"/>
  <c r="AF7" i="12"/>
  <c r="Q7" i="12"/>
  <c r="I7" i="12"/>
  <c r="AN5" i="12"/>
  <c r="AF5" i="12"/>
  <c r="Q5" i="12"/>
  <c r="I5" i="12"/>
  <c r="AM20" i="12"/>
  <c r="AE20" i="12"/>
  <c r="X20" i="12"/>
  <c r="P20" i="12"/>
  <c r="H20" i="12"/>
  <c r="AM7" i="12"/>
  <c r="AE7" i="12"/>
  <c r="X7" i="12"/>
  <c r="P7" i="12"/>
  <c r="H7" i="12"/>
  <c r="AM5" i="12"/>
  <c r="AE5" i="12"/>
  <c r="X5" i="12"/>
  <c r="P5" i="12"/>
  <c r="H5" i="12"/>
  <c r="AI20" i="12"/>
  <c r="AA20" i="12"/>
  <c r="T20" i="12"/>
  <c r="L20" i="12"/>
  <c r="D20" i="12"/>
  <c r="AL20" i="12"/>
  <c r="AD20" i="12"/>
  <c r="W20" i="12"/>
  <c r="O20" i="12"/>
  <c r="G20" i="12"/>
  <c r="AL7" i="12"/>
  <c r="AD7" i="12"/>
  <c r="W7" i="12"/>
  <c r="O7" i="12"/>
  <c r="G7" i="12"/>
  <c r="AL5" i="12"/>
  <c r="AD5" i="12"/>
  <c r="W5" i="12"/>
  <c r="O5" i="12"/>
  <c r="G5" i="12"/>
  <c r="AK20" i="12"/>
  <c r="AC20" i="12"/>
  <c r="V20" i="12"/>
  <c r="N20" i="12"/>
  <c r="F20" i="12"/>
  <c r="AK7" i="12"/>
  <c r="AC7" i="12"/>
  <c r="V7" i="12"/>
  <c r="N7" i="12"/>
  <c r="F7" i="12"/>
  <c r="AK5" i="12"/>
  <c r="AC5" i="12"/>
  <c r="V5" i="12"/>
  <c r="N5" i="12"/>
  <c r="F5" i="12"/>
  <c r="AJ20" i="12"/>
  <c r="AB20" i="12"/>
  <c r="U20" i="12"/>
  <c r="M20" i="12"/>
  <c r="E20" i="12"/>
  <c r="AJ7" i="12"/>
  <c r="AB7" i="12"/>
  <c r="U7" i="12"/>
  <c r="M7" i="12"/>
  <c r="E7" i="12"/>
  <c r="AJ5" i="12"/>
  <c r="AB5" i="12"/>
  <c r="U5" i="12"/>
  <c r="M5" i="12"/>
  <c r="E5" i="12"/>
  <c r="AH20" i="12"/>
  <c r="Z20" i="12"/>
  <c r="S20" i="12"/>
  <c r="K20" i="12"/>
  <c r="C20" i="12"/>
  <c r="T7" i="12"/>
  <c r="L5" i="12"/>
  <c r="K7" i="12"/>
  <c r="AI7" i="12"/>
  <c r="D7" i="12"/>
  <c r="AA7" i="12"/>
  <c r="Z7" i="12"/>
  <c r="S7" i="12"/>
  <c r="K5" i="12"/>
  <c r="L7" i="12"/>
  <c r="AI5" i="12"/>
  <c r="D5" i="12"/>
  <c r="AH5" i="12"/>
  <c r="C5" i="12"/>
  <c r="AA5" i="12"/>
  <c r="T5" i="12"/>
  <c r="S5" i="12"/>
  <c r="AH7" i="12"/>
  <c r="C7" i="12"/>
  <c r="Z5" i="12"/>
  <c r="H19" i="12"/>
  <c r="AL19" i="12"/>
  <c r="F19" i="12"/>
  <c r="AJ19" i="12"/>
  <c r="I19" i="12"/>
  <c r="R19" i="12"/>
  <c r="AG14" i="12"/>
  <c r="AG16" i="12" s="1"/>
  <c r="Y14" i="12"/>
  <c r="Y16" i="12" s="1"/>
  <c r="R14" i="12"/>
  <c r="R16" i="12" s="1"/>
  <c r="J14" i="12"/>
  <c r="J16" i="12" s="1"/>
  <c r="AN14" i="12"/>
  <c r="AN16" i="12" s="1"/>
  <c r="AF14" i="12"/>
  <c r="AF16" i="12" s="1"/>
  <c r="Q14" i="12"/>
  <c r="Q16" i="12" s="1"/>
  <c r="I14" i="12"/>
  <c r="I16" i="12" s="1"/>
  <c r="AM14" i="12"/>
  <c r="AM16" i="12" s="1"/>
  <c r="AE14" i="12"/>
  <c r="AE16" i="12" s="1"/>
  <c r="X14" i="12"/>
  <c r="X16" i="12" s="1"/>
  <c r="P14" i="12"/>
  <c r="P16" i="12" s="1"/>
  <c r="H14" i="12"/>
  <c r="H16" i="12" s="1"/>
  <c r="AL14" i="12"/>
  <c r="AL16" i="12" s="1"/>
  <c r="AD14" i="12"/>
  <c r="AD16" i="12" s="1"/>
  <c r="W14" i="12"/>
  <c r="W16" i="12" s="1"/>
  <c r="O14" i="12"/>
  <c r="O16" i="12" s="1"/>
  <c r="G14" i="12"/>
  <c r="G16" i="12" s="1"/>
  <c r="AK14" i="12"/>
  <c r="AK16" i="12" s="1"/>
  <c r="AC14" i="12"/>
  <c r="AC16" i="12" s="1"/>
  <c r="V14" i="12"/>
  <c r="V16" i="12" s="1"/>
  <c r="N14" i="12"/>
  <c r="N16" i="12" s="1"/>
  <c r="F14" i="12"/>
  <c r="F16" i="12" s="1"/>
  <c r="AJ14" i="12"/>
  <c r="AJ16" i="12" s="1"/>
  <c r="AB14" i="12"/>
  <c r="AB16" i="12" s="1"/>
  <c r="U14" i="12"/>
  <c r="U16" i="12" s="1"/>
  <c r="M14" i="12"/>
  <c r="M16" i="12" s="1"/>
  <c r="E14" i="12"/>
  <c r="E16" i="12" s="1"/>
  <c r="T14" i="12"/>
  <c r="T16" i="12" s="1"/>
  <c r="K14" i="12"/>
  <c r="K16" i="12" s="1"/>
  <c r="AI14" i="12"/>
  <c r="AI16" i="12" s="1"/>
  <c r="D14" i="12"/>
  <c r="D16" i="12" s="1"/>
  <c r="AA14" i="12"/>
  <c r="AA16" i="12" s="1"/>
  <c r="S14" i="12"/>
  <c r="S16" i="12" s="1"/>
  <c r="L14" i="12"/>
  <c r="L16" i="12" s="1"/>
  <c r="Z14" i="12"/>
  <c r="Z16" i="12" s="1"/>
  <c r="AH14" i="12"/>
  <c r="AH16" i="12" s="1"/>
  <c r="C14" i="12"/>
  <c r="C16" i="12" s="1"/>
  <c r="B19" i="12"/>
  <c r="AD19" i="12"/>
  <c r="AB19" i="12"/>
  <c r="AC287" i="17" l="1"/>
  <c r="AD287" i="17"/>
  <c r="AR287" i="17"/>
  <c r="A289" i="17"/>
  <c r="E288" i="17"/>
  <c r="D288" i="17"/>
  <c r="C288" i="17"/>
  <c r="B288" i="17"/>
  <c r="AH287" i="17"/>
  <c r="AF287" i="17"/>
  <c r="AP287" i="17"/>
  <c r="AQ287" i="17"/>
  <c r="AG287" i="17"/>
  <c r="B18" i="9"/>
  <c r="AG13" i="12"/>
  <c r="Y13" i="12"/>
  <c r="R13" i="12"/>
  <c r="J13" i="12"/>
  <c r="AN13" i="12"/>
  <c r="AF13" i="12"/>
  <c r="Q13" i="12"/>
  <c r="I13" i="12"/>
  <c r="AM13" i="12"/>
  <c r="AE13" i="12"/>
  <c r="X13" i="12"/>
  <c r="P13" i="12"/>
  <c r="H13" i="12"/>
  <c r="AL13" i="12"/>
  <c r="AD13" i="12"/>
  <c r="W13" i="12"/>
  <c r="O13" i="12"/>
  <c r="G13" i="12"/>
  <c r="AK13" i="12"/>
  <c r="AC13" i="12"/>
  <c r="V13" i="12"/>
  <c r="N13" i="12"/>
  <c r="F13" i="12"/>
  <c r="AJ13" i="12"/>
  <c r="AB13" i="12"/>
  <c r="U13" i="12"/>
  <c r="M13" i="12"/>
  <c r="E13" i="12"/>
  <c r="AA13" i="12"/>
  <c r="S13" i="12"/>
  <c r="L13" i="12"/>
  <c r="AI13" i="12"/>
  <c r="D13" i="12"/>
  <c r="Z13" i="12"/>
  <c r="T13" i="12"/>
  <c r="AH13" i="12"/>
  <c r="C13" i="12"/>
  <c r="K13" i="12"/>
  <c r="AC288" i="17" l="1"/>
  <c r="AD288" i="17"/>
  <c r="AR288" i="17"/>
  <c r="AQ288" i="17"/>
  <c r="AF288" i="17"/>
  <c r="AG288" i="17"/>
  <c r="AP288" i="17"/>
  <c r="AH288" i="17"/>
  <c r="D289" i="17"/>
  <c r="A290" i="17"/>
  <c r="E289" i="17"/>
  <c r="C289" i="17"/>
  <c r="B289" i="17"/>
  <c r="AC289" i="17" l="1"/>
  <c r="AD289" i="17"/>
  <c r="AR289" i="17"/>
  <c r="E290" i="17"/>
  <c r="D290" i="17"/>
  <c r="C290" i="17"/>
  <c r="A291" i="17"/>
  <c r="B290" i="17"/>
  <c r="AF289" i="17"/>
  <c r="AG289" i="17"/>
  <c r="AP289" i="17"/>
  <c r="AQ289" i="17"/>
  <c r="AH289" i="17"/>
  <c r="AC290" i="17" l="1"/>
  <c r="AD290" i="17"/>
  <c r="AR290" i="17"/>
  <c r="C291" i="17"/>
  <c r="E291" i="17"/>
  <c r="A292" i="17"/>
  <c r="D291" i="17"/>
  <c r="B291" i="17"/>
  <c r="AF290" i="17"/>
  <c r="AP290" i="17"/>
  <c r="AG290" i="17"/>
  <c r="AH290" i="17"/>
  <c r="AQ290" i="17"/>
  <c r="AC291" i="17" l="1"/>
  <c r="AD291" i="17"/>
  <c r="AR291" i="17"/>
  <c r="AG291" i="17"/>
  <c r="AQ291" i="17"/>
  <c r="AH291" i="17"/>
  <c r="AF291" i="17"/>
  <c r="AP291" i="17"/>
  <c r="C292" i="17"/>
  <c r="D292" i="17"/>
  <c r="B292" i="17"/>
  <c r="E292" i="17"/>
  <c r="A293" i="17"/>
  <c r="AC292" i="17" l="1"/>
  <c r="AD292" i="17"/>
  <c r="AR292" i="17"/>
  <c r="A294" i="17"/>
  <c r="D293" i="17"/>
  <c r="B293" i="17"/>
  <c r="E293" i="17"/>
  <c r="C293" i="17"/>
  <c r="AG292" i="17"/>
  <c r="AH292" i="17"/>
  <c r="AF292" i="17"/>
  <c r="AQ292" i="17"/>
  <c r="AP292" i="17"/>
  <c r="AC293" i="17" l="1"/>
  <c r="AD293" i="17"/>
  <c r="AR293" i="17"/>
  <c r="AH293" i="17"/>
  <c r="AG293" i="17"/>
  <c r="AF293" i="17"/>
  <c r="AP293" i="17"/>
  <c r="AQ293" i="17"/>
  <c r="B294" i="17"/>
  <c r="D294" i="17"/>
  <c r="A295" i="17"/>
  <c r="C294" i="17"/>
  <c r="E294" i="17"/>
  <c r="AC294" i="17" l="1"/>
  <c r="AD294" i="17"/>
  <c r="AR294" i="17"/>
  <c r="B295" i="17"/>
  <c r="A296" i="17"/>
  <c r="E295" i="17"/>
  <c r="D295" i="17"/>
  <c r="C295" i="17"/>
  <c r="AH294" i="17"/>
  <c r="AF294" i="17"/>
  <c r="AP294" i="17"/>
  <c r="AQ294" i="17"/>
  <c r="AG294" i="17"/>
  <c r="AC295" i="17" l="1"/>
  <c r="AD295" i="17"/>
  <c r="AR295" i="17"/>
  <c r="AF295" i="17"/>
  <c r="AP295" i="17"/>
  <c r="AH295" i="17"/>
  <c r="AQ295" i="17"/>
  <c r="AG295" i="17"/>
  <c r="C296" i="17"/>
  <c r="B296" i="17"/>
  <c r="A297" i="17"/>
  <c r="E296" i="17"/>
  <c r="D296" i="17"/>
  <c r="AC296" i="17" l="1"/>
  <c r="AD296" i="17"/>
  <c r="AR296" i="17"/>
  <c r="AP296" i="17"/>
  <c r="AH296" i="17"/>
  <c r="AQ296" i="17"/>
  <c r="AG296" i="17"/>
  <c r="AF296" i="17"/>
  <c r="A298" i="17"/>
  <c r="B297" i="17"/>
  <c r="C297" i="17"/>
  <c r="E297" i="17"/>
  <c r="D297" i="17"/>
  <c r="AC297" i="17" l="1"/>
  <c r="AD297" i="17"/>
  <c r="AR297" i="17"/>
  <c r="AG297" i="17"/>
  <c r="AH297" i="17"/>
  <c r="AQ297" i="17"/>
  <c r="AF297" i="17"/>
  <c r="AP297" i="17"/>
  <c r="E298" i="17"/>
  <c r="D298" i="17"/>
  <c r="C298" i="17"/>
  <c r="B298" i="17"/>
  <c r="A299" i="17"/>
  <c r="AC298" i="17" l="1"/>
  <c r="AD298" i="17"/>
  <c r="AR298" i="17"/>
  <c r="D299" i="17"/>
  <c r="B299" i="17"/>
  <c r="A300" i="17"/>
  <c r="C299" i="17"/>
  <c r="E299" i="17"/>
  <c r="AH298" i="17"/>
  <c r="AG298" i="17"/>
  <c r="AQ298" i="17"/>
  <c r="AF298" i="17"/>
  <c r="AP298" i="17"/>
  <c r="AC299" i="17" l="1"/>
  <c r="AD299" i="17"/>
  <c r="AR299" i="17"/>
  <c r="A301" i="17"/>
  <c r="E300" i="17"/>
  <c r="D300" i="17"/>
  <c r="C300" i="17"/>
  <c r="B300" i="17"/>
  <c r="AF299" i="17"/>
  <c r="AQ299" i="17"/>
  <c r="AP299" i="17"/>
  <c r="AG299" i="17"/>
  <c r="AH299" i="17"/>
  <c r="AC300" i="17" l="1"/>
  <c r="AD300" i="17"/>
  <c r="AR300" i="17"/>
  <c r="AG300" i="17"/>
  <c r="AF300" i="17"/>
  <c r="AQ300" i="17"/>
  <c r="AP300" i="17"/>
  <c r="AH300" i="17"/>
  <c r="A302" i="17"/>
  <c r="E301" i="17"/>
  <c r="C301" i="17"/>
  <c r="B301" i="17"/>
  <c r="D301" i="17"/>
  <c r="AC301" i="17" l="1"/>
  <c r="AD301" i="17"/>
  <c r="AR301" i="17"/>
  <c r="AF301" i="17"/>
  <c r="AP301" i="17"/>
  <c r="AH301" i="17"/>
  <c r="AQ301" i="17"/>
  <c r="AG301" i="17"/>
  <c r="A303" i="17"/>
  <c r="E302" i="17"/>
  <c r="D302" i="17"/>
  <c r="C302" i="17"/>
  <c r="B302" i="17"/>
  <c r="AC302" i="17" l="1"/>
  <c r="AD302" i="17"/>
  <c r="AR302" i="17"/>
  <c r="AF302" i="17"/>
  <c r="AP302" i="17"/>
  <c r="AQ302" i="17"/>
  <c r="AH302" i="17"/>
  <c r="AG302" i="17"/>
  <c r="B303" i="17"/>
  <c r="A304" i="17"/>
  <c r="D303" i="17"/>
  <c r="C303" i="17"/>
  <c r="E303" i="17"/>
  <c r="AC303" i="17" l="1"/>
  <c r="AD303" i="17"/>
  <c r="AR303" i="17"/>
  <c r="AG303" i="17"/>
  <c r="AQ303" i="17"/>
  <c r="AF303" i="17"/>
  <c r="AP303" i="17"/>
  <c r="AH303" i="17"/>
  <c r="D304" i="17"/>
  <c r="B304" i="17"/>
  <c r="A305" i="17"/>
  <c r="E304" i="17"/>
  <c r="C304" i="17"/>
  <c r="AC304" i="17" l="1"/>
  <c r="AD304" i="17"/>
  <c r="AR304" i="17"/>
  <c r="A306" i="17"/>
  <c r="C305" i="17"/>
  <c r="E305" i="17"/>
  <c r="B305" i="17"/>
  <c r="D305" i="17"/>
  <c r="AQ304" i="17"/>
  <c r="AP304" i="17"/>
  <c r="AH304" i="17"/>
  <c r="AF304" i="17"/>
  <c r="AG304" i="17"/>
  <c r="AC305" i="17" l="1"/>
  <c r="AD305" i="17"/>
  <c r="AR305" i="17"/>
  <c r="AH305" i="17"/>
  <c r="AF305" i="17"/>
  <c r="AQ305" i="17"/>
  <c r="AP305" i="17"/>
  <c r="AG305" i="17"/>
  <c r="C306" i="17"/>
  <c r="E306" i="17"/>
  <c r="D306" i="17"/>
  <c r="B306" i="17"/>
  <c r="A307" i="17"/>
  <c r="AC306" i="17" l="1"/>
  <c r="AD306" i="17"/>
  <c r="AR306" i="17"/>
  <c r="D307" i="17"/>
  <c r="B307" i="17"/>
  <c r="E307" i="17"/>
  <c r="A308" i="17"/>
  <c r="C307" i="17"/>
  <c r="AH306" i="17"/>
  <c r="AQ306" i="17"/>
  <c r="AG306" i="17"/>
  <c r="AP306" i="17"/>
  <c r="AF306" i="17"/>
  <c r="AC307" i="17" l="1"/>
  <c r="AD307" i="17"/>
  <c r="AR307" i="17"/>
  <c r="A3" i="2"/>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C308" i="17"/>
  <c r="B308" i="17"/>
  <c r="E308" i="17"/>
  <c r="A309" i="17"/>
  <c r="D308" i="17"/>
  <c r="AH307" i="17"/>
  <c r="AG307" i="17"/>
  <c r="AQ307" i="17"/>
  <c r="AF307" i="17"/>
  <c r="AP307" i="17"/>
  <c r="A636" i="2" l="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C308" i="17"/>
  <c r="AD308" i="17"/>
  <c r="AR308" i="17"/>
  <c r="AH308" i="17"/>
  <c r="AG308" i="17"/>
  <c r="AP308" i="17"/>
  <c r="AQ308" i="17"/>
  <c r="AF308" i="17"/>
  <c r="C309" i="17"/>
  <c r="A310" i="17"/>
  <c r="B309" i="17"/>
  <c r="E309" i="17"/>
  <c r="D309" i="17"/>
  <c r="AC309" i="17" l="1"/>
  <c r="AD309" i="17"/>
  <c r="AR309" i="17"/>
  <c r="AP309" i="17"/>
  <c r="AQ309" i="17"/>
  <c r="AF309" i="17"/>
  <c r="AH309" i="17"/>
  <c r="AG309" i="17"/>
  <c r="A311" i="17"/>
  <c r="E310" i="17"/>
  <c r="D310" i="17"/>
  <c r="B310" i="17"/>
  <c r="C310" i="17"/>
  <c r="AC310" i="17" l="1"/>
  <c r="AD310" i="17"/>
  <c r="AR310" i="17"/>
  <c r="AF310" i="17"/>
  <c r="AP310" i="17"/>
  <c r="AQ310" i="17"/>
  <c r="AG310" i="17"/>
  <c r="AH310" i="17"/>
  <c r="C311" i="17"/>
  <c r="D311" i="17"/>
  <c r="B311" i="17"/>
  <c r="A312" i="17"/>
  <c r="E311" i="17"/>
  <c r="AC311" i="17" l="1"/>
  <c r="AD311" i="17"/>
  <c r="AR311" i="17"/>
  <c r="E312" i="17"/>
  <c r="C312" i="17"/>
  <c r="B312" i="17"/>
  <c r="A313" i="17"/>
  <c r="D312" i="17"/>
  <c r="AG311" i="17"/>
  <c r="AH311" i="17"/>
  <c r="AP311" i="17"/>
  <c r="AQ311" i="17"/>
  <c r="AF311" i="17"/>
  <c r="AC312" i="17" l="1"/>
  <c r="AD312" i="17"/>
  <c r="AR312" i="17"/>
  <c r="AP312" i="17"/>
  <c r="AG312" i="17"/>
  <c r="AH312" i="17"/>
  <c r="AQ312" i="17"/>
  <c r="AF312" i="17"/>
  <c r="A314" i="17"/>
  <c r="E313" i="17"/>
  <c r="C313" i="17"/>
  <c r="D313" i="17"/>
  <c r="B313" i="17"/>
  <c r="AC313" i="17" l="1"/>
  <c r="AD313" i="17"/>
  <c r="AR313" i="17"/>
  <c r="AF313" i="17"/>
  <c r="AP313" i="17"/>
  <c r="AQ313" i="17"/>
  <c r="AH313" i="17"/>
  <c r="AG313" i="17"/>
  <c r="E314" i="17"/>
  <c r="D314" i="17"/>
  <c r="C314" i="17"/>
  <c r="B314" i="17"/>
  <c r="A315" i="17"/>
  <c r="AC314" i="17" l="1"/>
  <c r="AD314" i="17"/>
  <c r="AR314" i="17"/>
  <c r="A316" i="17"/>
  <c r="D315" i="17"/>
  <c r="E315" i="17"/>
  <c r="B315" i="17"/>
  <c r="C315" i="17"/>
  <c r="AF314" i="17"/>
  <c r="AP314" i="17"/>
  <c r="AQ314" i="17"/>
  <c r="AG314" i="17"/>
  <c r="AH314" i="17"/>
  <c r="AC315" i="17" l="1"/>
  <c r="AD315" i="17"/>
  <c r="AR315" i="17"/>
  <c r="AG315" i="17"/>
  <c r="AQ315" i="17"/>
  <c r="AH315" i="17"/>
  <c r="AP315" i="17"/>
  <c r="AF315" i="17"/>
  <c r="D316" i="17"/>
  <c r="C316" i="17"/>
  <c r="A317" i="17"/>
  <c r="E316" i="17"/>
  <c r="B316" i="17"/>
  <c r="AC316" i="17" l="1"/>
  <c r="AD316" i="17"/>
  <c r="AR316" i="17"/>
  <c r="A318" i="17"/>
  <c r="B317" i="17"/>
  <c r="C317" i="17"/>
  <c r="E317" i="17"/>
  <c r="D317" i="17"/>
  <c r="AG316" i="17"/>
  <c r="AQ316" i="17"/>
  <c r="AP316" i="17"/>
  <c r="AH316" i="17"/>
  <c r="AF316" i="17"/>
  <c r="AC317" i="17" l="1"/>
  <c r="AD317" i="17"/>
  <c r="AR317" i="17"/>
  <c r="AH317" i="17"/>
  <c r="AF317" i="17"/>
  <c r="AP317" i="17"/>
  <c r="AQ317" i="17"/>
  <c r="AG317" i="17"/>
  <c r="B318" i="17"/>
  <c r="D318" i="17"/>
  <c r="E318" i="17"/>
  <c r="C318" i="17"/>
  <c r="A319" i="17"/>
  <c r="AC318" i="17" l="1"/>
  <c r="AD318" i="17"/>
  <c r="AR318" i="17"/>
  <c r="D319" i="17"/>
  <c r="B319" i="17"/>
  <c r="A320" i="17"/>
  <c r="C319" i="17"/>
  <c r="E319" i="17"/>
  <c r="AF318" i="17"/>
  <c r="AP318" i="17"/>
  <c r="AQ318" i="17"/>
  <c r="AH318" i="17"/>
  <c r="AG318" i="17"/>
  <c r="AC319" i="17" l="1"/>
  <c r="AD319" i="17"/>
  <c r="AR319" i="17"/>
  <c r="D320" i="17"/>
  <c r="C320" i="17"/>
  <c r="E320" i="17"/>
  <c r="B320" i="17"/>
  <c r="A321" i="17"/>
  <c r="AF319" i="17"/>
  <c r="AQ319" i="17"/>
  <c r="AG319" i="17"/>
  <c r="AH319" i="17"/>
  <c r="AP319" i="17"/>
  <c r="AC320" i="17" l="1"/>
  <c r="AD320" i="17"/>
  <c r="AR320" i="17"/>
  <c r="B321" i="17"/>
  <c r="A322" i="17"/>
  <c r="C321" i="17"/>
  <c r="D321" i="17"/>
  <c r="E321" i="17"/>
  <c r="AG320" i="17"/>
  <c r="AP320" i="17"/>
  <c r="AF320" i="17"/>
  <c r="AH320" i="17"/>
  <c r="AQ320" i="17"/>
  <c r="AC321" i="17" l="1"/>
  <c r="AD321" i="17"/>
  <c r="AR321" i="17"/>
  <c r="AG321" i="17"/>
  <c r="AH321" i="17"/>
  <c r="AP321" i="17"/>
  <c r="AQ321" i="17"/>
  <c r="AF321" i="17"/>
  <c r="D322" i="17"/>
  <c r="C322" i="17"/>
  <c r="B322" i="17"/>
  <c r="A323" i="17"/>
  <c r="E322" i="17"/>
  <c r="AC322" i="17" l="1"/>
  <c r="AD322" i="17"/>
  <c r="AR322" i="17"/>
  <c r="D323" i="17"/>
  <c r="B323" i="17"/>
  <c r="C323" i="17"/>
  <c r="A324" i="17"/>
  <c r="E323" i="17"/>
  <c r="AH322" i="17"/>
  <c r="AF322" i="17"/>
  <c r="AP322" i="17"/>
  <c r="AG322" i="17"/>
  <c r="AQ322" i="17"/>
  <c r="AC323" i="17" l="1"/>
  <c r="AD323" i="17"/>
  <c r="AR323" i="17"/>
  <c r="A325" i="17"/>
  <c r="D324" i="17"/>
  <c r="E324" i="17"/>
  <c r="C324" i="17"/>
  <c r="B324" i="17"/>
  <c r="AG323" i="17"/>
  <c r="AH323" i="17"/>
  <c r="AF323" i="17"/>
  <c r="AQ323" i="17"/>
  <c r="AP323" i="17"/>
  <c r="AC324" i="17" l="1"/>
  <c r="AD324" i="17"/>
  <c r="AR324" i="17"/>
  <c r="AP324" i="17"/>
  <c r="AG324" i="17"/>
  <c r="AH324" i="17"/>
  <c r="AF324" i="17"/>
  <c r="AQ324" i="17"/>
  <c r="D325" i="17"/>
  <c r="B325" i="17"/>
  <c r="A326" i="17"/>
  <c r="C325" i="17"/>
  <c r="E325" i="17"/>
  <c r="AC325" i="17" l="1"/>
  <c r="AD325" i="17"/>
  <c r="AR325" i="17"/>
  <c r="A327" i="17"/>
  <c r="B326" i="17"/>
  <c r="D326" i="17"/>
  <c r="C326" i="17"/>
  <c r="E326" i="17"/>
  <c r="AP325" i="17"/>
  <c r="AH325" i="17"/>
  <c r="AF325" i="17"/>
  <c r="AG325" i="17"/>
  <c r="AQ325" i="17"/>
  <c r="AC326" i="17" l="1"/>
  <c r="AD326" i="17"/>
  <c r="AR326" i="17"/>
  <c r="AF326" i="17"/>
  <c r="AP326" i="17"/>
  <c r="AH326" i="17"/>
  <c r="AQ326" i="17"/>
  <c r="AG326" i="17"/>
  <c r="C327" i="17"/>
  <c r="B327" i="17"/>
  <c r="A328" i="17"/>
  <c r="D327" i="17"/>
  <c r="E327" i="17"/>
  <c r="AC327" i="17" l="1"/>
  <c r="AD327" i="17"/>
  <c r="AR327" i="17"/>
  <c r="AG327" i="17"/>
  <c r="AH327" i="17"/>
  <c r="AP327" i="17"/>
  <c r="AQ327" i="17"/>
  <c r="AF327" i="17"/>
  <c r="B328" i="17"/>
  <c r="C328" i="17"/>
  <c r="D328" i="17"/>
  <c r="E328" i="17"/>
  <c r="A329" i="17"/>
  <c r="AC328" i="17" l="1"/>
  <c r="AD328" i="17"/>
  <c r="AR328" i="17"/>
  <c r="A330" i="17"/>
  <c r="C329" i="17"/>
  <c r="B329" i="17"/>
  <c r="D329" i="17"/>
  <c r="E329" i="17"/>
  <c r="AF328" i="17"/>
  <c r="AQ328" i="17"/>
  <c r="AP328" i="17"/>
  <c r="AH328" i="17"/>
  <c r="AG328" i="17"/>
  <c r="AC329" i="17" l="1"/>
  <c r="AD329" i="17"/>
  <c r="AR329" i="17"/>
  <c r="AP329" i="17"/>
  <c r="AF329" i="17"/>
  <c r="AH329" i="17"/>
  <c r="AQ329" i="17"/>
  <c r="AG329" i="17"/>
  <c r="B330" i="17"/>
  <c r="E330" i="17"/>
  <c r="A331" i="17"/>
  <c r="D330" i="17"/>
  <c r="C330" i="17"/>
  <c r="AC330" i="17" l="1"/>
  <c r="AD330" i="17"/>
  <c r="AR330" i="17"/>
  <c r="AH330" i="17"/>
  <c r="AQ330" i="17"/>
  <c r="AG330" i="17"/>
  <c r="AP330" i="17"/>
  <c r="AF330" i="17"/>
  <c r="B331" i="17"/>
  <c r="E331" i="17"/>
  <c r="D331" i="17"/>
  <c r="A332" i="17"/>
  <c r="C331" i="17"/>
  <c r="AC331" i="17" l="1"/>
  <c r="AD331" i="17"/>
  <c r="AR331" i="17"/>
  <c r="C332" i="17"/>
  <c r="A333" i="17"/>
  <c r="B332" i="17"/>
  <c r="D332" i="17"/>
  <c r="E332" i="17"/>
  <c r="AF331" i="17"/>
  <c r="AH331" i="17"/>
  <c r="AG331" i="17"/>
  <c r="AP331" i="17"/>
  <c r="AQ331" i="17"/>
  <c r="AC332" i="17" l="1"/>
  <c r="AD332" i="17"/>
  <c r="AR332" i="17"/>
  <c r="AG332" i="17"/>
  <c r="AH332" i="17"/>
  <c r="AP332" i="17"/>
  <c r="AF332" i="17"/>
  <c r="AQ332" i="17"/>
  <c r="C333" i="17"/>
  <c r="B333" i="17"/>
  <c r="D333" i="17"/>
  <c r="E333" i="17"/>
  <c r="A334" i="17"/>
  <c r="AC333" i="17" l="1"/>
  <c r="AD333" i="17"/>
  <c r="AR333" i="17"/>
  <c r="B334" i="17"/>
  <c r="D334" i="17"/>
  <c r="A335" i="17"/>
  <c r="E334" i="17"/>
  <c r="C334" i="17"/>
  <c r="AG333" i="17"/>
  <c r="AF333" i="17"/>
  <c r="AQ333" i="17"/>
  <c r="AH333" i="17"/>
  <c r="AP333" i="17"/>
  <c r="AC334" i="17" l="1"/>
  <c r="AD334" i="17"/>
  <c r="AR334" i="17"/>
  <c r="B335" i="17"/>
  <c r="A336" i="17"/>
  <c r="E335" i="17"/>
  <c r="D335" i="17"/>
  <c r="C335" i="17"/>
  <c r="AG334" i="17"/>
  <c r="AH334" i="17"/>
  <c r="AP334" i="17"/>
  <c r="AF334" i="17"/>
  <c r="AQ334" i="17"/>
  <c r="AC335" i="17" l="1"/>
  <c r="AD335" i="17"/>
  <c r="AR335" i="17"/>
  <c r="AH335" i="17"/>
  <c r="AP335" i="17"/>
  <c r="AQ335" i="17"/>
  <c r="AF335" i="17"/>
  <c r="AG335" i="17"/>
  <c r="A337" i="17"/>
  <c r="E336" i="17"/>
  <c r="C336" i="17"/>
  <c r="D336" i="17"/>
  <c r="B336" i="17"/>
  <c r="AC336" i="17" l="1"/>
  <c r="AD336" i="17"/>
  <c r="AR336" i="17"/>
  <c r="AH336" i="17"/>
  <c r="AF336" i="17"/>
  <c r="AG336" i="17"/>
  <c r="AQ336" i="17"/>
  <c r="AP336" i="17"/>
  <c r="B337" i="17"/>
  <c r="A338" i="17"/>
  <c r="E337" i="17"/>
  <c r="D337" i="17"/>
  <c r="C337" i="17"/>
  <c r="AC337" i="17" l="1"/>
  <c r="AD337" i="17"/>
  <c r="AR337" i="17"/>
  <c r="AF337" i="17"/>
  <c r="AP337" i="17"/>
  <c r="AG337" i="17"/>
  <c r="AH337" i="17"/>
  <c r="AQ337" i="17"/>
  <c r="E338" i="17"/>
  <c r="C338" i="17"/>
  <c r="D338" i="17"/>
  <c r="B338" i="17"/>
  <c r="A339" i="17"/>
  <c r="AC338" i="17" l="1"/>
  <c r="AD338" i="17"/>
  <c r="AR338" i="17"/>
  <c r="C339" i="17"/>
  <c r="E339" i="17"/>
  <c r="A340" i="17"/>
  <c r="D339" i="17"/>
  <c r="B339" i="17"/>
  <c r="AF338" i="17"/>
  <c r="AH338" i="17"/>
  <c r="AQ338" i="17"/>
  <c r="AP338" i="17"/>
  <c r="AG338" i="17"/>
  <c r="AC339" i="17" l="1"/>
  <c r="AD339" i="17"/>
  <c r="AR339" i="17"/>
  <c r="AG339" i="17"/>
  <c r="AP339" i="17"/>
  <c r="AQ339" i="17"/>
  <c r="AH339" i="17"/>
  <c r="AF339" i="17"/>
  <c r="C340" i="17"/>
  <c r="E340" i="17"/>
  <c r="B340" i="17"/>
  <c r="A341" i="17"/>
  <c r="D340" i="17"/>
  <c r="AC340" i="17" l="1"/>
  <c r="AD340" i="17"/>
  <c r="AR340" i="17"/>
  <c r="AG340" i="17"/>
  <c r="AQ340" i="17"/>
  <c r="AP340" i="17"/>
  <c r="AF340" i="17"/>
  <c r="AH340" i="17"/>
  <c r="D341" i="17"/>
  <c r="E341" i="17"/>
  <c r="C341" i="17"/>
  <c r="A342" i="17"/>
  <c r="B341" i="17"/>
  <c r="AC341" i="17" l="1"/>
  <c r="AD341" i="17"/>
  <c r="AR341" i="17"/>
  <c r="E342" i="17"/>
  <c r="B342" i="17"/>
  <c r="D342" i="17"/>
  <c r="C342" i="17"/>
  <c r="A343" i="17"/>
  <c r="AH341" i="17"/>
  <c r="AQ341" i="17"/>
  <c r="AF341" i="17"/>
  <c r="AG341" i="17"/>
  <c r="AP341" i="17"/>
  <c r="AC342" i="17" l="1"/>
  <c r="AD342" i="17"/>
  <c r="AR342" i="17"/>
  <c r="E343" i="17"/>
  <c r="A344" i="17"/>
  <c r="C343" i="17"/>
  <c r="B343" i="17"/>
  <c r="D343" i="17"/>
  <c r="AF342" i="17"/>
  <c r="AH342" i="17"/>
  <c r="AG342" i="17"/>
  <c r="AP342" i="17"/>
  <c r="AQ342" i="17"/>
  <c r="AC343" i="17" l="1"/>
  <c r="AD343" i="17"/>
  <c r="AR343" i="17"/>
  <c r="AF343" i="17"/>
  <c r="AQ343" i="17"/>
  <c r="AG343" i="17"/>
  <c r="AP343" i="17"/>
  <c r="AH343" i="17"/>
  <c r="D344" i="17"/>
  <c r="C344" i="17"/>
  <c r="B344" i="17"/>
  <c r="A345" i="17"/>
  <c r="E344" i="17"/>
  <c r="AC344" i="17" l="1"/>
  <c r="AD344" i="17"/>
  <c r="AR344" i="17"/>
  <c r="C345" i="17"/>
  <c r="E345" i="17"/>
  <c r="A346" i="17"/>
  <c r="B345" i="17"/>
  <c r="D345" i="17"/>
  <c r="AG344" i="17"/>
  <c r="AH344" i="17"/>
  <c r="AF344" i="17"/>
  <c r="AQ344" i="17"/>
  <c r="AP344" i="17"/>
  <c r="AC345" i="17" l="1"/>
  <c r="AD345" i="17"/>
  <c r="AR345" i="17"/>
  <c r="AG345" i="17"/>
  <c r="AH345" i="17"/>
  <c r="AP345" i="17"/>
  <c r="AF345" i="17"/>
  <c r="AQ345" i="17"/>
  <c r="E346" i="17"/>
  <c r="A347" i="17"/>
  <c r="D346" i="17"/>
  <c r="C346" i="17"/>
  <c r="B346" i="17"/>
  <c r="AC346" i="17" l="1"/>
  <c r="AD346" i="17"/>
  <c r="AR346" i="17"/>
  <c r="AH346" i="17"/>
  <c r="AG346" i="17"/>
  <c r="AQ346" i="17"/>
  <c r="AP346" i="17"/>
  <c r="AF346" i="17"/>
  <c r="B347" i="17"/>
  <c r="E347" i="17"/>
  <c r="C347" i="17"/>
  <c r="D347" i="17"/>
  <c r="A348" i="17"/>
  <c r="AC347" i="17" l="1"/>
  <c r="AD347" i="17"/>
  <c r="AR347" i="17"/>
  <c r="A349" i="17"/>
  <c r="D348" i="17"/>
  <c r="C348" i="17"/>
  <c r="B348" i="17"/>
  <c r="E348" i="17"/>
  <c r="AF347" i="17"/>
  <c r="AP347" i="17"/>
  <c r="AG347" i="17"/>
  <c r="AQ347" i="17"/>
  <c r="AH347" i="17"/>
  <c r="AC348" i="17" l="1"/>
  <c r="AD348" i="17"/>
  <c r="AR348" i="17"/>
  <c r="AF348" i="17"/>
  <c r="AH348" i="17"/>
  <c r="AP348" i="17"/>
  <c r="AQ348" i="17"/>
  <c r="AG348" i="17"/>
  <c r="A350" i="17"/>
  <c r="E349" i="17"/>
  <c r="B349" i="17"/>
  <c r="C349" i="17"/>
  <c r="D349" i="17"/>
  <c r="AC349" i="17" l="1"/>
  <c r="AD349" i="17"/>
  <c r="AR349" i="17"/>
  <c r="AF349" i="17"/>
  <c r="AP349" i="17"/>
  <c r="AG349" i="17"/>
  <c r="AH349" i="17"/>
  <c r="AQ349" i="17"/>
  <c r="C350" i="17"/>
  <c r="A351" i="17"/>
  <c r="B350" i="17"/>
  <c r="D350" i="17"/>
  <c r="E350" i="17"/>
  <c r="AC350" i="17" l="1"/>
  <c r="AD350" i="17"/>
  <c r="AR350" i="17"/>
  <c r="AF350" i="17"/>
  <c r="AP350" i="17"/>
  <c r="AH350" i="17"/>
  <c r="AQ350" i="17"/>
  <c r="AG350" i="17"/>
  <c r="B351" i="17"/>
  <c r="A352" i="17"/>
  <c r="E351" i="17"/>
  <c r="C351" i="17"/>
  <c r="D351" i="17"/>
  <c r="AC351" i="17" l="1"/>
  <c r="AD351" i="17"/>
  <c r="AR351" i="17"/>
  <c r="AG351" i="17"/>
  <c r="AQ351" i="17"/>
  <c r="AF351" i="17"/>
  <c r="AH351" i="17"/>
  <c r="AP351" i="17"/>
  <c r="A353" i="17"/>
  <c r="C352" i="17"/>
  <c r="E352" i="17"/>
  <c r="D352" i="17"/>
  <c r="B352" i="17"/>
  <c r="AC352" i="17" l="1"/>
  <c r="AD352" i="17"/>
  <c r="AR352" i="17"/>
  <c r="AG352" i="17"/>
  <c r="AF352" i="17"/>
  <c r="AP352" i="17"/>
  <c r="AQ352" i="17"/>
  <c r="AH352" i="17"/>
  <c r="E353" i="17"/>
  <c r="C353" i="17"/>
  <c r="A354" i="17"/>
  <c r="D353" i="17"/>
  <c r="B353" i="17"/>
  <c r="AC353" i="17" l="1"/>
  <c r="AD353" i="17"/>
  <c r="AR353" i="17"/>
  <c r="AG353" i="17"/>
  <c r="AQ353" i="17"/>
  <c r="AH353" i="17"/>
  <c r="AF353" i="17"/>
  <c r="AP353" i="17"/>
  <c r="B354" i="17"/>
  <c r="D354" i="17"/>
  <c r="E354" i="17"/>
  <c r="A355" i="17"/>
  <c r="C354" i="17"/>
  <c r="AC354" i="17" l="1"/>
  <c r="AD354" i="17"/>
  <c r="AR354" i="17"/>
  <c r="B355" i="17"/>
  <c r="D355" i="17"/>
  <c r="E355" i="17"/>
  <c r="C355" i="17"/>
  <c r="A356" i="17"/>
  <c r="AH354" i="17"/>
  <c r="AF354" i="17"/>
  <c r="AG354" i="17"/>
  <c r="AP354" i="17"/>
  <c r="AQ354" i="17"/>
  <c r="AC355" i="17" l="1"/>
  <c r="AD355" i="17"/>
  <c r="AR355" i="17"/>
  <c r="E356" i="17"/>
  <c r="C356" i="17"/>
  <c r="D356" i="17"/>
  <c r="A357" i="17"/>
  <c r="B356" i="17"/>
  <c r="AQ355" i="17"/>
  <c r="AF355" i="17"/>
  <c r="AG355" i="17"/>
  <c r="AH355" i="17"/>
  <c r="AP355" i="17"/>
  <c r="AC356" i="17" l="1"/>
  <c r="AD356" i="17"/>
  <c r="AR356" i="17"/>
  <c r="B357" i="17"/>
  <c r="C357" i="17"/>
  <c r="A358" i="17"/>
  <c r="E357" i="17"/>
  <c r="D357" i="17"/>
  <c r="AG356" i="17"/>
  <c r="AH356" i="17"/>
  <c r="AP356" i="17"/>
  <c r="AF356" i="17"/>
  <c r="AQ356" i="17"/>
  <c r="AC357" i="17" l="1"/>
  <c r="AD357" i="17"/>
  <c r="AR357" i="17"/>
  <c r="AQ357" i="17"/>
  <c r="AG357" i="17"/>
  <c r="AP357" i="17"/>
  <c r="AH357" i="17"/>
  <c r="AF357" i="17"/>
  <c r="E358" i="17"/>
  <c r="B358" i="17"/>
  <c r="A359" i="17"/>
  <c r="C358" i="17"/>
  <c r="D358" i="17"/>
  <c r="AC358" i="17" l="1"/>
  <c r="AD358" i="17"/>
  <c r="AR358" i="17"/>
  <c r="AF358" i="17"/>
  <c r="AQ358" i="17"/>
  <c r="AG358" i="17"/>
  <c r="AH358" i="17"/>
  <c r="AP358" i="17"/>
  <c r="A360" i="17"/>
  <c r="D359" i="17"/>
  <c r="B359" i="17"/>
  <c r="E359" i="17"/>
  <c r="C359" i="17"/>
  <c r="AC359" i="17" l="1"/>
  <c r="AD359" i="17"/>
  <c r="AR359" i="17"/>
  <c r="AH359" i="17"/>
  <c r="AG359" i="17"/>
  <c r="AP359" i="17"/>
  <c r="AQ359" i="17"/>
  <c r="AF359" i="17"/>
  <c r="A361" i="17"/>
  <c r="E360" i="17"/>
  <c r="C360" i="17"/>
  <c r="D360" i="17"/>
  <c r="B360" i="17"/>
  <c r="AC360" i="17" l="1"/>
  <c r="AD360" i="17"/>
  <c r="AR360" i="17"/>
  <c r="AQ360" i="17"/>
  <c r="AG360" i="17"/>
  <c r="AH360" i="17"/>
  <c r="AP360" i="17"/>
  <c r="AF360" i="17"/>
  <c r="A362" i="17"/>
  <c r="C361" i="17"/>
  <c r="B361" i="17"/>
  <c r="D361" i="17"/>
  <c r="E361" i="17"/>
  <c r="AC361" i="17" l="1"/>
  <c r="AD361" i="17"/>
  <c r="AR361" i="17"/>
  <c r="AF361" i="17"/>
  <c r="AG361" i="17"/>
  <c r="AH361" i="17"/>
  <c r="AP361" i="17"/>
  <c r="AQ361" i="17"/>
  <c r="D362" i="17"/>
  <c r="A363" i="17"/>
  <c r="C362" i="17"/>
  <c r="B362" i="17"/>
  <c r="E362" i="17"/>
  <c r="AC362" i="17" l="1"/>
  <c r="AD362" i="17"/>
  <c r="AR362" i="17"/>
  <c r="A364" i="17"/>
  <c r="D363" i="17"/>
  <c r="C363" i="17"/>
  <c r="B363" i="17"/>
  <c r="E363" i="17"/>
  <c r="AP362" i="17"/>
  <c r="AQ362" i="17"/>
  <c r="AG362" i="17"/>
  <c r="AH362" i="17"/>
  <c r="AF362" i="17"/>
  <c r="AC363" i="17" l="1"/>
  <c r="AD363" i="17"/>
  <c r="AR363" i="17"/>
  <c r="AG363" i="17"/>
  <c r="AH363" i="17"/>
  <c r="AP363" i="17"/>
  <c r="AQ363" i="17"/>
  <c r="AF363" i="17"/>
  <c r="E364" i="17"/>
  <c r="D364" i="17"/>
  <c r="A365" i="17"/>
  <c r="C364" i="17"/>
  <c r="B364" i="17"/>
  <c r="AC364" i="17" l="1"/>
  <c r="AD364" i="17"/>
  <c r="AR364" i="17"/>
  <c r="A366" i="17"/>
  <c r="C365" i="17"/>
  <c r="B365" i="17"/>
  <c r="D365" i="17"/>
  <c r="E365" i="17"/>
  <c r="AF364" i="17"/>
  <c r="AH364" i="17"/>
  <c r="AP364" i="17"/>
  <c r="AG364" i="17"/>
  <c r="AQ364" i="17"/>
  <c r="AC365" i="17" l="1"/>
  <c r="AD365" i="17"/>
  <c r="AR365" i="17"/>
  <c r="AF365" i="17"/>
  <c r="AP365" i="17"/>
  <c r="AH365" i="17"/>
  <c r="AG365" i="17"/>
  <c r="AQ365" i="17"/>
  <c r="B366" i="17"/>
  <c r="E366" i="17"/>
  <c r="D366" i="17"/>
  <c r="A367" i="17"/>
  <c r="C366" i="17"/>
  <c r="AC366" i="17" l="1"/>
  <c r="AD366" i="17"/>
  <c r="AR366" i="17"/>
  <c r="D367" i="17"/>
  <c r="B367" i="17"/>
  <c r="A368" i="17"/>
  <c r="E367" i="17"/>
  <c r="C367" i="17"/>
  <c r="AH366" i="17"/>
  <c r="AF366" i="17"/>
  <c r="AP366" i="17"/>
  <c r="AQ366" i="17"/>
  <c r="AG366" i="17"/>
  <c r="AC367" i="17" l="1"/>
  <c r="AD367" i="17"/>
  <c r="AR367" i="17"/>
  <c r="C368" i="17"/>
  <c r="B368" i="17"/>
  <c r="E368" i="17"/>
  <c r="A369" i="17"/>
  <c r="D368" i="17"/>
  <c r="AG367" i="17"/>
  <c r="AF367" i="17"/>
  <c r="AP367" i="17"/>
  <c r="AH367" i="17"/>
  <c r="AQ367" i="17"/>
  <c r="C10" i="11" l="1"/>
  <c r="C28" i="11"/>
  <c r="E11" i="9"/>
  <c r="AC368" i="17"/>
  <c r="AD368" i="17"/>
  <c r="AR368" i="17"/>
  <c r="E18" i="9"/>
  <c r="AF368" i="17"/>
  <c r="AH368" i="17"/>
  <c r="AQ368" i="17"/>
  <c r="AP368" i="17"/>
  <c r="AG368" i="17"/>
  <c r="C369" i="17"/>
  <c r="B369" i="17"/>
  <c r="D369" i="17"/>
  <c r="E369" i="17"/>
  <c r="AC369" i="17" l="1"/>
  <c r="AD369" i="17"/>
  <c r="AR369" i="17"/>
  <c r="Z9" i="18"/>
  <c r="Z5" i="18"/>
  <c r="Z7" i="18"/>
  <c r="Z6" i="18"/>
  <c r="Z4" i="18"/>
  <c r="Z2" i="18"/>
  <c r="Z10" i="18"/>
  <c r="Z3" i="18"/>
  <c r="Z8" i="18"/>
  <c r="Q2" i="18"/>
  <c r="Q5" i="18"/>
  <c r="Q8" i="18"/>
  <c r="Q3" i="18"/>
  <c r="Q6" i="18"/>
  <c r="Q9" i="18"/>
  <c r="Q10" i="18"/>
  <c r="Q4" i="18"/>
  <c r="Q7" i="18"/>
  <c r="AG369" i="17"/>
  <c r="AF369" i="17"/>
  <c r="AH369" i="17"/>
  <c r="AP369" i="17"/>
  <c r="AQ369" i="17"/>
  <c r="AA3" i="18" l="1"/>
  <c r="AA4" i="18"/>
  <c r="AA6" i="18"/>
  <c r="AA8" i="18"/>
  <c r="AA2" i="18"/>
  <c r="AA10" i="18"/>
  <c r="AA5" i="18"/>
  <c r="AA7" i="18"/>
  <c r="AA9" i="18"/>
  <c r="U10" i="18"/>
  <c r="X10" i="18" s="1"/>
  <c r="U9" i="18"/>
  <c r="X9" i="18" s="1"/>
  <c r="U2" i="18"/>
  <c r="X2" i="18" s="1"/>
  <c r="U6" i="18"/>
  <c r="X6" i="18" s="1"/>
  <c r="U7" i="18"/>
  <c r="X7" i="18" s="1"/>
  <c r="U3" i="18"/>
  <c r="X3" i="18" s="1"/>
  <c r="U8" i="18"/>
  <c r="X8" i="18" s="1"/>
  <c r="U4" i="18"/>
  <c r="X4" i="18" s="1"/>
  <c r="U5" i="18"/>
  <c r="X5" i="18" s="1"/>
  <c r="V2" i="18" l="1"/>
  <c r="Y2" i="18" s="1"/>
  <c r="V3" i="18"/>
  <c r="Y3" i="18" s="1"/>
  <c r="V4" i="18"/>
  <c r="Y4" i="18" s="1"/>
  <c r="V10" i="18"/>
  <c r="Y10" i="18" s="1"/>
  <c r="V5" i="18"/>
  <c r="Y5" i="18" s="1"/>
  <c r="V7" i="18"/>
  <c r="Y7" i="18" s="1"/>
  <c r="V8" i="18"/>
  <c r="Y8" i="18" s="1"/>
  <c r="V6" i="18"/>
  <c r="Y6" i="18" s="1"/>
  <c r="V9" i="18"/>
  <c r="Y9" i="18" s="1"/>
  <c r="G11" i="9" l="1"/>
  <c r="G18" i="9"/>
  <c r="C15" i="11" l="1"/>
  <c r="C14" i="11"/>
  <c r="E5" i="1" l="1"/>
  <c r="B5" i="1"/>
  <c r="A6" i="1"/>
  <c r="C5" i="1"/>
  <c r="D5" i="1"/>
  <c r="E6" i="1" l="1"/>
  <c r="C6" i="1"/>
  <c r="A7" i="1"/>
  <c r="D6" i="1"/>
  <c r="B6" i="1"/>
  <c r="E7" i="1" l="1"/>
  <c r="D7" i="1"/>
  <c r="C7" i="1"/>
  <c r="B7" i="1"/>
  <c r="A8" i="1"/>
  <c r="E8" i="1" l="1"/>
  <c r="C8" i="1"/>
  <c r="A9" i="1"/>
  <c r="D8" i="1"/>
  <c r="B8" i="1"/>
  <c r="A10" i="1" l="1"/>
  <c r="E9" i="1"/>
  <c r="B9" i="1"/>
  <c r="D9" i="1"/>
  <c r="C9" i="1"/>
  <c r="E10" i="1" l="1"/>
  <c r="C10" i="1"/>
  <c r="A11" i="1"/>
  <c r="D10" i="1"/>
  <c r="B10" i="1"/>
  <c r="E11" i="1" l="1"/>
  <c r="B11" i="1"/>
  <c r="A12" i="1"/>
  <c r="D11" i="1"/>
  <c r="C11" i="1"/>
  <c r="E12" i="1" l="1"/>
  <c r="C12" i="1"/>
  <c r="A13" i="1"/>
  <c r="D12" i="1"/>
  <c r="B12" i="1"/>
  <c r="E13" i="1" l="1"/>
  <c r="D13" i="1"/>
  <c r="C13" i="1"/>
  <c r="B13" i="1"/>
  <c r="A14" i="1"/>
  <c r="E14" i="1" l="1"/>
  <c r="C14" i="1"/>
  <c r="A15" i="1"/>
  <c r="D14" i="1"/>
  <c r="B14" i="1"/>
  <c r="A16" i="1" l="1"/>
  <c r="C15" i="1"/>
  <c r="E15" i="1"/>
  <c r="D15" i="1"/>
  <c r="B15" i="1"/>
  <c r="E16" i="1" l="1"/>
  <c r="C16" i="1"/>
  <c r="A17" i="1"/>
  <c r="D16" i="1"/>
  <c r="B16" i="1"/>
  <c r="E17" i="1" l="1"/>
  <c r="B17" i="1"/>
  <c r="A18" i="1"/>
  <c r="D17" i="1"/>
  <c r="C17" i="1"/>
  <c r="E18" i="1" l="1"/>
  <c r="C18" i="1"/>
  <c r="A19" i="1"/>
  <c r="D18" i="1"/>
  <c r="B18" i="1"/>
  <c r="E19" i="1" l="1"/>
  <c r="D19" i="1"/>
  <c r="C19" i="1"/>
  <c r="B19" i="1"/>
  <c r="A20" i="1"/>
  <c r="E20" i="1" l="1"/>
  <c r="C20" i="1"/>
  <c r="A21" i="1"/>
  <c r="D20" i="1"/>
  <c r="B20" i="1"/>
  <c r="A22" i="1" l="1"/>
  <c r="E21" i="1"/>
  <c r="B21" i="1"/>
  <c r="D21" i="1"/>
  <c r="C21" i="1"/>
  <c r="E22" i="1" l="1"/>
  <c r="C22" i="1"/>
  <c r="A23" i="1"/>
  <c r="D22" i="1"/>
  <c r="B22" i="1"/>
  <c r="E23" i="1" l="1"/>
  <c r="B23" i="1"/>
  <c r="A24" i="1"/>
  <c r="D23" i="1"/>
  <c r="C23" i="1"/>
  <c r="E24" i="1" l="1"/>
  <c r="C24" i="1"/>
  <c r="A25" i="1"/>
  <c r="D24" i="1"/>
  <c r="B24" i="1"/>
  <c r="E25" i="1" l="1"/>
  <c r="D25" i="1"/>
  <c r="C25" i="1"/>
  <c r="B25" i="1"/>
  <c r="A26" i="1"/>
  <c r="E26" i="1" l="1"/>
  <c r="C26" i="1"/>
  <c r="A27" i="1"/>
  <c r="D26" i="1"/>
  <c r="B26" i="1"/>
  <c r="A28" i="1" l="1"/>
  <c r="D27" i="1"/>
  <c r="C27" i="1"/>
  <c r="E27" i="1"/>
  <c r="B27" i="1"/>
  <c r="E28" i="1" l="1"/>
  <c r="C28" i="1"/>
  <c r="A29" i="1"/>
  <c r="D28" i="1"/>
  <c r="B28" i="1"/>
  <c r="E29" i="1" l="1"/>
  <c r="B29" i="1"/>
  <c r="A30" i="1"/>
  <c r="C29" i="1"/>
  <c r="D29" i="1"/>
  <c r="E30" i="1" l="1"/>
  <c r="C30" i="1"/>
  <c r="A31" i="1"/>
  <c r="D30" i="1"/>
  <c r="B30" i="1"/>
  <c r="E31" i="1" l="1"/>
  <c r="D31" i="1"/>
  <c r="C31" i="1"/>
  <c r="B31" i="1"/>
  <c r="A32" i="1"/>
  <c r="E32" i="1" l="1"/>
  <c r="C32" i="1"/>
  <c r="A33" i="1"/>
  <c r="D32" i="1"/>
  <c r="B32" i="1"/>
  <c r="A34" i="1" l="1"/>
  <c r="E33" i="1"/>
  <c r="B33" i="1"/>
  <c r="D33" i="1"/>
  <c r="C33" i="1"/>
  <c r="E34" i="1" l="1"/>
  <c r="C34" i="1"/>
  <c r="A35" i="1"/>
  <c r="D34" i="1"/>
  <c r="B34" i="1"/>
  <c r="E35" i="1" l="1"/>
  <c r="B35" i="1"/>
  <c r="A36" i="1"/>
  <c r="D35" i="1"/>
  <c r="C35" i="1"/>
  <c r="E36" i="1" l="1"/>
  <c r="C36" i="1"/>
  <c r="A37" i="1"/>
  <c r="D36" i="1"/>
  <c r="B36" i="1"/>
  <c r="E37" i="1" l="1"/>
  <c r="D37" i="1"/>
  <c r="C37" i="1"/>
  <c r="B37" i="1"/>
  <c r="A38" i="1"/>
  <c r="E38" i="1" l="1"/>
  <c r="C38" i="1"/>
  <c r="A39" i="1"/>
  <c r="D38" i="1"/>
  <c r="B38" i="1"/>
  <c r="A40" i="1" l="1"/>
  <c r="D39" i="1"/>
  <c r="C39" i="1"/>
  <c r="E39" i="1"/>
  <c r="B39" i="1"/>
  <c r="E40" i="1" l="1"/>
  <c r="C40" i="1"/>
  <c r="A41" i="1"/>
  <c r="D40" i="1"/>
  <c r="B40" i="1"/>
  <c r="E41" i="1" l="1"/>
  <c r="B41" i="1"/>
  <c r="A42" i="1"/>
  <c r="C41" i="1"/>
  <c r="D41" i="1"/>
  <c r="E42" i="1" l="1"/>
  <c r="C42" i="1"/>
  <c r="A43" i="1"/>
  <c r="A44" i="1" s="1"/>
  <c r="D42" i="1"/>
  <c r="B42" i="1"/>
  <c r="A45" i="1" l="1"/>
  <c r="A46" i="1" s="1"/>
  <c r="A47" i="1" s="1"/>
  <c r="A48" i="1" s="1"/>
  <c r="A49" i="1" s="1"/>
  <c r="B44" i="1"/>
  <c r="C44" i="1"/>
  <c r="E44" i="1"/>
  <c r="D44" i="1"/>
  <c r="AI9" i="17"/>
  <c r="AB28" i="17"/>
  <c r="AB34" i="17"/>
  <c r="AI12" i="17"/>
  <c r="AI2" i="17"/>
  <c r="AB7" i="17"/>
  <c r="AB12" i="17"/>
  <c r="AI3" i="17"/>
  <c r="AI19" i="17"/>
  <c r="AI17" i="17"/>
  <c r="AB40" i="17"/>
  <c r="AB5" i="17"/>
  <c r="AB32" i="17"/>
  <c r="AI20" i="17"/>
  <c r="AI38" i="17"/>
  <c r="AB2" i="17"/>
  <c r="AB14" i="17"/>
  <c r="AI8" i="17"/>
  <c r="AI37" i="17"/>
  <c r="AI15" i="17"/>
  <c r="AB15" i="17"/>
  <c r="AI14" i="17"/>
  <c r="AB24" i="17"/>
  <c r="AB18" i="17"/>
  <c r="AI31" i="17"/>
  <c r="AB4" i="17"/>
  <c r="AB20" i="17"/>
  <c r="AI40" i="17"/>
  <c r="AB26" i="17"/>
  <c r="AB17" i="17"/>
  <c r="AI22" i="17"/>
  <c r="AI26" i="17"/>
  <c r="AI13" i="17"/>
  <c r="AI23" i="17"/>
  <c r="AB6" i="17"/>
  <c r="AI34" i="17"/>
  <c r="AI16" i="17"/>
  <c r="AI36" i="17"/>
  <c r="AB37" i="17"/>
  <c r="AB23" i="17"/>
  <c r="AI28" i="17"/>
  <c r="AB22" i="17"/>
  <c r="AB19" i="17"/>
  <c r="AB38" i="17"/>
  <c r="AI4" i="17"/>
  <c r="AB3" i="17"/>
  <c r="AI33" i="17"/>
  <c r="AB33" i="17"/>
  <c r="AI11" i="17"/>
  <c r="AB27" i="17"/>
  <c r="AB31" i="17"/>
  <c r="AI24" i="17"/>
  <c r="AB25" i="17"/>
  <c r="AB10" i="17"/>
  <c r="AB39" i="17"/>
  <c r="AB21" i="17"/>
  <c r="AB13" i="17"/>
  <c r="AI25" i="17"/>
  <c r="AI32" i="17"/>
  <c r="AB35" i="17"/>
  <c r="AB30" i="17"/>
  <c r="AI10" i="17"/>
  <c r="AI6" i="17"/>
  <c r="AB11" i="17"/>
  <c r="AI39" i="17"/>
  <c r="AI21" i="17"/>
  <c r="AI30" i="17"/>
  <c r="AB9" i="17"/>
  <c r="AI7" i="17"/>
  <c r="AI18" i="17"/>
  <c r="AI27" i="17"/>
  <c r="AI5" i="17"/>
  <c r="AN29" i="17"/>
  <c r="AI35" i="17"/>
  <c r="AN15" i="17"/>
  <c r="AN33" i="17"/>
  <c r="AN32" i="17"/>
  <c r="AN16" i="17"/>
  <c r="AN35" i="17"/>
  <c r="AN11" i="17"/>
  <c r="AN9" i="17"/>
  <c r="AB16" i="17"/>
  <c r="AN26" i="17"/>
  <c r="AN34" i="17"/>
  <c r="AN25" i="17"/>
  <c r="AN12" i="17"/>
  <c r="AN30" i="17"/>
  <c r="AN13" i="17"/>
  <c r="AN5" i="17"/>
  <c r="AN28" i="17"/>
  <c r="AN6" i="17"/>
  <c r="AN3" i="17"/>
  <c r="AN7" i="17"/>
  <c r="AI29" i="17"/>
  <c r="AN39" i="17"/>
  <c r="AN40" i="17"/>
  <c r="AN10" i="17"/>
  <c r="AN37" i="17"/>
  <c r="AN14" i="17"/>
  <c r="AN24" i="17"/>
  <c r="AB8" i="17"/>
  <c r="AB29" i="17"/>
  <c r="AN36" i="17"/>
  <c r="AN19" i="17"/>
  <c r="AN31" i="17"/>
  <c r="AN20" i="17"/>
  <c r="AN22" i="17"/>
  <c r="AB36" i="17"/>
  <c r="AN18" i="17"/>
  <c r="AN8" i="17"/>
  <c r="AN2" i="17"/>
  <c r="AN38" i="17"/>
  <c r="AN17" i="17"/>
  <c r="AN27" i="17"/>
  <c r="AN21" i="17"/>
  <c r="AN4" i="17"/>
  <c r="AN23" i="17"/>
  <c r="N17" i="17"/>
  <c r="Y5" i="17"/>
  <c r="M32" i="17"/>
  <c r="X31" i="17"/>
  <c r="AO31" i="17" s="1"/>
  <c r="Y38" i="17"/>
  <c r="M28" i="17"/>
  <c r="Z7" i="17"/>
  <c r="N12" i="17"/>
  <c r="Z13" i="17"/>
  <c r="N14" i="17"/>
  <c r="N6" i="17"/>
  <c r="X16" i="17"/>
  <c r="AO16" i="17" s="1"/>
  <c r="Z26" i="17"/>
  <c r="M8" i="17"/>
  <c r="Z4" i="17"/>
  <c r="Z11" i="17"/>
  <c r="M14" i="17"/>
  <c r="N21" i="17"/>
  <c r="N7" i="17"/>
  <c r="X20" i="17"/>
  <c r="AO20" i="17" s="1"/>
  <c r="N24" i="17"/>
  <c r="N29" i="17"/>
  <c r="N26" i="17"/>
  <c r="N18" i="17"/>
  <c r="Z40" i="17"/>
  <c r="Z33" i="17"/>
  <c r="M39" i="17"/>
  <c r="M6" i="17"/>
  <c r="M24" i="17"/>
  <c r="M33" i="17"/>
  <c r="Z19" i="17"/>
  <c r="Y22" i="17"/>
  <c r="X19" i="17"/>
  <c r="AO19" i="17" s="1"/>
  <c r="M31" i="17"/>
  <c r="M27" i="17"/>
  <c r="N13" i="17"/>
  <c r="M34" i="17"/>
  <c r="Y21" i="17"/>
  <c r="N4" i="17"/>
  <c r="X10" i="17"/>
  <c r="AO10" i="17" s="1"/>
  <c r="M10" i="17"/>
  <c r="M25" i="17"/>
  <c r="X22" i="17"/>
  <c r="AO22" i="17" s="1"/>
  <c r="M16" i="17"/>
  <c r="X2" i="17"/>
  <c r="AO2" i="17" s="1"/>
  <c r="M36" i="17"/>
  <c r="X24" i="17"/>
  <c r="AO24" i="17" s="1"/>
  <c r="M17" i="17"/>
  <c r="Y14" i="17"/>
  <c r="X6" i="17"/>
  <c r="AO6" i="17" s="1"/>
  <c r="N19" i="17"/>
  <c r="M38" i="17"/>
  <c r="N23" i="17"/>
  <c r="Z28" i="17"/>
  <c r="Y34" i="17"/>
  <c r="X18" i="17"/>
  <c r="AO18" i="17" s="1"/>
  <c r="M9" i="17"/>
  <c r="Y20" i="17"/>
  <c r="X5" i="17"/>
  <c r="X15" i="17"/>
  <c r="AO15" i="17" s="1"/>
  <c r="Z35" i="17"/>
  <c r="N25" i="17"/>
  <c r="M37" i="17"/>
  <c r="Z5" i="17"/>
  <c r="N11" i="17"/>
  <c r="Z16" i="17"/>
  <c r="N27" i="17"/>
  <c r="N3" i="17"/>
  <c r="N31" i="17"/>
  <c r="Y24" i="17"/>
  <c r="M40" i="17"/>
  <c r="N35" i="17"/>
  <c r="N32" i="17"/>
  <c r="M7" i="17"/>
  <c r="X34" i="17"/>
  <c r="AO34" i="17" s="1"/>
  <c r="Z31" i="17"/>
  <c r="M22" i="17"/>
  <c r="Y28" i="17"/>
  <c r="X33" i="17"/>
  <c r="AO33" i="17" s="1"/>
  <c r="N8" i="17"/>
  <c r="M12" i="17"/>
  <c r="M4" i="17"/>
  <c r="N39" i="17"/>
  <c r="Y31" i="17"/>
  <c r="Z18" i="17"/>
  <c r="M5" i="17"/>
  <c r="X21" i="17"/>
  <c r="AO21" i="17" s="1"/>
  <c r="Z32" i="17"/>
  <c r="X38" i="17"/>
  <c r="AO38" i="17" s="1"/>
  <c r="Z34" i="17"/>
  <c r="X28" i="17"/>
  <c r="AO28" i="17" s="1"/>
  <c r="N33" i="17"/>
  <c r="Z23" i="17"/>
  <c r="Z12" i="17"/>
  <c r="X12" i="17"/>
  <c r="AO12" i="17" s="1"/>
  <c r="Z20" i="17"/>
  <c r="Y13" i="17"/>
  <c r="X3" i="17"/>
  <c r="AO3" i="17" s="1"/>
  <c r="Y16" i="17"/>
  <c r="N15" i="17"/>
  <c r="Y10" i="17"/>
  <c r="Y30" i="17"/>
  <c r="M21" i="17"/>
  <c r="Z37" i="17"/>
  <c r="Y29" i="17"/>
  <c r="Y32" i="17"/>
  <c r="X39" i="17"/>
  <c r="AO39" i="17" s="1"/>
  <c r="Y18" i="17"/>
  <c r="N16" i="17"/>
  <c r="M18" i="17"/>
  <c r="Y7" i="17"/>
  <c r="Z2" i="17"/>
  <c r="Y35" i="17"/>
  <c r="N34" i="17"/>
  <c r="Y27" i="17"/>
  <c r="X36" i="17"/>
  <c r="AO36" i="17" s="1"/>
  <c r="Z29" i="17"/>
  <c r="X11" i="17"/>
  <c r="AO11" i="17" s="1"/>
  <c r="X32" i="17"/>
  <c r="AO32" i="17" s="1"/>
  <c r="Z30" i="17"/>
  <c r="X27" i="17"/>
  <c r="AO27" i="17" s="1"/>
  <c r="X4" i="17"/>
  <c r="AO4" i="17" s="1"/>
  <c r="Z14" i="17"/>
  <c r="M11" i="17"/>
  <c r="M23" i="17"/>
  <c r="M29" i="17"/>
  <c r="Z6" i="17"/>
  <c r="M30" i="17"/>
  <c r="N37" i="17"/>
  <c r="Z24" i="17"/>
  <c r="Z17" i="17"/>
  <c r="Y12" i="17"/>
  <c r="X30" i="17"/>
  <c r="AO30" i="17" s="1"/>
  <c r="M3" i="17"/>
  <c r="X26" i="17"/>
  <c r="AO26" i="17" s="1"/>
  <c r="X40" i="17"/>
  <c r="AO40" i="17" s="1"/>
  <c r="N20" i="17"/>
  <c r="Y15" i="17"/>
  <c r="Y40" i="17"/>
  <c r="Z25" i="17"/>
  <c r="X7" i="17"/>
  <c r="AO7" i="17" s="1"/>
  <c r="Z36" i="17"/>
  <c r="Z10" i="17"/>
  <c r="Z38" i="17"/>
  <c r="Y39" i="17"/>
  <c r="N38" i="17"/>
  <c r="X29" i="17"/>
  <c r="AO29" i="17" s="1"/>
  <c r="Z39" i="17"/>
  <c r="N28" i="17"/>
  <c r="Y33" i="17"/>
  <c r="Y8" i="17"/>
  <c r="Y23" i="17"/>
  <c r="Z22" i="17"/>
  <c r="X17" i="17"/>
  <c r="AO17" i="17" s="1"/>
  <c r="M26" i="17"/>
  <c r="Z21" i="17"/>
  <c r="Y2" i="17"/>
  <c r="X25" i="17"/>
  <c r="AO25" i="17" s="1"/>
  <c r="Y36" i="17"/>
  <c r="Z9" i="17"/>
  <c r="Y3" i="17"/>
  <c r="X35" i="17"/>
  <c r="AO35" i="17" s="1"/>
  <c r="Y25" i="17"/>
  <c r="M19" i="17"/>
  <c r="Y37" i="17"/>
  <c r="Y6" i="17"/>
  <c r="Z8" i="17"/>
  <c r="Y11" i="17"/>
  <c r="Y19" i="17"/>
  <c r="Y4" i="17"/>
  <c r="Y26" i="17"/>
  <c r="Z15" i="17"/>
  <c r="X13" i="17"/>
  <c r="AO13" i="17" s="1"/>
  <c r="N9" i="17"/>
  <c r="M13" i="17"/>
  <c r="Y17" i="17"/>
  <c r="N30" i="17"/>
  <c r="Y9" i="17"/>
  <c r="X37" i="17"/>
  <c r="AO37" i="17" s="1"/>
  <c r="Z27" i="17"/>
  <c r="Z3" i="17"/>
  <c r="X14" i="17"/>
  <c r="AO14" i="17" s="1"/>
  <c r="X23" i="17"/>
  <c r="AO23" i="17" s="1"/>
  <c r="N22" i="17"/>
  <c r="N36" i="17"/>
  <c r="X8" i="17"/>
  <c r="AO8" i="17" s="1"/>
  <c r="M35" i="17"/>
  <c r="N10" i="17"/>
  <c r="N40" i="17"/>
  <c r="N2" i="17"/>
  <c r="M20" i="17"/>
  <c r="M2" i="17"/>
  <c r="M15" i="17"/>
  <c r="X9" i="17"/>
  <c r="AO9" i="17" s="1"/>
  <c r="N5" i="17"/>
  <c r="E43" i="1"/>
  <c r="D43" i="1"/>
  <c r="C43" i="1"/>
  <c r="B43" i="1"/>
  <c r="AO5" i="17" l="1"/>
  <c r="AA13" i="17"/>
  <c r="E45" i="1"/>
  <c r="B45" i="1"/>
  <c r="C45" i="1"/>
  <c r="D45" i="1"/>
  <c r="Z50" i="18"/>
  <c r="AA4" i="17"/>
  <c r="W4" i="17" s="1"/>
  <c r="AA17" i="17"/>
  <c r="W17" i="17" s="1"/>
  <c r="AA16" i="17"/>
  <c r="W16" i="17" s="1"/>
  <c r="AA31" i="17"/>
  <c r="W31" i="17" s="1"/>
  <c r="AA3" i="17"/>
  <c r="W3" i="17" s="1"/>
  <c r="AA23" i="17"/>
  <c r="W23" i="17" s="1"/>
  <c r="AA18" i="17"/>
  <c r="W18" i="17" s="1"/>
  <c r="AA30" i="17"/>
  <c r="W30" i="17" s="1"/>
  <c r="AA28" i="17"/>
  <c r="W28" i="17" s="1"/>
  <c r="Q50" i="18"/>
  <c r="AA6" i="17"/>
  <c r="W6" i="17" s="1"/>
  <c r="AA25" i="17"/>
  <c r="W25" i="17" s="1"/>
  <c r="AA27" i="17"/>
  <c r="W27" i="17" s="1"/>
  <c r="AA2" i="17"/>
  <c r="W2" i="17" s="1"/>
  <c r="AA35" i="17"/>
  <c r="W35" i="17" s="1"/>
  <c r="AA38" i="17"/>
  <c r="W38" i="17" s="1"/>
  <c r="AA40" i="17"/>
  <c r="W40" i="17" s="1"/>
  <c r="AA33" i="17"/>
  <c r="W33" i="17" s="1"/>
  <c r="AA12" i="17"/>
  <c r="W12" i="17" s="1"/>
  <c r="AA20" i="17"/>
  <c r="W20" i="17" s="1"/>
  <c r="AA5" i="17"/>
  <c r="W5" i="17" s="1"/>
  <c r="AA37" i="17"/>
  <c r="W37" i="17" s="1"/>
  <c r="AA19" i="17"/>
  <c r="W19" i="17" s="1"/>
  <c r="AA39" i="17"/>
  <c r="W39" i="17" s="1"/>
  <c r="AA10" i="17"/>
  <c r="W10" i="17" s="1"/>
  <c r="AA26" i="17"/>
  <c r="W26" i="17" s="1"/>
  <c r="AA34" i="17"/>
  <c r="W34" i="17" s="1"/>
  <c r="AA9" i="17"/>
  <c r="W9" i="17" s="1"/>
  <c r="AA8" i="17"/>
  <c r="W8" i="17" s="1"/>
  <c r="AA7" i="17"/>
  <c r="W7" i="17" s="1"/>
  <c r="AA24" i="17"/>
  <c r="W24" i="17" s="1"/>
  <c r="AA21" i="17"/>
  <c r="W21" i="17" s="1"/>
  <c r="AA11" i="17"/>
  <c r="W11" i="17" s="1"/>
  <c r="AA36" i="17"/>
  <c r="W36" i="17" s="1"/>
  <c r="AA15" i="17"/>
  <c r="W15" i="17" s="1"/>
  <c r="AA32" i="17"/>
  <c r="W32" i="17" s="1"/>
  <c r="AA14" i="17"/>
  <c r="W14" i="17" s="1"/>
  <c r="AA22" i="17"/>
  <c r="W22" i="17" s="1"/>
  <c r="AA29" i="17"/>
  <c r="W29" i="17" s="1"/>
  <c r="W13" i="17" l="1"/>
  <c r="P13" i="17"/>
  <c r="Q13" i="17"/>
  <c r="R13" i="17"/>
  <c r="C46" i="1"/>
  <c r="B46" i="1"/>
  <c r="E46" i="1"/>
  <c r="D46" i="1"/>
  <c r="R9" i="17"/>
  <c r="P9" i="17"/>
  <c r="Q9" i="17"/>
  <c r="R26" i="17"/>
  <c r="P26" i="17"/>
  <c r="Q26" i="17"/>
  <c r="R20" i="17"/>
  <c r="P20" i="17"/>
  <c r="Q20" i="17"/>
  <c r="R29" i="17"/>
  <c r="Q29" i="17"/>
  <c r="P29" i="17"/>
  <c r="P28" i="17"/>
  <c r="R28" i="17"/>
  <c r="Q28" i="17"/>
  <c r="R38" i="17"/>
  <c r="Q38" i="17"/>
  <c r="P38" i="17"/>
  <c r="R30" i="17"/>
  <c r="Q30" i="17"/>
  <c r="P30" i="17"/>
  <c r="R33" i="17"/>
  <c r="P33" i="17"/>
  <c r="Q33" i="17"/>
  <c r="R35" i="17"/>
  <c r="P35" i="17"/>
  <c r="Q35" i="17"/>
  <c r="R27" i="17"/>
  <c r="P27" i="17"/>
  <c r="Q27" i="17"/>
  <c r="R31" i="17"/>
  <c r="P31" i="17"/>
  <c r="Q31" i="17"/>
  <c r="R11" i="17"/>
  <c r="P11" i="17"/>
  <c r="Q11" i="17"/>
  <c r="R39" i="17"/>
  <c r="P39" i="17"/>
  <c r="Q39" i="17"/>
  <c r="P36" i="17"/>
  <c r="R36" i="17"/>
  <c r="Q36" i="17"/>
  <c r="R21" i="17"/>
  <c r="Q21" i="17"/>
  <c r="P21" i="17"/>
  <c r="R8" i="17"/>
  <c r="P8" i="17"/>
  <c r="Q8" i="17"/>
  <c r="R5" i="17"/>
  <c r="Q5" i="17"/>
  <c r="P5" i="17"/>
  <c r="R22" i="17"/>
  <c r="Q22" i="17"/>
  <c r="P22" i="17"/>
  <c r="R32" i="17"/>
  <c r="P32" i="17"/>
  <c r="Q32" i="17"/>
  <c r="R7" i="17"/>
  <c r="P7" i="17"/>
  <c r="Q7" i="17"/>
  <c r="R34" i="17"/>
  <c r="P34" i="17"/>
  <c r="Q34" i="17"/>
  <c r="R37" i="17"/>
  <c r="Q37" i="17"/>
  <c r="P37" i="17"/>
  <c r="R6" i="17"/>
  <c r="Q6" i="17"/>
  <c r="P6" i="17"/>
  <c r="R18" i="17"/>
  <c r="P18" i="17"/>
  <c r="Q18" i="17"/>
  <c r="R23" i="17"/>
  <c r="P23" i="17"/>
  <c r="Q23" i="17"/>
  <c r="R17" i="17"/>
  <c r="P17" i="17"/>
  <c r="Q17" i="17"/>
  <c r="R3" i="17"/>
  <c r="P3" i="17"/>
  <c r="Q3" i="17"/>
  <c r="R16" i="17"/>
  <c r="P16" i="17"/>
  <c r="Q16" i="17"/>
  <c r="R10" i="17"/>
  <c r="P10" i="17"/>
  <c r="Q10" i="17"/>
  <c r="R14" i="17"/>
  <c r="Q14" i="17"/>
  <c r="P14" i="17"/>
  <c r="R15" i="17"/>
  <c r="P15" i="17"/>
  <c r="Q15" i="17"/>
  <c r="R19" i="17"/>
  <c r="P19" i="17"/>
  <c r="Q19" i="17"/>
  <c r="R2" i="17"/>
  <c r="P2" i="17"/>
  <c r="Q2" i="17"/>
  <c r="R4" i="17"/>
  <c r="P4" i="17"/>
  <c r="Q4" i="17"/>
  <c r="R24" i="17"/>
  <c r="P24" i="17"/>
  <c r="Q24" i="17"/>
  <c r="R12" i="17"/>
  <c r="P12" i="17"/>
  <c r="Q12" i="17"/>
  <c r="R40" i="17"/>
  <c r="P40" i="17"/>
  <c r="Q40" i="17"/>
  <c r="R25" i="17"/>
  <c r="P25" i="17"/>
  <c r="Q25" i="17"/>
  <c r="AA50" i="18"/>
  <c r="U50" i="18"/>
  <c r="X50" i="18" s="1"/>
  <c r="O13" i="17" l="1"/>
  <c r="B47" i="1"/>
  <c r="C47" i="1"/>
  <c r="E47" i="1"/>
  <c r="D47" i="1"/>
  <c r="O14" i="17"/>
  <c r="O6" i="17"/>
  <c r="O37" i="17"/>
  <c r="O21" i="17"/>
  <c r="O22" i="17"/>
  <c r="O30" i="17"/>
  <c r="O38" i="17"/>
  <c r="O27" i="17"/>
  <c r="O33" i="17"/>
  <c r="O20" i="17"/>
  <c r="O26" i="17"/>
  <c r="O9" i="17"/>
  <c r="O17" i="17"/>
  <c r="O5" i="17"/>
  <c r="O40" i="17"/>
  <c r="O25" i="17"/>
  <c r="O2" i="17"/>
  <c r="O18" i="17"/>
  <c r="O34" i="17"/>
  <c r="O32" i="17"/>
  <c r="O3" i="17"/>
  <c r="O29" i="17"/>
  <c r="O39" i="17"/>
  <c r="O11" i="17"/>
  <c r="O31" i="17"/>
  <c r="O35" i="17"/>
  <c r="O12" i="17"/>
  <c r="O24" i="17"/>
  <c r="O4" i="17"/>
  <c r="O19" i="17"/>
  <c r="O15" i="17"/>
  <c r="O10" i="17"/>
  <c r="O23" i="17"/>
  <c r="O8" i="17"/>
  <c r="O28" i="17"/>
  <c r="O7" i="17"/>
  <c r="O16" i="17"/>
  <c r="O36" i="17"/>
  <c r="V50" i="18"/>
  <c r="Y50" i="18" s="1"/>
  <c r="C48" i="1" l="1"/>
  <c r="B48" i="1"/>
  <c r="E48" i="1"/>
  <c r="D48" i="1"/>
  <c r="B49" i="1" l="1"/>
  <c r="E49" i="1"/>
  <c r="C49" i="1"/>
  <c r="D49" i="1"/>
  <c r="A50" i="1"/>
  <c r="B50" i="1" l="1"/>
  <c r="C50" i="1"/>
  <c r="E50" i="1"/>
  <c r="D50" i="1"/>
  <c r="A51" i="1"/>
  <c r="E51" i="1" l="1"/>
  <c r="B51" i="1"/>
  <c r="C51" i="1"/>
  <c r="A52" i="1"/>
  <c r="D51" i="1"/>
  <c r="C52" i="1" l="1"/>
  <c r="E52" i="1"/>
  <c r="B52" i="1"/>
  <c r="D52" i="1"/>
  <c r="A53" i="1"/>
  <c r="E53" i="1" l="1"/>
  <c r="B53" i="1"/>
  <c r="C53" i="1"/>
  <c r="D53" i="1"/>
  <c r="A54" i="1"/>
  <c r="C54" i="1" l="1"/>
  <c r="E54" i="1"/>
  <c r="B54" i="1"/>
  <c r="D54" i="1"/>
  <c r="A55" i="1"/>
  <c r="B55" i="1" l="1"/>
  <c r="C55" i="1"/>
  <c r="E55" i="1"/>
  <c r="D55" i="1"/>
  <c r="A56" i="1"/>
  <c r="C56" i="1" l="1"/>
  <c r="B56" i="1"/>
  <c r="E56" i="1"/>
  <c r="A57" i="1"/>
  <c r="D56" i="1"/>
  <c r="B57" i="1" l="1"/>
  <c r="E57" i="1"/>
  <c r="C57" i="1"/>
  <c r="D57" i="1"/>
  <c r="B58" i="1" l="1"/>
  <c r="C58" i="1"/>
  <c r="E58" i="1"/>
  <c r="D58" i="1"/>
  <c r="A59" i="1"/>
  <c r="E59" i="1" l="1"/>
  <c r="B59" i="1"/>
  <c r="C59" i="1"/>
  <c r="A60" i="1"/>
  <c r="D59" i="1"/>
  <c r="C60" i="1" l="1"/>
  <c r="E60" i="1"/>
  <c r="B60" i="1"/>
  <c r="D60" i="1"/>
  <c r="A61" i="1"/>
  <c r="E61" i="1" l="1"/>
  <c r="B61" i="1"/>
  <c r="C61" i="1"/>
  <c r="D61" i="1"/>
  <c r="A62" i="1"/>
  <c r="C62" i="1" l="1"/>
  <c r="B62" i="1"/>
  <c r="E62" i="1"/>
  <c r="D62" i="1"/>
  <c r="A63" i="1"/>
  <c r="B63" i="1" l="1"/>
  <c r="C63" i="1"/>
  <c r="E63" i="1"/>
  <c r="D63" i="1"/>
  <c r="A64" i="1"/>
  <c r="C64" i="1" l="1"/>
  <c r="B64" i="1"/>
  <c r="E64" i="1"/>
  <c r="A65" i="1"/>
  <c r="D64" i="1"/>
  <c r="B65" i="1" l="1"/>
  <c r="E65" i="1"/>
  <c r="C65" i="1"/>
  <c r="D65" i="1"/>
  <c r="A66" i="1"/>
  <c r="B66" i="1" l="1"/>
  <c r="C66" i="1"/>
  <c r="E66" i="1"/>
  <c r="D66" i="1"/>
  <c r="A67" i="1"/>
  <c r="E67" i="1" l="1"/>
  <c r="B67" i="1"/>
  <c r="C67" i="1"/>
  <c r="A68" i="1"/>
  <c r="D67" i="1"/>
  <c r="C68" i="1" l="1"/>
  <c r="E68" i="1"/>
  <c r="B68" i="1"/>
  <c r="D68" i="1"/>
  <c r="A69" i="1"/>
  <c r="E69" i="1" l="1"/>
  <c r="B69" i="1"/>
  <c r="C69" i="1"/>
  <c r="D69" i="1"/>
  <c r="A70" i="1"/>
  <c r="C70" i="1" l="1"/>
  <c r="E70" i="1"/>
  <c r="B70" i="1"/>
  <c r="A71" i="1"/>
  <c r="D70" i="1"/>
  <c r="B71" i="1" l="1"/>
  <c r="C71" i="1"/>
  <c r="E71" i="1"/>
  <c r="D71" i="1"/>
  <c r="A72" i="1"/>
  <c r="B72" i="1" l="1"/>
  <c r="C72" i="1"/>
  <c r="E72" i="1"/>
  <c r="A73" i="1"/>
  <c r="D72" i="1"/>
  <c r="B73" i="1" l="1"/>
  <c r="E73" i="1"/>
  <c r="C73" i="1"/>
  <c r="D73" i="1"/>
  <c r="A74" i="1"/>
  <c r="B74" i="1" l="1"/>
  <c r="C74" i="1"/>
  <c r="E74" i="1"/>
  <c r="D74" i="1"/>
  <c r="A75" i="1"/>
  <c r="E75" i="1" l="1"/>
  <c r="B75" i="1"/>
  <c r="C75" i="1"/>
  <c r="A76" i="1"/>
  <c r="D75" i="1"/>
  <c r="C76" i="1" l="1"/>
  <c r="E76" i="1"/>
  <c r="B76" i="1"/>
  <c r="D76" i="1"/>
  <c r="A77" i="1"/>
  <c r="B77" i="1" l="1"/>
  <c r="C77" i="1"/>
  <c r="E77" i="1"/>
  <c r="D77" i="1"/>
  <c r="A78" i="1"/>
  <c r="C78" i="1" l="1"/>
  <c r="B78" i="1"/>
  <c r="E78" i="1"/>
  <c r="D78" i="1"/>
  <c r="A79" i="1"/>
  <c r="B79" i="1" l="1"/>
  <c r="C79" i="1"/>
  <c r="E79" i="1"/>
  <c r="D79" i="1"/>
  <c r="A80" i="1"/>
  <c r="B80" i="1" l="1"/>
  <c r="E80" i="1"/>
  <c r="C80" i="1"/>
  <c r="A81" i="1"/>
  <c r="D80" i="1"/>
  <c r="B81" i="1" l="1"/>
  <c r="E81" i="1"/>
  <c r="C81" i="1"/>
  <c r="D81" i="1"/>
  <c r="A82" i="1"/>
  <c r="B82" i="1" l="1"/>
  <c r="C82" i="1"/>
  <c r="E82" i="1"/>
  <c r="D82" i="1"/>
  <c r="A83" i="1"/>
  <c r="E83" i="1" l="1"/>
  <c r="B83" i="1"/>
  <c r="C83" i="1"/>
  <c r="A84" i="1"/>
  <c r="D83" i="1"/>
  <c r="C84" i="1" l="1"/>
  <c r="E84" i="1"/>
  <c r="B84" i="1"/>
  <c r="D84" i="1"/>
  <c r="A85" i="1"/>
  <c r="B85" i="1" l="1"/>
  <c r="C85" i="1"/>
  <c r="E85" i="1"/>
  <c r="D85" i="1"/>
  <c r="A86" i="1"/>
  <c r="C86" i="1" l="1"/>
  <c r="B86" i="1"/>
  <c r="E86" i="1"/>
  <c r="A87" i="1"/>
  <c r="D86" i="1"/>
  <c r="B87" i="1" l="1"/>
  <c r="C87" i="1"/>
  <c r="E87" i="1"/>
  <c r="D87" i="1"/>
  <c r="A88" i="1"/>
  <c r="B88" i="1" l="1"/>
  <c r="C88" i="1"/>
  <c r="E88" i="1"/>
  <c r="A89" i="1"/>
  <c r="D88" i="1"/>
  <c r="B89" i="1" l="1"/>
  <c r="E89" i="1"/>
  <c r="C89" i="1"/>
  <c r="D89" i="1"/>
  <c r="A90" i="1"/>
  <c r="B90" i="1" l="1"/>
  <c r="C90" i="1"/>
  <c r="E90" i="1"/>
  <c r="D90" i="1"/>
  <c r="A91" i="1"/>
  <c r="E91" i="1" l="1"/>
  <c r="C91" i="1"/>
  <c r="B91" i="1"/>
  <c r="A92" i="1"/>
  <c r="D91" i="1"/>
  <c r="C92" i="1" l="1"/>
  <c r="E92" i="1"/>
  <c r="B92" i="1"/>
  <c r="D92" i="1"/>
  <c r="A93" i="1"/>
  <c r="B93" i="1" l="1"/>
  <c r="C93" i="1"/>
  <c r="E93" i="1"/>
  <c r="D93" i="1"/>
  <c r="A94" i="1"/>
  <c r="C94" i="1" l="1"/>
  <c r="E94" i="1"/>
  <c r="B94" i="1"/>
  <c r="A95" i="1"/>
  <c r="D94" i="1"/>
  <c r="B95" i="1" l="1"/>
  <c r="C95" i="1"/>
  <c r="E95" i="1"/>
  <c r="D95" i="1"/>
  <c r="A96" i="1"/>
  <c r="B96" i="1" l="1"/>
  <c r="C96" i="1"/>
  <c r="E96" i="1"/>
  <c r="A97" i="1"/>
  <c r="D96" i="1"/>
  <c r="B97" i="1" l="1"/>
  <c r="E97" i="1"/>
  <c r="C97" i="1"/>
  <c r="D97" i="1"/>
  <c r="A98" i="1"/>
  <c r="B98" i="1" l="1"/>
  <c r="C98" i="1"/>
  <c r="E98" i="1"/>
  <c r="D98" i="1"/>
  <c r="A99" i="1"/>
  <c r="E99" i="1" l="1"/>
  <c r="B99" i="1"/>
  <c r="C99" i="1"/>
  <c r="A100" i="1"/>
  <c r="D99" i="1"/>
  <c r="C100" i="1" l="1"/>
  <c r="E100" i="1"/>
  <c r="B100" i="1"/>
  <c r="D100" i="1"/>
  <c r="A101" i="1"/>
  <c r="B101" i="1" l="1"/>
  <c r="C101" i="1"/>
  <c r="E101" i="1"/>
  <c r="D101" i="1"/>
  <c r="A102" i="1"/>
  <c r="C102" i="1" l="1"/>
  <c r="B102" i="1"/>
  <c r="E102" i="1"/>
  <c r="A103" i="1"/>
  <c r="D102" i="1"/>
  <c r="B103" i="1" l="1"/>
  <c r="C103" i="1"/>
  <c r="E103" i="1"/>
  <c r="D103" i="1"/>
  <c r="A104" i="1"/>
  <c r="B104" i="1" l="1"/>
  <c r="E104" i="1"/>
  <c r="C104" i="1"/>
  <c r="A105" i="1"/>
  <c r="D104" i="1"/>
  <c r="B105" i="1" l="1"/>
  <c r="E105" i="1"/>
  <c r="C105" i="1"/>
  <c r="D105" i="1"/>
  <c r="A106" i="1"/>
  <c r="B106" i="1" l="1"/>
  <c r="C106" i="1"/>
  <c r="E106" i="1"/>
  <c r="D106" i="1"/>
  <c r="A107" i="1"/>
  <c r="E107" i="1" l="1"/>
  <c r="B107" i="1"/>
  <c r="C107" i="1"/>
  <c r="A108" i="1"/>
  <c r="D107" i="1"/>
  <c r="C108" i="1" l="1"/>
  <c r="E108" i="1"/>
  <c r="B108" i="1"/>
  <c r="D108" i="1"/>
  <c r="A109" i="1"/>
  <c r="B109" i="1" l="1"/>
  <c r="C109" i="1"/>
  <c r="E109" i="1"/>
  <c r="D109" i="1"/>
  <c r="A110" i="1"/>
  <c r="C110" i="1" l="1"/>
  <c r="B110" i="1"/>
  <c r="E110" i="1"/>
  <c r="A111" i="1"/>
  <c r="D110" i="1"/>
  <c r="B111" i="1" l="1"/>
  <c r="C111" i="1"/>
  <c r="E111" i="1"/>
  <c r="D111" i="1"/>
  <c r="A112" i="1"/>
  <c r="B112" i="1" l="1"/>
  <c r="E112" i="1"/>
  <c r="C112" i="1"/>
  <c r="A113" i="1"/>
  <c r="D112" i="1"/>
  <c r="B113" i="1" l="1"/>
  <c r="E113" i="1"/>
  <c r="C113" i="1"/>
  <c r="D113" i="1"/>
  <c r="A114" i="1"/>
  <c r="B114" i="1" l="1"/>
  <c r="C114" i="1"/>
  <c r="E114" i="1"/>
  <c r="D114" i="1"/>
  <c r="A115" i="1"/>
  <c r="E115" i="1" l="1"/>
  <c r="B115" i="1"/>
  <c r="C115" i="1"/>
  <c r="A116" i="1"/>
  <c r="D115" i="1"/>
  <c r="C116" i="1" l="1"/>
  <c r="E116" i="1"/>
  <c r="B116" i="1"/>
  <c r="D116" i="1"/>
  <c r="A117" i="1"/>
  <c r="B117" i="1" l="1"/>
  <c r="C117" i="1"/>
  <c r="E117" i="1"/>
  <c r="D117" i="1"/>
  <c r="A118" i="1"/>
  <c r="C118" i="1" l="1"/>
  <c r="B118" i="1"/>
  <c r="E118" i="1"/>
  <c r="A119" i="1"/>
  <c r="D118" i="1"/>
  <c r="B119" i="1" l="1"/>
  <c r="C119" i="1"/>
  <c r="E119" i="1"/>
  <c r="D119" i="1"/>
  <c r="A120" i="1"/>
  <c r="B120" i="1" l="1"/>
  <c r="C120" i="1"/>
  <c r="E120" i="1"/>
  <c r="A121" i="1"/>
  <c r="D120" i="1"/>
  <c r="B121" i="1" l="1"/>
  <c r="E121" i="1"/>
  <c r="C121" i="1"/>
  <c r="D121" i="1"/>
  <c r="A122" i="1"/>
  <c r="B122" i="1" l="1"/>
  <c r="C122" i="1"/>
  <c r="E122" i="1"/>
  <c r="D122" i="1"/>
  <c r="A123" i="1"/>
  <c r="E123" i="1" l="1"/>
  <c r="C123" i="1"/>
  <c r="B123" i="1"/>
  <c r="A124" i="1"/>
  <c r="D123" i="1"/>
  <c r="C124" i="1" l="1"/>
  <c r="E124" i="1"/>
  <c r="B124" i="1"/>
  <c r="D124" i="1"/>
  <c r="A125" i="1"/>
  <c r="B125" i="1" l="1"/>
  <c r="C125" i="1"/>
  <c r="E125" i="1"/>
  <c r="D125" i="1"/>
  <c r="A126" i="1"/>
  <c r="C126" i="1" l="1"/>
  <c r="E126" i="1"/>
  <c r="B126" i="1"/>
  <c r="A127" i="1"/>
  <c r="D126" i="1"/>
  <c r="B127" i="1" l="1"/>
  <c r="C127" i="1"/>
  <c r="E127" i="1"/>
  <c r="D127" i="1"/>
  <c r="A128" i="1"/>
  <c r="B128" i="1" l="1"/>
  <c r="C128" i="1"/>
  <c r="E128" i="1"/>
  <c r="A129" i="1"/>
  <c r="D128" i="1"/>
  <c r="B129" i="1" l="1"/>
  <c r="E129" i="1"/>
  <c r="C129" i="1"/>
  <c r="D129" i="1"/>
  <c r="A130" i="1"/>
  <c r="B130" i="1" l="1"/>
  <c r="C130" i="1"/>
  <c r="E130" i="1"/>
  <c r="D130" i="1"/>
  <c r="A131" i="1"/>
  <c r="E131" i="1" l="1"/>
  <c r="B131" i="1"/>
  <c r="C131" i="1"/>
  <c r="A132" i="1"/>
  <c r="D131" i="1"/>
  <c r="C132" i="1" l="1"/>
  <c r="E132" i="1"/>
  <c r="B132" i="1"/>
  <c r="D132" i="1"/>
  <c r="A133" i="1"/>
  <c r="B133" i="1" l="1"/>
  <c r="C133" i="1"/>
  <c r="E133" i="1"/>
  <c r="D133" i="1"/>
  <c r="A134" i="1"/>
  <c r="C134" i="1" l="1"/>
  <c r="B134" i="1"/>
  <c r="E134" i="1"/>
  <c r="D134" i="1"/>
  <c r="A135" i="1"/>
  <c r="B135" i="1" l="1"/>
  <c r="C135" i="1"/>
  <c r="E135" i="1"/>
  <c r="D135" i="1"/>
  <c r="A136" i="1"/>
  <c r="B136" i="1" l="1"/>
  <c r="C136" i="1"/>
  <c r="E136" i="1"/>
  <c r="A137" i="1"/>
  <c r="D136" i="1"/>
  <c r="B137" i="1" l="1"/>
  <c r="E137" i="1"/>
  <c r="C137" i="1"/>
  <c r="D137" i="1"/>
  <c r="A138" i="1"/>
  <c r="B138" i="1" l="1"/>
  <c r="C138" i="1"/>
  <c r="E138" i="1"/>
  <c r="D138" i="1"/>
  <c r="A139" i="1"/>
  <c r="E139" i="1" l="1"/>
  <c r="B139" i="1"/>
  <c r="C139" i="1"/>
  <c r="A140" i="1"/>
  <c r="D139" i="1"/>
  <c r="C140" i="1" l="1"/>
  <c r="E140" i="1"/>
  <c r="B140" i="1"/>
  <c r="D140" i="1"/>
  <c r="A141" i="1"/>
  <c r="B141" i="1" l="1"/>
  <c r="C141" i="1"/>
  <c r="E141" i="1"/>
  <c r="D141" i="1"/>
  <c r="A142" i="1"/>
  <c r="C142" i="1" l="1"/>
  <c r="B142" i="1"/>
  <c r="E142" i="1"/>
  <c r="D142" i="1"/>
  <c r="A143" i="1"/>
  <c r="B143" i="1" l="1"/>
  <c r="C143" i="1"/>
  <c r="E143" i="1"/>
  <c r="D143" i="1"/>
  <c r="A144" i="1"/>
  <c r="Q21" i="18" l="1"/>
  <c r="U21" i="18" s="1"/>
  <c r="X21" i="18" s="1"/>
  <c r="Q41" i="18"/>
  <c r="U41" i="18" s="1"/>
  <c r="X41" i="18" s="1"/>
  <c r="Z17" i="18"/>
  <c r="Z42" i="17"/>
  <c r="M41" i="17"/>
  <c r="N42" i="17"/>
  <c r="Y41" i="17"/>
  <c r="AN42" i="17"/>
  <c r="AN41" i="17"/>
  <c r="Y42" i="17"/>
  <c r="X42" i="17"/>
  <c r="AO42" i="17" s="1"/>
  <c r="Y43" i="17"/>
  <c r="N41" i="17"/>
  <c r="AN44" i="17"/>
  <c r="X41" i="17"/>
  <c r="Z41" i="17"/>
  <c r="AB41" i="17"/>
  <c r="M44" i="17"/>
  <c r="AB43" i="17"/>
  <c r="Z43" i="17"/>
  <c r="N43" i="17"/>
  <c r="X44" i="17"/>
  <c r="AO44" i="17" s="1"/>
  <c r="AB42" i="17"/>
  <c r="X46" i="17"/>
  <c r="AO46" i="17" s="1"/>
  <c r="AI41" i="17"/>
  <c r="M42" i="17"/>
  <c r="Z45" i="17"/>
  <c r="AN45" i="17"/>
  <c r="M43" i="17"/>
  <c r="AI43" i="17"/>
  <c r="Y44" i="17"/>
  <c r="AI42" i="17"/>
  <c r="AB44" i="17"/>
  <c r="N44" i="17"/>
  <c r="Z44" i="17"/>
  <c r="AN43" i="17"/>
  <c r="Z46" i="17"/>
  <c r="X43" i="17"/>
  <c r="AO43" i="17" s="1"/>
  <c r="M45" i="17"/>
  <c r="AN46" i="17"/>
  <c r="Y45" i="17"/>
  <c r="AI44" i="17"/>
  <c r="X45" i="17"/>
  <c r="AO45" i="17" s="1"/>
  <c r="Y46" i="17"/>
  <c r="AB46" i="17"/>
  <c r="N46" i="17"/>
  <c r="AB45" i="17"/>
  <c r="N45" i="17"/>
  <c r="M47" i="17"/>
  <c r="AI45" i="17"/>
  <c r="M48" i="17"/>
  <c r="AI47" i="17"/>
  <c r="M46" i="17"/>
  <c r="AI48" i="17"/>
  <c r="AI46" i="17"/>
  <c r="AB47" i="17"/>
  <c r="Y48" i="17"/>
  <c r="X49" i="17"/>
  <c r="AO49" i="17" s="1"/>
  <c r="AN48" i="17"/>
  <c r="X47" i="17"/>
  <c r="AO47" i="17" s="1"/>
  <c r="N47" i="17"/>
  <c r="Y47" i="17"/>
  <c r="AB49" i="17"/>
  <c r="AI52" i="17"/>
  <c r="AB48" i="17"/>
  <c r="M50" i="17"/>
  <c r="X48" i="17"/>
  <c r="AO48" i="17" s="1"/>
  <c r="AN49" i="17"/>
  <c r="Z47" i="17"/>
  <c r="AN47" i="17"/>
  <c r="AI50" i="17"/>
  <c r="Y50" i="17"/>
  <c r="AB50" i="17"/>
  <c r="Z48" i="17"/>
  <c r="Z50" i="17"/>
  <c r="N51" i="17"/>
  <c r="N48" i="17"/>
  <c r="N49" i="17"/>
  <c r="AN52" i="17"/>
  <c r="N52" i="17"/>
  <c r="AN50" i="17"/>
  <c r="Z49" i="17"/>
  <c r="X52" i="17"/>
  <c r="AO52" i="17" s="1"/>
  <c r="M49" i="17"/>
  <c r="N50" i="17"/>
  <c r="X50" i="17"/>
  <c r="AO50" i="17" s="1"/>
  <c r="Y49" i="17"/>
  <c r="AI49" i="17"/>
  <c r="X51" i="17"/>
  <c r="AO51" i="17" s="1"/>
  <c r="Z51" i="17"/>
  <c r="AN51" i="17"/>
  <c r="M52" i="17"/>
  <c r="M51" i="17"/>
  <c r="Y51" i="17"/>
  <c r="AI51" i="17"/>
  <c r="Y52" i="17"/>
  <c r="AB51" i="17"/>
  <c r="Z52" i="17"/>
  <c r="B144" i="1"/>
  <c r="E144" i="1"/>
  <c r="C144" i="1"/>
  <c r="D144" i="1"/>
  <c r="AB239" i="17"/>
  <c r="AI85" i="17"/>
  <c r="AB135" i="17"/>
  <c r="M266" i="17"/>
  <c r="Y271" i="17"/>
  <c r="AN109" i="17"/>
  <c r="N255" i="17"/>
  <c r="X199" i="17"/>
  <c r="AO199" i="17" s="1"/>
  <c r="AN161" i="17"/>
  <c r="AB262" i="17"/>
  <c r="AB73" i="17"/>
  <c r="N193" i="17"/>
  <c r="AB177" i="17"/>
  <c r="AN179" i="17"/>
  <c r="AN144" i="17"/>
  <c r="AB138" i="17"/>
  <c r="AN63" i="17"/>
  <c r="Z251" i="17"/>
  <c r="AI222" i="17"/>
  <c r="Y252" i="17"/>
  <c r="AN244" i="17"/>
  <c r="AB80" i="17"/>
  <c r="M207" i="17"/>
  <c r="Z205" i="17"/>
  <c r="N202" i="17"/>
  <c r="N285" i="17"/>
  <c r="AN116" i="17"/>
  <c r="AI134" i="17"/>
  <c r="AI239" i="17"/>
  <c r="AI207" i="17"/>
  <c r="AB185" i="17"/>
  <c r="M272" i="17"/>
  <c r="AB120" i="17"/>
  <c r="X197" i="17"/>
  <c r="AO197" i="17" s="1"/>
  <c r="AN282" i="17"/>
  <c r="Y215" i="17"/>
  <c r="AB56" i="17"/>
  <c r="N234" i="17"/>
  <c r="AB52" i="17"/>
  <c r="M278" i="17"/>
  <c r="AB213" i="17"/>
  <c r="AN198" i="17"/>
  <c r="Z200" i="17"/>
  <c r="M270" i="17"/>
  <c r="M210" i="17"/>
  <c r="AI283" i="17"/>
  <c r="Z244" i="17"/>
  <c r="M205" i="17"/>
  <c r="AI83" i="17"/>
  <c r="Z235" i="17"/>
  <c r="AI105" i="17"/>
  <c r="AB146" i="17"/>
  <c r="AI214" i="17"/>
  <c r="N194" i="17"/>
  <c r="N242" i="17"/>
  <c r="AI72" i="17"/>
  <c r="AN133" i="17"/>
  <c r="Z264" i="17"/>
  <c r="AI202" i="17"/>
  <c r="Y256" i="17"/>
  <c r="AI126" i="17"/>
  <c r="AI244" i="17"/>
  <c r="AI89" i="17"/>
  <c r="M220" i="17"/>
  <c r="X202" i="17"/>
  <c r="AO202" i="17" s="1"/>
  <c r="M227" i="17"/>
  <c r="M198" i="17"/>
  <c r="AI63" i="17"/>
  <c r="AB109" i="17"/>
  <c r="AB194" i="17"/>
  <c r="X249" i="17"/>
  <c r="AO249" i="17" s="1"/>
  <c r="Z229" i="17"/>
  <c r="M229" i="17"/>
  <c r="AB192" i="17"/>
  <c r="AI133" i="17"/>
  <c r="AI174" i="17"/>
  <c r="AB270" i="17"/>
  <c r="N231" i="17"/>
  <c r="M222" i="17"/>
  <c r="X285" i="17"/>
  <c r="AO285" i="17" s="1"/>
  <c r="AB149" i="17"/>
  <c r="AB53" i="17"/>
  <c r="AN67" i="17"/>
  <c r="AB227" i="17"/>
  <c r="AI236" i="17"/>
  <c r="AI205" i="17"/>
  <c r="AI103" i="17"/>
  <c r="AN54" i="17"/>
  <c r="Y240" i="17"/>
  <c r="AB115" i="17"/>
  <c r="AI171" i="17"/>
  <c r="AI210" i="17"/>
  <c r="X278" i="17"/>
  <c r="AO278" i="17" s="1"/>
  <c r="AI223" i="17"/>
  <c r="N277" i="17"/>
  <c r="AI251" i="17"/>
  <c r="AB252" i="17"/>
  <c r="AN260" i="17"/>
  <c r="AI228" i="17"/>
  <c r="AB188" i="17"/>
  <c r="AB174" i="17"/>
  <c r="M209" i="17"/>
  <c r="M271" i="17"/>
  <c r="X215" i="17"/>
  <c r="AO215" i="17" s="1"/>
  <c r="AI88" i="17"/>
  <c r="AN256" i="17"/>
  <c r="X209" i="17"/>
  <c r="AO209" i="17" s="1"/>
  <c r="Y273" i="17"/>
  <c r="AN200" i="17"/>
  <c r="Y283" i="17"/>
  <c r="Z270" i="17"/>
  <c r="Z285" i="17"/>
  <c r="AB231" i="17"/>
  <c r="Y244" i="17"/>
  <c r="AI238" i="17"/>
  <c r="AB95" i="17"/>
  <c r="M267" i="17"/>
  <c r="AB272" i="17"/>
  <c r="AN157" i="17"/>
  <c r="Z258" i="17"/>
  <c r="N192" i="17"/>
  <c r="AN62" i="17"/>
  <c r="X208" i="17"/>
  <c r="AO208" i="17" s="1"/>
  <c r="AI256" i="17"/>
  <c r="Z211" i="17"/>
  <c r="N195" i="17"/>
  <c r="X229" i="17"/>
  <c r="AO229" i="17" s="1"/>
  <c r="AN175" i="17"/>
  <c r="Y264" i="17"/>
  <c r="AN87" i="17"/>
  <c r="AI56" i="17"/>
  <c r="N274" i="17"/>
  <c r="AB157" i="17"/>
  <c r="M259" i="17"/>
  <c r="AN99" i="17"/>
  <c r="Z221" i="17"/>
  <c r="AI166" i="17"/>
  <c r="AN271" i="17"/>
  <c r="AN85" i="17"/>
  <c r="AB111" i="17"/>
  <c r="AI176" i="17"/>
  <c r="AB125" i="17"/>
  <c r="Y217" i="17"/>
  <c r="AB132" i="17"/>
  <c r="Z274" i="17"/>
  <c r="AN267" i="17"/>
  <c r="AN252" i="17"/>
  <c r="N348" i="17"/>
  <c r="AN199" i="17"/>
  <c r="Y303" i="17"/>
  <c r="N289" i="17"/>
  <c r="AN196" i="17"/>
  <c r="X346" i="17"/>
  <c r="AO346" i="17" s="1"/>
  <c r="N74" i="17"/>
  <c r="M162" i="17"/>
  <c r="AI281" i="17"/>
  <c r="M365" i="17"/>
  <c r="AI345" i="17"/>
  <c r="N191" i="17"/>
  <c r="AI97" i="17"/>
  <c r="N229" i="17"/>
  <c r="X252" i="17"/>
  <c r="AO252" i="17" s="1"/>
  <c r="X95" i="17"/>
  <c r="AO95" i="17" s="1"/>
  <c r="X110" i="17"/>
  <c r="AO110" i="17" s="1"/>
  <c r="N291" i="17"/>
  <c r="Y332" i="17"/>
  <c r="Y90" i="17"/>
  <c r="AI77" i="17"/>
  <c r="AB317" i="17"/>
  <c r="X234" i="17"/>
  <c r="AO234" i="17" s="1"/>
  <c r="M305" i="17"/>
  <c r="Y296" i="17"/>
  <c r="AB145" i="17"/>
  <c r="X237" i="17"/>
  <c r="AO237" i="17" s="1"/>
  <c r="Z267" i="17"/>
  <c r="AI153" i="17"/>
  <c r="AN75" i="17"/>
  <c r="X287" i="17"/>
  <c r="AO287" i="17" s="1"/>
  <c r="M86" i="17"/>
  <c r="N140" i="17"/>
  <c r="Y321" i="17"/>
  <c r="AN176" i="17"/>
  <c r="AI148" i="17"/>
  <c r="AB54" i="17"/>
  <c r="X248" i="17"/>
  <c r="AO248" i="17" s="1"/>
  <c r="X103" i="17"/>
  <c r="AO103" i="17" s="1"/>
  <c r="AB335" i="17"/>
  <c r="M245" i="17"/>
  <c r="N61" i="17"/>
  <c r="X188" i="17"/>
  <c r="AO188" i="17" s="1"/>
  <c r="AB334" i="17"/>
  <c r="N72" i="17"/>
  <c r="AN73" i="17"/>
  <c r="N319" i="17"/>
  <c r="Z253" i="17"/>
  <c r="AI99" i="17"/>
  <c r="X325" i="17"/>
  <c r="AO325" i="17" s="1"/>
  <c r="AB182" i="17"/>
  <c r="Y78" i="17"/>
  <c r="AN130" i="17"/>
  <c r="AN358" i="17"/>
  <c r="AI246" i="17"/>
  <c r="Z305" i="17"/>
  <c r="AN204" i="17"/>
  <c r="AI74" i="17"/>
  <c r="AB275" i="17"/>
  <c r="AB348" i="17"/>
  <c r="Y230" i="17"/>
  <c r="AN355" i="17"/>
  <c r="M252" i="17"/>
  <c r="X323" i="17"/>
  <c r="AO323" i="17" s="1"/>
  <c r="AI352" i="17"/>
  <c r="N241" i="17"/>
  <c r="X297" i="17"/>
  <c r="AO297" i="17" s="1"/>
  <c r="Z337" i="17"/>
  <c r="Z185" i="17"/>
  <c r="Y248" i="17"/>
  <c r="N259" i="17"/>
  <c r="Y255" i="17"/>
  <c r="Y239" i="17"/>
  <c r="Z89" i="17"/>
  <c r="AN90" i="17"/>
  <c r="AB294" i="17"/>
  <c r="M131" i="17"/>
  <c r="AB86" i="17"/>
  <c r="AN273" i="17"/>
  <c r="AB355" i="17"/>
  <c r="AB267" i="17"/>
  <c r="AN329" i="17"/>
  <c r="Y330" i="17"/>
  <c r="M260" i="17"/>
  <c r="Z167" i="17"/>
  <c r="N175" i="17"/>
  <c r="AN206" i="17"/>
  <c r="AB181" i="17"/>
  <c r="M367" i="17"/>
  <c r="AI338" i="17"/>
  <c r="T21" i="12"/>
  <c r="Z273" i="17"/>
  <c r="X336" i="17"/>
  <c r="AO336" i="17" s="1"/>
  <c r="N219" i="17"/>
  <c r="M293" i="17"/>
  <c r="Z281" i="17"/>
  <c r="Z291" i="17"/>
  <c r="X342" i="17"/>
  <c r="AO342" i="17" s="1"/>
  <c r="AI193" i="17"/>
  <c r="AB122" i="17"/>
  <c r="AB217" i="17"/>
  <c r="X256" i="17"/>
  <c r="AO256" i="17" s="1"/>
  <c r="N166" i="17"/>
  <c r="N332" i="17"/>
  <c r="AN126" i="17"/>
  <c r="AI159" i="17"/>
  <c r="M102" i="17"/>
  <c r="M196" i="17"/>
  <c r="AB298" i="17"/>
  <c r="Y182" i="17"/>
  <c r="M71" i="17"/>
  <c r="Y65" i="17"/>
  <c r="AI79" i="17"/>
  <c r="Z301" i="17"/>
  <c r="AI184" i="17"/>
  <c r="M273" i="17"/>
  <c r="Y247" i="17"/>
  <c r="X218" i="17"/>
  <c r="AO218" i="17" s="1"/>
  <c r="AI268" i="17"/>
  <c r="AI200" i="17"/>
  <c r="AB258" i="17"/>
  <c r="N281" i="17"/>
  <c r="AB70" i="17"/>
  <c r="X291" i="17"/>
  <c r="AO291" i="17" s="1"/>
  <c r="M138" i="17"/>
  <c r="AI82" i="17"/>
  <c r="X347" i="17"/>
  <c r="AO347" i="17" s="1"/>
  <c r="X260" i="17"/>
  <c r="AO260" i="17" s="1"/>
  <c r="M143" i="17"/>
  <c r="X69" i="17"/>
  <c r="AO69" i="17" s="1"/>
  <c r="X309" i="17"/>
  <c r="AO309" i="17" s="1"/>
  <c r="Z368" i="17"/>
  <c r="X53" i="17"/>
  <c r="AO53" i="17" s="1"/>
  <c r="AI224" i="17"/>
  <c r="AN211" i="17"/>
  <c r="Y277" i="17"/>
  <c r="AI369" i="17"/>
  <c r="Y346" i="17"/>
  <c r="AN163" i="17"/>
  <c r="X232" i="17"/>
  <c r="AO232" i="17" s="1"/>
  <c r="AN152" i="17"/>
  <c r="AI78" i="17"/>
  <c r="AB154" i="17"/>
  <c r="X335" i="17"/>
  <c r="AO335" i="17" s="1"/>
  <c r="AI71" i="17"/>
  <c r="X137" i="17"/>
  <c r="AO137" i="17" s="1"/>
  <c r="X196" i="17"/>
  <c r="AO196" i="17" s="1"/>
  <c r="AB319" i="17"/>
  <c r="AB193" i="17"/>
  <c r="M269" i="17"/>
  <c r="M165" i="17"/>
  <c r="AI233" i="17"/>
  <c r="Z340" i="17"/>
  <c r="N144" i="17"/>
  <c r="AN324" i="17"/>
  <c r="Y134" i="17"/>
  <c r="Z81" i="17"/>
  <c r="AN58" i="17"/>
  <c r="AN205" i="17"/>
  <c r="M181" i="17"/>
  <c r="Z315" i="17"/>
  <c r="Y285" i="17"/>
  <c r="Y309" i="17"/>
  <c r="Z230" i="17"/>
  <c r="N109" i="17"/>
  <c r="AB74" i="17"/>
  <c r="AI123" i="17"/>
  <c r="Y197" i="17"/>
  <c r="AI158" i="17"/>
  <c r="M122" i="17"/>
  <c r="N165" i="17"/>
  <c r="M200" i="17"/>
  <c r="Z298" i="17"/>
  <c r="AI86" i="17"/>
  <c r="AN217" i="17"/>
  <c r="N296" i="17"/>
  <c r="AI113" i="17"/>
  <c r="N336" i="17"/>
  <c r="Z129" i="17"/>
  <c r="M310" i="17"/>
  <c r="N121" i="17"/>
  <c r="Z183" i="17"/>
  <c r="N304" i="17"/>
  <c r="X265" i="17"/>
  <c r="AO265" i="17" s="1"/>
  <c r="Y62" i="17"/>
  <c r="M150" i="17"/>
  <c r="Y76" i="17"/>
  <c r="D21" i="12"/>
  <c r="M90" i="17"/>
  <c r="M137" i="17"/>
  <c r="X152" i="17"/>
  <c r="AO152" i="17" s="1"/>
  <c r="M323" i="17"/>
  <c r="M15" i="12"/>
  <c r="AB303" i="17"/>
  <c r="N313" i="17"/>
  <c r="X117" i="17"/>
  <c r="AO117" i="17" s="1"/>
  <c r="AB107" i="17"/>
  <c r="AB21" i="12"/>
  <c r="Y251" i="17"/>
  <c r="AI293" i="17"/>
  <c r="AI282" i="17"/>
  <c r="X233" i="17"/>
  <c r="AO233" i="17" s="1"/>
  <c r="AI122" i="17"/>
  <c r="AB216" i="17"/>
  <c r="AI175" i="17"/>
  <c r="AI262" i="17"/>
  <c r="N312" i="17"/>
  <c r="AN330" i="17"/>
  <c r="M120" i="17"/>
  <c r="N134" i="17"/>
  <c r="N315" i="17"/>
  <c r="AB68" i="17"/>
  <c r="AN281" i="17"/>
  <c r="Z210" i="17"/>
  <c r="N350" i="17"/>
  <c r="AI366" i="17"/>
  <c r="Y361" i="17"/>
  <c r="Y161" i="17"/>
  <c r="N129" i="17"/>
  <c r="X349" i="17"/>
  <c r="AO349" i="17" s="1"/>
  <c r="AI325" i="17"/>
  <c r="X259" i="17"/>
  <c r="AO259" i="17" s="1"/>
  <c r="AI127" i="17"/>
  <c r="AI270" i="17"/>
  <c r="Z265" i="17"/>
  <c r="AB65" i="17"/>
  <c r="N228" i="17"/>
  <c r="X271" i="17"/>
  <c r="AO271" i="17" s="1"/>
  <c r="AN201" i="17"/>
  <c r="AN139" i="17"/>
  <c r="AI137" i="17"/>
  <c r="N155" i="17"/>
  <c r="X84" i="17"/>
  <c r="AO84" i="17" s="1"/>
  <c r="AB190" i="17"/>
  <c r="AB156" i="17"/>
  <c r="AN79" i="17"/>
  <c r="AB127" i="17"/>
  <c r="AI155" i="17"/>
  <c r="Y204" i="17"/>
  <c r="Z304" i="17"/>
  <c r="X58" i="17"/>
  <c r="AO58" i="17" s="1"/>
  <c r="X141" i="17"/>
  <c r="AO141" i="17" s="1"/>
  <c r="AN317" i="17"/>
  <c r="Z152" i="17"/>
  <c r="Y355" i="17"/>
  <c r="Z90" i="17"/>
  <c r="AI272" i="17"/>
  <c r="Z227" i="17"/>
  <c r="AA15" i="12"/>
  <c r="X204" i="17"/>
  <c r="AO204" i="17" s="1"/>
  <c r="X332" i="17"/>
  <c r="AO332" i="17" s="1"/>
  <c r="AN336" i="17"/>
  <c r="X262" i="17"/>
  <c r="AO262" i="17" s="1"/>
  <c r="X273" i="17"/>
  <c r="AO273" i="17" s="1"/>
  <c r="X79" i="17"/>
  <c r="AO79" i="17" s="1"/>
  <c r="AI59" i="17"/>
  <c r="AI227" i="17"/>
  <c r="AI303" i="17"/>
  <c r="Z241" i="17"/>
  <c r="AI260" i="17"/>
  <c r="AN307" i="17"/>
  <c r="AI187" i="17"/>
  <c r="AB143" i="17"/>
  <c r="AN167" i="17"/>
  <c r="AN172" i="17"/>
  <c r="X214" i="17"/>
  <c r="AO214" i="17" s="1"/>
  <c r="AI84" i="17"/>
  <c r="X239" i="17"/>
  <c r="AO239" i="17" s="1"/>
  <c r="AI120" i="17"/>
  <c r="AN245" i="17"/>
  <c r="AB316" i="17"/>
  <c r="M191" i="17"/>
  <c r="AN170" i="17"/>
  <c r="X301" i="17"/>
  <c r="AO301" i="17" s="1"/>
  <c r="M338" i="17"/>
  <c r="N82" i="17"/>
  <c r="X193" i="17"/>
  <c r="AO193" i="17" s="1"/>
  <c r="M64" i="17"/>
  <c r="AI277" i="17"/>
  <c r="Z133" i="17"/>
  <c r="AN318" i="17"/>
  <c r="N198" i="17"/>
  <c r="M221" i="17"/>
  <c r="M67" i="17"/>
  <c r="N226" i="17"/>
  <c r="AB179" i="17"/>
  <c r="AB175" i="17"/>
  <c r="Z334" i="17"/>
  <c r="AI65" i="17"/>
  <c r="AN112" i="17"/>
  <c r="AI109" i="17"/>
  <c r="AI129" i="17"/>
  <c r="Y258" i="17"/>
  <c r="M275" i="17"/>
  <c r="X360" i="17"/>
  <c r="AO360" i="17" s="1"/>
  <c r="X326" i="17"/>
  <c r="AO326" i="17" s="1"/>
  <c r="Z271" i="17"/>
  <c r="X236" i="17"/>
  <c r="AO236" i="17" s="1"/>
  <c r="AI337" i="17"/>
  <c r="N263" i="17"/>
  <c r="X307" i="17"/>
  <c r="AO307" i="17" s="1"/>
  <c r="AN269" i="17"/>
  <c r="N83" i="17"/>
  <c r="N57" i="17"/>
  <c r="X128" i="17"/>
  <c r="AO128" i="17" s="1"/>
  <c r="AB302" i="17"/>
  <c r="M354" i="17"/>
  <c r="Z84" i="17"/>
  <c r="Z57" i="17"/>
  <c r="M123" i="17"/>
  <c r="AB276" i="17"/>
  <c r="AB261" i="17"/>
  <c r="Z67" i="17"/>
  <c r="M328" i="17"/>
  <c r="N297" i="17"/>
  <c r="AB153" i="17"/>
  <c r="AB253" i="17"/>
  <c r="AN231" i="17"/>
  <c r="Z201" i="17"/>
  <c r="N317" i="17"/>
  <c r="AB110" i="17"/>
  <c r="AB345" i="17"/>
  <c r="M287" i="17"/>
  <c r="AN314" i="17"/>
  <c r="M69" i="17"/>
  <c r="Z325" i="17"/>
  <c r="Y117" i="17"/>
  <c r="Y279" i="17"/>
  <c r="Z71" i="17"/>
  <c r="Y139" i="17"/>
  <c r="X149" i="17"/>
  <c r="AO149" i="17" s="1"/>
  <c r="AB203" i="17"/>
  <c r="X319" i="17"/>
  <c r="AO319" i="17" s="1"/>
  <c r="M186" i="17"/>
  <c r="AN113" i="17"/>
  <c r="AN156" i="17"/>
  <c r="N236" i="17"/>
  <c r="Z310" i="17"/>
  <c r="M318" i="17"/>
  <c r="AB187" i="17"/>
  <c r="Y203" i="17"/>
  <c r="AB100" i="17"/>
  <c r="X368" i="17"/>
  <c r="AO368" i="17" s="1"/>
  <c r="AN342" i="17"/>
  <c r="X184" i="17"/>
  <c r="AO184" i="17" s="1"/>
  <c r="M161" i="17"/>
  <c r="Y194" i="17"/>
  <c r="N325" i="17"/>
  <c r="AB364" i="17"/>
  <c r="AB165" i="17"/>
  <c r="AN77" i="17"/>
  <c r="Y157" i="17"/>
  <c r="Y327" i="17"/>
  <c r="N132" i="17"/>
  <c r="Y162" i="17"/>
  <c r="X247" i="17"/>
  <c r="AO247" i="17" s="1"/>
  <c r="Y266" i="17"/>
  <c r="Z318" i="17"/>
  <c r="AB207" i="17"/>
  <c r="Y268" i="17"/>
  <c r="C15" i="12"/>
  <c r="N333" i="17"/>
  <c r="Z189" i="17"/>
  <c r="Z224" i="17"/>
  <c r="M61" i="17"/>
  <c r="AB59" i="17"/>
  <c r="AI178" i="17"/>
  <c r="Z174" i="17"/>
  <c r="Z63" i="17"/>
  <c r="Y202" i="17"/>
  <c r="AB313" i="17"/>
  <c r="N282" i="17"/>
  <c r="M325" i="17"/>
  <c r="M119" i="17"/>
  <c r="Z348" i="17"/>
  <c r="M279" i="17"/>
  <c r="Y116" i="17"/>
  <c r="AB357" i="17"/>
  <c r="N318" i="17"/>
  <c r="M85" i="17"/>
  <c r="X322" i="17"/>
  <c r="AO322" i="17" s="1"/>
  <c r="X136" i="17"/>
  <c r="AO136" i="17" s="1"/>
  <c r="AN263" i="17"/>
  <c r="Y186" i="17"/>
  <c r="AI177" i="17"/>
  <c r="M92" i="17"/>
  <c r="Z293" i="17"/>
  <c r="AN322" i="17"/>
  <c r="AB259" i="17"/>
  <c r="X162" i="17"/>
  <c r="AO162" i="17" s="1"/>
  <c r="Y336" i="17"/>
  <c r="X87" i="17"/>
  <c r="AO87" i="17" s="1"/>
  <c r="Z280" i="17"/>
  <c r="X321" i="17"/>
  <c r="AO321" i="17" s="1"/>
  <c r="N116" i="17"/>
  <c r="X21" i="12"/>
  <c r="AI289" i="17"/>
  <c r="X182" i="17"/>
  <c r="AO182" i="17" s="1"/>
  <c r="M126" i="17"/>
  <c r="N254" i="17"/>
  <c r="M294" i="17"/>
  <c r="AB89" i="17"/>
  <c r="M57" i="17"/>
  <c r="AN190" i="17"/>
  <c r="AB235" i="17"/>
  <c r="AN259" i="17"/>
  <c r="N216" i="17"/>
  <c r="Y337" i="17"/>
  <c r="Y281" i="17"/>
  <c r="AN275" i="17"/>
  <c r="AN165" i="17"/>
  <c r="AN369" i="17"/>
  <c r="N341" i="17"/>
  <c r="Z283" i="17"/>
  <c r="AN237" i="17"/>
  <c r="AN262" i="17"/>
  <c r="Y199" i="17"/>
  <c r="AI259" i="17"/>
  <c r="AB300" i="17"/>
  <c r="AI138" i="17"/>
  <c r="M168" i="17"/>
  <c r="N94" i="17"/>
  <c r="AN290" i="17"/>
  <c r="AK15" i="12"/>
  <c r="N264" i="17"/>
  <c r="Y342" i="17"/>
  <c r="Y237" i="17"/>
  <c r="X288" i="17"/>
  <c r="AO288" i="17" s="1"/>
  <c r="Y249" i="17"/>
  <c r="Z250" i="17"/>
  <c r="Y290" i="17"/>
  <c r="M241" i="17"/>
  <c r="AB221" i="17"/>
  <c r="AB251" i="17"/>
  <c r="M236" i="17"/>
  <c r="AB341" i="17"/>
  <c r="AI147" i="17"/>
  <c r="AI284" i="17"/>
  <c r="Y211" i="17"/>
  <c r="M243" i="17"/>
  <c r="Y366" i="17"/>
  <c r="AN276" i="17"/>
  <c r="N344" i="17"/>
  <c r="AI319" i="17"/>
  <c r="N79" i="17"/>
  <c r="M336" i="17"/>
  <c r="M139" i="17"/>
  <c r="Z346" i="17"/>
  <c r="Q21" i="12"/>
  <c r="AI131" i="17"/>
  <c r="AI348" i="17"/>
  <c r="AN159" i="17"/>
  <c r="AI212" i="17"/>
  <c r="AB242" i="17"/>
  <c r="X276" i="17"/>
  <c r="AO276" i="17" s="1"/>
  <c r="N295" i="17"/>
  <c r="AI130" i="17"/>
  <c r="AI365" i="17"/>
  <c r="AB129" i="17"/>
  <c r="Y354" i="17"/>
  <c r="AN168" i="17"/>
  <c r="N262" i="17"/>
  <c r="M219" i="17"/>
  <c r="N298" i="17"/>
  <c r="M283" i="17"/>
  <c r="Y313" i="17"/>
  <c r="Z344" i="17"/>
  <c r="AB209" i="17"/>
  <c r="M103" i="17"/>
  <c r="Z282" i="17"/>
  <c r="N210" i="17"/>
  <c r="M253" i="17"/>
  <c r="Z303" i="17"/>
  <c r="N261" i="17"/>
  <c r="AN125" i="17"/>
  <c r="Z222" i="17"/>
  <c r="X213" i="17"/>
  <c r="AO213" i="17" s="1"/>
  <c r="AI343" i="17"/>
  <c r="Y367" i="17"/>
  <c r="AI106" i="17"/>
  <c r="AI136" i="17"/>
  <c r="AI312" i="17"/>
  <c r="AN272" i="17"/>
  <c r="Y245" i="17"/>
  <c r="N245" i="17"/>
  <c r="M357" i="17"/>
  <c r="X338" i="17"/>
  <c r="AO338" i="17" s="1"/>
  <c r="N170" i="17"/>
  <c r="N199" i="17"/>
  <c r="M132" i="17"/>
  <c r="AN242" i="17"/>
  <c r="M195" i="17"/>
  <c r="AN66" i="17"/>
  <c r="Z204" i="17"/>
  <c r="Z313" i="17"/>
  <c r="AN232" i="17"/>
  <c r="M206" i="17"/>
  <c r="Z272" i="17"/>
  <c r="X145" i="17"/>
  <c r="AO145" i="17" s="1"/>
  <c r="AB343" i="17"/>
  <c r="N218" i="17"/>
  <c r="AB91" i="17"/>
  <c r="AN96" i="17"/>
  <c r="Y216" i="17"/>
  <c r="N339" i="17"/>
  <c r="Z366" i="17"/>
  <c r="Y167" i="17"/>
  <c r="X133" i="17"/>
  <c r="AO133" i="17" s="1"/>
  <c r="X174" i="17"/>
  <c r="AO174" i="17" s="1"/>
  <c r="AN365" i="17"/>
  <c r="X72" i="17"/>
  <c r="AO72" i="17" s="1"/>
  <c r="Y96" i="17"/>
  <c r="X318" i="17"/>
  <c r="AO318" i="17" s="1"/>
  <c r="M70" i="17"/>
  <c r="M284" i="17"/>
  <c r="N197" i="17"/>
  <c r="Y232" i="17"/>
  <c r="X195" i="17"/>
  <c r="AO195" i="17" s="1"/>
  <c r="AB339" i="17"/>
  <c r="M208" i="17"/>
  <c r="X191" i="17"/>
  <c r="AO191" i="17" s="1"/>
  <c r="AI232" i="17"/>
  <c r="M94" i="17"/>
  <c r="AB186" i="17"/>
  <c r="X154" i="17"/>
  <c r="AO154" i="17" s="1"/>
  <c r="Z225" i="17"/>
  <c r="AN160" i="17"/>
  <c r="AB295" i="17"/>
  <c r="M349" i="17"/>
  <c r="Y275" i="17"/>
  <c r="Z113" i="17"/>
  <c r="X206" i="17"/>
  <c r="AO206" i="17" s="1"/>
  <c r="M343" i="17"/>
  <c r="Z88" i="17"/>
  <c r="Y86" i="17"/>
  <c r="AI226" i="17"/>
  <c r="Z115" i="17"/>
  <c r="N292" i="17"/>
  <c r="AN158" i="17"/>
  <c r="X333" i="17"/>
  <c r="AO333" i="17" s="1"/>
  <c r="AB171" i="17"/>
  <c r="Z338" i="17"/>
  <c r="AI278" i="17"/>
  <c r="N77" i="17"/>
  <c r="AN74" i="17"/>
  <c r="N221" i="17"/>
  <c r="Z146" i="17"/>
  <c r="N217" i="17"/>
  <c r="AN98" i="17"/>
  <c r="AI364" i="17"/>
  <c r="AB256" i="17"/>
  <c r="Z69" i="17"/>
  <c r="AB305" i="17"/>
  <c r="M170" i="17"/>
  <c r="AB113" i="17"/>
  <c r="M128" i="17"/>
  <c r="N328" i="17"/>
  <c r="N306" i="17"/>
  <c r="G21" i="12"/>
  <c r="X257" i="17"/>
  <c r="AO257" i="17" s="1"/>
  <c r="AN138" i="17"/>
  <c r="Z70" i="17"/>
  <c r="AN173" i="17"/>
  <c r="AB141" i="17"/>
  <c r="M218" i="17"/>
  <c r="AB250" i="17"/>
  <c r="N346" i="17"/>
  <c r="Z142" i="17"/>
  <c r="AB229" i="17"/>
  <c r="N223" i="17"/>
  <c r="N214" i="17"/>
  <c r="AI195" i="17"/>
  <c r="Y87" i="17"/>
  <c r="X263" i="17"/>
  <c r="AO263" i="17" s="1"/>
  <c r="Y320" i="17"/>
  <c r="Y201" i="17"/>
  <c r="Z213" i="17"/>
  <c r="AI255" i="17"/>
  <c r="AI112" i="17"/>
  <c r="Y297" i="17"/>
  <c r="X284" i="17"/>
  <c r="AO284" i="17" s="1"/>
  <c r="X81" i="17"/>
  <c r="AO81" i="17" s="1"/>
  <c r="N335" i="17"/>
  <c r="AN197" i="17"/>
  <c r="AB211" i="17"/>
  <c r="Z254" i="17"/>
  <c r="AN326" i="17"/>
  <c r="X85" i="17"/>
  <c r="AO85" i="17" s="1"/>
  <c r="M327" i="17"/>
  <c r="M353" i="17"/>
  <c r="Z112" i="17"/>
  <c r="X151" i="17"/>
  <c r="AO151" i="17" s="1"/>
  <c r="X135" i="17"/>
  <c r="AO135" i="17" s="1"/>
  <c r="AI101" i="17"/>
  <c r="AI90" i="17"/>
  <c r="Z364" i="17"/>
  <c r="AB266" i="17"/>
  <c r="Z330" i="17"/>
  <c r="AI221" i="17"/>
  <c r="AB150" i="17"/>
  <c r="AB198" i="17"/>
  <c r="Z236" i="17"/>
  <c r="AN141" i="17"/>
  <c r="AI321" i="17"/>
  <c r="AB325" i="17"/>
  <c r="M281" i="17"/>
  <c r="N284" i="17"/>
  <c r="M76" i="17"/>
  <c r="AN186" i="17"/>
  <c r="N272" i="17"/>
  <c r="M234" i="17"/>
  <c r="Y325" i="17"/>
  <c r="Z349" i="17"/>
  <c r="N73" i="17"/>
  <c r="AN251" i="17"/>
  <c r="Y89" i="17"/>
  <c r="X124" i="17"/>
  <c r="AO124" i="17" s="1"/>
  <c r="AB337" i="17"/>
  <c r="Y351" i="17"/>
  <c r="Y307" i="17"/>
  <c r="N143" i="17"/>
  <c r="AB167" i="17"/>
  <c r="M255" i="17"/>
  <c r="N342" i="17"/>
  <c r="Y241" i="17"/>
  <c r="AI73" i="17"/>
  <c r="M232" i="17"/>
  <c r="AB201" i="17"/>
  <c r="X292" i="17"/>
  <c r="AO292" i="17" s="1"/>
  <c r="Y314" i="17"/>
  <c r="Z171" i="17"/>
  <c r="AB85" i="17"/>
  <c r="Y238" i="17"/>
  <c r="X334" i="17"/>
  <c r="AO334" i="17" s="1"/>
  <c r="AI206" i="17"/>
  <c r="Z218" i="17"/>
  <c r="AM15" i="12"/>
  <c r="AN224" i="17"/>
  <c r="N115" i="17"/>
  <c r="AN216" i="17"/>
  <c r="AI267" i="17"/>
  <c r="M256" i="17"/>
  <c r="AN288" i="17"/>
  <c r="AN284" i="17"/>
  <c r="AN121" i="17"/>
  <c r="AN292" i="17"/>
  <c r="AB90" i="17"/>
  <c r="Z216" i="17"/>
  <c r="Z130" i="17"/>
  <c r="AB283" i="17"/>
  <c r="N271" i="17"/>
  <c r="N252" i="17"/>
  <c r="AN274" i="17"/>
  <c r="AN335" i="17"/>
  <c r="Z180" i="17"/>
  <c r="Y357" i="17"/>
  <c r="X67" i="17"/>
  <c r="AO67" i="17" s="1"/>
  <c r="AH21" i="12"/>
  <c r="X350" i="17"/>
  <c r="AO350" i="17" s="1"/>
  <c r="N63" i="17"/>
  <c r="AI280" i="17"/>
  <c r="AB214" i="17"/>
  <c r="Z223" i="17"/>
  <c r="N268" i="17"/>
  <c r="AN210" i="17"/>
  <c r="AN128" i="17"/>
  <c r="Y329" i="17"/>
  <c r="N266" i="17"/>
  <c r="N238" i="17"/>
  <c r="N227" i="17"/>
  <c r="AN287" i="17"/>
  <c r="AN122" i="17"/>
  <c r="M239" i="17"/>
  <c r="AB178" i="17"/>
  <c r="AB308" i="17"/>
  <c r="AN162" i="17"/>
  <c r="Y341" i="17"/>
  <c r="M56" i="17"/>
  <c r="N123" i="17"/>
  <c r="M320" i="17"/>
  <c r="Y114" i="17"/>
  <c r="AI231" i="17"/>
  <c r="AB315" i="17"/>
  <c r="Z341" i="17"/>
  <c r="AB263" i="17"/>
  <c r="AN249" i="17"/>
  <c r="AN180" i="17"/>
  <c r="Z192" i="17"/>
  <c r="AI128" i="17"/>
  <c r="X192" i="17"/>
  <c r="AO192" i="17" s="1"/>
  <c r="AB97" i="17"/>
  <c r="AI274" i="17"/>
  <c r="X359" i="17"/>
  <c r="AO359" i="17" s="1"/>
  <c r="Y210" i="17"/>
  <c r="AN164" i="17"/>
  <c r="X362" i="17"/>
  <c r="AO362" i="17" s="1"/>
  <c r="AI108" i="17"/>
  <c r="AB92" i="17"/>
  <c r="M78" i="17"/>
  <c r="X294" i="17"/>
  <c r="AO294" i="17" s="1"/>
  <c r="AI157" i="17"/>
  <c r="Z255" i="17"/>
  <c r="X82" i="17"/>
  <c r="AO82" i="17" s="1"/>
  <c r="Y71" i="17"/>
  <c r="M77" i="17"/>
  <c r="Z209" i="17"/>
  <c r="X365" i="17"/>
  <c r="AO365" i="17" s="1"/>
  <c r="AB282" i="17"/>
  <c r="N279" i="17"/>
  <c r="AN225" i="17"/>
  <c r="AN255" i="17"/>
  <c r="X366" i="17"/>
  <c r="AO366" i="17" s="1"/>
  <c r="AN105" i="17"/>
  <c r="AB170" i="17"/>
  <c r="Y362" i="17"/>
  <c r="X176" i="17"/>
  <c r="AO176" i="17" s="1"/>
  <c r="AI287" i="17"/>
  <c r="AB271" i="17"/>
  <c r="Z197" i="17"/>
  <c r="Y209" i="17"/>
  <c r="Y276" i="17"/>
  <c r="AN346" i="17"/>
  <c r="AI285" i="17"/>
  <c r="AB195" i="17"/>
  <c r="N101" i="17"/>
  <c r="Z194" i="17"/>
  <c r="AN338" i="17"/>
  <c r="V21" i="12"/>
  <c r="N248" i="17"/>
  <c r="Z276" i="17"/>
  <c r="Y270" i="17"/>
  <c r="AI199" i="17"/>
  <c r="AI111" i="17"/>
  <c r="N225" i="17"/>
  <c r="AI243" i="17"/>
  <c r="Y267" i="17"/>
  <c r="Y208" i="17"/>
  <c r="N153" i="17"/>
  <c r="Z365" i="17"/>
  <c r="Z122" i="17"/>
  <c r="X222" i="17"/>
  <c r="AO222" i="17" s="1"/>
  <c r="N267" i="17"/>
  <c r="AI186" i="17"/>
  <c r="Y323" i="17"/>
  <c r="Z237" i="17"/>
  <c r="AI152" i="17"/>
  <c r="AB82" i="17"/>
  <c r="AB66" i="17"/>
  <c r="AB249" i="17"/>
  <c r="N288" i="17"/>
  <c r="AN60" i="17"/>
  <c r="M175" i="17"/>
  <c r="AI100" i="17"/>
  <c r="AN119" i="17"/>
  <c r="AI309" i="17"/>
  <c r="M223" i="17"/>
  <c r="Z257" i="17"/>
  <c r="AN84" i="17"/>
  <c r="Z74" i="17"/>
  <c r="AI229" i="17"/>
  <c r="Y66" i="17"/>
  <c r="AK21" i="12"/>
  <c r="Z357" i="17"/>
  <c r="AI308" i="17"/>
  <c r="AB180" i="17"/>
  <c r="M355" i="17"/>
  <c r="AB210" i="17"/>
  <c r="N103" i="17"/>
  <c r="Y229" i="17"/>
  <c r="M276" i="17"/>
  <c r="AN97" i="17"/>
  <c r="AI211" i="17"/>
  <c r="N258" i="17"/>
  <c r="M277" i="17"/>
  <c r="M216" i="17"/>
  <c r="M344" i="17"/>
  <c r="M224" i="17"/>
  <c r="AI340" i="17"/>
  <c r="X221" i="17"/>
  <c r="AO221" i="17" s="1"/>
  <c r="AI271" i="17"/>
  <c r="M286" i="17"/>
  <c r="N323" i="17"/>
  <c r="AN366" i="17"/>
  <c r="Z148" i="17"/>
  <c r="AN78" i="17"/>
  <c r="X327" i="17"/>
  <c r="AO327" i="17" s="1"/>
  <c r="Z166" i="17"/>
  <c r="N309" i="17"/>
  <c r="AM21" i="12"/>
  <c r="N287" i="17"/>
  <c r="AB328" i="17"/>
  <c r="AN57" i="17"/>
  <c r="M299" i="17"/>
  <c r="AI198" i="17"/>
  <c r="AN182" i="17"/>
  <c r="M291" i="17"/>
  <c r="AN134" i="17"/>
  <c r="AB255" i="17"/>
  <c r="AB81" i="17"/>
  <c r="AB208" i="17"/>
  <c r="Z21" i="12"/>
  <c r="AI245" i="17"/>
  <c r="AN192" i="17"/>
  <c r="AN91" i="17"/>
  <c r="Y278" i="17"/>
  <c r="Y339" i="17"/>
  <c r="AN283" i="17"/>
  <c r="M214" i="17"/>
  <c r="AB296" i="17"/>
  <c r="M247" i="17"/>
  <c r="N251" i="17"/>
  <c r="AB228" i="17"/>
  <c r="AI154" i="17"/>
  <c r="AB112" i="17"/>
  <c r="AB183" i="17"/>
  <c r="X217" i="17"/>
  <c r="AO217" i="17" s="1"/>
  <c r="AB61" i="17"/>
  <c r="Y220" i="17"/>
  <c r="N117" i="17"/>
  <c r="AN101" i="17"/>
  <c r="AN154" i="17"/>
  <c r="AB117" i="17"/>
  <c r="AI194" i="17"/>
  <c r="AI257" i="17"/>
  <c r="X131" i="17"/>
  <c r="AO131" i="17" s="1"/>
  <c r="N363" i="17"/>
  <c r="Y125" i="17"/>
  <c r="Y284" i="17"/>
  <c r="Y195" i="17"/>
  <c r="AI315" i="17"/>
  <c r="AI276" i="17"/>
  <c r="N243" i="17"/>
  <c r="AB241" i="17"/>
  <c r="AI167" i="17"/>
  <c r="AI273" i="17"/>
  <c r="AB99" i="17"/>
  <c r="AI69" i="17"/>
  <c r="AI264" i="17"/>
  <c r="M135" i="17"/>
  <c r="Y311" i="17"/>
  <c r="N273" i="17"/>
  <c r="AI169" i="17"/>
  <c r="AN103" i="17"/>
  <c r="Y282" i="17"/>
  <c r="Y287" i="17"/>
  <c r="N256" i="17"/>
  <c r="Z117" i="17"/>
  <c r="Z136" i="17"/>
  <c r="M105" i="17"/>
  <c r="M136" i="17"/>
  <c r="X112" i="17"/>
  <c r="AO112" i="17" s="1"/>
  <c r="X198" i="17"/>
  <c r="AO198" i="17" s="1"/>
  <c r="AI328" i="17"/>
  <c r="K21" i="12"/>
  <c r="AN310" i="17"/>
  <c r="AB202" i="17"/>
  <c r="AB102" i="17"/>
  <c r="M204" i="17"/>
  <c r="AN226" i="17"/>
  <c r="Y292" i="17"/>
  <c r="AN188" i="17"/>
  <c r="AB142" i="17"/>
  <c r="AI347" i="17"/>
  <c r="AI240" i="17"/>
  <c r="N235" i="17"/>
  <c r="AI54" i="17"/>
  <c r="AB77" i="17"/>
  <c r="AB144" i="17"/>
  <c r="AI92" i="17"/>
  <c r="AI68" i="17"/>
  <c r="AI344" i="17"/>
  <c r="X68" i="17"/>
  <c r="AI353" i="17"/>
  <c r="Z59" i="17"/>
  <c r="M185" i="17"/>
  <c r="AI250" i="17"/>
  <c r="AI219" i="17"/>
  <c r="M240" i="17"/>
  <c r="AI300" i="17"/>
  <c r="AI140" i="17"/>
  <c r="Z215" i="17"/>
  <c r="X230" i="17"/>
  <c r="AO230" i="17" s="1"/>
  <c r="N249" i="17"/>
  <c r="Z147" i="17"/>
  <c r="AI91" i="17"/>
  <c r="AN362" i="17"/>
  <c r="AN261" i="17"/>
  <c r="N300" i="17"/>
  <c r="AN143" i="17"/>
  <c r="N232" i="17"/>
  <c r="AB212" i="17"/>
  <c r="Z324" i="17"/>
  <c r="M331" i="17"/>
  <c r="AN320" i="17"/>
  <c r="X354" i="17"/>
  <c r="AO354" i="17" s="1"/>
  <c r="N178" i="17"/>
  <c r="N269" i="17"/>
  <c r="N152" i="17"/>
  <c r="Y153" i="17"/>
  <c r="X220" i="17"/>
  <c r="AO220" i="17" s="1"/>
  <c r="AN187" i="17"/>
  <c r="N119" i="17"/>
  <c r="Y207" i="17"/>
  <c r="Z202" i="17"/>
  <c r="AB248" i="17"/>
  <c r="N265" i="17"/>
  <c r="AN92" i="17"/>
  <c r="AB101" i="17"/>
  <c r="X211" i="17"/>
  <c r="AO211" i="17" s="1"/>
  <c r="AB331" i="17"/>
  <c r="Z191" i="17"/>
  <c r="AI298" i="17"/>
  <c r="N208" i="17"/>
  <c r="AI263" i="17"/>
  <c r="AN102" i="17"/>
  <c r="AB131" i="17"/>
  <c r="AN348" i="17"/>
  <c r="X283" i="17"/>
  <c r="AO283" i="17" s="1"/>
  <c r="AN106" i="17"/>
  <c r="M98" i="17"/>
  <c r="G15" i="12"/>
  <c r="AB169" i="17"/>
  <c r="N69" i="17"/>
  <c r="M297" i="17"/>
  <c r="Z137" i="17"/>
  <c r="Z158" i="17"/>
  <c r="N354" i="17"/>
  <c r="N302" i="17"/>
  <c r="Y192" i="17"/>
  <c r="AB230" i="17"/>
  <c r="Y175" i="17"/>
  <c r="Z360" i="17"/>
  <c r="X181" i="17"/>
  <c r="AO181" i="17" s="1"/>
  <c r="O15" i="12"/>
  <c r="AI161" i="17"/>
  <c r="AN221" i="17"/>
  <c r="AB327" i="17"/>
  <c r="Y198" i="17"/>
  <c r="Y335" i="17"/>
  <c r="AB155" i="17"/>
  <c r="Y299" i="17"/>
  <c r="N260" i="17"/>
  <c r="AB254" i="17"/>
  <c r="AN59" i="17"/>
  <c r="Y250" i="17"/>
  <c r="M332" i="17"/>
  <c r="M290" i="17"/>
  <c r="AI237" i="17"/>
  <c r="AI185" i="17"/>
  <c r="Y274" i="17"/>
  <c r="AB84" i="17"/>
  <c r="M309" i="17"/>
  <c r="M156" i="17"/>
  <c r="M121" i="17"/>
  <c r="Y334" i="17"/>
  <c r="V15" i="12"/>
  <c r="Z358" i="17"/>
  <c r="AI102" i="17"/>
  <c r="M337" i="17"/>
  <c r="Y59" i="17"/>
  <c r="Z206" i="17"/>
  <c r="Z102" i="17"/>
  <c r="X367" i="17"/>
  <c r="AO367" i="17" s="1"/>
  <c r="Z105" i="17"/>
  <c r="AI67" i="17"/>
  <c r="M351" i="17"/>
  <c r="M262" i="17"/>
  <c r="AI142" i="17"/>
  <c r="Z331" i="17"/>
  <c r="N180" i="17"/>
  <c r="AB147" i="17"/>
  <c r="M73" i="17"/>
  <c r="AI118" i="17"/>
  <c r="AB369" i="17"/>
  <c r="Y227" i="17"/>
  <c r="Y68" i="17"/>
  <c r="X75" i="17"/>
  <c r="AO75" i="17" s="1"/>
  <c r="Z101" i="17"/>
  <c r="AN302" i="17"/>
  <c r="Y55" i="17"/>
  <c r="Y269" i="17"/>
  <c r="Z56" i="17"/>
  <c r="M230" i="17"/>
  <c r="AI75" i="17"/>
  <c r="Z182" i="17"/>
  <c r="AN306" i="17"/>
  <c r="N203" i="17"/>
  <c r="Z277" i="17"/>
  <c r="M238" i="17"/>
  <c r="AB93" i="17"/>
  <c r="AN289" i="17"/>
  <c r="AI216" i="17"/>
  <c r="M233" i="17"/>
  <c r="Y295" i="17"/>
  <c r="AB244" i="17"/>
  <c r="Z196" i="17"/>
  <c r="N222" i="17"/>
  <c r="Y263" i="17"/>
  <c r="X258" i="17"/>
  <c r="AO258" i="17" s="1"/>
  <c r="AI234" i="17"/>
  <c r="AN166" i="17"/>
  <c r="N205" i="17"/>
  <c r="Y163" i="17"/>
  <c r="AN285" i="17"/>
  <c r="M303" i="17"/>
  <c r="Z243" i="17"/>
  <c r="AI247" i="17"/>
  <c r="AN191" i="17"/>
  <c r="N280" i="17"/>
  <c r="AI95" i="17"/>
  <c r="AI66" i="17"/>
  <c r="AB238" i="17"/>
  <c r="Y317" i="17"/>
  <c r="AB63" i="17"/>
  <c r="AN325" i="17"/>
  <c r="AN296" i="17"/>
  <c r="AB151" i="17"/>
  <c r="AI323" i="17"/>
  <c r="M361" i="17"/>
  <c r="N316" i="17"/>
  <c r="Y61" i="17"/>
  <c r="AN55" i="17"/>
  <c r="X269" i="17"/>
  <c r="AO269" i="17" s="1"/>
  <c r="Y219" i="17"/>
  <c r="AB161" i="17"/>
  <c r="X293" i="17"/>
  <c r="AO293" i="17" s="1"/>
  <c r="AB223" i="17"/>
  <c r="Y226" i="17"/>
  <c r="Y213" i="17"/>
  <c r="AN247" i="17"/>
  <c r="N200" i="17"/>
  <c r="AB314" i="17"/>
  <c r="Z118" i="17"/>
  <c r="X207" i="17"/>
  <c r="AO207" i="17" s="1"/>
  <c r="N215" i="17"/>
  <c r="Z212" i="17"/>
  <c r="X290" i="17"/>
  <c r="AO290" i="17" s="1"/>
  <c r="AN312" i="17"/>
  <c r="M348" i="17"/>
  <c r="X331" i="17"/>
  <c r="AO331" i="17" s="1"/>
  <c r="X73" i="17"/>
  <c r="AO73" i="17" s="1"/>
  <c r="M183" i="17"/>
  <c r="AB342" i="17"/>
  <c r="Y93" i="17"/>
  <c r="AN137" i="17"/>
  <c r="X324" i="17"/>
  <c r="AO324" i="17" s="1"/>
  <c r="AI279" i="17"/>
  <c r="AI351" i="17"/>
  <c r="AB128" i="17"/>
  <c r="AN64" i="17"/>
  <c r="Y253" i="17"/>
  <c r="AN253" i="17"/>
  <c r="AB260" i="17"/>
  <c r="AI156" i="17"/>
  <c r="AI197" i="17"/>
  <c r="AN136" i="17"/>
  <c r="Z314" i="17"/>
  <c r="M316" i="17"/>
  <c r="AB62" i="17"/>
  <c r="AN215" i="17"/>
  <c r="AI81" i="17"/>
  <c r="AI170" i="17"/>
  <c r="N310" i="17"/>
  <c r="Z195" i="17"/>
  <c r="AI64" i="17"/>
  <c r="AH15" i="12"/>
  <c r="AN169" i="17"/>
  <c r="M193" i="17"/>
  <c r="X355" i="17"/>
  <c r="AO355" i="17" s="1"/>
  <c r="X223" i="17"/>
  <c r="AO223" i="17" s="1"/>
  <c r="X246" i="17"/>
  <c r="AO246" i="17" s="1"/>
  <c r="AI60" i="17"/>
  <c r="Y260" i="17"/>
  <c r="AN246" i="17"/>
  <c r="Z207" i="17"/>
  <c r="M60" i="17"/>
  <c r="X275" i="17"/>
  <c r="AO275" i="17" s="1"/>
  <c r="AB326" i="17"/>
  <c r="AN360" i="17"/>
  <c r="AI93" i="17"/>
  <c r="AN181" i="17"/>
  <c r="Y262" i="17"/>
  <c r="X250" i="17"/>
  <c r="AO250" i="17" s="1"/>
  <c r="Z266" i="17"/>
  <c r="M211" i="17"/>
  <c r="X120" i="17"/>
  <c r="AO120" i="17" s="1"/>
  <c r="Y180" i="17"/>
  <c r="O21" i="12"/>
  <c r="AI249" i="17"/>
  <c r="Y156" i="17"/>
  <c r="AB158" i="17"/>
  <c r="X212" i="17"/>
  <c r="AO212" i="17" s="1"/>
  <c r="Z339" i="17"/>
  <c r="M308" i="17"/>
  <c r="N230" i="17"/>
  <c r="N127" i="17"/>
  <c r="AI124" i="17"/>
  <c r="Z278" i="17"/>
  <c r="X235" i="17"/>
  <c r="AO235" i="17" s="1"/>
  <c r="M228" i="17"/>
  <c r="AN83" i="17"/>
  <c r="X242" i="17"/>
  <c r="AO242" i="17" s="1"/>
  <c r="X353" i="17"/>
  <c r="AO353" i="17" s="1"/>
  <c r="AB351" i="17"/>
  <c r="M202" i="17"/>
  <c r="AB83" i="17"/>
  <c r="AN72" i="17"/>
  <c r="AB246" i="17"/>
  <c r="N120" i="17"/>
  <c r="AI218" i="17"/>
  <c r="AB232" i="17"/>
  <c r="M127" i="17"/>
  <c r="N126" i="17"/>
  <c r="AB215" i="17"/>
  <c r="M125" i="17"/>
  <c r="M292" i="17"/>
  <c r="M217" i="17"/>
  <c r="AB199" i="17"/>
  <c r="AI305" i="17"/>
  <c r="Z145" i="17"/>
  <c r="AI58" i="17"/>
  <c r="N211" i="17"/>
  <c r="AN193" i="17"/>
  <c r="AN222" i="17"/>
  <c r="AI306" i="17"/>
  <c r="Z108" i="17"/>
  <c r="Y304" i="17"/>
  <c r="AN328" i="17"/>
  <c r="Z217" i="17"/>
  <c r="M288" i="17"/>
  <c r="AN150" i="17"/>
  <c r="Y206" i="17"/>
  <c r="X272" i="17"/>
  <c r="AO272" i="17" s="1"/>
  <c r="M96" i="17"/>
  <c r="N275" i="17"/>
  <c r="N362" i="17"/>
  <c r="AB121" i="17"/>
  <c r="AN343" i="17"/>
  <c r="M282" i="17"/>
  <c r="X228" i="17"/>
  <c r="AO228" i="17" s="1"/>
  <c r="AN229" i="17"/>
  <c r="AI98" i="17"/>
  <c r="AB293" i="17"/>
  <c r="AI114" i="17"/>
  <c r="AN340" i="17"/>
  <c r="M246" i="17"/>
  <c r="AN202" i="17"/>
  <c r="AI150" i="17"/>
  <c r="Y151" i="17"/>
  <c r="AI275" i="17"/>
  <c r="AN88" i="17"/>
  <c r="Y221" i="17"/>
  <c r="AB307" i="17"/>
  <c r="Y350" i="17"/>
  <c r="X328" i="17"/>
  <c r="AO328" i="17" s="1"/>
  <c r="AI331" i="17"/>
  <c r="AI322" i="17"/>
  <c r="AI333" i="17"/>
  <c r="AB64" i="17"/>
  <c r="AN294" i="17"/>
  <c r="AI172" i="17"/>
  <c r="AB233" i="17"/>
  <c r="AN297" i="17"/>
  <c r="Y242" i="17"/>
  <c r="Z260" i="17"/>
  <c r="AI115" i="17"/>
  <c r="N257" i="17"/>
  <c r="Y222" i="17"/>
  <c r="AN178" i="17"/>
  <c r="AN234" i="17"/>
  <c r="X254" i="17"/>
  <c r="AO254" i="17" s="1"/>
  <c r="AI242" i="17"/>
  <c r="M116" i="17"/>
  <c r="AB75" i="17"/>
  <c r="AB234" i="17"/>
  <c r="AN111" i="17"/>
  <c r="AB333" i="17"/>
  <c r="Y225" i="17"/>
  <c r="N213" i="17"/>
  <c r="Z219" i="17"/>
  <c r="X89" i="17"/>
  <c r="AO89" i="17" s="1"/>
  <c r="Z232" i="17"/>
  <c r="N173" i="17"/>
  <c r="Z193" i="17"/>
  <c r="N270" i="17"/>
  <c r="AN110" i="17"/>
  <c r="X281" i="17"/>
  <c r="AO281" i="17" s="1"/>
  <c r="Y363" i="17"/>
  <c r="X178" i="17"/>
  <c r="AO178" i="17" s="1"/>
  <c r="AN115" i="17"/>
  <c r="Y305" i="17"/>
  <c r="Y234" i="17"/>
  <c r="AN248" i="17"/>
  <c r="AN339" i="17"/>
  <c r="Z343" i="17"/>
  <c r="N330" i="17"/>
  <c r="X134" i="17"/>
  <c r="AO134" i="17" s="1"/>
  <c r="AB116" i="17"/>
  <c r="Y223" i="17"/>
  <c r="X348" i="17"/>
  <c r="AO348" i="17" s="1"/>
  <c r="AI62" i="17"/>
  <c r="AN233" i="17"/>
  <c r="AB119" i="17"/>
  <c r="AI346" i="17"/>
  <c r="AB236" i="17"/>
  <c r="AI235" i="17"/>
  <c r="AN153" i="17"/>
  <c r="AI117" i="17"/>
  <c r="N345" i="17"/>
  <c r="AN236" i="17"/>
  <c r="AN94" i="17"/>
  <c r="Z329" i="17"/>
  <c r="AN315" i="17"/>
  <c r="Z361" i="17"/>
  <c r="AB265" i="17"/>
  <c r="AB72" i="17"/>
  <c r="AI162" i="17"/>
  <c r="I21" i="12"/>
  <c r="Z279" i="17"/>
  <c r="Y289" i="17"/>
  <c r="AI21" i="12"/>
  <c r="X364" i="17"/>
  <c r="AO364" i="17" s="1"/>
  <c r="X351" i="17"/>
  <c r="AO351" i="17" s="1"/>
  <c r="Y272" i="17"/>
  <c r="AN53" i="17"/>
  <c r="X268" i="17"/>
  <c r="AO268" i="17" s="1"/>
  <c r="AN93" i="17"/>
  <c r="AB318" i="17"/>
  <c r="AN194" i="17"/>
  <c r="AI192" i="17"/>
  <c r="AN177" i="17"/>
  <c r="AI173" i="17"/>
  <c r="AB206" i="17"/>
  <c r="X286" i="17"/>
  <c r="AO286" i="17" s="1"/>
  <c r="M110" i="17"/>
  <c r="Z159" i="17"/>
  <c r="AB191" i="17"/>
  <c r="AB220" i="17"/>
  <c r="AN80" i="17"/>
  <c r="Y246" i="17"/>
  <c r="AB311" i="17"/>
  <c r="AB224" i="17"/>
  <c r="AN367" i="17"/>
  <c r="Y124" i="17"/>
  <c r="AN214" i="17"/>
  <c r="Y218" i="17"/>
  <c r="AB126" i="17"/>
  <c r="AI189" i="17"/>
  <c r="AI355" i="17"/>
  <c r="AI144" i="17"/>
  <c r="X329" i="17"/>
  <c r="AO329" i="17" s="1"/>
  <c r="AN239" i="17"/>
  <c r="X194" i="17"/>
  <c r="AO194" i="17" s="1"/>
  <c r="AN76" i="17"/>
  <c r="AB240" i="17"/>
  <c r="AI57" i="17"/>
  <c r="N278" i="17"/>
  <c r="AN266" i="17"/>
  <c r="AN227" i="17"/>
  <c r="AB219" i="17"/>
  <c r="AI135" i="17"/>
  <c r="M158" i="17"/>
  <c r="AI349" i="17"/>
  <c r="Y280" i="17"/>
  <c r="X98" i="17"/>
  <c r="AO98" i="17" s="1"/>
  <c r="Y143" i="17"/>
  <c r="M274" i="17"/>
  <c r="N70" i="17"/>
  <c r="M79" i="17"/>
  <c r="AN100" i="17"/>
  <c r="AI266" i="17"/>
  <c r="Z294" i="17"/>
  <c r="Y231" i="17"/>
  <c r="X227" i="17"/>
  <c r="AO227" i="17" s="1"/>
  <c r="AB148" i="17"/>
  <c r="AN319" i="17"/>
  <c r="AN265" i="17"/>
  <c r="AB88" i="17"/>
  <c r="AN140" i="17"/>
  <c r="AB164" i="17"/>
  <c r="N358" i="17"/>
  <c r="M226" i="17"/>
  <c r="AI220" i="17"/>
  <c r="AN332" i="17"/>
  <c r="Y228" i="17"/>
  <c r="AI116" i="17"/>
  <c r="N366" i="17"/>
  <c r="Z98" i="17"/>
  <c r="Y288" i="17"/>
  <c r="X172" i="17"/>
  <c r="AO172" i="17" s="1"/>
  <c r="Y15" i="12"/>
  <c r="Y70" i="17"/>
  <c r="M53" i="17"/>
  <c r="X302" i="17"/>
  <c r="AO302" i="17" s="1"/>
  <c r="M342" i="17"/>
  <c r="Y293" i="17"/>
  <c r="X343" i="17"/>
  <c r="AO343" i="17" s="1"/>
  <c r="AI248" i="17"/>
  <c r="M182" i="17"/>
  <c r="Y188" i="17"/>
  <c r="AI141" i="17"/>
  <c r="N84" i="17"/>
  <c r="Z322" i="17"/>
  <c r="M124" i="17"/>
  <c r="N224" i="17"/>
  <c r="N113" i="17"/>
  <c r="Y67" i="17"/>
  <c r="AI304" i="17"/>
  <c r="W15" i="12"/>
  <c r="N331" i="17"/>
  <c r="X168" i="17"/>
  <c r="AO168" i="17" s="1"/>
  <c r="Z125" i="17"/>
  <c r="N96" i="17"/>
  <c r="AN61" i="17"/>
  <c r="AB60" i="17"/>
  <c r="X183" i="17"/>
  <c r="AO183" i="17" s="1"/>
  <c r="Z284" i="17"/>
  <c r="Z82" i="17"/>
  <c r="AN71" i="17"/>
  <c r="M88" i="17"/>
  <c r="Y135" i="17"/>
  <c r="X78" i="17"/>
  <c r="AO78" i="17" s="1"/>
  <c r="Y119" i="17"/>
  <c r="Y324" i="17"/>
  <c r="AN353" i="17"/>
  <c r="X62" i="17"/>
  <c r="AO62" i="17" s="1"/>
  <c r="M187" i="17"/>
  <c r="Z141" i="17"/>
  <c r="Y343" i="17"/>
  <c r="M350" i="17"/>
  <c r="N364" i="17"/>
  <c r="X109" i="17"/>
  <c r="AO109" i="17" s="1"/>
  <c r="X308" i="17"/>
  <c r="AO308" i="17" s="1"/>
  <c r="M302" i="17"/>
  <c r="Y83" i="17"/>
  <c r="Z332" i="17"/>
  <c r="N58" i="17"/>
  <c r="AI139" i="17"/>
  <c r="Z247" i="17"/>
  <c r="M152" i="17"/>
  <c r="AB346" i="17"/>
  <c r="Y338" i="17"/>
  <c r="X119" i="17"/>
  <c r="AO119" i="17" s="1"/>
  <c r="AB332" i="17"/>
  <c r="J21" i="12"/>
  <c r="AN278" i="17"/>
  <c r="AI302" i="17"/>
  <c r="AN207" i="17"/>
  <c r="M265" i="17"/>
  <c r="AB222" i="17"/>
  <c r="Y200" i="17"/>
  <c r="Z317" i="17"/>
  <c r="Y261" i="17"/>
  <c r="M315" i="17"/>
  <c r="AI183" i="17"/>
  <c r="AI190" i="17"/>
  <c r="M201" i="17"/>
  <c r="Y101" i="17"/>
  <c r="Z268" i="17"/>
  <c r="Y191" i="17"/>
  <c r="AN117" i="17"/>
  <c r="AB329" i="17"/>
  <c r="AI299" i="17"/>
  <c r="N343" i="17"/>
  <c r="N188" i="17"/>
  <c r="N171" i="17"/>
  <c r="Y185" i="17"/>
  <c r="M55" i="17"/>
  <c r="AN223" i="17"/>
  <c r="N108" i="17"/>
  <c r="AI203" i="17"/>
  <c r="AB281" i="17"/>
  <c r="X216" i="17"/>
  <c r="AO216" i="17" s="1"/>
  <c r="AB197" i="17"/>
  <c r="AI297" i="17"/>
  <c r="M306" i="17"/>
  <c r="M225" i="17"/>
  <c r="AN279" i="17"/>
  <c r="M301" i="17"/>
  <c r="X226" i="17"/>
  <c r="AO226" i="17" s="1"/>
  <c r="M280" i="17"/>
  <c r="AB280" i="17"/>
  <c r="N355" i="17"/>
  <c r="AI70" i="17"/>
  <c r="Y265" i="17"/>
  <c r="Z68" i="17"/>
  <c r="N352" i="17"/>
  <c r="AI339" i="17"/>
  <c r="Y100" i="17"/>
  <c r="N174" i="17"/>
  <c r="Y115" i="17"/>
  <c r="AB338" i="17"/>
  <c r="M91" i="17"/>
  <c r="AB176" i="17"/>
  <c r="AB76" i="17"/>
  <c r="AB277" i="17"/>
  <c r="AB173" i="17"/>
  <c r="Z321" i="17"/>
  <c r="X266" i="17"/>
  <c r="AO266" i="17" s="1"/>
  <c r="AB322" i="17"/>
  <c r="AB225" i="17"/>
  <c r="AI87" i="17"/>
  <c r="AB301" i="17"/>
  <c r="M258" i="17"/>
  <c r="N196" i="17"/>
  <c r="X54" i="17"/>
  <c r="AO54" i="17" s="1"/>
  <c r="AB168" i="17"/>
  <c r="AI201" i="17"/>
  <c r="AI241" i="17"/>
  <c r="Z214" i="17"/>
  <c r="AI179" i="17"/>
  <c r="X243" i="17"/>
  <c r="AO243" i="17" s="1"/>
  <c r="Z311" i="17"/>
  <c r="M352" i="17"/>
  <c r="M192" i="17"/>
  <c r="X86" i="17"/>
  <c r="AO86" i="17" s="1"/>
  <c r="AB274" i="17"/>
  <c r="M369" i="17"/>
  <c r="AB285" i="17"/>
  <c r="AI324" i="17"/>
  <c r="AI217" i="17"/>
  <c r="N244" i="17"/>
  <c r="M263" i="17"/>
  <c r="M313" i="17"/>
  <c r="X205" i="17"/>
  <c r="AO205" i="17" s="1"/>
  <c r="AN295" i="17"/>
  <c r="X201" i="17"/>
  <c r="AO201" i="17" s="1"/>
  <c r="AB363" i="17"/>
  <c r="AB356" i="17"/>
  <c r="AN228" i="17"/>
  <c r="AB159" i="17"/>
  <c r="Z99" i="17"/>
  <c r="AN241" i="17"/>
  <c r="Z238" i="17"/>
  <c r="AB204" i="17"/>
  <c r="X251" i="17"/>
  <c r="AO251" i="17" s="1"/>
  <c r="N361" i="17"/>
  <c r="AN65" i="17"/>
  <c r="AN304" i="17"/>
  <c r="AB278" i="17"/>
  <c r="Y294" i="17"/>
  <c r="AB55" i="17"/>
  <c r="M285" i="17"/>
  <c r="Y286" i="17"/>
  <c r="N290" i="17"/>
  <c r="AB196" i="17"/>
  <c r="Y107" i="17"/>
  <c r="AI215" i="17"/>
  <c r="M341" i="17"/>
  <c r="N368" i="17"/>
  <c r="AI317" i="17"/>
  <c r="M146" i="17"/>
  <c r="X96" i="17"/>
  <c r="AO96" i="17" s="1"/>
  <c r="Y312" i="17"/>
  <c r="Y349" i="17"/>
  <c r="X164" i="17"/>
  <c r="AO164" i="17" s="1"/>
  <c r="AN334" i="17"/>
  <c r="Z190" i="17"/>
  <c r="Z239" i="17"/>
  <c r="Z208" i="17"/>
  <c r="AN341" i="17"/>
  <c r="M237" i="17"/>
  <c r="X121" i="17"/>
  <c r="AO121" i="17" s="1"/>
  <c r="M257" i="17"/>
  <c r="Z288" i="17"/>
  <c r="AI258" i="17"/>
  <c r="AN286" i="17"/>
  <c r="AI94" i="17"/>
  <c r="AN131" i="17"/>
  <c r="AB323" i="17"/>
  <c r="AN301" i="17"/>
  <c r="AN250" i="17"/>
  <c r="M249" i="17"/>
  <c r="Z296" i="17"/>
  <c r="AB133" i="17"/>
  <c r="Y344" i="17"/>
  <c r="Z233" i="17"/>
  <c r="M213" i="17"/>
  <c r="X74" i="17"/>
  <c r="AO74" i="17" s="1"/>
  <c r="AN203" i="17"/>
  <c r="Y214" i="17"/>
  <c r="X224" i="17"/>
  <c r="AO224" i="17" s="1"/>
  <c r="AB79" i="17"/>
  <c r="N308" i="17"/>
  <c r="X282" i="17"/>
  <c r="AO282" i="17" s="1"/>
  <c r="X279" i="17"/>
  <c r="AO279" i="17" s="1"/>
  <c r="AI165" i="17"/>
  <c r="AN56" i="17"/>
  <c r="AN127" i="17"/>
  <c r="AB96" i="17"/>
  <c r="AB347" i="17"/>
  <c r="M144" i="17"/>
  <c r="AB205" i="17"/>
  <c r="Z290" i="17"/>
  <c r="AI163" i="17"/>
  <c r="AN142" i="17"/>
  <c r="N356" i="17"/>
  <c r="M99" i="17"/>
  <c r="Z240" i="17"/>
  <c r="Y53" i="17"/>
  <c r="N15" i="12"/>
  <c r="AN316" i="17"/>
  <c r="Z156" i="17"/>
  <c r="X300" i="17"/>
  <c r="AO300" i="17" s="1"/>
  <c r="AB87" i="17"/>
  <c r="AB152" i="17"/>
  <c r="X289" i="17"/>
  <c r="AO289" i="17" s="1"/>
  <c r="X255" i="17"/>
  <c r="AO255" i="17" s="1"/>
  <c r="AI121" i="17"/>
  <c r="AB287" i="17"/>
  <c r="AB304" i="17"/>
  <c r="AB172" i="17"/>
  <c r="X261" i="17"/>
  <c r="AO261" i="17" s="1"/>
  <c r="AN220" i="17"/>
  <c r="N250" i="17"/>
  <c r="M179" i="17"/>
  <c r="X153" i="17"/>
  <c r="AO153" i="17" s="1"/>
  <c r="Z242" i="17"/>
  <c r="Y364" i="17"/>
  <c r="AN70" i="17"/>
  <c r="X238" i="17"/>
  <c r="AO238" i="17" s="1"/>
  <c r="M264" i="17"/>
  <c r="AN155" i="17"/>
  <c r="Z85" i="17"/>
  <c r="N80" i="17"/>
  <c r="AN257" i="17"/>
  <c r="M363" i="17"/>
  <c r="X144" i="17"/>
  <c r="AO144" i="17" s="1"/>
  <c r="AI180" i="17"/>
  <c r="M311" i="17"/>
  <c r="Y347" i="17"/>
  <c r="AI332" i="17"/>
  <c r="M324" i="17"/>
  <c r="Z157" i="17"/>
  <c r="X303" i="17"/>
  <c r="AO303" i="17" s="1"/>
  <c r="Y358" i="17"/>
  <c r="F21" i="12"/>
  <c r="AI125" i="17"/>
  <c r="Z62" i="17"/>
  <c r="M314" i="17"/>
  <c r="AB269" i="17"/>
  <c r="N118" i="17"/>
  <c r="AB118" i="17"/>
  <c r="X64" i="17"/>
  <c r="AO64" i="17" s="1"/>
  <c r="M95" i="17"/>
  <c r="AN95" i="17"/>
  <c r="AB365" i="17"/>
  <c r="N62" i="17"/>
  <c r="Z198" i="17"/>
  <c r="AB247" i="17"/>
  <c r="AN151" i="17"/>
  <c r="X245" i="17"/>
  <c r="AO245" i="17" s="1"/>
  <c r="M189" i="17"/>
  <c r="Y177" i="17"/>
  <c r="Y132" i="17"/>
  <c r="AB354" i="17"/>
  <c r="AN293" i="17"/>
  <c r="Z320" i="17"/>
  <c r="Z61" i="17"/>
  <c r="X161" i="17"/>
  <c r="AO161" i="17" s="1"/>
  <c r="N93" i="17"/>
  <c r="AB104" i="17"/>
  <c r="Z355" i="17"/>
  <c r="X132" i="17"/>
  <c r="AO132" i="17" s="1"/>
  <c r="Q11" i="9"/>
  <c r="Y133" i="17"/>
  <c r="AN305" i="17"/>
  <c r="X57" i="17"/>
  <c r="AO57" i="17" s="1"/>
  <c r="X83" i="17"/>
  <c r="AO83" i="17" s="1"/>
  <c r="Z165" i="17"/>
  <c r="M97" i="17"/>
  <c r="Y302" i="17"/>
  <c r="AI316" i="17"/>
  <c r="N95" i="17"/>
  <c r="AB226" i="17"/>
  <c r="M368" i="17"/>
  <c r="W21" i="12"/>
  <c r="AB312" i="17"/>
  <c r="AN189" i="17"/>
  <c r="N239" i="17"/>
  <c r="AI356" i="17"/>
  <c r="Z94" i="17"/>
  <c r="AN368" i="17"/>
  <c r="AB320" i="17"/>
  <c r="X94" i="17"/>
  <c r="AO94" i="17" s="1"/>
  <c r="M133" i="17"/>
  <c r="Z345" i="17"/>
  <c r="AN243" i="17"/>
  <c r="AI361" i="17"/>
  <c r="X122" i="17"/>
  <c r="AO122" i="17" s="1"/>
  <c r="AN277" i="17"/>
  <c r="N360" i="17"/>
  <c r="Z187" i="17"/>
  <c r="N167" i="17"/>
  <c r="AB137" i="17"/>
  <c r="N53" i="17"/>
  <c r="X317" i="17"/>
  <c r="AO317" i="17" s="1"/>
  <c r="M154" i="17"/>
  <c r="N75" i="17"/>
  <c r="Z143" i="17"/>
  <c r="Y176" i="17"/>
  <c r="N220" i="17"/>
  <c r="AB218" i="17"/>
  <c r="M231" i="17"/>
  <c r="P15" i="12"/>
  <c r="X298" i="17"/>
  <c r="AO298" i="17" s="1"/>
  <c r="AB105" i="17"/>
  <c r="U15" i="12"/>
  <c r="Y146" i="17"/>
  <c r="H21" i="12"/>
  <c r="AB309" i="17"/>
  <c r="AB366" i="17"/>
  <c r="Y193" i="17"/>
  <c r="M188" i="17"/>
  <c r="X61" i="17"/>
  <c r="AO61" i="17" s="1"/>
  <c r="AI146" i="17"/>
  <c r="Z300" i="17"/>
  <c r="M118" i="17"/>
  <c r="X203" i="17"/>
  <c r="AO203" i="17" s="1"/>
  <c r="E15" i="12"/>
  <c r="AN171" i="17"/>
  <c r="AB103" i="17"/>
  <c r="Y171" i="17"/>
  <c r="AB340" i="17"/>
  <c r="N81" i="17"/>
  <c r="X313" i="17"/>
  <c r="AO313" i="17" s="1"/>
  <c r="Z73" i="17"/>
  <c r="M326" i="17"/>
  <c r="Z287" i="17"/>
  <c r="X169" i="17"/>
  <c r="AO169" i="17" s="1"/>
  <c r="X170" i="17"/>
  <c r="AO170" i="17" s="1"/>
  <c r="N177" i="17"/>
  <c r="AI208" i="17"/>
  <c r="M298" i="17"/>
  <c r="AN240" i="17"/>
  <c r="Y257" i="17"/>
  <c r="Z123" i="17"/>
  <c r="AD15" i="12"/>
  <c r="AN352" i="17"/>
  <c r="AN185" i="17"/>
  <c r="X80" i="17"/>
  <c r="AO80" i="17" s="1"/>
  <c r="Y310" i="17"/>
  <c r="M215" i="17"/>
  <c r="Z228" i="17"/>
  <c r="X306" i="17"/>
  <c r="AO306" i="17" s="1"/>
  <c r="Y306" i="17"/>
  <c r="AB237" i="17"/>
  <c r="AN349" i="17"/>
  <c r="M89" i="17"/>
  <c r="Y359" i="17"/>
  <c r="Y183" i="17"/>
  <c r="AI354" i="17"/>
  <c r="X106" i="17"/>
  <c r="AO106" i="17" s="1"/>
  <c r="Y99" i="17"/>
  <c r="Y318" i="17"/>
  <c r="AN333" i="17"/>
  <c r="AI296" i="17"/>
  <c r="AB324" i="17"/>
  <c r="AI359" i="17"/>
  <c r="Z359" i="17"/>
  <c r="X369" i="17"/>
  <c r="N209" i="17"/>
  <c r="M54" i="17"/>
  <c r="N189" i="17"/>
  <c r="N320" i="17"/>
  <c r="AI334" i="17"/>
  <c r="N293" i="17"/>
  <c r="M59" i="17"/>
  <c r="N92" i="17"/>
  <c r="M317" i="17"/>
  <c r="X166" i="17"/>
  <c r="AO166" i="17" s="1"/>
  <c r="AB360" i="17"/>
  <c r="T15" i="12"/>
  <c r="N128" i="17"/>
  <c r="M149" i="17"/>
  <c r="AN123" i="17"/>
  <c r="N110" i="17"/>
  <c r="M203" i="17"/>
  <c r="M157" i="17"/>
  <c r="Z83" i="17"/>
  <c r="AI350" i="17"/>
  <c r="Y172" i="17"/>
  <c r="M140" i="17"/>
  <c r="AB15" i="12"/>
  <c r="Y85" i="17"/>
  <c r="Z86" i="17"/>
  <c r="AB57" i="17"/>
  <c r="Z256" i="17"/>
  <c r="AB140" i="17"/>
  <c r="M312" i="17"/>
  <c r="AN147" i="17"/>
  <c r="AB245" i="17"/>
  <c r="AB189" i="17"/>
  <c r="AN183" i="17"/>
  <c r="X55" i="17"/>
  <c r="AO55" i="17" s="1"/>
  <c r="Z302" i="17"/>
  <c r="N349" i="17"/>
  <c r="AI320" i="17"/>
  <c r="AN149" i="17"/>
  <c r="X116" i="17"/>
  <c r="AO116" i="17" s="1"/>
  <c r="AN230" i="17"/>
  <c r="N105" i="17"/>
  <c r="AI96" i="17"/>
  <c r="M141" i="17"/>
  <c r="Z259" i="17"/>
  <c r="Y60" i="17"/>
  <c r="AN298" i="17"/>
  <c r="M93" i="17"/>
  <c r="N106" i="17"/>
  <c r="AB330" i="17"/>
  <c r="X15" i="12"/>
  <c r="N182" i="17"/>
  <c r="AN82" i="17"/>
  <c r="N135" i="17"/>
  <c r="Z203" i="17"/>
  <c r="AN313" i="17"/>
  <c r="N334" i="17"/>
  <c r="N207" i="17"/>
  <c r="Z72" i="17"/>
  <c r="N56" i="17"/>
  <c r="AB362" i="17"/>
  <c r="Z95" i="17"/>
  <c r="Y345" i="17"/>
  <c r="Y104" i="17"/>
  <c r="AN323" i="17"/>
  <c r="Y259" i="17"/>
  <c r="M65" i="17"/>
  <c r="N206" i="17"/>
  <c r="M72" i="17"/>
  <c r="M104" i="17"/>
  <c r="M84" i="17"/>
  <c r="N124" i="17"/>
  <c r="AN124" i="17"/>
  <c r="N247" i="17"/>
  <c r="X363" i="17"/>
  <c r="AO363" i="17" s="1"/>
  <c r="AF15" i="12"/>
  <c r="X267" i="17"/>
  <c r="AO267" i="17" s="1"/>
  <c r="Y75" i="17"/>
  <c r="Z150" i="17"/>
  <c r="AN337" i="17"/>
  <c r="AC21" i="12"/>
  <c r="AN135" i="17"/>
  <c r="AI362" i="17"/>
  <c r="Y205" i="17"/>
  <c r="Z367" i="17"/>
  <c r="Y109" i="17"/>
  <c r="Y105" i="17"/>
  <c r="X157" i="17"/>
  <c r="AO157" i="17" s="1"/>
  <c r="N311" i="17"/>
  <c r="N162" i="17"/>
  <c r="Z319" i="17"/>
  <c r="AI254" i="17"/>
  <c r="M80" i="17"/>
  <c r="X105" i="17"/>
  <c r="AO105" i="17" s="1"/>
  <c r="Y189" i="17"/>
  <c r="Z248" i="17"/>
  <c r="AB306" i="17"/>
  <c r="N253" i="17"/>
  <c r="AI292" i="17"/>
  <c r="X277" i="17"/>
  <c r="AO277" i="17" s="1"/>
  <c r="AB78" i="17"/>
  <c r="Y77" i="17"/>
  <c r="AI252" i="17"/>
  <c r="Y142" i="17"/>
  <c r="X296" i="17"/>
  <c r="AO296" i="17" s="1"/>
  <c r="N204" i="17"/>
  <c r="Y106" i="17"/>
  <c r="U21" i="12"/>
  <c r="Y308" i="17"/>
  <c r="Y88" i="17"/>
  <c r="X330" i="17"/>
  <c r="AO330" i="17" s="1"/>
  <c r="M364" i="17"/>
  <c r="AN21" i="12"/>
  <c r="AB124" i="17"/>
  <c r="Z170" i="17"/>
  <c r="AI310" i="17"/>
  <c r="AB344" i="17"/>
  <c r="X93" i="17"/>
  <c r="AO93" i="17" s="1"/>
  <c r="Y166" i="17"/>
  <c r="Y340" i="17"/>
  <c r="M250" i="17"/>
  <c r="AI53" i="17"/>
  <c r="AI360" i="17"/>
  <c r="AI145" i="17"/>
  <c r="M268" i="17"/>
  <c r="AB353" i="17"/>
  <c r="X123" i="17"/>
  <c r="AO123" i="17" s="1"/>
  <c r="AI294" i="17"/>
  <c r="M108" i="17"/>
  <c r="M358" i="17"/>
  <c r="Z106" i="17"/>
  <c r="X91" i="17"/>
  <c r="AO91" i="17" s="1"/>
  <c r="N276" i="17"/>
  <c r="Z75" i="17"/>
  <c r="X231" i="17"/>
  <c r="AO231" i="17" s="1"/>
  <c r="AI132" i="17"/>
  <c r="Z263" i="17"/>
  <c r="Y137" i="17"/>
  <c r="Z126" i="17"/>
  <c r="M58" i="17"/>
  <c r="Z120" i="17"/>
  <c r="Y92" i="17"/>
  <c r="X167" i="17"/>
  <c r="AO167" i="17" s="1"/>
  <c r="Y97" i="17"/>
  <c r="Z299" i="17"/>
  <c r="M21" i="12"/>
  <c r="M345" i="17"/>
  <c r="Z176" i="17"/>
  <c r="X114" i="17"/>
  <c r="AO114" i="17" s="1"/>
  <c r="AL15" i="12"/>
  <c r="Y155" i="17"/>
  <c r="AN254" i="17"/>
  <c r="AN345" i="17"/>
  <c r="AN68" i="17"/>
  <c r="M244" i="17"/>
  <c r="X146" i="17"/>
  <c r="AO146" i="17" s="1"/>
  <c r="AB160" i="17"/>
  <c r="Z188" i="17"/>
  <c r="AB114" i="17"/>
  <c r="M304" i="17"/>
  <c r="N154" i="17"/>
  <c r="X340" i="17"/>
  <c r="AO340" i="17" s="1"/>
  <c r="AI318" i="17"/>
  <c r="AI357" i="17"/>
  <c r="Z97" i="17"/>
  <c r="M359" i="17"/>
  <c r="AJ21" i="12"/>
  <c r="N347" i="17"/>
  <c r="X339" i="17"/>
  <c r="AO339" i="17" s="1"/>
  <c r="AI164" i="17"/>
  <c r="AI160" i="17"/>
  <c r="X175" i="17"/>
  <c r="AO175" i="17" s="1"/>
  <c r="Y136" i="17"/>
  <c r="AN264" i="17"/>
  <c r="Z153" i="17"/>
  <c r="Z326" i="17"/>
  <c r="Z309" i="17"/>
  <c r="Y82" i="17"/>
  <c r="B15" i="12"/>
  <c r="M68" i="17"/>
  <c r="Z58" i="17"/>
  <c r="AN86" i="17"/>
  <c r="M295" i="17"/>
  <c r="S21" i="12"/>
  <c r="N151" i="17"/>
  <c r="Y322" i="17"/>
  <c r="Y369" i="17"/>
  <c r="M212" i="17"/>
  <c r="X60" i="17"/>
  <c r="AO60" i="17" s="1"/>
  <c r="X107" i="17"/>
  <c r="AO107" i="17" s="1"/>
  <c r="Y353" i="17"/>
  <c r="N246" i="17"/>
  <c r="Z80" i="17"/>
  <c r="AB273" i="17"/>
  <c r="Y149" i="17"/>
  <c r="X299" i="17"/>
  <c r="AO299" i="17" s="1"/>
  <c r="AN174" i="17"/>
  <c r="Z76" i="17"/>
  <c r="Y84" i="17"/>
  <c r="M172" i="17"/>
  <c r="M329" i="17"/>
  <c r="X159" i="17"/>
  <c r="AO159" i="17" s="1"/>
  <c r="AN258" i="17"/>
  <c r="M319" i="17"/>
  <c r="X165" i="17"/>
  <c r="AO165" i="17" s="1"/>
  <c r="AI301" i="17"/>
  <c r="X270" i="17"/>
  <c r="AO270" i="17" s="1"/>
  <c r="M74" i="17"/>
  <c r="AI209" i="17"/>
  <c r="AN81" i="17"/>
  <c r="X210" i="17"/>
  <c r="AO210" i="17" s="1"/>
  <c r="AJ15" i="12"/>
  <c r="M180" i="17"/>
  <c r="AB106" i="17"/>
  <c r="X316" i="17"/>
  <c r="AO316" i="17" s="1"/>
  <c r="AI367" i="17"/>
  <c r="M296" i="17"/>
  <c r="AI295" i="17"/>
  <c r="AI326" i="17"/>
  <c r="N160" i="17"/>
  <c r="N365" i="17"/>
  <c r="AI253" i="17"/>
  <c r="Z328" i="17"/>
  <c r="X160" i="17"/>
  <c r="AO160" i="17" s="1"/>
  <c r="AB292" i="17"/>
  <c r="Y243" i="17"/>
  <c r="AI327" i="17"/>
  <c r="Z65" i="17"/>
  <c r="Z354" i="17"/>
  <c r="AE21" i="12"/>
  <c r="Z350" i="17"/>
  <c r="M242" i="17"/>
  <c r="N130" i="17"/>
  <c r="Y316" i="17"/>
  <c r="H15" i="12"/>
  <c r="AB200" i="17"/>
  <c r="AN238" i="17"/>
  <c r="X310" i="17"/>
  <c r="AO310" i="17" s="1"/>
  <c r="N351" i="17"/>
  <c r="AB291" i="17"/>
  <c r="AB310" i="17"/>
  <c r="X147" i="17"/>
  <c r="AO147" i="17" s="1"/>
  <c r="AN351" i="17"/>
  <c r="N136" i="17"/>
  <c r="X138" i="17"/>
  <c r="AO138" i="17" s="1"/>
  <c r="Y328" i="17"/>
  <c r="N148" i="17"/>
  <c r="Y315" i="17"/>
  <c r="AB264" i="17"/>
  <c r="AB268" i="17"/>
  <c r="M194" i="17"/>
  <c r="Y98" i="17"/>
  <c r="N190" i="17"/>
  <c r="Y236" i="17"/>
  <c r="Z144" i="17"/>
  <c r="Z220" i="17"/>
  <c r="AI330" i="17"/>
  <c r="AN347" i="17"/>
  <c r="N88" i="17"/>
  <c r="Z323" i="17"/>
  <c r="X101" i="17"/>
  <c r="AO101" i="17" s="1"/>
  <c r="M134" i="17"/>
  <c r="X150" i="17"/>
  <c r="AO150" i="17" s="1"/>
  <c r="X337" i="17"/>
  <c r="AO337" i="17" s="1"/>
  <c r="N301" i="17"/>
  <c r="AN114" i="17"/>
  <c r="N161" i="17"/>
  <c r="AN270" i="17"/>
  <c r="M335" i="17"/>
  <c r="Z109" i="17"/>
  <c r="X312" i="17"/>
  <c r="AO312" i="17" s="1"/>
  <c r="X173" i="17"/>
  <c r="AO173" i="17" s="1"/>
  <c r="AI119" i="17"/>
  <c r="Y58" i="17"/>
  <c r="Y184" i="17"/>
  <c r="X77" i="17"/>
  <c r="AO77" i="17" s="1"/>
  <c r="Z336" i="17"/>
  <c r="AI110" i="17"/>
  <c r="AI313" i="17"/>
  <c r="X56" i="17"/>
  <c r="AO56" i="17" s="1"/>
  <c r="AI291" i="17"/>
  <c r="AB108" i="17"/>
  <c r="X320" i="17"/>
  <c r="AO320" i="17" s="1"/>
  <c r="Z181" i="17"/>
  <c r="AN218" i="17"/>
  <c r="N359" i="17"/>
  <c r="Y131" i="17"/>
  <c r="AB166" i="17"/>
  <c r="Q15" i="12"/>
  <c r="X113" i="17"/>
  <c r="AO113" i="17" s="1"/>
  <c r="Y331" i="17"/>
  <c r="Z184" i="17"/>
  <c r="Y81" i="17"/>
  <c r="X142" i="17"/>
  <c r="AO142" i="17" s="1"/>
  <c r="Y154" i="17"/>
  <c r="X156" i="17"/>
  <c r="AO156" i="17" s="1"/>
  <c r="N321" i="17"/>
  <c r="AD21" i="12"/>
  <c r="M173" i="17"/>
  <c r="M235" i="17"/>
  <c r="AN321" i="17"/>
  <c r="X357" i="17"/>
  <c r="AO357" i="17" s="1"/>
  <c r="X148" i="17"/>
  <c r="AO148" i="17" s="1"/>
  <c r="Z312" i="17"/>
  <c r="Y69" i="17"/>
  <c r="AN69" i="17"/>
  <c r="AB130" i="17"/>
  <c r="X70" i="17"/>
  <c r="AO70" i="17" s="1"/>
  <c r="Z178" i="17"/>
  <c r="AB297" i="17"/>
  <c r="M171" i="17"/>
  <c r="X314" i="17"/>
  <c r="AO314" i="17" s="1"/>
  <c r="X88" i="17"/>
  <c r="AO88" i="17" s="1"/>
  <c r="X253" i="17"/>
  <c r="AO253" i="17" s="1"/>
  <c r="X200" i="17"/>
  <c r="AO200" i="17" s="1"/>
  <c r="N142" i="17"/>
  <c r="Y319" i="17"/>
  <c r="AI342" i="17"/>
  <c r="AN361" i="17"/>
  <c r="M330" i="17"/>
  <c r="Z15" i="12"/>
  <c r="Y158" i="17"/>
  <c r="X186" i="17"/>
  <c r="AO186" i="17" s="1"/>
  <c r="Y94" i="17"/>
  <c r="AB257" i="17"/>
  <c r="AB67" i="17"/>
  <c r="M81" i="17"/>
  <c r="Y233" i="17"/>
  <c r="M153" i="17"/>
  <c r="Z356" i="17"/>
  <c r="AN108" i="17"/>
  <c r="Y174" i="17"/>
  <c r="AI182" i="17"/>
  <c r="Y73" i="17"/>
  <c r="AN208" i="17"/>
  <c r="Y298" i="17"/>
  <c r="N184" i="17"/>
  <c r="Z226" i="17"/>
  <c r="N168" i="17"/>
  <c r="X190" i="17"/>
  <c r="AO190" i="17" s="1"/>
  <c r="Z77" i="17"/>
  <c r="Z335" i="17"/>
  <c r="Z139" i="17"/>
  <c r="N233" i="17"/>
  <c r="Z262" i="17"/>
  <c r="Y54" i="17"/>
  <c r="AN327" i="17"/>
  <c r="Z114" i="17"/>
  <c r="X171" i="17"/>
  <c r="AO171" i="17" s="1"/>
  <c r="Z64" i="17"/>
  <c r="AI213" i="17"/>
  <c r="AN308" i="17"/>
  <c r="Y173" i="17"/>
  <c r="Z352" i="17"/>
  <c r="AB349" i="17"/>
  <c r="Y178" i="17"/>
  <c r="AB184" i="17"/>
  <c r="Y118" i="17"/>
  <c r="N179" i="17"/>
  <c r="AL21" i="12"/>
  <c r="Z199" i="17"/>
  <c r="Y129" i="17"/>
  <c r="M174" i="17"/>
  <c r="Z353" i="17"/>
  <c r="AN184" i="17"/>
  <c r="AN359" i="17"/>
  <c r="X315" i="17"/>
  <c r="AO315" i="17" s="1"/>
  <c r="N60" i="17"/>
  <c r="N147" i="17"/>
  <c r="X163" i="17"/>
  <c r="AO163" i="17" s="1"/>
  <c r="AB69" i="17"/>
  <c r="M155" i="17"/>
  <c r="X241" i="17"/>
  <c r="AO241" i="17" s="1"/>
  <c r="N283" i="17"/>
  <c r="N314" i="17"/>
  <c r="X358" i="17"/>
  <c r="AO358" i="17" s="1"/>
  <c r="Z362" i="17"/>
  <c r="N150" i="17"/>
  <c r="AB358" i="17"/>
  <c r="Y128" i="17"/>
  <c r="AN195" i="17"/>
  <c r="M87" i="17"/>
  <c r="AN209" i="17"/>
  <c r="M63" i="17"/>
  <c r="Z269" i="17"/>
  <c r="N86" i="17"/>
  <c r="Z297" i="17"/>
  <c r="M300" i="17"/>
  <c r="Z161" i="17"/>
  <c r="N357" i="17"/>
  <c r="Z55" i="17"/>
  <c r="Y150" i="17"/>
  <c r="Y181" i="17"/>
  <c r="X240" i="17"/>
  <c r="AO240" i="17" s="1"/>
  <c r="N324" i="17"/>
  <c r="Y141" i="17"/>
  <c r="Y145" i="17"/>
  <c r="Z252" i="17"/>
  <c r="X225" i="17"/>
  <c r="AO225" i="17" s="1"/>
  <c r="C21" i="12"/>
  <c r="X140" i="17"/>
  <c r="AO140" i="17" s="1"/>
  <c r="AN357" i="17"/>
  <c r="Z292" i="17"/>
  <c r="X76" i="17"/>
  <c r="AO76" i="17" s="1"/>
  <c r="X219" i="17"/>
  <c r="AO219" i="17" s="1"/>
  <c r="X102" i="17"/>
  <c r="AO102" i="17" s="1"/>
  <c r="AN132" i="17"/>
  <c r="M117" i="17"/>
  <c r="M184" i="17"/>
  <c r="N159" i="17"/>
  <c r="AB163" i="17"/>
  <c r="Z173" i="17"/>
  <c r="M362" i="17"/>
  <c r="Y57" i="17"/>
  <c r="Y72" i="17"/>
  <c r="Z121" i="17"/>
  <c r="Z53" i="17"/>
  <c r="AN354" i="17"/>
  <c r="L15" i="12"/>
  <c r="Y140" i="17"/>
  <c r="M106" i="17"/>
  <c r="Y196" i="17"/>
  <c r="M75" i="17"/>
  <c r="Z275" i="17"/>
  <c r="X187" i="17"/>
  <c r="AO187" i="17" s="1"/>
  <c r="Z54" i="17"/>
  <c r="AB139" i="17"/>
  <c r="F15" i="12"/>
  <c r="AI269" i="17"/>
  <c r="AE15" i="12"/>
  <c r="M333" i="17"/>
  <c r="X295" i="17"/>
  <c r="AO295" i="17" s="1"/>
  <c r="Y130" i="17"/>
  <c r="Z246" i="17"/>
  <c r="X361" i="17"/>
  <c r="AO361" i="17" s="1"/>
  <c r="X71" i="17"/>
  <c r="AO71" i="17" s="1"/>
  <c r="Z347" i="17"/>
  <c r="AN311" i="17"/>
  <c r="Z363" i="17"/>
  <c r="X356" i="17"/>
  <c r="AO356" i="17" s="1"/>
  <c r="X127" i="17"/>
  <c r="AO127" i="17" s="1"/>
  <c r="AB162" i="17"/>
  <c r="M167" i="17"/>
  <c r="Y291" i="17"/>
  <c r="Z369" i="17"/>
  <c r="M62" i="17"/>
  <c r="M159" i="17"/>
  <c r="X177" i="17"/>
  <c r="AO177" i="17" s="1"/>
  <c r="Y126" i="17"/>
  <c r="N337" i="17"/>
  <c r="AI265" i="17"/>
  <c r="Z132" i="17"/>
  <c r="AN129" i="17"/>
  <c r="R21" i="12"/>
  <c r="Z327" i="17"/>
  <c r="AI168" i="17"/>
  <c r="Y165" i="17"/>
  <c r="Y164" i="17"/>
  <c r="Z160" i="17"/>
  <c r="AI104" i="17"/>
  <c r="N158" i="17"/>
  <c r="M176" i="17"/>
  <c r="AB58" i="17"/>
  <c r="X139" i="17"/>
  <c r="AO139" i="17" s="1"/>
  <c r="M142" i="17"/>
  <c r="N68" i="17"/>
  <c r="AB279" i="17"/>
  <c r="M147" i="17"/>
  <c r="N54" i="17"/>
  <c r="N172" i="17"/>
  <c r="B21" i="12"/>
  <c r="AI61" i="17"/>
  <c r="M339" i="17"/>
  <c r="X100" i="17"/>
  <c r="AO100" i="17" s="1"/>
  <c r="AN104" i="17"/>
  <c r="Z245" i="17"/>
  <c r="Y301" i="17"/>
  <c r="Y144" i="17"/>
  <c r="M307" i="17"/>
  <c r="X179" i="17"/>
  <c r="AO179" i="17" s="1"/>
  <c r="M197" i="17"/>
  <c r="Z351" i="17"/>
  <c r="M177" i="17"/>
  <c r="N66" i="17"/>
  <c r="N286" i="17"/>
  <c r="N240" i="17"/>
  <c r="Z289" i="17"/>
  <c r="M148" i="17"/>
  <c r="AB123" i="17"/>
  <c r="N294" i="17"/>
  <c r="S15" i="12"/>
  <c r="Z231" i="17"/>
  <c r="N21" i="12"/>
  <c r="Z134" i="17"/>
  <c r="Y103" i="17"/>
  <c r="AI107" i="17"/>
  <c r="Z333" i="17"/>
  <c r="N169" i="17"/>
  <c r="N369" i="17"/>
  <c r="X104" i="17"/>
  <c r="AO104" i="17" s="1"/>
  <c r="Z295" i="17"/>
  <c r="X143" i="17"/>
  <c r="AO143" i="17" s="1"/>
  <c r="AB71" i="17"/>
  <c r="Z91" i="17"/>
  <c r="X63" i="17"/>
  <c r="AO63" i="17" s="1"/>
  <c r="M111" i="17"/>
  <c r="AN235" i="17"/>
  <c r="K15" i="12"/>
  <c r="X305" i="17"/>
  <c r="AO305" i="17" s="1"/>
  <c r="Z154" i="17"/>
  <c r="Y113" i="17"/>
  <c r="AI368" i="17"/>
  <c r="Y159" i="17"/>
  <c r="AN280" i="17"/>
  <c r="Z234" i="17"/>
  <c r="AB286" i="17"/>
  <c r="Z96" i="17"/>
  <c r="AI290" i="17"/>
  <c r="Y300" i="17"/>
  <c r="Y80" i="17"/>
  <c r="Y224" i="17"/>
  <c r="N55" i="17"/>
  <c r="M347" i="17"/>
  <c r="N146" i="17"/>
  <c r="AN15" i="12"/>
  <c r="N78" i="17"/>
  <c r="N303" i="17"/>
  <c r="Y212" i="17"/>
  <c r="AB290" i="17"/>
  <c r="M115" i="17"/>
  <c r="N340" i="17"/>
  <c r="N76" i="17"/>
  <c r="Y160" i="17"/>
  <c r="Z66" i="17"/>
  <c r="N138" i="17"/>
  <c r="M254" i="17"/>
  <c r="Z175" i="17"/>
  <c r="X99" i="17"/>
  <c r="AO99" i="17" s="1"/>
  <c r="AN145" i="17"/>
  <c r="AN331" i="17"/>
  <c r="N64" i="17"/>
  <c r="Y110" i="17"/>
  <c r="Z342" i="17"/>
  <c r="Z308" i="17"/>
  <c r="AN213" i="17"/>
  <c r="Z116" i="17"/>
  <c r="M321" i="17"/>
  <c r="AI358" i="17"/>
  <c r="X264" i="17"/>
  <c r="AO264" i="17" s="1"/>
  <c r="X341" i="17"/>
  <c r="AO341" i="17" s="1"/>
  <c r="M360" i="17"/>
  <c r="AA21" i="12"/>
  <c r="Y56" i="17"/>
  <c r="M145" i="17"/>
  <c r="Y365" i="17"/>
  <c r="N186" i="17"/>
  <c r="Z138" i="17"/>
  <c r="N201" i="17"/>
  <c r="N71" i="17"/>
  <c r="Z163" i="17"/>
  <c r="AI286" i="17"/>
  <c r="AN212" i="17"/>
  <c r="Y123" i="17"/>
  <c r="N353" i="17"/>
  <c r="X65" i="17"/>
  <c r="AO65" i="17" s="1"/>
  <c r="AB361" i="17"/>
  <c r="AN309" i="17"/>
  <c r="R15" i="12"/>
  <c r="AN89" i="17"/>
  <c r="M164" i="17"/>
  <c r="N89" i="17"/>
  <c r="Y326" i="17"/>
  <c r="N65" i="17"/>
  <c r="AB368" i="17"/>
  <c r="Y179" i="17"/>
  <c r="AN268" i="17"/>
  <c r="Z124" i="17"/>
  <c r="AB367" i="17"/>
  <c r="Z186" i="17"/>
  <c r="Z131" i="17"/>
  <c r="Y63" i="17"/>
  <c r="AN107" i="17"/>
  <c r="X280" i="17"/>
  <c r="AO280" i="17" s="1"/>
  <c r="N133" i="17"/>
  <c r="X344" i="17"/>
  <c r="AO344" i="17" s="1"/>
  <c r="M346" i="17"/>
  <c r="Y360" i="17"/>
  <c r="X125" i="17"/>
  <c r="AO125" i="17" s="1"/>
  <c r="M160" i="17"/>
  <c r="E21" i="12"/>
  <c r="N85" i="17"/>
  <c r="P21" i="12"/>
  <c r="M178" i="17"/>
  <c r="AN303" i="17"/>
  <c r="Z135" i="17"/>
  <c r="AI188" i="17"/>
  <c r="M83" i="17"/>
  <c r="M340" i="17"/>
  <c r="N87" i="17"/>
  <c r="X304" i="17"/>
  <c r="AO304" i="17" s="1"/>
  <c r="Y187" i="17"/>
  <c r="M151" i="17"/>
  <c r="Y112" i="17"/>
  <c r="AB336" i="17"/>
  <c r="M366" i="17"/>
  <c r="Z155" i="17"/>
  <c r="Y74" i="17"/>
  <c r="N212" i="17"/>
  <c r="AB289" i="17"/>
  <c r="Y127" i="17"/>
  <c r="M163" i="17"/>
  <c r="Z100" i="17"/>
  <c r="N131" i="17"/>
  <c r="AI311" i="17"/>
  <c r="Y120" i="17"/>
  <c r="Y122" i="17"/>
  <c r="AN363" i="17"/>
  <c r="Y168" i="17"/>
  <c r="AI55" i="17"/>
  <c r="Y170" i="17"/>
  <c r="Y111" i="17"/>
  <c r="AB350" i="17"/>
  <c r="N187" i="17"/>
  <c r="AB134" i="17"/>
  <c r="AI314" i="17"/>
  <c r="N97" i="17"/>
  <c r="N329" i="17"/>
  <c r="Z128" i="17"/>
  <c r="Z127" i="17"/>
  <c r="Y102" i="17"/>
  <c r="Z177" i="17"/>
  <c r="Y348" i="17"/>
  <c r="AN118" i="17"/>
  <c r="N322" i="17"/>
  <c r="Z110" i="17"/>
  <c r="AI307" i="17"/>
  <c r="AF21" i="12"/>
  <c r="X118" i="17"/>
  <c r="AO118" i="17" s="1"/>
  <c r="AI288" i="17"/>
  <c r="Y121" i="17"/>
  <c r="M289" i="17"/>
  <c r="N139" i="17"/>
  <c r="M322" i="17"/>
  <c r="N122" i="17"/>
  <c r="M190" i="17"/>
  <c r="M114" i="17"/>
  <c r="N338" i="17"/>
  <c r="M166" i="17"/>
  <c r="X274" i="17"/>
  <c r="AO274" i="17" s="1"/>
  <c r="X130" i="17"/>
  <c r="AO130" i="17" s="1"/>
  <c r="AB321" i="17"/>
  <c r="Z93" i="17"/>
  <c r="J15" i="12"/>
  <c r="X126" i="17"/>
  <c r="AO126" i="17" s="1"/>
  <c r="M100" i="17"/>
  <c r="AI143" i="17"/>
  <c r="N183" i="17"/>
  <c r="AI191" i="17"/>
  <c r="N90" i="17"/>
  <c r="N185" i="17"/>
  <c r="N157" i="17"/>
  <c r="M261" i="17"/>
  <c r="Y356" i="17"/>
  <c r="AN364" i="17"/>
  <c r="N326" i="17"/>
  <c r="N59" i="17"/>
  <c r="M113" i="17"/>
  <c r="Z168" i="17"/>
  <c r="M129" i="17"/>
  <c r="AI149" i="17"/>
  <c r="X155" i="17"/>
  <c r="AO155" i="17" s="1"/>
  <c r="X311" i="17"/>
  <c r="AO311" i="17" s="1"/>
  <c r="Z103" i="17"/>
  <c r="AN148" i="17"/>
  <c r="Y333" i="17"/>
  <c r="Y138" i="17"/>
  <c r="AN350" i="17"/>
  <c r="S4" i="9"/>
  <c r="AB352" i="17"/>
  <c r="N112" i="17"/>
  <c r="AI204" i="17"/>
  <c r="AN120" i="17"/>
  <c r="AN146" i="17"/>
  <c r="N125" i="17"/>
  <c r="X189" i="17"/>
  <c r="AO189" i="17" s="1"/>
  <c r="Y152" i="17"/>
  <c r="Z149" i="17"/>
  <c r="AB288" i="17"/>
  <c r="Z306" i="17"/>
  <c r="Z78" i="17"/>
  <c r="N111" i="17"/>
  <c r="M199" i="17"/>
  <c r="Y235" i="17"/>
  <c r="Z107" i="17"/>
  <c r="AB243" i="17"/>
  <c r="Z104" i="17"/>
  <c r="X244" i="17"/>
  <c r="AO244" i="17" s="1"/>
  <c r="AG21" i="12"/>
  <c r="AB136" i="17"/>
  <c r="AI80" i="17"/>
  <c r="M334" i="17"/>
  <c r="AN219" i="17"/>
  <c r="X97" i="17"/>
  <c r="AO97" i="17" s="1"/>
  <c r="X115" i="17"/>
  <c r="AO115" i="17" s="1"/>
  <c r="N91" i="17"/>
  <c r="Y64" i="17"/>
  <c r="N137" i="17"/>
  <c r="N107" i="17"/>
  <c r="N67" i="17"/>
  <c r="Z286" i="17"/>
  <c r="Y108" i="17"/>
  <c r="Z111" i="17"/>
  <c r="N299" i="17"/>
  <c r="X66" i="17"/>
  <c r="L21" i="12"/>
  <c r="Z316" i="17"/>
  <c r="Y79" i="17"/>
  <c r="AI335" i="17"/>
  <c r="X185" i="17"/>
  <c r="AO185" i="17" s="1"/>
  <c r="AB299" i="17"/>
  <c r="Z162" i="17"/>
  <c r="AI336" i="17"/>
  <c r="AC15" i="12"/>
  <c r="Y148" i="17"/>
  <c r="Z92" i="17"/>
  <c r="Z172" i="17"/>
  <c r="M109" i="17"/>
  <c r="AI15" i="12"/>
  <c r="AI363" i="17"/>
  <c r="AI151" i="17"/>
  <c r="Y91" i="17"/>
  <c r="Z307" i="17"/>
  <c r="N176" i="17"/>
  <c r="X90" i="17"/>
  <c r="AO90" i="17" s="1"/>
  <c r="M356" i="17"/>
  <c r="N141" i="17"/>
  <c r="N307" i="17"/>
  <c r="X92" i="17"/>
  <c r="AO92" i="17" s="1"/>
  <c r="AI196" i="17"/>
  <c r="AN356" i="17"/>
  <c r="M169" i="17"/>
  <c r="AI76" i="17"/>
  <c r="Z179" i="17"/>
  <c r="N327" i="17"/>
  <c r="AN344" i="17"/>
  <c r="Y169" i="17"/>
  <c r="AI341" i="17"/>
  <c r="M101" i="17"/>
  <c r="AB98" i="17"/>
  <c r="Z164" i="17"/>
  <c r="Y352" i="17"/>
  <c r="Y95" i="17"/>
  <c r="D15" i="12"/>
  <c r="N237" i="17"/>
  <c r="AB359" i="17"/>
  <c r="Z261" i="17"/>
  <c r="N156" i="17"/>
  <c r="X59" i="17"/>
  <c r="AO59" i="17" s="1"/>
  <c r="X352" i="17"/>
  <c r="AO352" i="17" s="1"/>
  <c r="N98" i="17"/>
  <c r="I15" i="12"/>
  <c r="Z249" i="17"/>
  <c r="X111" i="17"/>
  <c r="AO111" i="17" s="1"/>
  <c r="AB284" i="17"/>
  <c r="AI181" i="17"/>
  <c r="Z60" i="17"/>
  <c r="Z169" i="17"/>
  <c r="Z87" i="17"/>
  <c r="Y21" i="12"/>
  <c r="AN299" i="17"/>
  <c r="M251" i="17"/>
  <c r="X180" i="17"/>
  <c r="AO180" i="17" s="1"/>
  <c r="AI230" i="17"/>
  <c r="N305" i="17"/>
  <c r="M112" i="17"/>
  <c r="N181" i="17"/>
  <c r="X108" i="17"/>
  <c r="AO108" i="17" s="1"/>
  <c r="N367" i="17"/>
  <c r="AB94" i="17"/>
  <c r="N149" i="17"/>
  <c r="AN300" i="17"/>
  <c r="X158" i="17"/>
  <c r="AO158" i="17" s="1"/>
  <c r="AI225" i="17"/>
  <c r="N114" i="17"/>
  <c r="M248" i="17"/>
  <c r="Y254" i="17"/>
  <c r="N102" i="17"/>
  <c r="Z119" i="17"/>
  <c r="AI261" i="17"/>
  <c r="M107" i="17"/>
  <c r="N164" i="17"/>
  <c r="N145" i="17"/>
  <c r="Z79" i="17"/>
  <c r="N163" i="17"/>
  <c r="Y368" i="17"/>
  <c r="Z140" i="17"/>
  <c r="X129" i="17"/>
  <c r="AO129" i="17" s="1"/>
  <c r="M130" i="17"/>
  <c r="N99" i="17"/>
  <c r="N100" i="17"/>
  <c r="Y147" i="17"/>
  <c r="Z151" i="17"/>
  <c r="Y190" i="17"/>
  <c r="AI329" i="17"/>
  <c r="X345" i="17"/>
  <c r="AO345" i="17" s="1"/>
  <c r="AN291" i="17"/>
  <c r="N104" i="17"/>
  <c r="M82" i="17"/>
  <c r="M66" i="17"/>
  <c r="AG15" i="12"/>
  <c r="AO41" i="17" l="1"/>
  <c r="D39" i="11"/>
  <c r="AO68" i="17"/>
  <c r="D37" i="11"/>
  <c r="AO66" i="17"/>
  <c r="D38" i="11"/>
  <c r="AA200" i="17"/>
  <c r="AA205" i="17"/>
  <c r="AA229" i="17"/>
  <c r="AA235" i="17"/>
  <c r="AA251" i="17"/>
  <c r="Q20" i="18"/>
  <c r="U20" i="18" s="1"/>
  <c r="X20" i="18" s="1"/>
  <c r="Q22" i="18"/>
  <c r="U22" i="18" s="1"/>
  <c r="X22" i="18" s="1"/>
  <c r="Q23" i="18"/>
  <c r="U23" i="18" s="1"/>
  <c r="X23" i="18" s="1"/>
  <c r="Z23" i="18"/>
  <c r="Q43" i="18"/>
  <c r="U43" i="18" s="1"/>
  <c r="X43" i="18" s="1"/>
  <c r="Z27" i="18"/>
  <c r="Z47" i="18"/>
  <c r="Z20" i="18"/>
  <c r="Z28" i="18"/>
  <c r="Q30" i="18"/>
  <c r="U30" i="18" s="1"/>
  <c r="X30" i="18" s="1"/>
  <c r="Q18" i="18"/>
  <c r="U18" i="18" s="1"/>
  <c r="X18" i="18" s="1"/>
  <c r="Z32" i="18"/>
  <c r="Z48" i="18"/>
  <c r="Z25" i="18"/>
  <c r="Z44" i="18"/>
  <c r="Z38" i="18"/>
  <c r="Z24" i="18"/>
  <c r="Z40" i="18"/>
  <c r="Z46" i="18"/>
  <c r="Q34" i="18"/>
  <c r="U34" i="18" s="1"/>
  <c r="X34" i="18" s="1"/>
  <c r="Q49" i="18"/>
  <c r="U49" i="18" s="1"/>
  <c r="X49" i="18" s="1"/>
  <c r="Q40" i="18"/>
  <c r="U40" i="18" s="1"/>
  <c r="X40" i="18" s="1"/>
  <c r="Q29" i="18"/>
  <c r="U29" i="18" s="1"/>
  <c r="X29" i="18" s="1"/>
  <c r="Q15" i="18"/>
  <c r="U15" i="18" s="1"/>
  <c r="X15" i="18" s="1"/>
  <c r="Q47" i="18"/>
  <c r="U47" i="18" s="1"/>
  <c r="X47" i="18" s="1"/>
  <c r="Z43" i="18"/>
  <c r="Z41" i="18"/>
  <c r="Z13" i="18"/>
  <c r="Q25" i="18"/>
  <c r="U25" i="18" s="1"/>
  <c r="X25" i="18" s="1"/>
  <c r="Z18" i="18"/>
  <c r="Q14" i="18"/>
  <c r="U14" i="18" s="1"/>
  <c r="Q31" i="18"/>
  <c r="U31" i="18" s="1"/>
  <c r="X31" i="18" s="1"/>
  <c r="Q35" i="18"/>
  <c r="U35" i="18" s="1"/>
  <c r="X35" i="18" s="1"/>
  <c r="Z42" i="18"/>
  <c r="Z34" i="18"/>
  <c r="Q44" i="18"/>
  <c r="U44" i="18" s="1"/>
  <c r="X44" i="18" s="1"/>
  <c r="Z30" i="18"/>
  <c r="Z33" i="18"/>
  <c r="Z12" i="18"/>
  <c r="Q16" i="18"/>
  <c r="U16" i="18" s="1"/>
  <c r="X16" i="18" s="1"/>
  <c r="Q11" i="18"/>
  <c r="U11" i="18" s="1"/>
  <c r="Z16" i="18"/>
  <c r="Z37" i="18"/>
  <c r="Q26" i="18"/>
  <c r="U26" i="18" s="1"/>
  <c r="Q48" i="18"/>
  <c r="U48" i="18" s="1"/>
  <c r="X48" i="18" s="1"/>
  <c r="Z31" i="18"/>
  <c r="Z49" i="18"/>
  <c r="Z36" i="18"/>
  <c r="Z45" i="18"/>
  <c r="Z29" i="18"/>
  <c r="Z39" i="18"/>
  <c r="Q12" i="18"/>
  <c r="U12" i="18" s="1"/>
  <c r="X12" i="18" s="1"/>
  <c r="Q13" i="18"/>
  <c r="U13" i="18" s="1"/>
  <c r="X13" i="18" s="1"/>
  <c r="Z22" i="18"/>
  <c r="Z26" i="18"/>
  <c r="Z21" i="18"/>
  <c r="Q46" i="18"/>
  <c r="U46" i="18" s="1"/>
  <c r="X46" i="18" s="1"/>
  <c r="Q39" i="18"/>
  <c r="U39" i="18" s="1"/>
  <c r="X39" i="18" s="1"/>
  <c r="Q42" i="18"/>
  <c r="U42" i="18" s="1"/>
  <c r="X42" i="18" s="1"/>
  <c r="Q33" i="18"/>
  <c r="U33" i="18" s="1"/>
  <c r="X33" i="18" s="1"/>
  <c r="Z11" i="18"/>
  <c r="Q27" i="18"/>
  <c r="U27" i="18" s="1"/>
  <c r="X27" i="18" s="1"/>
  <c r="Z19" i="18"/>
  <c r="Q17" i="18"/>
  <c r="U17" i="18" s="1"/>
  <c r="X17" i="18" s="1"/>
  <c r="Z14" i="18"/>
  <c r="Q28" i="18"/>
  <c r="U28" i="18" s="1"/>
  <c r="X28" i="18" s="1"/>
  <c r="Q36" i="18"/>
  <c r="U36" i="18" s="1"/>
  <c r="X36" i="18" s="1"/>
  <c r="Q32" i="18"/>
  <c r="U32" i="18" s="1"/>
  <c r="X32" i="18" s="1"/>
  <c r="Z35" i="18"/>
  <c r="Q24" i="18"/>
  <c r="U24" i="18" s="1"/>
  <c r="X24" i="18" s="1"/>
  <c r="Q45" i="18"/>
  <c r="U45" i="18" s="1"/>
  <c r="X45" i="18" s="1"/>
  <c r="Q37" i="18"/>
  <c r="U37" i="18" s="1"/>
  <c r="X37" i="18" s="1"/>
  <c r="Z15" i="18"/>
  <c r="Q19" i="18"/>
  <c r="U19" i="18" s="1"/>
  <c r="X19" i="18" s="1"/>
  <c r="Q38" i="18"/>
  <c r="U38" i="18" s="1"/>
  <c r="AA258" i="17"/>
  <c r="P258" i="17" s="1"/>
  <c r="AA337" i="17"/>
  <c r="AA210" i="17"/>
  <c r="AA267" i="17"/>
  <c r="AA324" i="17"/>
  <c r="AA291" i="17"/>
  <c r="AA56" i="17"/>
  <c r="AA298" i="17"/>
  <c r="AA340" i="17"/>
  <c r="P340" i="17" s="1"/>
  <c r="AA265" i="17"/>
  <c r="AA84" i="17"/>
  <c r="AA270" i="17"/>
  <c r="AA63" i="17"/>
  <c r="AA67" i="17"/>
  <c r="AA233" i="17"/>
  <c r="R233" i="17" s="1"/>
  <c r="AA274" i="17"/>
  <c r="AA253" i="17"/>
  <c r="AA180" i="17"/>
  <c r="AA305" i="17"/>
  <c r="AA223" i="17"/>
  <c r="AA280" i="17"/>
  <c r="AA257" i="17"/>
  <c r="W257" i="17" s="1"/>
  <c r="C37" i="11"/>
  <c r="Q4" i="10"/>
  <c r="C39" i="11" s="1"/>
  <c r="R4" i="10"/>
  <c r="D33" i="11" s="1"/>
  <c r="E33" i="11" s="1"/>
  <c r="U4" i="9"/>
  <c r="D32" i="11" s="1"/>
  <c r="E32" i="11" s="1"/>
  <c r="D31" i="11"/>
  <c r="E31" i="11" s="1"/>
  <c r="D34" i="11"/>
  <c r="E34" i="11" s="1"/>
  <c r="D4" i="10"/>
  <c r="D15" i="11" s="1"/>
  <c r="E15" i="11" s="1"/>
  <c r="D18" i="9"/>
  <c r="D13" i="11"/>
  <c r="E13" i="11" s="1"/>
  <c r="D11" i="9"/>
  <c r="AA211" i="17"/>
  <c r="AA301" i="17"/>
  <c r="W301" i="17" s="1"/>
  <c r="AA322" i="17"/>
  <c r="R322" i="17" s="1"/>
  <c r="AA338" i="17"/>
  <c r="Q338" i="17" s="1"/>
  <c r="AA41" i="17"/>
  <c r="P41" i="17" s="1"/>
  <c r="AA315" i="17"/>
  <c r="Q315" i="17" s="1"/>
  <c r="AA121" i="17"/>
  <c r="P121" i="17" s="1"/>
  <c r="AA152" i="17"/>
  <c r="W152" i="17" s="1"/>
  <c r="AA105" i="17"/>
  <c r="W105" i="17" s="1"/>
  <c r="AA345" i="17"/>
  <c r="R345" i="17" s="1"/>
  <c r="AA71" i="17"/>
  <c r="W71" i="17" s="1"/>
  <c r="AA333" i="17"/>
  <c r="R333" i="17" s="1"/>
  <c r="AA112" i="17"/>
  <c r="W112" i="17" s="1"/>
  <c r="AA123" i="17"/>
  <c r="W123" i="17" s="1"/>
  <c r="AA318" i="17"/>
  <c r="AA171" i="17"/>
  <c r="W171" i="17" s="1"/>
  <c r="AA191" i="17"/>
  <c r="R191" i="17" s="1"/>
  <c r="AA246" i="17"/>
  <c r="AA221" i="17"/>
  <c r="Q221" i="17" s="1"/>
  <c r="AA201" i="17"/>
  <c r="R201" i="17" s="1"/>
  <c r="AA268" i="17"/>
  <c r="Q268" i="17" s="1"/>
  <c r="AA197" i="17"/>
  <c r="R197" i="17" s="1"/>
  <c r="AA255" i="17"/>
  <c r="AA48" i="17"/>
  <c r="W48" i="17" s="1"/>
  <c r="AA222" i="17"/>
  <c r="AA219" i="17"/>
  <c r="AA157" i="17"/>
  <c r="W157" i="17" s="1"/>
  <c r="AA158" i="17"/>
  <c r="W158" i="17" s="1"/>
  <c r="AA243" i="17"/>
  <c r="AA82" i="17"/>
  <c r="W82" i="17" s="1"/>
  <c r="AA52" i="17"/>
  <c r="P52" i="17" s="1"/>
  <c r="AA368" i="17"/>
  <c r="P368" i="17" s="1"/>
  <c r="AA360" i="17"/>
  <c r="R360" i="17" s="1"/>
  <c r="AA224" i="17"/>
  <c r="AA49" i="17"/>
  <c r="W49" i="17" s="1"/>
  <c r="AA122" i="17"/>
  <c r="Q122" i="17" s="1"/>
  <c r="AA212" i="17"/>
  <c r="R212" i="17" s="1"/>
  <c r="AA150" i="17"/>
  <c r="AA341" i="17"/>
  <c r="AA266" i="17"/>
  <c r="P266" i="17" s="1"/>
  <c r="AA203" i="17"/>
  <c r="W203" i="17" s="1"/>
  <c r="AA355" i="17"/>
  <c r="AA230" i="17"/>
  <c r="W230" i="17" s="1"/>
  <c r="AA51" i="17"/>
  <c r="Q51" i="17" s="1"/>
  <c r="AA225" i="17"/>
  <c r="AA313" i="17"/>
  <c r="W313" i="17" s="1"/>
  <c r="AA170" i="17"/>
  <c r="AA326" i="17"/>
  <c r="W326" i="17" s="1"/>
  <c r="AA141" i="17"/>
  <c r="Q141" i="17" s="1"/>
  <c r="AA174" i="17"/>
  <c r="Q174" i="17" s="1"/>
  <c r="AA94" i="17"/>
  <c r="R94" i="17" s="1"/>
  <c r="AA98" i="17"/>
  <c r="W98" i="17" s="1"/>
  <c r="AA250" i="17"/>
  <c r="W250" i="17" s="1"/>
  <c r="AA42" i="17"/>
  <c r="AA45" i="17"/>
  <c r="AA50" i="17"/>
  <c r="AA44" i="17"/>
  <c r="AA352" i="17"/>
  <c r="P352" i="17" s="1"/>
  <c r="AA47" i="17"/>
  <c r="AA348" i="17"/>
  <c r="W348" i="17" s="1"/>
  <c r="AA104" i="17"/>
  <c r="P104" i="17" s="1"/>
  <c r="AA299" i="17"/>
  <c r="AA103" i="17"/>
  <c r="W103" i="17" s="1"/>
  <c r="AA183" i="17"/>
  <c r="W183" i="17" s="1"/>
  <c r="AA282" i="17"/>
  <c r="W282" i="17" s="1"/>
  <c r="AA325" i="17"/>
  <c r="Q325" i="17" s="1"/>
  <c r="AA108" i="17"/>
  <c r="P108" i="17" s="1"/>
  <c r="AA80" i="17"/>
  <c r="W80" i="17" s="1"/>
  <c r="AA269" i="17"/>
  <c r="AA287" i="17"/>
  <c r="P287" i="17" s="1"/>
  <c r="AA87" i="17"/>
  <c r="W87" i="17" s="1"/>
  <c r="AA232" i="17"/>
  <c r="W232" i="17" s="1"/>
  <c r="AA102" i="17"/>
  <c r="W102" i="17" s="1"/>
  <c r="AA236" i="17"/>
  <c r="P236" i="17" s="1"/>
  <c r="AA88" i="17"/>
  <c r="P88" i="17" s="1"/>
  <c r="AA310" i="17"/>
  <c r="Q310" i="17" s="1"/>
  <c r="AA46" i="17"/>
  <c r="AA43" i="17"/>
  <c r="AA146" i="17"/>
  <c r="R146" i="17" s="1"/>
  <c r="AA190" i="17"/>
  <c r="R190" i="17" s="1"/>
  <c r="AA138" i="17"/>
  <c r="R138" i="17" s="1"/>
  <c r="AA140" i="17"/>
  <c r="W140" i="17" s="1"/>
  <c r="AA178" i="17"/>
  <c r="R178" i="17" s="1"/>
  <c r="AA214" i="17"/>
  <c r="R214" i="17" s="1"/>
  <c r="AA343" i="17"/>
  <c r="Q343" i="17" s="1"/>
  <c r="AA276" i="17"/>
  <c r="R276" i="17" s="1"/>
  <c r="AA238" i="17"/>
  <c r="Q238" i="17" s="1"/>
  <c r="AA254" i="17"/>
  <c r="R254" i="17" s="1"/>
  <c r="AA64" i="17"/>
  <c r="P64" i="17" s="1"/>
  <c r="AA369" i="17"/>
  <c r="W369" i="17" s="1"/>
  <c r="AA97" i="17"/>
  <c r="R97" i="17" s="1"/>
  <c r="AA142" i="17"/>
  <c r="W142" i="17" s="1"/>
  <c r="AA302" i="17"/>
  <c r="W302" i="17" s="1"/>
  <c r="Q59" i="18"/>
  <c r="U59" i="18" s="1"/>
  <c r="X59" i="18" s="1"/>
  <c r="AA213" i="17"/>
  <c r="W213" i="17" s="1"/>
  <c r="AA61" i="17"/>
  <c r="W61" i="17" s="1"/>
  <c r="AA317" i="17"/>
  <c r="P317" i="17" s="1"/>
  <c r="AA195" i="17"/>
  <c r="W195" i="17" s="1"/>
  <c r="AA278" i="17"/>
  <c r="R278" i="17" s="1"/>
  <c r="AA247" i="17"/>
  <c r="W247" i="17" s="1"/>
  <c r="AA356" i="17"/>
  <c r="P356" i="17" s="1"/>
  <c r="AA120" i="17"/>
  <c r="W120" i="17" s="1"/>
  <c r="AA74" i="17"/>
  <c r="R74" i="17" s="1"/>
  <c r="AA300" i="17"/>
  <c r="W300" i="17" s="1"/>
  <c r="AA113" i="17"/>
  <c r="P113" i="17" s="1"/>
  <c r="AA154" i="17"/>
  <c r="W154" i="17" s="1"/>
  <c r="AA155" i="17"/>
  <c r="Q155" i="17" s="1"/>
  <c r="AA166" i="17"/>
  <c r="W166" i="17" s="1"/>
  <c r="AA189" i="17"/>
  <c r="R189" i="17" s="1"/>
  <c r="AA53" i="17"/>
  <c r="W53" i="17" s="1"/>
  <c r="AA344" i="17"/>
  <c r="Q344" i="17" s="1"/>
  <c r="AA188" i="17"/>
  <c r="R188" i="17" s="1"/>
  <c r="AA70" i="17"/>
  <c r="W70" i="17" s="1"/>
  <c r="AA124" i="17"/>
  <c r="W124" i="17" s="1"/>
  <c r="AA242" i="17"/>
  <c r="Q242" i="17" s="1"/>
  <c r="AA206" i="17"/>
  <c r="W206" i="17" s="1"/>
  <c r="AA226" i="17"/>
  <c r="Q226" i="17" s="1"/>
  <c r="AA354" i="17"/>
  <c r="Q354" i="17" s="1"/>
  <c r="AA134" i="17"/>
  <c r="W134" i="17" s="1"/>
  <c r="AA261" i="17"/>
  <c r="W261" i="17" s="1"/>
  <c r="AA66" i="17"/>
  <c r="W66" i="17" s="1"/>
  <c r="AA241" i="17"/>
  <c r="P241" i="17" s="1"/>
  <c r="AA365" i="17"/>
  <c r="W365" i="17" s="1"/>
  <c r="AA331" i="17"/>
  <c r="W331" i="17" s="1"/>
  <c r="AA293" i="17"/>
  <c r="Q293" i="17" s="1"/>
  <c r="AA272" i="17"/>
  <c r="W272" i="17" s="1"/>
  <c r="AA68" i="17"/>
  <c r="AA59" i="17"/>
  <c r="P59" i="17" s="1"/>
  <c r="AA209" i="17"/>
  <c r="W209" i="17" s="1"/>
  <c r="AA357" i="17"/>
  <c r="P357" i="17" s="1"/>
  <c r="AA89" i="17"/>
  <c r="P89" i="17" s="1"/>
  <c r="AA96" i="17"/>
  <c r="W96" i="17" s="1"/>
  <c r="AA279" i="17"/>
  <c r="Q279" i="17" s="1"/>
  <c r="AA129" i="17"/>
  <c r="R129" i="17" s="1"/>
  <c r="AA207" i="17"/>
  <c r="AA95" i="17"/>
  <c r="AA187" i="17"/>
  <c r="W187" i="17" s="1"/>
  <c r="AA165" i="17"/>
  <c r="R165" i="17" s="1"/>
  <c r="AA101" i="17"/>
  <c r="W101" i="17" s="1"/>
  <c r="AA78" i="17"/>
  <c r="AA90" i="17"/>
  <c r="AA217" i="17"/>
  <c r="AA100" i="17"/>
  <c r="AA228" i="17"/>
  <c r="Z58" i="18"/>
  <c r="AA179" i="17"/>
  <c r="AA286" i="17"/>
  <c r="AA289" i="17"/>
  <c r="AA363" i="17"/>
  <c r="AA93" i="17"/>
  <c r="AA55" i="17"/>
  <c r="AA284" i="17"/>
  <c r="AA307" i="17"/>
  <c r="AA297" i="17"/>
  <c r="AA245" i="17"/>
  <c r="AA79" i="17"/>
  <c r="AA110" i="17"/>
  <c r="AA144" i="17"/>
  <c r="AA196" i="17"/>
  <c r="AA57" i="17"/>
  <c r="AA118" i="17"/>
  <c r="AA73" i="17"/>
  <c r="AA328" i="17"/>
  <c r="AA92" i="17"/>
  <c r="AA77" i="17"/>
  <c r="AA109" i="17"/>
  <c r="AA75" i="17"/>
  <c r="AA60" i="17"/>
  <c r="AA172" i="17"/>
  <c r="AA359" i="17"/>
  <c r="AA347" i="17"/>
  <c r="AA119" i="17"/>
  <c r="Z55" i="18"/>
  <c r="AA163" i="17"/>
  <c r="AA334" i="17"/>
  <c r="AA335" i="17"/>
  <c r="AA175" i="17"/>
  <c r="AA153" i="17"/>
  <c r="AA125" i="17"/>
  <c r="AA362" i="17"/>
  <c r="AA329" i="17"/>
  <c r="AA351" i="17"/>
  <c r="AA167" i="17"/>
  <c r="AA237" i="17"/>
  <c r="AA162" i="17"/>
  <c r="AA194" i="17"/>
  <c r="AA76" i="17"/>
  <c r="AA309" i="17"/>
  <c r="AA330" i="17"/>
  <c r="AA332" i="17"/>
  <c r="AA303" i="17"/>
  <c r="AA283" i="17"/>
  <c r="AA151" i="17"/>
  <c r="D3" i="12"/>
  <c r="AA72" i="17"/>
  <c r="AA131" i="17"/>
  <c r="AA353" i="17"/>
  <c r="AA132" i="17"/>
  <c r="Z57" i="18"/>
  <c r="AA292" i="17"/>
  <c r="Z52" i="18"/>
  <c r="AA148" i="17"/>
  <c r="AA111" i="17"/>
  <c r="AA160" i="17"/>
  <c r="AA145" i="17"/>
  <c r="AA319" i="17"/>
  <c r="AA81" i="17"/>
  <c r="AA136" i="17"/>
  <c r="AA308" i="17"/>
  <c r="AA176" i="17"/>
  <c r="AA177" i="17"/>
  <c r="Q60" i="18"/>
  <c r="U60" i="18" s="1"/>
  <c r="X60" i="18" s="1"/>
  <c r="Z53" i="18"/>
  <c r="D4" i="9"/>
  <c r="D14" i="11" s="1"/>
  <c r="E14" i="11" s="1"/>
  <c r="Q51" i="18"/>
  <c r="AA143" i="17"/>
  <c r="AA350" i="17"/>
  <c r="AA156" i="17"/>
  <c r="AA262" i="17"/>
  <c r="AA295" i="17"/>
  <c r="AA198" i="17"/>
  <c r="AA220" i="17"/>
  <c r="AA275" i="17"/>
  <c r="AA342" i="17"/>
  <c r="AA202" i="17"/>
  <c r="AA139" i="17"/>
  <c r="AA161" i="17"/>
  <c r="AA285" i="17"/>
  <c r="AA346" i="17"/>
  <c r="AA321" i="17"/>
  <c r="AA271" i="17"/>
  <c r="AA128" i="17"/>
  <c r="Q58" i="18"/>
  <c r="U58" i="18" s="1"/>
  <c r="X58" i="18" s="1"/>
  <c r="AA294" i="17"/>
  <c r="AA135" i="17"/>
  <c r="AA288" i="17"/>
  <c r="AA231" i="17"/>
  <c r="Z60" i="18"/>
  <c r="AA260" i="17"/>
  <c r="AA192" i="17"/>
  <c r="AA208" i="17"/>
  <c r="AA114" i="17"/>
  <c r="AA366" i="17"/>
  <c r="AA199" i="17"/>
  <c r="AA281" i="17"/>
  <c r="AA116" i="17"/>
  <c r="AA327" i="17"/>
  <c r="AA361" i="17"/>
  <c r="AA62" i="17"/>
  <c r="T4" i="9"/>
  <c r="C38" i="11" s="1"/>
  <c r="AA239" i="17"/>
  <c r="AA296" i="17"/>
  <c r="AA273" i="17"/>
  <c r="Z56" i="18"/>
  <c r="AA256" i="17"/>
  <c r="AA215" i="17"/>
  <c r="AA252" i="17"/>
  <c r="AA169" i="17"/>
  <c r="AA91" i="17"/>
  <c r="AA184" i="17"/>
  <c r="AA149" i="17"/>
  <c r="AA106" i="17"/>
  <c r="Q54" i="18"/>
  <c r="U54" i="18" s="1"/>
  <c r="X54" i="18" s="1"/>
  <c r="AA311" i="17"/>
  <c r="AA216" i="17"/>
  <c r="AA186" i="17"/>
  <c r="AA277" i="17"/>
  <c r="AA65" i="17"/>
  <c r="Q52" i="18"/>
  <c r="U52" i="18" s="1"/>
  <c r="X52" i="18" s="1"/>
  <c r="AA147" i="17"/>
  <c r="AA168" i="17"/>
  <c r="AA127" i="17"/>
  <c r="AA164" i="17"/>
  <c r="AA54" i="17"/>
  <c r="AA58" i="17"/>
  <c r="AA316" i="17"/>
  <c r="AA137" i="17"/>
  <c r="AA259" i="17"/>
  <c r="AA99" i="17"/>
  <c r="AA306" i="17"/>
  <c r="Q56" i="18"/>
  <c r="U56" i="18" s="1"/>
  <c r="X56" i="18" s="1"/>
  <c r="AA133" i="17"/>
  <c r="AA364" i="17"/>
  <c r="AA349" i="17"/>
  <c r="AA107" i="17"/>
  <c r="AA115" i="17"/>
  <c r="AA185" i="17"/>
  <c r="W200" i="17"/>
  <c r="P200" i="17"/>
  <c r="Q200" i="17"/>
  <c r="R200" i="17"/>
  <c r="AA83" i="17"/>
  <c r="AA304" i="17"/>
  <c r="AA227" i="17"/>
  <c r="AA320" i="17"/>
  <c r="AA86" i="17"/>
  <c r="Z61" i="18"/>
  <c r="AA367" i="17"/>
  <c r="Q57" i="18"/>
  <c r="U57" i="18" s="1"/>
  <c r="X57" i="18" s="1"/>
  <c r="AA290" i="17"/>
  <c r="AA336" i="17"/>
  <c r="AA117" i="17"/>
  <c r="AA204" i="17"/>
  <c r="AA244" i="17"/>
  <c r="AA358" i="17"/>
  <c r="AA234" i="17"/>
  <c r="AA323" i="17"/>
  <c r="AA159" i="17"/>
  <c r="Q61" i="18"/>
  <c r="U61" i="18" s="1"/>
  <c r="X61" i="18" s="1"/>
  <c r="AA126" i="17"/>
  <c r="AA130" i="17"/>
  <c r="AA181" i="17"/>
  <c r="AA173" i="17"/>
  <c r="AA69" i="17"/>
  <c r="AA85" i="17"/>
  <c r="AO369" i="17"/>
  <c r="Q4" i="9"/>
  <c r="AA193" i="17"/>
  <c r="AA312" i="17"/>
  <c r="Z59" i="18"/>
  <c r="Q55" i="18"/>
  <c r="U55" i="18" s="1"/>
  <c r="X55" i="18" s="1"/>
  <c r="AA218" i="17"/>
  <c r="Q53" i="18"/>
  <c r="U53" i="18" s="1"/>
  <c r="X53" i="18" s="1"/>
  <c r="AA263" i="17"/>
  <c r="Z51" i="18"/>
  <c r="AA339" i="17"/>
  <c r="AA314" i="17"/>
  <c r="AA182" i="17"/>
  <c r="AA248" i="17"/>
  <c r="AA264" i="17"/>
  <c r="AA240" i="17"/>
  <c r="AA249" i="17"/>
  <c r="Z54" i="18"/>
  <c r="W205" i="17" l="1"/>
  <c r="R205" i="17"/>
  <c r="Q205" i="17"/>
  <c r="P205" i="17"/>
  <c r="O205" i="17" s="1"/>
  <c r="V4" i="9"/>
  <c r="D35" i="11" s="1"/>
  <c r="E35" i="11" s="1"/>
  <c r="S4" i="10"/>
  <c r="D36" i="11" s="1"/>
  <c r="E36" i="11" s="1"/>
  <c r="W251" i="17"/>
  <c r="R251" i="17"/>
  <c r="Q251" i="17"/>
  <c r="P251" i="17"/>
  <c r="W229" i="17"/>
  <c r="R229" i="17"/>
  <c r="Q229" i="17"/>
  <c r="P229" i="17"/>
  <c r="W235" i="17"/>
  <c r="R235" i="17"/>
  <c r="Q235" i="17"/>
  <c r="P235" i="17"/>
  <c r="X26" i="18"/>
  <c r="V26" i="18"/>
  <c r="Y26" i="18" s="1"/>
  <c r="V36" i="18"/>
  <c r="Y36" i="18" s="1"/>
  <c r="V27" i="18"/>
  <c r="Y27" i="18" s="1"/>
  <c r="V30" i="18"/>
  <c r="Y30" i="18" s="1"/>
  <c r="V32" i="18"/>
  <c r="Y32" i="18" s="1"/>
  <c r="V35" i="18"/>
  <c r="Y35" i="18" s="1"/>
  <c r="V29" i="18"/>
  <c r="Y29" i="18" s="1"/>
  <c r="V28" i="18"/>
  <c r="Y28" i="18" s="1"/>
  <c r="V33" i="18"/>
  <c r="Y33" i="18" s="1"/>
  <c r="V37" i="18"/>
  <c r="Y37" i="18" s="1"/>
  <c r="V31" i="18"/>
  <c r="Y31" i="18" s="1"/>
  <c r="V34" i="18"/>
  <c r="Y34" i="18" s="1"/>
  <c r="X11" i="18"/>
  <c r="V11" i="18"/>
  <c r="Y11" i="18" s="1"/>
  <c r="V12" i="18"/>
  <c r="Y12" i="18" s="1"/>
  <c r="V13" i="18"/>
  <c r="Y13" i="18" s="1"/>
  <c r="X14" i="18"/>
  <c r="V20" i="18"/>
  <c r="Y20" i="18" s="1"/>
  <c r="V22" i="18"/>
  <c r="Y22" i="18" s="1"/>
  <c r="V15" i="18"/>
  <c r="Y15" i="18" s="1"/>
  <c r="V19" i="18"/>
  <c r="Y19" i="18" s="1"/>
  <c r="V25" i="18"/>
  <c r="Y25" i="18" s="1"/>
  <c r="V16" i="18"/>
  <c r="Y16" i="18" s="1"/>
  <c r="V14" i="18"/>
  <c r="Y14" i="18" s="1"/>
  <c r="V23" i="18"/>
  <c r="Y23" i="18" s="1"/>
  <c r="V24" i="18"/>
  <c r="Y24" i="18" s="1"/>
  <c r="V21" i="18"/>
  <c r="Y21" i="18" s="1"/>
  <c r="V18" i="18"/>
  <c r="Y18" i="18" s="1"/>
  <c r="V17" i="18"/>
  <c r="Y17" i="18" s="1"/>
  <c r="AA25" i="18"/>
  <c r="AA18" i="18"/>
  <c r="AA23" i="18"/>
  <c r="AA22" i="18"/>
  <c r="AA17" i="18"/>
  <c r="AA20" i="18"/>
  <c r="AA24" i="18"/>
  <c r="AA14" i="18"/>
  <c r="AA21" i="18"/>
  <c r="AA19" i="18"/>
  <c r="AA16" i="18"/>
  <c r="AA15" i="18"/>
  <c r="AA11" i="18"/>
  <c r="AA12" i="18"/>
  <c r="AA13" i="18"/>
  <c r="AA39" i="18"/>
  <c r="AA49" i="18"/>
  <c r="AA40" i="18"/>
  <c r="AA47" i="18"/>
  <c r="AA48" i="18"/>
  <c r="AA41" i="18"/>
  <c r="AA42" i="18"/>
  <c r="AA45" i="18"/>
  <c r="AA46" i="18"/>
  <c r="AA44" i="18"/>
  <c r="AA43" i="18"/>
  <c r="AA38" i="18"/>
  <c r="X38" i="18"/>
  <c r="V40" i="18"/>
  <c r="Y40" i="18" s="1"/>
  <c r="V39" i="18"/>
  <c r="Y39" i="18" s="1"/>
  <c r="V44" i="18"/>
  <c r="Y44" i="18" s="1"/>
  <c r="V49" i="18"/>
  <c r="Y49" i="18" s="1"/>
  <c r="V43" i="18"/>
  <c r="Y43" i="18" s="1"/>
  <c r="V48" i="18"/>
  <c r="Y48" i="18" s="1"/>
  <c r="V47" i="18"/>
  <c r="Y47" i="18" s="1"/>
  <c r="V42" i="18"/>
  <c r="Y42" i="18" s="1"/>
  <c r="V46" i="18"/>
  <c r="Y46" i="18" s="1"/>
  <c r="V41" i="18"/>
  <c r="Y41" i="18" s="1"/>
  <c r="V38" i="18"/>
  <c r="Y38" i="18" s="1"/>
  <c r="V45" i="18"/>
  <c r="Y45" i="18" s="1"/>
  <c r="AA27" i="18"/>
  <c r="AA30" i="18"/>
  <c r="AA28" i="18"/>
  <c r="AA32" i="18"/>
  <c r="AA36" i="18"/>
  <c r="AA35" i="18"/>
  <c r="AA34" i="18"/>
  <c r="AA37" i="18"/>
  <c r="AA26" i="18"/>
  <c r="AA29" i="18"/>
  <c r="AA31" i="18"/>
  <c r="AA33" i="18"/>
  <c r="R258" i="17"/>
  <c r="W258" i="17"/>
  <c r="Q258" i="17"/>
  <c r="O258" i="17" s="1"/>
  <c r="W337" i="17"/>
  <c r="R337" i="17"/>
  <c r="Q337" i="17"/>
  <c r="P337" i="17"/>
  <c r="W210" i="17"/>
  <c r="R210" i="17"/>
  <c r="P210" i="17"/>
  <c r="Q210" i="17"/>
  <c r="W267" i="17"/>
  <c r="R267" i="17"/>
  <c r="P267" i="17"/>
  <c r="Q267" i="17"/>
  <c r="W324" i="17"/>
  <c r="Q324" i="17"/>
  <c r="P324" i="17"/>
  <c r="R324" i="17"/>
  <c r="W291" i="17"/>
  <c r="Q291" i="17"/>
  <c r="P291" i="17"/>
  <c r="R291" i="17"/>
  <c r="W56" i="17"/>
  <c r="R56" i="17"/>
  <c r="P56" i="17"/>
  <c r="Q56" i="17"/>
  <c r="W298" i="17"/>
  <c r="R298" i="17"/>
  <c r="Q298" i="17"/>
  <c r="P298" i="17"/>
  <c r="P265" i="17"/>
  <c r="Q265" i="17"/>
  <c r="W265" i="17"/>
  <c r="R265" i="17"/>
  <c r="Q84" i="17"/>
  <c r="W84" i="17"/>
  <c r="P84" i="17"/>
  <c r="R84" i="17"/>
  <c r="W270" i="17"/>
  <c r="Q270" i="17"/>
  <c r="R270" i="17"/>
  <c r="P270" i="17"/>
  <c r="R63" i="17"/>
  <c r="P63" i="17"/>
  <c r="Q63" i="17"/>
  <c r="W63" i="17"/>
  <c r="R67" i="17"/>
  <c r="W67" i="17"/>
  <c r="P67" i="17"/>
  <c r="Q67" i="17"/>
  <c r="P274" i="17"/>
  <c r="W274" i="17"/>
  <c r="R274" i="17"/>
  <c r="Q274" i="17"/>
  <c r="W253" i="17"/>
  <c r="P253" i="17"/>
  <c r="Q253" i="17"/>
  <c r="Q180" i="17"/>
  <c r="W180" i="17"/>
  <c r="R180" i="17"/>
  <c r="P180" i="17"/>
  <c r="W305" i="17"/>
  <c r="R305" i="17"/>
  <c r="Q305" i="17"/>
  <c r="P305" i="17"/>
  <c r="W223" i="17"/>
  <c r="Q223" i="17"/>
  <c r="P280" i="17"/>
  <c r="R280" i="17"/>
  <c r="Q280" i="17"/>
  <c r="W280" i="17"/>
  <c r="W340" i="17"/>
  <c r="R340" i="17"/>
  <c r="Q340" i="17"/>
  <c r="O340" i="17" s="1"/>
  <c r="R257" i="17"/>
  <c r="Q257" i="17"/>
  <c r="P257" i="17"/>
  <c r="P238" i="17"/>
  <c r="O238" i="17" s="1"/>
  <c r="W233" i="17"/>
  <c r="R253" i="17"/>
  <c r="P233" i="17"/>
  <c r="R238" i="17"/>
  <c r="Q233" i="17"/>
  <c r="P223" i="17"/>
  <c r="R223" i="17"/>
  <c r="W211" i="17"/>
  <c r="R211" i="17"/>
  <c r="Q211" i="17"/>
  <c r="P211" i="17"/>
  <c r="P68" i="17"/>
  <c r="Q68" i="17"/>
  <c r="P207" i="17"/>
  <c r="W207" i="17"/>
  <c r="R318" i="17"/>
  <c r="W318" i="17"/>
  <c r="P318" i="17"/>
  <c r="R246" i="17"/>
  <c r="W246" i="17"/>
  <c r="W255" i="17"/>
  <c r="Q255" i="17"/>
  <c r="R222" i="17"/>
  <c r="W222" i="17"/>
  <c r="P219" i="17"/>
  <c r="Q219" i="17"/>
  <c r="W243" i="17"/>
  <c r="Q243" i="17"/>
  <c r="P224" i="17"/>
  <c r="Q224" i="17"/>
  <c r="Q150" i="17"/>
  <c r="P150" i="17"/>
  <c r="R341" i="17"/>
  <c r="W341" i="17"/>
  <c r="P341" i="17"/>
  <c r="Q341" i="17"/>
  <c r="Q355" i="17"/>
  <c r="W355" i="17"/>
  <c r="R355" i="17"/>
  <c r="Q225" i="17"/>
  <c r="P225" i="17"/>
  <c r="W170" i="17"/>
  <c r="P170" i="17"/>
  <c r="W299" i="17"/>
  <c r="R299" i="17"/>
  <c r="Q299" i="17"/>
  <c r="P299" i="17"/>
  <c r="R269" i="17"/>
  <c r="W269" i="17"/>
  <c r="Q269" i="17"/>
  <c r="R95" i="17"/>
  <c r="W95" i="17"/>
  <c r="P279" i="17"/>
  <c r="O279" i="17" s="1"/>
  <c r="R207" i="17"/>
  <c r="W68" i="17"/>
  <c r="W238" i="17"/>
  <c r="P209" i="17"/>
  <c r="Q207" i="17"/>
  <c r="R123" i="17"/>
  <c r="Q82" i="17"/>
  <c r="P197" i="17"/>
  <c r="Q313" i="17"/>
  <c r="W315" i="17"/>
  <c r="P82" i="17"/>
  <c r="Q123" i="17"/>
  <c r="Q197" i="17"/>
  <c r="R313" i="17"/>
  <c r="P123" i="17"/>
  <c r="R82" i="17"/>
  <c r="W197" i="17"/>
  <c r="P313" i="17"/>
  <c r="R150" i="17"/>
  <c r="Q112" i="17"/>
  <c r="Q95" i="17"/>
  <c r="R59" i="17"/>
  <c r="R261" i="17"/>
  <c r="Q254" i="17"/>
  <c r="R68" i="17"/>
  <c r="R343" i="17"/>
  <c r="W146" i="17"/>
  <c r="W352" i="17"/>
  <c r="R224" i="17"/>
  <c r="R174" i="17"/>
  <c r="W224" i="17"/>
  <c r="W219" i="17"/>
  <c r="P301" i="17"/>
  <c r="P246" i="17"/>
  <c r="P355" i="17"/>
  <c r="Q246" i="17"/>
  <c r="Q352" i="17"/>
  <c r="O352" i="17" s="1"/>
  <c r="R219" i="17"/>
  <c r="P226" i="17"/>
  <c r="O226" i="17" s="1"/>
  <c r="R221" i="17"/>
  <c r="P322" i="17"/>
  <c r="Q322" i="17"/>
  <c r="Q71" i="17"/>
  <c r="P94" i="17"/>
  <c r="P71" i="17"/>
  <c r="W174" i="17"/>
  <c r="R352" i="17"/>
  <c r="R301" i="17"/>
  <c r="P174" i="17"/>
  <c r="O174" i="17" s="1"/>
  <c r="Q301" i="17"/>
  <c r="W254" i="17"/>
  <c r="P261" i="17"/>
  <c r="P61" i="17"/>
  <c r="R279" i="17"/>
  <c r="W59" i="17"/>
  <c r="R293" i="17"/>
  <c r="W279" i="17"/>
  <c r="Q59" i="17"/>
  <c r="O59" i="17" s="1"/>
  <c r="Q61" i="17"/>
  <c r="R61" i="17"/>
  <c r="P293" i="17"/>
  <c r="O293" i="17" s="1"/>
  <c r="R268" i="17"/>
  <c r="Q190" i="17"/>
  <c r="P183" i="17"/>
  <c r="W293" i="17"/>
  <c r="W268" i="17"/>
  <c r="W190" i="17"/>
  <c r="P152" i="17"/>
  <c r="P269" i="17"/>
  <c r="P95" i="17"/>
  <c r="P343" i="17"/>
  <c r="O343" i="17" s="1"/>
  <c r="R112" i="17"/>
  <c r="P243" i="17"/>
  <c r="P254" i="17"/>
  <c r="R250" i="17"/>
  <c r="W343" i="17"/>
  <c r="P190" i="17"/>
  <c r="Q261" i="17"/>
  <c r="P112" i="17"/>
  <c r="P345" i="17"/>
  <c r="W322" i="17"/>
  <c r="R71" i="17"/>
  <c r="W94" i="17"/>
  <c r="R230" i="17"/>
  <c r="P230" i="17"/>
  <c r="Q230" i="17"/>
  <c r="R157" i="17"/>
  <c r="R183" i="17"/>
  <c r="R356" i="17"/>
  <c r="Q345" i="17"/>
  <c r="P344" i="17"/>
  <c r="O344" i="17" s="1"/>
  <c r="P146" i="17"/>
  <c r="R344" i="17"/>
  <c r="P213" i="17"/>
  <c r="W344" i="17"/>
  <c r="Q213" i="17"/>
  <c r="Q146" i="17"/>
  <c r="R213" i="17"/>
  <c r="Q183" i="17"/>
  <c r="W345" i="17"/>
  <c r="P158" i="17"/>
  <c r="P166" i="17"/>
  <c r="Q201" i="17"/>
  <c r="R338" i="17"/>
  <c r="W214" i="17"/>
  <c r="W338" i="17"/>
  <c r="Q158" i="17"/>
  <c r="W201" i="17"/>
  <c r="P51" i="17"/>
  <c r="O51" i="17" s="1"/>
  <c r="R158" i="17"/>
  <c r="Q333" i="17"/>
  <c r="P333" i="17"/>
  <c r="P98" i="17"/>
  <c r="P122" i="17"/>
  <c r="O122" i="17" s="1"/>
  <c r="Q98" i="17"/>
  <c r="W333" i="17"/>
  <c r="R98" i="17"/>
  <c r="P278" i="17"/>
  <c r="P338" i="17"/>
  <c r="O338" i="17" s="1"/>
  <c r="P201" i="17"/>
  <c r="Q103" i="17"/>
  <c r="W51" i="17"/>
  <c r="W226" i="17"/>
  <c r="R122" i="17"/>
  <c r="W122" i="17"/>
  <c r="Q189" i="17"/>
  <c r="P302" i="17"/>
  <c r="P189" i="17"/>
  <c r="W356" i="17"/>
  <c r="Q302" i="17"/>
  <c r="P315" i="17"/>
  <c r="O315" i="17" s="1"/>
  <c r="Q104" i="17"/>
  <c r="O104" i="17" s="1"/>
  <c r="R104" i="17"/>
  <c r="W104" i="17"/>
  <c r="R88" i="17"/>
  <c r="R226" i="17"/>
  <c r="Q356" i="17"/>
  <c r="O356" i="17" s="1"/>
  <c r="R310" i="17"/>
  <c r="W189" i="17"/>
  <c r="W150" i="17"/>
  <c r="W188" i="17"/>
  <c r="R315" i="17"/>
  <c r="W225" i="17"/>
  <c r="W212" i="17"/>
  <c r="P187" i="17"/>
  <c r="R243" i="17"/>
  <c r="R302" i="17"/>
  <c r="Q250" i="17"/>
  <c r="Q41" i="17"/>
  <c r="P268" i="17"/>
  <c r="O268" i="17" s="1"/>
  <c r="P250" i="17"/>
  <c r="R225" i="17"/>
  <c r="Q212" i="17"/>
  <c r="P212" i="17"/>
  <c r="W41" i="17"/>
  <c r="D10" i="11"/>
  <c r="F4" i="10"/>
  <c r="F11" i="9"/>
  <c r="H11" i="9" s="1"/>
  <c r="F18" i="9"/>
  <c r="H18" i="9" s="1"/>
  <c r="R96" i="17"/>
  <c r="W276" i="17"/>
  <c r="R48" i="17"/>
  <c r="R134" i="17"/>
  <c r="P48" i="17"/>
  <c r="W266" i="17"/>
  <c r="Q368" i="17"/>
  <c r="O368" i="17" s="1"/>
  <c r="P171" i="17"/>
  <c r="W165" i="17"/>
  <c r="Q152" i="17"/>
  <c r="P101" i="17"/>
  <c r="Q360" i="17"/>
  <c r="Q278" i="17"/>
  <c r="W278" i="17"/>
  <c r="R141" i="17"/>
  <c r="R89" i="17"/>
  <c r="W108" i="17"/>
  <c r="P365" i="17"/>
  <c r="W178" i="17"/>
  <c r="Q101" i="17"/>
  <c r="Q191" i="17"/>
  <c r="R64" i="17"/>
  <c r="R121" i="17"/>
  <c r="Q64" i="17"/>
  <c r="O64" i="17" s="1"/>
  <c r="W121" i="17"/>
  <c r="Q318" i="17"/>
  <c r="Q170" i="17"/>
  <c r="P255" i="17"/>
  <c r="W138" i="17"/>
  <c r="R170" i="17"/>
  <c r="R255" i="17"/>
  <c r="Q121" i="17"/>
  <c r="O121" i="17" s="1"/>
  <c r="Q134" i="17"/>
  <c r="Q178" i="17"/>
  <c r="R287" i="17"/>
  <c r="Q102" i="17"/>
  <c r="W287" i="17"/>
  <c r="W325" i="17"/>
  <c r="R236" i="17"/>
  <c r="R102" i="17"/>
  <c r="Q317" i="17"/>
  <c r="O317" i="17" s="1"/>
  <c r="W97" i="17"/>
  <c r="R317" i="17"/>
  <c r="R113" i="17"/>
  <c r="W113" i="17"/>
  <c r="P105" i="17"/>
  <c r="P195" i="17"/>
  <c r="P360" i="17"/>
  <c r="Q369" i="17"/>
  <c r="W64" i="17"/>
  <c r="Q241" i="17"/>
  <c r="O241" i="17" s="1"/>
  <c r="Q140" i="17"/>
  <c r="Q124" i="17"/>
  <c r="R152" i="17"/>
  <c r="P102" i="17"/>
  <c r="R105" i="17"/>
  <c r="W317" i="17"/>
  <c r="Q48" i="17"/>
  <c r="W236" i="17"/>
  <c r="P203" i="17"/>
  <c r="Q195" i="17"/>
  <c r="Q187" i="17"/>
  <c r="Q209" i="17"/>
  <c r="Q171" i="17"/>
  <c r="W360" i="17"/>
  <c r="Q357" i="17"/>
  <c r="O357" i="17" s="1"/>
  <c r="R369" i="17"/>
  <c r="R241" i="17"/>
  <c r="P140" i="17"/>
  <c r="P124" i="17"/>
  <c r="R282" i="17"/>
  <c r="P70" i="17"/>
  <c r="Q105" i="17"/>
  <c r="W191" i="17"/>
  <c r="P369" i="17"/>
  <c r="W141" i="17"/>
  <c r="W241" i="17"/>
  <c r="Q66" i="17"/>
  <c r="R357" i="17"/>
  <c r="R140" i="17"/>
  <c r="R124" i="17"/>
  <c r="P282" i="17"/>
  <c r="Q70" i="17"/>
  <c r="P165" i="17"/>
  <c r="Q138" i="17"/>
  <c r="P66" i="17"/>
  <c r="R325" i="17"/>
  <c r="Q282" i="17"/>
  <c r="R70" i="17"/>
  <c r="Q287" i="17"/>
  <c r="O287" i="17" s="1"/>
  <c r="R195" i="17"/>
  <c r="R203" i="17"/>
  <c r="Q203" i="17"/>
  <c r="R187" i="17"/>
  <c r="R209" i="17"/>
  <c r="P222" i="17"/>
  <c r="R171" i="17"/>
  <c r="W357" i="17"/>
  <c r="Q165" i="17"/>
  <c r="Q222" i="17"/>
  <c r="P191" i="17"/>
  <c r="P138" i="17"/>
  <c r="R66" i="17"/>
  <c r="P141" i="17"/>
  <c r="O141" i="17" s="1"/>
  <c r="Q236" i="17"/>
  <c r="O236" i="17" s="1"/>
  <c r="P325" i="17"/>
  <c r="O325" i="17" s="1"/>
  <c r="Q113" i="17"/>
  <c r="O113" i="17" s="1"/>
  <c r="Q188" i="17"/>
  <c r="P300" i="17"/>
  <c r="R51" i="17"/>
  <c r="W74" i="17"/>
  <c r="P154" i="17"/>
  <c r="R154" i="17"/>
  <c r="R242" i="17"/>
  <c r="Q154" i="17"/>
  <c r="R41" i="17"/>
  <c r="R101" i="17"/>
  <c r="W221" i="17"/>
  <c r="Q365" i="17"/>
  <c r="W89" i="17"/>
  <c r="W88" i="17"/>
  <c r="W242" i="17"/>
  <c r="P188" i="17"/>
  <c r="P155" i="17"/>
  <c r="O155" i="17" s="1"/>
  <c r="Q232" i="17"/>
  <c r="R365" i="17"/>
  <c r="R108" i="17"/>
  <c r="Q97" i="17"/>
  <c r="R155" i="17"/>
  <c r="P232" i="17"/>
  <c r="P157" i="17"/>
  <c r="Q108" i="17"/>
  <c r="O108" i="17" s="1"/>
  <c r="P97" i="17"/>
  <c r="Q49" i="17"/>
  <c r="Q157" i="17"/>
  <c r="Q300" i="17"/>
  <c r="P49" i="17"/>
  <c r="R49" i="17"/>
  <c r="P221" i="17"/>
  <c r="O221" i="17" s="1"/>
  <c r="Q89" i="17"/>
  <c r="O89" i="17" s="1"/>
  <c r="Q94" i="17"/>
  <c r="P178" i="17"/>
  <c r="R300" i="17"/>
  <c r="W129" i="17"/>
  <c r="Q88" i="17"/>
  <c r="O88" i="17" s="1"/>
  <c r="P242" i="17"/>
  <c r="O242" i="17" s="1"/>
  <c r="P134" i="17"/>
  <c r="P103" i="17"/>
  <c r="R87" i="17"/>
  <c r="R103" i="17"/>
  <c r="Q87" i="17"/>
  <c r="Q52" i="17"/>
  <c r="O52" i="17" s="1"/>
  <c r="Q74" i="17"/>
  <c r="P87" i="17"/>
  <c r="P74" i="17"/>
  <c r="Q166" i="17"/>
  <c r="P142" i="17"/>
  <c r="Q80" i="17"/>
  <c r="P310" i="17"/>
  <c r="O310" i="17" s="1"/>
  <c r="Q96" i="17"/>
  <c r="R368" i="17"/>
  <c r="P247" i="17"/>
  <c r="P96" i="17"/>
  <c r="Q331" i="17"/>
  <c r="W368" i="17"/>
  <c r="R326" i="17"/>
  <c r="P206" i="17"/>
  <c r="R166" i="17"/>
  <c r="Q142" i="17"/>
  <c r="P80" i="17"/>
  <c r="W310" i="17"/>
  <c r="W155" i="17"/>
  <c r="R232" i="17"/>
  <c r="R52" i="17"/>
  <c r="P331" i="17"/>
  <c r="Q247" i="17"/>
  <c r="Q266" i="17"/>
  <c r="O266" i="17" s="1"/>
  <c r="R331" i="17"/>
  <c r="P326" i="17"/>
  <c r="Q206" i="17"/>
  <c r="R142" i="17"/>
  <c r="R80" i="17"/>
  <c r="R348" i="17"/>
  <c r="W52" i="17"/>
  <c r="R266" i="17"/>
  <c r="Q326" i="17"/>
  <c r="R206" i="17"/>
  <c r="Q348" i="17"/>
  <c r="R247" i="17"/>
  <c r="P214" i="17"/>
  <c r="P348" i="17"/>
  <c r="Q214" i="17"/>
  <c r="R354" i="17"/>
  <c r="P45" i="17"/>
  <c r="R45" i="17"/>
  <c r="Q45" i="17"/>
  <c r="W45" i="17"/>
  <c r="R43" i="17"/>
  <c r="P43" i="17"/>
  <c r="Q43" i="17"/>
  <c r="W43" i="17"/>
  <c r="W46" i="17"/>
  <c r="R46" i="17"/>
  <c r="Q46" i="17"/>
  <c r="P46" i="17"/>
  <c r="P50" i="17"/>
  <c r="W50" i="17"/>
  <c r="R50" i="17"/>
  <c r="Q50" i="17"/>
  <c r="P47" i="17"/>
  <c r="W47" i="17"/>
  <c r="Q47" i="17"/>
  <c r="R47" i="17"/>
  <c r="W42" i="17"/>
  <c r="R42" i="17"/>
  <c r="P42" i="17"/>
  <c r="Q42" i="17"/>
  <c r="P44" i="17"/>
  <c r="R44" i="17"/>
  <c r="W44" i="17"/>
  <c r="Q44" i="17"/>
  <c r="Q272" i="17"/>
  <c r="Q120" i="17"/>
  <c r="P354" i="17"/>
  <c r="O354" i="17" s="1"/>
  <c r="P272" i="17"/>
  <c r="P120" i="17"/>
  <c r="W354" i="17"/>
  <c r="R272" i="17"/>
  <c r="R120" i="17"/>
  <c r="P53" i="17"/>
  <c r="O200" i="17"/>
  <c r="Q129" i="17"/>
  <c r="P276" i="17"/>
  <c r="Q53" i="17"/>
  <c r="P129" i="17"/>
  <c r="Q276" i="17"/>
  <c r="R53" i="17"/>
  <c r="W264" i="17"/>
  <c r="Q264" i="17"/>
  <c r="P264" i="17"/>
  <c r="R264" i="17"/>
  <c r="W339" i="17"/>
  <c r="P339" i="17"/>
  <c r="R339" i="17"/>
  <c r="Q339" i="17"/>
  <c r="W218" i="17"/>
  <c r="R218" i="17"/>
  <c r="P218" i="17"/>
  <c r="Q218" i="17"/>
  <c r="W69" i="17"/>
  <c r="R69" i="17"/>
  <c r="Q69" i="17"/>
  <c r="P69" i="17"/>
  <c r="W117" i="17"/>
  <c r="P117" i="17"/>
  <c r="R117" i="17"/>
  <c r="Q117" i="17"/>
  <c r="W367" i="17"/>
  <c r="R367" i="17"/>
  <c r="Q367" i="17"/>
  <c r="P367" i="17"/>
  <c r="W227" i="17"/>
  <c r="R227" i="17"/>
  <c r="P227" i="17"/>
  <c r="Q227" i="17"/>
  <c r="W133" i="17"/>
  <c r="R133" i="17"/>
  <c r="Q133" i="17"/>
  <c r="P133" i="17"/>
  <c r="W54" i="17"/>
  <c r="P54" i="17"/>
  <c r="R54" i="17"/>
  <c r="Q54" i="17"/>
  <c r="W147" i="17"/>
  <c r="Q147" i="17"/>
  <c r="R147" i="17"/>
  <c r="P147" i="17"/>
  <c r="W186" i="17"/>
  <c r="P186" i="17"/>
  <c r="Q186" i="17"/>
  <c r="R186" i="17"/>
  <c r="W106" i="17"/>
  <c r="R106" i="17"/>
  <c r="P106" i="17"/>
  <c r="Q106" i="17"/>
  <c r="W239" i="17"/>
  <c r="P239" i="17"/>
  <c r="R239" i="17"/>
  <c r="Q239" i="17"/>
  <c r="W366" i="17"/>
  <c r="R366" i="17"/>
  <c r="Q366" i="17"/>
  <c r="P366" i="17"/>
  <c r="W135" i="17"/>
  <c r="R135" i="17"/>
  <c r="P135" i="17"/>
  <c r="Q135" i="17"/>
  <c r="W161" i="17"/>
  <c r="R161" i="17"/>
  <c r="P161" i="17"/>
  <c r="Q161" i="17"/>
  <c r="W275" i="17"/>
  <c r="R275" i="17"/>
  <c r="Q275" i="17"/>
  <c r="P275" i="17"/>
  <c r="W177" i="17"/>
  <c r="R177" i="17"/>
  <c r="P177" i="17"/>
  <c r="Q177" i="17"/>
  <c r="W81" i="17"/>
  <c r="P81" i="17"/>
  <c r="Q81" i="17"/>
  <c r="R81" i="17"/>
  <c r="W76" i="17"/>
  <c r="R76" i="17"/>
  <c r="P76" i="17"/>
  <c r="Q76" i="17"/>
  <c r="W334" i="17"/>
  <c r="Q334" i="17"/>
  <c r="R334" i="17"/>
  <c r="P334" i="17"/>
  <c r="W245" i="17"/>
  <c r="R245" i="17"/>
  <c r="Q245" i="17"/>
  <c r="P245" i="17"/>
  <c r="W286" i="17"/>
  <c r="R286" i="17"/>
  <c r="Q286" i="17"/>
  <c r="P286" i="17"/>
  <c r="W100" i="17"/>
  <c r="P100" i="17"/>
  <c r="R100" i="17"/>
  <c r="Q100" i="17"/>
  <c r="W248" i="17"/>
  <c r="Q248" i="17"/>
  <c r="P248" i="17"/>
  <c r="R248" i="17"/>
  <c r="W173" i="17"/>
  <c r="P173" i="17"/>
  <c r="R173" i="17"/>
  <c r="Q173" i="17"/>
  <c r="W358" i="17"/>
  <c r="P358" i="17"/>
  <c r="R358" i="17"/>
  <c r="Q358" i="17"/>
  <c r="W336" i="17"/>
  <c r="R336" i="17"/>
  <c r="Q336" i="17"/>
  <c r="P336" i="17"/>
  <c r="F4" i="9"/>
  <c r="R4" i="9" s="1"/>
  <c r="W169" i="17"/>
  <c r="Q169" i="17"/>
  <c r="R169" i="17"/>
  <c r="P169" i="17"/>
  <c r="W114" i="17"/>
  <c r="R114" i="17"/>
  <c r="P114" i="17"/>
  <c r="Q114" i="17"/>
  <c r="W139" i="17"/>
  <c r="Q139" i="17"/>
  <c r="R139" i="17"/>
  <c r="P139" i="17"/>
  <c r="W220" i="17"/>
  <c r="Q220" i="17"/>
  <c r="R220" i="17"/>
  <c r="P220" i="17"/>
  <c r="W176" i="17"/>
  <c r="R176" i="17"/>
  <c r="P176" i="17"/>
  <c r="Q176" i="17"/>
  <c r="W319" i="17"/>
  <c r="R319" i="17"/>
  <c r="Q319" i="17"/>
  <c r="P319" i="17"/>
  <c r="W132" i="17"/>
  <c r="Q132" i="17"/>
  <c r="R132" i="17"/>
  <c r="P132" i="17"/>
  <c r="W194" i="17"/>
  <c r="R194" i="17"/>
  <c r="P194" i="17"/>
  <c r="Q194" i="17"/>
  <c r="W163" i="17"/>
  <c r="R163" i="17"/>
  <c r="P163" i="17"/>
  <c r="Q163" i="17"/>
  <c r="W359" i="17"/>
  <c r="P359" i="17"/>
  <c r="R359" i="17"/>
  <c r="Q359" i="17"/>
  <c r="W73" i="17"/>
  <c r="R73" i="17"/>
  <c r="P73" i="17"/>
  <c r="Q73" i="17"/>
  <c r="W297" i="17"/>
  <c r="R297" i="17"/>
  <c r="Q297" i="17"/>
  <c r="P297" i="17"/>
  <c r="W179" i="17"/>
  <c r="R179" i="17"/>
  <c r="P179" i="17"/>
  <c r="Q179" i="17"/>
  <c r="W181" i="17"/>
  <c r="Q181" i="17"/>
  <c r="P181" i="17"/>
  <c r="R181" i="17"/>
  <c r="W159" i="17"/>
  <c r="R159" i="17"/>
  <c r="P159" i="17"/>
  <c r="Q159" i="17"/>
  <c r="W244" i="17"/>
  <c r="R244" i="17"/>
  <c r="P244" i="17"/>
  <c r="Q244" i="17"/>
  <c r="W290" i="17"/>
  <c r="R290" i="17"/>
  <c r="Q290" i="17"/>
  <c r="P290" i="17"/>
  <c r="W86" i="17"/>
  <c r="R86" i="17"/>
  <c r="Q86" i="17"/>
  <c r="P86" i="17"/>
  <c r="W306" i="17"/>
  <c r="R306" i="17"/>
  <c r="Q306" i="17"/>
  <c r="P306" i="17"/>
  <c r="W316" i="17"/>
  <c r="R316" i="17"/>
  <c r="Q316" i="17"/>
  <c r="P316" i="17"/>
  <c r="W311" i="17"/>
  <c r="R311" i="17"/>
  <c r="Q311" i="17"/>
  <c r="P311" i="17"/>
  <c r="W252" i="17"/>
  <c r="R252" i="17"/>
  <c r="P252" i="17"/>
  <c r="Q252" i="17"/>
  <c r="W62" i="17"/>
  <c r="R62" i="17"/>
  <c r="Q62" i="17"/>
  <c r="P62" i="17"/>
  <c r="W202" i="17"/>
  <c r="R202" i="17"/>
  <c r="Q202" i="17"/>
  <c r="P202" i="17"/>
  <c r="W198" i="17"/>
  <c r="R198" i="17"/>
  <c r="Q198" i="17"/>
  <c r="P198" i="17"/>
  <c r="W145" i="17"/>
  <c r="Q145" i="17"/>
  <c r="R145" i="17"/>
  <c r="P145" i="17"/>
  <c r="W162" i="17"/>
  <c r="Q162" i="17"/>
  <c r="R162" i="17"/>
  <c r="P162" i="17"/>
  <c r="W172" i="17"/>
  <c r="Q172" i="17"/>
  <c r="R172" i="17"/>
  <c r="P172" i="17"/>
  <c r="W118" i="17"/>
  <c r="R118" i="17"/>
  <c r="Q118" i="17"/>
  <c r="P118" i="17"/>
  <c r="W363" i="17"/>
  <c r="R363" i="17"/>
  <c r="Q363" i="17"/>
  <c r="P363" i="17"/>
  <c r="W314" i="17"/>
  <c r="P314" i="17"/>
  <c r="R314" i="17"/>
  <c r="Q314" i="17"/>
  <c r="W312" i="17"/>
  <c r="R312" i="17"/>
  <c r="Q312" i="17"/>
  <c r="P312" i="17"/>
  <c r="W130" i="17"/>
  <c r="R130" i="17"/>
  <c r="P130" i="17"/>
  <c r="Q130" i="17"/>
  <c r="W323" i="17"/>
  <c r="R323" i="17"/>
  <c r="Q323" i="17"/>
  <c r="P323" i="17"/>
  <c r="W320" i="17"/>
  <c r="Q320" i="17"/>
  <c r="R320" i="17"/>
  <c r="P320" i="17"/>
  <c r="W185" i="17"/>
  <c r="R185" i="17"/>
  <c r="P185" i="17"/>
  <c r="Q185" i="17"/>
  <c r="W99" i="17"/>
  <c r="R99" i="17"/>
  <c r="P99" i="17"/>
  <c r="Q99" i="17"/>
  <c r="W58" i="17"/>
  <c r="P58" i="17"/>
  <c r="Q58" i="17"/>
  <c r="R58" i="17"/>
  <c r="W215" i="17"/>
  <c r="P215" i="17"/>
  <c r="Q215" i="17"/>
  <c r="R215" i="17"/>
  <c r="W361" i="17"/>
  <c r="Q361" i="17"/>
  <c r="R361" i="17"/>
  <c r="P361" i="17"/>
  <c r="W342" i="17"/>
  <c r="R342" i="17"/>
  <c r="Q342" i="17"/>
  <c r="P342" i="17"/>
  <c r="W295" i="17"/>
  <c r="R295" i="17"/>
  <c r="Q295" i="17"/>
  <c r="P295" i="17"/>
  <c r="W143" i="17"/>
  <c r="Q143" i="17"/>
  <c r="R143" i="17"/>
  <c r="P143" i="17"/>
  <c r="W131" i="17"/>
  <c r="R131" i="17"/>
  <c r="Q131" i="17"/>
  <c r="P131" i="17"/>
  <c r="W283" i="17"/>
  <c r="P283" i="17"/>
  <c r="R283" i="17"/>
  <c r="Q283" i="17"/>
  <c r="W237" i="17"/>
  <c r="P237" i="17"/>
  <c r="R237" i="17"/>
  <c r="Q237" i="17"/>
  <c r="W119" i="17"/>
  <c r="Q119" i="17"/>
  <c r="R119" i="17"/>
  <c r="P119" i="17"/>
  <c r="W60" i="17"/>
  <c r="R60" i="17"/>
  <c r="Q60" i="17"/>
  <c r="P60" i="17"/>
  <c r="W92" i="17"/>
  <c r="P92" i="17"/>
  <c r="R92" i="17"/>
  <c r="Q92" i="17"/>
  <c r="W57" i="17"/>
  <c r="R57" i="17"/>
  <c r="P57" i="17"/>
  <c r="Q57" i="17"/>
  <c r="W289" i="17"/>
  <c r="Q289" i="17"/>
  <c r="P289" i="17"/>
  <c r="R289" i="17"/>
  <c r="W182" i="17"/>
  <c r="R182" i="17"/>
  <c r="Q182" i="17"/>
  <c r="P182" i="17"/>
  <c r="W91" i="17"/>
  <c r="R91" i="17"/>
  <c r="P91" i="17"/>
  <c r="Q91" i="17"/>
  <c r="W256" i="17"/>
  <c r="R256" i="17"/>
  <c r="Q256" i="17"/>
  <c r="P256" i="17"/>
  <c r="W327" i="17"/>
  <c r="Q327" i="17"/>
  <c r="P327" i="17"/>
  <c r="R327" i="17"/>
  <c r="W260" i="17"/>
  <c r="R260" i="17"/>
  <c r="Q260" i="17"/>
  <c r="P260" i="17"/>
  <c r="W271" i="17"/>
  <c r="R271" i="17"/>
  <c r="Q271" i="17"/>
  <c r="P271" i="17"/>
  <c r="W262" i="17"/>
  <c r="R262" i="17"/>
  <c r="Q262" i="17"/>
  <c r="P262" i="17"/>
  <c r="U51" i="18"/>
  <c r="W111" i="17"/>
  <c r="R111" i="17"/>
  <c r="P111" i="17"/>
  <c r="Q111" i="17"/>
  <c r="W72" i="17"/>
  <c r="R72" i="17"/>
  <c r="P72" i="17"/>
  <c r="Q72" i="17"/>
  <c r="W303" i="17"/>
  <c r="Q303" i="17"/>
  <c r="P303" i="17"/>
  <c r="R303" i="17"/>
  <c r="W167" i="17"/>
  <c r="P167" i="17"/>
  <c r="Q167" i="17"/>
  <c r="R167" i="17"/>
  <c r="W125" i="17"/>
  <c r="Q125" i="17"/>
  <c r="P125" i="17"/>
  <c r="R125" i="17"/>
  <c r="W347" i="17"/>
  <c r="Q347" i="17"/>
  <c r="P347" i="17"/>
  <c r="R347" i="17"/>
  <c r="W75" i="17"/>
  <c r="P75" i="17"/>
  <c r="Q75" i="17"/>
  <c r="R75" i="17"/>
  <c r="W328" i="17"/>
  <c r="Q328" i="17"/>
  <c r="R328" i="17"/>
  <c r="P328" i="17"/>
  <c r="W196" i="17"/>
  <c r="R196" i="17"/>
  <c r="P196" i="17"/>
  <c r="Q196" i="17"/>
  <c r="W55" i="17"/>
  <c r="R55" i="17"/>
  <c r="P55" i="17"/>
  <c r="Q55" i="17"/>
  <c r="W115" i="17"/>
  <c r="R115" i="17"/>
  <c r="P115" i="17"/>
  <c r="Q115" i="17"/>
  <c r="W259" i="17"/>
  <c r="R259" i="17"/>
  <c r="Q259" i="17"/>
  <c r="P259" i="17"/>
  <c r="AA51" i="18"/>
  <c r="AA53" i="18"/>
  <c r="AA56" i="18"/>
  <c r="AA60" i="18"/>
  <c r="AA59" i="18"/>
  <c r="AA52" i="18"/>
  <c r="AA54" i="18"/>
  <c r="AA58" i="18"/>
  <c r="AA61" i="18"/>
  <c r="AA55" i="18"/>
  <c r="AA57" i="18"/>
  <c r="W304" i="17"/>
  <c r="R304" i="17"/>
  <c r="Q304" i="17"/>
  <c r="P304" i="17"/>
  <c r="W107" i="17"/>
  <c r="Q107" i="17"/>
  <c r="R107" i="17"/>
  <c r="P107" i="17"/>
  <c r="W137" i="17"/>
  <c r="R137" i="17"/>
  <c r="P137" i="17"/>
  <c r="Q137" i="17"/>
  <c r="W164" i="17"/>
  <c r="P164" i="17"/>
  <c r="Q164" i="17"/>
  <c r="R164" i="17"/>
  <c r="W216" i="17"/>
  <c r="P216" i="17"/>
  <c r="Q216" i="17"/>
  <c r="R216" i="17"/>
  <c r="W116" i="17"/>
  <c r="R116" i="17"/>
  <c r="P116" i="17"/>
  <c r="Q116" i="17"/>
  <c r="W294" i="17"/>
  <c r="Q294" i="17"/>
  <c r="P294" i="17"/>
  <c r="R294" i="17"/>
  <c r="W321" i="17"/>
  <c r="P321" i="17"/>
  <c r="R321" i="17"/>
  <c r="Q321" i="17"/>
  <c r="W156" i="17"/>
  <c r="P156" i="17"/>
  <c r="R156" i="17"/>
  <c r="Q156" i="17"/>
  <c r="W148" i="17"/>
  <c r="R148" i="17"/>
  <c r="P148" i="17"/>
  <c r="Q148" i="17"/>
  <c r="W332" i="17"/>
  <c r="Q332" i="17"/>
  <c r="P332" i="17"/>
  <c r="R332" i="17"/>
  <c r="W351" i="17"/>
  <c r="R351" i="17"/>
  <c r="Q351" i="17"/>
  <c r="P351" i="17"/>
  <c r="W153" i="17"/>
  <c r="R153" i="17"/>
  <c r="Q153" i="17"/>
  <c r="P153" i="17"/>
  <c r="W109" i="17"/>
  <c r="R109" i="17"/>
  <c r="Q109" i="17"/>
  <c r="P109" i="17"/>
  <c r="W144" i="17"/>
  <c r="R144" i="17"/>
  <c r="P144" i="17"/>
  <c r="Q144" i="17"/>
  <c r="W93" i="17"/>
  <c r="R93" i="17"/>
  <c r="Q93" i="17"/>
  <c r="P93" i="17"/>
  <c r="W217" i="17"/>
  <c r="Q217" i="17"/>
  <c r="R217" i="17"/>
  <c r="P217" i="17"/>
  <c r="W249" i="17"/>
  <c r="Q249" i="17"/>
  <c r="P249" i="17"/>
  <c r="R249" i="17"/>
  <c r="W263" i="17"/>
  <c r="R263" i="17"/>
  <c r="Q263" i="17"/>
  <c r="P263" i="17"/>
  <c r="W127" i="17"/>
  <c r="P127" i="17"/>
  <c r="Q127" i="17"/>
  <c r="R127" i="17"/>
  <c r="W65" i="17"/>
  <c r="Q65" i="17"/>
  <c r="R65" i="17"/>
  <c r="P65" i="17"/>
  <c r="W149" i="17"/>
  <c r="Q149" i="17"/>
  <c r="P149" i="17"/>
  <c r="R149" i="17"/>
  <c r="W273" i="17"/>
  <c r="P273" i="17"/>
  <c r="R273" i="17"/>
  <c r="Q273" i="17"/>
  <c r="W281" i="17"/>
  <c r="Q281" i="17"/>
  <c r="P281" i="17"/>
  <c r="R281" i="17"/>
  <c r="W208" i="17"/>
  <c r="R208" i="17"/>
  <c r="P208" i="17"/>
  <c r="Q208" i="17"/>
  <c r="W231" i="17"/>
  <c r="R231" i="17"/>
  <c r="P231" i="17"/>
  <c r="Q231" i="17"/>
  <c r="W346" i="17"/>
  <c r="R346" i="17"/>
  <c r="Q346" i="17"/>
  <c r="P346" i="17"/>
  <c r="W350" i="17"/>
  <c r="R350" i="17"/>
  <c r="Q350" i="17"/>
  <c r="P350" i="17"/>
  <c r="W308" i="17"/>
  <c r="R308" i="17"/>
  <c r="P308" i="17"/>
  <c r="Q308" i="17"/>
  <c r="W353" i="17"/>
  <c r="R353" i="17"/>
  <c r="Q353" i="17"/>
  <c r="P353" i="17"/>
  <c r="W151" i="17"/>
  <c r="R151" i="17"/>
  <c r="Q151" i="17"/>
  <c r="P151" i="17"/>
  <c r="W330" i="17"/>
  <c r="R330" i="17"/>
  <c r="Q330" i="17"/>
  <c r="P330" i="17"/>
  <c r="W329" i="17"/>
  <c r="Q329" i="17"/>
  <c r="P329" i="17"/>
  <c r="R329" i="17"/>
  <c r="W175" i="17"/>
  <c r="R175" i="17"/>
  <c r="P175" i="17"/>
  <c r="Q175" i="17"/>
  <c r="W77" i="17"/>
  <c r="R77" i="17"/>
  <c r="P77" i="17"/>
  <c r="Q77" i="17"/>
  <c r="W110" i="17"/>
  <c r="R110" i="17"/>
  <c r="Q110" i="17"/>
  <c r="P110" i="17"/>
  <c r="W307" i="17"/>
  <c r="R307" i="17"/>
  <c r="Q307" i="17"/>
  <c r="P307" i="17"/>
  <c r="W90" i="17"/>
  <c r="R90" i="17"/>
  <c r="P90" i="17"/>
  <c r="Q90" i="17"/>
  <c r="W193" i="17"/>
  <c r="R193" i="17"/>
  <c r="P193" i="17"/>
  <c r="Q193" i="17"/>
  <c r="W126" i="17"/>
  <c r="R126" i="17"/>
  <c r="Q126" i="17"/>
  <c r="P126" i="17"/>
  <c r="W234" i="17"/>
  <c r="R234" i="17"/>
  <c r="Q234" i="17"/>
  <c r="P234" i="17"/>
  <c r="W83" i="17"/>
  <c r="R83" i="17"/>
  <c r="P83" i="17"/>
  <c r="Q83" i="17"/>
  <c r="W349" i="17"/>
  <c r="R349" i="17"/>
  <c r="Q349" i="17"/>
  <c r="P349" i="17"/>
  <c r="W240" i="17"/>
  <c r="R240" i="17"/>
  <c r="Q240" i="17"/>
  <c r="P240" i="17"/>
  <c r="W85" i="17"/>
  <c r="R85" i="17"/>
  <c r="Q85" i="17"/>
  <c r="P85" i="17"/>
  <c r="W204" i="17"/>
  <c r="Q204" i="17"/>
  <c r="R204" i="17"/>
  <c r="P204" i="17"/>
  <c r="W364" i="17"/>
  <c r="R364" i="17"/>
  <c r="P364" i="17"/>
  <c r="Q364" i="17"/>
  <c r="W168" i="17"/>
  <c r="R168" i="17"/>
  <c r="P168" i="17"/>
  <c r="Q168" i="17"/>
  <c r="W277" i="17"/>
  <c r="R277" i="17"/>
  <c r="Q277" i="17"/>
  <c r="P277" i="17"/>
  <c r="W184" i="17"/>
  <c r="R184" i="17"/>
  <c r="P184" i="17"/>
  <c r="Q184" i="17"/>
  <c r="W296" i="17"/>
  <c r="R296" i="17"/>
  <c r="Q296" i="17"/>
  <c r="P296" i="17"/>
  <c r="W199" i="17"/>
  <c r="R199" i="17"/>
  <c r="P199" i="17"/>
  <c r="Q199" i="17"/>
  <c r="W192" i="17"/>
  <c r="R192" i="17"/>
  <c r="P192" i="17"/>
  <c r="Q192" i="17"/>
  <c r="W288" i="17"/>
  <c r="Q288" i="17"/>
  <c r="P288" i="17"/>
  <c r="R288" i="17"/>
  <c r="W128" i="17"/>
  <c r="R128" i="17"/>
  <c r="P128" i="17"/>
  <c r="Q128" i="17"/>
  <c r="W285" i="17"/>
  <c r="R285" i="17"/>
  <c r="Q285" i="17"/>
  <c r="P285" i="17"/>
  <c r="W136" i="17"/>
  <c r="Q136" i="17"/>
  <c r="R136" i="17"/>
  <c r="P136" i="17"/>
  <c r="W160" i="17"/>
  <c r="R160" i="17"/>
  <c r="P160" i="17"/>
  <c r="Q160" i="17"/>
  <c r="W292" i="17"/>
  <c r="P292" i="17"/>
  <c r="R292" i="17"/>
  <c r="Q292" i="17"/>
  <c r="W309" i="17"/>
  <c r="R309" i="17"/>
  <c r="Q309" i="17"/>
  <c r="P309" i="17"/>
  <c r="W362" i="17"/>
  <c r="R362" i="17"/>
  <c r="Q362" i="17"/>
  <c r="P362" i="17"/>
  <c r="W335" i="17"/>
  <c r="Q335" i="17"/>
  <c r="P335" i="17"/>
  <c r="R335" i="17"/>
  <c r="W79" i="17"/>
  <c r="Q79" i="17"/>
  <c r="R79" i="17"/>
  <c r="P79" i="17"/>
  <c r="W284" i="17"/>
  <c r="R284" i="17"/>
  <c r="P284" i="17"/>
  <c r="Q284" i="17"/>
  <c r="W228" i="17"/>
  <c r="P228" i="17"/>
  <c r="Q228" i="17"/>
  <c r="R228" i="17"/>
  <c r="W78" i="17"/>
  <c r="R78" i="17"/>
  <c r="Q78" i="17"/>
  <c r="P78" i="17"/>
  <c r="O251" i="17" l="1"/>
  <c r="O235" i="17"/>
  <c r="O229" i="17"/>
  <c r="O291" i="17"/>
  <c r="O324" i="17"/>
  <c r="O337" i="17"/>
  <c r="O180" i="17"/>
  <c r="O56" i="17"/>
  <c r="O267" i="17"/>
  <c r="O210" i="17"/>
  <c r="O225" i="17"/>
  <c r="O270" i="17"/>
  <c r="O299" i="17"/>
  <c r="O257" i="17"/>
  <c r="O305" i="17"/>
  <c r="O298" i="17"/>
  <c r="O84" i="17"/>
  <c r="O223" i="17"/>
  <c r="O265" i="17"/>
  <c r="O67" i="17"/>
  <c r="O274" i="17"/>
  <c r="O280" i="17"/>
  <c r="O233" i="17"/>
  <c r="O253" i="17"/>
  <c r="O63" i="17"/>
  <c r="O269" i="17"/>
  <c r="O243" i="17"/>
  <c r="O318" i="17"/>
  <c r="O255" i="17"/>
  <c r="O197" i="17"/>
  <c r="O224" i="17"/>
  <c r="O341" i="17"/>
  <c r="O219" i="17"/>
  <c r="O112" i="17"/>
  <c r="O211" i="17"/>
  <c r="O355" i="17"/>
  <c r="O68" i="17"/>
  <c r="O207" i="17"/>
  <c r="O150" i="17"/>
  <c r="O170" i="17"/>
  <c r="O209" i="17"/>
  <c r="O345" i="17"/>
  <c r="O94" i="17"/>
  <c r="O71" i="17"/>
  <c r="O82" i="17"/>
  <c r="O66" i="17"/>
  <c r="O123" i="17"/>
  <c r="O95" i="17"/>
  <c r="O313" i="17"/>
  <c r="O183" i="17"/>
  <c r="O254" i="17"/>
  <c r="O322" i="17"/>
  <c r="O301" i="17"/>
  <c r="O98" i="17"/>
  <c r="O103" i="17"/>
  <c r="O246" i="17"/>
  <c r="O158" i="17"/>
  <c r="O190" i="17"/>
  <c r="O61" i="17"/>
  <c r="O146" i="17"/>
  <c r="O230" i="17"/>
  <c r="O261" i="17"/>
  <c r="O152" i="17"/>
  <c r="O278" i="17"/>
  <c r="O140" i="17"/>
  <c r="O213" i="17"/>
  <c r="O166" i="17"/>
  <c r="O333" i="17"/>
  <c r="O201" i="17"/>
  <c r="O212" i="17"/>
  <c r="O187" i="17"/>
  <c r="D19" i="11"/>
  <c r="E19" i="11" s="1"/>
  <c r="O189" i="17"/>
  <c r="O302" i="17"/>
  <c r="O232" i="17"/>
  <c r="O250" i="17"/>
  <c r="O188" i="17"/>
  <c r="O154" i="17"/>
  <c r="N4" i="10"/>
  <c r="D27" i="11" s="1"/>
  <c r="E27" i="11" s="1"/>
  <c r="O348" i="17"/>
  <c r="O134" i="17"/>
  <c r="N18" i="9"/>
  <c r="N11" i="9"/>
  <c r="O120" i="17"/>
  <c r="D25" i="11"/>
  <c r="E25" i="11" s="1"/>
  <c r="O74" i="17"/>
  <c r="D28" i="11"/>
  <c r="E28" i="11" s="1"/>
  <c r="L18" i="9"/>
  <c r="L4" i="9"/>
  <c r="D20" i="11" s="1"/>
  <c r="E20" i="11" s="1"/>
  <c r="L4" i="10"/>
  <c r="D21" i="11" s="1"/>
  <c r="E21" i="11" s="1"/>
  <c r="L11" i="9"/>
  <c r="O48" i="17"/>
  <c r="N4" i="9"/>
  <c r="D26" i="11" s="1"/>
  <c r="E26" i="11" s="1"/>
  <c r="O191" i="17"/>
  <c r="O41" i="17"/>
  <c r="J18" i="9"/>
  <c r="D22" i="11"/>
  <c r="E22" i="11" s="1"/>
  <c r="J11" i="9"/>
  <c r="J4" i="10"/>
  <c r="D24" i="11" s="1"/>
  <c r="E24" i="11" s="1"/>
  <c r="J4" i="9"/>
  <c r="D23" i="11" s="1"/>
  <c r="E23" i="11" s="1"/>
  <c r="O282" i="17"/>
  <c r="H4" i="10"/>
  <c r="D30" i="11" s="1"/>
  <c r="D12" i="11"/>
  <c r="E39" i="11" s="1"/>
  <c r="E10" i="11"/>
  <c r="E37" i="11"/>
  <c r="O101" i="17"/>
  <c r="O360" i="17"/>
  <c r="O97" i="17"/>
  <c r="O171" i="17"/>
  <c r="O165" i="17"/>
  <c r="O222" i="17"/>
  <c r="O124" i="17"/>
  <c r="O102" i="17"/>
  <c r="O365" i="17"/>
  <c r="O203" i="17"/>
  <c r="O178" i="17"/>
  <c r="O177" i="17"/>
  <c r="O227" i="17"/>
  <c r="O329" i="17"/>
  <c r="O54" i="17"/>
  <c r="O312" i="17"/>
  <c r="O91" i="17"/>
  <c r="O138" i="17"/>
  <c r="O105" i="17"/>
  <c r="O369" i="17"/>
  <c r="O157" i="17"/>
  <c r="O70" i="17"/>
  <c r="O300" i="17"/>
  <c r="O45" i="17"/>
  <c r="O272" i="17"/>
  <c r="O87" i="17"/>
  <c r="O80" i="17"/>
  <c r="O264" i="17"/>
  <c r="O53" i="17"/>
  <c r="O133" i="17"/>
  <c r="O285" i="17"/>
  <c r="O281" i="17"/>
  <c r="O249" i="17"/>
  <c r="O96" i="17"/>
  <c r="O193" i="17"/>
  <c r="O162" i="17"/>
  <c r="O284" i="17"/>
  <c r="O195" i="17"/>
  <c r="O181" i="17"/>
  <c r="O47" i="17"/>
  <c r="O335" i="17"/>
  <c r="O262" i="17"/>
  <c r="O276" i="17"/>
  <c r="O326" i="17"/>
  <c r="O206" i="17"/>
  <c r="O142" i="17"/>
  <c r="O149" i="17"/>
  <c r="O237" i="17"/>
  <c r="O363" i="17"/>
  <c r="O76" i="17"/>
  <c r="O49" i="17"/>
  <c r="O78" i="17"/>
  <c r="O245" i="17"/>
  <c r="O46" i="17"/>
  <c r="O260" i="17"/>
  <c r="O117" i="17"/>
  <c r="O220" i="17"/>
  <c r="O334" i="17"/>
  <c r="O339" i="17"/>
  <c r="O77" i="17"/>
  <c r="O308" i="17"/>
  <c r="O57" i="17"/>
  <c r="O136" i="17"/>
  <c r="O111" i="17"/>
  <c r="O215" i="17"/>
  <c r="O99" i="17"/>
  <c r="O244" i="17"/>
  <c r="O100" i="17"/>
  <c r="O214" i="17"/>
  <c r="O331" i="17"/>
  <c r="O248" i="17"/>
  <c r="O147" i="17"/>
  <c r="O277" i="17"/>
  <c r="O81" i="17"/>
  <c r="O332" i="17"/>
  <c r="O199" i="17"/>
  <c r="O184" i="17"/>
  <c r="O107" i="17"/>
  <c r="O44" i="17"/>
  <c r="O50" i="17"/>
  <c r="O58" i="17"/>
  <c r="O159" i="17"/>
  <c r="O179" i="17"/>
  <c r="O114" i="17"/>
  <c r="O275" i="17"/>
  <c r="O185" i="17"/>
  <c r="O218" i="17"/>
  <c r="O42" i="17"/>
  <c r="O247" i="17"/>
  <c r="O175" i="17"/>
  <c r="O153" i="17"/>
  <c r="O216" i="17"/>
  <c r="O137" i="17"/>
  <c r="O256" i="17"/>
  <c r="O182" i="17"/>
  <c r="O327" i="17"/>
  <c r="O342" i="17"/>
  <c r="O311" i="17"/>
  <c r="O118" i="17"/>
  <c r="O125" i="17"/>
  <c r="O303" i="17"/>
  <c r="O43" i="17"/>
  <c r="O69" i="17"/>
  <c r="O90" i="17"/>
  <c r="O346" i="17"/>
  <c r="O263" i="17"/>
  <c r="O93" i="17"/>
  <c r="O109" i="17"/>
  <c r="O351" i="17"/>
  <c r="O294" i="17"/>
  <c r="O217" i="17"/>
  <c r="O119" i="17"/>
  <c r="O143" i="17"/>
  <c r="O361" i="17"/>
  <c r="O161" i="17"/>
  <c r="O83" i="17"/>
  <c r="O79" i="17"/>
  <c r="O296" i="17"/>
  <c r="O273" i="17"/>
  <c r="O148" i="17"/>
  <c r="O167" i="17"/>
  <c r="O72" i="17"/>
  <c r="X51" i="18"/>
  <c r="G4" i="9" s="1"/>
  <c r="C29" i="11" s="1"/>
  <c r="E4" i="9"/>
  <c r="C11" i="11" s="1"/>
  <c r="O62" i="17"/>
  <c r="O366" i="17"/>
  <c r="O129" i="17"/>
  <c r="O231" i="17"/>
  <c r="O194" i="17"/>
  <c r="O196" i="17"/>
  <c r="O259" i="17"/>
  <c r="O172" i="17"/>
  <c r="O132" i="17"/>
  <c r="O328" i="17"/>
  <c r="O320" i="17"/>
  <c r="O139" i="17"/>
  <c r="O169" i="17"/>
  <c r="O135" i="17"/>
  <c r="O65" i="17"/>
  <c r="O128" i="17"/>
  <c r="O168" i="17"/>
  <c r="O204" i="17"/>
  <c r="O208" i="17"/>
  <c r="O164" i="17"/>
  <c r="O55" i="17"/>
  <c r="O347" i="17"/>
  <c r="O271" i="17"/>
  <c r="O73" i="17"/>
  <c r="O163" i="17"/>
  <c r="O176" i="17"/>
  <c r="O173" i="17"/>
  <c r="O239" i="17"/>
  <c r="O228" i="17"/>
  <c r="O362" i="17"/>
  <c r="O192" i="17"/>
  <c r="O240" i="17"/>
  <c r="O126" i="17"/>
  <c r="O110" i="17"/>
  <c r="O330" i="17"/>
  <c r="O353" i="17"/>
  <c r="O350" i="17"/>
  <c r="O321" i="17"/>
  <c r="O304" i="17"/>
  <c r="O115" i="17"/>
  <c r="O289" i="17"/>
  <c r="O145" i="17"/>
  <c r="O202" i="17"/>
  <c r="O306" i="17"/>
  <c r="O290" i="17"/>
  <c r="O297" i="17"/>
  <c r="O186" i="17"/>
  <c r="V54" i="18"/>
  <c r="Y54" i="18" s="1"/>
  <c r="V58" i="18"/>
  <c r="Y58" i="18" s="1"/>
  <c r="V57" i="18"/>
  <c r="Y57" i="18" s="1"/>
  <c r="V55" i="18"/>
  <c r="Y55" i="18" s="1"/>
  <c r="V60" i="18"/>
  <c r="Y60" i="18" s="1"/>
  <c r="V56" i="18"/>
  <c r="Y56" i="18" s="1"/>
  <c r="V52" i="18"/>
  <c r="Y52" i="18" s="1"/>
  <c r="V61" i="18"/>
  <c r="Y61" i="18" s="1"/>
  <c r="V59" i="18"/>
  <c r="Y59" i="18" s="1"/>
  <c r="V53" i="18"/>
  <c r="Y53" i="18" s="1"/>
  <c r="V51" i="18"/>
  <c r="O92" i="17"/>
  <c r="O283" i="17"/>
  <c r="O319" i="17"/>
  <c r="H4" i="9"/>
  <c r="D29" i="11" s="1"/>
  <c r="D11" i="11"/>
  <c r="O358" i="17"/>
  <c r="O286" i="17"/>
  <c r="O292" i="17"/>
  <c r="O144" i="17"/>
  <c r="O116" i="17"/>
  <c r="O130" i="17"/>
  <c r="O160" i="17"/>
  <c r="O364" i="17"/>
  <c r="O127" i="17"/>
  <c r="O75" i="17"/>
  <c r="O60" i="17"/>
  <c r="O131" i="17"/>
  <c r="O295" i="17"/>
  <c r="O314" i="17"/>
  <c r="O252" i="17"/>
  <c r="O359" i="17"/>
  <c r="O336" i="17"/>
  <c r="O106" i="17"/>
  <c r="O309" i="17"/>
  <c r="O288" i="17"/>
  <c r="O85" i="17"/>
  <c r="O349" i="17"/>
  <c r="O234" i="17"/>
  <c r="O307" i="17"/>
  <c r="O151" i="17"/>
  <c r="O156" i="17"/>
  <c r="O323" i="17"/>
  <c r="O198" i="17"/>
  <c r="O316" i="17"/>
  <c r="O86" i="17"/>
  <c r="O367" i="17"/>
  <c r="P18" i="9" l="1"/>
  <c r="P11" i="9"/>
  <c r="D16" i="11"/>
  <c r="E16" i="11" s="1"/>
  <c r="P4" i="10"/>
  <c r="D18" i="11" s="1"/>
  <c r="E18" i="11" s="1"/>
  <c r="P4" i="9"/>
  <c r="D17" i="11" s="1"/>
  <c r="E17" i="11" s="1"/>
  <c r="E4" i="10"/>
  <c r="C12" i="11" s="1"/>
  <c r="E12" i="11" s="1"/>
  <c r="Y51" i="18"/>
  <c r="G4" i="10" s="1"/>
  <c r="C30" i="11" s="1"/>
  <c r="E30" i="11" s="1"/>
  <c r="E38" i="11"/>
  <c r="E11" i="11"/>
  <c r="E29" i="11"/>
</calcChain>
</file>

<file path=xl/sharedStrings.xml><?xml version="1.0" encoding="utf-8"?>
<sst xmlns="http://schemas.openxmlformats.org/spreadsheetml/2006/main" count="9108" uniqueCount="1249">
  <si>
    <t>Performance Summary PWEGPL</t>
  </si>
  <si>
    <t xml:space="preserve">Month </t>
  </si>
  <si>
    <t xml:space="preserve">Date </t>
  </si>
  <si>
    <t>Financial Year</t>
  </si>
  <si>
    <t>Year-3</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</si>
  <si>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</si>
  <si>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</si>
  <si>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</si>
  <si>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</si>
  <si>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</si>
  <si>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</si>
  <si>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</si>
  <si>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</si>
  <si>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</si>
  <si>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</si>
  <si>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</si>
  <si>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</si>
  <si>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</si>
  <si>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</si>
  <si>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</si>
  <si>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</si>
  <si>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</si>
  <si>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MA Daily</t>
  </si>
  <si>
    <t>MA MTD</t>
  </si>
  <si>
    <t>MA YTD</t>
  </si>
  <si>
    <t>EGA Daily</t>
  </si>
  <si>
    <t>EGA MTD</t>
  </si>
  <si>
    <t>EGA YTD</t>
  </si>
  <si>
    <t>IGA Daily</t>
  </si>
  <si>
    <t>IGA MTD</t>
  </si>
  <si>
    <t>IGA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</si>
  <si>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</si>
  <si>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</si>
  <si>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</si>
  <si>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</si>
  <si>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</si>
  <si>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</si>
  <si>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</si>
  <si>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</si>
  <si>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</si>
  <si>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</si>
  <si>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</si>
  <si>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</si>
  <si>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Till Date</t>
  </si>
  <si>
    <t>PWEGPL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</si>
  <si>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</si>
  <si>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</si>
  <si>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</si>
  <si>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</si>
  <si>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</si>
  <si>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</si>
  <si>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</si>
  <si>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</si>
  <si>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</si>
  <si>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</si>
  <si>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</si>
  <si>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</si>
  <si>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</si>
  <si>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</si>
  <si>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</si>
  <si>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</si>
  <si>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</si>
  <si>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</si>
  <si>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</si>
  <si>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PWEGPL Performance Summary (MTD)</t>
  </si>
  <si>
    <t>Target IGA (%)</t>
  </si>
  <si>
    <t>WTG Total (MWh)</t>
  </si>
  <si>
    <t>Line Losses(%)</t>
  </si>
  <si>
    <t>E_WS_Corrected</t>
  </si>
  <si>
    <t>Start Date</t>
  </si>
  <si>
    <t>End Date</t>
  </si>
  <si>
    <t>PWEGPL Performance Summary (WTD)</t>
  </si>
  <si>
    <t>PWEGPL Performance Summary (LTD)</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</si>
  <si>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</si>
  <si>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</si>
  <si>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</si>
  <si>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</si>
  <si>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</si>
  <si>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</si>
  <si>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</si>
  <si>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</si>
  <si>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</si>
  <si>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</si>
  <si>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</si>
  <si>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</si>
  <si>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</si>
  <si>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</si>
  <si>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</si>
  <si>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</si>
  <si>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</si>
  <si>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</si>
  <si>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</si>
  <si>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</si>
  <si>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</si>
  <si>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</si>
  <si>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</si>
  <si>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</si>
  <si>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</si>
  <si>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</si>
  <si>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</si>
  <si>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</si>
  <si>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</si>
  <si>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</si>
  <si>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</si>
  <si>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</si>
  <si>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</si>
  <si>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</si>
  <si>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</si>
  <si>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</si>
  <si>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</si>
  <si>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</si>
  <si>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</si>
  <si>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Bugt Capacity</t>
  </si>
  <si>
    <t>CC*Bugt</t>
  </si>
  <si>
    <t>WTG No.</t>
  </si>
  <si>
    <t>G01</t>
  </si>
  <si>
    <t>G02</t>
  </si>
  <si>
    <t>G03</t>
  </si>
  <si>
    <t>G04</t>
  </si>
  <si>
    <t>G05</t>
  </si>
  <si>
    <t>G06</t>
  </si>
  <si>
    <t>G07</t>
  </si>
  <si>
    <t>G08</t>
  </si>
  <si>
    <t>G09</t>
  </si>
  <si>
    <t>G10</t>
  </si>
  <si>
    <t>G11</t>
  </si>
  <si>
    <t>G12</t>
  </si>
  <si>
    <t>G13</t>
  </si>
  <si>
    <t>G14</t>
  </si>
  <si>
    <t>G15</t>
  </si>
  <si>
    <t>G16</t>
  </si>
  <si>
    <t>G17</t>
  </si>
  <si>
    <t>G18</t>
  </si>
  <si>
    <t>G19</t>
  </si>
  <si>
    <t>G20</t>
  </si>
  <si>
    <t>G21</t>
  </si>
  <si>
    <t>G22</t>
  </si>
  <si>
    <t>G23</t>
  </si>
  <si>
    <t>G25</t>
  </si>
  <si>
    <t>G26</t>
  </si>
  <si>
    <t>G27</t>
  </si>
  <si>
    <t>G28</t>
  </si>
  <si>
    <t>G29</t>
  </si>
  <si>
    <t>G30</t>
  </si>
  <si>
    <t>G31</t>
  </si>
  <si>
    <t>G32</t>
  </si>
  <si>
    <t>G33</t>
  </si>
  <si>
    <t>G34</t>
  </si>
  <si>
    <t>G35</t>
  </si>
  <si>
    <t>G36</t>
  </si>
  <si>
    <t>G37</t>
  </si>
  <si>
    <t>G38</t>
  </si>
  <si>
    <t>G39</t>
  </si>
  <si>
    <t>G40</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</si>
  <si>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</si>
  <si>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</si>
  <si>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</si>
  <si>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</si>
  <si>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</si>
  <si>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</si>
  <si>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</si>
  <si>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</si>
  <si>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</si>
  <si>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</si>
  <si>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</si>
  <si>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</si>
  <si>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</si>
  <si>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</si>
  <si>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</si>
  <si>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</si>
  <si>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</si>
  <si>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</si>
  <si>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</si>
  <si>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</si>
  <si>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</si>
  <si>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</si>
  <si>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</si>
  <si>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</si>
  <si>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</si>
  <si>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</si>
  <si>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</si>
  <si>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Active Crowbar Failure</t>
  </si>
  <si>
    <t>Active Crowbar IGBT Errors</t>
  </si>
  <si>
    <t>Analogue Card Failure</t>
  </si>
  <si>
    <t>Automatic Secondaries Not OK Too Long</t>
  </si>
  <si>
    <t>Automatic Unwinding</t>
  </si>
  <si>
    <t>Blade Position Meas. Error</t>
  </si>
  <si>
    <t>Bus Error - Interbus Failure</t>
  </si>
  <si>
    <t>Bus Preload Protection Thermal Relay Failure</t>
  </si>
  <si>
    <t>CAN Communication Failure</t>
  </si>
  <si>
    <t>CCW Feedback Failure</t>
  </si>
  <si>
    <t>Change Pause-Remote Control Reset</t>
  </si>
  <si>
    <t>Controlled Emergency Series Battery Failure</t>
  </si>
  <si>
    <t>Converter High Ambient Temperature Alarm</t>
  </si>
  <si>
    <t>Coolant Of The Coolant Circuit Failure</t>
  </si>
  <si>
    <t>CW Feedback Failure</t>
  </si>
  <si>
    <t>DTD Filter Alarm 1</t>
  </si>
  <si>
    <t>Emergency Series HUB Trigger</t>
  </si>
  <si>
    <t>Emergency Series Not OK</t>
  </si>
  <si>
    <t>Error In Phase R Of The Inverter</t>
  </si>
  <si>
    <t>Error In Phase S Of The Inverter</t>
  </si>
  <si>
    <t>Error In Phase T Of The Inverter</t>
  </si>
  <si>
    <t>Error In Phase T Of The Rectifier</t>
  </si>
  <si>
    <t>Excess Current Phase R Of Stator</t>
  </si>
  <si>
    <t>Excessive Temperature Of Coolant At The Input Of The Cooling Circuit</t>
  </si>
  <si>
    <t>Excessive Temperature Of The Control Module</t>
  </si>
  <si>
    <t>Failure Of The Contactor's Rotor Power</t>
  </si>
  <si>
    <t>Frequency Failure</t>
  </si>
  <si>
    <t>Gearbox Fan Thermal Relays</t>
  </si>
  <si>
    <t>Gearbox Pump Thermal Relay Triggered and High Gearbox Oil Temperature</t>
  </si>
  <si>
    <t>Generator Fans Thermal Relay Triggered Too Long</t>
  </si>
  <si>
    <t>Generator NDE Bearing High Temperature Alarm</t>
  </si>
  <si>
    <t>Generator Slipping Ring High Temperature</t>
  </si>
  <si>
    <t>Grid Voltage Failure</t>
  </si>
  <si>
    <t>Heating Protection Triggered</t>
  </si>
  <si>
    <t>Heating/Coolant Thermal Magnetic Failure</t>
  </si>
  <si>
    <t>High Gearbox Oil Temperature</t>
  </si>
  <si>
    <t>High Generator Speed</t>
  </si>
  <si>
    <t>High Generator Winding Temperature</t>
  </si>
  <si>
    <t xml:space="preserve">High Grid Harmonic Distortion </t>
  </si>
  <si>
    <t>High Temperature Of Coolant In The Input Of The Cooling Circuit</t>
  </si>
  <si>
    <t>High Yaw Brake Pressure</t>
  </si>
  <si>
    <t>HU Pump Drive Failure</t>
  </si>
  <si>
    <t>Hydraulic Oil High Temperature</t>
  </si>
  <si>
    <t>Low Level Hydraulic Group Refrigeration Oil</t>
  </si>
  <si>
    <t>Low Pitch Value In Stop Mode (1 Cylinder)</t>
  </si>
  <si>
    <t>Low Pressure Of Emergency Accumulators</t>
  </si>
  <si>
    <t>Low Pressure On Hydraulic Group</t>
  </si>
  <si>
    <t>Magnetothermic Of The Stator Protection Failure Or Door Open</t>
  </si>
  <si>
    <t>Magnetothermic Trigger Of The Stator Protection</t>
  </si>
  <si>
    <t>Manual Stop</t>
  </si>
  <si>
    <t>Max. Pump time</t>
  </si>
  <si>
    <t>OGS</t>
  </si>
  <si>
    <t>Orienting and High Yaw Brake Pressure</t>
  </si>
  <si>
    <t>Orienting and Low Yaw Brake Pressure</t>
  </si>
  <si>
    <t>Overheating In The Grid's Inductance</t>
  </si>
  <si>
    <t>Pitch Drive Error</t>
  </si>
  <si>
    <t>PLC Module Failure</t>
  </si>
  <si>
    <t>PLC-Converter Communication Error</t>
  </si>
  <si>
    <t>Preload Failure</t>
  </si>
  <si>
    <t>Rotor Or Generator High Speed in STOP Or EMERGENCY</t>
  </si>
  <si>
    <t>Rotor Protection Thermal Magnetic Failure</t>
  </si>
  <si>
    <t>Rotor Speed Reading Failure</t>
  </si>
  <si>
    <t>Speed Read Incorrectly</t>
  </si>
  <si>
    <t>Temp. Measurement Module Failure</t>
  </si>
  <si>
    <t>Top Emergency Button</t>
  </si>
  <si>
    <t>Trafo Fan Thermal Relay Triggered Too Long</t>
  </si>
  <si>
    <t>Very High Disalignment</t>
  </si>
  <si>
    <t>Very Low Pressure On Hydraulic Unit</t>
  </si>
  <si>
    <t>Vibration Sensor</t>
  </si>
  <si>
    <t>Wear Brushes Generator Triggered Too Long</t>
  </si>
  <si>
    <t>Wind Vane Failure Alarm</t>
  </si>
  <si>
    <t>Yaw Contactor Active</t>
  </si>
  <si>
    <t>Yaw Motors Error</t>
  </si>
  <si>
    <t xml:space="preserve">Yaw Motors Over Current Protection </t>
  </si>
  <si>
    <t>Yaw Sensor Wiring Error</t>
  </si>
  <si>
    <t>Yawing Motor Thermal Relays</t>
  </si>
  <si>
    <t>Yawing Sensor Failure</t>
  </si>
  <si>
    <t>(blank)</t>
  </si>
  <si>
    <t>Stator Contactor Failure</t>
  </si>
  <si>
    <t>Hydraulic Filter Dirty</t>
  </si>
  <si>
    <t>Slipping Rings Fan Or Heating Resistor Failure</t>
  </si>
  <si>
    <t>Gearbox Oil High Temperature Warning</t>
  </si>
  <si>
    <t>Difference Between 2 Blades Too High</t>
  </si>
  <si>
    <t>Low Bus Voltage</t>
  </si>
  <si>
    <t>Change Emergency-Local Reset</t>
  </si>
  <si>
    <t>Trigger Of Overvoltage Protection</t>
  </si>
  <si>
    <t>Initialization Failure</t>
  </si>
  <si>
    <t>Gearbox Oil Level Low</t>
  </si>
  <si>
    <t>SF6 Breaker Fault</t>
  </si>
  <si>
    <t>Low Pressure On Brake Circuit</t>
  </si>
  <si>
    <t>Transmission Line Related work</t>
  </si>
  <si>
    <t>Manual Stop - Preventive Maintenance Activity</t>
  </si>
  <si>
    <t>Manual Stop - Audit</t>
  </si>
  <si>
    <t>Minimum Hydraulic Unit Temperature</t>
  </si>
  <si>
    <t>Generator DE Bearing High Temperature Alarm</t>
  </si>
  <si>
    <t>Generator's Fans Failure Confirmation</t>
  </si>
  <si>
    <t>Low Pressure In Gearbox</t>
  </si>
  <si>
    <t>Fault In 24v Power Supply</t>
  </si>
  <si>
    <t>Out Of Range In Slippage</t>
  </si>
  <si>
    <t>High Gearbox Bearing Temperature</t>
  </si>
  <si>
    <t>Gearbox Pump Thermal Relay</t>
  </si>
  <si>
    <t>Major BD - Transformer</t>
  </si>
  <si>
    <t>Major BD - Blade</t>
  </si>
  <si>
    <t>Failure In The Gearbox Oil Particle Sensor</t>
  </si>
  <si>
    <t>Rectifier Phase S Overcurrent</t>
  </si>
  <si>
    <t>UPS breakdown</t>
  </si>
  <si>
    <t>Maximum Synchronization Time</t>
  </si>
  <si>
    <t>Encoder Suynchronism Error</t>
  </si>
  <si>
    <t>Transformer Fan Control Failure</t>
  </si>
  <si>
    <t>Encoder Not OK</t>
  </si>
  <si>
    <t>Maximum Time For Stator Disconnection</t>
  </si>
  <si>
    <t>High Rotor Speed</t>
  </si>
  <si>
    <t>Magnetothermic Trigger Of The Line Protection</t>
  </si>
  <si>
    <t>Hydraulic Pump Protection</t>
  </si>
  <si>
    <t>Gearbox Bearing High Temperature Warning</t>
  </si>
  <si>
    <t>Max Orientation Time</t>
  </si>
  <si>
    <t>General Work Stoppage</t>
  </si>
  <si>
    <t>Gearbox Fan Feedback Failure</t>
  </si>
  <si>
    <t>Automatics Not Ok</t>
  </si>
  <si>
    <t>Gearbox Fan Thermal Relays Triggered and High Gearbox Oil Temperature</t>
  </si>
  <si>
    <t>Wear Brushes Generator</t>
  </si>
  <si>
    <t>Hydraulic Unit Cooling Failure</t>
  </si>
  <si>
    <t>SF6 and HV side</t>
  </si>
  <si>
    <t>Fault In Analog Electronic Power Supply</t>
  </si>
  <si>
    <t>Very High Temperature Of Hydraulic Unit Oil</t>
  </si>
  <si>
    <t>High Temperature Of The Control Module</t>
  </si>
  <si>
    <t>Grand Total</t>
  </si>
  <si>
    <t>Energy Generated by individual Turbine</t>
  </si>
  <si>
    <t>Wind Speed (M/s)</t>
  </si>
  <si>
    <t>Meter Readings</t>
  </si>
  <si>
    <t>Calculated Energy Numbers</t>
  </si>
  <si>
    <t>Calendor Year</t>
  </si>
  <si>
    <t>WS_G01</t>
  </si>
  <si>
    <t>WS_G02</t>
  </si>
  <si>
    <t>WS_G03</t>
  </si>
  <si>
    <t>WS_G04</t>
  </si>
  <si>
    <t>WS_G05</t>
  </si>
  <si>
    <t>WS_G06</t>
  </si>
  <si>
    <t>WS_G07</t>
  </si>
  <si>
    <t>WS_G08</t>
  </si>
  <si>
    <t>WS_G09</t>
  </si>
  <si>
    <t>WS_G10</t>
  </si>
  <si>
    <t>WS_G11</t>
  </si>
  <si>
    <t>WS_G12</t>
  </si>
  <si>
    <t>WS_G13</t>
  </si>
  <si>
    <t>WS_G14</t>
  </si>
  <si>
    <t>WS_G15</t>
  </si>
  <si>
    <t>WS_G16</t>
  </si>
  <si>
    <t>WS_G17</t>
  </si>
  <si>
    <t>WS_G18</t>
  </si>
  <si>
    <t>WS_G19</t>
  </si>
  <si>
    <t>WS_G20</t>
  </si>
  <si>
    <t>WS_G21</t>
  </si>
  <si>
    <t>WS_G22</t>
  </si>
  <si>
    <t>WS_G23</t>
  </si>
  <si>
    <t>WS_G25</t>
  </si>
  <si>
    <t>WS_G26</t>
  </si>
  <si>
    <t>WS_G27</t>
  </si>
  <si>
    <t>WS_G28</t>
  </si>
  <si>
    <t>WS_G29</t>
  </si>
  <si>
    <t>WS_G30</t>
  </si>
  <si>
    <t>WS_G31</t>
  </si>
  <si>
    <t>WS_G32</t>
  </si>
  <si>
    <t>WS_G33</t>
  </si>
  <si>
    <t>WS_G34</t>
  </si>
  <si>
    <t>WS_G35</t>
  </si>
  <si>
    <t>WS_G36</t>
  </si>
  <si>
    <t>WS_G37</t>
  </si>
  <si>
    <t>WS_G38</t>
  </si>
  <si>
    <t>WS_G39</t>
  </si>
  <si>
    <t>WS_G40</t>
  </si>
  <si>
    <t>WTG Total Gneration (KWh)</t>
  </si>
  <si>
    <t>Wind Speed Average cumulative (m/S)2</t>
  </si>
  <si>
    <t>Wind Speed Max (m/S)</t>
  </si>
  <si>
    <t>Rain (mm)</t>
  </si>
  <si>
    <t>33 kV_Wind_F1_Export reading</t>
  </si>
  <si>
    <t>33 kV_Wind_F1_Import reading</t>
  </si>
  <si>
    <t>33 kV_Wind_F2_Export_reading</t>
  </si>
  <si>
    <t>33 kV_Wind_F2_Import_reading</t>
  </si>
  <si>
    <t>33 kV_Wind_F3_Export_Reading</t>
  </si>
  <si>
    <t>33 kV_Wind_F3_Import_Reading</t>
  </si>
  <si>
    <t>33 kV_Wind_F4_Export Reading</t>
  </si>
  <si>
    <t>33 kV_Wind_F4_Import Reading</t>
  </si>
  <si>
    <t>33 kV_F1_Total_Export (KWh)</t>
  </si>
  <si>
    <t>33 kV_Wind_F1_Import (KWh)</t>
  </si>
  <si>
    <t>33 kV_F2_Total_Export (KWh)2</t>
  </si>
  <si>
    <t>33 kV_Wind_F2_Import (KWh)</t>
  </si>
  <si>
    <t>33 kV_Wind_F3_Export (KWh)</t>
  </si>
  <si>
    <t>33 kV_Wind_F3_Import (KWh)2</t>
  </si>
  <si>
    <t>33 kV_Wind_F4_Export (KWh)</t>
  </si>
  <si>
    <t>33 kV_Wind_F4_Import (KWh)2</t>
  </si>
  <si>
    <t>33 kV_Wind_Total_Export (KWh)</t>
  </si>
  <si>
    <t>33 kV_Wind_Total_Import (KWh)</t>
  </si>
  <si>
    <t>33 kV Line Loss (%)</t>
  </si>
  <si>
    <t>Forecasting Data count received on Forecasting Portal</t>
  </si>
  <si>
    <t>Forecasting Penalties (INR)</t>
  </si>
  <si>
    <t>Expected Energy As Per Power Curve  (MWh)</t>
  </si>
  <si>
    <t>Reactive Energy (MVArH)</t>
  </si>
  <si>
    <t>Operational Capacity</t>
  </si>
  <si>
    <t>Column1</t>
  </si>
  <si>
    <t>No scada available server OS failed</t>
  </si>
  <si>
    <t>0,0</t>
  </si>
  <si>
    <t>Month Name</t>
  </si>
  <si>
    <t>Month Number</t>
  </si>
  <si>
    <t>Month</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</si>
  <si>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</si>
  <si>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</si>
  <si>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</si>
  <si>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</si>
  <si>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</si>
  <si>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</si>
  <si>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</si>
  <si>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</si>
  <si>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</si>
  <si>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</si>
  <si>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</si>
  <si>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</si>
  <si>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</si>
  <si>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</si>
  <si>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</si>
  <si>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</si>
  <si>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</si>
  <si>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</si>
  <si>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</si>
  <si>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</si>
  <si>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</si>
  <si>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</si>
  <si>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</si>
  <si>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</si>
  <si>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</si>
  <si>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</si>
  <si>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</si>
  <si>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</si>
  <si>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</si>
  <si>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</si>
  <si>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</si>
  <si>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</si>
  <si>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</si>
  <si>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</si>
  <si>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 xml:space="preserve"> Capacity</t>
  </si>
  <si>
    <t>April</t>
  </si>
  <si>
    <t>FY22</t>
  </si>
  <si>
    <t>Hourly reactive power bugt</t>
  </si>
  <si>
    <t>May</t>
  </si>
  <si>
    <t>Day</t>
  </si>
  <si>
    <t>June</t>
  </si>
  <si>
    <t>July</t>
  </si>
  <si>
    <t>August</t>
  </si>
  <si>
    <t>September</t>
  </si>
  <si>
    <t>October</t>
  </si>
  <si>
    <t>November</t>
  </si>
  <si>
    <t>December</t>
  </si>
  <si>
    <t>January</t>
  </si>
  <si>
    <t>February</t>
  </si>
  <si>
    <t>March</t>
  </si>
  <si>
    <t>FY23</t>
  </si>
  <si>
    <t>FY24</t>
  </si>
  <si>
    <t>FY25</t>
  </si>
  <si>
    <t>FY26</t>
  </si>
  <si>
    <t>Operating Year</t>
  </si>
  <si>
    <t>Affected WTG</t>
  </si>
  <si>
    <t>SPV</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</si>
  <si>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</si>
  <si>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</si>
  <si>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</si>
  <si>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</si>
  <si>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</si>
  <si>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</si>
  <si>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</si>
  <si>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</si>
  <si>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</si>
  <si>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</si>
  <si>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</si>
  <si>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</si>
  <si>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</si>
  <si>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</si>
  <si>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</si>
  <si>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Energy Production during breakdwon of paired WTG</t>
  </si>
  <si>
    <t>Special remarks</t>
  </si>
  <si>
    <t>Fault Category</t>
  </si>
  <si>
    <t>Paired WTG Generation for loss calculation.</t>
  </si>
  <si>
    <t>loss</t>
  </si>
  <si>
    <t>PTW No.</t>
  </si>
  <si>
    <t>Job Card No.</t>
  </si>
  <si>
    <t>Year_3</t>
  </si>
  <si>
    <t>CE100015</t>
  </si>
  <si>
    <t>FM</t>
  </si>
  <si>
    <t>Manual stop for blade bush gap issue retrofitting work</t>
  </si>
  <si>
    <t>Open</t>
  </si>
  <si>
    <t>None</t>
  </si>
  <si>
    <t>WTG Force Majeaure</t>
  </si>
  <si>
    <t>BD</t>
  </si>
  <si>
    <t>Reset then restore wtg.</t>
  </si>
  <si>
    <t>Close</t>
  </si>
  <si>
    <t>WTG Breakdown Maintenance</t>
  </si>
  <si>
    <t>Auto reset</t>
  </si>
  <si>
    <t>CCU reset then restore wtg.</t>
  </si>
  <si>
    <t>Checked related circuit found ok the restore wtg.</t>
  </si>
  <si>
    <t>Checked related circuit found ok then restore wtg.</t>
  </si>
  <si>
    <t>Checked related circuit found yaw motor failure so replaced yaw motor with new one then restore wtg.</t>
  </si>
  <si>
    <t>Checked related circuit found CCU coolant cooling motor failure so replaced then start wtg.</t>
  </si>
  <si>
    <t>Reboot then restore wtg.</t>
  </si>
  <si>
    <t>Manual stop for blade bush gap inspection work.</t>
  </si>
  <si>
    <t>Check related circuit found ok then restore wtg.</t>
  </si>
  <si>
    <t>Check related circuit found yaw motor failure so replace with new one then restore wtg.</t>
  </si>
  <si>
    <t>work in progress</t>
  </si>
  <si>
    <t>Check related circuit found RTD module failure so repalced with new one then restore wtg.</t>
  </si>
  <si>
    <t>Checked related circuit found no leakage then top-up 5 liter HU oil then restore wtg.</t>
  </si>
  <si>
    <t>Checked related circuit found leakage form yaw caliper so replaced yaw caliper seal then top-up 30 liter oil then restore wtg.</t>
  </si>
  <si>
    <t>Checked and found MPCB tripped so recorrect it then restore wtg.</t>
  </si>
  <si>
    <t>Checked and found Balde A proportional valve failure so replaced with new one then restore wtg</t>
  </si>
  <si>
    <t>Untwist then restore wtg.</t>
  </si>
  <si>
    <t>Checked and found Netural relay failure so rplaced with new one then restore wtg.</t>
  </si>
  <si>
    <t xml:space="preserve">Checked and found balluf sensor cable failure so replaced with new one then restore then restore </t>
  </si>
  <si>
    <t>Checked and found no leakage then tou-up 5 litre oil then restore wtg.</t>
  </si>
  <si>
    <t>Manual stop</t>
  </si>
  <si>
    <t>Manual stop for blade bush gap inspection  work</t>
  </si>
  <si>
    <t>WTG Unscheduled Maintenance</t>
  </si>
  <si>
    <t>Reset CCU tchen restore wtg.</t>
  </si>
  <si>
    <t>Checked related circuit found MPCB failure so replaced with new one then restore wtg.</t>
  </si>
  <si>
    <t>Found addon block loose so tight it then restore wtg.</t>
  </si>
  <si>
    <t>Found addon block malfunction  so replaced it then restore wtg.</t>
  </si>
  <si>
    <t>Manual stop for Blade bush gap inspection work</t>
  </si>
  <si>
    <t>Checked and found SF-6 breaker tripped so charge SF-6 breaker then chen all motor found ok then restore wtg.</t>
  </si>
  <si>
    <t>Checked related circuit found no leakage then restore wtg.</t>
  </si>
  <si>
    <t>Checked related circuit found module failure so replace module then found nacelle to hub cable one core failure so used spare cable core then restore wtg.</t>
  </si>
  <si>
    <t>Checked related circuit found pressure switch and solenid valve cable failure so replaced with new one the restore wtg.</t>
  </si>
  <si>
    <t>Manual stop for blade bush gap inspection work</t>
  </si>
  <si>
    <t>checked related circuit found MPCB tripped  so correct it then restore wtg.</t>
  </si>
  <si>
    <t>Check related circuit found loose connection so tight it then update software then restore wtg.</t>
  </si>
  <si>
    <t>Checked related circuit found SF-6 breaker tripped so we checked T connector found ok then checked power cable then checked transformer then restore wtg.</t>
  </si>
  <si>
    <t>manual stop for blade bush gap inspection work</t>
  </si>
  <si>
    <t>check and found SF-6 breaker tripped so charge it then checked all motors then restore wtg.</t>
  </si>
  <si>
    <t>CE100008</t>
  </si>
  <si>
    <t>Manual stop for Blade A pitch seal replacement work</t>
  </si>
  <si>
    <t>Checked related circuit found relay failure so replaced reley then restore wtg.</t>
  </si>
  <si>
    <t>Coolant cooling rediator clean then restore wtg.</t>
  </si>
  <si>
    <t>Gear box oil leakage arrest then top-up 15 liter gear oil then start wtg.</t>
  </si>
  <si>
    <t>Checked related circuit found contactor straked so replaced with new one then restore wtg.</t>
  </si>
  <si>
    <t>Checked related circuit found ccU coolant cooling motor &amp; MPCB failure so replaced with new one then restore wtg. then start wtg.</t>
  </si>
  <si>
    <t>Replaced Carbon brush and holder then restore wtg and power set to 500 kw</t>
  </si>
  <si>
    <t>Due to material shortage power set on 500 kw</t>
  </si>
  <si>
    <t>CE100001</t>
  </si>
  <si>
    <t>Manual stop for gear box hose replacement work</t>
  </si>
  <si>
    <t>Manual stop for CCU raditor cleaning work</t>
  </si>
  <si>
    <t>check related circuit found ACB relay malfuction so replace with new one then restore wtg.</t>
  </si>
  <si>
    <t>Check related circuit found no leakage  then restore wtg.</t>
  </si>
  <si>
    <t>Manual stop for Lift supporting &amp; plateform guide clamp replaced then clean CCU radiator then restore wyg.</t>
  </si>
  <si>
    <t>Checked related circuit found ok then interchange addon then restore wtg.</t>
  </si>
  <si>
    <t>Blade C Pitch seal replaced then start wtg.</t>
  </si>
  <si>
    <t>Checked related circuit found addon loose so tight it then restore wtg.</t>
  </si>
  <si>
    <t>Check related circuit found internal leakage from proportional valve so replaced with new one then restore wtg.</t>
  </si>
  <si>
    <t>check related circuit found generator earthing brush wear out then replace it then restore wtg.</t>
  </si>
  <si>
    <t>Check related circuit found MPCB tripped so correct it then check motor found ok then check connection then restore wtg.</t>
  </si>
  <si>
    <t xml:space="preserve">check related circuit found rotor sensor connection loose so tight it </t>
  </si>
  <si>
    <t>Check related circuit found proportion valve cable connector loose so tight it then restore wtg.</t>
  </si>
  <si>
    <t>Checked related circuit found Sensor ok then replaced module</t>
  </si>
  <si>
    <t>Check related circuit found loose connection so tight it then restore wtg.</t>
  </si>
  <si>
    <t>Manual stop for generator cooling motor inspection and rectification work</t>
  </si>
  <si>
    <t>Manual stop for Slipring carbon brush &amp; spring replacement and power set to 2000kw max.</t>
  </si>
  <si>
    <t>Manual stop for CCU motor replaced then restore wtg.</t>
  </si>
  <si>
    <t>Manual stop for transformer fan replacement work</t>
  </si>
  <si>
    <t>IG Force Majeaure</t>
  </si>
  <si>
    <t xml:space="preserve">Manual stop for generator temp. Apply grease and connections checking </t>
  </si>
  <si>
    <t>Check and found PLC card failure so replaced card then update softwear then restore wtg.</t>
  </si>
  <si>
    <t>Manual stop for repeted error found pressure switch loose connection so tight it then restore wtg.</t>
  </si>
  <si>
    <t>Manual stop for Blade B pitch seal replacement work</t>
  </si>
  <si>
    <t>Check and found yaw encoder failure so replaced with new one then restore wtg.</t>
  </si>
  <si>
    <t>CE100010</t>
  </si>
  <si>
    <t>PM</t>
  </si>
  <si>
    <t>Manual stop for HYPM work</t>
  </si>
  <si>
    <t>WTG Scheduled Maintenance</t>
  </si>
  <si>
    <t>OGS reset then restore wg.</t>
  </si>
  <si>
    <t>Slip ring clean then restore wtg.</t>
  </si>
  <si>
    <t>HYPM done then restore wtg.</t>
  </si>
  <si>
    <t>Check related circuit found Hub main accumulator failure so replaced with new one then restore wtg.</t>
  </si>
  <si>
    <t>Check OGS sensor Replaced OGS guard then restore wtg.</t>
  </si>
  <si>
    <t>Check related circuit found hub main accumulator failure so replaced accumulator then found gear box oil leakage from hose so replaced GB hose then restore wtg.</t>
  </si>
  <si>
    <t>Check related  circuit found HU pressure drop continuous so check HU pump then check NRV valve then replaced RV 8-10 &amp; Break Valve restore wtg.</t>
  </si>
  <si>
    <t>Check related circuit found single winding temp. high so check sensor then used spare sensor then restore wtg.</t>
  </si>
  <si>
    <t>Check related circuit found MPCB tripped so correct it then restore wtg.</t>
  </si>
  <si>
    <t>Check related circuit found loose connection so tigh it then restore wtg.</t>
  </si>
  <si>
    <t>Checked related circuit found HU contactor failure so replaced with new one then restore wtg.</t>
  </si>
  <si>
    <t>Checked related circuit found relay malfuction so interchage reley then restore wtg.</t>
  </si>
  <si>
    <t>Manual stop for oil leakage inspection work. Found  oil leakage from Blade C so replaced pitch seal then restore wtg.</t>
  </si>
  <si>
    <t>Check related circuit found oil leakage from Blade B. So replaced pitch seal then top-up 15 liter oil then restore wtg.</t>
  </si>
  <si>
    <t>Checked related circuit found carbon brush spring and holder failure so replaced with new one then restore wtg.</t>
  </si>
  <si>
    <t>Manual stop for oil leakage inspection &amp; rectification found oil leak for Blade B pitch seal so replaced pith seal then restore wtg.</t>
  </si>
  <si>
    <t>HYPM done then checked blade bush gap inspection then restore wtg.</t>
  </si>
  <si>
    <t>Manual stop for pitch seal replacement work (work in progress)</t>
  </si>
  <si>
    <t>HYPM done then then restore wtg.</t>
  </si>
  <si>
    <t>Manual stop for Yaw caliper seal replacement work.</t>
  </si>
  <si>
    <t>Manual stop/Customer</t>
  </si>
  <si>
    <t>SEM meter Pole CT &amp; PT installation work</t>
  </si>
  <si>
    <t>Check related circuit check all motor found ok then restore wtg.</t>
  </si>
  <si>
    <t>Replaced Blade B pitch cylinder then top up 22 liter HU oil then restore wtg.</t>
  </si>
  <si>
    <t>Checked related circuit found MPCB tripped so checked motor resistance then restore wtg.</t>
  </si>
  <si>
    <t>Check related circuit found MPCB &amp; Contactor failure so replaced with new one then restore wtg.</t>
  </si>
  <si>
    <t>Checked related circuit found oil leakage from Blade A. so replaced pitch seal then restore wtg.</t>
  </si>
  <si>
    <t>Manual stop for oil leakage inspection work</t>
  </si>
  <si>
    <t>Check related circuit found 33k resistor and RC filter card failure so replaced both with new one then restore wtg.</t>
  </si>
  <si>
    <t>Checked related circuit found propotional valve failure then replaced .</t>
  </si>
  <si>
    <t>Change PRV-10 &amp; RV  8-10 Valve than start the WTG</t>
  </si>
  <si>
    <t xml:space="preserve">Checked related circuit found KC004 Contactor replace </t>
  </si>
  <si>
    <t>Checked related circuit &amp; replace slipring and CAP module than start WTG</t>
  </si>
  <si>
    <t>Checked related circuit found niddel valve failure than replace .</t>
  </si>
  <si>
    <t>Checked related circuit found Cab module failure then replace.</t>
  </si>
  <si>
    <t>SEM Yard Earthing work done then restore wtg.</t>
  </si>
  <si>
    <t xml:space="preserve">Checked related circuit found KC004 Contactor addon replace </t>
  </si>
  <si>
    <t>No leakage fond than start WTG</t>
  </si>
  <si>
    <t>Checked related circuit no any obsarvation than start WTG</t>
  </si>
  <si>
    <t>checked T connector failure (work in progress)</t>
  </si>
  <si>
    <t>Material shotage Tee connector.</t>
  </si>
  <si>
    <t>Check related ckt found bulluf sensor failure then replaced &amp; restore WTG.</t>
  </si>
  <si>
    <t xml:space="preserve">Check related ckt found  Component failure then replace Rectifire Side 3 IGBT,Fuse ,KC002 Contactor ,800 HC resistor and check capacitor bank then restore WTG. </t>
  </si>
  <si>
    <t>Check related  ckt found hose damaged then replaced and restore WTG.</t>
  </si>
  <si>
    <t>Transformer inspection work.</t>
  </si>
  <si>
    <t>Manual stop for Gearbox fan motor replaced then restore wtg.</t>
  </si>
  <si>
    <t>Check related circuit found B Phase Tee connector failure so replaced with new one then restore wtg.</t>
  </si>
  <si>
    <t>Checked related circuit found loose connection so tight it then restore wtg.</t>
  </si>
  <si>
    <t>Manual stop for SEM meter CT/PT istallation work</t>
  </si>
  <si>
    <t>Check related circuit found ok then set PRV 8-10 Valve then replaced Gearbox cooling fan motor replaced then restore wtg.</t>
  </si>
  <si>
    <t>Manual stop for pitch seal replacement work (Pitch cylinder head sturcked work in progress)</t>
  </si>
  <si>
    <t>Checked related circuit found ok then replaced smoke sensor then restore wtg.</t>
  </si>
  <si>
    <t>Manual stop for Blade B pitch cylinder replaced then restore wtg.</t>
  </si>
  <si>
    <t>Slipring clean then restore wtg</t>
  </si>
  <si>
    <t>Manual stop for lift clamp replacement work</t>
  </si>
  <si>
    <t>checked related circuit found no leakage then top-up 10 liter HU oil then restore wtg.</t>
  </si>
  <si>
    <t>Manual stop for Carbon brush replacement work.</t>
  </si>
  <si>
    <t>Manual stop for repeted error (low pressure on hydraulic group and failure of the rotor power supply failure) found losse connection and set RV8-10 valve then restore wtg.</t>
  </si>
  <si>
    <t>Manual stop for SEM meter CT/PT earthing istallation work</t>
  </si>
  <si>
    <t>Manual stop for HU main accumulator replacement work</t>
  </si>
  <si>
    <t>Checked and found FG780 MPCB tripped so correct it then checked motor and connections then restore wtg.</t>
  </si>
  <si>
    <t>(work in progress) Tee-connector failure wtg side.</t>
  </si>
  <si>
    <t>CE100014</t>
  </si>
  <si>
    <t xml:space="preserve">Manual stop for Customer audit work </t>
  </si>
  <si>
    <t>Checked related circuit found Tee connector failure so replaced Tee connector with new one then restore wtg.</t>
  </si>
  <si>
    <t>Checked related circuit found TA033 power supply failure so replaced with new one then restore wtg.</t>
  </si>
  <si>
    <t>Checked related circuit found Diode failure so replaced with new one then restore wtg.</t>
  </si>
  <si>
    <t>Manual stop for Customer audit point rectification and Gear box damper replacement work.</t>
  </si>
  <si>
    <t>Manual stop for SEM meter CT/PT connection work</t>
  </si>
  <si>
    <t>Checked reslsted circuit found PRV valve failure so replaced with new one then restore wtg.</t>
  </si>
  <si>
    <t>Check related circuit found Addon and CCU malfunction so replaced addon and reset CCU then restore wtg.</t>
  </si>
  <si>
    <t>Check related circuit found Proportion valve cable damage form connecter side so replaced it then take tail after that error occurred heating /coolant thermal relay failure so checked and found Coolant pump and motor failure so replaced with new one then restore wtg.</t>
  </si>
  <si>
    <t>Checked releated circuit found proportional valve failure so replaced with new one then restore wtg.</t>
  </si>
  <si>
    <t>Checked related circuit found Coolant motor failure so replaced with new one then restore wtg.</t>
  </si>
  <si>
    <t>Checked related circuit found cab module malfunction so interchange then restore wtg.</t>
  </si>
  <si>
    <t>Checked related circuit found slip ring TB damage so replaced TB then reconnection done then restore wtg.</t>
  </si>
  <si>
    <t>Checked related circuit found HU hose failure so replaced with new one then restore wtg.</t>
  </si>
  <si>
    <t>Checked related circuit found ccU coolant cooling motor failure so replaced with new one then restore wtg. then start wtg.</t>
  </si>
  <si>
    <t>Manual stop for HYPM pending point rectification and radaitor clening work</t>
  </si>
  <si>
    <t>Manual stop for HYPM pending piont rectification work</t>
  </si>
  <si>
    <t>Checked releated circuit found MPCB failure so replaced with new one then restore wtg.</t>
  </si>
  <si>
    <t xml:space="preserve">Checked related circuit found  losse connection in yaw sensor so tight it then restore wtg. </t>
  </si>
  <si>
    <t>Manual stop for repeated error found valve malfunction so replaced with new one then restore wtg.</t>
  </si>
  <si>
    <t>Checked related circuit found oil leakage from Blade C Accumulator so replaced with new one then N2 refilling done then restore wtg.</t>
  </si>
  <si>
    <t>Checked related coircuit found HU main accumulator pressure low so refilled N2 then restore wtg.</t>
  </si>
  <si>
    <t>Inspection done then restore wtg.</t>
  </si>
  <si>
    <t>Checked related circuit found KR003 relay in loose condition so tight it then restore wtg</t>
  </si>
  <si>
    <t>Checked related circuit found PRV -8 Valve failure so replaced with new one then restore wtg.</t>
  </si>
  <si>
    <t>Manual stop for yaw abnormal sound rectification work</t>
  </si>
  <si>
    <t>checked related circuit found loose connection so tight it  then apply sealant then restore wtg.</t>
  </si>
  <si>
    <t>Replaced lift guide clamp then checked related circuit found generator carbon brush wear out and spring damage so replaced with new one then restore wtg.</t>
  </si>
  <si>
    <t>Manual stop for HYPM pending point rectification work</t>
  </si>
  <si>
    <t>Checked related circuit found cable connection loose so tight it then restore wtg</t>
  </si>
  <si>
    <t>Total Reactive Power (kVArh)</t>
  </si>
  <si>
    <t>No scada available server OS failed-reading as per billing meter</t>
  </si>
  <si>
    <t xml:space="preserve">Affected Feeder </t>
  </si>
  <si>
    <t>Fault category</t>
  </si>
  <si>
    <t>Scope</t>
  </si>
  <si>
    <t>KWH lost during BD/SD</t>
  </si>
  <si>
    <t>Year_1</t>
  </si>
  <si>
    <t>Wind_F2</t>
  </si>
  <si>
    <t xml:space="preserve">F-2 tripped due to Earth fault </t>
  </si>
  <si>
    <t>Test charged &amp; stood ok</t>
  </si>
  <si>
    <t>IG Breakdown Maintenance</t>
  </si>
  <si>
    <t>SGSL</t>
  </si>
  <si>
    <t>Wind_F3</t>
  </si>
  <si>
    <t xml:space="preserve">F-3 tripped due to Earth fault / Over current </t>
  </si>
  <si>
    <t>Wind_F1</t>
  </si>
  <si>
    <t xml:space="preserve">F-1 tripped due to Earth fault / Over current </t>
  </si>
  <si>
    <t>Circuit open then close one by one</t>
  </si>
  <si>
    <t>F-3 Shutdown taken for scada cable rectification work</t>
  </si>
  <si>
    <t>Scada cable rejoint then restore feeder</t>
  </si>
  <si>
    <t>IG Unscheduled Maintenance</t>
  </si>
  <si>
    <t>Wind_F4</t>
  </si>
  <si>
    <t>F-4 Shutdown taken for scada cable rectification work</t>
  </si>
  <si>
    <t>F-3 Shutdown taken for 11Kv line restoration work.</t>
  </si>
  <si>
    <t>11 Kv line restore then restore feeder</t>
  </si>
  <si>
    <t>F-4 Shutdown taken for 11Kv line restoration work.</t>
  </si>
  <si>
    <t xml:space="preserve">F-3 tripped due to Earth fault </t>
  </si>
  <si>
    <t xml:space="preserve">F-1 tripped due to Earth fault </t>
  </si>
  <si>
    <t>Wind_F4_Ckt2</t>
  </si>
  <si>
    <t xml:space="preserve">F-4 Shutdown taken for line &amp; HT yard preventive maintenance work </t>
  </si>
  <si>
    <t>Line &amp; HT yard maintenance work done then restore circuit</t>
  </si>
  <si>
    <t>IG Scheduled Maintenance</t>
  </si>
  <si>
    <t xml:space="preserve">F-3 Shutdown taken for line &amp; HT yard preventive maintenance work </t>
  </si>
  <si>
    <t>Line &amp; HT yard maintenance work done then restore feeder</t>
  </si>
  <si>
    <t>Wind_F4_Ckt1</t>
  </si>
  <si>
    <t xml:space="preserve">F-4 tripped due to Earth fault </t>
  </si>
  <si>
    <t>Circuit 2 isolator open then closed</t>
  </si>
  <si>
    <t>LA failure in G12 HT yard so replaced it then restore feeder</t>
  </si>
  <si>
    <t xml:space="preserve">F-4 Ckt-1 Shutdown taken for line &amp; HT yard preventive maintenance work </t>
  </si>
  <si>
    <t xml:space="preserve">F-1 Shutdown taken for line &amp; HT yard preventive maintenance work </t>
  </si>
  <si>
    <t>Wind_F2_Ckt2</t>
  </si>
  <si>
    <t xml:space="preserve">F-2 Shutdown taken for line &amp; HT yard preventive maintenance work </t>
  </si>
  <si>
    <t xml:space="preserve">F-1 Shutdown taken for line &amp; VCB yard preventive maintenance work </t>
  </si>
  <si>
    <t>Line &amp; VCB yard maintenance work done then restore feeder</t>
  </si>
  <si>
    <t xml:space="preserve">F-2 Shutdown taken for line &amp; VCB yard preventive maintenance work </t>
  </si>
  <si>
    <t xml:space="preserve">F-4 Shutdown taken for container movement work </t>
  </si>
  <si>
    <t>Container movement then restore feeder</t>
  </si>
  <si>
    <t>O2 power</t>
  </si>
  <si>
    <t>F-4 Shutdown taken for PT replacement work .</t>
  </si>
  <si>
    <t xml:space="preserve">PT replaced then restore feeder </t>
  </si>
  <si>
    <t>F-4 shutdown taken for Protection PT replaced</t>
  </si>
  <si>
    <t>G01 Isolator open then restore feeder</t>
  </si>
  <si>
    <t>Wtg G01 Isolator open then restore feeder</t>
  </si>
  <si>
    <t>Wind_F2_Ckt1</t>
  </si>
  <si>
    <t>Circuit 2 isolator open then charge feeder circuit 1</t>
  </si>
  <si>
    <t>Circuit 2 petorling done then charge circuit 2</t>
  </si>
  <si>
    <t xml:space="preserve">F-3 Shutdown taken for line &amp; VCB yard preventive maintenance work </t>
  </si>
  <si>
    <t xml:space="preserve">F-4 Shutdown taken for line &amp; VCB yard preventive maintenance work </t>
  </si>
  <si>
    <t xml:space="preserve">F-2 Shutdown taken for Protection CT replacement work </t>
  </si>
  <si>
    <t xml:space="preserve">Portection CT replaced then restore feeder </t>
  </si>
  <si>
    <t>F-2 tripped due to Over current</t>
  </si>
  <si>
    <t>Line petroling done then charged feeder</t>
  </si>
  <si>
    <t>F-3 tripped due to Over current</t>
  </si>
  <si>
    <t>Affected System</t>
  </si>
  <si>
    <t>Approx. Energy loss (kWh)</t>
  </si>
  <si>
    <t>Line1</t>
  </si>
  <si>
    <t>Grid Failure</t>
  </si>
  <si>
    <t>Charged feeders post Grid resume</t>
  </si>
  <si>
    <t>Suzlon Mirkala Yearly maintenance schedule Plan Vs Actual Year 2023-24</t>
  </si>
  <si>
    <t>Sr No</t>
  </si>
  <si>
    <t>Turbine No</t>
  </si>
  <si>
    <t>Generator Make</t>
  </si>
  <si>
    <t>Turbine ID</t>
  </si>
  <si>
    <t>6 Months Schedule Date</t>
  </si>
  <si>
    <t>Completed Date</t>
  </si>
  <si>
    <t>12 Months Schedule Date</t>
  </si>
  <si>
    <t>18 Months Schedule Date</t>
  </si>
  <si>
    <t>24 Months Schedule Date</t>
  </si>
  <si>
    <t>30 Months Schedule Date</t>
  </si>
  <si>
    <t>36 Months Schedule Date</t>
  </si>
  <si>
    <t>42 Months Schedule Date</t>
  </si>
  <si>
    <t>48 Months Schedule Date</t>
  </si>
  <si>
    <t>54 Month PM Schedule Date</t>
  </si>
  <si>
    <t>60Month PM Schedule Date</t>
  </si>
  <si>
    <t>66 Month PM Schedule Date</t>
  </si>
  <si>
    <t>72 Month PM Schedule Date</t>
  </si>
  <si>
    <t>78 Month PM Schedule Date</t>
  </si>
  <si>
    <t>84 Month PM Schedule Date</t>
  </si>
  <si>
    <t>90 Month PM Schedule Date</t>
  </si>
  <si>
    <t>96 Month PM Schedule Date</t>
  </si>
  <si>
    <t>Delay in Days</t>
  </si>
  <si>
    <t>102 Month PM Schedule Date</t>
  </si>
  <si>
    <t>108 Month PM Schedule Date(Suzlon)
Day-1</t>
  </si>
  <si>
    <t>108 Month PM Schedule Date(Suzlon) 
Day-2</t>
  </si>
  <si>
    <t>Completed Date
Day1</t>
  </si>
  <si>
    <t>Completed Date
Day2</t>
  </si>
  <si>
    <t>PM delay resons</t>
  </si>
  <si>
    <t>114 Month Half year PM Schedule Date</t>
  </si>
  <si>
    <t>120 Month YPM  Schedule Date
(Day-01)</t>
  </si>
  <si>
    <t>120 Month YPM  Schedule Date
(Day-02)</t>
  </si>
  <si>
    <t>120 Month YPM  Completed Date
(Day-01)</t>
  </si>
  <si>
    <t>120 Month YPM  Completed Date
(Day-02)</t>
  </si>
  <si>
    <t>WTG</t>
  </si>
  <si>
    <t>126 Month
Plan Date
HYPM</t>
  </si>
  <si>
    <t>126 Month
Actual Date
HYPM</t>
  </si>
  <si>
    <t>Diff. Days</t>
  </si>
  <si>
    <t>Adherence</t>
  </si>
  <si>
    <t>G 24</t>
  </si>
  <si>
    <t>ABB</t>
  </si>
  <si>
    <t>G 25</t>
  </si>
  <si>
    <t> </t>
  </si>
  <si>
    <t>PWEGPL25</t>
  </si>
  <si>
    <t>Delay due to payment issue</t>
  </si>
  <si>
    <t>G 27</t>
  </si>
  <si>
    <t>PWEGPL27</t>
  </si>
  <si>
    <t>G 31</t>
  </si>
  <si>
    <t>CANTERY</t>
  </si>
  <si>
    <t>ROW at site office (11-10-23 to 16-10-23) for crane movement to G20 &amp; Multiple activities at site BD &amp; G20 restoration work.(20-10-23 to 27-10-2023) /limited manpower at site</t>
  </si>
  <si>
    <t> Manual stop for blade bush gap issue retrofitting work on 14-Dec-24 @15:02</t>
  </si>
  <si>
    <t>PWEGPL31</t>
  </si>
  <si>
    <t>Major B.D Blade root bush gap issue in blade no 596</t>
  </si>
  <si>
    <t>G 30</t>
  </si>
  <si>
    <t>PWEGPL30</t>
  </si>
  <si>
    <t>G 29</t>
  </si>
  <si>
    <t>PWEGPL29</t>
  </si>
  <si>
    <t>Major B.D Blade root bush gap issue blade 636 de erected</t>
  </si>
  <si>
    <t>G 34</t>
  </si>
  <si>
    <t>PWEGPL28</t>
  </si>
  <si>
    <t>G 33</t>
  </si>
  <si>
    <t>PWEGPL34</t>
  </si>
  <si>
    <t>G 35</t>
  </si>
  <si>
    <t>PWEGPL33</t>
  </si>
  <si>
    <t>G 36</t>
  </si>
  <si>
    <t>PWEGPL35</t>
  </si>
  <si>
    <t>delay due to Pitch seal replaced in G-07</t>
  </si>
  <si>
    <t>G 37</t>
  </si>
  <si>
    <t>PWEGPL36</t>
  </si>
  <si>
    <t>G 38</t>
  </si>
  <si>
    <t>PWEGPL37</t>
  </si>
  <si>
    <t>Delay due to Pitch cylinder replacement work in G-26</t>
  </si>
  <si>
    <t>G 39</t>
  </si>
  <si>
    <t xml:space="preserve"> 02 days Maint activity stopped for G-25 PM pending completion work.
</t>
  </si>
  <si>
    <t>PWEGPL38</t>
  </si>
  <si>
    <t>G 40</t>
  </si>
  <si>
    <t>PM team has taken weekly off and they continue to PM work on Sunday</t>
  </si>
  <si>
    <t>PM postpone to 10-12-24 due to N2 Not avail.</t>
  </si>
  <si>
    <t>PWEGPL39</t>
  </si>
  <si>
    <t>Delayed due to  8 employess GWO training(for 4days)</t>
  </si>
  <si>
    <t>G 26</t>
  </si>
  <si>
    <t xml:space="preserve">PM team-02 employees on leave. Date- 28-11-23 </t>
  </si>
  <si>
    <t>PM Postpone 2day to 15-12-24 ,due to G-33 Pitch seal replacement work &amp; team busy in 14-12-24 &amp;G-26 B.D</t>
  </si>
  <si>
    <t>PWEGPL40</t>
  </si>
  <si>
    <t>G 32</t>
  </si>
  <si>
    <t xml:space="preserve">PM team-02 employees on leave. Date- 29-11-23 </t>
  </si>
  <si>
    <t>Delay due to G-26 ,pin ball hardware damaged from 12-dec-24 to 18-dec-24</t>
  </si>
  <si>
    <t>PWEGPL26</t>
  </si>
  <si>
    <t>G 28</t>
  </si>
  <si>
    <t>ROW at site office (11-10-23 to 16-10-23) for crane movement to G20</t>
  </si>
  <si>
    <t>PWEGPL32</t>
  </si>
  <si>
    <t>G 21</t>
  </si>
  <si>
    <t>92</t>
  </si>
  <si>
    <t>Major B.D(Stopped due to Blade Root gap) on 15-July-24@12:51 ,Repair work completed on 15-Feb-25</t>
  </si>
  <si>
    <t>PWEGPL21</t>
  </si>
  <si>
    <t>G 22</t>
  </si>
  <si>
    <t>PWEGPL22</t>
  </si>
  <si>
    <t>G 23</t>
  </si>
  <si>
    <t>WTG under major BM blade crack</t>
  </si>
  <si>
    <t>PWEGPL23</t>
  </si>
  <si>
    <t>G 05</t>
  </si>
  <si>
    <t xml:space="preserve">Little early taken due to HG temp error &amp; resolved </t>
  </si>
  <si>
    <t>PWEGPL05</t>
  </si>
  <si>
    <t>G 15</t>
  </si>
  <si>
    <t>PWEGPL15</t>
  </si>
  <si>
    <t>G 16</t>
  </si>
  <si>
    <t>PM team have taken off on 31/12/24</t>
  </si>
  <si>
    <t>PWEGPL16</t>
  </si>
  <si>
    <t>G 17</t>
  </si>
  <si>
    <t xml:space="preserve">PM team have taken off on 01/01/25 &amp; on dated 05/01/25 PM cancelled due to vehicle issue </t>
  </si>
  <si>
    <t>PWEGPL17</t>
  </si>
  <si>
    <t>G 18</t>
  </si>
  <si>
    <t>Team-01 assigned Yaw drive replacement work at G-15</t>
  </si>
  <si>
    <t>PWEGPL18</t>
  </si>
  <si>
    <t>G 19</t>
  </si>
  <si>
    <t> on dated 09-Jan-25 ,PM cancelled due to G-18 PM Pending point Closing work</t>
  </si>
  <si>
    <t>PWEGPL19</t>
  </si>
  <si>
    <t>G 20</t>
  </si>
  <si>
    <t>PWEGPL20</t>
  </si>
  <si>
    <t>G 14</t>
  </si>
  <si>
    <t>on the date 15-01-25 PM Team Taken w-off</t>
  </si>
  <si>
    <t>PWEGPL14</t>
  </si>
  <si>
    <t>G 13</t>
  </si>
  <si>
    <t>PM Postpone to 20-01-24,due to recreational(Sports) event as per sidhu's mail communication</t>
  </si>
  <si>
    <t>PWEGPL13</t>
  </si>
  <si>
    <t>G 12</t>
  </si>
  <si>
    <t>PWEGPL12</t>
  </si>
  <si>
    <t>G 09</t>
  </si>
  <si>
    <t>PM Cancelled  in 26th jan ,Republic day</t>
  </si>
  <si>
    <t>PWEGPL09</t>
  </si>
  <si>
    <t>G 08</t>
  </si>
  <si>
    <t>PWEGPL08</t>
  </si>
  <si>
    <t>G 06</t>
  </si>
  <si>
    <t>PWEGPL06</t>
  </si>
  <si>
    <t>G 03</t>
  </si>
  <si>
    <t>Day-02 Activity not taken due to N2 Not avail.(&amp; day-2 taken after G-04)</t>
  </si>
  <si>
    <t>PWEGPL03</t>
  </si>
  <si>
    <t>G 04</t>
  </si>
  <si>
    <t>Day-02 not taken due to Annual Blood donation drive</t>
  </si>
  <si>
    <t>PWEGPL04</t>
  </si>
  <si>
    <t>G 02</t>
  </si>
  <si>
    <t>PWEGPL02</t>
  </si>
  <si>
    <t>G 07</t>
  </si>
  <si>
    <t>PWEGPL07</t>
  </si>
  <si>
    <t>G 01</t>
  </si>
  <si>
    <t>PWEGPL01</t>
  </si>
  <si>
    <t>G 10</t>
  </si>
  <si>
    <t>PWEGPL10</t>
  </si>
  <si>
    <t>G 11</t>
  </si>
  <si>
    <t>PM 1day postpone due to G-37 B.D(HU oil level)so replaced 3nos accumulator</t>
  </si>
  <si>
    <t>PWEGPL11</t>
  </si>
  <si>
    <t>Location</t>
  </si>
  <si>
    <t>Material Name</t>
  </si>
  <si>
    <t>Quantity</t>
  </si>
  <si>
    <t>UoM</t>
  </si>
  <si>
    <t>Remark</t>
  </si>
  <si>
    <t>shim (1mm)</t>
  </si>
  <si>
    <t>pc</t>
  </si>
  <si>
    <t>AI module</t>
  </si>
  <si>
    <t>Yaw motor (Bonifigoli)</t>
  </si>
  <si>
    <t>Yaw contactor (26-30-10)</t>
  </si>
  <si>
    <t>Addon (NC)</t>
  </si>
  <si>
    <t>proportional valve</t>
  </si>
  <si>
    <t>Hydraulic Oil</t>
  </si>
  <si>
    <t>liter</t>
  </si>
  <si>
    <t>WS251 cable</t>
  </si>
  <si>
    <t>netural relay</t>
  </si>
  <si>
    <t>cab module 9 pin</t>
  </si>
  <si>
    <t>WS240 cable</t>
  </si>
  <si>
    <t>Yaw motor</t>
  </si>
  <si>
    <t>Pitch seal kit</t>
  </si>
  <si>
    <t>set</t>
  </si>
  <si>
    <t>Gear box oil</t>
  </si>
  <si>
    <t>CCU coolant motor</t>
  </si>
  <si>
    <t>MPCB</t>
  </si>
  <si>
    <t>HU contactor</t>
  </si>
  <si>
    <t xml:space="preserve">Gear box hose </t>
  </si>
  <si>
    <t>ACB reley (F5103057)</t>
  </si>
  <si>
    <t>HU contactor (52-30-10)</t>
  </si>
  <si>
    <t xml:space="preserve">NO addon </t>
  </si>
  <si>
    <t>Proportional valve</t>
  </si>
  <si>
    <t>HU oil</t>
  </si>
  <si>
    <t>Brush holder</t>
  </si>
  <si>
    <t>Brush holder spring</t>
  </si>
  <si>
    <t>Transformer fan</t>
  </si>
  <si>
    <t xml:space="preserve">Yaw encoder </t>
  </si>
  <si>
    <t>Plc Flash card</t>
  </si>
  <si>
    <t>Accumulator (24 liter) 143 bar</t>
  </si>
  <si>
    <t>OGS garud</t>
  </si>
  <si>
    <t>Hub Main accumulator (143 bar) 24 liter</t>
  </si>
  <si>
    <t>RV 8-10</t>
  </si>
  <si>
    <t>Electro operate valve</t>
  </si>
  <si>
    <t>HU Contactor</t>
  </si>
  <si>
    <t>Addon (NO)</t>
  </si>
  <si>
    <t>Yaw Caliper Seal</t>
  </si>
  <si>
    <t xml:space="preserve">Pitch cylinder </t>
  </si>
  <si>
    <t>MPCB (1.6 to 2.4)</t>
  </si>
  <si>
    <t>Contactor (12-30-10)</t>
  </si>
  <si>
    <t>33k Resistor</t>
  </si>
  <si>
    <t>RC bus filter card</t>
  </si>
  <si>
    <t>PRV-10 valve</t>
  </si>
  <si>
    <t>RV 8-10 valve</t>
  </si>
  <si>
    <t>Propotional Valve</t>
  </si>
  <si>
    <t>Slipring unit</t>
  </si>
  <si>
    <t>CAB Module</t>
  </si>
  <si>
    <t>KC004 contactor</t>
  </si>
  <si>
    <t>Needle Valve</t>
  </si>
  <si>
    <t>Single Drive card</t>
  </si>
  <si>
    <t>IGBT</t>
  </si>
  <si>
    <t>125A Fuse</t>
  </si>
  <si>
    <t>KC002 Contactor</t>
  </si>
  <si>
    <t>800 HC Resistor</t>
  </si>
  <si>
    <t>Hydraulic pump hose</t>
  </si>
  <si>
    <t>Power supply (10 Amp)</t>
  </si>
  <si>
    <t>Gearbox fan cooling motor</t>
  </si>
  <si>
    <t>Tee - Connector</t>
  </si>
  <si>
    <t>Gear box fan cooling motor</t>
  </si>
  <si>
    <t>Sealant</t>
  </si>
  <si>
    <t>Lift guide clamp</t>
  </si>
  <si>
    <t xml:space="preserve">HU oil </t>
  </si>
  <si>
    <t>Carbon brush ABB</t>
  </si>
  <si>
    <t>Carbon brush Spring ABB</t>
  </si>
  <si>
    <t>HU main accumulator (32 liter)</t>
  </si>
  <si>
    <t>Power supply (20 Amp)</t>
  </si>
  <si>
    <t>Gear box damper</t>
  </si>
  <si>
    <t>Coolant pump  with motor</t>
  </si>
  <si>
    <t xml:space="preserve">Addon </t>
  </si>
  <si>
    <t>Coolant motor</t>
  </si>
  <si>
    <t>HU hose (GP037088</t>
  </si>
  <si>
    <t>CCU cooling motor</t>
  </si>
  <si>
    <t>Carbon brush</t>
  </si>
  <si>
    <t xml:space="preserve">carbon brush </t>
  </si>
  <si>
    <t xml:space="preserve">Carbon brush </t>
  </si>
  <si>
    <t>PRV8-10 valve</t>
  </si>
  <si>
    <t>gadus</t>
  </si>
  <si>
    <t>PRV1-10 valve</t>
  </si>
  <si>
    <t>RV8-10 valve</t>
  </si>
  <si>
    <t>Generator</t>
  </si>
  <si>
    <t>Consumer</t>
  </si>
  <si>
    <t>Capacity</t>
  </si>
  <si>
    <t>% Plant Equiva. Weightage</t>
  </si>
  <si>
    <t>Feeder</t>
  </si>
  <si>
    <t>TX</t>
  </si>
  <si>
    <t>MY</t>
  </si>
  <si>
    <t>Maximum Winding Error</t>
  </si>
  <si>
    <t>EG Unscheduled Maintenance</t>
  </si>
  <si>
    <t>PWEGPL</t>
  </si>
  <si>
    <t>MSEDCL</t>
  </si>
  <si>
    <t>TX2</t>
  </si>
  <si>
    <t>Total Capacity</t>
  </si>
  <si>
    <t>EG Breakdown Maintenance</t>
  </si>
  <si>
    <t>EG Scheduled Maintenance</t>
  </si>
  <si>
    <t xml:space="preserve">WTG Environmental </t>
  </si>
  <si>
    <t>IG Force Majeure</t>
  </si>
  <si>
    <t>EG Force Majeure</t>
  </si>
  <si>
    <t>Maximum Unwinding Time</t>
  </si>
  <si>
    <t>WTG Force Majeure</t>
  </si>
  <si>
    <t>TX1</t>
  </si>
  <si>
    <t>Unwinding Error</t>
  </si>
  <si>
    <t>Yaw Beak Wear</t>
  </si>
  <si>
    <t>Low Yaw Brake Pressure</t>
  </si>
  <si>
    <t>Low Grease Level for Yaw Plates</t>
  </si>
  <si>
    <t>Yaw Plate Lubrication Failure</t>
  </si>
  <si>
    <t>Low Grease Level For Yaw Pinion</t>
  </si>
  <si>
    <t>Yaw Pinion Lubrication Failure</t>
  </si>
  <si>
    <t>Excessive Yaw Drag</t>
  </si>
  <si>
    <t>Possible Yaw Circuit Leakages</t>
  </si>
  <si>
    <t>Auto Yaw Not Possible</t>
  </si>
  <si>
    <t>Yaw Pinion Lubrication Failure Too Long</t>
  </si>
  <si>
    <t>Hydraulic HUB Filter Dirty</t>
  </si>
  <si>
    <t>Leakage In The HUB</t>
  </si>
  <si>
    <t>Maximum HU Preheating Time</t>
  </si>
  <si>
    <t>Warning Load Control valve Malfunction</t>
  </si>
  <si>
    <t>Low Oil Temperature : Heating Procedure Request</t>
  </si>
  <si>
    <t>Hydraulic Unit Alarm Temperature</t>
  </si>
  <si>
    <t>Wind_F1_Ckt1</t>
  </si>
  <si>
    <t>Wind_F1_Ckt2</t>
  </si>
  <si>
    <t>Wind_F3_Ckt1</t>
  </si>
  <si>
    <t>Wind_F3_Ckt2</t>
  </si>
  <si>
    <t>Hydraulic Filter Dirty Too Long</t>
  </si>
  <si>
    <t>Hydraulic HUB Filter Dirty Too Long</t>
  </si>
  <si>
    <t>Time Out For Oil Heating In Operation</t>
  </si>
  <si>
    <t>Anemo Failure</t>
  </si>
  <si>
    <t>High Wind Speed</t>
  </si>
  <si>
    <t>TOP Zero Degrees</t>
  </si>
  <si>
    <t>Ambient Temperature Low</t>
  </si>
  <si>
    <t>Ambient Temperature High</t>
  </si>
  <si>
    <t>High Temperature On Trafo Winding</t>
  </si>
  <si>
    <t>Overheating On Trafo Winding</t>
  </si>
  <si>
    <t>Smoke Sensor</t>
  </si>
  <si>
    <t>Machine On Preheating</t>
  </si>
  <si>
    <t>Zero Degrees HUB</t>
  </si>
  <si>
    <t>High Misalignment and Orienting Badly</t>
  </si>
  <si>
    <t>Beacon Failure</t>
  </si>
  <si>
    <t>Low Nacelle Temperature</t>
  </si>
  <si>
    <t>High Nacelle Temperature</t>
  </si>
  <si>
    <t>Ice On Nacelle</t>
  </si>
  <si>
    <t>Ice Sensor Error</t>
  </si>
  <si>
    <t>Low Ground Cabinet Temperature</t>
  </si>
  <si>
    <t>High Temperature Kit System Failure</t>
  </si>
  <si>
    <t>High Temperature Kit Feedback Failure</t>
  </si>
  <si>
    <t>Low Temperature Kit System Failure</t>
  </si>
  <si>
    <t>Low Temperature Kit Feedback Error</t>
  </si>
  <si>
    <t>Ice Shake</t>
  </si>
  <si>
    <t>Turbine Under Ice Operation</t>
  </si>
  <si>
    <t>High Temperature In Auxiliary Transformer</t>
  </si>
  <si>
    <t>Very High Temperature In Auxiliary Transformer</t>
  </si>
  <si>
    <t>GUYS Functionality Active</t>
  </si>
  <si>
    <t>Transformer Winding High Temperature Warning</t>
  </si>
  <si>
    <t>Converter Water Pressure High</t>
  </si>
  <si>
    <t>Converter Water Pressure Low</t>
  </si>
  <si>
    <t>Auxiliary Transformer Windings High Temperature Warning</t>
  </si>
  <si>
    <t>SADEI System Failure</t>
  </si>
  <si>
    <t>High Wind Turbulence Intensity Alarm</t>
  </si>
  <si>
    <t>VHT - Top Cabinet Maximum Temperature</t>
  </si>
  <si>
    <t>VHT - Ground Cabinet Maximum Temperature</t>
  </si>
  <si>
    <t>VHT - HUB Cabinet Maximum Temperature</t>
  </si>
  <si>
    <t>VHT - Air Conditioning Top Cabinet Feedback</t>
  </si>
  <si>
    <t>VHT - Air Conditioning Ground Cabinet Feedback</t>
  </si>
  <si>
    <t>VHT - Air Conditioning HUB Cabinet Feedback</t>
  </si>
  <si>
    <t>Maximum Generator - Rotor Discrepancy</t>
  </si>
  <si>
    <t>Rotor Or Generator High Speed In Pause</t>
  </si>
  <si>
    <t>Generator - Rotor Discrepancy</t>
  </si>
  <si>
    <t>High Brake Temperature</t>
  </si>
  <si>
    <t>Gearbox Fans Active</t>
  </si>
  <si>
    <t>Low Gearbox Oil Temperature</t>
  </si>
  <si>
    <t>Gearbox Main Filter Dirty</t>
  </si>
  <si>
    <t>Auxiliary Gearbox Filter Dirty</t>
  </si>
  <si>
    <t>Gearbox Pump Feedback Failure</t>
  </si>
  <si>
    <t>Gearbox Pump Auxiliary Filter Thermal Relay</t>
  </si>
  <si>
    <t>Gearbox Main Filter Dirty Warning</t>
  </si>
  <si>
    <t>Gearbox Oil Heating Thermal Circuit Breaker</t>
  </si>
  <si>
    <t>Gearbox Heating Resistors Feedback Failure</t>
  </si>
  <si>
    <t>Gearbox Auxiliary Filter Dirty Warning</t>
  </si>
  <si>
    <t>Vibration Sensor After Switching To STOP Or EMERGENCY Mode</t>
  </si>
  <si>
    <t>Metal Particles In Gearbox Oil</t>
  </si>
  <si>
    <t>Low Grease Level for Main Shaft Bearing</t>
  </si>
  <si>
    <t>Main Shaft Bearing Lubrication Failure</t>
  </si>
  <si>
    <t>Gearbox Pump Contactor Feedback Failure and High Gearbox Oil Temperature</t>
  </si>
  <si>
    <t>Gearbox Pump Auxiliary Filter Thermal Relay Triggered Too Long</t>
  </si>
  <si>
    <t>Gearbox Fan Feedback Failure and High Gearbox Oil Temperature</t>
  </si>
  <si>
    <t>Gearbox Heating Resistor Feedback Failure and High Gearbox Oil Temperature</t>
  </si>
  <si>
    <t>Main Shaft Bearing Lubrication Failure Too Long</t>
  </si>
  <si>
    <t>Generator Thermal Relay Fans</t>
  </si>
  <si>
    <t>Grid Voltage Dip Warning</t>
  </si>
  <si>
    <t>Active Crowbar On Warning</t>
  </si>
  <si>
    <t>Generator Winding High Temperature Warning</t>
  </si>
  <si>
    <t>Generator DE Bearing High Temperature Warning</t>
  </si>
  <si>
    <t>Generator NDE Bearing High Temperature Warning</t>
  </si>
  <si>
    <t>Nacelle Temperature</t>
  </si>
  <si>
    <t>High Ambient Temperature In The Converter</t>
  </si>
  <si>
    <t>High Ambient Temperature In The Stator Thermo-Magnet</t>
  </si>
  <si>
    <t>High Temperature Of Upper Radiator</t>
  </si>
  <si>
    <t>High Temperature Of Lower Radiator</t>
  </si>
  <si>
    <t>High Temperature Of Inver Inductance</t>
  </si>
  <si>
    <t>Low Grease Level For Generator Bearings</t>
  </si>
  <si>
    <t>Generator Bearing Lubrication Failure</t>
  </si>
  <si>
    <t>Maximum Slip Rings Heating Time</t>
  </si>
  <si>
    <t>Converter Inlet Ambient Temperature Sensor Failure</t>
  </si>
  <si>
    <t>Generator Bearing Lubrication Failure Too Long</t>
  </si>
  <si>
    <t>Main Shaft Front Bearing Extreme Temperature</t>
  </si>
  <si>
    <t>Main Shaft Front Bearing High Temperature Warning</t>
  </si>
  <si>
    <t>Main Shaft Rear Bearing Extreme Temperature</t>
  </si>
  <si>
    <t>Main Shaft Rear Bearing High Temperature Warning</t>
  </si>
  <si>
    <t>Generator Slip Rings High Temperature Warning</t>
  </si>
  <si>
    <t>Converter Coolant In The Input Of The Cooling Circuit High Temperature Warning</t>
  </si>
  <si>
    <t>Converter Control Module High Temperature Warning</t>
  </si>
  <si>
    <t>Converter Upper Radiator High Temperature Warning</t>
  </si>
  <si>
    <t>Converter Lower Radiator High Temperature Warning</t>
  </si>
  <si>
    <t>Generator Fans Failure Too Long</t>
  </si>
  <si>
    <t>ATD Filters Out Of Range</t>
  </si>
  <si>
    <t>ATD Saturation Alarm</t>
  </si>
  <si>
    <t>Maximum Time For Stator Connection</t>
  </si>
  <si>
    <t>Speed Reference Not Allowed</t>
  </si>
  <si>
    <t>Permission Denied For Star and Delta Connection</t>
  </si>
  <si>
    <t>Maximum Time To Make A Connection Change In The Stator</t>
  </si>
  <si>
    <t>Maximum Time For Connection In Star</t>
  </si>
  <si>
    <t>Maximum Time For Connection In Delta</t>
  </si>
  <si>
    <t>Accelerometer Vibration Alarm</t>
  </si>
  <si>
    <t>Rotor Block</t>
  </si>
  <si>
    <t>Calibration Test Not Executed Or NO OK</t>
  </si>
  <si>
    <t>Non-Consecutive Accelerometer Reading Error</t>
  </si>
  <si>
    <t>Accelerometer Measurement Error</t>
  </si>
  <si>
    <t>LTD Saturation Alarm</t>
  </si>
  <si>
    <t>LTD Filters Out Of Range</t>
  </si>
  <si>
    <t>Azimuth Inductive Sensor Failure</t>
  </si>
  <si>
    <t>Grid Frequency Disturbance - Inertia Emulation Activation</t>
  </si>
  <si>
    <t>Pitch LTD Saturation Alarm</t>
  </si>
  <si>
    <t>Pitch LTD Filters Out Of Range</t>
  </si>
  <si>
    <t>Sonic Communication Failure</t>
  </si>
  <si>
    <t>Remote Control Com Failure</t>
  </si>
  <si>
    <t>SMP Communication Failure</t>
  </si>
  <si>
    <t>Pause Due To Remote Control Communications Failure</t>
  </si>
  <si>
    <t>Sonic Error.NRG Operates</t>
  </si>
  <si>
    <t>Wattmeter Failure</t>
  </si>
  <si>
    <t>NRG.Error Sonic Operates</t>
  </si>
  <si>
    <t>NRG Failure</t>
  </si>
  <si>
    <t>24 Hours With NRG Or Too Many Sonic-NRG Changes</t>
  </si>
  <si>
    <t>Cup Anemometer Failure Warning</t>
  </si>
  <si>
    <t>Sonic Failure, Cup Anemometer Operates Warning</t>
  </si>
  <si>
    <t>Wind Vane Failure Warning</t>
  </si>
  <si>
    <t>WTG PLC-GENSET Communication Failure</t>
  </si>
  <si>
    <t>Low Pitch Value In Stop Mode (2 Cylinders)</t>
  </si>
  <si>
    <t>Possible Ice On Blades</t>
  </si>
  <si>
    <t>Non-Consecutive Pitch Reading Errors</t>
  </si>
  <si>
    <t>ACP Alarm</t>
  </si>
  <si>
    <t>Blade Bearing Lubrication System Problem</t>
  </si>
  <si>
    <t>Blade Bearing Lubrication System Error</t>
  </si>
  <si>
    <t>Low Grease Level For Blade Bearings</t>
  </si>
  <si>
    <t>Blade Bearing Lubrication Failure</t>
  </si>
  <si>
    <t>Incorrect Emergency Speed</t>
  </si>
  <si>
    <t>Blade Bearing Lubrication Failure Too Long</t>
  </si>
  <si>
    <t>Pitch Rate Error During TPR Shutdown</t>
  </si>
  <si>
    <t>Pitch Electrovalves Power Supply Failure</t>
  </si>
  <si>
    <t>Emergency Series Feedback Error</t>
  </si>
  <si>
    <t>Opening Series For Test</t>
  </si>
  <si>
    <t>Authoriz Person In Turbine</t>
  </si>
  <si>
    <t>Presence Of Unauth. Person In Turbine</t>
  </si>
  <si>
    <t>Trigger Of FG230 Or FM230</t>
  </si>
  <si>
    <t>Ground Emergency Button</t>
  </si>
  <si>
    <t>Change Emergency-Remote Control Reset</t>
  </si>
  <si>
    <t>Change Stop Local Reset</t>
  </si>
  <si>
    <t>Change Stop-Remote Control Reset</t>
  </si>
  <si>
    <t>Change Pause-Local Reset</t>
  </si>
  <si>
    <t>Basic Data Incorrectly Entered</t>
  </si>
  <si>
    <t>WTG Shutdown Requested By Flight Manager</t>
  </si>
  <si>
    <t>Not Performing Pole Trial</t>
  </si>
  <si>
    <t>Pole Test Missing</t>
  </si>
  <si>
    <t>Lock And Send To Run: Frequency Out Of Range</t>
  </si>
  <si>
    <t>DTD Filter Alarm 2</t>
  </si>
  <si>
    <t>Speed Filters Alarm Torque Loop</t>
  </si>
  <si>
    <t>Speed Filters Alarm Speed Loop</t>
  </si>
  <si>
    <t>Switchgear Contactor Trigger</t>
  </si>
  <si>
    <t>RC Filter Failure</t>
  </si>
  <si>
    <t>RC Filter</t>
  </si>
  <si>
    <t>Discussion Due To Low Temperature</t>
  </si>
  <si>
    <t>Coolant Confirmation Failure</t>
  </si>
  <si>
    <t>Trafo Fan Thermal Relay</t>
  </si>
  <si>
    <t>Reactive Power Production By The Converter Is Limited</t>
  </si>
  <si>
    <t>MV Switch Trip From Arc Detector</t>
  </si>
  <si>
    <t>MV Switch Trip From Neutral Detector</t>
  </si>
  <si>
    <t>MV Switch Trip From Transformer Fuses</t>
  </si>
  <si>
    <t>MV Switch Trip From CCU</t>
  </si>
  <si>
    <t>Lock And Send To Run: Voltage Out Of Range</t>
  </si>
  <si>
    <t>Transformer Over Voltage Operation Time Exceeded</t>
  </si>
  <si>
    <t>Latched Control Relay Fault Alarm</t>
  </si>
  <si>
    <t>MV Switch Trip From TOP Cabinet Button Or Latched Control Relay Handle</t>
  </si>
  <si>
    <t>The MV Switch Gear Has Not Tripped</t>
  </si>
  <si>
    <t>Smoke Sensor In Ground</t>
  </si>
  <si>
    <t>Warning Auxiliary Leakage Current</t>
  </si>
  <si>
    <t>Alarm Auxiliary Leakage Current</t>
  </si>
  <si>
    <t>Transformer Auxiliary Services Fuses</t>
  </si>
  <si>
    <t>External Temperature Multiplexer Failure</t>
  </si>
  <si>
    <t>Auxiliary Leakage Current Too Long</t>
  </si>
  <si>
    <t>Low Grid Voltage</t>
  </si>
  <si>
    <t>Automatic Secondaries Not OK</t>
  </si>
  <si>
    <t>WT UY Ground Power Supply Circuit Breaker Tripped</t>
  </si>
  <si>
    <t>WT UY Top Power Supply Circuit Breaker Tripped</t>
  </si>
  <si>
    <t>WT UY Ground KMGS1 Contactor Failure</t>
  </si>
  <si>
    <t>WT UY Top KMGS2 Contactor Failure</t>
  </si>
  <si>
    <t>WT UY Ground Switch Selector Active</t>
  </si>
  <si>
    <t>WT UY Impulse Relay activation (TL) Failure</t>
  </si>
  <si>
    <t>WT UY System Is Initializing</t>
  </si>
  <si>
    <t>Discrepancy Between Emergency Indicators</t>
  </si>
  <si>
    <t>PLC Voltage Recovery</t>
  </si>
  <si>
    <t>Counter Card Failure</t>
  </si>
  <si>
    <t>Cycle Time Exceeded</t>
  </si>
  <si>
    <t>Change Auto Reset-&gt;Remote</t>
  </si>
  <si>
    <t>Change Remote Reset-&gt;Local</t>
  </si>
  <si>
    <t>PLC Internal Error Warning</t>
  </si>
  <si>
    <t>CTRL Error - Processor Stopped</t>
  </si>
  <si>
    <t>Optical Fiber Low Quality</t>
  </si>
  <si>
    <t>Flash Writing Error</t>
  </si>
  <si>
    <t>Flash Writing Limit Exveeded</t>
  </si>
  <si>
    <t>PLC Data Incorrect</t>
  </si>
  <si>
    <t>GATEWAY Configuration Error</t>
  </si>
  <si>
    <t>UPS Fail</t>
  </si>
  <si>
    <t>Temperature Measurement Module Failure</t>
  </si>
  <si>
    <t>Brake Chopper Failure</t>
  </si>
  <si>
    <t>Brake Chopper IGBT 2 Failure</t>
  </si>
  <si>
    <t>Brake Chopper Driver 2 Failure</t>
  </si>
  <si>
    <t>Crowbar Overvoltage</t>
  </si>
  <si>
    <t>Crowbar Not OK</t>
  </si>
  <si>
    <t>Phase Rotation Failure</t>
  </si>
  <si>
    <t>Brake Chopper Driver 1 Failure</t>
  </si>
  <si>
    <t>Data Capture Failure In Test</t>
  </si>
  <si>
    <t>Test Rotor Movement</t>
  </si>
  <si>
    <t>Discrepancy In power Regulation</t>
  </si>
  <si>
    <t>Error In Phase R Of The Rectifier</t>
  </si>
  <si>
    <t>Error In Phase S Of The Rectifier</t>
  </si>
  <si>
    <t>Rectifier Driver Error (Edriver) Or Of The Inverter (Edriver I)</t>
  </si>
  <si>
    <t>Rectifier Phase R Overcurrent</t>
  </si>
  <si>
    <t>Excess Current Phase R Of Rotor</t>
  </si>
  <si>
    <t>Excess Current Phasse S Of Rotor</t>
  </si>
  <si>
    <t>Excess Current Phase S Of Stator</t>
  </si>
  <si>
    <t>Bus Over Voltage Detected By Hardware</t>
  </si>
  <si>
    <t>Bus Over Voltage Detected By Software</t>
  </si>
  <si>
    <t>Earth Leakage In The Stator</t>
  </si>
  <si>
    <t>Brake Chopper IGBT 1 Failure</t>
  </si>
  <si>
    <t>Actuator Of The Coolant Circuit Failure</t>
  </si>
  <si>
    <t>Excess Temperature In The Radiator's Hardware</t>
  </si>
  <si>
    <t>Overtemperature Thermostats Of The Cabinet Cubicle</t>
  </si>
  <si>
    <t>Excessive Ambient Temperature Of The Converter</t>
  </si>
  <si>
    <t>Excess Ambient Temperature In The Stator Thermo-Magnet</t>
  </si>
  <si>
    <t>Excessive Temperature Of The Upper Radiator</t>
  </si>
  <si>
    <t>Excessive Temperature Of The Lower Radiator</t>
  </si>
  <si>
    <t>Overheating In The Rectifiers Inductance</t>
  </si>
  <si>
    <t>Overheating In The Inverter's Inductance</t>
  </si>
  <si>
    <t>High Transient Grid Harmonic Distortion</t>
  </si>
  <si>
    <t>High Grid Harmonic Voltage Distortion</t>
  </si>
  <si>
    <t>Power Transformer Internal Failure</t>
  </si>
  <si>
    <t>690V Circuits Ground Faults</t>
  </si>
  <si>
    <t>High Grid Harmonic Distortion Warning</t>
  </si>
  <si>
    <t>Earth Leakage In The Rotor</t>
  </si>
  <si>
    <t>CE100002</t>
  </si>
  <si>
    <t>CE100003</t>
  </si>
  <si>
    <t>CE100004</t>
  </si>
  <si>
    <t>Major BD - Generator</t>
  </si>
  <si>
    <t>CE100005</t>
  </si>
  <si>
    <t>Major BD - Gearbox</t>
  </si>
  <si>
    <t>CE100006</t>
  </si>
  <si>
    <t>Major BD - Main Bearing</t>
  </si>
  <si>
    <t>CE100007</t>
  </si>
  <si>
    <t>CE100009</t>
  </si>
  <si>
    <t>Major BD - Power Cable</t>
  </si>
  <si>
    <t>CE100011</t>
  </si>
  <si>
    <t>Major BD - DFIG</t>
  </si>
  <si>
    <t>CE100012</t>
  </si>
  <si>
    <t>Major BD - Foundation</t>
  </si>
  <si>
    <t>CE100013</t>
  </si>
  <si>
    <t>Theft</t>
  </si>
  <si>
    <t>Manual Stop - Safety Related</t>
  </si>
  <si>
    <t>CE100016</t>
  </si>
  <si>
    <t>Manual Stop - Blade Cleaning</t>
  </si>
  <si>
    <t>CE100017</t>
  </si>
  <si>
    <t>CE100018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</si>
</sst>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 #,##0.00_ ;_ * \-#,##0.00_ ;_ * &quot;-&quot;??_ ;_ @_ "/>
    <numFmt numFmtId="165" formatCode="0.0"/>
    <numFmt numFmtId="166" formatCode="[$-409]d/mmm/yy;@"/>
    <numFmt numFmtId="167" formatCode="[$-409]mmm/yy;@"/>
    <numFmt numFmtId="168" formatCode="[$-409]d\-mmm\-yy;@"/>
    <numFmt numFmtId="169" formatCode="_ * #,##0_ ;_ * \-#,##0_ ;_ * &quot;-&quot;??_ ;_ @_ "/>
    <numFmt numFmtId="170" formatCode="0.0%"/>
    <numFmt numFmtId="171" formatCode="h:mm;@"/>
    <numFmt numFmtId="172" formatCode="dd/mmm/yyyy"/>
  </numFmts>
  <fonts count="37">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sz val="10"/>
      <name val="Palatino Linotype"/>
      <family val="1"/>
      <charset val="134"/>
    </font>
    <font>
      <b/>
      <sz val="11"/>
      <color theme="0"/>
      <name val="Calibri"/>
      <family val="2"/>
      <scheme val="minor"/>
    </font>
    <font>
      <sz val="8"/>
      <name val="Calibri"/>
      <family val="2"/>
      <scheme val="minor"/>
    </font>
    <font>
      <sz val="11"/>
      <color theme="1"/>
      <name val="Cambria"/>
      <family val="1"/>
    </font>
    <font>
      <sz val="11"/>
      <color rgb="FF000000"/>
      <name val="Calibri"/>
      <family val="2"/>
      <charset val="134"/>
      <scheme val="minor"/>
    </font>
    <font>
      <u/>
      <sz val="11"/>
      <color theme="10"/>
      <name val="Calibri"/>
      <family val="2"/>
      <scheme val="minor"/>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sz val="10"/>
      <name val="Palatino Linotype"/>
      <family val="1"/>
    </font>
    <font>
      <sz val="11"/>
      <color rgb="FF000000"/>
      <name val="Calibri"/>
      <family val="2"/>
      <scheme val="minor"/>
    </font>
    <font>
      <sz val="11"/>
      <color theme="1"/>
      <name val="Calibri"/>
      <family val="2"/>
    </font>
    <font>
      <b/>
      <i/>
      <u/>
      <sz val="12"/>
      <color theme="3" tint="0.39997558519241921"/>
      <name val="Calibri"/>
      <family val="2"/>
      <scheme val="minor"/>
    </font>
    <font>
      <sz val="11"/>
      <color theme="1"/>
      <name val="Verdana"/>
      <family val="2"/>
    </font>
    <font>
      <b/>
      <sz val="10"/>
      <color theme="1"/>
      <name val="Verdana"/>
      <family val="2"/>
    </font>
    <font>
      <b/>
      <sz val="11"/>
      <color theme="1"/>
      <name val="Verdana"/>
      <family val="2"/>
    </font>
    <font>
      <sz val="10"/>
      <name val="Verdana"/>
      <family val="2"/>
    </font>
    <font>
      <sz val="10"/>
      <color theme="1"/>
      <name val="Verdana"/>
      <family val="2"/>
    </font>
    <font>
      <sz val="8"/>
      <color theme="1"/>
      <name val="Verdana"/>
      <family val="2"/>
    </font>
    <font>
      <sz val="10"/>
      <color indexed="8"/>
      <name val="Verdana"/>
      <family val="2"/>
    </font>
    <font>
      <sz val="11"/>
      <color rgb="FF000000"/>
      <name val="Calibri"/>
      <family val="2"/>
    </font>
    <font>
      <b/>
      <sz val="11"/>
      <color rgb="FF000000"/>
      <name val="Calibri"/>
      <family val="2"/>
    </font>
    <font>
      <sz val="10"/>
      <color rgb="FF000000"/>
      <name val="Cambria"/>
      <family val="1"/>
    </font>
    <font>
      <sz val="11"/>
      <name val="Calibri"/>
      <scheme val="minor"/>
    </font>
  </fonts>
  <fills count="29">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theme="9" tint="0.59999389629810485"/>
        <bgColor theme="9" tint="0.59999389629810485"/>
      </patternFill>
    </fill>
    <fill>
      <patternFill patternType="solid">
        <fgColor rgb="FFFFFF00"/>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rgb="FF92D050"/>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63BE7B"/>
        <bgColor rgb="FF000000"/>
      </patternFill>
    </fill>
  </fills>
  <borders count="104">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style="dotted">
        <color theme="2" tint="-9.9917600024414813E-2"/>
      </left>
      <right/>
      <top style="dotted">
        <color theme="2" tint="-9.9917600024414813E-2"/>
      </top>
      <bottom style="dotted">
        <color theme="2" tint="-9.9917600024414813E-2"/>
      </bottom>
      <diagonal/>
    </border>
    <border>
      <left/>
      <right style="dotted">
        <color theme="2" tint="-9.9917600024414813E-2"/>
      </right>
      <top style="dotted">
        <color theme="2" tint="-9.9917600024414813E-2"/>
      </top>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thin">
        <color auto="1"/>
      </left>
      <right style="thin">
        <color auto="1"/>
      </right>
      <top style="thin">
        <color auto="1"/>
      </top>
      <bottom style="thin">
        <color auto="1"/>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dotted">
        <color theme="2" tint="-9.9948118533890809E-2"/>
      </left>
      <right/>
      <top style="dotted">
        <color theme="2" tint="-9.9948118533890809E-2"/>
      </top>
      <bottom style="dotted">
        <color theme="2" tint="-9.9948118533890809E-2"/>
      </bottom>
      <diagonal/>
    </border>
    <border>
      <left/>
      <right style="dotted">
        <color theme="2" tint="-9.9948118533890809E-2"/>
      </right>
      <top style="dotted">
        <color theme="2" tint="-9.9948118533890809E-2"/>
      </top>
      <bottom/>
      <diagonal/>
    </border>
    <border>
      <left style="dotted">
        <color theme="2" tint="-9.9948118533890809E-2"/>
      </left>
      <right style="dotted">
        <color theme="2" tint="-9.9948118533890809E-2"/>
      </right>
      <top style="dotted">
        <color theme="2" tint="-9.9948118533890809E-2"/>
      </top>
      <bottom/>
      <diagonal/>
    </border>
    <border>
      <left style="thin">
        <color auto="1"/>
      </left>
      <right/>
      <top/>
      <bottom style="thin">
        <color auto="1"/>
      </bottom>
      <diagonal/>
    </border>
    <border>
      <left/>
      <right/>
      <top/>
      <bottom style="thin">
        <color auto="1"/>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dotted">
        <color theme="2" tint="-9.9948118533890809E-2"/>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medium">
        <color indexed="64"/>
      </left>
      <right/>
      <top style="medium">
        <color indexed="64"/>
      </top>
      <bottom style="hair">
        <color theme="5"/>
      </bottom>
      <diagonal/>
    </border>
    <border>
      <left/>
      <right/>
      <top style="medium">
        <color indexed="64"/>
      </top>
      <bottom style="hair">
        <color theme="5"/>
      </bottom>
      <diagonal/>
    </border>
    <border>
      <left/>
      <right style="medium">
        <color indexed="64"/>
      </right>
      <top style="medium">
        <color indexed="64"/>
      </top>
      <bottom style="hair">
        <color theme="5"/>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dotted">
        <color auto="1"/>
      </right>
      <top/>
      <bottom style="dotted">
        <color auto="1"/>
      </bottom>
      <diagonal/>
    </border>
    <border>
      <left/>
      <right style="dotted">
        <color theme="2" tint="-9.9948118533890809E-2"/>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hair">
        <color theme="5"/>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rgb="FF000000"/>
      </left>
      <right style="thin">
        <color indexed="64"/>
      </right>
      <top style="medium">
        <color rgb="FF000000"/>
      </top>
      <bottom style="medium">
        <color rgb="FF000000"/>
      </bottom>
      <diagonal/>
    </border>
    <border>
      <left style="thin">
        <color indexed="64"/>
      </left>
      <right style="thin">
        <color indexed="64"/>
      </right>
      <top style="medium">
        <color rgb="FF000000"/>
      </top>
      <bottom style="medium">
        <color rgb="FF000000"/>
      </bottom>
      <diagonal/>
    </border>
    <border>
      <left style="thin">
        <color indexed="64"/>
      </left>
      <right style="medium">
        <color indexed="64"/>
      </right>
      <top style="medium">
        <color rgb="FF000000"/>
      </top>
      <bottom style="medium">
        <color rgb="FF000000"/>
      </bottom>
      <diagonal/>
    </border>
    <border>
      <left style="thin">
        <color indexed="64"/>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medium">
        <color rgb="FF000000"/>
      </left>
      <right/>
      <top/>
      <bottom style="thin">
        <color indexed="64"/>
      </bottom>
      <diagonal/>
    </border>
    <border>
      <left style="thin">
        <color indexed="64"/>
      </left>
      <right style="medium">
        <color rgb="FF000000"/>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indexed="64"/>
      </right>
      <top/>
      <bottom style="thin">
        <color indexed="64"/>
      </bottom>
      <diagonal/>
    </border>
    <border>
      <left style="medium">
        <color rgb="FF000000"/>
      </left>
      <right style="thin">
        <color indexed="64"/>
      </right>
      <top/>
      <bottom style="medium">
        <color rgb="FF000000"/>
      </bottom>
      <diagonal/>
    </border>
    <border>
      <left/>
      <right style="thin">
        <color indexed="64"/>
      </right>
      <top/>
      <bottom style="medium">
        <color rgb="FF000000"/>
      </bottom>
      <diagonal/>
    </border>
    <border>
      <left style="medium">
        <color rgb="FF000000"/>
      </left>
      <right style="thin">
        <color indexed="64"/>
      </right>
      <top/>
      <bottom/>
      <diagonal/>
    </border>
    <border>
      <left/>
      <right style="medium">
        <color rgb="FF000000"/>
      </right>
      <top/>
      <bottom style="thin">
        <color indexed="64"/>
      </bottom>
      <diagonal/>
    </border>
    <border>
      <left/>
      <right style="medium">
        <color rgb="FF000000"/>
      </right>
      <top/>
      <bottom style="medium">
        <color rgb="FF000000"/>
      </bottom>
      <diagonal/>
    </border>
    <border>
      <left style="medium">
        <color indexed="64"/>
      </left>
      <right style="thin">
        <color indexed="64"/>
      </right>
      <top style="medium">
        <color indexed="64"/>
      </top>
      <bottom style="medium">
        <color indexed="64"/>
      </bottom>
      <diagonal/>
    </border>
    <border>
      <left style="medium">
        <color rgb="FF000000"/>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rgb="FF000000"/>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2">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9" fontId="4" fillId="0" borderId="0" applyFont="0" applyFill="0" applyBorder="0" applyAlignment="0" applyProtection="0"/>
    <xf numFmtId="0" fontId="6" fillId="0" borderId="0">
      <alignment vertical="center"/>
    </xf>
    <xf numFmtId="0" fontId="12" fillId="0" borderId="0" applyNumberFormat="0" applyFill="0" applyBorder="0" applyAlignment="0" applyProtection="0"/>
    <xf numFmtId="0" fontId="1" fillId="0" borderId="0"/>
    <xf numFmtId="0" fontId="15" fillId="0" borderId="0"/>
    <xf numFmtId="9" fontId="6" fillId="0" borderId="0" applyFont="0" applyFill="0" applyBorder="0" applyAlignment="0" applyProtection="0">
      <alignment vertical="center"/>
    </xf>
    <xf numFmtId="0" fontId="19" fillId="0" borderId="0">
      <alignment vertical="center"/>
    </xf>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0" fontId="23"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cellStyleXfs>
  <cellXfs count="462">
    <xf numFmtId="0" fontId="0" fillId="0" borderId="0" xfId="0"/>
    <xf numFmtId="0" fontId="0" fillId="0" borderId="0" xfId="0" applyAlignment="1">
      <alignment horizontal="center"/>
    </xf>
    <xf numFmtId="165" fontId="0" fillId="0" borderId="0" xfId="0" applyNumberFormat="1" applyAlignment="1">
      <alignment horizontal="center"/>
    </xf>
    <xf numFmtId="1" fontId="0" fillId="0" borderId="0" xfId="0" applyNumberFormat="1"/>
    <xf numFmtId="0" fontId="0" fillId="2" borderId="0" xfId="0" applyFill="1" applyAlignment="1">
      <alignment horizontal="centerContinuous"/>
    </xf>
    <xf numFmtId="0" fontId="0" fillId="6" borderId="0" xfId="0" applyFill="1" applyAlignment="1">
      <alignment horizontal="centerContinuous"/>
    </xf>
    <xf numFmtId="0" fontId="0" fillId="4" borderId="0" xfId="0" applyFill="1" applyAlignment="1">
      <alignment horizontal="centerContinuous"/>
    </xf>
    <xf numFmtId="0" fontId="5" fillId="8" borderId="0" xfId="0" applyFont="1" applyFill="1" applyAlignment="1">
      <alignment horizontal="centerContinuous"/>
    </xf>
    <xf numFmtId="166" fontId="3" fillId="3" borderId="2" xfId="3" applyNumberFormat="1" applyFont="1" applyFill="1" applyBorder="1" applyAlignment="1">
      <alignment horizontal="center" vertical="center" wrapText="1"/>
    </xf>
    <xf numFmtId="0" fontId="3" fillId="3" borderId="3" xfId="3" applyFont="1" applyFill="1" applyBorder="1" applyAlignment="1">
      <alignment horizontal="center" vertical="center" wrapText="1"/>
    </xf>
    <xf numFmtId="10" fontId="3" fillId="3" borderId="3" xfId="4" applyNumberFormat="1" applyFont="1" applyFill="1" applyBorder="1" applyAlignment="1">
      <alignment horizontal="center" vertical="center" wrapText="1"/>
    </xf>
    <xf numFmtId="10" fontId="3" fillId="3" borderId="4" xfId="4" applyNumberFormat="1" applyFont="1" applyFill="1" applyBorder="1" applyAlignment="1">
      <alignment horizontal="center" vertical="center" wrapText="1"/>
    </xf>
    <xf numFmtId="1" fontId="5" fillId="7" borderId="1" xfId="0" applyNumberFormat="1" applyFont="1" applyFill="1" applyBorder="1" applyAlignment="1">
      <alignment horizontal="center"/>
    </xf>
    <xf numFmtId="0" fontId="5" fillId="7" borderId="1" xfId="0" applyFont="1" applyFill="1" applyBorder="1" applyAlignment="1">
      <alignment horizontal="center"/>
    </xf>
    <xf numFmtId="167" fontId="5" fillId="7" borderId="1" xfId="0" applyNumberFormat="1" applyFont="1" applyFill="1" applyBorder="1" applyAlignment="1">
      <alignment horizontal="center"/>
    </xf>
    <xf numFmtId="1" fontId="5" fillId="0" borderId="1" xfId="4" applyNumberFormat="1" applyFont="1" applyFill="1" applyBorder="1" applyAlignment="1">
      <alignment horizontal="center"/>
    </xf>
    <xf numFmtId="165" fontId="5" fillId="0" borderId="1" xfId="4" applyNumberFormat="1" applyFont="1" applyFill="1" applyBorder="1" applyAlignment="1">
      <alignment horizontal="center"/>
    </xf>
    <xf numFmtId="169" fontId="5" fillId="7" borderId="1" xfId="1" applyNumberFormat="1" applyFont="1" applyFill="1" applyBorder="1" applyAlignment="1">
      <alignment horizontal="center"/>
    </xf>
    <xf numFmtId="165" fontId="5" fillId="7" borderId="1" xfId="4" applyNumberFormat="1" applyFont="1" applyFill="1" applyBorder="1" applyAlignment="1">
      <alignment horizontal="center"/>
    </xf>
    <xf numFmtId="1" fontId="5" fillId="5" borderId="1" xfId="4" applyNumberFormat="1" applyFont="1" applyFill="1" applyBorder="1" applyAlignment="1">
      <alignment horizontal="center"/>
    </xf>
    <xf numFmtId="168" fontId="7" fillId="0" borderId="6" xfId="5" applyNumberFormat="1" applyFont="1" applyBorder="1" applyAlignment="1">
      <alignment horizontal="center" vertical="center"/>
    </xf>
    <xf numFmtId="10" fontId="5" fillId="7" borderId="8" xfId="2"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3" fillId="3" borderId="11" xfId="3" applyFont="1" applyFill="1" applyBorder="1" applyAlignment="1">
      <alignment horizontal="center" vertical="center" wrapText="1"/>
    </xf>
    <xf numFmtId="166" fontId="3" fillId="3" borderId="12" xfId="3" applyNumberFormat="1" applyFont="1" applyFill="1" applyBorder="1" applyAlignment="1">
      <alignment horizontal="center" vertical="center" wrapText="1"/>
    </xf>
    <xf numFmtId="0" fontId="3" fillId="3" borderId="12" xfId="3" applyFont="1" applyFill="1" applyBorder="1" applyAlignment="1">
      <alignment horizontal="center" vertical="center" wrapText="1"/>
    </xf>
    <xf numFmtId="0" fontId="3" fillId="3" borderId="13" xfId="3" applyFont="1" applyFill="1" applyBorder="1" applyAlignment="1">
      <alignment horizontal="center" vertical="center" wrapText="1"/>
    </xf>
    <xf numFmtId="1" fontId="5" fillId="7" borderId="14" xfId="0" applyNumberFormat="1" applyFont="1" applyFill="1" applyBorder="1" applyAlignment="1">
      <alignment horizontal="center"/>
    </xf>
    <xf numFmtId="168" fontId="7" fillId="0" borderId="10" xfId="5" applyNumberFormat="1" applyFont="1" applyBorder="1" applyAlignment="1">
      <alignment horizontal="center" vertical="center"/>
    </xf>
    <xf numFmtId="1" fontId="5" fillId="7" borderId="10" xfId="0" applyNumberFormat="1" applyFont="1" applyFill="1" applyBorder="1" applyAlignment="1">
      <alignment horizontal="center"/>
    </xf>
    <xf numFmtId="0" fontId="5" fillId="7" borderId="10" xfId="0" applyFont="1" applyFill="1" applyBorder="1" applyAlignment="1">
      <alignment horizontal="center"/>
    </xf>
    <xf numFmtId="167" fontId="5" fillId="7" borderId="10" xfId="0" applyNumberFormat="1" applyFont="1" applyFill="1" applyBorder="1" applyAlignment="1">
      <alignment horizontal="center"/>
    </xf>
    <xf numFmtId="1" fontId="5" fillId="0" borderId="10" xfId="4" applyNumberFormat="1" applyFont="1" applyFill="1" applyBorder="1" applyAlignment="1">
      <alignment horizontal="center"/>
    </xf>
    <xf numFmtId="0" fontId="0" fillId="0" borderId="10" xfId="0" applyBorder="1"/>
    <xf numFmtId="0" fontId="0" fillId="0" borderId="10" xfId="0" applyBorder="1" applyAlignment="1">
      <alignment horizontal="center"/>
    </xf>
    <xf numFmtId="2" fontId="10" fillId="0" borderId="10" xfId="0" applyNumberFormat="1" applyFont="1" applyBorder="1" applyAlignment="1">
      <alignment horizontal="center"/>
    </xf>
    <xf numFmtId="2" fontId="0" fillId="0" borderId="10" xfId="0" applyNumberFormat="1" applyBorder="1" applyAlignment="1">
      <alignment horizontal="center"/>
    </xf>
    <xf numFmtId="0" fontId="6" fillId="0" borderId="10" xfId="5" applyBorder="1" applyAlignment="1">
      <alignment horizontal="left"/>
    </xf>
    <xf numFmtId="1" fontId="5" fillId="7" borderId="16" xfId="0" applyNumberFormat="1" applyFont="1" applyFill="1" applyBorder="1" applyAlignment="1">
      <alignment horizontal="center"/>
    </xf>
    <xf numFmtId="168" fontId="7" fillId="0" borderId="17" xfId="5" applyNumberFormat="1" applyFont="1" applyBorder="1" applyAlignment="1">
      <alignment horizontal="center" vertical="center"/>
    </xf>
    <xf numFmtId="167" fontId="5" fillId="7" borderId="17" xfId="0" applyNumberFormat="1" applyFont="1" applyFill="1" applyBorder="1" applyAlignment="1">
      <alignment horizontal="center"/>
    </xf>
    <xf numFmtId="0" fontId="0" fillId="7" borderId="10" xfId="0" applyFill="1" applyBorder="1" applyAlignment="1">
      <alignment horizontal="center"/>
    </xf>
    <xf numFmtId="170" fontId="0" fillId="7" borderId="10" xfId="2" applyNumberFormat="1" applyFont="1" applyFill="1" applyBorder="1" applyAlignment="1">
      <alignment horizontal="center"/>
    </xf>
    <xf numFmtId="2" fontId="10" fillId="7" borderId="10" xfId="0" applyNumberFormat="1" applyFont="1" applyFill="1" applyBorder="1" applyAlignment="1">
      <alignment horizontal="center"/>
    </xf>
    <xf numFmtId="2" fontId="10" fillId="7" borderId="15" xfId="0" applyNumberFormat="1" applyFont="1" applyFill="1" applyBorder="1" applyAlignment="1">
      <alignment horizontal="center"/>
    </xf>
    <xf numFmtId="1" fontId="5" fillId="0" borderId="17" xfId="4" applyNumberFormat="1" applyFont="1" applyFill="1" applyBorder="1" applyAlignment="1">
      <alignment horizontal="center"/>
    </xf>
    <xf numFmtId="2" fontId="10" fillId="7" borderId="17" xfId="0" applyNumberFormat="1" applyFont="1" applyFill="1" applyBorder="1" applyAlignment="1">
      <alignment horizontal="center"/>
    </xf>
    <xf numFmtId="17" fontId="5" fillId="7" borderId="10" xfId="0" applyNumberFormat="1" applyFont="1" applyFill="1" applyBorder="1" applyAlignment="1">
      <alignment horizontal="center"/>
    </xf>
    <xf numFmtId="17" fontId="5" fillId="7" borderId="17" xfId="0" applyNumberFormat="1" applyFont="1" applyFill="1" applyBorder="1" applyAlignment="1">
      <alignment horizontal="center"/>
    </xf>
    <xf numFmtId="171" fontId="0" fillId="0" borderId="10" xfId="0" applyNumberFormat="1" applyBorder="1"/>
    <xf numFmtId="171" fontId="0" fillId="0" borderId="10" xfId="0" applyNumberFormat="1" applyBorder="1" applyAlignment="1">
      <alignment horizontal="left"/>
    </xf>
    <xf numFmtId="171" fontId="11" fillId="0" borderId="10" xfId="0" applyNumberFormat="1" applyFont="1" applyBorder="1" applyAlignment="1">
      <alignment horizontal="left"/>
    </xf>
    <xf numFmtId="171" fontId="0" fillId="0" borderId="17" xfId="0" applyNumberFormat="1" applyBorder="1"/>
    <xf numFmtId="2" fontId="10" fillId="0" borderId="17" xfId="0" applyNumberFormat="1" applyFont="1" applyBorder="1" applyAlignment="1">
      <alignment horizontal="center"/>
    </xf>
    <xf numFmtId="170" fontId="0" fillId="0" borderId="10" xfId="2" applyNumberFormat="1" applyFont="1" applyFill="1" applyBorder="1" applyAlignment="1">
      <alignment horizontal="center"/>
    </xf>
    <xf numFmtId="170" fontId="0" fillId="0" borderId="17" xfId="2" applyNumberFormat="1" applyFont="1" applyFill="1" applyBorder="1" applyAlignment="1">
      <alignment horizontal="center"/>
    </xf>
    <xf numFmtId="2" fontId="0" fillId="7" borderId="10" xfId="0" applyNumberFormat="1" applyFill="1" applyBorder="1" applyAlignment="1">
      <alignment horizontal="center"/>
    </xf>
    <xf numFmtId="2" fontId="0" fillId="7" borderId="17" xfId="0" applyNumberFormat="1" applyFill="1" applyBorder="1" applyAlignment="1">
      <alignment horizontal="center"/>
    </xf>
    <xf numFmtId="0" fontId="0" fillId="9" borderId="0" xfId="0" applyFill="1" applyAlignment="1">
      <alignment vertical="center"/>
    </xf>
    <xf numFmtId="15" fontId="0" fillId="10" borderId="0" xfId="0" applyNumberFormat="1" applyFill="1" applyAlignment="1">
      <alignment horizontal="center" vertical="center"/>
    </xf>
    <xf numFmtId="0" fontId="2" fillId="0" borderId="0" xfId="0" applyFont="1"/>
    <xf numFmtId="0" fontId="8" fillId="12" borderId="9" xfId="0" applyFont="1" applyFill="1" applyBorder="1" applyAlignment="1">
      <alignment vertical="center"/>
    </xf>
    <xf numFmtId="0" fontId="8" fillId="12" borderId="9" xfId="0" applyFont="1" applyFill="1" applyBorder="1" applyAlignment="1">
      <alignment horizontal="center" vertical="center" wrapText="1"/>
    </xf>
    <xf numFmtId="17" fontId="2" fillId="12" borderId="9" xfId="0" applyNumberFormat="1" applyFont="1" applyFill="1" applyBorder="1" applyAlignment="1">
      <alignment horizontal="center" vertical="center"/>
    </xf>
    <xf numFmtId="1" fontId="0" fillId="13" borderId="9" xfId="0" applyNumberFormat="1" applyFill="1" applyBorder="1" applyAlignment="1">
      <alignment horizontal="center" vertical="center"/>
    </xf>
    <xf numFmtId="2" fontId="0" fillId="13" borderId="9" xfId="0" applyNumberFormat="1" applyFill="1" applyBorder="1" applyAlignment="1">
      <alignment horizontal="center" vertical="center"/>
    </xf>
    <xf numFmtId="2" fontId="0" fillId="14" borderId="9" xfId="0" applyNumberFormat="1" applyFill="1" applyBorder="1" applyAlignment="1">
      <alignment horizontal="center" vertical="center"/>
    </xf>
    <xf numFmtId="1" fontId="0" fillId="14" borderId="9" xfId="0" applyNumberFormat="1" applyFill="1" applyBorder="1" applyAlignment="1">
      <alignment horizontal="center" vertical="center"/>
    </xf>
    <xf numFmtId="170" fontId="0" fillId="13" borderId="9" xfId="2" applyNumberFormat="1" applyFont="1" applyFill="1" applyBorder="1" applyAlignment="1">
      <alignment horizontal="center" vertical="center"/>
    </xf>
    <xf numFmtId="170" fontId="0" fillId="14" borderId="9" xfId="2" applyNumberFormat="1" applyFont="1" applyFill="1" applyBorder="1" applyAlignment="1">
      <alignment horizontal="center" vertical="center"/>
    </xf>
    <xf numFmtId="10" fontId="0" fillId="14" borderId="9" xfId="2" applyNumberFormat="1" applyFont="1" applyFill="1" applyBorder="1" applyAlignment="1">
      <alignment horizontal="center" vertical="center"/>
    </xf>
    <xf numFmtId="0" fontId="0" fillId="0" borderId="0" xfId="0" applyAlignment="1">
      <alignment vertical="center"/>
    </xf>
    <xf numFmtId="10" fontId="0" fillId="0" borderId="0" xfId="2" applyNumberFormat="1" applyFont="1"/>
    <xf numFmtId="0" fontId="8" fillId="12" borderId="9" xfId="0" applyFont="1" applyFill="1" applyBorder="1" applyAlignment="1">
      <alignment horizontal="center" vertical="center"/>
    </xf>
    <xf numFmtId="0" fontId="1" fillId="0" borderId="0" xfId="7" applyAlignment="1">
      <alignment horizontal="center"/>
    </xf>
    <xf numFmtId="0" fontId="1" fillId="0" borderId="0" xfId="7"/>
    <xf numFmtId="0" fontId="1" fillId="0" borderId="0" xfId="7" applyAlignment="1">
      <alignment horizontal="right"/>
    </xf>
    <xf numFmtId="0" fontId="14" fillId="15" borderId="20" xfId="0" applyFont="1" applyFill="1" applyBorder="1"/>
    <xf numFmtId="167" fontId="16" fillId="5" borderId="21" xfId="8" applyNumberFormat="1" applyFont="1" applyFill="1" applyBorder="1" applyAlignment="1">
      <alignment horizontal="left" vertical="center"/>
    </xf>
    <xf numFmtId="167" fontId="16" fillId="5" borderId="21" xfId="8" applyNumberFormat="1" applyFont="1" applyFill="1" applyBorder="1" applyAlignment="1">
      <alignment vertical="center"/>
    </xf>
    <xf numFmtId="167" fontId="16" fillId="5" borderId="22" xfId="8" applyNumberFormat="1" applyFont="1" applyFill="1" applyBorder="1" applyAlignment="1">
      <alignment vertical="center"/>
    </xf>
    <xf numFmtId="166" fontId="16" fillId="5" borderId="21" xfId="8" applyNumberFormat="1" applyFont="1" applyFill="1" applyBorder="1" applyAlignment="1">
      <alignment horizontal="left" vertical="center"/>
    </xf>
    <xf numFmtId="0" fontId="9" fillId="0" borderId="0" xfId="8" applyFont="1" applyAlignment="1">
      <alignment horizontal="center" vertical="center"/>
    </xf>
    <xf numFmtId="0" fontId="1" fillId="0" borderId="0" xfId="7" applyAlignment="1">
      <alignment vertical="center"/>
    </xf>
    <xf numFmtId="0" fontId="14" fillId="15" borderId="23" xfId="0" applyFont="1" applyFill="1" applyBorder="1"/>
    <xf numFmtId="166" fontId="16" fillId="5" borderId="24" xfId="8" applyNumberFormat="1" applyFont="1" applyFill="1" applyBorder="1" applyAlignment="1">
      <alignment horizontal="left" vertical="center"/>
    </xf>
    <xf numFmtId="167" fontId="16" fillId="5" borderId="25" xfId="8" applyNumberFormat="1" applyFont="1" applyFill="1" applyBorder="1" applyAlignment="1">
      <alignment vertical="center"/>
    </xf>
    <xf numFmtId="167" fontId="16" fillId="5" borderId="26" xfId="8" applyNumberFormat="1" applyFont="1" applyFill="1" applyBorder="1" applyAlignment="1">
      <alignment vertical="center"/>
    </xf>
    <xf numFmtId="0" fontId="17" fillId="5" borderId="27" xfId="0" applyFont="1" applyFill="1" applyBorder="1"/>
    <xf numFmtId="166" fontId="18" fillId="5" borderId="27" xfId="8" applyNumberFormat="1" applyFont="1" applyFill="1" applyBorder="1" applyAlignment="1">
      <alignment horizontal="left" vertical="center"/>
    </xf>
    <xf numFmtId="0" fontId="14" fillId="15" borderId="28" xfId="0" applyFont="1" applyFill="1" applyBorder="1" applyAlignment="1">
      <alignment horizontal="center" vertical="center" wrapText="1"/>
    </xf>
    <xf numFmtId="0" fontId="14" fillId="15" borderId="29" xfId="0" applyFont="1" applyFill="1" applyBorder="1" applyAlignment="1">
      <alignment horizontal="center" vertical="center" wrapText="1"/>
    </xf>
    <xf numFmtId="0" fontId="14" fillId="15" borderId="30" xfId="0" applyFont="1" applyFill="1" applyBorder="1" applyAlignment="1">
      <alignment horizontal="center" vertical="center" wrapText="1"/>
    </xf>
    <xf numFmtId="0" fontId="17" fillId="5" borderId="31" xfId="0" applyFont="1" applyFill="1" applyBorder="1"/>
    <xf numFmtId="1" fontId="16" fillId="5" borderId="31" xfId="2" applyNumberFormat="1" applyFont="1" applyFill="1" applyBorder="1" applyAlignment="1">
      <alignment horizontal="center" vertical="center"/>
    </xf>
    <xf numFmtId="1" fontId="17" fillId="5" borderId="31" xfId="2" applyNumberFormat="1" applyFont="1" applyFill="1" applyBorder="1" applyAlignment="1">
      <alignment horizontal="center"/>
    </xf>
    <xf numFmtId="10" fontId="17" fillId="5" borderId="31" xfId="9" applyNumberFormat="1" applyFont="1" applyFill="1" applyBorder="1" applyAlignment="1">
      <alignment horizontal="center"/>
    </xf>
    <xf numFmtId="0" fontId="17" fillId="5" borderId="33" xfId="0" applyFont="1" applyFill="1" applyBorder="1"/>
    <xf numFmtId="1" fontId="16" fillId="5" borderId="33" xfId="2" applyNumberFormat="1" applyFont="1" applyFill="1" applyBorder="1" applyAlignment="1">
      <alignment horizontal="center" vertical="center"/>
    </xf>
    <xf numFmtId="1" fontId="17" fillId="5" borderId="33" xfId="2" applyNumberFormat="1" applyFont="1" applyFill="1" applyBorder="1" applyAlignment="1">
      <alignment horizontal="center"/>
    </xf>
    <xf numFmtId="10" fontId="17" fillId="5" borderId="33" xfId="9" applyNumberFormat="1" applyFont="1" applyFill="1" applyBorder="1" applyAlignment="1">
      <alignment horizontal="center"/>
    </xf>
    <xf numFmtId="0" fontId="17" fillId="5" borderId="35" xfId="0" applyFont="1" applyFill="1" applyBorder="1"/>
    <xf numFmtId="1" fontId="16" fillId="5" borderId="35" xfId="2" applyNumberFormat="1" applyFont="1" applyFill="1" applyBorder="1" applyAlignment="1">
      <alignment horizontal="center" vertical="center"/>
    </xf>
    <xf numFmtId="1" fontId="17" fillId="5" borderId="35" xfId="2" applyNumberFormat="1" applyFont="1" applyFill="1" applyBorder="1" applyAlignment="1">
      <alignment horizontal="center"/>
    </xf>
    <xf numFmtId="10" fontId="17" fillId="5" borderId="35" xfId="9" applyNumberFormat="1" applyFont="1" applyFill="1" applyBorder="1" applyAlignment="1">
      <alignment horizontal="center"/>
    </xf>
    <xf numFmtId="165" fontId="16" fillId="5" borderId="31" xfId="2" applyNumberFormat="1" applyFont="1" applyFill="1" applyBorder="1" applyAlignment="1">
      <alignment horizontal="center" vertical="center"/>
    </xf>
    <xf numFmtId="165" fontId="17" fillId="5" borderId="31" xfId="2" applyNumberFormat="1" applyFont="1" applyFill="1" applyBorder="1" applyAlignment="1">
      <alignment horizontal="center"/>
    </xf>
    <xf numFmtId="165" fontId="16" fillId="5" borderId="33" xfId="2" applyNumberFormat="1" applyFont="1" applyFill="1" applyBorder="1" applyAlignment="1">
      <alignment horizontal="center" vertical="center"/>
    </xf>
    <xf numFmtId="165" fontId="17" fillId="5" borderId="33" xfId="2" applyNumberFormat="1" applyFont="1" applyFill="1" applyBorder="1" applyAlignment="1">
      <alignment horizontal="center"/>
    </xf>
    <xf numFmtId="165" fontId="16" fillId="5" borderId="35" xfId="2" applyNumberFormat="1" applyFont="1" applyFill="1" applyBorder="1" applyAlignment="1">
      <alignment horizontal="center" vertical="center"/>
    </xf>
    <xf numFmtId="165" fontId="17" fillId="5" borderId="35" xfId="2" applyNumberFormat="1" applyFont="1" applyFill="1" applyBorder="1" applyAlignment="1">
      <alignment horizontal="center"/>
    </xf>
    <xf numFmtId="170" fontId="17" fillId="5" borderId="31" xfId="2" applyNumberFormat="1" applyFont="1" applyFill="1" applyBorder="1" applyAlignment="1">
      <alignment horizontal="center"/>
    </xf>
    <xf numFmtId="170" fontId="17" fillId="5" borderId="33" xfId="2" applyNumberFormat="1" applyFont="1" applyFill="1" applyBorder="1" applyAlignment="1">
      <alignment horizontal="center"/>
    </xf>
    <xf numFmtId="170" fontId="17" fillId="5" borderId="35" xfId="2" applyNumberFormat="1" applyFont="1" applyFill="1" applyBorder="1" applyAlignment="1">
      <alignment horizontal="center"/>
    </xf>
    <xf numFmtId="1" fontId="2" fillId="12" borderId="9" xfId="0" applyNumberFormat="1" applyFont="1" applyFill="1" applyBorder="1" applyAlignment="1">
      <alignment horizontal="center" vertical="center"/>
    </xf>
    <xf numFmtId="171" fontId="0" fillId="0" borderId="10" xfId="0" applyNumberFormat="1" applyBorder="1" applyAlignment="1">
      <alignment horizontal="right"/>
    </xf>
    <xf numFmtId="0" fontId="3" fillId="3" borderId="40" xfId="3" applyFont="1" applyFill="1" applyBorder="1" applyAlignment="1">
      <alignment horizontal="center" vertical="center" wrapText="1"/>
    </xf>
    <xf numFmtId="15" fontId="0" fillId="16" borderId="10" xfId="0" applyNumberFormat="1" applyFill="1" applyBorder="1" applyAlignment="1">
      <alignment horizontal="center" vertical="center"/>
    </xf>
    <xf numFmtId="0" fontId="0" fillId="16" borderId="10" xfId="0" applyFill="1" applyBorder="1" applyAlignment="1">
      <alignment horizontal="center" vertical="center"/>
    </xf>
    <xf numFmtId="17" fontId="0" fillId="0" borderId="10" xfId="0" applyNumberFormat="1" applyBorder="1" applyAlignment="1">
      <alignment horizontal="center" vertical="center"/>
    </xf>
    <xf numFmtId="2" fontId="0" fillId="7" borderId="10" xfId="0" applyNumberFormat="1" applyFill="1" applyBorder="1"/>
    <xf numFmtId="1" fontId="0" fillId="0" borderId="15" xfId="0" applyNumberFormat="1" applyBorder="1" applyAlignment="1">
      <alignment horizontal="center"/>
    </xf>
    <xf numFmtId="0" fontId="0" fillId="9" borderId="9" xfId="0" applyFill="1" applyBorder="1" applyAlignment="1">
      <alignment vertical="center"/>
    </xf>
    <xf numFmtId="164" fontId="0" fillId="0" borderId="0" xfId="0" applyNumberFormat="1"/>
    <xf numFmtId="0" fontId="0" fillId="0" borderId="9" xfId="0" applyBorder="1" applyAlignment="1">
      <alignment horizontal="left" vertical="top"/>
    </xf>
    <xf numFmtId="0" fontId="0" fillId="17" borderId="9" xfId="0" applyFill="1" applyBorder="1" applyAlignment="1">
      <alignment horizontal="left" vertical="top"/>
    </xf>
    <xf numFmtId="0" fontId="6" fillId="18" borderId="10" xfId="5" applyFill="1" applyBorder="1" applyAlignment="1">
      <alignment horizontal="left"/>
    </xf>
    <xf numFmtId="0" fontId="20" fillId="0" borderId="9" xfId="0" applyFont="1" applyBorder="1" applyAlignment="1">
      <alignment horizontal="left"/>
    </xf>
    <xf numFmtId="0" fontId="0" fillId="9" borderId="41" xfId="0" applyFill="1" applyBorder="1" applyAlignment="1">
      <alignment vertical="center"/>
    </xf>
    <xf numFmtId="15" fontId="0" fillId="10" borderId="41" xfId="0" applyNumberFormat="1" applyFill="1" applyBorder="1" applyAlignment="1">
      <alignment horizontal="center" vertical="center"/>
    </xf>
    <xf numFmtId="10" fontId="3" fillId="3" borderId="9" xfId="4" applyNumberFormat="1" applyFont="1" applyFill="1" applyBorder="1" applyAlignment="1">
      <alignment horizontal="center" vertical="center" wrapText="1"/>
    </xf>
    <xf numFmtId="10" fontId="0" fillId="0" borderId="9" xfId="2" applyNumberFormat="1" applyFont="1" applyBorder="1"/>
    <xf numFmtId="164" fontId="0" fillId="0" borderId="9" xfId="1" applyFont="1" applyBorder="1"/>
    <xf numFmtId="9" fontId="0" fillId="0" borderId="9" xfId="2" applyFont="1" applyBorder="1"/>
    <xf numFmtId="0" fontId="0" fillId="0" borderId="9" xfId="0" applyBorder="1"/>
    <xf numFmtId="170" fontId="0" fillId="0" borderId="9" xfId="2" applyNumberFormat="1" applyFont="1" applyBorder="1"/>
    <xf numFmtId="170" fontId="0" fillId="0" borderId="9" xfId="0" applyNumberFormat="1" applyBorder="1"/>
    <xf numFmtId="0" fontId="0" fillId="0" borderId="42" xfId="0" applyBorder="1" applyAlignment="1">
      <alignment horizontal="left" vertical="top"/>
    </xf>
    <xf numFmtId="16" fontId="0" fillId="0" borderId="0" xfId="0" applyNumberFormat="1"/>
    <xf numFmtId="0" fontId="0" fillId="0" borderId="12" xfId="0" applyBorder="1"/>
    <xf numFmtId="170" fontId="0" fillId="0" borderId="10" xfId="2" applyNumberFormat="1" applyFont="1" applyFill="1" applyBorder="1" applyAlignment="1"/>
    <xf numFmtId="1" fontId="3" fillId="3" borderId="3" xfId="0" applyNumberFormat="1" applyFont="1" applyFill="1" applyBorder="1" applyAlignment="1">
      <alignment horizontal="center" vertical="center" wrapText="1"/>
    </xf>
    <xf numFmtId="10" fontId="3" fillId="3" borderId="3" xfId="0" applyNumberFormat="1" applyFont="1" applyFill="1" applyBorder="1" applyAlignment="1">
      <alignment horizontal="center" vertical="center" wrapText="1"/>
    </xf>
    <xf numFmtId="1" fontId="5" fillId="0" borderId="1" xfId="1" applyNumberFormat="1" applyFont="1" applyFill="1" applyBorder="1" applyAlignment="1">
      <alignment horizontal="center"/>
    </xf>
    <xf numFmtId="1" fontId="5" fillId="0" borderId="1" xfId="0" applyNumberFormat="1" applyFont="1" applyBorder="1" applyAlignment="1">
      <alignment horizontal="center"/>
    </xf>
    <xf numFmtId="165" fontId="5" fillId="0" borderId="1" xfId="0" applyNumberFormat="1" applyFont="1" applyBorder="1" applyAlignment="1">
      <alignment horizontal="center"/>
    </xf>
    <xf numFmtId="0" fontId="5" fillId="0" borderId="1" xfId="1" applyNumberFormat="1" applyFont="1" applyFill="1" applyBorder="1" applyAlignment="1">
      <alignment horizontal="center"/>
    </xf>
    <xf numFmtId="169" fontId="5" fillId="7" borderId="7" xfId="1" applyNumberFormat="1" applyFont="1" applyFill="1" applyBorder="1" applyAlignment="1">
      <alignment horizontal="center"/>
    </xf>
    <xf numFmtId="0" fontId="0" fillId="17" borderId="0" xfId="0" applyFill="1"/>
    <xf numFmtId="0" fontId="0" fillId="19" borderId="0" xfId="0" applyFill="1"/>
    <xf numFmtId="0" fontId="0" fillId="0" borderId="43" xfId="0" applyBorder="1" applyAlignment="1">
      <alignment horizontal="left"/>
    </xf>
    <xf numFmtId="0" fontId="0" fillId="0" borderId="43" xfId="0" applyBorder="1"/>
    <xf numFmtId="2" fontId="10" fillId="0" borderId="10" xfId="0" applyNumberFormat="1" applyFont="1" applyBorder="1"/>
    <xf numFmtId="168" fontId="22" fillId="0" borderId="10" xfId="5" applyNumberFormat="1" applyFont="1" applyBorder="1" applyAlignment="1">
      <alignment horizontal="center" vertical="center"/>
    </xf>
    <xf numFmtId="0" fontId="14" fillId="15" borderId="20" xfId="0" applyFont="1" applyFill="1" applyBorder="1" applyAlignment="1">
      <alignment vertical="center"/>
    </xf>
    <xf numFmtId="2" fontId="0" fillId="0" borderId="0" xfId="0" applyNumberFormat="1"/>
    <xf numFmtId="0" fontId="0" fillId="0" borderId="9" xfId="0" pivotButton="1" applyBorder="1"/>
    <xf numFmtId="0" fontId="0" fillId="0" borderId="9" xfId="0" applyBorder="1" applyAlignment="1">
      <alignment horizontal="left"/>
    </xf>
    <xf numFmtId="164" fontId="0" fillId="0" borderId="9" xfId="0" applyNumberFormat="1" applyBorder="1"/>
    <xf numFmtId="10" fontId="5" fillId="0" borderId="0" xfId="0" applyNumberFormat="1" applyFont="1" applyAlignment="1">
      <alignment horizontal="center"/>
    </xf>
    <xf numFmtId="1" fontId="5" fillId="0" borderId="1" xfId="3" applyNumberFormat="1" applyFont="1" applyBorder="1" applyAlignment="1">
      <alignment horizontal="center"/>
    </xf>
    <xf numFmtId="1" fontId="5" fillId="0" borderId="0" xfId="0" applyNumberFormat="1" applyFont="1" applyAlignment="1">
      <alignment horizontal="center"/>
    </xf>
    <xf numFmtId="2" fontId="5" fillId="0" borderId="0" xfId="0" applyNumberFormat="1" applyFont="1" applyAlignment="1">
      <alignment horizontal="center"/>
    </xf>
    <xf numFmtId="170" fontId="1" fillId="0" borderId="10" xfId="2" applyNumberFormat="1" applyFont="1" applyFill="1" applyBorder="1" applyAlignment="1"/>
    <xf numFmtId="0" fontId="0" fillId="20" borderId="9" xfId="0" applyFill="1" applyBorder="1" applyAlignment="1">
      <alignment horizontal="left"/>
    </xf>
    <xf numFmtId="0" fontId="0" fillId="20" borderId="9" xfId="0" applyFill="1" applyBorder="1"/>
    <xf numFmtId="0" fontId="0" fillId="0" borderId="0" xfId="0" applyAlignment="1">
      <alignment horizontal="center" vertical="center"/>
    </xf>
    <xf numFmtId="172" fontId="0" fillId="0" borderId="0" xfId="0" applyNumberFormat="1"/>
    <xf numFmtId="1" fontId="0" fillId="0" borderId="0" xfId="0" applyNumberFormat="1" applyAlignment="1">
      <alignment horizontal="center" vertical="center"/>
    </xf>
    <xf numFmtId="2" fontId="0" fillId="0" borderId="0" xfId="46" applyNumberFormat="1" applyFont="1" applyFill="1" applyAlignment="1">
      <alignment horizontal="center" vertical="center"/>
    </xf>
    <xf numFmtId="165" fontId="0" fillId="0" borderId="0" xfId="46" applyNumberFormat="1" applyFont="1" applyFill="1" applyBorder="1" applyAlignment="1">
      <alignment horizontal="center" vertical="center"/>
    </xf>
    <xf numFmtId="0" fontId="0" fillId="0" borderId="50" xfId="47" applyNumberFormat="1" applyFont="1" applyFill="1" applyBorder="1" applyAlignment="1">
      <alignment horizontal="center" vertical="center"/>
    </xf>
    <xf numFmtId="10" fontId="0" fillId="0" borderId="50" xfId="46" applyNumberFormat="1" applyFont="1" applyFill="1" applyBorder="1" applyAlignment="1">
      <alignment horizontal="center" vertical="center"/>
    </xf>
    <xf numFmtId="0" fontId="0" fillId="0" borderId="51" xfId="47" applyNumberFormat="1" applyFont="1" applyFill="1" applyBorder="1" applyAlignment="1">
      <alignment horizontal="center" vertical="center"/>
    </xf>
    <xf numFmtId="10" fontId="0" fillId="0" borderId="51" xfId="46" applyNumberFormat="1" applyFont="1" applyFill="1" applyBorder="1" applyAlignment="1">
      <alignment horizontal="center" vertical="center"/>
    </xf>
    <xf numFmtId="166" fontId="3" fillId="3" borderId="47" xfId="43" applyNumberFormat="1" applyFont="1" applyFill="1" applyBorder="1" applyAlignment="1">
      <alignment horizontal="center" vertical="center" wrapText="1"/>
    </xf>
    <xf numFmtId="0" fontId="3" fillId="3" borderId="47" xfId="43" applyFont="1" applyFill="1" applyBorder="1" applyAlignment="1">
      <alignment horizontal="center" vertical="center" wrapText="1"/>
    </xf>
    <xf numFmtId="0" fontId="8" fillId="21" borderId="47" xfId="0" applyFont="1" applyFill="1" applyBorder="1" applyAlignment="1">
      <alignment horizontal="center" vertical="center" wrapText="1"/>
    </xf>
    <xf numFmtId="9" fontId="8" fillId="21" borderId="47" xfId="2" applyFont="1" applyFill="1" applyBorder="1" applyAlignment="1">
      <alignment horizontal="center" vertical="center" wrapText="1"/>
    </xf>
    <xf numFmtId="15" fontId="0" fillId="0" borderId="0" xfId="0" applyNumberFormat="1" applyAlignment="1">
      <alignment horizontal="center" vertical="center"/>
    </xf>
    <xf numFmtId="17" fontId="0" fillId="0" borderId="0" xfId="0" applyNumberFormat="1" applyAlignment="1">
      <alignment horizontal="center" vertical="center"/>
    </xf>
    <xf numFmtId="2" fontId="0" fillId="0" borderId="0" xfId="46" applyNumberFormat="1" applyFont="1" applyFill="1" applyBorder="1" applyAlignment="1">
      <alignment horizontal="center" vertical="center"/>
    </xf>
    <xf numFmtId="9" fontId="0" fillId="0" borderId="0" xfId="46" applyFont="1" applyAlignment="1">
      <alignment horizontal="center" vertical="center"/>
    </xf>
    <xf numFmtId="10" fontId="24" fillId="0" borderId="0" xfId="46" applyNumberFormat="1" applyFont="1" applyAlignment="1">
      <alignment horizontal="center" vertical="center"/>
    </xf>
    <xf numFmtId="170" fontId="0" fillId="0" borderId="0" xfId="46" applyNumberFormat="1" applyFont="1" applyAlignment="1">
      <alignment horizontal="center" vertical="center"/>
    </xf>
    <xf numFmtId="10" fontId="0" fillId="0" borderId="0" xfId="46" applyNumberFormat="1" applyFont="1" applyAlignment="1">
      <alignment horizontal="center" vertical="center"/>
    </xf>
    <xf numFmtId="165" fontId="0" fillId="0" borderId="0" xfId="0" applyNumberFormat="1" applyAlignment="1">
      <alignment horizontal="center" vertical="center"/>
    </xf>
    <xf numFmtId="9" fontId="0" fillId="0" borderId="0" xfId="2" applyFont="1" applyAlignment="1">
      <alignment horizontal="center" vertical="center"/>
    </xf>
    <xf numFmtId="9" fontId="0" fillId="0" borderId="0" xfId="0" applyNumberFormat="1" applyAlignment="1">
      <alignment horizontal="center" vertical="center"/>
    </xf>
    <xf numFmtId="9" fontId="0" fillId="0" borderId="0" xfId="2" applyFont="1"/>
    <xf numFmtId="0" fontId="8" fillId="0" borderId="49" xfId="0" applyFont="1" applyBorder="1" applyAlignment="1">
      <alignment horizontal="center" vertical="center" wrapText="1"/>
    </xf>
    <xf numFmtId="2" fontId="0" fillId="0" borderId="0" xfId="0" applyNumberFormat="1" applyAlignment="1">
      <alignment horizontal="center" vertical="center"/>
    </xf>
    <xf numFmtId="0" fontId="0" fillId="0" borderId="51" xfId="0" applyBorder="1" applyAlignment="1">
      <alignment horizontal="center" vertical="center"/>
    </xf>
    <xf numFmtId="17" fontId="0" fillId="0" borderId="51" xfId="47" applyNumberFormat="1" applyFont="1" applyFill="1" applyBorder="1" applyAlignment="1">
      <alignment horizontal="center" vertical="center"/>
    </xf>
    <xf numFmtId="0" fontId="0" fillId="0" borderId="50" xfId="0" applyBorder="1" applyAlignment="1">
      <alignment horizontal="center" vertical="center"/>
    </xf>
    <xf numFmtId="2" fontId="0" fillId="0" borderId="51" xfId="0" applyNumberFormat="1" applyBorder="1" applyAlignment="1">
      <alignment horizontal="center" vertical="center"/>
    </xf>
    <xf numFmtId="165" fontId="0" fillId="0" borderId="51" xfId="0" applyNumberFormat="1" applyBorder="1" applyAlignment="1">
      <alignment horizontal="center" vertical="center"/>
    </xf>
    <xf numFmtId="1" fontId="0" fillId="0" borderId="51" xfId="0" applyNumberFormat="1" applyBorder="1" applyAlignment="1">
      <alignment horizontal="center" vertical="center"/>
    </xf>
    <xf numFmtId="2" fontId="0" fillId="0" borderId="50" xfId="0" applyNumberFormat="1" applyBorder="1" applyAlignment="1">
      <alignment horizontal="center" vertical="center"/>
    </xf>
    <xf numFmtId="165" fontId="0" fillId="0" borderId="50" xfId="0" applyNumberFormat="1" applyBorder="1" applyAlignment="1">
      <alignment horizontal="center" vertical="center"/>
    </xf>
    <xf numFmtId="1" fontId="0" fillId="0" borderId="50" xfId="0" applyNumberFormat="1" applyBorder="1" applyAlignment="1">
      <alignment horizontal="center" vertical="center"/>
    </xf>
    <xf numFmtId="10" fontId="0" fillId="0" borderId="0" xfId="0" applyNumberFormat="1" applyAlignment="1">
      <alignment horizontal="center" vertical="center"/>
    </xf>
    <xf numFmtId="0" fontId="1" fillId="0" borderId="0" xfId="48" applyAlignment="1">
      <alignment horizontal="center" vertical="center"/>
    </xf>
    <xf numFmtId="166" fontId="3" fillId="3" borderId="52" xfId="43" applyNumberFormat="1" applyFont="1" applyFill="1" applyBorder="1" applyAlignment="1">
      <alignment horizontal="center" vertical="center" wrapText="1"/>
    </xf>
    <xf numFmtId="17" fontId="1" fillId="0" borderId="0" xfId="48" applyNumberFormat="1" applyAlignment="1">
      <alignment horizontal="center" vertical="center"/>
    </xf>
    <xf numFmtId="15" fontId="1" fillId="22" borderId="48" xfId="48" applyNumberFormat="1" applyFill="1" applyBorder="1" applyAlignment="1">
      <alignment horizontal="center" vertical="center"/>
    </xf>
    <xf numFmtId="0" fontId="8" fillId="12" borderId="42" xfId="0" applyFont="1" applyFill="1" applyBorder="1" applyAlignment="1">
      <alignment horizontal="center" vertical="center" wrapText="1"/>
    </xf>
    <xf numFmtId="1" fontId="1" fillId="0" borderId="0" xfId="48" applyNumberFormat="1" applyAlignment="1">
      <alignment horizontal="center" vertical="center"/>
    </xf>
    <xf numFmtId="170" fontId="16" fillId="0" borderId="31" xfId="2" applyNumberFormat="1" applyFont="1" applyFill="1" applyBorder="1" applyAlignment="1">
      <alignment horizontal="center" vertical="center"/>
    </xf>
    <xf numFmtId="170" fontId="16" fillId="0" borderId="33" xfId="2" applyNumberFormat="1" applyFont="1" applyFill="1" applyBorder="1" applyAlignment="1">
      <alignment horizontal="center" vertical="center"/>
    </xf>
    <xf numFmtId="170" fontId="16" fillId="0" borderId="35" xfId="2" applyNumberFormat="1" applyFont="1" applyFill="1" applyBorder="1" applyAlignment="1">
      <alignment horizontal="center" vertical="center"/>
    </xf>
    <xf numFmtId="10" fontId="0" fillId="0" borderId="0" xfId="0" applyNumberFormat="1"/>
    <xf numFmtId="170" fontId="17" fillId="0" borderId="33" xfId="2" applyNumberFormat="1" applyFont="1" applyFill="1" applyBorder="1" applyAlignment="1">
      <alignment horizontal="center"/>
    </xf>
    <xf numFmtId="1" fontId="16" fillId="0" borderId="31" xfId="2" applyNumberFormat="1" applyFont="1" applyFill="1" applyBorder="1" applyAlignment="1">
      <alignment horizontal="center" vertical="center"/>
    </xf>
    <xf numFmtId="1" fontId="16" fillId="0" borderId="33" xfId="2" applyNumberFormat="1" applyFont="1" applyFill="1" applyBorder="1" applyAlignment="1">
      <alignment horizontal="center" vertical="center"/>
    </xf>
    <xf numFmtId="1" fontId="16" fillId="0" borderId="35" xfId="2" applyNumberFormat="1" applyFont="1" applyFill="1" applyBorder="1" applyAlignment="1">
      <alignment horizontal="center" vertical="center"/>
    </xf>
    <xf numFmtId="10" fontId="17" fillId="5" borderId="31" xfId="2" applyNumberFormat="1" applyFont="1" applyFill="1" applyBorder="1" applyAlignment="1">
      <alignment horizontal="center"/>
    </xf>
    <xf numFmtId="10" fontId="17" fillId="5" borderId="33" xfId="2" applyNumberFormat="1" applyFont="1" applyFill="1" applyBorder="1" applyAlignment="1">
      <alignment horizontal="center"/>
    </xf>
    <xf numFmtId="10" fontId="17" fillId="5" borderId="35" xfId="2" applyNumberFormat="1" applyFont="1" applyFill="1" applyBorder="1" applyAlignment="1">
      <alignment horizontal="center"/>
    </xf>
    <xf numFmtId="0" fontId="5" fillId="0" borderId="0" xfId="0" applyFont="1" applyAlignment="1">
      <alignment horizontal="left" vertical="center"/>
    </xf>
    <xf numFmtId="10" fontId="8" fillId="0" borderId="51" xfId="2" applyNumberFormat="1" applyFont="1" applyFill="1" applyBorder="1" applyAlignment="1">
      <alignment horizontal="center" vertical="center"/>
    </xf>
    <xf numFmtId="10" fontId="8" fillId="0" borderId="49" xfId="2" applyNumberFormat="1" applyFont="1" applyFill="1" applyBorder="1" applyAlignment="1">
      <alignment horizontal="center" vertical="center"/>
    </xf>
    <xf numFmtId="10" fontId="8" fillId="0" borderId="50" xfId="2" applyNumberFormat="1" applyFont="1" applyFill="1" applyBorder="1" applyAlignment="1">
      <alignment horizontal="center" vertical="center"/>
    </xf>
    <xf numFmtId="1" fontId="5" fillId="7" borderId="53" xfId="0" applyNumberFormat="1" applyFont="1" applyFill="1" applyBorder="1" applyAlignment="1">
      <alignment horizontal="center"/>
    </xf>
    <xf numFmtId="15" fontId="0" fillId="16" borderId="12" xfId="0" applyNumberFormat="1" applyFill="1" applyBorder="1" applyAlignment="1">
      <alignment horizontal="center" vertical="center"/>
    </xf>
    <xf numFmtId="0" fontId="0" fillId="16" borderId="12" xfId="0" applyFill="1" applyBorder="1" applyAlignment="1">
      <alignment horizontal="center" vertical="center"/>
    </xf>
    <xf numFmtId="17" fontId="0" fillId="0" borderId="12" xfId="0" applyNumberFormat="1" applyBorder="1" applyAlignment="1">
      <alignment horizontal="center" vertical="center"/>
    </xf>
    <xf numFmtId="0" fontId="6" fillId="0" borderId="12" xfId="5" applyBorder="1" applyAlignment="1">
      <alignment horizontal="left"/>
    </xf>
    <xf numFmtId="0" fontId="0" fillId="7" borderId="12" xfId="0" applyFill="1" applyBorder="1" applyAlignment="1">
      <alignment horizontal="center"/>
    </xf>
    <xf numFmtId="170" fontId="0" fillId="7" borderId="12" xfId="2" applyNumberFormat="1" applyFont="1" applyFill="1" applyBorder="1" applyAlignment="1">
      <alignment horizontal="center"/>
    </xf>
    <xf numFmtId="0" fontId="6" fillId="18" borderId="12" xfId="5" applyFill="1" applyBorder="1" applyAlignment="1">
      <alignment horizontal="left"/>
    </xf>
    <xf numFmtId="171" fontId="0" fillId="0" borderId="12" xfId="0" applyNumberFormat="1" applyBorder="1"/>
    <xf numFmtId="2" fontId="0" fillId="7" borderId="12" xfId="0" applyNumberFormat="1" applyFill="1" applyBorder="1"/>
    <xf numFmtId="0" fontId="0" fillId="0" borderId="12" xfId="0" applyBorder="1" applyAlignment="1">
      <alignment horizontal="center"/>
    </xf>
    <xf numFmtId="2" fontId="0" fillId="0" borderId="12" xfId="0" applyNumberFormat="1" applyBorder="1" applyAlignment="1">
      <alignment horizontal="center"/>
    </xf>
    <xf numFmtId="1" fontId="0" fillId="0" borderId="13" xfId="0" applyNumberFormat="1" applyBorder="1" applyAlignment="1">
      <alignment horizontal="center"/>
    </xf>
    <xf numFmtId="0" fontId="3" fillId="3" borderId="54" xfId="3" applyFont="1" applyFill="1" applyBorder="1" applyAlignment="1">
      <alignment horizontal="center" vertical="center" wrapText="1"/>
    </xf>
    <xf numFmtId="166" fontId="3" fillId="3" borderId="55" xfId="3" applyNumberFormat="1" applyFont="1" applyFill="1" applyBorder="1" applyAlignment="1">
      <alignment horizontal="center" vertical="center" wrapText="1"/>
    </xf>
    <xf numFmtId="0" fontId="3" fillId="3" borderId="55" xfId="3" applyFont="1" applyFill="1" applyBorder="1" applyAlignment="1">
      <alignment horizontal="center" vertical="center" wrapText="1"/>
    </xf>
    <xf numFmtId="0" fontId="3" fillId="3" borderId="55" xfId="0" applyFont="1" applyFill="1" applyBorder="1" applyAlignment="1">
      <alignment horizontal="center" vertical="center" wrapText="1"/>
    </xf>
    <xf numFmtId="1" fontId="5" fillId="7" borderId="56" xfId="0" applyNumberFormat="1" applyFont="1" applyFill="1" applyBorder="1" applyAlignment="1">
      <alignment horizontal="center"/>
    </xf>
    <xf numFmtId="0" fontId="0" fillId="7" borderId="9" xfId="0" applyFill="1" applyBorder="1" applyAlignment="1">
      <alignment horizontal="center"/>
    </xf>
    <xf numFmtId="170" fontId="0" fillId="7" borderId="9" xfId="2" applyNumberFormat="1" applyFont="1" applyFill="1" applyBorder="1" applyAlignment="1">
      <alignment horizontal="center"/>
    </xf>
    <xf numFmtId="0" fontId="0" fillId="0" borderId="9" xfId="0" applyBorder="1" applyAlignment="1">
      <alignment horizontal="center"/>
    </xf>
    <xf numFmtId="0" fontId="0" fillId="0" borderId="57" xfId="0" applyBorder="1"/>
    <xf numFmtId="2" fontId="0" fillId="0" borderId="9" xfId="0" applyNumberFormat="1" applyBorder="1" applyAlignment="1">
      <alignment horizontal="center"/>
    </xf>
    <xf numFmtId="0" fontId="6" fillId="18" borderId="9" xfId="5" applyFill="1" applyBorder="1" applyAlignment="1">
      <alignment horizontal="left"/>
    </xf>
    <xf numFmtId="0" fontId="6" fillId="0" borderId="9" xfId="5" applyBorder="1" applyAlignment="1">
      <alignment horizontal="left"/>
    </xf>
    <xf numFmtId="1" fontId="0" fillId="0" borderId="9" xfId="0" applyNumberFormat="1" applyBorder="1"/>
    <xf numFmtId="1" fontId="0" fillId="0" borderId="9" xfId="0" applyNumberFormat="1" applyBorder="1" applyAlignment="1">
      <alignment horizontal="center"/>
    </xf>
    <xf numFmtId="17" fontId="0" fillId="0" borderId="9" xfId="0" applyNumberFormat="1" applyBorder="1" applyAlignment="1">
      <alignment horizontal="center" vertical="center"/>
    </xf>
    <xf numFmtId="0" fontId="0" fillId="16" borderId="9" xfId="0" applyFill="1" applyBorder="1" applyAlignment="1">
      <alignment horizontal="center" vertical="center"/>
    </xf>
    <xf numFmtId="2" fontId="0" fillId="7" borderId="9" xfId="0" applyNumberFormat="1" applyFill="1" applyBorder="1"/>
    <xf numFmtId="20" fontId="0" fillId="0" borderId="9" xfId="0" applyNumberFormat="1" applyBorder="1"/>
    <xf numFmtId="15" fontId="0" fillId="16" borderId="9" xfId="0" applyNumberFormat="1" applyFill="1" applyBorder="1" applyAlignment="1">
      <alignment horizontal="center" vertical="center"/>
    </xf>
    <xf numFmtId="171" fontId="0" fillId="0" borderId="9" xfId="0" applyNumberFormat="1" applyBorder="1"/>
    <xf numFmtId="1" fontId="5" fillId="7" borderId="58" xfId="0" applyNumberFormat="1" applyFont="1" applyFill="1" applyBorder="1" applyAlignment="1">
      <alignment horizontal="center"/>
    </xf>
    <xf numFmtId="15" fontId="0" fillId="16" borderId="41" xfId="0" applyNumberFormat="1" applyFill="1" applyBorder="1" applyAlignment="1">
      <alignment horizontal="center" vertical="center"/>
    </xf>
    <xf numFmtId="0" fontId="0" fillId="16" borderId="41" xfId="0" applyFill="1" applyBorder="1" applyAlignment="1">
      <alignment horizontal="center" vertical="center"/>
    </xf>
    <xf numFmtId="17" fontId="0" fillId="0" borderId="41" xfId="0" applyNumberFormat="1" applyBorder="1" applyAlignment="1">
      <alignment horizontal="center" vertical="center"/>
    </xf>
    <xf numFmtId="0" fontId="6" fillId="0" borderId="41" xfId="5" applyBorder="1" applyAlignment="1">
      <alignment horizontal="left"/>
    </xf>
    <xf numFmtId="0" fontId="0" fillId="7" borderId="41" xfId="0" applyFill="1" applyBorder="1" applyAlignment="1">
      <alignment horizontal="center"/>
    </xf>
    <xf numFmtId="170" fontId="0" fillId="7" borderId="41" xfId="2" applyNumberFormat="1" applyFont="1" applyFill="1" applyBorder="1" applyAlignment="1">
      <alignment horizontal="center"/>
    </xf>
    <xf numFmtId="0" fontId="0" fillId="0" borderId="41" xfId="0" applyBorder="1" applyAlignment="1">
      <alignment horizontal="left"/>
    </xf>
    <xf numFmtId="0" fontId="6" fillId="18" borderId="41" xfId="5" applyFill="1" applyBorder="1" applyAlignment="1">
      <alignment horizontal="left"/>
    </xf>
    <xf numFmtId="0" fontId="0" fillId="0" borderId="41" xfId="0" applyBorder="1"/>
    <xf numFmtId="171" fontId="0" fillId="0" borderId="41" xfId="0" applyNumberFormat="1" applyBorder="1"/>
    <xf numFmtId="2" fontId="0" fillId="7" borderId="41" xfId="0" applyNumberFormat="1" applyFill="1" applyBorder="1"/>
    <xf numFmtId="0" fontId="0" fillId="0" borderId="41" xfId="0" applyBorder="1" applyAlignment="1">
      <alignment horizontal="center"/>
    </xf>
    <xf numFmtId="2" fontId="0" fillId="0" borderId="41" xfId="0" applyNumberFormat="1" applyBorder="1" applyAlignment="1">
      <alignment horizontal="center"/>
    </xf>
    <xf numFmtId="1" fontId="0" fillId="0" borderId="41" xfId="0" applyNumberFormat="1" applyBorder="1" applyAlignment="1">
      <alignment horizontal="center"/>
    </xf>
    <xf numFmtId="0" fontId="0" fillId="0" borderId="59" xfId="0" applyBorder="1"/>
    <xf numFmtId="1" fontId="0" fillId="0" borderId="9" xfId="0" applyNumberFormat="1" applyBorder="1" applyAlignment="1">
      <alignment horizontal="right"/>
    </xf>
    <xf numFmtId="1" fontId="3" fillId="3" borderId="55" xfId="0" applyNumberFormat="1" applyFont="1" applyFill="1" applyBorder="1" applyAlignment="1">
      <alignment horizontal="center" vertical="center" wrapText="1"/>
    </xf>
    <xf numFmtId="167" fontId="16" fillId="5" borderId="21" xfId="8" applyNumberFormat="1" applyFont="1" applyFill="1" applyBorder="1" applyAlignment="1" applyProtection="1">
      <alignment horizontal="left" vertical="center"/>
      <protection locked="0"/>
    </xf>
    <xf numFmtId="166" fontId="16" fillId="5" borderId="21" xfId="8" applyNumberFormat="1" applyFont="1" applyFill="1" applyBorder="1" applyAlignment="1" applyProtection="1">
      <alignment horizontal="left" vertical="center"/>
      <protection locked="0"/>
    </xf>
    <xf numFmtId="1" fontId="17" fillId="5" borderId="32" xfId="0" applyNumberFormat="1" applyFont="1" applyFill="1" applyBorder="1" applyProtection="1">
      <protection locked="0"/>
    </xf>
    <xf numFmtId="0" fontId="17" fillId="5" borderId="34" xfId="0" applyFont="1" applyFill="1" applyBorder="1" applyProtection="1">
      <protection locked="0"/>
    </xf>
    <xf numFmtId="0" fontId="17" fillId="5" borderId="36" xfId="0" applyFont="1" applyFill="1" applyBorder="1" applyProtection="1">
      <protection locked="0"/>
    </xf>
    <xf numFmtId="10" fontId="5" fillId="0" borderId="0" xfId="0" applyNumberFormat="1" applyFont="1" applyAlignment="1">
      <alignment horizontal="left" vertical="top"/>
    </xf>
    <xf numFmtId="10" fontId="5" fillId="0" borderId="0" xfId="0" applyNumberFormat="1" applyFont="1" applyAlignment="1">
      <alignment horizontal="left"/>
    </xf>
    <xf numFmtId="0" fontId="3" fillId="3" borderId="18"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1" fillId="0" borderId="0" xfId="48" applyAlignment="1">
      <alignment horizontal="left" vertical="center"/>
    </xf>
    <xf numFmtId="0" fontId="17" fillId="5" borderId="60" xfId="0" applyFont="1" applyFill="1" applyBorder="1" applyProtection="1">
      <protection locked="0"/>
    </xf>
    <xf numFmtId="1" fontId="0" fillId="0" borderId="9" xfId="0" applyNumberFormat="1" applyBorder="1" applyAlignment="1">
      <alignment horizontal="right" vertical="center"/>
    </xf>
    <xf numFmtId="2" fontId="5" fillId="0" borderId="1" xfId="3" applyNumberFormat="1" applyFont="1" applyBorder="1" applyAlignment="1">
      <alignment horizontal="center"/>
    </xf>
    <xf numFmtId="169" fontId="5" fillId="7" borderId="1" xfId="3" applyNumberFormat="1" applyFont="1" applyFill="1" applyBorder="1" applyAlignment="1">
      <alignment horizontal="center"/>
    </xf>
    <xf numFmtId="10" fontId="5" fillId="7" borderId="5" xfId="2" applyNumberFormat="1" applyFont="1" applyFill="1" applyBorder="1" applyAlignment="1">
      <alignment horizontal="center"/>
    </xf>
    <xf numFmtId="10" fontId="5" fillId="0" borderId="1" xfId="3" applyNumberFormat="1" applyFont="1" applyBorder="1" applyAlignment="1">
      <alignment horizontal="center"/>
    </xf>
    <xf numFmtId="0" fontId="25" fillId="5" borderId="63" xfId="0" applyFont="1" applyFill="1" applyBorder="1" applyAlignment="1">
      <alignment horizontal="center" vertical="center"/>
    </xf>
    <xf numFmtId="0" fontId="0" fillId="5" borderId="0" xfId="0" applyFill="1"/>
    <xf numFmtId="0" fontId="25" fillId="5" borderId="65" xfId="0" applyFont="1" applyFill="1" applyBorder="1" applyAlignment="1">
      <alignment horizontal="center" vertical="center"/>
    </xf>
    <xf numFmtId="0" fontId="27" fillId="13" borderId="66" xfId="0" applyFont="1" applyFill="1" applyBorder="1" applyAlignment="1">
      <alignment horizontal="center" vertical="center" wrapText="1"/>
    </xf>
    <xf numFmtId="0" fontId="27" fillId="13" borderId="67" xfId="0" applyFont="1" applyFill="1" applyBorder="1" applyAlignment="1">
      <alignment horizontal="center" vertical="center" wrapText="1"/>
    </xf>
    <xf numFmtId="0" fontId="27" fillId="23" borderId="67" xfId="0" applyFont="1" applyFill="1" applyBorder="1" applyAlignment="1">
      <alignment horizontal="left" vertical="center" wrapText="1"/>
    </xf>
    <xf numFmtId="0" fontId="27" fillId="13" borderId="68" xfId="0" applyFont="1" applyFill="1" applyBorder="1" applyAlignment="1">
      <alignment horizontal="center" vertical="center" wrapText="1"/>
    </xf>
    <xf numFmtId="0" fontId="27" fillId="13" borderId="69" xfId="0" applyFont="1" applyFill="1" applyBorder="1" applyAlignment="1">
      <alignment horizontal="center" vertical="center" wrapText="1"/>
    </xf>
    <xf numFmtId="0" fontId="27" fillId="13" borderId="70" xfId="0" applyFont="1" applyFill="1" applyBorder="1" applyAlignment="1">
      <alignment horizontal="center" vertical="center" wrapText="1"/>
    </xf>
    <xf numFmtId="0" fontId="27" fillId="13" borderId="71" xfId="0" applyFont="1" applyFill="1" applyBorder="1" applyAlignment="1">
      <alignment horizontal="center" vertical="center" wrapText="1"/>
    </xf>
    <xf numFmtId="0" fontId="27" fillId="13" borderId="72" xfId="0" applyFont="1" applyFill="1" applyBorder="1" applyAlignment="1">
      <alignment horizontal="center" vertical="center" wrapText="1"/>
    </xf>
    <xf numFmtId="0" fontId="28" fillId="5" borderId="0" xfId="0" applyFont="1" applyFill="1"/>
    <xf numFmtId="0" fontId="26" fillId="7" borderId="73" xfId="0" applyFont="1" applyFill="1" applyBorder="1" applyAlignment="1">
      <alignment horizontal="center"/>
    </xf>
    <xf numFmtId="0" fontId="29" fillId="7" borderId="55" xfId="0" applyFont="1" applyFill="1" applyBorder="1" applyAlignment="1">
      <alignment horizontal="center" vertical="center"/>
    </xf>
    <xf numFmtId="0" fontId="26" fillId="7" borderId="55" xfId="0" applyFont="1" applyFill="1" applyBorder="1" applyAlignment="1">
      <alignment horizontal="center" vertical="center"/>
    </xf>
    <xf numFmtId="168" fontId="30" fillId="14" borderId="55" xfId="0" applyNumberFormat="1" applyFont="1" applyFill="1" applyBorder="1" applyAlignment="1">
      <alignment horizontal="center" vertical="center"/>
    </xf>
    <xf numFmtId="168" fontId="30" fillId="24" borderId="55" xfId="0" applyNumberFormat="1" applyFont="1" applyFill="1" applyBorder="1" applyAlignment="1">
      <alignment horizontal="center" vertical="center"/>
    </xf>
    <xf numFmtId="168" fontId="30" fillId="8" borderId="55" xfId="0" applyNumberFormat="1" applyFont="1" applyFill="1" applyBorder="1" applyAlignment="1">
      <alignment horizontal="center" vertical="center"/>
    </xf>
    <xf numFmtId="15" fontId="29" fillId="25" borderId="55" xfId="0" applyNumberFormat="1" applyFont="1" applyFill="1" applyBorder="1" applyAlignment="1">
      <alignment horizontal="center" vertical="center"/>
    </xf>
    <xf numFmtId="15" fontId="26" fillId="14" borderId="55" xfId="0" applyNumberFormat="1" applyFont="1" applyFill="1" applyBorder="1"/>
    <xf numFmtId="15" fontId="26" fillId="8" borderId="55" xfId="0" applyNumberFormat="1" applyFont="1" applyFill="1" applyBorder="1"/>
    <xf numFmtId="168" fontId="26" fillId="14" borderId="55" xfId="0" applyNumberFormat="1" applyFont="1" applyFill="1" applyBorder="1"/>
    <xf numFmtId="168" fontId="26" fillId="8" borderId="55" xfId="0" applyNumberFormat="1" applyFont="1" applyFill="1" applyBorder="1"/>
    <xf numFmtId="0" fontId="26" fillId="8" borderId="55" xfId="0" applyFont="1" applyFill="1" applyBorder="1" applyAlignment="1">
      <alignment horizontal="center"/>
    </xf>
    <xf numFmtId="168" fontId="0" fillId="17" borderId="55" xfId="0" applyNumberFormat="1" applyFill="1" applyBorder="1" applyAlignment="1">
      <alignment horizontal="center" vertical="center"/>
    </xf>
    <xf numFmtId="168" fontId="0" fillId="5" borderId="55" xfId="0" applyNumberFormat="1" applyFill="1" applyBorder="1" applyAlignment="1">
      <alignment horizontal="center" vertical="center"/>
    </xf>
    <xf numFmtId="0" fontId="26" fillId="5" borderId="55" xfId="0" applyFont="1" applyFill="1" applyBorder="1" applyAlignment="1">
      <alignment horizontal="center"/>
    </xf>
    <xf numFmtId="168" fontId="26" fillId="23" borderId="55" xfId="0" applyNumberFormat="1" applyFont="1" applyFill="1" applyBorder="1" applyAlignment="1">
      <alignment horizontal="left"/>
    </xf>
    <xf numFmtId="15" fontId="26" fillId="5" borderId="55" xfId="0" applyNumberFormat="1" applyFont="1" applyFill="1" applyBorder="1"/>
    <xf numFmtId="0" fontId="26" fillId="7" borderId="74" xfId="0" applyFont="1" applyFill="1" applyBorder="1"/>
    <xf numFmtId="0" fontId="26" fillId="5" borderId="55" xfId="0" applyFont="1" applyFill="1" applyBorder="1"/>
    <xf numFmtId="168" fontId="30" fillId="14" borderId="18" xfId="0" applyNumberFormat="1" applyFont="1" applyFill="1" applyBorder="1" applyAlignment="1">
      <alignment horizontal="center"/>
    </xf>
    <xf numFmtId="168" fontId="30" fillId="14" borderId="75" xfId="0" applyNumberFormat="1" applyFont="1" applyFill="1" applyBorder="1" applyAlignment="1">
      <alignment horizontal="center"/>
    </xf>
    <xf numFmtId="49" fontId="30" fillId="14" borderId="76" xfId="0" applyNumberFormat="1" applyFont="1" applyFill="1" applyBorder="1" applyAlignment="1">
      <alignment horizontal="center"/>
    </xf>
    <xf numFmtId="168" fontId="30" fillId="25" borderId="77" xfId="0" applyNumberFormat="1" applyFont="1" applyFill="1" applyBorder="1" applyAlignment="1">
      <alignment horizontal="center"/>
    </xf>
    <xf numFmtId="168" fontId="30" fillId="25" borderId="18" xfId="0" applyNumberFormat="1" applyFont="1" applyFill="1" applyBorder="1" applyAlignment="1">
      <alignment horizontal="center"/>
    </xf>
    <xf numFmtId="168" fontId="30" fillId="25" borderId="78" xfId="0" applyNumberFormat="1" applyFont="1" applyFill="1" applyBorder="1" applyAlignment="1">
      <alignment horizontal="left"/>
    </xf>
    <xf numFmtId="0" fontId="26" fillId="5" borderId="0" xfId="0" applyFont="1" applyFill="1"/>
    <xf numFmtId="0" fontId="26" fillId="7" borderId="79" xfId="0" applyFont="1" applyFill="1" applyBorder="1" applyAlignment="1">
      <alignment horizontal="center"/>
    </xf>
    <xf numFmtId="0" fontId="29" fillId="7" borderId="9" xfId="0" applyFont="1" applyFill="1" applyBorder="1" applyAlignment="1">
      <alignment horizontal="center" vertical="center"/>
    </xf>
    <xf numFmtId="0" fontId="26" fillId="7" borderId="9" xfId="0" applyFont="1" applyFill="1" applyBorder="1" applyAlignment="1">
      <alignment horizontal="center" vertical="center"/>
    </xf>
    <xf numFmtId="168" fontId="30" fillId="14" borderId="9" xfId="0" applyNumberFormat="1" applyFont="1" applyFill="1" applyBorder="1" applyAlignment="1">
      <alignment horizontal="center" vertical="center"/>
    </xf>
    <xf numFmtId="168" fontId="30" fillId="24" borderId="9" xfId="0" applyNumberFormat="1" applyFont="1" applyFill="1" applyBorder="1" applyAlignment="1">
      <alignment horizontal="center" vertical="center"/>
    </xf>
    <xf numFmtId="168" fontId="30" fillId="8" borderId="9" xfId="0" applyNumberFormat="1" applyFont="1" applyFill="1" applyBorder="1" applyAlignment="1">
      <alignment horizontal="center" vertical="center"/>
    </xf>
    <xf numFmtId="15" fontId="29" fillId="25" borderId="9" xfId="0" applyNumberFormat="1" applyFont="1" applyFill="1" applyBorder="1" applyAlignment="1">
      <alignment horizontal="center" vertical="center"/>
    </xf>
    <xf numFmtId="15" fontId="26" fillId="14" borderId="9" xfId="0" applyNumberFormat="1" applyFont="1" applyFill="1" applyBorder="1"/>
    <xf numFmtId="15" fontId="26" fillId="8" borderId="9" xfId="0" applyNumberFormat="1" applyFont="1" applyFill="1" applyBorder="1"/>
    <xf numFmtId="168" fontId="26" fillId="14" borderId="9" xfId="0" applyNumberFormat="1" applyFont="1" applyFill="1" applyBorder="1"/>
    <xf numFmtId="168" fontId="26" fillId="8" borderId="9" xfId="0" applyNumberFormat="1" applyFont="1" applyFill="1" applyBorder="1"/>
    <xf numFmtId="0" fontId="26" fillId="8" borderId="9" xfId="0" applyFont="1" applyFill="1" applyBorder="1" applyAlignment="1">
      <alignment horizontal="center"/>
    </xf>
    <xf numFmtId="168" fontId="0" fillId="5" borderId="9" xfId="0" applyNumberFormat="1" applyFill="1" applyBorder="1" applyAlignment="1">
      <alignment horizontal="center" vertical="center"/>
    </xf>
    <xf numFmtId="0" fontId="26" fillId="5" borderId="9" xfId="0" applyFont="1" applyFill="1" applyBorder="1" applyAlignment="1">
      <alignment horizontal="center"/>
    </xf>
    <xf numFmtId="168" fontId="26" fillId="23" borderId="9" xfId="0" applyNumberFormat="1" applyFont="1" applyFill="1" applyBorder="1" applyAlignment="1">
      <alignment horizontal="left"/>
    </xf>
    <xf numFmtId="15" fontId="26" fillId="5" borderId="9" xfId="0" applyNumberFormat="1" applyFont="1" applyFill="1" applyBorder="1"/>
    <xf numFmtId="0" fontId="26" fillId="7" borderId="80" xfId="0" applyFont="1" applyFill="1" applyBorder="1"/>
    <xf numFmtId="0" fontId="26" fillId="5" borderId="9" xfId="0" applyFont="1" applyFill="1" applyBorder="1"/>
    <xf numFmtId="168" fontId="30" fillId="14" borderId="57" xfId="0" applyNumberFormat="1" applyFont="1" applyFill="1" applyBorder="1" applyAlignment="1">
      <alignment horizontal="center"/>
    </xf>
    <xf numFmtId="168" fontId="30" fillId="14" borderId="81" xfId="0" applyNumberFormat="1" applyFont="1" applyFill="1" applyBorder="1" applyAlignment="1">
      <alignment horizontal="center"/>
    </xf>
    <xf numFmtId="49" fontId="30" fillId="14" borderId="82" xfId="0" applyNumberFormat="1" applyFont="1" applyFill="1" applyBorder="1" applyAlignment="1">
      <alignment horizontal="center"/>
    </xf>
    <xf numFmtId="168" fontId="30" fillId="25" borderId="83" xfId="0" applyNumberFormat="1" applyFont="1" applyFill="1" applyBorder="1" applyAlignment="1">
      <alignment horizontal="center"/>
    </xf>
    <xf numFmtId="168" fontId="30" fillId="25" borderId="9" xfId="0" applyNumberFormat="1" applyFont="1" applyFill="1" applyBorder="1" applyAlignment="1">
      <alignment horizontal="center"/>
    </xf>
    <xf numFmtId="49" fontId="30" fillId="25" borderId="9" xfId="0" applyNumberFormat="1" applyFont="1" applyFill="1" applyBorder="1" applyAlignment="1">
      <alignment horizontal="center"/>
    </xf>
    <xf numFmtId="168" fontId="30" fillId="25" borderId="84" xfId="0" applyNumberFormat="1" applyFont="1" applyFill="1" applyBorder="1" applyAlignment="1">
      <alignment horizontal="right"/>
    </xf>
    <xf numFmtId="0" fontId="31" fillId="5" borderId="9" xfId="0" applyFont="1" applyFill="1" applyBorder="1"/>
    <xf numFmtId="168" fontId="29" fillId="14" borderId="9" xfId="0" applyNumberFormat="1" applyFont="1" applyFill="1" applyBorder="1" applyAlignment="1">
      <alignment horizontal="center" vertical="center"/>
    </xf>
    <xf numFmtId="168" fontId="29" fillId="24" borderId="9" xfId="0" applyNumberFormat="1" applyFont="1" applyFill="1" applyBorder="1" applyAlignment="1">
      <alignment horizontal="center" vertical="center"/>
    </xf>
    <xf numFmtId="168" fontId="0" fillId="0" borderId="9" xfId="0" applyNumberFormat="1" applyBorder="1" applyAlignment="1">
      <alignment horizontal="center" vertical="center"/>
    </xf>
    <xf numFmtId="0" fontId="30" fillId="7" borderId="9" xfId="0" applyFont="1" applyFill="1" applyBorder="1" applyAlignment="1">
      <alignment horizontal="center" vertical="center"/>
    </xf>
    <xf numFmtId="168" fontId="32" fillId="14" borderId="9" xfId="0" applyNumberFormat="1" applyFont="1" applyFill="1" applyBorder="1" applyAlignment="1">
      <alignment horizontal="center" vertical="center"/>
    </xf>
    <xf numFmtId="168" fontId="32" fillId="24" borderId="9" xfId="0" applyNumberFormat="1" applyFont="1" applyFill="1" applyBorder="1" applyAlignment="1">
      <alignment horizontal="center" vertical="center"/>
    </xf>
    <xf numFmtId="168" fontId="7" fillId="0" borderId="9" xfId="5" applyNumberFormat="1" applyFont="1" applyBorder="1" applyAlignment="1">
      <alignment horizontal="center" vertical="center"/>
    </xf>
    <xf numFmtId="168" fontId="26" fillId="5" borderId="9" xfId="0" applyNumberFormat="1" applyFont="1" applyFill="1" applyBorder="1"/>
    <xf numFmtId="15" fontId="0" fillId="16" borderId="81" xfId="0" applyNumberFormat="1" applyFill="1" applyBorder="1" applyAlignment="1">
      <alignment horizontal="center" vertical="center"/>
    </xf>
    <xf numFmtId="15" fontId="0" fillId="25" borderId="83" xfId="0" applyNumberFormat="1" applyFill="1" applyBorder="1" applyAlignment="1">
      <alignment horizontal="center" vertical="center"/>
    </xf>
    <xf numFmtId="15" fontId="0" fillId="25" borderId="9" xfId="0" applyNumberFormat="1" applyFill="1" applyBorder="1" applyAlignment="1">
      <alignment horizontal="center" vertical="center"/>
    </xf>
    <xf numFmtId="15" fontId="0" fillId="25" borderId="84" xfId="0" applyNumberFormat="1" applyFill="1" applyBorder="1" applyAlignment="1">
      <alignment horizontal="right" vertical="center"/>
    </xf>
    <xf numFmtId="0" fontId="26" fillId="7" borderId="9" xfId="0" applyFont="1" applyFill="1" applyBorder="1" applyAlignment="1">
      <alignment horizontal="center"/>
    </xf>
    <xf numFmtId="0" fontId="26" fillId="7" borderId="57" xfId="0" applyFont="1" applyFill="1" applyBorder="1"/>
    <xf numFmtId="0" fontId="30" fillId="7" borderId="55" xfId="0" applyFont="1" applyFill="1" applyBorder="1" applyAlignment="1">
      <alignment horizontal="center" vertical="center"/>
    </xf>
    <xf numFmtId="168" fontId="32" fillId="14" borderId="55" xfId="0" applyNumberFormat="1" applyFont="1" applyFill="1" applyBorder="1" applyAlignment="1">
      <alignment horizontal="center" vertical="center"/>
    </xf>
    <xf numFmtId="168" fontId="32" fillId="24" borderId="55" xfId="0" applyNumberFormat="1" applyFont="1" applyFill="1" applyBorder="1" applyAlignment="1">
      <alignment horizontal="center" vertical="center"/>
    </xf>
    <xf numFmtId="168" fontId="0" fillId="0" borderId="55" xfId="0" applyNumberFormat="1" applyBorder="1" applyAlignment="1">
      <alignment horizontal="center" vertical="center"/>
    </xf>
    <xf numFmtId="168" fontId="7" fillId="0" borderId="55" xfId="5" applyNumberFormat="1" applyFont="1" applyBorder="1" applyAlignment="1">
      <alignment horizontal="center" vertical="center"/>
    </xf>
    <xf numFmtId="168" fontId="32" fillId="14" borderId="9" xfId="0" applyNumberFormat="1" applyFont="1" applyFill="1" applyBorder="1" applyAlignment="1">
      <alignment horizontal="center"/>
    </xf>
    <xf numFmtId="168" fontId="32" fillId="24" borderId="9" xfId="0" applyNumberFormat="1" applyFont="1" applyFill="1" applyBorder="1" applyAlignment="1">
      <alignment horizontal="center"/>
    </xf>
    <xf numFmtId="168" fontId="29" fillId="14" borderId="9" xfId="0" applyNumberFormat="1" applyFont="1" applyFill="1" applyBorder="1" applyAlignment="1">
      <alignment horizontal="center"/>
    </xf>
    <xf numFmtId="0" fontId="26" fillId="7" borderId="85" xfId="0" applyFont="1" applyFill="1" applyBorder="1" applyAlignment="1">
      <alignment horizontal="center"/>
    </xf>
    <xf numFmtId="0" fontId="30" fillId="7" borderId="86" xfId="0" applyFont="1" applyFill="1" applyBorder="1" applyAlignment="1">
      <alignment horizontal="center" vertical="center"/>
    </xf>
    <xf numFmtId="0" fontId="26" fillId="7" borderId="86" xfId="0" applyFont="1" applyFill="1" applyBorder="1" applyAlignment="1">
      <alignment horizontal="center" vertical="center"/>
    </xf>
    <xf numFmtId="168" fontId="32" fillId="14" borderId="86" xfId="0" applyNumberFormat="1" applyFont="1" applyFill="1" applyBorder="1" applyAlignment="1">
      <alignment horizontal="center" vertical="center"/>
    </xf>
    <xf numFmtId="168" fontId="32" fillId="24" borderId="86" xfId="0" applyNumberFormat="1" applyFont="1" applyFill="1" applyBorder="1" applyAlignment="1">
      <alignment horizontal="center" vertical="center"/>
    </xf>
    <xf numFmtId="168" fontId="30" fillId="14" borderId="86" xfId="0" applyNumberFormat="1" applyFont="1" applyFill="1" applyBorder="1" applyAlignment="1">
      <alignment horizontal="center" vertical="center"/>
    </xf>
    <xf numFmtId="168" fontId="30" fillId="8" borderId="86" xfId="0" applyNumberFormat="1" applyFont="1" applyFill="1" applyBorder="1" applyAlignment="1">
      <alignment horizontal="center" vertical="center"/>
    </xf>
    <xf numFmtId="15" fontId="29" fillId="25" borderId="86" xfId="0" applyNumberFormat="1" applyFont="1" applyFill="1" applyBorder="1" applyAlignment="1">
      <alignment horizontal="center" vertical="center"/>
    </xf>
    <xf numFmtId="15" fontId="26" fillId="14" borderId="86" xfId="0" applyNumberFormat="1" applyFont="1" applyFill="1" applyBorder="1"/>
    <xf numFmtId="15" fontId="26" fillId="8" borderId="86" xfId="0" applyNumberFormat="1" applyFont="1" applyFill="1" applyBorder="1"/>
    <xf numFmtId="168" fontId="26" fillId="14" borderId="86" xfId="0" applyNumberFormat="1" applyFont="1" applyFill="1" applyBorder="1"/>
    <xf numFmtId="168" fontId="26" fillId="8" borderId="86" xfId="0" applyNumberFormat="1" applyFont="1" applyFill="1" applyBorder="1"/>
    <xf numFmtId="0" fontId="26" fillId="8" borderId="86" xfId="0" applyFont="1" applyFill="1" applyBorder="1" applyAlignment="1">
      <alignment horizontal="center"/>
    </xf>
    <xf numFmtId="168" fontId="0" fillId="0" borderId="86" xfId="0" applyNumberFormat="1" applyBorder="1" applyAlignment="1">
      <alignment horizontal="center" vertical="center"/>
    </xf>
    <xf numFmtId="0" fontId="26" fillId="5" borderId="86" xfId="0" applyFont="1" applyFill="1" applyBorder="1" applyAlignment="1">
      <alignment horizontal="center"/>
    </xf>
    <xf numFmtId="168" fontId="26" fillId="23" borderId="86" xfId="0" applyNumberFormat="1" applyFont="1" applyFill="1" applyBorder="1" applyAlignment="1">
      <alignment horizontal="left"/>
    </xf>
    <xf numFmtId="15" fontId="26" fillId="5" borderId="86" xfId="0" applyNumberFormat="1" applyFont="1" applyFill="1" applyBorder="1"/>
    <xf numFmtId="15" fontId="0" fillId="25" borderId="87" xfId="0" applyNumberFormat="1" applyFill="1" applyBorder="1" applyAlignment="1">
      <alignment horizontal="center" vertical="center"/>
    </xf>
    <xf numFmtId="15" fontId="0" fillId="25" borderId="88" xfId="0" applyNumberFormat="1" applyFill="1" applyBorder="1" applyAlignment="1">
      <alignment horizontal="center" vertical="center"/>
    </xf>
    <xf numFmtId="49" fontId="30" fillId="25" borderId="88" xfId="0" applyNumberFormat="1" applyFont="1" applyFill="1" applyBorder="1" applyAlignment="1">
      <alignment horizontal="center"/>
    </xf>
    <xf numFmtId="15" fontId="0" fillId="25" borderId="89" xfId="0" applyNumberFormat="1" applyFill="1" applyBorder="1" applyAlignment="1">
      <alignment horizontal="right" vertical="center"/>
    </xf>
    <xf numFmtId="0" fontId="0" fillId="5" borderId="0" xfId="0" applyFill="1" applyAlignment="1">
      <alignment horizontal="center"/>
    </xf>
    <xf numFmtId="0" fontId="0" fillId="5" borderId="0" xfId="0" applyFill="1" applyAlignment="1">
      <alignment horizontal="left"/>
    </xf>
    <xf numFmtId="15" fontId="26" fillId="5" borderId="0" xfId="0" applyNumberFormat="1" applyFont="1" applyFill="1"/>
    <xf numFmtId="0" fontId="0" fillId="5" borderId="0" xfId="0" applyFill="1" applyAlignment="1">
      <alignment horizontal="center" vertical="center"/>
    </xf>
    <xf numFmtId="15" fontId="33" fillId="0" borderId="81" xfId="0" applyNumberFormat="1" applyFont="1" applyBorder="1" applyAlignment="1">
      <alignment horizontal="center" indent="1"/>
    </xf>
    <xf numFmtId="15" fontId="33" fillId="0" borderId="54" xfId="0" applyNumberFormat="1" applyFont="1" applyBorder="1" applyAlignment="1">
      <alignment horizontal="center" indent="1"/>
    </xf>
    <xf numFmtId="15" fontId="33" fillId="5" borderId="90" xfId="0" applyNumberFormat="1" applyFont="1" applyFill="1" applyBorder="1" applyAlignment="1">
      <alignment horizontal="center" indent="1"/>
    </xf>
    <xf numFmtId="15" fontId="33" fillId="26" borderId="91" xfId="0" applyNumberFormat="1" applyFont="1" applyFill="1" applyBorder="1" applyAlignment="1">
      <alignment horizontal="center" indent="1"/>
    </xf>
    <xf numFmtId="15" fontId="33" fillId="26" borderId="54" xfId="0" applyNumberFormat="1" applyFont="1" applyFill="1" applyBorder="1" applyAlignment="1">
      <alignment horizontal="center" indent="1"/>
    </xf>
    <xf numFmtId="15" fontId="33" fillId="5" borderId="91" xfId="0" applyNumberFormat="1" applyFont="1" applyFill="1" applyBorder="1" applyAlignment="1">
      <alignment horizontal="center" indent="1"/>
    </xf>
    <xf numFmtId="15" fontId="33" fillId="0" borderId="91" xfId="0" applyNumberFormat="1" applyFont="1" applyBorder="1" applyAlignment="1">
      <alignment horizontal="center" indent="1"/>
    </xf>
    <xf numFmtId="15" fontId="33" fillId="0" borderId="92" xfId="0" applyNumberFormat="1" applyFont="1" applyBorder="1" applyAlignment="1">
      <alignment horizontal="center" indent="1"/>
    </xf>
    <xf numFmtId="15" fontId="33" fillId="0" borderId="92" xfId="0" applyNumberFormat="1" applyFont="1" applyBorder="1" applyAlignment="1">
      <alignment horizontal="center" indent="2"/>
    </xf>
    <xf numFmtId="15" fontId="33" fillId="5" borderId="92" xfId="0" applyNumberFormat="1" applyFont="1" applyFill="1" applyBorder="1" applyAlignment="1">
      <alignment horizontal="center" indent="1"/>
    </xf>
    <xf numFmtId="15" fontId="33" fillId="5" borderId="54" xfId="0" applyNumberFormat="1" applyFont="1" applyFill="1" applyBorder="1" applyAlignment="1">
      <alignment horizontal="center" indent="1"/>
    </xf>
    <xf numFmtId="15" fontId="33" fillId="0" borderId="93" xfId="0" applyNumberFormat="1" applyFont="1" applyBorder="1" applyAlignment="1">
      <alignment horizontal="center" indent="1"/>
    </xf>
    <xf numFmtId="0" fontId="33" fillId="0" borderId="54" xfId="0" applyFont="1" applyBorder="1" applyAlignment="1">
      <alignment horizontal="center" indent="2"/>
    </xf>
    <xf numFmtId="0" fontId="33" fillId="26" borderId="54" xfId="0" applyFont="1" applyFill="1" applyBorder="1" applyAlignment="1">
      <alignment horizontal="center" indent="2"/>
    </xf>
    <xf numFmtId="0" fontId="33" fillId="5" borderId="54" xfId="0" applyFont="1" applyFill="1" applyBorder="1" applyAlignment="1">
      <alignment horizontal="center" indent="2"/>
    </xf>
    <xf numFmtId="0" fontId="33" fillId="0" borderId="94" xfId="0" applyFont="1" applyBorder="1" applyAlignment="1">
      <alignment horizontal="center" indent="2"/>
    </xf>
    <xf numFmtId="0" fontId="33" fillId="0" borderId="54" xfId="0" applyFont="1" applyBorder="1" applyAlignment="1">
      <alignment horizontal="left"/>
    </xf>
    <xf numFmtId="0" fontId="33" fillId="0" borderId="54" xfId="0" applyFont="1" applyBorder="1" applyAlignment="1">
      <alignment horizontal="center" indent="1"/>
    </xf>
    <xf numFmtId="0" fontId="33" fillId="28" borderId="84" xfId="0" applyFont="1" applyFill="1" applyBorder="1" applyAlignment="1">
      <alignment horizontal="center" indent="1"/>
    </xf>
    <xf numFmtId="0" fontId="33" fillId="0" borderId="96" xfId="0" applyFont="1" applyBorder="1" applyAlignment="1">
      <alignment horizontal="center" indent="1"/>
    </xf>
    <xf numFmtId="0" fontId="33" fillId="26" borderId="54" xfId="0" applyFont="1" applyFill="1" applyBorder="1" applyAlignment="1">
      <alignment horizontal="center" indent="1"/>
    </xf>
    <xf numFmtId="0" fontId="33" fillId="26" borderId="84" xfId="0" applyFont="1" applyFill="1" applyBorder="1" applyAlignment="1">
      <alignment horizontal="center" indent="1"/>
    </xf>
    <xf numFmtId="0" fontId="33" fillId="26" borderId="96" xfId="0" applyFont="1" applyFill="1" applyBorder="1" applyAlignment="1">
      <alignment horizontal="center" indent="1"/>
    </xf>
    <xf numFmtId="0" fontId="33" fillId="0" borderId="96" xfId="0" applyFont="1" applyBorder="1" applyAlignment="1">
      <alignment horizontal="left" wrapText="1" indent="3"/>
    </xf>
    <xf numFmtId="0" fontId="33" fillId="5" borderId="54" xfId="0" applyFont="1" applyFill="1" applyBorder="1" applyAlignment="1">
      <alignment horizontal="center" indent="1"/>
    </xf>
    <xf numFmtId="0" fontId="33" fillId="5" borderId="96" xfId="0" applyFont="1" applyFill="1" applyBorder="1" applyAlignment="1">
      <alignment horizontal="center" indent="1"/>
    </xf>
    <xf numFmtId="0" fontId="33" fillId="0" borderId="94" xfId="0" applyFont="1" applyBorder="1" applyAlignment="1">
      <alignment horizontal="center" indent="1"/>
    </xf>
    <xf numFmtId="0" fontId="33" fillId="28" borderId="89" xfId="0" applyFont="1" applyFill="1" applyBorder="1" applyAlignment="1">
      <alignment horizontal="center" indent="1"/>
    </xf>
    <xf numFmtId="0" fontId="33" fillId="0" borderId="97" xfId="0" applyFont="1" applyBorder="1" applyAlignment="1">
      <alignment horizontal="center" indent="1"/>
    </xf>
    <xf numFmtId="15" fontId="33" fillId="26" borderId="95" xfId="0" applyNumberFormat="1" applyFont="1" applyFill="1" applyBorder="1" applyAlignment="1">
      <alignment horizontal="center" indent="1"/>
    </xf>
    <xf numFmtId="0" fontId="33" fillId="26" borderId="78" xfId="0" applyFont="1" applyFill="1" applyBorder="1" applyAlignment="1">
      <alignment horizontal="center" indent="1"/>
    </xf>
    <xf numFmtId="0" fontId="33" fillId="26" borderId="19" xfId="0" applyFont="1" applyFill="1" applyBorder="1" applyAlignment="1">
      <alignment horizontal="center" indent="1"/>
    </xf>
    <xf numFmtId="0" fontId="34" fillId="27" borderId="98" xfId="0" applyFont="1" applyFill="1" applyBorder="1" applyAlignment="1">
      <alignment horizontal="center" vertical="center" wrapText="1"/>
    </xf>
    <xf numFmtId="0" fontId="34" fillId="27" borderId="99" xfId="0" applyFont="1" applyFill="1" applyBorder="1" applyAlignment="1">
      <alignment horizontal="center" vertical="center" wrapText="1"/>
    </xf>
    <xf numFmtId="0" fontId="34" fillId="27" borderId="100" xfId="0" applyFont="1" applyFill="1" applyBorder="1" applyAlignment="1">
      <alignment horizontal="center" vertical="center"/>
    </xf>
    <xf numFmtId="0" fontId="34" fillId="27" borderId="101" xfId="0" applyFont="1" applyFill="1" applyBorder="1" applyAlignment="1">
      <alignment horizontal="center" vertical="center"/>
    </xf>
    <xf numFmtId="0" fontId="34" fillId="27" borderId="102" xfId="0" applyFont="1" applyFill="1" applyBorder="1" applyAlignment="1">
      <alignment horizontal="center" vertical="center"/>
    </xf>
    <xf numFmtId="1" fontId="0" fillId="0" borderId="41" xfId="0" applyNumberFormat="1" applyBorder="1"/>
    <xf numFmtId="0" fontId="35" fillId="0" borderId="103" xfId="0" applyFont="1" applyBorder="1" applyAlignment="1">
      <alignment vertical="center"/>
    </xf>
    <xf numFmtId="2" fontId="10" fillId="7" borderId="0" xfId="0" applyNumberFormat="1" applyFont="1" applyFill="1" applyAlignment="1">
      <alignment horizontal="center"/>
    </xf>
    <xf numFmtId="1" fontId="36" fillId="0" borderId="1" xfId="0" applyNumberFormat="1" applyFont="1" applyBorder="1" applyAlignment="1">
      <alignment horizontal="center"/>
    </xf>
    <xf numFmtId="0" fontId="17" fillId="5" borderId="37" xfId="0" applyFont="1" applyFill="1" applyBorder="1" applyAlignment="1">
      <alignment horizontal="center" vertical="center"/>
    </xf>
    <xf numFmtId="0" fontId="17" fillId="5" borderId="38" xfId="0" applyFont="1" applyFill="1" applyBorder="1" applyAlignment="1">
      <alignment horizontal="center" vertical="center"/>
    </xf>
    <xf numFmtId="0" fontId="17" fillId="5" borderId="39" xfId="0" applyFont="1" applyFill="1" applyBorder="1" applyAlignment="1">
      <alignment horizontal="center" vertical="center"/>
    </xf>
    <xf numFmtId="0" fontId="14" fillId="15" borderId="44" xfId="0" applyFont="1" applyFill="1" applyBorder="1" applyAlignment="1">
      <alignment horizontal="center" vertical="center"/>
    </xf>
    <xf numFmtId="0" fontId="14" fillId="15" borderId="45" xfId="0" applyFont="1" applyFill="1" applyBorder="1" applyAlignment="1">
      <alignment horizontal="center" vertical="center"/>
    </xf>
    <xf numFmtId="0" fontId="14" fillId="15" borderId="46" xfId="0" applyFont="1" applyFill="1" applyBorder="1" applyAlignment="1">
      <alignment horizontal="center" vertical="center"/>
    </xf>
    <xf numFmtId="0" fontId="13" fillId="11" borderId="18" xfId="0" applyFont="1" applyFill="1" applyBorder="1" applyAlignment="1">
      <alignment horizontal="center" vertical="center"/>
    </xf>
    <xf numFmtId="0" fontId="13" fillId="11" borderId="19" xfId="0" applyFont="1" applyFill="1" applyBorder="1" applyAlignment="1">
      <alignment horizontal="center" vertical="center"/>
    </xf>
    <xf numFmtId="0" fontId="0" fillId="0" borderId="9" xfId="0" applyBorder="1" applyAlignment="1">
      <alignment horizontal="center" vertical="center"/>
    </xf>
    <xf numFmtId="164" fontId="0" fillId="0" borderId="9" xfId="1" applyFont="1" applyBorder="1" applyAlignment="1">
      <alignment horizontal="center" vertical="center"/>
    </xf>
    <xf numFmtId="0" fontId="21" fillId="0" borderId="9" xfId="0" applyFont="1" applyBorder="1" applyAlignment="1">
      <alignment horizontal="center" vertical="center"/>
    </xf>
    <xf numFmtId="0" fontId="25" fillId="5" borderId="61" xfId="0" applyFont="1" applyFill="1" applyBorder="1" applyAlignment="1">
      <alignment horizontal="center" vertical="center"/>
    </xf>
    <xf numFmtId="0" fontId="25" fillId="5" borderId="62" xfId="0" applyFont="1" applyFill="1" applyBorder="1" applyAlignment="1">
      <alignment horizontal="center" vertical="center"/>
    </xf>
    <xf numFmtId="0" fontId="25" fillId="5" borderId="63" xfId="0" applyFont="1" applyFill="1" applyBorder="1" applyAlignment="1">
      <alignment horizontal="center" vertical="center"/>
    </xf>
    <xf numFmtId="0" fontId="25" fillId="5" borderId="64" xfId="0" applyFont="1" applyFill="1" applyBorder="1" applyAlignment="1">
      <alignment horizontal="center" vertical="center"/>
    </xf>
    <xf numFmtId="0" fontId="25" fillId="5" borderId="0" xfId="0" applyFont="1" applyFill="1" applyAlignment="1">
      <alignment horizontal="center" vertical="center"/>
    </xf>
    <xf numFmtId="0" fontId="25" fillId="5" borderId="65" xfId="0" applyFont="1" applyFill="1" applyBorder="1" applyAlignment="1">
      <alignment horizontal="center" vertical="center"/>
    </xf>
    <xf numFmtId="0" fontId="3" fillId="3" borderId="18" xfId="3" applyFont="1" applyFill="1" applyBorder="1" applyAlignment="1">
      <alignment horizontal="center" vertical="center" wrapText="1"/>
    </xf>
    <xf numFmtId="0" fontId="3" fillId="3" borderId="19" xfId="3" applyFont="1" applyFill="1" applyBorder="1" applyAlignment="1">
      <alignment horizontal="center" vertical="center" wrapText="1"/>
    </xf>
  </cellXfs>
  <cellStyles count="82">
    <cellStyle name="Comma" xfId="1" builtinId="3"/>
    <cellStyle name="Comma 2" xfId="11" xr:uid="{00000000-0005-0000-0000-000001000000}"/>
    <cellStyle name="Comma 2 2" xfId="13" xr:uid="{00000000-0005-0000-0000-000002000000}"/>
    <cellStyle name="Comma 2 2 2" xfId="17" xr:uid="{00000000-0005-0000-0000-000003000000}"/>
    <cellStyle name="Comma 2 2 2 2" xfId="25" xr:uid="{00000000-0005-0000-0000-000004000000}"/>
    <cellStyle name="Comma 2 2 2 2 2" xfId="41" xr:uid="{00000000-0005-0000-0000-000005000000}"/>
    <cellStyle name="Comma 2 2 2 2 2 2" xfId="80" xr:uid="{06201301-3793-4E27-85CD-33D5EC2F9E9A}"/>
    <cellStyle name="Comma 2 2 2 2 3" xfId="64" xr:uid="{DB4E8185-6840-44DA-A462-35FF85175AB6}"/>
    <cellStyle name="Comma 2 2 2 3" xfId="33" xr:uid="{00000000-0005-0000-0000-000006000000}"/>
    <cellStyle name="Comma 2 2 2 3 2" xfId="72" xr:uid="{EE8EA780-057E-4F5C-BC4E-F08A9E5EF29A}"/>
    <cellStyle name="Comma 2 2 2 4" xfId="56" xr:uid="{5EF7B552-9B48-4056-9568-234904C58D13}"/>
    <cellStyle name="Comma 2 2 3" xfId="21" xr:uid="{00000000-0005-0000-0000-000007000000}"/>
    <cellStyle name="Comma 2 2 3 2" xfId="37" xr:uid="{00000000-0005-0000-0000-000008000000}"/>
    <cellStyle name="Comma 2 2 3 2 2" xfId="76" xr:uid="{53206572-E211-4F7F-908C-640034A06F6F}"/>
    <cellStyle name="Comma 2 2 3 3" xfId="60" xr:uid="{11EB2C1A-706C-4292-8C54-1DE6D80E2CF9}"/>
    <cellStyle name="Comma 2 2 4" xfId="29" xr:uid="{00000000-0005-0000-0000-000009000000}"/>
    <cellStyle name="Comma 2 2 4 2" xfId="68" xr:uid="{6C87CF02-9AA0-466C-869D-651222BD7594}"/>
    <cellStyle name="Comma 2 2 5" xfId="52" xr:uid="{65644B77-D19E-43EA-B596-4676991F63F5}"/>
    <cellStyle name="Comma 2 3" xfId="15" xr:uid="{00000000-0005-0000-0000-00000A000000}"/>
    <cellStyle name="Comma 2 3 2" xfId="23" xr:uid="{00000000-0005-0000-0000-00000B000000}"/>
    <cellStyle name="Comma 2 3 2 2" xfId="39" xr:uid="{00000000-0005-0000-0000-00000C000000}"/>
    <cellStyle name="Comma 2 3 2 2 2" xfId="78" xr:uid="{81BEF97A-C9E8-424B-B52C-6180AE85A1B7}"/>
    <cellStyle name="Comma 2 3 2 3" xfId="62" xr:uid="{71307EE7-2308-4E79-BD53-766843B53330}"/>
    <cellStyle name="Comma 2 3 3" xfId="31" xr:uid="{00000000-0005-0000-0000-00000D000000}"/>
    <cellStyle name="Comma 2 3 3 2" xfId="70" xr:uid="{3EB6CFFA-D265-4DE6-92EE-C601391B8FE6}"/>
    <cellStyle name="Comma 2 3 4" xfId="54" xr:uid="{4E359376-E51C-49E9-AD7E-249A68E42738}"/>
    <cellStyle name="Comma 2 4" xfId="19" xr:uid="{00000000-0005-0000-0000-00000E000000}"/>
    <cellStyle name="Comma 2 4 2" xfId="35" xr:uid="{00000000-0005-0000-0000-00000F000000}"/>
    <cellStyle name="Comma 2 4 2 2" xfId="74" xr:uid="{0CF11379-7F74-43B6-8364-6B915EB8642A}"/>
    <cellStyle name="Comma 2 4 3" xfId="58" xr:uid="{435FE3E2-5B38-4F68-8545-8CDCCF414572}"/>
    <cellStyle name="Comma 2 5" xfId="27" xr:uid="{00000000-0005-0000-0000-000010000000}"/>
    <cellStyle name="Comma 2 5 2" xfId="66" xr:uid="{04A047FE-BE0F-4A1B-BF5D-694C244F2043}"/>
    <cellStyle name="Comma 2 6" xfId="50" xr:uid="{A3482BC2-73CD-4A0F-B4FF-D65C87718DF2}"/>
    <cellStyle name="Comma 3" xfId="12" xr:uid="{00000000-0005-0000-0000-000011000000}"/>
    <cellStyle name="Comma 3 2" xfId="16" xr:uid="{00000000-0005-0000-0000-000012000000}"/>
    <cellStyle name="Comma 3 2 2" xfId="24" xr:uid="{00000000-0005-0000-0000-000013000000}"/>
    <cellStyle name="Comma 3 2 2 2" xfId="40" xr:uid="{00000000-0005-0000-0000-000014000000}"/>
    <cellStyle name="Comma 3 2 2 2 2" xfId="79" xr:uid="{EDCED970-C3C1-41E2-9F67-8CB09987BA84}"/>
    <cellStyle name="Comma 3 2 2 3" xfId="63" xr:uid="{3654816B-4F35-4418-B449-D75CA0027F63}"/>
    <cellStyle name="Comma 3 2 3" xfId="32" xr:uid="{00000000-0005-0000-0000-000015000000}"/>
    <cellStyle name="Comma 3 2 3 2" xfId="71" xr:uid="{91F04212-C2AF-4CA4-A06C-CA012AD64B37}"/>
    <cellStyle name="Comma 3 2 4" xfId="55" xr:uid="{E10AF020-08F6-4C5F-A7D5-A6E584A91915}"/>
    <cellStyle name="Comma 3 3" xfId="20" xr:uid="{00000000-0005-0000-0000-000016000000}"/>
    <cellStyle name="Comma 3 3 2" xfId="36" xr:uid="{00000000-0005-0000-0000-000017000000}"/>
    <cellStyle name="Comma 3 3 2 2" xfId="75" xr:uid="{7C5CB95A-1711-4287-9A7A-A933EEC90633}"/>
    <cellStyle name="Comma 3 3 3" xfId="59" xr:uid="{0D06ADE4-7A95-4CC8-9DE7-79AF26ACFD31}"/>
    <cellStyle name="Comma 3 4" xfId="28" xr:uid="{00000000-0005-0000-0000-000018000000}"/>
    <cellStyle name="Comma 3 4 2" xfId="67" xr:uid="{79AB7939-3CE4-4A21-AF30-15ACBAB7B3AA}"/>
    <cellStyle name="Comma 3 5" xfId="51" xr:uid="{960263CF-3A9D-4320-A794-996A420C3E48}"/>
    <cellStyle name="Comma 4" xfId="14" xr:uid="{00000000-0005-0000-0000-000019000000}"/>
    <cellStyle name="Comma 4 2" xfId="22" xr:uid="{00000000-0005-0000-0000-00001A000000}"/>
    <cellStyle name="Comma 4 2 2" xfId="38" xr:uid="{00000000-0005-0000-0000-00001B000000}"/>
    <cellStyle name="Comma 4 2 2 2" xfId="77" xr:uid="{A5652DDF-EF80-454E-8146-ED03AE3EAA86}"/>
    <cellStyle name="Comma 4 2 3" xfId="61" xr:uid="{89B45AB9-7184-4FE5-93D1-BBF8108103FD}"/>
    <cellStyle name="Comma 4 3" xfId="30" xr:uid="{00000000-0005-0000-0000-00001C000000}"/>
    <cellStyle name="Comma 4 3 2" xfId="69" xr:uid="{D86FF3B7-D6AB-4D59-B01E-34FA837F92B6}"/>
    <cellStyle name="Comma 4 4" xfId="53" xr:uid="{3EA2286D-6CCF-4DEB-BF1C-AB3A864947D3}"/>
    <cellStyle name="Comma 42" xfId="47" xr:uid="{B5296D73-D80F-4A22-A5D1-95DE5E76359B}"/>
    <cellStyle name="Comma 42 2" xfId="81" xr:uid="{14EC92BB-09CF-446C-951A-69434B98F937}"/>
    <cellStyle name="Comma 5" xfId="18" xr:uid="{00000000-0005-0000-0000-00001D000000}"/>
    <cellStyle name="Comma 5 2" xfId="34" xr:uid="{00000000-0005-0000-0000-00001E000000}"/>
    <cellStyle name="Comma 5 2 2" xfId="73" xr:uid="{469AA7F4-66BC-4E11-A579-7B10447D280E}"/>
    <cellStyle name="Comma 5 3" xfId="57" xr:uid="{399E6F6E-D25B-45FC-9C20-A14A28519A50}"/>
    <cellStyle name="Comma 6" xfId="26" xr:uid="{00000000-0005-0000-0000-00001F000000}"/>
    <cellStyle name="Comma 6 2" xfId="65" xr:uid="{FF8D4148-1752-45E5-A1EE-966E19FCCB7A}"/>
    <cellStyle name="Comma 7" xfId="49" xr:uid="{80016D51-20FC-448B-962B-5F9B214B5D5E}"/>
    <cellStyle name="Hyperlink" xfId="6" builtinId="8"/>
    <cellStyle name="Normal" xfId="0" builtinId="0"/>
    <cellStyle name="Normal 11" xfId="48" xr:uid="{F6C42253-735B-4F19-9E8C-E9C905794099}"/>
    <cellStyle name="Normal 2" xfId="7" xr:uid="{00000000-0005-0000-0000-000022000000}"/>
    <cellStyle name="Normal 2 2" xfId="8" xr:uid="{00000000-0005-0000-0000-000023000000}"/>
    <cellStyle name="Normal 2 3" xfId="10" xr:uid="{00000000-0005-0000-0000-000024000000}"/>
    <cellStyle name="Normal 26" xfId="3" xr:uid="{00000000-0005-0000-0000-000025000000}"/>
    <cellStyle name="Normal 26 41" xfId="43" xr:uid="{131778D7-BC4B-4148-8856-766FF7205C74}"/>
    <cellStyle name="Normal 27" xfId="5" xr:uid="{00000000-0005-0000-0000-000026000000}"/>
    <cellStyle name="Normal 3" xfId="42" xr:uid="{00000000-0005-0000-0000-000027000000}"/>
    <cellStyle name="Normal 53" xfId="44" xr:uid="{1EC17DD0-7851-4597-B460-2AE621502D97}"/>
    <cellStyle name="Percent" xfId="2" builtinId="5"/>
    <cellStyle name="Percent 2" xfId="4" xr:uid="{00000000-0005-0000-0000-000029000000}"/>
    <cellStyle name="Percent 35" xfId="45" xr:uid="{86B78D9D-9B25-45FD-A602-7AD2FA481CFF}"/>
    <cellStyle name="Percent 4" xfId="9" xr:uid="{00000000-0005-0000-0000-00002A000000}"/>
    <cellStyle name="Percent 43" xfId="46" xr:uid="{20A3B7CC-B8A6-49A2-97EE-4DC94AAFB4F8}"/>
  </cellStyles>
  <dxfs count="398">
    <dxf>
      <font>
        <color rgb="FF9C0006"/>
      </font>
      <fill>
        <patternFill>
          <bgColor rgb="FFFFC7CE"/>
        </patternFill>
      </fill>
    </dxf>
    <dxf>
      <numFmt numFmtId="172" formatCode="dd/mmm/yyyy"/>
    </dxf>
    <dxf>
      <alignment horizont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top style="dotted">
          <color theme="2" tint="-9.9948118533890809E-2"/>
        </top>
        <bottom style="dotted">
          <color theme="2" tint="-9.9948118533890809E-2"/>
        </bottom>
        <vertical/>
        <horizontal/>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mbria"/>
        <scheme val="none"/>
      </font>
      <numFmt numFmtId="2" formatCode="0.00"/>
      <fill>
        <patternFill patternType="none">
          <fgColor indexed="64"/>
          <bgColor auto="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1"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1"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1"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70" formatCode="0.0%"/>
      <fill>
        <patternFill patternType="none">
          <fgColor indexed="64"/>
          <bgColor auto="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67"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173" formatCode="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0" formatCode="General"/>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sz val="10"/>
        <color auto="1"/>
        <name val="Palatino Linotype"/>
        <scheme val="none"/>
      </font>
      <numFmt numFmtId="168" formatCode="[$-409]d\-mmm\-yy;@"/>
      <fill>
        <patternFill patternType="none">
          <fgColor indexed="64"/>
          <bgColor indexed="65"/>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dotted">
          <color theme="2" tint="-9.9948118533890809E-2"/>
        </right>
        <top style="dotted">
          <color theme="2" tint="-9.9948118533890809E-2"/>
        </top>
        <bottom style="dotted">
          <color theme="2" tint="-9.9948118533890809E-2"/>
        </bottom>
        <vertical/>
        <horizontal/>
      </border>
    </dxf>
    <dxf>
      <border outline="0">
        <bottom style="dotted">
          <color theme="2" tint="-9.9948118533890809E-2"/>
        </bottom>
      </border>
    </dxf>
    <dxf>
      <border outline="0">
        <right style="dotted">
          <color theme="2" tint="-9.9948118533890809E-2"/>
        </right>
        <bottom style="dotted">
          <color theme="2" tint="-9.9948118533890809E-2"/>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dotted">
          <color theme="2" tint="-9.9948118533890809E-2"/>
        </left>
        <right style="dotted">
          <color theme="2" tint="-9.9948118533890809E-2"/>
        </right>
        <top/>
        <bottom/>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top style="dotted">
          <color theme="2" tint="-9.9948118533890809E-2"/>
        </top>
        <bottom style="dotted">
          <color theme="2" tint="-9.9948118533890809E-2"/>
        </bottom>
        <vertical/>
        <horizontal/>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mbria"/>
        <scheme val="none"/>
      </font>
      <numFmt numFmtId="2" formatCode="0.00"/>
      <fill>
        <patternFill patternType="none">
          <fgColor indexed="64"/>
          <bgColor auto="1"/>
        </patternFill>
      </fill>
      <alignment horizontal="general"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1" formatCode="h:mm;@"/>
      <alignment horizontal="right"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1" formatCode="h:mm;@"/>
      <alignment horizontal="right"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1"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70" formatCode="0.0%"/>
      <fill>
        <patternFill patternType="none">
          <fgColor indexed="64"/>
          <bgColor auto="1"/>
        </patternFill>
      </fill>
      <alignment horizontal="general"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67"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173" formatCode="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0" formatCode="General"/>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sz val="10"/>
        <color auto="1"/>
        <name val="Palatino Linotype"/>
        <scheme val="none"/>
      </font>
      <numFmt numFmtId="168" formatCode="[$-409]d\-mmm\-yy;@"/>
      <fill>
        <patternFill patternType="none">
          <fgColor indexed="64"/>
          <bgColor indexed="65"/>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dotted">
          <color theme="2" tint="-9.9948118533890809E-2"/>
        </right>
        <top style="dotted">
          <color theme="2" tint="-9.9948118533890809E-2"/>
        </top>
        <bottom style="dotted">
          <color theme="2" tint="-9.9948118533890809E-2"/>
        </bottom>
        <vertical/>
        <horizontal/>
      </border>
    </dxf>
    <dxf>
      <border outline="0">
        <bottom style="dotted">
          <color theme="2" tint="-9.9948118533890809E-2"/>
        </bottom>
      </border>
    </dxf>
    <dxf>
      <border outline="0">
        <right style="dotted">
          <color theme="2" tint="-9.9948118533890809E-2"/>
        </right>
        <bottom style="dotted">
          <color theme="2" tint="-9.9948118533890809E-2"/>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dotted">
          <color theme="2" tint="-9.9948118533890809E-2"/>
        </left>
        <right style="dotted">
          <color theme="2" tint="-9.9948118533890809E-2"/>
        </right>
        <top/>
        <bottom/>
      </border>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173"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74"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bottom style="dotted">
          <color auto="1"/>
        </bottom>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solid">
          <fgColor indexed="64"/>
          <bgColor theme="0" tint="-0.149998474074526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solid">
          <fgColor indexed="64"/>
          <bgColor theme="0" tint="-0.149998474074526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solid">
          <fgColor indexed="64"/>
          <bgColor theme="0" tint="-0.149998474074526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tint="-4.9989318521683403E-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tint="-0.14999847407452621"/>
        </patternFill>
      </fill>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tint="-0.14999847407452621"/>
        </patternFill>
      </fill>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dd/mmm/yy"/>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7"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8"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bottom style="dotted">
          <color theme="2" tint="-9.9917600024414813E-2"/>
        </bottom>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font>
        <color rgb="FF006100"/>
      </font>
      <fill>
        <patternFill>
          <bgColor rgb="FFC6EFCE"/>
        </patternFill>
      </fill>
    </dxf>
    <dxf>
      <font>
        <color rgb="FF9C0006"/>
      </font>
      <fill>
        <patternFill>
          <bgColor rgb="FFFFC7CE"/>
        </patternFill>
      </fill>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65" formatCode="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3"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73"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4" formatCode="dd/mmm/yy"/>
      <fill>
        <patternFill patternType="solid">
          <fgColor indexed="64"/>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6"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border outline="0">
        <top style="dotted">
          <color auto="1"/>
        </top>
      </border>
    </dxf>
    <dxf>
      <border outline="0">
        <bottom style="dotted">
          <color auto="1"/>
        </bottom>
      </border>
    </dxf>
    <dxf>
      <border outline="0">
        <left style="dotted">
          <color auto="1"/>
        </left>
        <right style="dotted">
          <color auto="1"/>
        </right>
        <top style="dotted">
          <color auto="1"/>
        </top>
        <bottom style="dotted">
          <color auto="1"/>
        </bottom>
      </border>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numFmt numFmtId="164"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8BE58B"/>
      <color rgb="FFB8EB95"/>
      <color rgb="FFC2E59B"/>
      <color rgb="FFD6EEBC"/>
      <color rgb="FFA9DA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[DGR_PWEGPL.xlsx]Analytices!PivotTable3</c:name>
    <c:fmtId val="0"/>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s>
    <c:plotArea>
      <c:layout/>
      <c:doughnutChart>
        <c:varyColors val="1"/>
        <c:ser>
          <c:idx val="0"/>
          <c:order val="0"/>
          <c:tx>
            <c:strRef>
              <c:f>Analytices!$B$29</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0B-AE42-9BEB-D4CDB9E4ED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0B-AE42-9BEB-D4CDB9E4ED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0B-AE42-9BEB-D4CDB9E4ED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0B-AE42-9BEB-D4CDB9E4ED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0B-AE42-9BEB-D4CDB9E4ED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80B-AE42-9BEB-D4CDB9E4ED4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80B-AE42-9BEB-D4CDB9E4ED4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80B-AE42-9BEB-D4CDB9E4ED4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80B-AE42-9BEB-D4CDB9E4ED4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80B-AE42-9BEB-D4CDB9E4ED4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80B-AE42-9BEB-D4CDB9E4ED4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980B-AE42-9BEB-D4CDB9E4ED4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980B-AE42-9BEB-D4CDB9E4ED4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980B-AE42-9BEB-D4CDB9E4ED4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980B-AE42-9BEB-D4CDB9E4ED4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980B-AE42-9BEB-D4CDB9E4ED4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980B-AE42-9BEB-D4CDB9E4ED4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980B-AE42-9BEB-D4CDB9E4ED45}"/>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980B-AE42-9BEB-D4CDB9E4ED45}"/>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980B-AE42-9BEB-D4CDB9E4ED45}"/>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980B-AE42-9BEB-D4CDB9E4ED45}"/>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980B-AE42-9BEB-D4CDB9E4ED45}"/>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980B-AE42-9BEB-D4CDB9E4ED45}"/>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980B-AE42-9BEB-D4CDB9E4ED45}"/>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980B-AE42-9BEB-D4CDB9E4ED45}"/>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980B-AE42-9BEB-D4CDB9E4ED45}"/>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980B-AE42-9BEB-D4CDB9E4ED45}"/>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980B-AE42-9BEB-D4CDB9E4ED45}"/>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980B-AE42-9BEB-D4CDB9E4ED45}"/>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980B-AE42-9BEB-D4CDB9E4ED45}"/>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980B-AE42-9BEB-D4CDB9E4ED45}"/>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980B-AE42-9BEB-D4CDB9E4ED45}"/>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980B-AE42-9BEB-D4CDB9E4ED45}"/>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980B-AE42-9BEB-D4CDB9E4ED45}"/>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980B-AE42-9BEB-D4CDB9E4ED45}"/>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980B-AE42-9BEB-D4CDB9E4ED45}"/>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980B-AE42-9BEB-D4CDB9E4ED45}"/>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980B-AE42-9BEB-D4CDB9E4ED45}"/>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980B-AE42-9BEB-D4CDB9E4ED45}"/>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980B-AE42-9BEB-D4CDB9E4ED45}"/>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980B-AE42-9BEB-D4CDB9E4ED45}"/>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980B-AE42-9BEB-D4CDB9E4ED45}"/>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980B-AE42-9BEB-D4CDB9E4ED45}"/>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980B-AE42-9BEB-D4CDB9E4ED45}"/>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980B-AE42-9BEB-D4CDB9E4ED45}"/>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980B-AE42-9BEB-D4CDB9E4ED45}"/>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980B-AE42-9BEB-D4CDB9E4ED45}"/>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980B-AE42-9BEB-D4CDB9E4ED45}"/>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980B-AE42-9BEB-D4CDB9E4ED45}"/>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980B-AE42-9BEB-D4CDB9E4ED45}"/>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980B-AE42-9BEB-D4CDB9E4ED45}"/>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980B-AE42-9BEB-D4CDB9E4ED45}"/>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980B-AE42-9BEB-D4CDB9E4ED45}"/>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980B-AE42-9BEB-D4CDB9E4ED45}"/>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980B-AE42-9BEB-D4CDB9E4ED45}"/>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980B-AE42-9BEB-D4CDB9E4ED45}"/>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980B-AE42-9BEB-D4CDB9E4ED45}"/>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980B-AE42-9BEB-D4CDB9E4ED45}"/>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980B-AE42-9BEB-D4CDB9E4ED45}"/>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980B-AE42-9BEB-D4CDB9E4ED45}"/>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980B-AE42-9BEB-D4CDB9E4ED45}"/>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980B-AE42-9BEB-D4CDB9E4ED45}"/>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980B-AE42-9BEB-D4CDB9E4ED45}"/>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980B-AE42-9BEB-D4CDB9E4ED45}"/>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980B-AE42-9BEB-D4CDB9E4ED45}"/>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980B-AE42-9BEB-D4CDB9E4ED45}"/>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980B-AE42-9BEB-D4CDB9E4ED45}"/>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980B-AE42-9BEB-D4CDB9E4ED45}"/>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980B-AE42-9BEB-D4CDB9E4ED45}"/>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980B-AE42-9BEB-D4CDB9E4ED45}"/>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980B-AE42-9BEB-D4CDB9E4ED45}"/>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980B-AE42-9BEB-D4CDB9E4ED45}"/>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980B-AE42-9BEB-D4CDB9E4ED45}"/>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980B-AE42-9BEB-D4CDB9E4ED45}"/>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980B-AE42-9BEB-D4CDB9E4ED45}"/>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980B-AE42-9BEB-D4CDB9E4ED45}"/>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980B-AE42-9BEB-D4CDB9E4ED45}"/>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980B-AE42-9BEB-D4CDB9E4ED45}"/>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93EA-4F79-98FD-CFE04086B5AC}"/>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93EA-4F79-98FD-CFE04086B5AC}"/>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93EA-4F79-98FD-CFE04086B5AC}"/>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93EA-4F79-98FD-CFE04086B5AC}"/>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93EA-4F79-98FD-CFE04086B5AC}"/>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93EA-4F79-98FD-CFE04086B5AC}"/>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93EA-4F79-98FD-CFE04086B5AC}"/>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93EA-4F79-98FD-CFE04086B5AC}"/>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93EA-4F79-98FD-CFE04086B5AC}"/>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93EA-4F79-98FD-CFE04086B5AC}"/>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93EA-4F79-98FD-CFE04086B5AC}"/>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94E0-4748-80C3-9D9DF4A48EDE}"/>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94E0-4748-80C3-9D9DF4A48EDE}"/>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94E0-4748-80C3-9D9DF4A48EDE}"/>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94E0-4748-80C3-9D9DF4A48EDE}"/>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94E0-4748-80C3-9D9DF4A48EDE}"/>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94E0-4748-80C3-9D9DF4A48EDE}"/>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94E0-4748-80C3-9D9DF4A48EDE}"/>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94E0-4748-80C3-9D9DF4A48EDE}"/>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94E0-4748-80C3-9D9DF4A48EDE}"/>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94E0-4748-80C3-9D9DF4A48EDE}"/>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94E0-4748-80C3-9D9DF4A48EDE}"/>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94E0-4748-80C3-9D9DF4A48EDE}"/>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94E0-4748-80C3-9D9DF4A48EDE}"/>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94E0-4748-80C3-9D9DF4A48EDE}"/>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94E0-4748-80C3-9D9DF4A48EDE}"/>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94E0-4748-80C3-9D9DF4A48EDE}"/>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94E0-4748-80C3-9D9DF4A48EDE}"/>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94E0-4748-80C3-9D9DF4A48EDE}"/>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94E0-4748-80C3-9D9DF4A48EDE}"/>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94E0-4748-80C3-9D9DF4A48EDE}"/>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94E0-4748-80C3-9D9DF4A48EDE}"/>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94E0-4748-80C3-9D9DF4A48EDE}"/>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94E0-4748-80C3-9D9DF4A48EDE}"/>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94E0-4748-80C3-9D9DF4A48EDE}"/>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94E0-4748-80C3-9D9DF4A48EDE}"/>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94E0-4748-80C3-9D9DF4A48EDE}"/>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94E0-4748-80C3-9D9DF4A48EDE}"/>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94E0-4748-80C3-9D9DF4A48EDE}"/>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94E0-4748-80C3-9D9DF4A48EDE}"/>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94E0-4748-80C3-9D9DF4A48EDE}"/>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94E0-4748-80C3-9D9DF4A48EDE}"/>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94E0-4748-80C3-9D9DF4A48EDE}"/>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94E0-4748-80C3-9D9DF4A48EDE}"/>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94E0-4748-80C3-9D9DF4A48EDE}"/>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94E0-4748-80C3-9D9DF4A48EDE}"/>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94E0-4748-80C3-9D9DF4A48EDE}"/>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1CA9-4613-B204-E52A77C1ED28}"/>
              </c:ext>
            </c:extLst>
          </c:dPt>
          <c:cat>
            <c:strRef>
              <c:f>Analytices!$A$30:$A$156</c:f>
              <c:strCache>
                <c:ptCount val="126"/>
                <c:pt idx="0">
                  <c:v>Active Crowbar Failure</c:v>
                </c:pt>
                <c:pt idx="1">
                  <c:v>Active Crowbar IGBT Errors</c:v>
                </c:pt>
                <c:pt idx="2">
                  <c:v>Analogue Card Failure</c:v>
                </c:pt>
                <c:pt idx="3">
                  <c:v>Automatic Secondaries Not OK Too Long</c:v>
                </c:pt>
                <c:pt idx="4">
                  <c:v>Automatic Unwinding</c:v>
                </c:pt>
                <c:pt idx="5">
                  <c:v>Blade Position Meas. Error</c:v>
                </c:pt>
                <c:pt idx="6">
                  <c:v>Bus Error - Interbus Failure</c:v>
                </c:pt>
                <c:pt idx="7">
                  <c:v>Bus Preload Protection Thermal Relay Failure</c:v>
                </c:pt>
                <c:pt idx="8">
                  <c:v>CAN Communication Failure</c:v>
                </c:pt>
                <c:pt idx="9">
                  <c:v>CCW Feedback Failure</c:v>
                </c:pt>
                <c:pt idx="10">
                  <c:v>Change Pause-Remote Control Reset</c:v>
                </c:pt>
                <c:pt idx="11">
                  <c:v>Controlled Emergency Series Battery Failure</c:v>
                </c:pt>
                <c:pt idx="12">
                  <c:v>Converter High Ambient Temperature Alarm</c:v>
                </c:pt>
                <c:pt idx="13">
                  <c:v>Coolant Of The Coolant Circuit Failure</c:v>
                </c:pt>
                <c:pt idx="14">
                  <c:v>CW Feedback Failure</c:v>
                </c:pt>
                <c:pt idx="15">
                  <c:v>DTD Filter Alarm 1</c:v>
                </c:pt>
                <c:pt idx="16">
                  <c:v>Emergency Series HUB Trigger</c:v>
                </c:pt>
                <c:pt idx="17">
                  <c:v>Emergency Series Not OK</c:v>
                </c:pt>
                <c:pt idx="18">
                  <c:v>Error In Phase R Of The Inverter</c:v>
                </c:pt>
                <c:pt idx="19">
                  <c:v>Error In Phase S Of The Inverter</c:v>
                </c:pt>
                <c:pt idx="20">
                  <c:v>Error In Phase T Of The Inverter</c:v>
                </c:pt>
                <c:pt idx="21">
                  <c:v>Error In Phase T Of The Rectifier</c:v>
                </c:pt>
                <c:pt idx="22">
                  <c:v>Excess Current Phase R Of Stator</c:v>
                </c:pt>
                <c:pt idx="23">
                  <c:v>Excessive Temperature Of Coolant At The Input Of The Cooling Circuit</c:v>
                </c:pt>
                <c:pt idx="24">
                  <c:v>Excessive Temperature Of The Control Module</c:v>
                </c:pt>
                <c:pt idx="25">
                  <c:v>Failure Of The Contactor's Rotor Power</c:v>
                </c:pt>
                <c:pt idx="26">
                  <c:v>Frequency Failure</c:v>
                </c:pt>
                <c:pt idx="27">
                  <c:v>Gearbox Fan Thermal Relays</c:v>
                </c:pt>
                <c:pt idx="28">
                  <c:v>Gearbox Pump Thermal Relay Triggered and High Gearbox Oil Temperature</c:v>
                </c:pt>
                <c:pt idx="29">
                  <c:v>Generator Fans Thermal Relay Triggered Too Long</c:v>
                </c:pt>
                <c:pt idx="30">
                  <c:v>Generator NDE Bearing High Temperature Alarm</c:v>
                </c:pt>
                <c:pt idx="31">
                  <c:v>Generator Slipping Ring High Temperature</c:v>
                </c:pt>
                <c:pt idx="32">
                  <c:v>Grid Voltage Failure</c:v>
                </c:pt>
                <c:pt idx="33">
                  <c:v>Heating Protection Triggered</c:v>
                </c:pt>
                <c:pt idx="34">
                  <c:v>Heating/Coolant Thermal Magnetic Failure</c:v>
                </c:pt>
                <c:pt idx="35">
                  <c:v>High Gearbox Oil Temperature</c:v>
                </c:pt>
                <c:pt idx="36">
                  <c:v>High Generator Speed</c:v>
                </c:pt>
                <c:pt idx="37">
                  <c:v>High Generator Winding Temperature</c:v>
                </c:pt>
                <c:pt idx="38">
                  <c:v>High Grid Harmonic Distortion </c:v>
                </c:pt>
                <c:pt idx="39">
                  <c:v>High Temperature Of Coolant In The Input Of The Cooling Circuit</c:v>
                </c:pt>
                <c:pt idx="40">
                  <c:v>High Yaw Brake Pressure</c:v>
                </c:pt>
                <c:pt idx="41">
                  <c:v>HU Pump Drive Failure</c:v>
                </c:pt>
                <c:pt idx="42">
                  <c:v>Hydraulic Oil High Temperature</c:v>
                </c:pt>
                <c:pt idx="43">
                  <c:v>Low Level Hydraulic Group Refrigeration Oil</c:v>
                </c:pt>
                <c:pt idx="44">
                  <c:v>Low Pitch Value In Stop Mode (1 Cylinder)</c:v>
                </c:pt>
                <c:pt idx="45">
                  <c:v>Low Pressure Of Emergency Accumulators</c:v>
                </c:pt>
                <c:pt idx="46">
                  <c:v>Low Pressure On Hydraulic Group</c:v>
                </c:pt>
                <c:pt idx="47">
                  <c:v>Magnetothermic Of The Stator Protection Failure Or Door Open</c:v>
                </c:pt>
                <c:pt idx="48">
                  <c:v>Magnetothermic Trigger Of The Stator Protection</c:v>
                </c:pt>
                <c:pt idx="49">
                  <c:v>Manual Stop</c:v>
                </c:pt>
                <c:pt idx="50">
                  <c:v>Max. Pump time</c:v>
                </c:pt>
                <c:pt idx="51">
                  <c:v>OGS</c:v>
                </c:pt>
                <c:pt idx="52">
                  <c:v>Orienting and High Yaw Brake Pressure</c:v>
                </c:pt>
                <c:pt idx="53">
                  <c:v>Orienting and Low Yaw Brake Pressure</c:v>
                </c:pt>
                <c:pt idx="54">
                  <c:v>Overheating In The Grid's Inductance</c:v>
                </c:pt>
                <c:pt idx="55">
                  <c:v>Pitch Drive Error</c:v>
                </c:pt>
                <c:pt idx="56">
                  <c:v>PLC Module Failure</c:v>
                </c:pt>
                <c:pt idx="57">
                  <c:v>PLC-Converter Communication Error</c:v>
                </c:pt>
                <c:pt idx="58">
                  <c:v>Preload Failure</c:v>
                </c:pt>
                <c:pt idx="59">
                  <c:v>Rotor Or Generator High Speed in STOP Or EMERGENCY</c:v>
                </c:pt>
                <c:pt idx="60">
                  <c:v>Rotor Protection Thermal Magnetic Failure</c:v>
                </c:pt>
                <c:pt idx="61">
                  <c:v>Rotor Speed Reading Failure</c:v>
                </c:pt>
                <c:pt idx="62">
                  <c:v>Speed Read Incorrectly</c:v>
                </c:pt>
                <c:pt idx="63">
                  <c:v>Temp. Measurement Module Failure</c:v>
                </c:pt>
                <c:pt idx="64">
                  <c:v>Top Emergency Button</c:v>
                </c:pt>
                <c:pt idx="65">
                  <c:v>Trafo Fan Thermal Relay Triggered Too Long</c:v>
                </c:pt>
                <c:pt idx="66">
                  <c:v>Very High Disalignment</c:v>
                </c:pt>
                <c:pt idx="67">
                  <c:v>Very Low Pressure On Hydraulic Unit</c:v>
                </c:pt>
                <c:pt idx="68">
                  <c:v>Vibration Sensor</c:v>
                </c:pt>
                <c:pt idx="69">
                  <c:v>Wear Brushes Generator Triggered Too Long</c:v>
                </c:pt>
                <c:pt idx="70">
                  <c:v>Wind Vane Failure Alarm</c:v>
                </c:pt>
                <c:pt idx="71">
                  <c:v>Yaw Contactor Active</c:v>
                </c:pt>
                <c:pt idx="72">
                  <c:v>Yaw Motors Error</c:v>
                </c:pt>
                <c:pt idx="73">
                  <c:v>Yaw Motors Over Current Protection </c:v>
                </c:pt>
                <c:pt idx="74">
                  <c:v>Yaw Sensor Wiring Error</c:v>
                </c:pt>
                <c:pt idx="75">
                  <c:v>Yawing Motor Thermal Relays</c:v>
                </c:pt>
                <c:pt idx="76">
                  <c:v>Yawing Sensor Failure</c:v>
                </c:pt>
                <c:pt idx="77">
                  <c:v>(blank)</c:v>
                </c:pt>
                <c:pt idx="78">
                  <c:v>Stator Contactor Failure</c:v>
                </c:pt>
                <c:pt idx="79">
                  <c:v>Hydraulic Filter Dirty</c:v>
                </c:pt>
                <c:pt idx="80">
                  <c:v>Slipping Rings Fan Or Heating Resistor Failure</c:v>
                </c:pt>
                <c:pt idx="81">
                  <c:v>Gearbox Oil High Temperature Warning</c:v>
                </c:pt>
                <c:pt idx="82">
                  <c:v>Difference Between 2 Blades Too High</c:v>
                </c:pt>
                <c:pt idx="83">
                  <c:v>Low Bus Voltage</c:v>
                </c:pt>
                <c:pt idx="84">
                  <c:v>Change Emergency-Local Reset</c:v>
                </c:pt>
                <c:pt idx="85">
                  <c:v>Trigger Of Overvoltage Protection</c:v>
                </c:pt>
                <c:pt idx="86">
                  <c:v>Initialization Failure</c:v>
                </c:pt>
                <c:pt idx="87">
                  <c:v>Gearbox Oil Level Low</c:v>
                </c:pt>
                <c:pt idx="88">
                  <c:v>SF6 Breaker Fault</c:v>
                </c:pt>
                <c:pt idx="89">
                  <c:v>Low Pressure On Brake Circuit</c:v>
                </c:pt>
                <c:pt idx="90">
                  <c:v>Transmission Line Related work</c:v>
                </c:pt>
                <c:pt idx="91">
                  <c:v>Manual Stop - Preventive Maintenance Activity</c:v>
                </c:pt>
                <c:pt idx="92">
                  <c:v>Manual Stop - Audit</c:v>
                </c:pt>
                <c:pt idx="93">
                  <c:v>Minimum Hydraulic Unit Temperature</c:v>
                </c:pt>
                <c:pt idx="94">
                  <c:v>Generator DE Bearing High Temperature Alarm</c:v>
                </c:pt>
                <c:pt idx="95">
                  <c:v>Generator's Fans Failure Confirmation</c:v>
                </c:pt>
                <c:pt idx="96">
                  <c:v>Low Pressure In Gearbox</c:v>
                </c:pt>
                <c:pt idx="97">
                  <c:v>Fault In 24v Power Supply</c:v>
                </c:pt>
                <c:pt idx="98">
                  <c:v>Out Of Range In Slippage</c:v>
                </c:pt>
                <c:pt idx="99">
                  <c:v>High Gearbox Bearing Temperature</c:v>
                </c:pt>
                <c:pt idx="100">
                  <c:v>Gearbox Pump Thermal Relay</c:v>
                </c:pt>
                <c:pt idx="101">
                  <c:v>Major BD - Transformer</c:v>
                </c:pt>
                <c:pt idx="102">
                  <c:v>Major BD - Blade</c:v>
                </c:pt>
                <c:pt idx="103">
                  <c:v>Failure In The Gearbox Oil Particle Sensor</c:v>
                </c:pt>
                <c:pt idx="104">
                  <c:v>Rectifier Phase S Overcurrent</c:v>
                </c:pt>
                <c:pt idx="105">
                  <c:v>UPS breakdown</c:v>
                </c:pt>
                <c:pt idx="106">
                  <c:v>Maximum Synchronization Time</c:v>
                </c:pt>
                <c:pt idx="107">
                  <c:v>Encoder Suynchronism Error</c:v>
                </c:pt>
                <c:pt idx="108">
                  <c:v>Transformer Fan Control Failure</c:v>
                </c:pt>
                <c:pt idx="109">
                  <c:v>Encoder Not OK</c:v>
                </c:pt>
                <c:pt idx="110">
                  <c:v>Maximum Time For Stator Disconnection</c:v>
                </c:pt>
                <c:pt idx="111">
                  <c:v>High Rotor Speed</c:v>
                </c:pt>
                <c:pt idx="112">
                  <c:v>Magnetothermic Trigger Of The Line Protection</c:v>
                </c:pt>
                <c:pt idx="113">
                  <c:v>Hydraulic Pump Protection</c:v>
                </c:pt>
                <c:pt idx="114">
                  <c:v>Gearbox Bearing High Temperature Warning</c:v>
                </c:pt>
                <c:pt idx="115">
                  <c:v>Max Orientation Time</c:v>
                </c:pt>
                <c:pt idx="116">
                  <c:v>General Work Stoppage</c:v>
                </c:pt>
                <c:pt idx="117">
                  <c:v>Gearbox Fan Feedback Failure</c:v>
                </c:pt>
                <c:pt idx="118">
                  <c:v>Automatics Not Ok</c:v>
                </c:pt>
                <c:pt idx="119">
                  <c:v>Gearbox Fan Thermal Relays Triggered and High Gearbox Oil Temperature</c:v>
                </c:pt>
                <c:pt idx="120">
                  <c:v>Wear Brushes Generator</c:v>
                </c:pt>
                <c:pt idx="121">
                  <c:v>Hydraulic Unit Cooling Failure</c:v>
                </c:pt>
                <c:pt idx="122">
                  <c:v>SF6 and HV side</c:v>
                </c:pt>
                <c:pt idx="123">
                  <c:v>Fault In Analog Electronic Power Supply</c:v>
                </c:pt>
                <c:pt idx="124">
                  <c:v>Very High Temperature Of Hydraulic Unit Oil</c:v>
                </c:pt>
                <c:pt idx="125">
                  <c:v>High Temperature Of The Control Module</c:v>
                </c:pt>
              </c:strCache>
            </c:strRef>
          </c:cat>
          <c:val>
            <c:numRef>
              <c:f>Analytices!$B$30:$B$156</c:f>
              <c:numCache>
                <c:formatCode>_ * #,##0.00_ ;_ * \-#,##0.00_ ;_ * "-"??_ ;_ @_ </c:formatCode>
                <c:ptCount val="126"/>
                <c:pt idx="0">
                  <c:v>0.21666666666666856</c:v>
                </c:pt>
                <c:pt idx="1">
                  <c:v>9.3333333333333357</c:v>
                </c:pt>
                <c:pt idx="2">
                  <c:v>6.0666666666666691</c:v>
                </c:pt>
                <c:pt idx="3">
                  <c:v>33.93333333333333</c:v>
                </c:pt>
                <c:pt idx="4">
                  <c:v>14.616666666666678</c:v>
                </c:pt>
                <c:pt idx="5">
                  <c:v>22.416666666666664</c:v>
                </c:pt>
                <c:pt idx="6">
                  <c:v>325.73333333333335</c:v>
                </c:pt>
                <c:pt idx="7">
                  <c:v>31.283333333333331</c:v>
                </c:pt>
                <c:pt idx="8">
                  <c:v>30.949999999999996</c:v>
                </c:pt>
                <c:pt idx="9">
                  <c:v>72.816666666666649</c:v>
                </c:pt>
                <c:pt idx="10">
                  <c:v>5.1666666666666679</c:v>
                </c:pt>
                <c:pt idx="11">
                  <c:v>13.316666666666663</c:v>
                </c:pt>
                <c:pt idx="12">
                  <c:v>0.41666666666666785</c:v>
                </c:pt>
                <c:pt idx="13">
                  <c:v>0.33333333333333215</c:v>
                </c:pt>
                <c:pt idx="14">
                  <c:v>40.266666666666673</c:v>
                </c:pt>
                <c:pt idx="15">
                  <c:v>9.9666666666666615</c:v>
                </c:pt>
                <c:pt idx="16">
                  <c:v>45.133333333333333</c:v>
                </c:pt>
                <c:pt idx="17">
                  <c:v>1.8999999999999981</c:v>
                </c:pt>
                <c:pt idx="18">
                  <c:v>9.9833333333333307</c:v>
                </c:pt>
                <c:pt idx="19">
                  <c:v>13.5</c:v>
                </c:pt>
                <c:pt idx="20">
                  <c:v>3.2500000000000018</c:v>
                </c:pt>
                <c:pt idx="21">
                  <c:v>14.86666666666666</c:v>
                </c:pt>
                <c:pt idx="22">
                  <c:v>1.5166666666666666</c:v>
                </c:pt>
                <c:pt idx="23">
                  <c:v>0.36666666666666803</c:v>
                </c:pt>
                <c:pt idx="24">
                  <c:v>7.0833333333333339</c:v>
                </c:pt>
                <c:pt idx="25">
                  <c:v>13.066666666666663</c:v>
                </c:pt>
                <c:pt idx="26">
                  <c:v>2.35</c:v>
                </c:pt>
                <c:pt idx="27">
                  <c:v>50.683333333333337</c:v>
                </c:pt>
                <c:pt idx="28">
                  <c:v>6.6666666666666679</c:v>
                </c:pt>
                <c:pt idx="29">
                  <c:v>7.9999999999999947</c:v>
                </c:pt>
                <c:pt idx="30">
                  <c:v>7.0833333333333313</c:v>
                </c:pt>
                <c:pt idx="31">
                  <c:v>45.050000000000004</c:v>
                </c:pt>
                <c:pt idx="32">
                  <c:v>168.99999999999997</c:v>
                </c:pt>
                <c:pt idx="33" formatCode="General">
                  <c:v>3.6333333333333337</c:v>
                </c:pt>
                <c:pt idx="34">
                  <c:v>107.58333333333334</c:v>
                </c:pt>
                <c:pt idx="35">
                  <c:v>3.8833333333333302</c:v>
                </c:pt>
                <c:pt idx="36">
                  <c:v>0.46666666666666501</c:v>
                </c:pt>
                <c:pt idx="37">
                  <c:v>21.883333333333333</c:v>
                </c:pt>
                <c:pt idx="38">
                  <c:v>3.5499999999999994</c:v>
                </c:pt>
                <c:pt idx="39">
                  <c:v>10.433333333333334</c:v>
                </c:pt>
                <c:pt idx="40">
                  <c:v>120.08333333333333</c:v>
                </c:pt>
                <c:pt idx="41">
                  <c:v>48.433333333333337</c:v>
                </c:pt>
                <c:pt idx="42">
                  <c:v>40.04999999999999</c:v>
                </c:pt>
                <c:pt idx="43">
                  <c:v>917.15000000000055</c:v>
                </c:pt>
                <c:pt idx="44">
                  <c:v>147.41666666666669</c:v>
                </c:pt>
                <c:pt idx="45">
                  <c:v>35.799999999999997</c:v>
                </c:pt>
                <c:pt idx="46">
                  <c:v>152.71666666666673</c:v>
                </c:pt>
                <c:pt idx="47">
                  <c:v>15.916666666666663</c:v>
                </c:pt>
                <c:pt idx="48">
                  <c:v>74.63333333333334</c:v>
                </c:pt>
                <c:pt idx="49">
                  <c:v>241.31611111111107</c:v>
                </c:pt>
                <c:pt idx="50">
                  <c:v>12.233333333333338</c:v>
                </c:pt>
                <c:pt idx="51">
                  <c:v>25.333333333333329</c:v>
                </c:pt>
                <c:pt idx="52">
                  <c:v>20.683333333333341</c:v>
                </c:pt>
                <c:pt idx="53">
                  <c:v>4.9833333333333325</c:v>
                </c:pt>
                <c:pt idx="54">
                  <c:v>3.5166666666666693</c:v>
                </c:pt>
                <c:pt idx="55">
                  <c:v>287.5333333333333</c:v>
                </c:pt>
                <c:pt idx="56">
                  <c:v>29.383333333333336</c:v>
                </c:pt>
                <c:pt idx="57">
                  <c:v>420.54999999999995</c:v>
                </c:pt>
                <c:pt idx="58">
                  <c:v>24.283333333333335</c:v>
                </c:pt>
                <c:pt idx="59">
                  <c:v>9.1499999999999986</c:v>
                </c:pt>
                <c:pt idx="60">
                  <c:v>3.5999999999999979</c:v>
                </c:pt>
                <c:pt idx="61">
                  <c:v>7.2333333333333325</c:v>
                </c:pt>
                <c:pt idx="62">
                  <c:v>92.783333333333346</c:v>
                </c:pt>
                <c:pt idx="63">
                  <c:v>4.2333333333333343</c:v>
                </c:pt>
                <c:pt idx="64">
                  <c:v>2.6833333333333327</c:v>
                </c:pt>
                <c:pt idx="65">
                  <c:v>8.5333333333333314</c:v>
                </c:pt>
                <c:pt idx="66">
                  <c:v>5.6666666666666679</c:v>
                </c:pt>
                <c:pt idx="67">
                  <c:v>33.916666666666671</c:v>
                </c:pt>
                <c:pt idx="68">
                  <c:v>22.583333333333336</c:v>
                </c:pt>
                <c:pt idx="69">
                  <c:v>6.6499999999999995</c:v>
                </c:pt>
                <c:pt idx="70">
                  <c:v>3.1666666666666661</c:v>
                </c:pt>
                <c:pt idx="71">
                  <c:v>12.033333333333333</c:v>
                </c:pt>
                <c:pt idx="72">
                  <c:v>74.649999999999991</c:v>
                </c:pt>
                <c:pt idx="73">
                  <c:v>11.083333333333332</c:v>
                </c:pt>
                <c:pt idx="74">
                  <c:v>79.483333333333348</c:v>
                </c:pt>
                <c:pt idx="75">
                  <c:v>9.8333333333333357</c:v>
                </c:pt>
                <c:pt idx="76">
                  <c:v>9.2166666666666668</c:v>
                </c:pt>
                <c:pt idx="77" formatCode="General">
                  <c:v>0</c:v>
                </c:pt>
                <c:pt idx="78" formatCode="General">
                  <c:v>4.9000000000000012</c:v>
                </c:pt>
                <c:pt idx="79" formatCode="General">
                  <c:v>1.5833333333333357</c:v>
                </c:pt>
                <c:pt idx="80" formatCode="General">
                  <c:v>9.1666666666666679</c:v>
                </c:pt>
                <c:pt idx="81" formatCode="General">
                  <c:v>46.416666666666664</c:v>
                </c:pt>
                <c:pt idx="82" formatCode="General">
                  <c:v>69.316666666666649</c:v>
                </c:pt>
                <c:pt idx="83" formatCode="General">
                  <c:v>12.083333333333332</c:v>
                </c:pt>
                <c:pt idx="84" formatCode="General">
                  <c:v>7.5166666666666666</c:v>
                </c:pt>
                <c:pt idx="85" formatCode="General">
                  <c:v>8.0499999999999972</c:v>
                </c:pt>
                <c:pt idx="86" formatCode="General">
                  <c:v>20.916666666666664</c:v>
                </c:pt>
                <c:pt idx="87" formatCode="General">
                  <c:v>97.38333333333334</c:v>
                </c:pt>
                <c:pt idx="88" formatCode="General">
                  <c:v>751.81666666666695</c:v>
                </c:pt>
                <c:pt idx="89" formatCode="General">
                  <c:v>6.5</c:v>
                </c:pt>
                <c:pt idx="90" formatCode="General">
                  <c:v>141.13333333333341</c:v>
                </c:pt>
                <c:pt idx="91" formatCode="General">
                  <c:v>1141.2666666666657</c:v>
                </c:pt>
                <c:pt idx="92" formatCode="General">
                  <c:v>626.25000000000034</c:v>
                </c:pt>
                <c:pt idx="93" formatCode="General">
                  <c:v>27.383055555555551</c:v>
                </c:pt>
                <c:pt idx="94" formatCode="General">
                  <c:v>19.45</c:v>
                </c:pt>
                <c:pt idx="95" formatCode="General">
                  <c:v>37.866666666666667</c:v>
                </c:pt>
                <c:pt idx="96" formatCode="General">
                  <c:v>7.5499999999999989</c:v>
                </c:pt>
                <c:pt idx="97" formatCode="General">
                  <c:v>0.61666666666666714</c:v>
                </c:pt>
                <c:pt idx="98" formatCode="General">
                  <c:v>6.6666666666666679</c:v>
                </c:pt>
                <c:pt idx="99" formatCode="General">
                  <c:v>28.116666666666667</c:v>
                </c:pt>
                <c:pt idx="100" formatCode="General">
                  <c:v>8.716666666666665</c:v>
                </c:pt>
                <c:pt idx="101" formatCode="General">
                  <c:v>1528.4150000000009</c:v>
                </c:pt>
                <c:pt idx="102" formatCode="General">
                  <c:v>3511.6666666666551</c:v>
                </c:pt>
                <c:pt idx="103" formatCode="General">
                  <c:v>61.566666666666663</c:v>
                </c:pt>
                <c:pt idx="104" formatCode="General">
                  <c:v>86.966666666666669</c:v>
                </c:pt>
                <c:pt idx="105" formatCode="General">
                  <c:v>3.3166666666666695</c:v>
                </c:pt>
                <c:pt idx="106" formatCode="General">
                  <c:v>2.4000000000000021</c:v>
                </c:pt>
                <c:pt idx="107" formatCode="General">
                  <c:v>16.766666666666662</c:v>
                </c:pt>
                <c:pt idx="108" formatCode="General">
                  <c:v>2.9000000000000004</c:v>
                </c:pt>
                <c:pt idx="109" formatCode="General">
                  <c:v>37.049999999999997</c:v>
                </c:pt>
                <c:pt idx="110" formatCode="General">
                  <c:v>2.9333333333333358</c:v>
                </c:pt>
                <c:pt idx="111" formatCode="General">
                  <c:v>326.2166666666667</c:v>
                </c:pt>
                <c:pt idx="112" formatCode="General">
                  <c:v>4.5666666666666664</c:v>
                </c:pt>
                <c:pt idx="113" formatCode="General">
                  <c:v>25.150000000000006</c:v>
                </c:pt>
                <c:pt idx="114" formatCode="General">
                  <c:v>28.6</c:v>
                </c:pt>
                <c:pt idx="115" formatCode="General">
                  <c:v>7.9666666666666686</c:v>
                </c:pt>
                <c:pt idx="116" formatCode="General">
                  <c:v>85.916666666666714</c:v>
                </c:pt>
                <c:pt idx="117" formatCode="General">
                  <c:v>3.4833333333333343</c:v>
                </c:pt>
                <c:pt idx="118" formatCode="General">
                  <c:v>0.4499999999999984</c:v>
                </c:pt>
                <c:pt idx="119" formatCode="General">
                  <c:v>9.0500000000000007</c:v>
                </c:pt>
                <c:pt idx="120" formatCode="General">
                  <c:v>6.5000000000000009</c:v>
                </c:pt>
                <c:pt idx="121" formatCode="General">
                  <c:v>4.7666666666666675</c:v>
                </c:pt>
                <c:pt idx="122" formatCode="General">
                  <c:v>230.83333333333337</c:v>
                </c:pt>
                <c:pt idx="123" formatCode="General">
                  <c:v>4.6999999999999993</c:v>
                </c:pt>
                <c:pt idx="124" formatCode="General">
                  <c:v>2.3833333333333355</c:v>
                </c:pt>
                <c:pt idx="125" formatCode="General">
                  <c:v>4.0666666666666655</c:v>
                </c:pt>
              </c:numCache>
            </c:numRef>
          </c:val>
          <c:extLst>
            <c:ext xmlns:c16="http://schemas.microsoft.com/office/drawing/2014/chart" uri="{C3380CC4-5D6E-409C-BE32-E72D297353CC}">
              <c16:uniqueId val="{00000000-4CA9-9647-BA4D-01E327B498D1}"/>
            </c:ext>
          </c:extLst>
        </c:ser>
        <c:ser>
          <c:idx val="1"/>
          <c:order val="1"/>
          <c:tx>
            <c:strRef>
              <c:f>Analytices!$C$29</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9D-980B-AE42-9BEB-D4CDB9E4ED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9F-980B-AE42-9BEB-D4CDB9E4ED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1-980B-AE42-9BEB-D4CDB9E4ED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3-980B-AE42-9BEB-D4CDB9E4ED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5-980B-AE42-9BEB-D4CDB9E4ED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7-980B-AE42-9BEB-D4CDB9E4ED4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980B-AE42-9BEB-D4CDB9E4ED4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B-980B-AE42-9BEB-D4CDB9E4ED4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D-980B-AE42-9BEB-D4CDB9E4ED4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AF-980B-AE42-9BEB-D4CDB9E4ED4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1-980B-AE42-9BEB-D4CDB9E4ED4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3-980B-AE42-9BEB-D4CDB9E4ED4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5-980B-AE42-9BEB-D4CDB9E4ED4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7-980B-AE42-9BEB-D4CDB9E4ED4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9-980B-AE42-9BEB-D4CDB9E4ED4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B-980B-AE42-9BEB-D4CDB9E4ED4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D-980B-AE42-9BEB-D4CDB9E4ED4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BF-980B-AE42-9BEB-D4CDB9E4ED45}"/>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C1-980B-AE42-9BEB-D4CDB9E4ED45}"/>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C3-980B-AE42-9BEB-D4CDB9E4ED45}"/>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C5-980B-AE42-9BEB-D4CDB9E4ED45}"/>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C7-980B-AE42-9BEB-D4CDB9E4ED45}"/>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C9-980B-AE42-9BEB-D4CDB9E4ED45}"/>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CB-980B-AE42-9BEB-D4CDB9E4ED45}"/>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CD-980B-AE42-9BEB-D4CDB9E4ED45}"/>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CF-980B-AE42-9BEB-D4CDB9E4ED45}"/>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D1-980B-AE42-9BEB-D4CDB9E4ED45}"/>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D3-980B-AE42-9BEB-D4CDB9E4ED45}"/>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D5-980B-AE42-9BEB-D4CDB9E4ED45}"/>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D7-980B-AE42-9BEB-D4CDB9E4ED45}"/>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D9-980B-AE42-9BEB-D4CDB9E4ED45}"/>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DB-980B-AE42-9BEB-D4CDB9E4ED45}"/>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DD-980B-AE42-9BEB-D4CDB9E4ED45}"/>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DF-980B-AE42-9BEB-D4CDB9E4ED45}"/>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E1-980B-AE42-9BEB-D4CDB9E4ED45}"/>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E3-980B-AE42-9BEB-D4CDB9E4ED45}"/>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E5-980B-AE42-9BEB-D4CDB9E4ED45}"/>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E7-980B-AE42-9BEB-D4CDB9E4ED45}"/>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E9-980B-AE42-9BEB-D4CDB9E4ED45}"/>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EB-980B-AE42-9BEB-D4CDB9E4ED45}"/>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ED-980B-AE42-9BEB-D4CDB9E4ED45}"/>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EF-980B-AE42-9BEB-D4CDB9E4ED45}"/>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1-980B-AE42-9BEB-D4CDB9E4ED45}"/>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F3-980B-AE42-9BEB-D4CDB9E4ED45}"/>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F5-980B-AE42-9BEB-D4CDB9E4ED45}"/>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F7-980B-AE42-9BEB-D4CDB9E4ED45}"/>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F9-980B-AE42-9BEB-D4CDB9E4ED45}"/>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FB-980B-AE42-9BEB-D4CDB9E4ED45}"/>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FD-980B-AE42-9BEB-D4CDB9E4ED45}"/>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FF-980B-AE42-9BEB-D4CDB9E4ED45}"/>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1-980B-AE42-9BEB-D4CDB9E4ED45}"/>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03-980B-AE42-9BEB-D4CDB9E4ED45}"/>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5-980B-AE42-9BEB-D4CDB9E4ED45}"/>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07-980B-AE42-9BEB-D4CDB9E4ED45}"/>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09-980B-AE42-9BEB-D4CDB9E4ED45}"/>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0B-980B-AE42-9BEB-D4CDB9E4ED45}"/>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0D-980B-AE42-9BEB-D4CDB9E4ED45}"/>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0F-980B-AE42-9BEB-D4CDB9E4ED45}"/>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11-980B-AE42-9BEB-D4CDB9E4ED45}"/>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13-980B-AE42-9BEB-D4CDB9E4ED45}"/>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980B-AE42-9BEB-D4CDB9E4ED45}"/>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17-980B-AE42-9BEB-D4CDB9E4ED45}"/>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9-980B-AE42-9BEB-D4CDB9E4ED45}"/>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1B-980B-AE42-9BEB-D4CDB9E4ED45}"/>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D-980B-AE42-9BEB-D4CDB9E4ED45}"/>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1F-980B-AE42-9BEB-D4CDB9E4ED45}"/>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21-980B-AE42-9BEB-D4CDB9E4ED45}"/>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23-980B-AE42-9BEB-D4CDB9E4ED45}"/>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25-980B-AE42-9BEB-D4CDB9E4ED45}"/>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27-980B-AE42-9BEB-D4CDB9E4ED45}"/>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29-980B-AE42-9BEB-D4CDB9E4ED45}"/>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2B-980B-AE42-9BEB-D4CDB9E4ED45}"/>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D-980B-AE42-9BEB-D4CDB9E4ED45}"/>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2F-980B-AE42-9BEB-D4CDB9E4ED45}"/>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31-980B-AE42-9BEB-D4CDB9E4ED45}"/>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33-980B-AE42-9BEB-D4CDB9E4ED45}"/>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35-980B-AE42-9BEB-D4CDB9E4ED45}"/>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37-980B-AE42-9BEB-D4CDB9E4ED45}"/>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4F-93EA-4F79-98FD-CFE04086B5AC}"/>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51-93EA-4F79-98FD-CFE04086B5AC}"/>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3-93EA-4F79-98FD-CFE04086B5AC}"/>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55-93EA-4F79-98FD-CFE04086B5AC}"/>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57-93EA-4F79-98FD-CFE04086B5AC}"/>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59-93EA-4F79-98FD-CFE04086B5AC}"/>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5B-93EA-4F79-98FD-CFE04086B5AC}"/>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5D-93EA-4F79-98FD-CFE04086B5AC}"/>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5F-93EA-4F79-98FD-CFE04086B5AC}"/>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61-93EA-4F79-98FD-CFE04086B5AC}"/>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3-93EA-4F79-98FD-CFE04086B5AC}"/>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AD-94E0-4748-80C3-9D9DF4A48EDE}"/>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AF-94E0-4748-80C3-9D9DF4A48EDE}"/>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B1-94E0-4748-80C3-9D9DF4A48EDE}"/>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B3-94E0-4748-80C3-9D9DF4A48EDE}"/>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B5-94E0-4748-80C3-9D9DF4A48EDE}"/>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B7-94E0-4748-80C3-9D9DF4A48EDE}"/>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B9-94E0-4748-80C3-9D9DF4A48EDE}"/>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BB-94E0-4748-80C3-9D9DF4A48EDE}"/>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BD-94E0-4748-80C3-9D9DF4A48EDE}"/>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BF-94E0-4748-80C3-9D9DF4A48EDE}"/>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C1-94E0-4748-80C3-9D9DF4A48EDE}"/>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C3-94E0-4748-80C3-9D9DF4A48EDE}"/>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C5-94E0-4748-80C3-9D9DF4A48EDE}"/>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C7-94E0-4748-80C3-9D9DF4A48EDE}"/>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C9-94E0-4748-80C3-9D9DF4A48EDE}"/>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CB-94E0-4748-80C3-9D9DF4A48EDE}"/>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CD-94E0-4748-80C3-9D9DF4A48EDE}"/>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CF-94E0-4748-80C3-9D9DF4A48EDE}"/>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D1-94E0-4748-80C3-9D9DF4A48EDE}"/>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1D3-94E0-4748-80C3-9D9DF4A48EDE}"/>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1D5-94E0-4748-80C3-9D9DF4A48EDE}"/>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1D7-94E0-4748-80C3-9D9DF4A48EDE}"/>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1D9-94E0-4748-80C3-9D9DF4A48EDE}"/>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1DB-94E0-4748-80C3-9D9DF4A48EDE}"/>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1DD-94E0-4748-80C3-9D9DF4A48EDE}"/>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DF-94E0-4748-80C3-9D9DF4A48EDE}"/>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E1-94E0-4748-80C3-9D9DF4A48EDE}"/>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3-94E0-4748-80C3-9D9DF4A48EDE}"/>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E5-94E0-4748-80C3-9D9DF4A48EDE}"/>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7-94E0-4748-80C3-9D9DF4A48EDE}"/>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E9-94E0-4748-80C3-9D9DF4A48EDE}"/>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B-94E0-4748-80C3-9D9DF4A48EDE}"/>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ED-94E0-4748-80C3-9D9DF4A48EDE}"/>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EF-94E0-4748-80C3-9D9DF4A48EDE}"/>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F1-94E0-4748-80C3-9D9DF4A48EDE}"/>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3-94E0-4748-80C3-9D9DF4A48EDE}"/>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F7-1CA9-4613-B204-E52A77C1ED28}"/>
              </c:ext>
            </c:extLst>
          </c:dPt>
          <c:cat>
            <c:strRef>
              <c:f>Analytices!$A$30:$A$156</c:f>
              <c:strCache>
                <c:ptCount val="126"/>
                <c:pt idx="0">
                  <c:v>Active Crowbar Failure</c:v>
                </c:pt>
                <c:pt idx="1">
                  <c:v>Active Crowbar IGBT Errors</c:v>
                </c:pt>
                <c:pt idx="2">
                  <c:v>Analogue Card Failure</c:v>
                </c:pt>
                <c:pt idx="3">
                  <c:v>Automatic Secondaries Not OK Too Long</c:v>
                </c:pt>
                <c:pt idx="4">
                  <c:v>Automatic Unwinding</c:v>
                </c:pt>
                <c:pt idx="5">
                  <c:v>Blade Position Meas. Error</c:v>
                </c:pt>
                <c:pt idx="6">
                  <c:v>Bus Error - Interbus Failure</c:v>
                </c:pt>
                <c:pt idx="7">
                  <c:v>Bus Preload Protection Thermal Relay Failure</c:v>
                </c:pt>
                <c:pt idx="8">
                  <c:v>CAN Communication Failure</c:v>
                </c:pt>
                <c:pt idx="9">
                  <c:v>CCW Feedback Failure</c:v>
                </c:pt>
                <c:pt idx="10">
                  <c:v>Change Pause-Remote Control Reset</c:v>
                </c:pt>
                <c:pt idx="11">
                  <c:v>Controlled Emergency Series Battery Failure</c:v>
                </c:pt>
                <c:pt idx="12">
                  <c:v>Converter High Ambient Temperature Alarm</c:v>
                </c:pt>
                <c:pt idx="13">
                  <c:v>Coolant Of The Coolant Circuit Failure</c:v>
                </c:pt>
                <c:pt idx="14">
                  <c:v>CW Feedback Failure</c:v>
                </c:pt>
                <c:pt idx="15">
                  <c:v>DTD Filter Alarm 1</c:v>
                </c:pt>
                <c:pt idx="16">
                  <c:v>Emergency Series HUB Trigger</c:v>
                </c:pt>
                <c:pt idx="17">
                  <c:v>Emergency Series Not OK</c:v>
                </c:pt>
                <c:pt idx="18">
                  <c:v>Error In Phase R Of The Inverter</c:v>
                </c:pt>
                <c:pt idx="19">
                  <c:v>Error In Phase S Of The Inverter</c:v>
                </c:pt>
                <c:pt idx="20">
                  <c:v>Error In Phase T Of The Inverter</c:v>
                </c:pt>
                <c:pt idx="21">
                  <c:v>Error In Phase T Of The Rectifier</c:v>
                </c:pt>
                <c:pt idx="22">
                  <c:v>Excess Current Phase R Of Stator</c:v>
                </c:pt>
                <c:pt idx="23">
                  <c:v>Excessive Temperature Of Coolant At The Input Of The Cooling Circuit</c:v>
                </c:pt>
                <c:pt idx="24">
                  <c:v>Excessive Temperature Of The Control Module</c:v>
                </c:pt>
                <c:pt idx="25">
                  <c:v>Failure Of The Contactor's Rotor Power</c:v>
                </c:pt>
                <c:pt idx="26">
                  <c:v>Frequency Failure</c:v>
                </c:pt>
                <c:pt idx="27">
                  <c:v>Gearbox Fan Thermal Relays</c:v>
                </c:pt>
                <c:pt idx="28">
                  <c:v>Gearbox Pump Thermal Relay Triggered and High Gearbox Oil Temperature</c:v>
                </c:pt>
                <c:pt idx="29">
                  <c:v>Generator Fans Thermal Relay Triggered Too Long</c:v>
                </c:pt>
                <c:pt idx="30">
                  <c:v>Generator NDE Bearing High Temperature Alarm</c:v>
                </c:pt>
                <c:pt idx="31">
                  <c:v>Generator Slipping Ring High Temperature</c:v>
                </c:pt>
                <c:pt idx="32">
                  <c:v>Grid Voltage Failure</c:v>
                </c:pt>
                <c:pt idx="33">
                  <c:v>Heating Protection Triggered</c:v>
                </c:pt>
                <c:pt idx="34">
                  <c:v>Heating/Coolant Thermal Magnetic Failure</c:v>
                </c:pt>
                <c:pt idx="35">
                  <c:v>High Gearbox Oil Temperature</c:v>
                </c:pt>
                <c:pt idx="36">
                  <c:v>High Generator Speed</c:v>
                </c:pt>
                <c:pt idx="37">
                  <c:v>High Generator Winding Temperature</c:v>
                </c:pt>
                <c:pt idx="38">
                  <c:v>High Grid Harmonic Distortion </c:v>
                </c:pt>
                <c:pt idx="39">
                  <c:v>High Temperature Of Coolant In The Input Of The Cooling Circuit</c:v>
                </c:pt>
                <c:pt idx="40">
                  <c:v>High Yaw Brake Pressure</c:v>
                </c:pt>
                <c:pt idx="41">
                  <c:v>HU Pump Drive Failure</c:v>
                </c:pt>
                <c:pt idx="42">
                  <c:v>Hydraulic Oil High Temperature</c:v>
                </c:pt>
                <c:pt idx="43">
                  <c:v>Low Level Hydraulic Group Refrigeration Oil</c:v>
                </c:pt>
                <c:pt idx="44">
                  <c:v>Low Pitch Value In Stop Mode (1 Cylinder)</c:v>
                </c:pt>
                <c:pt idx="45">
                  <c:v>Low Pressure Of Emergency Accumulators</c:v>
                </c:pt>
                <c:pt idx="46">
                  <c:v>Low Pressure On Hydraulic Group</c:v>
                </c:pt>
                <c:pt idx="47">
                  <c:v>Magnetothermic Of The Stator Protection Failure Or Door Open</c:v>
                </c:pt>
                <c:pt idx="48">
                  <c:v>Magnetothermic Trigger Of The Stator Protection</c:v>
                </c:pt>
                <c:pt idx="49">
                  <c:v>Manual Stop</c:v>
                </c:pt>
                <c:pt idx="50">
                  <c:v>Max. Pump time</c:v>
                </c:pt>
                <c:pt idx="51">
                  <c:v>OGS</c:v>
                </c:pt>
                <c:pt idx="52">
                  <c:v>Orienting and High Yaw Brake Pressure</c:v>
                </c:pt>
                <c:pt idx="53">
                  <c:v>Orienting and Low Yaw Brake Pressure</c:v>
                </c:pt>
                <c:pt idx="54">
                  <c:v>Overheating In The Grid's Inductance</c:v>
                </c:pt>
                <c:pt idx="55">
                  <c:v>Pitch Drive Error</c:v>
                </c:pt>
                <c:pt idx="56">
                  <c:v>PLC Module Failure</c:v>
                </c:pt>
                <c:pt idx="57">
                  <c:v>PLC-Converter Communication Error</c:v>
                </c:pt>
                <c:pt idx="58">
                  <c:v>Preload Failure</c:v>
                </c:pt>
                <c:pt idx="59">
                  <c:v>Rotor Or Generator High Speed in STOP Or EMERGENCY</c:v>
                </c:pt>
                <c:pt idx="60">
                  <c:v>Rotor Protection Thermal Magnetic Failure</c:v>
                </c:pt>
                <c:pt idx="61">
                  <c:v>Rotor Speed Reading Failure</c:v>
                </c:pt>
                <c:pt idx="62">
                  <c:v>Speed Read Incorrectly</c:v>
                </c:pt>
                <c:pt idx="63">
                  <c:v>Temp. Measurement Module Failure</c:v>
                </c:pt>
                <c:pt idx="64">
                  <c:v>Top Emergency Button</c:v>
                </c:pt>
                <c:pt idx="65">
                  <c:v>Trafo Fan Thermal Relay Triggered Too Long</c:v>
                </c:pt>
                <c:pt idx="66">
                  <c:v>Very High Disalignment</c:v>
                </c:pt>
                <c:pt idx="67">
                  <c:v>Very Low Pressure On Hydraulic Unit</c:v>
                </c:pt>
                <c:pt idx="68">
                  <c:v>Vibration Sensor</c:v>
                </c:pt>
                <c:pt idx="69">
                  <c:v>Wear Brushes Generator Triggered Too Long</c:v>
                </c:pt>
                <c:pt idx="70">
                  <c:v>Wind Vane Failure Alarm</c:v>
                </c:pt>
                <c:pt idx="71">
                  <c:v>Yaw Contactor Active</c:v>
                </c:pt>
                <c:pt idx="72">
                  <c:v>Yaw Motors Error</c:v>
                </c:pt>
                <c:pt idx="73">
                  <c:v>Yaw Motors Over Current Protection </c:v>
                </c:pt>
                <c:pt idx="74">
                  <c:v>Yaw Sensor Wiring Error</c:v>
                </c:pt>
                <c:pt idx="75">
                  <c:v>Yawing Motor Thermal Relays</c:v>
                </c:pt>
                <c:pt idx="76">
                  <c:v>Yawing Sensor Failure</c:v>
                </c:pt>
                <c:pt idx="77">
                  <c:v>(blank)</c:v>
                </c:pt>
                <c:pt idx="78">
                  <c:v>Stator Contactor Failure</c:v>
                </c:pt>
                <c:pt idx="79">
                  <c:v>Hydraulic Filter Dirty</c:v>
                </c:pt>
                <c:pt idx="80">
                  <c:v>Slipping Rings Fan Or Heating Resistor Failure</c:v>
                </c:pt>
                <c:pt idx="81">
                  <c:v>Gearbox Oil High Temperature Warning</c:v>
                </c:pt>
                <c:pt idx="82">
                  <c:v>Difference Between 2 Blades Too High</c:v>
                </c:pt>
                <c:pt idx="83">
                  <c:v>Low Bus Voltage</c:v>
                </c:pt>
                <c:pt idx="84">
                  <c:v>Change Emergency-Local Reset</c:v>
                </c:pt>
                <c:pt idx="85">
                  <c:v>Trigger Of Overvoltage Protection</c:v>
                </c:pt>
                <c:pt idx="86">
                  <c:v>Initialization Failure</c:v>
                </c:pt>
                <c:pt idx="87">
                  <c:v>Gearbox Oil Level Low</c:v>
                </c:pt>
                <c:pt idx="88">
                  <c:v>SF6 Breaker Fault</c:v>
                </c:pt>
                <c:pt idx="89">
                  <c:v>Low Pressure On Brake Circuit</c:v>
                </c:pt>
                <c:pt idx="90">
                  <c:v>Transmission Line Related work</c:v>
                </c:pt>
                <c:pt idx="91">
                  <c:v>Manual Stop - Preventive Maintenance Activity</c:v>
                </c:pt>
                <c:pt idx="92">
                  <c:v>Manual Stop - Audit</c:v>
                </c:pt>
                <c:pt idx="93">
                  <c:v>Minimum Hydraulic Unit Temperature</c:v>
                </c:pt>
                <c:pt idx="94">
                  <c:v>Generator DE Bearing High Temperature Alarm</c:v>
                </c:pt>
                <c:pt idx="95">
                  <c:v>Generator's Fans Failure Confirmation</c:v>
                </c:pt>
                <c:pt idx="96">
                  <c:v>Low Pressure In Gearbox</c:v>
                </c:pt>
                <c:pt idx="97">
                  <c:v>Fault In 24v Power Supply</c:v>
                </c:pt>
                <c:pt idx="98">
                  <c:v>Out Of Range In Slippage</c:v>
                </c:pt>
                <c:pt idx="99">
                  <c:v>High Gearbox Bearing Temperature</c:v>
                </c:pt>
                <c:pt idx="100">
                  <c:v>Gearbox Pump Thermal Relay</c:v>
                </c:pt>
                <c:pt idx="101">
                  <c:v>Major BD - Transformer</c:v>
                </c:pt>
                <c:pt idx="102">
                  <c:v>Major BD - Blade</c:v>
                </c:pt>
                <c:pt idx="103">
                  <c:v>Failure In The Gearbox Oil Particle Sensor</c:v>
                </c:pt>
                <c:pt idx="104">
                  <c:v>Rectifier Phase S Overcurrent</c:v>
                </c:pt>
                <c:pt idx="105">
                  <c:v>UPS breakdown</c:v>
                </c:pt>
                <c:pt idx="106">
                  <c:v>Maximum Synchronization Time</c:v>
                </c:pt>
                <c:pt idx="107">
                  <c:v>Encoder Suynchronism Error</c:v>
                </c:pt>
                <c:pt idx="108">
                  <c:v>Transformer Fan Control Failure</c:v>
                </c:pt>
                <c:pt idx="109">
                  <c:v>Encoder Not OK</c:v>
                </c:pt>
                <c:pt idx="110">
                  <c:v>Maximum Time For Stator Disconnection</c:v>
                </c:pt>
                <c:pt idx="111">
                  <c:v>High Rotor Speed</c:v>
                </c:pt>
                <c:pt idx="112">
                  <c:v>Magnetothermic Trigger Of The Line Protection</c:v>
                </c:pt>
                <c:pt idx="113">
                  <c:v>Hydraulic Pump Protection</c:v>
                </c:pt>
                <c:pt idx="114">
                  <c:v>Gearbox Bearing High Temperature Warning</c:v>
                </c:pt>
                <c:pt idx="115">
                  <c:v>Max Orientation Time</c:v>
                </c:pt>
                <c:pt idx="116">
                  <c:v>General Work Stoppage</c:v>
                </c:pt>
                <c:pt idx="117">
                  <c:v>Gearbox Fan Feedback Failure</c:v>
                </c:pt>
                <c:pt idx="118">
                  <c:v>Automatics Not Ok</c:v>
                </c:pt>
                <c:pt idx="119">
                  <c:v>Gearbox Fan Thermal Relays Triggered and High Gearbox Oil Temperature</c:v>
                </c:pt>
                <c:pt idx="120">
                  <c:v>Wear Brushes Generator</c:v>
                </c:pt>
                <c:pt idx="121">
                  <c:v>Hydraulic Unit Cooling Failure</c:v>
                </c:pt>
                <c:pt idx="122">
                  <c:v>SF6 and HV side</c:v>
                </c:pt>
                <c:pt idx="123">
                  <c:v>Fault In Analog Electronic Power Supply</c:v>
                </c:pt>
                <c:pt idx="124">
                  <c:v>Very High Temperature Of Hydraulic Unit Oil</c:v>
                </c:pt>
                <c:pt idx="125">
                  <c:v>High Temperature Of The Control Module</c:v>
                </c:pt>
              </c:strCache>
            </c:strRef>
          </c:cat>
          <c:val>
            <c:numRef>
              <c:f>Analytices!$C$30:$C$156</c:f>
              <c:numCache>
                <c:formatCode>_ * #,##0.00_ ;_ * \-#,##0.00_ ;_ * "-"??_ ;_ @_ </c:formatCode>
                <c:ptCount val="126"/>
                <c:pt idx="0">
                  <c:v>1</c:v>
                </c:pt>
                <c:pt idx="1">
                  <c:v>2</c:v>
                </c:pt>
                <c:pt idx="2">
                  <c:v>2</c:v>
                </c:pt>
                <c:pt idx="3">
                  <c:v>20</c:v>
                </c:pt>
                <c:pt idx="4">
                  <c:v>7</c:v>
                </c:pt>
                <c:pt idx="5">
                  <c:v>6</c:v>
                </c:pt>
                <c:pt idx="6">
                  <c:v>93</c:v>
                </c:pt>
                <c:pt idx="7">
                  <c:v>12</c:v>
                </c:pt>
                <c:pt idx="8">
                  <c:v>19</c:v>
                </c:pt>
                <c:pt idx="9">
                  <c:v>10</c:v>
                </c:pt>
                <c:pt idx="10">
                  <c:v>1</c:v>
                </c:pt>
                <c:pt idx="11">
                  <c:v>5</c:v>
                </c:pt>
                <c:pt idx="12">
                  <c:v>1</c:v>
                </c:pt>
                <c:pt idx="13">
                  <c:v>2</c:v>
                </c:pt>
                <c:pt idx="14">
                  <c:v>13</c:v>
                </c:pt>
                <c:pt idx="15">
                  <c:v>7</c:v>
                </c:pt>
                <c:pt idx="16">
                  <c:v>18</c:v>
                </c:pt>
                <c:pt idx="17">
                  <c:v>2</c:v>
                </c:pt>
                <c:pt idx="18">
                  <c:v>4</c:v>
                </c:pt>
                <c:pt idx="19">
                  <c:v>2</c:v>
                </c:pt>
                <c:pt idx="20">
                  <c:v>2</c:v>
                </c:pt>
                <c:pt idx="21">
                  <c:v>4</c:v>
                </c:pt>
                <c:pt idx="22">
                  <c:v>1</c:v>
                </c:pt>
                <c:pt idx="23">
                  <c:v>1</c:v>
                </c:pt>
                <c:pt idx="24">
                  <c:v>3</c:v>
                </c:pt>
                <c:pt idx="25">
                  <c:v>19</c:v>
                </c:pt>
                <c:pt idx="26">
                  <c:v>2</c:v>
                </c:pt>
                <c:pt idx="27">
                  <c:v>11</c:v>
                </c:pt>
                <c:pt idx="28">
                  <c:v>2</c:v>
                </c:pt>
                <c:pt idx="29">
                  <c:v>7</c:v>
                </c:pt>
                <c:pt idx="30">
                  <c:v>8</c:v>
                </c:pt>
                <c:pt idx="31">
                  <c:v>18</c:v>
                </c:pt>
                <c:pt idx="32">
                  <c:v>71</c:v>
                </c:pt>
                <c:pt idx="33" formatCode="General">
                  <c:v>2</c:v>
                </c:pt>
                <c:pt idx="34">
                  <c:v>18</c:v>
                </c:pt>
                <c:pt idx="35">
                  <c:v>2</c:v>
                </c:pt>
                <c:pt idx="36">
                  <c:v>1</c:v>
                </c:pt>
                <c:pt idx="37">
                  <c:v>11</c:v>
                </c:pt>
                <c:pt idx="38">
                  <c:v>3</c:v>
                </c:pt>
                <c:pt idx="39">
                  <c:v>5</c:v>
                </c:pt>
                <c:pt idx="40">
                  <c:v>23</c:v>
                </c:pt>
                <c:pt idx="41">
                  <c:v>12</c:v>
                </c:pt>
                <c:pt idx="42">
                  <c:v>13</c:v>
                </c:pt>
                <c:pt idx="43">
                  <c:v>200</c:v>
                </c:pt>
                <c:pt idx="44">
                  <c:v>7</c:v>
                </c:pt>
                <c:pt idx="45">
                  <c:v>10</c:v>
                </c:pt>
                <c:pt idx="46">
                  <c:v>47</c:v>
                </c:pt>
                <c:pt idx="47">
                  <c:v>4</c:v>
                </c:pt>
                <c:pt idx="48">
                  <c:v>34</c:v>
                </c:pt>
                <c:pt idx="49">
                  <c:v>69</c:v>
                </c:pt>
                <c:pt idx="50">
                  <c:v>4</c:v>
                </c:pt>
                <c:pt idx="51">
                  <c:v>6</c:v>
                </c:pt>
                <c:pt idx="52">
                  <c:v>5</c:v>
                </c:pt>
                <c:pt idx="53">
                  <c:v>1</c:v>
                </c:pt>
                <c:pt idx="54">
                  <c:v>3</c:v>
                </c:pt>
                <c:pt idx="55">
                  <c:v>50</c:v>
                </c:pt>
                <c:pt idx="56">
                  <c:v>12</c:v>
                </c:pt>
                <c:pt idx="57">
                  <c:v>64</c:v>
                </c:pt>
                <c:pt idx="58">
                  <c:v>8</c:v>
                </c:pt>
                <c:pt idx="59">
                  <c:v>3</c:v>
                </c:pt>
                <c:pt idx="60">
                  <c:v>1</c:v>
                </c:pt>
                <c:pt idx="61">
                  <c:v>4</c:v>
                </c:pt>
                <c:pt idx="62">
                  <c:v>15</c:v>
                </c:pt>
                <c:pt idx="63">
                  <c:v>3</c:v>
                </c:pt>
                <c:pt idx="64">
                  <c:v>4</c:v>
                </c:pt>
                <c:pt idx="65">
                  <c:v>10</c:v>
                </c:pt>
                <c:pt idx="66">
                  <c:v>1</c:v>
                </c:pt>
                <c:pt idx="67">
                  <c:v>11</c:v>
                </c:pt>
                <c:pt idx="68">
                  <c:v>4</c:v>
                </c:pt>
                <c:pt idx="69">
                  <c:v>5</c:v>
                </c:pt>
                <c:pt idx="70">
                  <c:v>1</c:v>
                </c:pt>
                <c:pt idx="71">
                  <c:v>4</c:v>
                </c:pt>
                <c:pt idx="72">
                  <c:v>24</c:v>
                </c:pt>
                <c:pt idx="73">
                  <c:v>5</c:v>
                </c:pt>
                <c:pt idx="74">
                  <c:v>40</c:v>
                </c:pt>
                <c:pt idx="75">
                  <c:v>3</c:v>
                </c:pt>
                <c:pt idx="76">
                  <c:v>2</c:v>
                </c:pt>
                <c:pt idx="78" formatCode="General">
                  <c:v>1</c:v>
                </c:pt>
                <c:pt idx="79" formatCode="General">
                  <c:v>1</c:v>
                </c:pt>
                <c:pt idx="80" formatCode="General">
                  <c:v>3</c:v>
                </c:pt>
                <c:pt idx="81" formatCode="General">
                  <c:v>15</c:v>
                </c:pt>
                <c:pt idx="82" formatCode="General">
                  <c:v>12</c:v>
                </c:pt>
                <c:pt idx="83" formatCode="General">
                  <c:v>1</c:v>
                </c:pt>
                <c:pt idx="84" formatCode="General">
                  <c:v>1</c:v>
                </c:pt>
                <c:pt idx="85" formatCode="General">
                  <c:v>1</c:v>
                </c:pt>
                <c:pt idx="86" formatCode="General">
                  <c:v>3</c:v>
                </c:pt>
                <c:pt idx="87" formatCode="General">
                  <c:v>27</c:v>
                </c:pt>
                <c:pt idx="88" formatCode="General">
                  <c:v>49</c:v>
                </c:pt>
                <c:pt idx="89" formatCode="General">
                  <c:v>2</c:v>
                </c:pt>
                <c:pt idx="90" formatCode="General">
                  <c:v>74</c:v>
                </c:pt>
                <c:pt idx="91" formatCode="General">
                  <c:v>151</c:v>
                </c:pt>
                <c:pt idx="92" formatCode="General">
                  <c:v>174</c:v>
                </c:pt>
                <c:pt idx="93" formatCode="General">
                  <c:v>8</c:v>
                </c:pt>
                <c:pt idx="94" formatCode="General">
                  <c:v>2</c:v>
                </c:pt>
                <c:pt idx="95" formatCode="General">
                  <c:v>19</c:v>
                </c:pt>
                <c:pt idx="96" formatCode="General">
                  <c:v>4</c:v>
                </c:pt>
                <c:pt idx="97" formatCode="General">
                  <c:v>1</c:v>
                </c:pt>
                <c:pt idx="98" formatCode="General">
                  <c:v>1</c:v>
                </c:pt>
                <c:pt idx="99" formatCode="General">
                  <c:v>8</c:v>
                </c:pt>
                <c:pt idx="100" formatCode="General">
                  <c:v>5</c:v>
                </c:pt>
                <c:pt idx="101" formatCode="General">
                  <c:v>65</c:v>
                </c:pt>
                <c:pt idx="102" formatCode="General">
                  <c:v>148</c:v>
                </c:pt>
                <c:pt idx="103" formatCode="General">
                  <c:v>6</c:v>
                </c:pt>
                <c:pt idx="104" formatCode="General">
                  <c:v>5</c:v>
                </c:pt>
                <c:pt idx="105" formatCode="General">
                  <c:v>13</c:v>
                </c:pt>
                <c:pt idx="106" formatCode="General">
                  <c:v>1</c:v>
                </c:pt>
                <c:pt idx="107" formatCode="General">
                  <c:v>6</c:v>
                </c:pt>
                <c:pt idx="108" formatCode="General">
                  <c:v>1</c:v>
                </c:pt>
                <c:pt idx="109" formatCode="General">
                  <c:v>5</c:v>
                </c:pt>
                <c:pt idx="110" formatCode="General">
                  <c:v>2</c:v>
                </c:pt>
                <c:pt idx="111" formatCode="General">
                  <c:v>16</c:v>
                </c:pt>
                <c:pt idx="112" formatCode="General">
                  <c:v>1</c:v>
                </c:pt>
                <c:pt idx="113" formatCode="General">
                  <c:v>4</c:v>
                </c:pt>
                <c:pt idx="114" formatCode="General">
                  <c:v>3</c:v>
                </c:pt>
                <c:pt idx="115" formatCode="General">
                  <c:v>2</c:v>
                </c:pt>
                <c:pt idx="116" formatCode="General">
                  <c:v>34</c:v>
                </c:pt>
                <c:pt idx="117" formatCode="General">
                  <c:v>2</c:v>
                </c:pt>
                <c:pt idx="118" formatCode="General">
                  <c:v>1</c:v>
                </c:pt>
                <c:pt idx="119" formatCode="General">
                  <c:v>3</c:v>
                </c:pt>
                <c:pt idx="120" formatCode="General">
                  <c:v>3</c:v>
                </c:pt>
                <c:pt idx="121" formatCode="General">
                  <c:v>1</c:v>
                </c:pt>
                <c:pt idx="122" formatCode="General">
                  <c:v>50</c:v>
                </c:pt>
                <c:pt idx="123" formatCode="General">
                  <c:v>1</c:v>
                </c:pt>
                <c:pt idx="124" formatCode="General">
                  <c:v>2</c:v>
                </c:pt>
                <c:pt idx="125" formatCode="General">
                  <c:v>1</c:v>
                </c:pt>
              </c:numCache>
            </c:numRef>
          </c:val>
          <c:extLst>
            <c:ext xmlns:c16="http://schemas.microsoft.com/office/drawing/2014/chart" uri="{C3380CC4-5D6E-409C-BE32-E72D297353CC}">
              <c16:uniqueId val="{00000002-4CA9-9647-BA4D-01E327B498D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21</xdr:col>
      <xdr:colOff>167758</xdr:colOff>
      <xdr:row>28</xdr:row>
      <xdr:rowOff>63795</xdr:rowOff>
    </xdr:from>
    <xdr:to>
      <xdr:col>24</xdr:col>
      <xdr:colOff>3323</xdr:colOff>
      <xdr:row>34</xdr:row>
      <xdr:rowOff>277548</xdr:rowOff>
    </xdr:to>
    <mc:AlternateContent xmlns:mc="http://schemas.openxmlformats.org/markup-compatibility/2006" xmlns:a14="http://schemas.microsoft.com/office/drawing/2010/main">
      <mc:Choice Requires="a14">
        <xdr:graphicFrame macro="">
          <xdr:nvGraphicFramePr>
            <xdr:cNvPr id="2" name="Date">
              <a:extLst>
                <a:ext uri="{FF2B5EF4-FFF2-40B4-BE49-F238E27FC236}">
                  <a16:creationId xmlns:a16="http://schemas.microsoft.com/office/drawing/2014/main" id="{8A146832-367B-9078-172D-6E531B9FE9EC}"/>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23190200" y="707833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281173</xdr:colOff>
      <xdr:row>30</xdr:row>
      <xdr:rowOff>265815</xdr:rowOff>
    </xdr:from>
    <xdr:to>
      <xdr:col>21</xdr:col>
      <xdr:colOff>38838</xdr:colOff>
      <xdr:row>34</xdr:row>
      <xdr:rowOff>14769</xdr:rowOff>
    </xdr:to>
    <mc:AlternateContent xmlns:mc="http://schemas.openxmlformats.org/markup-compatibility/2006" xmlns:a14="http://schemas.microsoft.com/office/drawing/2010/main">
      <mc:Choice Requires="a14">
        <xdr:graphicFrame macro="">
          <xdr:nvGraphicFramePr>
            <xdr:cNvPr id="3" name="Finacial Year">
              <a:extLst>
                <a:ext uri="{FF2B5EF4-FFF2-40B4-BE49-F238E27FC236}">
                  <a16:creationId xmlns:a16="http://schemas.microsoft.com/office/drawing/2014/main" id="{095A9163-A53F-D9CD-D674-20DF6F013AEC}"/>
                </a:ext>
              </a:extLst>
            </xdr:cNvPr>
            <xdr:cNvGraphicFramePr/>
          </xdr:nvGraphicFramePr>
          <xdr:xfrm>
            <a:off x="0" y="0"/>
            <a:ext cx="0" cy="0"/>
          </xdr:xfrm>
          <a:graphic>
            <a:graphicData uri="http://schemas.microsoft.com/office/drawing/2010/slicer">
              <sle:slicer xmlns:sle="http://schemas.microsoft.com/office/drawing/2010/slicer" name="Finacial Year"/>
            </a:graphicData>
          </a:graphic>
        </xdr:graphicFrame>
      </mc:Choice>
      <mc:Fallback xmlns="">
        <xdr:sp macro="" textlink="">
          <xdr:nvSpPr>
            <xdr:cNvPr id="0" name=""/>
            <xdr:cNvSpPr>
              <a:spLocks noTextEdit="1"/>
            </xdr:cNvSpPr>
          </xdr:nvSpPr>
          <xdr:spPr>
            <a:xfrm>
              <a:off x="21265708" y="8018722"/>
              <a:ext cx="1828800" cy="12256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261680</xdr:colOff>
      <xdr:row>28</xdr:row>
      <xdr:rowOff>39576</xdr:rowOff>
    </xdr:from>
    <xdr:to>
      <xdr:col>21</xdr:col>
      <xdr:colOff>19345</xdr:colOff>
      <xdr:row>30</xdr:row>
      <xdr:rowOff>221511</xdr:rowOff>
    </xdr:to>
    <mc:AlternateContent xmlns:mc="http://schemas.openxmlformats.org/markup-compatibility/2006" xmlns:a14="http://schemas.microsoft.com/office/drawing/2010/main">
      <mc:Choice Requires="a14">
        <xdr:graphicFrame macro="">
          <xdr:nvGraphicFramePr>
            <xdr:cNvPr id="4" name="Calendor Year">
              <a:extLst>
                <a:ext uri="{FF2B5EF4-FFF2-40B4-BE49-F238E27FC236}">
                  <a16:creationId xmlns:a16="http://schemas.microsoft.com/office/drawing/2014/main" id="{C06BCBB3-75E0-9254-DCDF-10B56BDBB71A}"/>
                </a:ext>
              </a:extLst>
            </xdr:cNvPr>
            <xdr:cNvGraphicFramePr/>
          </xdr:nvGraphicFramePr>
          <xdr:xfrm>
            <a:off x="0" y="0"/>
            <a:ext cx="0" cy="0"/>
          </xdr:xfrm>
          <a:graphic>
            <a:graphicData uri="http://schemas.microsoft.com/office/drawing/2010/slicer">
              <sle:slicer xmlns:sle="http://schemas.microsoft.com/office/drawing/2010/slicer" name="Calendor Year"/>
            </a:graphicData>
          </a:graphic>
        </xdr:graphicFrame>
      </mc:Choice>
      <mc:Fallback xmlns="">
        <xdr:sp macro="" textlink="">
          <xdr:nvSpPr>
            <xdr:cNvPr id="0" name=""/>
            <xdr:cNvSpPr>
              <a:spLocks noTextEdit="1"/>
            </xdr:cNvSpPr>
          </xdr:nvSpPr>
          <xdr:spPr>
            <a:xfrm>
              <a:off x="21246215" y="7054111"/>
              <a:ext cx="1828800" cy="9203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197882</xdr:colOff>
      <xdr:row>34</xdr:row>
      <xdr:rowOff>344968</xdr:rowOff>
    </xdr:from>
    <xdr:to>
      <xdr:col>24</xdr:col>
      <xdr:colOff>4872</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54195</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11222</xdr:colOff>
      <xdr:row>28</xdr:row>
      <xdr:rowOff>40168</xdr:rowOff>
    </xdr:from>
    <xdr:to>
      <xdr:col>18</xdr:col>
      <xdr:colOff>211912</xdr:colOff>
      <xdr:row>41</xdr:row>
      <xdr:rowOff>177210</xdr:rowOff>
    </xdr:to>
    <mc:AlternateContent xmlns:mc="http://schemas.openxmlformats.org/markup-compatibility/2006" xmlns:a14="http://schemas.microsoft.com/office/drawing/2010/main">
      <mc:Choice Requires="a14">
        <xdr:graphicFrame macro="">
          <xdr:nvGraphicFramePr>
            <xdr:cNvPr id="7" name="Affected WTG">
              <a:extLst>
                <a:ext uri="{FF2B5EF4-FFF2-40B4-BE49-F238E27FC236}">
                  <a16:creationId xmlns:a16="http://schemas.microsoft.com/office/drawing/2014/main" id="{8FB428DE-23C0-9B7F-3CB0-475B1441499E}"/>
                </a:ext>
              </a:extLst>
            </xdr:cNvPr>
            <xdr:cNvGraphicFramePr/>
          </xdr:nvGraphicFramePr>
          <xdr:xfrm>
            <a:off x="0" y="0"/>
            <a:ext cx="0" cy="0"/>
          </xdr:xfrm>
          <a:graphic>
            <a:graphicData uri="http://schemas.microsoft.com/office/drawing/2010/slicer">
              <sle:slicer xmlns:sle="http://schemas.microsoft.com/office/drawing/2010/slicer" name="Affected WTG"/>
            </a:graphicData>
          </a:graphic>
        </xdr:graphicFrame>
      </mc:Choice>
      <mc:Fallback xmlns="">
        <xdr:sp macro="" textlink="">
          <xdr:nvSpPr>
            <xdr:cNvPr id="0" name=""/>
            <xdr:cNvSpPr>
              <a:spLocks noTextEdit="1"/>
            </xdr:cNvSpPr>
          </xdr:nvSpPr>
          <xdr:spPr>
            <a:xfrm>
              <a:off x="19400873" y="7054703"/>
              <a:ext cx="1828800" cy="49364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907311</xdr:colOff>
      <xdr:row>28</xdr:row>
      <xdr:rowOff>35442</xdr:rowOff>
    </xdr:from>
    <xdr:to>
      <xdr:col>16</xdr:col>
      <xdr:colOff>222</xdr:colOff>
      <xdr:row>41</xdr:row>
      <xdr:rowOff>339652</xdr:rowOff>
    </xdr:to>
    <mc:AlternateContent xmlns:mc="http://schemas.openxmlformats.org/markup-compatibility/2006" xmlns:a14="http://schemas.microsoft.com/office/drawing/2010/main">
      <mc:Choice Requires="a14">
        <xdr:graphicFrame macro="">
          <xdr:nvGraphicFramePr>
            <xdr:cNvPr id="8" name="Error Text">
              <a:extLst>
                <a:ext uri="{FF2B5EF4-FFF2-40B4-BE49-F238E27FC236}">
                  <a16:creationId xmlns:a16="http://schemas.microsoft.com/office/drawing/2014/main" id="{31BA1C0F-2855-DE42-E06C-CB113217AC6D}"/>
                </a:ext>
              </a:extLst>
            </xdr:cNvPr>
            <xdr:cNvGraphicFramePr/>
          </xdr:nvGraphicFramePr>
          <xdr:xfrm>
            <a:off x="0" y="0"/>
            <a:ext cx="0" cy="0"/>
          </xdr:xfrm>
          <a:graphic>
            <a:graphicData uri="http://schemas.microsoft.com/office/drawing/2010/slicer">
              <sle:slicer xmlns:sle="http://schemas.microsoft.com/office/drawing/2010/slicer" name="Error Text"/>
            </a:graphicData>
          </a:graphic>
        </xdr:graphicFrame>
      </mc:Choice>
      <mc:Fallback xmlns="">
        <xdr:sp macro="" textlink="">
          <xdr:nvSpPr>
            <xdr:cNvPr id="0" name=""/>
            <xdr:cNvSpPr>
              <a:spLocks noTextEdit="1"/>
            </xdr:cNvSpPr>
          </xdr:nvSpPr>
          <xdr:spPr>
            <a:xfrm>
              <a:off x="17505916" y="7049977"/>
              <a:ext cx="1828800" cy="51036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497663</xdr:colOff>
      <xdr:row>28</xdr:row>
      <xdr:rowOff>90376</xdr:rowOff>
    </xdr:from>
    <xdr:to>
      <xdr:col>13</xdr:col>
      <xdr:colOff>826977</xdr:colOff>
      <xdr:row>40</xdr:row>
      <xdr:rowOff>221511</xdr:rowOff>
    </xdr:to>
    <xdr:graphicFrame macro="">
      <xdr:nvGraphicFramePr>
        <xdr:cNvPr id="9" name="Chart 8">
          <a:extLst>
            <a:ext uri="{FF2B5EF4-FFF2-40B4-BE49-F238E27FC236}">
              <a16:creationId xmlns:a16="http://schemas.microsoft.com/office/drawing/2014/main" id="{7EBBACE1-17B3-5C00-3866-89D724B37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ranjan Barik" refreshedDate="45410.757970370367" createdVersion="8" refreshedVersion="8" minRefreshableVersion="3" recordCount="3189" xr:uid="{00000000-000A-0000-FFFF-FFFF00000000}">
  <cacheSource type="worksheet">
    <worksheetSource ref="A1:AF1048576" sheet="WTG_BD"/>
  </cacheSource>
  <cacheFields count="32">
    <cacheField name="Sr. No." numFmtId="0">
      <sharedItems containsString="0" containsBlank="1" containsNumber="1" containsInteger="1" minValue="1" maxValue="2500"/>
    </cacheField>
    <cacheField name="Date" numFmtId="0">
      <sharedItems containsNonDate="0" containsDate="1" containsString="0" containsBlank="1" minDate="2023-02-13T00:00:00" maxDate="2024-07-25T00:00:00" count="439">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20T00:00:00"/>
        <d v="2023-07-21T00:00:00"/>
        <d v="2023-07-22T00:00:00"/>
        <d v="2023-07-23T00:00:00"/>
        <d v="2023-07-24T00:00:00"/>
        <d v="2023-07-25T00:00:00"/>
        <d v="2023-07-26T00:00:00"/>
        <d v="2023-07-27T00:00:00"/>
        <d v="2023-07-28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m/>
        <d v="2024-07-24T00:00:00" u="1"/>
      </sharedItems>
    </cacheField>
    <cacheField name="Finacial Year" numFmtId="0">
      <sharedItems containsString="0" containsBlank="1" containsNumber="1" containsInteger="1" minValue="2023" maxValue="2025" count="4">
        <n v="2023"/>
        <n v="2024"/>
        <n v="2025"/>
        <m/>
      </sharedItems>
    </cacheField>
    <cacheField name="Calendor Year" numFmtId="0">
      <sharedItems containsString="0" containsBlank="1" containsNumber="1" containsInteger="1" minValue="2023" maxValue="2024" count="3">
        <n v="2023"/>
        <n v="2024"/>
        <m/>
      </sharedItems>
    </cacheField>
    <cacheField name="Month" numFmtId="0">
      <sharedItems containsNonDate="0" containsDate="1" containsString="0" containsBlank="1" minDate="1899-12-31T00:00:00" maxDate="2024-07-02T00:00:00" count="18">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1899-12-31T00:00:00"/>
        <m/>
        <d v="2024-07-01T00:00:00" u="1"/>
      </sharedItems>
    </cacheField>
    <cacheField name="Operating Year" numFmtId="0">
      <sharedItems containsBlank="1" count="4">
        <s v="Year_1"/>
        <s v="Year_2"/>
        <s v="Year_3"/>
        <m/>
      </sharedItems>
    </cacheField>
    <cacheField name="Affected WTG" numFmtId="0">
      <sharedItems containsBlank="1" count="44">
        <s v="G17"/>
        <s v="G23"/>
        <s v="G26"/>
        <s v="G32"/>
        <s v="G37"/>
        <s v="G38"/>
        <s v="G39"/>
        <s v="G40"/>
        <s v="G27"/>
        <s v="G28"/>
        <s v="G29"/>
        <s v="G30"/>
        <s v="G31"/>
        <s v="G33"/>
        <s v="G34"/>
        <s v="G35"/>
        <s v="G36"/>
        <s v="G08"/>
        <s v="G19"/>
        <s v="G20"/>
        <s v="G01"/>
        <s v="G02"/>
        <s v="G03"/>
        <s v="G04"/>
        <s v="G05"/>
        <s v="G06"/>
        <s v="G07"/>
        <s v="G09"/>
        <s v="G10"/>
        <s v="G11"/>
        <s v="G12"/>
        <s v="G13"/>
        <s v="G14"/>
        <s v="G21"/>
        <s v="G22"/>
        <s v="G24"/>
        <s v="G25"/>
        <s v="G16"/>
        <s v="G18"/>
        <s v="G15"/>
        <s v="G25 "/>
        <s v="G30 "/>
        <s v="G17 "/>
        <m/>
      </sharedItems>
    </cacheField>
    <cacheField name="SPV" numFmtId="0">
      <sharedItems containsBlank="1"/>
    </cacheField>
    <cacheField name="Concumaer" numFmtId="0">
      <sharedItems containsBlank="1"/>
    </cacheField>
    <cacheField name="Plant Equivalent Weightage" numFmtId="0">
      <sharedItems containsBlank="1" containsMixedTypes="1" containsNumber="1" minValue="2.5000000000000001E-2" maxValue="2.5000000000000001E-2"/>
    </cacheField>
    <cacheField name="Error Code" numFmtId="0">
      <sharedItems containsBlank="1" containsMixedTypes="1" containsNumber="1" containsInteger="1" minValue="100" maxValue="9922"/>
    </cacheField>
    <cacheField name="Error Text" numFmtId="0">
      <sharedItems containsBlank="1" count="420">
        <s v="Error Code : 5219 - Coolant  of the  coolant circuit failure 00:00 To 09"/>
        <s v="Error Code : 205 - Low level hydraulic group refrigeration oil From 04:56 To 05:56"/>
        <s v="Error Code :10007 - Manual stop for TPI Inspection work From 12:00 To 13:05"/>
        <s v="Error Code : 10007 - Manual stop for TPI inspection work From 11:10 To 11:50"/>
        <s v="Error Code : 10007 - Manual stop for TPI Inspection work From 16:13 To 16:46"/>
        <s v="Error Code : 10007 - Manual stop for TPI Inspection work From 15:19 To 15:59"/>
        <s v="Error Code : 10007 - Manual stop for TPI Inspection work From 14:27 To 15:08"/>
        <s v="Error Code : 10007 - Manual stop for TPI Inspection work From 13:36 To 14:20"/>
        <s v="Error Code : 10007 - Manual stop for OFC joint work "/>
        <s v="Error code : 205 - low level hydraulic group refrigeration oil from 08:52 To 15:54"/>
        <s v="Error Code : 10007 - Manual stop for TPI inspection work From 16:03 To 16:37"/>
        <s v="Error Code : 10007 - Manual stop for TPI inspection work From 16:42 To 17:34"/>
        <s v="Error Code : 10007 - Manual stop for TPI inspection work From 17:17 To 17:52"/>
        <s v="Error Code : 10007 - Manual stop for TPI Inspection work From 16:15 To 17:01"/>
        <s v="Error Code : 10007 - Manual stop for OFC joint work From 16:50 To 17:15"/>
        <s v="Error Code : 10007 - Manual stop for TPI Inspection work From 14:51 To 15:28"/>
        <s v="Error Code : 10007 - Manual stop for TPI Inspection work From 15:01 To 15:54"/>
        <s v="Error Code : 10007 - Manual stop for TPI Inspection work From 13:39 To 14:40"/>
        <s v="Error Code : 10007 - Manual stop for TPI Inspection work From 12:39 To 13:30"/>
        <s v="Error Code : 208 - HG feedback failure From 12:13 To 15:09"/>
        <s v="Error Code : 10007 - Manual stop for PLC software update From 16:47 To 17:28"/>
        <s v="Error Code : 10007 Manual stop for PLC software update From 17:36 To 17:54"/>
        <s v="Error Code : 5204 - Emergency series not ok From 05:17 To 07:57  "/>
        <s v="Error Code : 205 - Low level hydraulic group refrigeration oil From 10:10 To 11:51"/>
        <s v="Error code : 5201 - Magnetothermic trigger of the stator protection From 09:59 To 12:29"/>
        <s v="Error Code : 5204 - Emergency series not ok From 08:49 To 11:44"/>
        <s v="Error Code : 10007 - Manual stop for TPI inspection work From 10:48 To 11:39"/>
        <s v="Error Code : 10007 - Manual stop for TPI inspection work From 10:30 To 11:06"/>
        <s v="Error Code : 10007 - Manual stop for TPI inspection work From 11:57 To 12:36"/>
        <s v="Error Code : 10007 - Manual stop for TPI inspection work From 11:36 To 12:14"/>
        <s v="Error code : 5216 - Grid Voltage failure From 02:03 To 02:07"/>
        <s v="Error Code : 10007 - Manual stop for TPI inspection work 12:26 To 13:01"/>
        <s v="Error code : 10007 - Manual stop for TPI inspection work From 10:32 To 11:34"/>
        <s v="Error  Code : 10007 - Manual stop for TPI inspection work From 12:47 To 13:23"/>
        <s v="Error Code : 10007 - Manual stop for TPI inspection work From 14:25 To 14:58"/>
        <s v="Error Code : 10007 - Manual stop for TPI inspection work From 14:49 To 15:21"/>
        <s v="Error Code : 10007 - Manual stop for TPI inspection work From 14:28 To 15:00"/>
        <s v="Error Code : 10007 - Manual stop for TPI inspection work From 15:05 To 15:51"/>
        <s v="Error Code : 10007 - Manual stop for TPI inspection work From 15:41 To 16:17"/>
        <s v="Error Code : 10007 - Manual stop for TPI inspection work From 15:56 To 16:40"/>
        <s v="Error code : 5216 - Grid Voltage failure From 02:03 To 02:07 "/>
        <s v=" Error code : 5216 - Grid Voltage failure from 02:03 To 02:07"/>
        <s v="Error Code: 907 - Hub Emergency mode triggered From 02:11 to 03:08"/>
        <s v="Error Code :5201 - Magnetothermic trigger of the stator protection From 12:33 To 15:09 "/>
        <s v="Error Code : 10007 - Manual stop for TPI inspection work From 12:18 to 13:01"/>
        <s v="Error code : 552 - Wear brushes generator triggerd too long from 18:30 to 19:04"/>
        <s v="Error Code : 10007 - Manual stop for TPI inspection work From 12:02 to 12:31"/>
        <s v="Error Code : 10007 - Manual stop for TPI inspection work From 11:27 to 12:17"/>
        <s v="Error Code : 10007 - Manual stop for TPI inspection work From 10:58 to 11:44"/>
        <s v="Error Code : 10007 - Manual stop for TPI inspection work From 13:14 to 13:59"/>
        <s v="Error Code : 10007 - Manual stop for TPI inspection work From 14:44 to 15:28"/>
        <s v="Error Code : 10007 - Manual stop for TPI inspection work From 15:12 to 16:14"/>
        <s v="Error code : 5201 - Magentothermic trigger of the stator protection from 12:46 to 12:52"/>
        <s v="Error code : 5201 - Magnetothermic trigger of the Line protection From 19:40 To 23:09"/>
        <s v="Error code : 5203 - Heating Coolant thermal magnetic failure From 00:48 To 02:05"/>
        <s v="Error Code : 205 - Low level hydraulic group refrigeration oil From 00:59 to 17:29"/>
        <s v="Error Code : 5200 - Magenetothermic trigger of the line protection From 15:34 to 22:23"/>
        <s v="Error code : 110 - Error Yaw Sensor Wiring from 00:27 to 03:22"/>
        <s v="Error code : 800 - Pitch Activation error from 12:10 to 13:51"/>
        <s v="Error code : 205 - low level hydraulic group refrigeration oil from 05:23 to 07:46"/>
        <s v="Error Code : 10007 - Manual stop for pitch cylinder oil seal replace work from 10:25 to 18:05"/>
        <s v="Error code : 205 - low level hydraulic group refrigeration oil from 00:00 to 01:35"/>
        <s v="Error code : 110 - Error Yaw Sensor Wiring from 03:22 to 06:23"/>
        <s v="Error code : 110 - Error Yaw Sensor Wiring from 02:47 to 05:42"/>
        <s v=" Error code : 5202 - stators contactor failure from 18:54 to 23:59"/>
        <s v="Error Code : 800 - Pitch activation error From 12:52 to 16:07"/>
        <s v="Error Code : 10007 - Manual stop for yaw caliper oil seal replacement work from 11:09 to 16:49"/>
        <s v="Error code : 1819 - RC filter failure from 16:07 to 18:12"/>
        <s v="Error Code : 800 - Pitch activation error From 14:07 TO 16:14"/>
        <s v="Error code : 205 - low level hydraulic group refrigeration oil from 00:00 to 00:43"/>
        <s v=" Error Code : 800 - Pitch activation error From 14:55 to 16:48"/>
        <s v="Error code : 1819 - RC filter failure from 18:14 to 19:27"/>
        <s v="Error code : 205 - low level hydraulic group refrigeration oil from 22:45 to 23:59"/>
        <s v="Error Code : 800 - Pitch activation error From 10:17 to 16:41"/>
        <s v="Error code : 5216 - Grid Voltage failure From 08:29 to 08:32"/>
        <s v="Error code : 5216 - Grid Voltage failure From 00:26 to 00:27"/>
        <s v="Error Code: 907 - Hub Emergency mode triggered From 08:39 to 10:22"/>
        <s v="Error code : 205 - low level hydraulic group refrigeration oil ( yaw caliper oil seal replacement )from 00:00 to 16:44"/>
        <s v="Error code : 205 - low level hydraulic group refrigeration oil from 04:36 to 08:01"/>
        <s v="Error Code : 800 - Pitch activation error From 12:19 to 18:20"/>
        <s v="Error code : 5203 - Heating Coolant thermal magnetic failure From 00:39 to 03:32"/>
        <s v="Error code :110 - Error yaw sensor wiring from 10:43 to 14:48"/>
        <s v="Error code : 205 - low level hydraulic group refrigeration oil from 10:12 to 15:56"/>
        <s v="Error code : 5212 - bus preload protection thermal replay failure from 00:26 to 12:51"/>
        <s v="Error Code : 800 - Pitch activation error From 12:55 to 13:35"/>
        <s v="Error Code : 10007 - Manual stop for oil leackage arresting work from 11:25 to 14:54"/>
        <s v="Error cod : 700 - PLC/converter communication failure from 16:54 to 01:54"/>
        <s v="Error code : 5216 - Grid Voltage failure From 11:43 to 11:47"/>
        <s v="Error code : 552 - Wear brushes generator triggerd too long from 00:00 to 02:38"/>
        <s v="Error code : 1819 - RC filter failure from 16:23 to 17:12"/>
        <s v="Error Code : 800 - Pitch activation error From 13:00 to 16:43"/>
        <s v="Error Code : 800 - Pitch activation error From 00:00 to 16:20"/>
        <s v="Error code : 552 - Wear brushes generator triggerd too long from 10:42 to 11:38"/>
        <s v="Error code : 1893 - Trafo Fan Thermal Realy triggered too long from 06:26 to 08:12"/>
        <s v="Error Code : 800 - Pitch activation error From 08:06 to 12:18"/>
        <s v="Error Code : 800 - Pitch activation error From 12:33 to 14:05"/>
        <s v="Error Code : 800 - Pitch activation error From 14:48 to 15:40"/>
        <s v="Error Code : 800 - Pitch activation error From 03:21 to 04:13"/>
        <s v="Error Code : 800 - Pitch activation error From 14:34 to 16:28"/>
        <s v="Error Code : 800 - Pitch activation error From 16:41 to 22:55"/>
        <s v="Error Code : 800 - Pitch activation error From 12:53 to 23:21"/>
        <s v="Error Code : 800 - Pitch activation error From 03:02 to 04:38"/>
        <s v="Error Code : 800 - Pitch activation error From 12:32 to 14:54"/>
        <s v="Error Code : 800 - Pitch activation error From 12:53 to 15:04"/>
        <s v="Error Code : 800 - Pitch activation error From 14:22 to 16:39"/>
        <s v="Error code : 500 - High T ( gen coils ) from 23:05 to 23:48"/>
        <s v="Error code : 800 - pitch activation errror from 14:10 to 16:28"/>
        <s v=" Error Code : 800 - Pitch activation error From 12:17 to 17:04"/>
        <s v="Error code : 5216 - Grid Voltage failure From 08:02 to 10:52"/>
        <s v=" Error code : 5216 - Grid Voltage failure From 08:02 to 10:52"/>
        <s v="Error code : 500 - High T ( gen coils ) from 06:43 to 08:54"/>
        <s v="Error code : 800 - pitch activation errror from 08:54 to 11:48 "/>
        <s v=" Error Code : 800 - Pitch activation error From 12:10 to 14:39"/>
        <s v="Error Code : 800 - Pitch activation error From 11:32 to 14:52 "/>
        <s v=" &amp; Error code : 108 - Automatic unwinding from 14:26 to 17:08"/>
        <s v="Error code : 10007 - Manual stop for gear oil level low from 10:29 to 16:24"/>
        <s v="Error code : 10007 - Manual stop for gearbox hose replacement work 11:03 to 14:21"/>
        <s v="Error code : 800 - pitch activation errror from 09:27 to 11:50"/>
        <s v="Error code : 9922 - LC taken by customer for tree cutting work from 13:45 to 15:07"/>
        <s v="  Error code : 9922 - LC taken by customer for tree cutting work from 13:45 to 15:07"/>
        <s v="Error Code : 800 - Pitch activation error From 12:56 to 15:04 "/>
        <s v="Error code : 800 - pitch activation errror from 02:37 to 04:54 "/>
        <s v=" Error code : 800 - pitch activation errror from12:53 to 14:46"/>
        <s v="Error Code : 5200 - Magenetothermic trigger of the line protection From 08:58 to 11:57"/>
        <s v=" Error Code : 800 - Pitch activation error From 12:46 to 16:32"/>
        <s v="Error code : 205 - Low level hydraulic group refrigeration oil from 13:27 to 12:41"/>
        <s v="Error Code : 800 - Pitch activation error From 07:26 to 09:54"/>
        <s v="Error code : 800 - pitch activation errror from 12:00 to 13:56"/>
        <s v="Error code : 205 - Low level hydraulic group refrigeration oil from 07:51 to 12:36"/>
        <s v="Error code : 700 - PLC/converter Communication failure from 10:12 to 13:17"/>
        <s v=" Error Code : 800 - Pitch activation error From 13:50 to 17:46"/>
        <s v="Error Code : 804 - Difference between 2 blades very high From 05:37 to 07:12 "/>
        <s v=" Error code : 800 - pitch activation error from 08:52 to 22:37"/>
        <s v="Error code : 5216 - Grid Voltage failure From 21:36 to 21:37"/>
        <s v="Error Code : 800 - Pitch activation error From 02:02 to 12:02"/>
        <s v="Error code : 205 - Low level hydraulic group refrigeration oil from 10:52 to 11:41 &amp; Error code : 5216 - Grid Voltage failure From 21:36 to 21:37"/>
        <s v="Error Code: 907 - Hub Emergency mode triggered From 21:39 to 23:59 &amp;Error code : 5216 - Grid Voltage failure From 21:36 to 21:37"/>
        <s v="Error code : 900 - Top emergency button from 21:50 to 23:59 &amp; Error code : 5216 - Grid Voltage failure From 21:47 to 21:48 &amp; Error code : 5216 - Grid Voltage failure From 23:33 to 23:53"/>
        <s v="Error code : 205 - low level hydraulic group refrigeration oil from 14:20 to 23:59 &amp; Error code : 5216 - Grid Voltage failure From 21:36 to 21:37"/>
        <s v="Error code : 800 - pitch activation errror from 08:21 to 12:25 &amp; Error code : 205 - Low level hydraulic group refrigeration oil from 12:36 to 16:16 &amp; Error code : 5216 - Grid Voltage failure From 21:36 to 21:37"/>
        <s v="Error code : 5216 - Grid Voltage failure From 21:47 to 21:48 &amp; Error code : 5216 - Grid Voltage failure From 23:33 to 23:53"/>
        <s v=" Error Code : 800 - Pitch activation error From 12:41 to 13:29"/>
        <s v=" Error code : 800 - pitch activation error from 01:00 to 23:59"/>
        <s v="Error code : 5212 - Bus preload protection thermal realy failure from 22:11 to 23:59 "/>
        <s v="Error Code : 800 - Pitch activation error From 05:22 to 10:41"/>
        <s v="Error code : 5212 - Bus preload protection thermal relay failure from 14:47 to 17:06"/>
        <s v="Error code : 205 - Low level hydraulic group refrigeration oil from 22:34 to 23:13"/>
        <s v="Error Code: 907 - Hub Emergency mode triggered From 00:00 to 2:17"/>
        <s v="Error code : 900 - Top emergency button from 00:00 to 02:45"/>
        <s v="Error code : 205 - low level hydraulic group refrigeration oil ( Yaw caliper oil seal replacement work ) from 00:00 to 16:12"/>
        <s v="Error code : 800 - pitch activation errror from 05:02 to 07:28 "/>
        <s v=" Error code : 800 - pitch activation errror from 13:39 to 14:54"/>
        <s v=" Error code : 800 - pitch activation error from 00:00 to 07:10"/>
        <s v="Error code : 5212 - Bus preload protection thermal realy failure from 00:00 to 03:19"/>
        <s v="Error code : 10007 - Manual stop for yaw caliper oil seal replacement work from 11:11 to 17:31 "/>
        <s v=" Error code : 2118 - Bus error / interbus failure from 21:52 to 23:59"/>
        <s v="Error code : 2118 - Bus error / interbus failure from 22:00 to 23:59"/>
        <s v="Error code : 800 - pitch activation errror from 12:42 to 16:14"/>
        <s v="Error code : 125 - Yaw motors over current protec. From 13:05 to 23:52"/>
        <s v="Error code : 101 - Max winding error from 16:49 to 17:32"/>
        <s v=" Error code : 2118 - Bus error / interbus failure from 00:00 to 01:29"/>
        <s v="Error code : 2118 - Bus error / interbus failure from 00:00 to 00:49"/>
        <s v="Error code : 2118 - CAN communication failure from 10:50 to 12:38"/>
        <s v="Error Code : 10007 - Manual stop for for porportional valve replacement &amp; KM004 From 10:46 To 12:48"/>
        <s v="Error code : 9922 - LC taken by customer for tree cutting work from 14:15 to 16:10"/>
        <s v=" Error Code : 9922 - LC taken by customer for tree cutting work From 14:15 To16:10"/>
        <s v="Error Code : 10007 - Manual stop for porportional valve replacement work &amp; KM004 From 11:12 To 14:06 "/>
        <s v="Error Code : 412 - Gear box fan thermal relay From 10:47 To 18:27"/>
        <s v="Error Code : 2102 - PLC module failure From 22:18 To 23:02"/>
        <s v="Error Code : 10007 - Manual stop for generator fan thermals warning From 12:31 To 12:57"/>
        <s v="Error Code : 10007 - Manual stop for Gear box manifold valve with washer replacement From 11:53 To 12:16"/>
        <s v="Error Code : 9922 -LC taken  for Tree trimming work From 12:12 To 12:57"/>
        <s v="Error Code : 800 - Pitch activation error From 10:31 To 10:59 "/>
        <s v=" Error Code : 9922 -LC taken  for Tree trimming work From 12:12 To 12:57"/>
        <s v="Error Code : 700 - PLC/Converter Communication Failure From 15:08 To 23:59 "/>
        <s v="Error Code : 800 - Pitch activation error From 11:27 To 16:30"/>
        <s v="Error Code : 700 - PLC/Converter Communication Failure From 00:00 To 23:59"/>
        <s v="Error Code : 5203 - Heating/coolant thermal magnetic failure From 19:20 To 22:31"/>
        <s v="Error Code : 108 - Automatic Unwinding From 13:01 To 16:10"/>
        <s v="Error Code : 205 - Low level hydraulic group refrigeration oil From 15:49 To 23:59"/>
        <s v="Error Code : 9922 - LC Taken S/D for DP yard yearly maintenance From 11:22 To 15:16"/>
        <s v="Error Code : 9922 - LC taken DP yard yearly maintenance From 11:22 To 15:16"/>
        <s v="Error Code : 9922 - LC taken for DP Yard yearly maintenance From 11:22 To 15:16"/>
        <s v="Error Code : 10007 - Manual stop for 102 PM From 10:46 To 18:20"/>
        <s v="Error Code : 108 - Automatic unwinding From 12:57 To 13:33"/>
        <s v="Error Code : 110 - Error Yaw Sensor Wiring From 06:24 To 07:33"/>
        <s v="Error Code : Low level hydraulic group refrigeration oil From 00:00 To 16:41"/>
        <s v="Error Code : 907 - HUB emergency - mode trigger From 20:20 To 20:30"/>
        <s v="Error Code : 550 - Gen. Fans Thermal Relay triggered too long From 02:35 To 04:18"/>
        <s v="Error Code : 700 - PLC/Converter Communication Failure From 00:00 To 02:53"/>
        <s v="Error code : 5216 - Grid Voltage failure From 05:35 to 05:38 "/>
        <s v="Error code : 5216 - Grid voltage failure From 20:52 to 21:21 "/>
        <s v="Error code : 5216 - Grid voltage failure  from 20:52 To 21:21  "/>
        <s v="Error code : 5216 - Grid voltage failure From 20:52 to 21:21  "/>
        <s v="   &amp; Error code : 5216 - Grid voltage failure From 20:52 to 21:21 "/>
        <s v="Error code : 5216 - Grid Voltage failure From 09:21 to 09:22"/>
        <s v="Error code : 5216 - Grid Voltage failure From 09:21 to 09:22 "/>
        <s v=" Error code : 5216 - Grid Voltage failure From 07:43 to 07:48."/>
        <s v="Error code : 5216 - Grid Voltage failure From 07:43 to 07:48."/>
        <s v="Error code : 5216 - Grid Voltage failure From 07:43 to 07:48 "/>
        <s v="Error code : 5216 - Grid Voltage failure From 07:43 to 07:48. "/>
        <s v="SF6 Breaker Fault"/>
        <s v=" Error code:5222 - Speed reading Incorrectly From 21:45 to 22:54."/>
        <s v=" Error Code : 205 - Low level hydraulic group refrigeration oil From 00:00 to 16:00 "/>
        <s v="Error code: 2118- Bus error Interbus Failure from 21:21 to 23:09."/>
        <s v="Error code : 205 - Low level hydraulic group refrigeration oil from 22:04 to 22:54"/>
        <s v="Error Code : 907 - HUB emergency - mode trigger From 00:00 to 17:43"/>
        <s v="&amp; Error Code : 907 - HUB emergency - mode trigger From 21:23 to 23:59."/>
        <s v="&amp;  Error code : 205 - Low level hydraulic group refrigeration oil from 21:36 to 23:59."/>
        <s v="&amp; Error Code: 2118 - Bus Error- Inturbus failure From 15:53 to 19:22"/>
        <s v="Error Code: 2299- LC taken for disc insulator replacement work from 13:20 to 14:34."/>
        <s v="Error Code: 2299- LC taken for disc insulator replacement work from 13:20 to 14:34 &amp; "/>
        <s v="Error Code : 205 - Low level hydraulic group refrigeration oil  From 06:33 To 07:26"/>
        <s v="Error Code : 907 - HUB emergency - mode trigger From 00:00 to 1:04"/>
        <s v="Error Code : 10007 - Manual stop for 102 PM From 09:45 to 17:00."/>
        <s v=" Error Code : 205- Low level of hydraulic group refrigeration oil from 07:09 to 12:19"/>
        <s v="Error code : 205 - Low level hydraulic group refrigeration oil from 00:00 to 01:39."/>
        <s v="Error code : 110- Yaw Sensor wiring  error from 16:01 to 18:05"/>
        <s v="Error Code : 205- Low level of hydraulic group refrigeration oil from 09:32 to 11:04."/>
        <s v="Error Code : 5201- Magnetothermic trigger of the stator protection."/>
        <s v=" Error code : 2118 - Bus error / interbus failure from 14:34 to 15:36"/>
        <s v=" &amp; Error code : 2118 - Bus error / interbus failure from 16:01 to 16:43"/>
        <s v="&amp; Error code : 812 - Error in blade position measurment error from 17:55 to 18:39."/>
        <s v=" Error code : 2118 - Bus error / interbus failure from 14:51 to 15:38  "/>
        <s v="&amp; Error code : 2118 - Bus error / interbus failure from 16:37to 17:00"/>
        <s v="&amp; Error code : 2118 - Bus error / interbus failure from 20:41 to 21:23"/>
        <s v="&amp;Error Code: 907- Hub Emergency mode triggered from 07:33 to 10:07 "/>
        <s v="&amp;Error Code: 907- Hub Emergency mode triggered from 10:23 to 11:29 "/>
        <s v=" &amp; Error Code: 907- Hub Emergency mode triggered From 14:37 to 15:57"/>
        <s v=" Error Code: 907- Hub Emergency mode triggered from 18:31 to 22:48"/>
        <s v="&amp; Error code : 205- Low level of hydraulic group refrigeration oil from 23:22 to 23:59."/>
        <s v="Error Code : 5222- Speed Reading incorrectly from 13:22 to 13:37"/>
        <s v="Error Code : 5210 - Failure of the contractor rotor power From 15:02 To 17:19"/>
        <s v="Error Code : 205 - Low level hydraulic roup refrigeration oil From 08:38 To 10:40"/>
        <s v="Error Code : 102 - CW motor failure From 20:54 To 23:59"/>
        <s v="Error Code : 205 - Low level hydraulic refrigeration oil From 00:00 To 03:51"/>
        <s v="Error Code : 110 - Yaw Sensor Wiring From 08:53 To 12:26"/>
        <s v="Error Code : 110 - Yaw Sensor wiring From 08:58 To 12:18"/>
        <s v="Error Code : 102 - CW motor failure From 00:00 to 00:59 ."/>
        <s v="Error Code: 2118- Bus error Inturbus failure From 18:09 to 19:19"/>
        <s v="Error Code :550- Gen. Fan Thermal Relay triggered to long 11:04 to 12:05"/>
        <s v="Error Code: 2118- Bus error Inturbus failure From 19:58 to 23:59."/>
        <s v="Error Code : 205 - Low level hydraulic group refrigeration oil From 13:48 to 22:22"/>
        <s v="Error code : 552 - Wear brushes generator triggered too long from 04:14 to 06:00"/>
        <s v="Error Code : 10007 - Manual stop for 102 PM From 09:40 to 17:21"/>
        <s v="Error Code: 800 - Pitch acitivation error  From 00:00 to 04:52"/>
        <s v=" Error code : 9922 - LC tekan by customer DP-Yard yearly maintanance from 13:30 to 15:09"/>
        <s v=" &amp;  Error code : 9922 - LC tekan by customer DP-Yard yearly maintanance from 13:30 to 15:09"/>
        <s v="Error code : 800 - Pitch activation error from 20:36 to 23:59"/>
        <s v="Error code : 10007 - Manual stop for yaw caliper oil seal replacement work from 13:42 to 18:12"/>
        <s v="Error Code: 2118- Bus error Inturbus failure From 01:44 to 03:27"/>
        <s v="Error code : 103 - CW motor failure from 12:20 to 15:57"/>
        <s v="Error code : 2118 - Bus error / interbus failure from 12:36 to 13:49"/>
        <s v="Error code : 1894 - Automatic Secondaries not ok too long from 11:30 to 12:33"/>
        <s v=" Error code : 9922 - LC tekan by customer DP-Yard yearly maintanance from 13:24 to 15:42"/>
        <s v="Error Code: 2118- Bus error Inturbus failure From 06:51 to 07:48 &amp; "/>
        <s v="Error code : 2118 - Bus error / interbus failure from 10:16 to 13:42"/>
        <s v="Error Code : 10007 - Manual stop for 102 PM From 10:29 to 17:44"/>
        <s v="Error code : 416 - Vibrations sensor from 01:35 to 02:30"/>
        <s v="Error Code: 2118- Bus error Inturbus failure From 07:15 to 08:06 &amp;"/>
        <s v=" Error Code: 2118- Bus error Inturbus failure From 11:32 to 12:36"/>
        <s v="Error code : 10007 - Manual stop for generator cooling motor replacement work from 11:16 to 13:33"/>
        <s v="Error Code : 1894 - Automatic Secondaries not OK too long From 13:29 To 14:55"/>
        <s v="Error Code : 205 - Low level hydraulic group refrigeration oil From 12:32 To 13:15"/>
        <s v="Error Code : 10007 - Manual stop for 102 month preventive maintanance From 10:15 To 18:00"/>
        <s v="Error Code : 2118  - Bus error /Interbus failure From 17:02 To 18:04"/>
        <s v="Error Code : 9922 - LC Taken by custmour for DP Yard yearly maintanance work From 11:53 To 14:06"/>
        <s v="Error Code : 9922 - LC taken by customer DP yard yearly maintanance From 11:53 To 14:06"/>
        <s v="Error Code : 9922 - LC taken by custmour for DP yard yealy maintanance work From 11:53 To 14:06"/>
        <s v="Error Code : 9922 - LC taken by customer for DP yard yearly maintanance From 11:53 To 14:06"/>
        <s v="Error Code : 9922 - LC taken by Custmour for DP yard yearly maintanance From 11:53 To 14:06 "/>
        <s v="Error code : 552 - Wear brushes generator triggered too long from 05:11 To 06:52 /"/>
        <s v="Error Code : 208 _ HG Feedback failure From 01:17 To 05:22"/>
        <s v="Error Code : 10007 - Manual stop for 102 month Preventive Maintanance From 09:57 To 17:31"/>
        <s v="Error Code : 10007 - Manual stop for Bus Interbus failure troubleshooting work From 11:56 To 16:43"/>
        <s v=" Error Code : 552 - Wear brushes generator triggered too long From 22:18 To 23:19"/>
        <s v="Error Code : 5204 - Emergency series not ok From 21:40 To 23:59"/>
        <s v="Error Code : 205 - Low level hydraulic group refigeration oil From 14:18 To 17:23"/>
        <s v="Error Code : 110 - Error Yaw Sensor Wiring From 12:40 To 14:06"/>
        <s v="Error Code : 10007 - Manual stop for 102 Month Preventive Maintanance From 09:50 To 16:58"/>
        <s v="Error Code : 5204 - Emergency series not ok From 00:00 To 13:36"/>
        <s v="Error Code : 110 - Error Yaw Sensor Wiring From 10:11 To 11:09"/>
        <s v="Error Code : 10007 - Manual stop for 102 month Preventive Maintanance From 10:02 To 17:52"/>
        <s v="Error Code : 110 - Error Yaw Sensor Wiring From 14:02 To 16:04"/>
        <s v="Error Code : 10007 Manual stop For Error : 523 High T of coolant in input of cooling circuit From 16:20 To 16:55"/>
        <s v="Error Code : 10007 - Manual stop for Ware brush generator From 17:03 To 17:33"/>
        <s v="Analogue Card Failure"/>
        <s v="Yaw Sensor Wiring Error"/>
        <s v="Manual Stop"/>
        <s v="Heating Protection Triggered"/>
        <s v="Low Pressure On Hydraulic Group"/>
        <s v="Low Pressure On Brake Circuit"/>
        <s v="Emergency Series HUB Trigger"/>
        <s v="Bus Error - Interbus Failure"/>
        <s v="Heating/Coolant Thermal Magnetic Failure"/>
        <s v="Transmission Line Related work"/>
        <s v="Manual Stop - Preventive Maintenance Activity"/>
        <s v="Generator Fans Thermal Relay Triggered Too Long"/>
        <s v="Pitch Drive Error"/>
        <s v="Magnetothermic Trigger Of The Stator Protection"/>
        <s v="Gearbox Oil Level Low"/>
        <s v="Generator Slipping Ring High Temperature"/>
        <s v="High Generator Winding Temperature"/>
        <s v="Yawing Sensor Failure"/>
        <s v="Wear Brushes Generator Triggered Too Long"/>
        <s v="Manual Stop - Audit"/>
        <s v="Grid Voltage Failure"/>
        <s v="CCW Feedback Failure"/>
        <s v="High Yaw Brake Pressure"/>
        <s v="Hydraulic Oil High Temperature"/>
        <s v="Automatic Unwinding"/>
        <s v="CAN Communication Failure"/>
        <s v="Low Level Hydraulic Group Refrigeration Oil"/>
        <s v="Yaw Motors Error"/>
        <s v="Minimum Hydraulic Unit Temperature"/>
        <s v="Speed Read Incorrectly"/>
        <s v="Gearbox Oil High Temperature Warning"/>
        <s v="Generator DE Bearing High Temperature Alarm"/>
        <s v="Generator's Fans Failure Confirmation"/>
        <s v="Bus Preload Protection Thermal Relay Failure"/>
        <s v="PLC Module Failure"/>
        <s v="Temp. Measurement Module Failure"/>
        <s v="OGS"/>
        <s v="Very Low Pressure On Hydraulic Unit"/>
        <s v="Low Pitch Value In Stop Mode (1 Cylinder)"/>
        <s v="Automatic Secondaries Not OK Too Long"/>
        <s v="Magnetothermic Of The Stator Protection Failure Or Door Open"/>
        <s v="Blade Position Meas. Error"/>
        <s v="Max. Pump time"/>
        <s v="PLC-Converter Communication Error"/>
        <s v="Top Emergency Button"/>
        <s v="Low Pressure In Gearbox"/>
        <s v="DTD Filter Alarm 1"/>
        <s v="Excessive Temperature Of The Control Module"/>
        <s v="Vibration Sensor"/>
        <s v="High Temperature Of Coolant In The Input Of The Cooling Circuit"/>
        <s v="Gearbox Fan Thermal Relays"/>
        <s v="CW Feedback Failure"/>
        <s v="Gearbox Pump Thermal Relay Triggered and High Gearbox Oil Temperature"/>
        <s v="Frequency Failure"/>
        <s v="Fault In 24v Power Supply"/>
        <s v="Out Of Range In Slippage"/>
        <s v="High Grid Harmonic Distortion "/>
        <s v="Yaw Motors Over Current Protection "/>
        <s v="Yaw Contactor Active"/>
        <s v="Change Pause-Remote Control Reset"/>
        <s v="Preload Failure"/>
        <s v="Generator NDE Bearing High Temperature Alarm"/>
        <s v="Excessive Temperature Of Coolant At The Input Of The Cooling Circuit"/>
        <s v="Error In Phase T Of The Inverter"/>
        <s v="Controlled Emergency Series Battery Failure"/>
        <s v="Error In Phase T Of The Rectifier"/>
        <s v="High Gearbox Bearing Temperature"/>
        <s v="Rotor Speed Reading Failure"/>
        <s v="Yawing Motor Thermal Relays"/>
        <s v="Converter High Ambient Temperature Alarm"/>
        <s v="Active Crowbar IGBT Errors"/>
        <s v="Excess Current Phase R Of Stator"/>
        <s v="Coolant Of The Coolant Circuit Failure"/>
        <s v="Active Crowbar Failure"/>
        <s v="High Generator Speed"/>
        <s v="Orienting and High Yaw Brake Pressure"/>
        <s v="Trafo Fan Thermal Relay Triggered Too Long"/>
        <s v="Error In Phase R Of The Inverter"/>
        <s v="Gearbox Pump Thermal Relay"/>
        <s v="High Gearbox Oil Temperature"/>
        <s v="HU Pump Drive Failure"/>
        <s v="Very High Disalignment"/>
        <s v="Wind Vane Failure Alarm"/>
        <s v="Emergency Series Not OK"/>
        <s v="Rotor Or Generator High Speed in STOP Or EMERGENCY"/>
        <s v="Failure Of The Contactor's Rotor Power"/>
        <s v="Error In Phase S Of The Inverter"/>
        <s v="Overheating In The Grid's Inductance"/>
        <s v="Rotor Protection Thermal Magnetic Failure"/>
        <s v="Orienting and Low Yaw Brake Pressure"/>
        <s v="Low Pressure Of Emergency Accumulators"/>
        <s v="Stator Contactor Failure"/>
        <s v="Hydraulic Filter Dirty"/>
        <s v="Slipping Rings Fan Or Heating Resistor Failure"/>
        <s v="Major BD - Transformer"/>
        <s v="Major BD - Blade"/>
        <s v="Difference Between 2 Blades Too High"/>
        <s v="Low Bus Voltage"/>
        <s v="Change Emergency-Local Reset"/>
        <s v="Trigger Of Overvoltage Protection"/>
        <s v="Initialization Failure"/>
        <s v="Failure In The Gearbox Oil Particle Sensor"/>
        <s v="Rectifier Phase S Overcurrent"/>
        <s v="UPS breakdown"/>
        <s v="Maximum Synchronization Time"/>
        <s v="Encoder Suynchronism Error"/>
        <s v="Transformer Fan Control Failure"/>
        <s v="Encoder Not OK"/>
        <s v="Maximum Time For Stator Disconnection"/>
        <s v="High Rotor Speed"/>
        <s v="Magnetothermic Trigger Of The Line Protection"/>
        <s v="Hydraulic Pump Protection"/>
        <s v="Gearbox Bearing High Temperature Warning"/>
        <s v="Max Orientation Time"/>
        <s v="General Work Stoppage"/>
        <s v="Gearbox Fan Feedback Failure"/>
        <s v="Automatics Not Ok"/>
        <s v="Gearbox Fan Thermal Relays Triggered and High Gearbox Oil Temperature"/>
        <s v="Wear Brushes Generator"/>
        <s v="Hydraulic Unit Cooling Failure"/>
        <s v="SF6 and HV side"/>
        <s v="Fault In Analog Electronic Power Supply"/>
        <s v="Very High Temperature Of Hydraulic Unit Oil"/>
        <s v="High Temperature Of The Control Module"/>
        <m/>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Error code : 2509 - communication error ( SF6 breaker trip ) from 14:33 to 19:14" u="1"/>
        <e v="#N/A" u="1"/>
      </sharedItems>
    </cacheField>
    <cacheField name="Breakdown Description" numFmtId="0">
      <sharedItems containsBlank="1"/>
    </cacheField>
    <cacheField name="Fault Start TimeStamp" numFmtId="0">
      <sharedItems containsDate="1" containsBlank="1" containsMixedTypes="1" minDate="1899-12-30T00:00:00" maxDate="1899-12-31T00:00:00"/>
    </cacheField>
    <cacheField name="Work Start TimeStamp" numFmtId="0">
      <sharedItems containsNonDate="0" containsDate="1" containsString="0" containsBlank="1" minDate="1899-12-30T00:00:00" maxDate="1899-12-31T00:00:00"/>
    </cacheField>
    <cacheField name="Fault Clearance time" numFmtId="0">
      <sharedItems containsNonDate="0" containsDate="1" containsString="0" containsBlank="1" minDate="1899-12-30T00:05:00" maxDate="1899-12-30T23:59:59"/>
    </cacheField>
    <cacheField name="Response Time" numFmtId="0">
      <sharedItems containsBlank="1" containsMixedTypes="1" containsNumber="1" minValue="-11.999999999999996" maxValue="23.983333333333334"/>
    </cacheField>
    <cacheField name="Resolution Time" numFmtId="0">
      <sharedItems containsString="0" containsBlank="1" containsNumber="1" minValue="0" maxValue="23.999722222222221"/>
    </cacheField>
    <cacheField name="Breakdown Time" numFmtId="0">
      <sharedItems containsString="0" containsBlank="1" containsNumber="1" minValue="0" maxValue="23.999722222222221"/>
    </cacheField>
    <cacheField name="Action taken" numFmtId="0">
      <sharedItems containsBlank="1"/>
    </cacheField>
    <cacheField name="Status" numFmtId="0">
      <sharedItems containsBlank="1"/>
    </cacheField>
    <cacheField name="Plant Equivalent breakdown" numFmtId="0">
      <sharedItems containsBlank="1" containsMixedTypes="1" containsNumber="1" minValue="4.1666666666663189E-4" maxValue="0.5999930555555556"/>
    </cacheField>
    <cacheField name="Paired WTG for Enegy based MA" numFmtId="0">
      <sharedItems containsBlank="1"/>
    </cacheField>
    <cacheField name="Energy Production during breakdwon of paired WTG" numFmtId="0">
      <sharedItems containsString="0" containsBlank="1" containsNumber="1" minValue="-10.559872685185205" maxValue="32673.294444444444"/>
    </cacheField>
    <cacheField name="Special remarks" numFmtId="0">
      <sharedItems containsBlank="1"/>
    </cacheField>
    <cacheField name="Fault Category" numFmtId="0">
      <sharedItems containsBlank="1"/>
    </cacheField>
    <cacheField name="Paired WTG Generation for loss calculation." numFmtId="0">
      <sharedItems containsString="0" containsBlank="1" containsNumber="1" minValue="-460.79444444444465" maxValue="32706"/>
    </cacheField>
    <cacheField name="loss" numFmtId="0">
      <sharedItems containsString="0" containsBlank="1" containsNumber="1" minValue="-10.559872685185205" maxValue="32673.294444444444"/>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89">
  <r>
    <n v="1"/>
    <x v="0"/>
    <x v="0"/>
    <x v="0"/>
    <x v="0"/>
    <x v="0"/>
    <x v="0"/>
    <s v="PWEGPL"/>
    <s v="MSEDCL"/>
    <n v="2.5000000000000001E-2"/>
    <n v="5219"/>
    <x v="0"/>
    <s v="BD"/>
    <d v="1899-12-30T00:00:00"/>
    <d v="1899-12-30T00:00:00"/>
    <d v="1899-12-30T00:09:00"/>
    <n v="0"/>
    <n v="0.15"/>
    <n v="0.15"/>
    <s v="Coolant Topup"/>
    <s v="Close"/>
    <n v="3.7499999999999999E-3"/>
    <m/>
    <n v="0"/>
    <m/>
    <m/>
    <m/>
    <n v="0"/>
    <m/>
    <m/>
    <m/>
    <m/>
  </r>
  <r>
    <n v="2"/>
    <x v="0"/>
    <x v="0"/>
    <x v="0"/>
    <x v="0"/>
    <x v="0"/>
    <x v="1"/>
    <s v="PWEGPL"/>
    <s v="MSEDCL"/>
    <n v="2.5000000000000001E-2"/>
    <n v="205"/>
    <x v="1"/>
    <s v="BD"/>
    <d v="1899-12-30T04:56:00"/>
    <d v="1899-12-30T05:10:00"/>
    <d v="1899-12-30T05:56:00"/>
    <n v="0.23333333333333317"/>
    <n v="0.76666666666666661"/>
    <n v="0.99999999999999978"/>
    <s v="Oil Topup"/>
    <s v="Close"/>
    <n v="2.4999999999999994E-2"/>
    <m/>
    <n v="0"/>
    <m/>
    <m/>
    <m/>
    <n v="0"/>
    <m/>
    <m/>
    <m/>
    <m/>
  </r>
  <r>
    <n v="3"/>
    <x v="0"/>
    <x v="0"/>
    <x v="0"/>
    <x v="0"/>
    <x v="0"/>
    <x v="2"/>
    <s v="PWEGPL"/>
    <s v="MSEDCL"/>
    <n v="2.5000000000000001E-2"/>
    <s v="CE100001"/>
    <x v="2"/>
    <m/>
    <d v="1899-12-30T12:00:00"/>
    <d v="1899-12-30T12:00:00"/>
    <d v="1899-12-30T13:05:00"/>
    <n v="0"/>
    <n v="1.0833333333333348"/>
    <n v="1.0833333333333348"/>
    <s v="TPI Inspection"/>
    <s v="Close"/>
    <n v="2.7083333333333372E-2"/>
    <m/>
    <n v="0"/>
    <m/>
    <m/>
    <m/>
    <n v="0"/>
    <m/>
    <m/>
    <m/>
    <m/>
  </r>
  <r>
    <n v="4"/>
    <x v="0"/>
    <x v="0"/>
    <x v="0"/>
    <x v="0"/>
    <x v="0"/>
    <x v="3"/>
    <s v="PWEGPL"/>
    <s v="MSEDCL"/>
    <n v="2.5000000000000001E-2"/>
    <s v="CE100001"/>
    <x v="3"/>
    <m/>
    <d v="1899-12-30T11:10:00"/>
    <d v="1899-12-30T11:10:00"/>
    <d v="1899-12-30T11:50:00"/>
    <n v="0"/>
    <n v="0.66666666666666829"/>
    <n v="0.66666666666666829"/>
    <s v="TPI Inspection"/>
    <s v="Close"/>
    <n v="1.6666666666666708E-2"/>
    <m/>
    <n v="0"/>
    <m/>
    <m/>
    <m/>
    <n v="0"/>
    <m/>
    <m/>
    <m/>
    <m/>
  </r>
  <r>
    <n v="5"/>
    <x v="0"/>
    <x v="0"/>
    <x v="0"/>
    <x v="0"/>
    <x v="0"/>
    <x v="4"/>
    <s v="PWEGPL"/>
    <s v="MSEDCL"/>
    <n v="2.5000000000000001E-2"/>
    <s v="CE100001"/>
    <x v="4"/>
    <m/>
    <d v="1899-12-30T16:13:00"/>
    <d v="1899-12-30T16:13:00"/>
    <d v="1899-12-30T16:46:00"/>
    <n v="0"/>
    <n v="0.55000000000000071"/>
    <n v="0.55000000000000071"/>
    <s v="TPI Inspection"/>
    <s v="Close"/>
    <n v="1.3750000000000019E-2"/>
    <m/>
    <n v="0"/>
    <m/>
    <m/>
    <m/>
    <n v="0"/>
    <m/>
    <m/>
    <m/>
    <m/>
  </r>
  <r>
    <n v="6"/>
    <x v="0"/>
    <x v="0"/>
    <x v="0"/>
    <x v="0"/>
    <x v="0"/>
    <x v="5"/>
    <s v="PWEGPL"/>
    <s v="MSEDCL"/>
    <n v="2.5000000000000001E-2"/>
    <s v="CE100001"/>
    <x v="5"/>
    <m/>
    <d v="1899-12-30T15:19:00"/>
    <d v="1899-12-30T15:19:00"/>
    <d v="1899-12-30T15:59:00"/>
    <n v="0"/>
    <n v="0.66666666666666696"/>
    <n v="0.66666666666666696"/>
    <s v="TPI Inspection"/>
    <s v="Close"/>
    <n v="1.6666666666666673E-2"/>
    <m/>
    <n v="0"/>
    <m/>
    <m/>
    <m/>
    <n v="0"/>
    <m/>
    <m/>
    <m/>
    <m/>
  </r>
  <r>
    <n v="7"/>
    <x v="0"/>
    <x v="0"/>
    <x v="0"/>
    <x v="0"/>
    <x v="0"/>
    <x v="6"/>
    <s v="PWEGPL"/>
    <s v="MSEDCL"/>
    <n v="2.5000000000000001E-2"/>
    <s v="CE100001"/>
    <x v="6"/>
    <m/>
    <d v="1899-12-30T14:27:00"/>
    <d v="1899-12-30T14:27:00"/>
    <d v="1899-12-30T15:08:00"/>
    <n v="0"/>
    <n v="0.68333333333333357"/>
    <n v="0.68333333333333357"/>
    <s v="TPI Inspection"/>
    <s v="Close"/>
    <n v="1.7083333333333339E-2"/>
    <m/>
    <n v="0"/>
    <m/>
    <m/>
    <m/>
    <n v="0"/>
    <m/>
    <m/>
    <m/>
    <m/>
  </r>
  <r>
    <n v="8"/>
    <x v="0"/>
    <x v="0"/>
    <x v="0"/>
    <x v="0"/>
    <x v="0"/>
    <x v="7"/>
    <s v="PWEGPL"/>
    <s v="MSEDCL"/>
    <n v="2.5000000000000001E-2"/>
    <s v="CE100001"/>
    <x v="7"/>
    <m/>
    <d v="1899-12-30T13:36:00"/>
    <d v="1899-12-30T13:36:00"/>
    <d v="1899-12-30T14:20:00"/>
    <n v="0"/>
    <n v="0.73333333333333339"/>
    <n v="0.73333333333333339"/>
    <s v="TPI Inspection"/>
    <s v="Close"/>
    <n v="1.8333333333333337E-2"/>
    <m/>
    <n v="0"/>
    <m/>
    <m/>
    <m/>
    <n v="0"/>
    <m/>
    <m/>
    <m/>
    <m/>
  </r>
  <r>
    <n v="9"/>
    <x v="1"/>
    <x v="0"/>
    <x v="0"/>
    <x v="0"/>
    <x v="0"/>
    <x v="2"/>
    <s v="PWEGPL"/>
    <s v="MSEDCL"/>
    <n v="2.5000000000000001E-2"/>
    <s v="CE100001"/>
    <x v="8"/>
    <m/>
    <d v="1899-12-30T16:50:00"/>
    <d v="1899-12-30T16:50:00"/>
    <d v="1899-12-30T17:15:00"/>
    <n v="0"/>
    <n v="0.41666666666666785"/>
    <n v="0.41666666666666785"/>
    <s v="OFC Splicing"/>
    <s v="Close"/>
    <n v="1.0416666666666697E-2"/>
    <m/>
    <n v="0"/>
    <m/>
    <m/>
    <m/>
    <n v="0"/>
    <m/>
    <m/>
    <m/>
    <m/>
  </r>
  <r>
    <n v="10"/>
    <x v="1"/>
    <x v="0"/>
    <x v="0"/>
    <x v="0"/>
    <x v="0"/>
    <x v="8"/>
    <s v="PWEGPL"/>
    <s v="MSEDCL"/>
    <n v="2.5000000000000001E-2"/>
    <n v="205"/>
    <x v="9"/>
    <m/>
    <d v="1899-12-30T08:52:00"/>
    <d v="1899-12-30T10:45:00"/>
    <d v="1899-12-30T15:54:00"/>
    <n v="1.8833333333333333"/>
    <n v="5.1499999999999986"/>
    <n v="7.0333333333333323"/>
    <s v="Oil Topup"/>
    <s v="Close"/>
    <n v="0.17583333333333331"/>
    <m/>
    <n v="0"/>
    <m/>
    <m/>
    <m/>
    <n v="0"/>
    <m/>
    <m/>
    <m/>
    <m/>
  </r>
  <r>
    <n v="11"/>
    <x v="1"/>
    <x v="0"/>
    <x v="0"/>
    <x v="0"/>
    <x v="0"/>
    <x v="9"/>
    <s v="PWEGPL"/>
    <s v="MSEDCL"/>
    <n v="2.5000000000000001E-2"/>
    <s v="CE100001"/>
    <x v="10"/>
    <m/>
    <d v="1899-12-30T16:03:00"/>
    <d v="1899-12-30T16:03:00"/>
    <d v="1899-12-30T16:37:00"/>
    <n v="0"/>
    <n v="0.56666666666666465"/>
    <n v="0.56666666666666465"/>
    <s v="TPI Inspection"/>
    <s v="Close"/>
    <n v="1.4166666666666617E-2"/>
    <m/>
    <n v="0"/>
    <m/>
    <m/>
    <m/>
    <n v="0"/>
    <m/>
    <m/>
    <m/>
    <m/>
  </r>
  <r>
    <n v="12"/>
    <x v="1"/>
    <x v="0"/>
    <x v="0"/>
    <x v="0"/>
    <x v="0"/>
    <x v="10"/>
    <s v="PWEGPL"/>
    <s v="MSEDCL"/>
    <n v="2.5000000000000001E-2"/>
    <s v="CE100001"/>
    <x v="11"/>
    <m/>
    <d v="1899-12-30T16:42:00"/>
    <d v="1899-12-30T16:42:00"/>
    <d v="1899-12-30T17:34:00"/>
    <n v="0"/>
    <n v="0.86666666666666625"/>
    <n v="0.86666666666666625"/>
    <s v="TPI Inspection"/>
    <s v="Close"/>
    <n v="2.1666666666666657E-2"/>
    <m/>
    <n v="0"/>
    <m/>
    <m/>
    <m/>
    <n v="0"/>
    <m/>
    <m/>
    <m/>
    <m/>
  </r>
  <r>
    <n v="13"/>
    <x v="1"/>
    <x v="0"/>
    <x v="0"/>
    <x v="0"/>
    <x v="0"/>
    <x v="11"/>
    <s v="PWEGPL"/>
    <s v="MSEDCL"/>
    <n v="2.5000000000000001E-2"/>
    <s v="CE100001"/>
    <x v="12"/>
    <m/>
    <d v="1899-12-30T17:17:00"/>
    <d v="1899-12-30T17:17:00"/>
    <d v="1899-12-30T17:52:00"/>
    <n v="0"/>
    <n v="0.58333333333333126"/>
    <n v="0.58333333333333126"/>
    <s v="TPI Inspection"/>
    <s v="Close"/>
    <n v="1.4583333333333282E-2"/>
    <m/>
    <n v="0"/>
    <m/>
    <m/>
    <m/>
    <n v="0"/>
    <m/>
    <m/>
    <m/>
    <m/>
  </r>
  <r>
    <n v="14"/>
    <x v="1"/>
    <x v="0"/>
    <x v="0"/>
    <x v="0"/>
    <x v="0"/>
    <x v="12"/>
    <s v="PWEGPL"/>
    <s v="MSEDCL"/>
    <n v="2.5000000000000001E-2"/>
    <s v="CE100001"/>
    <x v="13"/>
    <m/>
    <d v="1899-12-30T16:15:00"/>
    <d v="1899-12-30T16:15:00"/>
    <d v="1899-12-30T17:01:00"/>
    <n v="0"/>
    <n v="0.76666666666666394"/>
    <n v="0.76666666666666394"/>
    <s v="TPI Inspection"/>
    <s v="Close"/>
    <n v="1.9166666666666599E-2"/>
    <m/>
    <n v="0"/>
    <m/>
    <m/>
    <m/>
    <n v="0"/>
    <m/>
    <m/>
    <m/>
    <m/>
  </r>
  <r>
    <n v="15"/>
    <x v="1"/>
    <x v="0"/>
    <x v="0"/>
    <x v="0"/>
    <x v="0"/>
    <x v="3"/>
    <s v="PWEGPL"/>
    <s v="MSEDCL"/>
    <n v="2.5000000000000001E-2"/>
    <s v="CE100001"/>
    <x v="14"/>
    <m/>
    <d v="1899-12-30T16:50:00"/>
    <d v="1899-12-30T16:50:00"/>
    <d v="1899-12-30T17:15:00"/>
    <n v="0"/>
    <n v="0.41666666666666785"/>
    <n v="0.41666666666666785"/>
    <s v="OFC Splicing"/>
    <s v="Close"/>
    <n v="1.0416666666666697E-2"/>
    <m/>
    <n v="0"/>
    <m/>
    <m/>
    <m/>
    <n v="0"/>
    <m/>
    <m/>
    <m/>
    <m/>
  </r>
  <r>
    <n v="16"/>
    <x v="1"/>
    <x v="0"/>
    <x v="0"/>
    <x v="0"/>
    <x v="0"/>
    <x v="13"/>
    <s v="PWEGPL"/>
    <s v="MSEDCL"/>
    <n v="2.5000000000000001E-2"/>
    <s v="CE100001"/>
    <x v="15"/>
    <m/>
    <d v="1899-12-30T14:51:00"/>
    <d v="1899-12-30T14:51:00"/>
    <d v="1899-12-30T15:28:00"/>
    <n v="0"/>
    <n v="0.61666666666666714"/>
    <n v="0.61666666666666714"/>
    <s v="TPI Inspection"/>
    <s v="Close"/>
    <n v="1.5416666666666679E-2"/>
    <m/>
    <n v="0"/>
    <m/>
    <m/>
    <m/>
    <n v="0"/>
    <m/>
    <m/>
    <m/>
    <m/>
  </r>
  <r>
    <n v="17"/>
    <x v="1"/>
    <x v="0"/>
    <x v="0"/>
    <x v="0"/>
    <x v="0"/>
    <x v="14"/>
    <s v="PWEGPL"/>
    <s v="MSEDCL"/>
    <n v="2.5000000000000001E-2"/>
    <s v="CE100001"/>
    <x v="16"/>
    <m/>
    <d v="1899-12-30T15:01:00"/>
    <d v="1899-12-30T15:01:00"/>
    <d v="1899-12-30T15:54:00"/>
    <n v="0"/>
    <n v="0.88333333333333286"/>
    <n v="0.88333333333333286"/>
    <s v="TPI Inspection"/>
    <s v="Close"/>
    <n v="2.2083333333333323E-2"/>
    <m/>
    <n v="0"/>
    <m/>
    <m/>
    <m/>
    <n v="0"/>
    <m/>
    <m/>
    <m/>
    <m/>
  </r>
  <r>
    <n v="18"/>
    <x v="1"/>
    <x v="0"/>
    <x v="0"/>
    <x v="0"/>
    <x v="0"/>
    <x v="15"/>
    <s v="PWEGPL"/>
    <s v="MSEDCL"/>
    <n v="2.5000000000000001E-2"/>
    <s v="CE100001"/>
    <x v="17"/>
    <m/>
    <d v="1899-12-30T13:39:00"/>
    <d v="1899-12-30T13:39:00"/>
    <d v="1899-12-30T14:40:00"/>
    <n v="0"/>
    <n v="1.0166666666666657"/>
    <n v="1.0166666666666657"/>
    <s v="TPI Inspection"/>
    <s v="Close"/>
    <n v="2.5416666666666643E-2"/>
    <m/>
    <n v="0"/>
    <m/>
    <m/>
    <m/>
    <n v="0"/>
    <m/>
    <m/>
    <m/>
    <m/>
  </r>
  <r>
    <n v="19"/>
    <x v="1"/>
    <x v="0"/>
    <x v="0"/>
    <x v="0"/>
    <x v="0"/>
    <x v="16"/>
    <s v="PWEGPL"/>
    <s v="MSEDCL"/>
    <n v="2.5000000000000001E-2"/>
    <s v="CE100001"/>
    <x v="18"/>
    <m/>
    <d v="1899-12-30T12:39:00"/>
    <d v="1899-12-30T12:39:00"/>
    <d v="1899-12-30T13:30:00"/>
    <n v="0"/>
    <n v="0.84999999999999964"/>
    <n v="0.84999999999999964"/>
    <s v="TPI Inspection"/>
    <s v="Close"/>
    <n v="2.1249999999999991E-2"/>
    <m/>
    <n v="0"/>
    <m/>
    <m/>
    <m/>
    <n v="0"/>
    <m/>
    <m/>
    <m/>
    <m/>
  </r>
  <r>
    <n v="20"/>
    <x v="1"/>
    <x v="0"/>
    <x v="0"/>
    <x v="0"/>
    <x v="0"/>
    <x v="5"/>
    <s v="PWEGPL"/>
    <s v="MSEDCL"/>
    <n v="2.5000000000000001E-2"/>
    <s v="CE100001"/>
    <x v="14"/>
    <m/>
    <d v="1899-12-30T16:50:00"/>
    <d v="1899-12-30T16:50:00"/>
    <d v="1899-12-30T17:15:00"/>
    <n v="0"/>
    <n v="0.41666666666666785"/>
    <n v="0.41666666666666785"/>
    <s v="OFC Splicing"/>
    <s v="Close"/>
    <n v="1.0416666666666697E-2"/>
    <m/>
    <n v="0"/>
    <m/>
    <m/>
    <m/>
    <n v="0"/>
    <m/>
    <m/>
    <m/>
    <m/>
  </r>
  <r>
    <n v="21"/>
    <x v="1"/>
    <x v="0"/>
    <x v="0"/>
    <x v="0"/>
    <x v="0"/>
    <x v="6"/>
    <s v="PWEGPL"/>
    <s v="MSEDCL"/>
    <n v="2.5000000000000001E-2"/>
    <s v="CE100001"/>
    <x v="14"/>
    <m/>
    <d v="1899-12-30T16:50:00"/>
    <d v="1899-12-30T16:50:00"/>
    <d v="1899-12-30T17:15:00"/>
    <n v="0"/>
    <n v="0.41666666666666785"/>
    <n v="0.41666666666666785"/>
    <s v="OFC Splicing"/>
    <s v="Close"/>
    <n v="1.0416666666666697E-2"/>
    <m/>
    <n v="0"/>
    <m/>
    <m/>
    <m/>
    <n v="0"/>
    <m/>
    <m/>
    <m/>
    <m/>
  </r>
  <r>
    <n v="22"/>
    <x v="1"/>
    <x v="0"/>
    <x v="0"/>
    <x v="0"/>
    <x v="0"/>
    <x v="7"/>
    <s v="PWEGPL"/>
    <s v="MSEDCL"/>
    <n v="2.5000000000000001E-2"/>
    <s v="CE100001"/>
    <x v="14"/>
    <m/>
    <d v="1899-12-30T16:50:00"/>
    <d v="1899-12-30T16:50:00"/>
    <d v="1899-12-30T17:15:00"/>
    <n v="0"/>
    <n v="0.41666666666666785"/>
    <n v="0.41666666666666785"/>
    <s v="OFC Splicing"/>
    <s v="Close"/>
    <n v="1.0416666666666697E-2"/>
    <m/>
    <n v="0"/>
    <m/>
    <m/>
    <m/>
    <n v="0"/>
    <m/>
    <m/>
    <m/>
    <m/>
  </r>
  <r>
    <n v="23"/>
    <x v="2"/>
    <x v="0"/>
    <x v="0"/>
    <x v="0"/>
    <x v="0"/>
    <x v="17"/>
    <s v="PWEGPL"/>
    <s v="MSEDCL"/>
    <n v="2.5000000000000001E-2"/>
    <n v="208"/>
    <x v="19"/>
    <m/>
    <d v="1899-12-30T12:13:00"/>
    <d v="1899-12-30T12:30:00"/>
    <d v="1899-12-30T15:09:00"/>
    <n v="0.28333333333333499"/>
    <n v="2.6499999999999986"/>
    <n v="2.9333333333333336"/>
    <s v="Hydraulic motor Contactor changed"/>
    <s v="Close"/>
    <n v="7.3333333333333348E-2"/>
    <m/>
    <n v="0"/>
    <m/>
    <m/>
    <m/>
    <n v="0"/>
    <m/>
    <m/>
    <m/>
    <m/>
  </r>
  <r>
    <n v="24"/>
    <x v="2"/>
    <x v="0"/>
    <x v="0"/>
    <x v="0"/>
    <x v="0"/>
    <x v="18"/>
    <s v="PWEGPL"/>
    <s v="MSEDCL"/>
    <n v="2.5000000000000001E-2"/>
    <s v="CE100001"/>
    <x v="20"/>
    <m/>
    <d v="1899-12-30T16:47:00"/>
    <d v="1899-12-30T16:47:00"/>
    <d v="1899-12-30T17:28:00"/>
    <n v="0"/>
    <n v="0.68333333333333091"/>
    <n v="0.68333333333333091"/>
    <s v="Software Updated"/>
    <s v="Close"/>
    <n v="1.7083333333333273E-2"/>
    <m/>
    <n v="0"/>
    <m/>
    <m/>
    <m/>
    <n v="0"/>
    <m/>
    <m/>
    <m/>
    <m/>
  </r>
  <r>
    <n v="25"/>
    <x v="2"/>
    <x v="0"/>
    <x v="0"/>
    <x v="0"/>
    <x v="0"/>
    <x v="19"/>
    <s v="PWEGPL"/>
    <s v="MSEDCL"/>
    <n v="2.5000000000000001E-2"/>
    <s v="CE100001"/>
    <x v="21"/>
    <m/>
    <d v="1899-12-30T17:36:00"/>
    <d v="1899-12-30T17:36:00"/>
    <d v="1899-12-30T17:54:00"/>
    <n v="0"/>
    <n v="0.29999999999999627"/>
    <n v="0.29999999999999627"/>
    <s v="Software Updated"/>
    <s v="Close"/>
    <n v="7.4999999999999069E-3"/>
    <m/>
    <n v="0"/>
    <m/>
    <m/>
    <m/>
    <n v="0"/>
    <m/>
    <m/>
    <m/>
    <m/>
  </r>
  <r>
    <n v="26"/>
    <x v="2"/>
    <x v="0"/>
    <x v="0"/>
    <x v="0"/>
    <x v="0"/>
    <x v="9"/>
    <s v="PWEGPL"/>
    <s v="MSEDCL"/>
    <n v="2.5000000000000001E-2"/>
    <n v="5204"/>
    <x v="22"/>
    <m/>
    <d v="1899-12-30T05:17:00"/>
    <d v="1899-12-30T05:45:00"/>
    <d v="1899-12-30T07:57:00"/>
    <n v="0.46666666666666701"/>
    <n v="2.1999999999999993"/>
    <n v="2.6666666666666665"/>
    <s v="Relay with Base changed"/>
    <s v="Close"/>
    <n v="6.6666666666666666E-2"/>
    <m/>
    <n v="0"/>
    <m/>
    <m/>
    <m/>
    <n v="0"/>
    <m/>
    <m/>
    <m/>
    <m/>
  </r>
  <r>
    <n v="27"/>
    <x v="2"/>
    <x v="0"/>
    <x v="0"/>
    <x v="0"/>
    <x v="0"/>
    <x v="12"/>
    <s v="PWEGPL"/>
    <s v="MSEDCL"/>
    <n v="2.5000000000000001E-2"/>
    <n v="205"/>
    <x v="23"/>
    <m/>
    <d v="1899-12-30T10:10:00"/>
    <d v="1899-12-30T10:40:00"/>
    <d v="1899-12-30T11:51:00"/>
    <n v="0.49999999999999956"/>
    <n v="1.1833333333333331"/>
    <n v="1.6833333333333327"/>
    <s v="Oil Topup"/>
    <s v="Close"/>
    <n v="4.208333333333332E-2"/>
    <m/>
    <n v="0"/>
    <m/>
    <m/>
    <m/>
    <n v="0"/>
    <m/>
    <m/>
    <m/>
    <m/>
  </r>
  <r>
    <n v="28"/>
    <x v="2"/>
    <x v="0"/>
    <x v="0"/>
    <x v="0"/>
    <x v="0"/>
    <x v="5"/>
    <s v="PWEGPL"/>
    <s v="MSEDCL"/>
    <n v="2.5000000000000001E-2"/>
    <n v="5201"/>
    <x v="24"/>
    <m/>
    <d v="1899-12-30T09:59:00"/>
    <d v="1899-12-30T10:30:00"/>
    <d v="1899-12-30T12:29:00"/>
    <n v="0.5166666666666675"/>
    <n v="1.9833333333333316"/>
    <n v="2.4999999999999991"/>
    <s v="Converter changed"/>
    <s v="Close"/>
    <n v="6.2499999999999979E-2"/>
    <m/>
    <n v="0"/>
    <m/>
    <m/>
    <m/>
    <n v="0"/>
    <m/>
    <m/>
    <m/>
    <m/>
  </r>
  <r>
    <n v="29"/>
    <x v="2"/>
    <x v="0"/>
    <x v="0"/>
    <x v="0"/>
    <x v="0"/>
    <x v="9"/>
    <s v="PWEGPL"/>
    <s v="MSEDCL"/>
    <n v="2.5000000000000001E-2"/>
    <n v="5204"/>
    <x v="25"/>
    <m/>
    <d v="1899-12-30T08:49:00"/>
    <d v="1899-12-30T09:50:00"/>
    <d v="1899-12-30T11:44:00"/>
    <n v="1.0166666666666684"/>
    <n v="1.8999999999999986"/>
    <n v="2.916666666666667"/>
    <s v="Relay with Base changed"/>
    <s v="Close"/>
    <n v="7.2916666666666671E-2"/>
    <m/>
    <n v="0"/>
    <m/>
    <m/>
    <m/>
    <n v="0"/>
    <m/>
    <m/>
    <m/>
    <m/>
  </r>
  <r>
    <n v="30"/>
    <x v="3"/>
    <x v="0"/>
    <x v="0"/>
    <x v="0"/>
    <x v="0"/>
    <x v="20"/>
    <s v="PWEGPL"/>
    <s v="MSEDCL"/>
    <n v="2.5000000000000001E-2"/>
    <s v="CE100001"/>
    <x v="26"/>
    <m/>
    <d v="1899-12-30T10:48:00"/>
    <d v="1899-12-30T10:48:00"/>
    <d v="1899-12-30T11:39:00"/>
    <n v="0"/>
    <n v="0.84999999999999964"/>
    <n v="0.84999999999999964"/>
    <s v="TPI Inspection"/>
    <s v="Close"/>
    <n v="2.1249999999999991E-2"/>
    <m/>
    <n v="0"/>
    <m/>
    <m/>
    <m/>
    <n v="0"/>
    <m/>
    <m/>
    <m/>
    <m/>
  </r>
  <r>
    <n v="31"/>
    <x v="3"/>
    <x v="0"/>
    <x v="0"/>
    <x v="0"/>
    <x v="0"/>
    <x v="21"/>
    <s v="PWEGPL"/>
    <s v="MSEDCL"/>
    <n v="2.5000000000000001E-2"/>
    <s v="CE100001"/>
    <x v="27"/>
    <m/>
    <d v="1899-12-30T10:30:00"/>
    <d v="1899-12-30T10:30:00"/>
    <d v="1899-12-30T11:06:00"/>
    <n v="0"/>
    <n v="0.5999999999999992"/>
    <n v="0.5999999999999992"/>
    <s v="TPI Inspection"/>
    <s v="Close"/>
    <n v="1.499999999999998E-2"/>
    <m/>
    <n v="0"/>
    <m/>
    <m/>
    <m/>
    <n v="0"/>
    <m/>
    <m/>
    <m/>
    <m/>
  </r>
  <r>
    <n v="32"/>
    <x v="3"/>
    <x v="0"/>
    <x v="0"/>
    <x v="0"/>
    <x v="0"/>
    <x v="22"/>
    <s v="PWEGPL"/>
    <s v="MSEDCL"/>
    <n v="2.5000000000000001E-2"/>
    <s v="CE100001"/>
    <x v="28"/>
    <m/>
    <d v="1899-12-30T11:57:00"/>
    <d v="1899-12-30T11:57:00"/>
    <d v="1899-12-30T12:36:00"/>
    <n v="0"/>
    <n v="0.65000000000000169"/>
    <n v="0.65000000000000169"/>
    <s v="TPI Inspection"/>
    <s v="Close"/>
    <n v="1.6250000000000042E-2"/>
    <m/>
    <n v="0"/>
    <m/>
    <m/>
    <m/>
    <n v="0"/>
    <m/>
    <m/>
    <m/>
    <m/>
  </r>
  <r>
    <n v="33"/>
    <x v="3"/>
    <x v="0"/>
    <x v="0"/>
    <x v="0"/>
    <x v="0"/>
    <x v="23"/>
    <s v="PWEGPL"/>
    <s v="MSEDCL"/>
    <n v="2.5000000000000001E-2"/>
    <s v="CE100001"/>
    <x v="29"/>
    <m/>
    <d v="1899-12-30T11:36:00"/>
    <d v="1899-12-30T11:36:00"/>
    <d v="1899-12-30T12:14:00"/>
    <n v="0"/>
    <n v="0.63333333333333242"/>
    <n v="0.63333333333333242"/>
    <s v="TPI Inspection"/>
    <s v="Close"/>
    <n v="1.583333333333331E-2"/>
    <m/>
    <n v="0"/>
    <m/>
    <m/>
    <m/>
    <n v="0"/>
    <m/>
    <m/>
    <m/>
    <m/>
  </r>
  <r>
    <n v="34"/>
    <x v="3"/>
    <x v="0"/>
    <x v="0"/>
    <x v="0"/>
    <x v="0"/>
    <x v="24"/>
    <s v="PWEGPL"/>
    <s v="MSEDCL"/>
    <n v="2.5000000000000001E-2"/>
    <n v="5216"/>
    <x v="30"/>
    <m/>
    <d v="1899-12-30T02:03:00"/>
    <d v="1899-12-30T02:03:00"/>
    <d v="1899-12-30T02:07:00"/>
    <n v="0"/>
    <n v="6.6666666666667096E-2"/>
    <n v="6.6666666666667096E-2"/>
    <s v="External Grid Failure"/>
    <s v="Close"/>
    <n v="1.6666666666666774E-3"/>
    <m/>
    <n v="0"/>
    <m/>
    <m/>
    <m/>
    <n v="0"/>
    <m/>
    <m/>
    <m/>
    <m/>
  </r>
  <r>
    <n v="35"/>
    <x v="3"/>
    <x v="0"/>
    <x v="0"/>
    <x v="0"/>
    <x v="0"/>
    <x v="25"/>
    <s v="PWEGPL"/>
    <s v="MSEDCL"/>
    <n v="2.5000000000000001E-2"/>
    <s v="CE100001"/>
    <x v="31"/>
    <m/>
    <d v="1899-12-30T12:26:00"/>
    <d v="1899-12-30T12:26:00"/>
    <d v="1899-12-30T13:01:00"/>
    <n v="0"/>
    <n v="0.58333333333333393"/>
    <n v="0.58333333333333393"/>
    <s v="TPI Inspection"/>
    <s v="Close"/>
    <n v="1.4583333333333349E-2"/>
    <m/>
    <n v="0"/>
    <m/>
    <m/>
    <m/>
    <n v="0"/>
    <m/>
    <m/>
    <m/>
    <m/>
  </r>
  <r>
    <n v="36"/>
    <x v="3"/>
    <x v="0"/>
    <x v="0"/>
    <x v="0"/>
    <x v="0"/>
    <x v="26"/>
    <s v="PWEGPL"/>
    <s v="MSEDCL"/>
    <n v="2.5000000000000001E-2"/>
    <s v="CE100001"/>
    <x v="32"/>
    <m/>
    <d v="1899-12-30T10:32:00"/>
    <d v="1899-12-30T10:32:00"/>
    <d v="1899-12-30T11:34:00"/>
    <n v="0"/>
    <n v="1.0333333333333337"/>
    <n v="1.0333333333333337"/>
    <s v="TPI Inspection"/>
    <s v="Close"/>
    <n v="2.5833333333333344E-2"/>
    <m/>
    <n v="0"/>
    <m/>
    <m/>
    <m/>
    <n v="0"/>
    <m/>
    <m/>
    <m/>
    <m/>
  </r>
  <r>
    <n v="37"/>
    <x v="3"/>
    <x v="0"/>
    <x v="0"/>
    <x v="0"/>
    <x v="0"/>
    <x v="17"/>
    <s v="PWEGPL"/>
    <s v="MSEDCL"/>
    <n v="2.5000000000000001E-2"/>
    <s v="CE100001"/>
    <x v="33"/>
    <m/>
    <d v="1899-12-30T12:47:00"/>
    <d v="1899-12-30T12:47:00"/>
    <d v="1899-12-30T13:23:00"/>
    <n v="0"/>
    <n v="0.60000000000000053"/>
    <n v="0.60000000000000053"/>
    <s v="TPI Inspection"/>
    <s v="Close"/>
    <n v="1.5000000000000013E-2"/>
    <m/>
    <n v="0"/>
    <m/>
    <m/>
    <m/>
    <n v="0"/>
    <m/>
    <m/>
    <m/>
    <m/>
  </r>
  <r>
    <n v="38"/>
    <x v="3"/>
    <x v="0"/>
    <x v="0"/>
    <x v="0"/>
    <x v="0"/>
    <x v="27"/>
    <s v="PWEGPL"/>
    <s v="MSEDCL"/>
    <n v="2.5000000000000001E-2"/>
    <s v="CE100001"/>
    <x v="34"/>
    <m/>
    <d v="1899-12-30T14:25:00"/>
    <d v="1899-12-30T14:25:00"/>
    <d v="1899-12-30T14:58:00"/>
    <n v="0"/>
    <n v="0.55000000000000071"/>
    <n v="0.55000000000000071"/>
    <s v="TPI Inspection"/>
    <s v="Close"/>
    <n v="1.3750000000000019E-2"/>
    <m/>
    <n v="0"/>
    <m/>
    <m/>
    <m/>
    <n v="0"/>
    <m/>
    <m/>
    <m/>
    <m/>
  </r>
  <r>
    <n v="39"/>
    <x v="3"/>
    <x v="0"/>
    <x v="0"/>
    <x v="0"/>
    <x v="0"/>
    <x v="28"/>
    <s v="PWEGPL"/>
    <s v="MSEDCL"/>
    <n v="2.5000000000000001E-2"/>
    <s v="CE100001"/>
    <x v="35"/>
    <m/>
    <d v="1899-12-30T14:49:00"/>
    <d v="1899-12-30T14:49:00"/>
    <d v="1899-12-30T15:21:00"/>
    <n v="0"/>
    <n v="0.53333333333333144"/>
    <n v="0.53333333333333144"/>
    <s v="TPI Inspection"/>
    <s v="Close"/>
    <n v="1.3333333333333287E-2"/>
    <m/>
    <n v="0"/>
    <m/>
    <m/>
    <m/>
    <n v="0"/>
    <m/>
    <m/>
    <m/>
    <m/>
  </r>
  <r>
    <n v="40"/>
    <x v="3"/>
    <x v="0"/>
    <x v="0"/>
    <x v="0"/>
    <x v="0"/>
    <x v="29"/>
    <s v="PWEGPL"/>
    <s v="MSEDCL"/>
    <n v="2.5000000000000001E-2"/>
    <s v="CE100001"/>
    <x v="36"/>
    <m/>
    <d v="1899-12-30T14:28:00"/>
    <d v="1899-12-30T14:28:00"/>
    <d v="1899-12-30T15:00:00"/>
    <n v="0"/>
    <n v="0.5333333333333341"/>
    <n v="0.5333333333333341"/>
    <s v="TPI Inspection"/>
    <s v="Close"/>
    <n v="1.3333333333333353E-2"/>
    <m/>
    <n v="0"/>
    <m/>
    <m/>
    <m/>
    <n v="0"/>
    <m/>
    <m/>
    <m/>
    <m/>
  </r>
  <r>
    <n v="41"/>
    <x v="3"/>
    <x v="0"/>
    <x v="0"/>
    <x v="0"/>
    <x v="0"/>
    <x v="30"/>
    <s v="PWEGPL"/>
    <s v="MSEDCL"/>
    <n v="2.5000000000000001E-2"/>
    <s v="CE100001"/>
    <x v="37"/>
    <m/>
    <d v="1899-12-30T15:05:00"/>
    <d v="1899-12-30T15:05:00"/>
    <d v="1899-12-30T15:51:00"/>
    <n v="0"/>
    <n v="0.76666666666666661"/>
    <n v="0.76666666666666661"/>
    <s v="TPI Inspection"/>
    <s v="Close"/>
    <n v="1.9166666666666665E-2"/>
    <m/>
    <n v="0"/>
    <m/>
    <m/>
    <m/>
    <n v="0"/>
    <m/>
    <m/>
    <m/>
    <m/>
  </r>
  <r>
    <n v="42"/>
    <x v="3"/>
    <x v="0"/>
    <x v="0"/>
    <x v="0"/>
    <x v="0"/>
    <x v="31"/>
    <s v="PWEGPL"/>
    <s v="MSEDCL"/>
    <n v="2.5000000000000001E-2"/>
    <s v="CE100001"/>
    <x v="38"/>
    <m/>
    <d v="1899-12-30T15:41:00"/>
    <d v="1899-12-30T15:41:00"/>
    <d v="1899-12-30T16:17:00"/>
    <n v="0"/>
    <n v="0.60000000000000053"/>
    <n v="0.60000000000000053"/>
    <s v="TPI Inspection"/>
    <s v="Close"/>
    <n v="1.5000000000000013E-2"/>
    <m/>
    <n v="0"/>
    <m/>
    <m/>
    <m/>
    <n v="0"/>
    <m/>
    <m/>
    <m/>
    <m/>
  </r>
  <r>
    <n v="43"/>
    <x v="3"/>
    <x v="0"/>
    <x v="0"/>
    <x v="0"/>
    <x v="0"/>
    <x v="32"/>
    <s v="PWEGPL"/>
    <s v="MSEDCL"/>
    <n v="2.5000000000000001E-2"/>
    <s v="CE100001"/>
    <x v="39"/>
    <m/>
    <d v="1899-12-30T15:56:00"/>
    <d v="1899-12-30T15:56:00"/>
    <d v="1899-12-30T16:40:00"/>
    <n v="0"/>
    <n v="0.73333333333333606"/>
    <n v="0.73333333333333606"/>
    <s v="TPI Inspection"/>
    <s v="Close"/>
    <n v="1.8333333333333403E-2"/>
    <m/>
    <n v="0"/>
    <m/>
    <m/>
    <m/>
    <n v="0"/>
    <m/>
    <m/>
    <m/>
    <m/>
  </r>
  <r>
    <n v="44"/>
    <x v="3"/>
    <x v="0"/>
    <x v="0"/>
    <x v="0"/>
    <x v="0"/>
    <x v="33"/>
    <s v="PWEGPL"/>
    <s v="MSEDCL"/>
    <n v="2.5000000000000001E-2"/>
    <n v="5216"/>
    <x v="40"/>
    <m/>
    <d v="1899-12-30T02:03:00"/>
    <d v="1899-12-30T02:03:00"/>
    <d v="1899-12-30T02:07:00"/>
    <n v="0"/>
    <n v="6.6666666666667096E-2"/>
    <n v="6.6666666666667096E-2"/>
    <s v="External Grid Failure"/>
    <s v="Close"/>
    <n v="1.6666666666666774E-3"/>
    <m/>
    <n v="0"/>
    <m/>
    <m/>
    <m/>
    <n v="0"/>
    <m/>
    <m/>
    <m/>
    <m/>
  </r>
  <r>
    <n v="45"/>
    <x v="3"/>
    <x v="0"/>
    <x v="0"/>
    <x v="0"/>
    <x v="0"/>
    <x v="34"/>
    <s v="PWEGPL"/>
    <s v="MSEDCL"/>
    <n v="2.5000000000000001E-2"/>
    <n v="5216"/>
    <x v="30"/>
    <m/>
    <d v="1899-12-30T02:03:00"/>
    <d v="1899-12-30T02:03:00"/>
    <d v="1899-12-30T02:07:00"/>
    <n v="0"/>
    <n v="6.6666666666667096E-2"/>
    <n v="6.6666666666667096E-2"/>
    <s v="External Grid Failure"/>
    <s v="Close"/>
    <n v="1.6666666666666774E-3"/>
    <m/>
    <n v="0"/>
    <m/>
    <m/>
    <m/>
    <n v="0"/>
    <m/>
    <m/>
    <m/>
    <m/>
  </r>
  <r>
    <n v="46"/>
    <x v="3"/>
    <x v="0"/>
    <x v="0"/>
    <x v="0"/>
    <x v="0"/>
    <x v="1"/>
    <s v="PWEGPL"/>
    <s v="MSEDCL"/>
    <n v="2.5000000000000001E-2"/>
    <n v="5216"/>
    <x v="30"/>
    <m/>
    <d v="1899-12-30T02:03:00"/>
    <d v="1899-12-30T02:03:00"/>
    <d v="1899-12-30T02:07:00"/>
    <n v="0"/>
    <n v="6.6666666666667096E-2"/>
    <n v="6.6666666666667096E-2"/>
    <s v="External Grid Failure"/>
    <s v="Close"/>
    <n v="1.6666666666666774E-3"/>
    <m/>
    <n v="0"/>
    <m/>
    <m/>
    <m/>
    <n v="0"/>
    <m/>
    <m/>
    <m/>
    <m/>
  </r>
  <r>
    <n v="47"/>
    <x v="3"/>
    <x v="0"/>
    <x v="0"/>
    <x v="0"/>
    <x v="0"/>
    <x v="35"/>
    <s v="PWEGPL"/>
    <s v="MSEDCL"/>
    <n v="2.5000000000000001E-2"/>
    <n v="5216"/>
    <x v="40"/>
    <m/>
    <d v="1899-12-30T02:03:00"/>
    <d v="1899-12-30T02:03:00"/>
    <d v="1899-12-30T02:07:00"/>
    <n v="0"/>
    <n v="6.6666666666667096E-2"/>
    <n v="6.6666666666667096E-2"/>
    <s v="External Grid Failure"/>
    <s v="Close"/>
    <n v="1.6666666666666774E-3"/>
    <m/>
    <n v="0"/>
    <m/>
    <m/>
    <m/>
    <n v="0"/>
    <m/>
    <m/>
    <m/>
    <m/>
  </r>
  <r>
    <n v="48"/>
    <x v="3"/>
    <x v="0"/>
    <x v="0"/>
    <x v="0"/>
    <x v="0"/>
    <x v="36"/>
    <s v="PWEGPL"/>
    <s v="MSEDCL"/>
    <n v="2.5000000000000001E-2"/>
    <n v="5216"/>
    <x v="30"/>
    <m/>
    <d v="1899-12-30T02:03:00"/>
    <d v="1899-12-30T02:03:00"/>
    <d v="1899-12-30T02:07:00"/>
    <n v="0"/>
    <n v="6.6666666666667096E-2"/>
    <n v="6.6666666666667096E-2"/>
    <s v="External Grid Failure"/>
    <s v="Close"/>
    <n v="1.6666666666666774E-3"/>
    <m/>
    <n v="0"/>
    <m/>
    <m/>
    <m/>
    <n v="0"/>
    <m/>
    <m/>
    <m/>
    <m/>
  </r>
  <r>
    <n v="49"/>
    <x v="3"/>
    <x v="0"/>
    <x v="0"/>
    <x v="0"/>
    <x v="0"/>
    <x v="8"/>
    <s v="PWEGPL"/>
    <s v="MSEDCL"/>
    <n v="2.5000000000000001E-2"/>
    <n v="5216"/>
    <x v="30"/>
    <m/>
    <d v="1899-12-30T02:03:00"/>
    <d v="1899-12-30T02:03:00"/>
    <d v="1899-12-30T02:07:00"/>
    <n v="0"/>
    <n v="6.6666666666667096E-2"/>
    <n v="6.6666666666667096E-2"/>
    <s v="External Grid Failure"/>
    <s v="Close"/>
    <n v="1.6666666666666774E-3"/>
    <m/>
    <n v="0"/>
    <m/>
    <m/>
    <m/>
    <n v="0"/>
    <m/>
    <m/>
    <m/>
    <m/>
  </r>
  <r>
    <n v="50"/>
    <x v="3"/>
    <x v="0"/>
    <x v="0"/>
    <x v="0"/>
    <x v="0"/>
    <x v="9"/>
    <s v="PWEGPL"/>
    <s v="MSEDCL"/>
    <n v="2.5000000000000001E-2"/>
    <n v="5216"/>
    <x v="30"/>
    <m/>
    <d v="1899-12-30T02:03:00"/>
    <d v="1899-12-30T02:03:00"/>
    <d v="1899-12-30T02:07:00"/>
    <n v="0"/>
    <n v="6.6666666666667096E-2"/>
    <n v="6.6666666666667096E-2"/>
    <s v="External Grid Failure"/>
    <s v="Close"/>
    <n v="1.6666666666666774E-3"/>
    <m/>
    <n v="0"/>
    <m/>
    <m/>
    <m/>
    <n v="0"/>
    <m/>
    <m/>
    <m/>
    <m/>
  </r>
  <r>
    <n v="51"/>
    <x v="3"/>
    <x v="0"/>
    <x v="0"/>
    <x v="0"/>
    <x v="0"/>
    <x v="10"/>
    <s v="PWEGPL"/>
    <s v="MSEDCL"/>
    <n v="2.5000000000000001E-2"/>
    <n v="5216"/>
    <x v="30"/>
    <m/>
    <d v="1899-12-30T02:03:00"/>
    <d v="1899-12-30T02:03:00"/>
    <d v="1899-12-30T02:07:00"/>
    <n v="0"/>
    <n v="6.6666666666667096E-2"/>
    <n v="6.6666666666667096E-2"/>
    <s v="External Grid Failure"/>
    <s v="Close"/>
    <n v="1.6666666666666774E-3"/>
    <m/>
    <n v="0"/>
    <m/>
    <m/>
    <m/>
    <n v="0"/>
    <m/>
    <m/>
    <m/>
    <m/>
  </r>
  <r>
    <n v="52"/>
    <x v="3"/>
    <x v="0"/>
    <x v="0"/>
    <x v="0"/>
    <x v="0"/>
    <x v="11"/>
    <s v="PWEGPL"/>
    <s v="MSEDCL"/>
    <n v="2.5000000000000001E-2"/>
    <n v="5216"/>
    <x v="41"/>
    <m/>
    <d v="1899-12-30T02:03:00"/>
    <d v="1899-12-30T02:03:00"/>
    <d v="1899-12-30T02:07:00"/>
    <n v="0"/>
    <n v="6.6666666666667096E-2"/>
    <n v="6.6666666666667096E-2"/>
    <s v="External Grid Failure"/>
    <s v="Close"/>
    <n v="1.6666666666666774E-3"/>
    <m/>
    <n v="0"/>
    <m/>
    <m/>
    <m/>
    <n v="0"/>
    <m/>
    <m/>
    <m/>
    <m/>
  </r>
  <r>
    <n v="53"/>
    <x v="3"/>
    <x v="0"/>
    <x v="0"/>
    <x v="0"/>
    <x v="0"/>
    <x v="12"/>
    <s v="PWEGPL"/>
    <s v="MSEDCL"/>
    <n v="2.5000000000000001E-2"/>
    <n v="5216"/>
    <x v="30"/>
    <m/>
    <d v="1899-12-30T02:03:00"/>
    <d v="1899-12-30T02:03:00"/>
    <d v="1899-12-30T02:07:00"/>
    <n v="0"/>
    <n v="6.6666666666667096E-2"/>
    <n v="6.6666666666667096E-2"/>
    <s v="External Grid Failure"/>
    <s v="Close"/>
    <n v="1.6666666666666774E-3"/>
    <m/>
    <n v="0"/>
    <m/>
    <m/>
    <m/>
    <n v="0"/>
    <m/>
    <m/>
    <m/>
    <m/>
  </r>
  <r>
    <n v="54"/>
    <x v="3"/>
    <x v="0"/>
    <x v="0"/>
    <x v="0"/>
    <x v="0"/>
    <x v="35"/>
    <s v="PWEGPL"/>
    <s v="MSEDCL"/>
    <n v="2.5000000000000001E-2"/>
    <n v="907"/>
    <x v="42"/>
    <m/>
    <d v="1899-12-30T02:11:00"/>
    <d v="1899-12-30T02:30:00"/>
    <d v="1899-12-30T03:08:00"/>
    <n v="0.31666666666666687"/>
    <n v="0.63333333333333341"/>
    <n v="0.95000000000000029"/>
    <s v="Hydraulic Pressure Deveeloped &amp; Reseted"/>
    <s v="Close"/>
    <n v="2.3750000000000007E-2"/>
    <m/>
    <n v="0"/>
    <m/>
    <m/>
    <m/>
    <n v="0"/>
    <m/>
    <m/>
    <m/>
    <m/>
  </r>
  <r>
    <n v="55"/>
    <x v="3"/>
    <x v="0"/>
    <x v="0"/>
    <x v="0"/>
    <x v="0"/>
    <x v="11"/>
    <s v="PWEGPL"/>
    <s v="MSEDCL"/>
    <n v="2.5000000000000001E-2"/>
    <n v="5201"/>
    <x v="43"/>
    <m/>
    <d v="1899-12-30T12:33:00"/>
    <d v="1899-12-30T13:30:00"/>
    <d v="1899-12-30T15:09:00"/>
    <n v="0.94999999999999929"/>
    <n v="1.6499999999999995"/>
    <n v="2.5999999999999988"/>
    <s v="Relay with Base changed"/>
    <s v="Close"/>
    <n v="6.4999999999999974E-2"/>
    <m/>
    <n v="0"/>
    <m/>
    <m/>
    <m/>
    <n v="0"/>
    <m/>
    <m/>
    <m/>
    <m/>
  </r>
  <r>
    <n v="56"/>
    <x v="4"/>
    <x v="0"/>
    <x v="0"/>
    <x v="0"/>
    <x v="0"/>
    <x v="24"/>
    <s v="PWEGPL"/>
    <s v="MSEDCL"/>
    <n v="2.5000000000000001E-2"/>
    <s v="CE100001"/>
    <x v="44"/>
    <m/>
    <d v="1899-12-30T12:18:00"/>
    <d v="1899-12-30T12:18:00"/>
    <d v="1899-12-30T13:01:00"/>
    <n v="0"/>
    <n v="0.71666666666666679"/>
    <n v="0.71666666666666679"/>
    <s v="TPI Inspection"/>
    <s v="Close"/>
    <n v="1.7916666666666671E-2"/>
    <m/>
    <n v="0"/>
    <m/>
    <m/>
    <m/>
    <n v="0"/>
    <m/>
    <m/>
    <m/>
    <m/>
  </r>
  <r>
    <n v="57"/>
    <x v="4"/>
    <x v="0"/>
    <x v="0"/>
    <x v="0"/>
    <x v="0"/>
    <x v="37"/>
    <s v="PWEGPL"/>
    <s v="MSEDCL"/>
    <n v="2.5000000000000001E-2"/>
    <n v="552"/>
    <x v="45"/>
    <m/>
    <d v="1899-12-30T18:30:00"/>
    <d v="1899-12-30T18:45:00"/>
    <d v="1899-12-30T19:04:00"/>
    <n v="0.24999999999999911"/>
    <n v="0.31666666666666554"/>
    <n v="0.56666666666666465"/>
    <s v="Reboot SW"/>
    <s v="Close"/>
    <n v="1.4166666666666617E-2"/>
    <m/>
    <n v="0"/>
    <m/>
    <m/>
    <m/>
    <n v="0"/>
    <m/>
    <m/>
    <m/>
    <m/>
  </r>
  <r>
    <n v="58"/>
    <x v="4"/>
    <x v="0"/>
    <x v="0"/>
    <x v="0"/>
    <x v="0"/>
    <x v="33"/>
    <s v="PWEGPL"/>
    <s v="MSEDCL"/>
    <n v="2.5000000000000001E-2"/>
    <s v="CE100001"/>
    <x v="46"/>
    <m/>
    <d v="1899-12-30T12:02:00"/>
    <d v="1899-12-30T12:02:00"/>
    <d v="1899-12-30T12:31:00"/>
    <n v="0"/>
    <n v="0.48333333333333428"/>
    <n v="0.48333333333333428"/>
    <s v="TPI Inspection"/>
    <s v="Close"/>
    <n v="1.2083333333333357E-2"/>
    <m/>
    <n v="0"/>
    <m/>
    <m/>
    <m/>
    <n v="0"/>
    <m/>
    <m/>
    <m/>
    <m/>
  </r>
  <r>
    <n v="59"/>
    <x v="4"/>
    <x v="0"/>
    <x v="0"/>
    <x v="0"/>
    <x v="0"/>
    <x v="34"/>
    <s v="PWEGPL"/>
    <s v="MSEDCL"/>
    <n v="2.5000000000000001E-2"/>
    <s v="CE100001"/>
    <x v="47"/>
    <m/>
    <d v="1899-12-30T11:27:00"/>
    <d v="1899-12-30T11:27:00"/>
    <d v="1899-12-30T12:17:00"/>
    <n v="0"/>
    <n v="0.83333333333333304"/>
    <n v="0.83333333333333304"/>
    <s v="TPI Inspection"/>
    <s v="Close"/>
    <n v="2.0833333333333329E-2"/>
    <m/>
    <n v="0"/>
    <m/>
    <m/>
    <m/>
    <n v="0"/>
    <m/>
    <m/>
    <m/>
    <m/>
  </r>
  <r>
    <n v="60"/>
    <x v="4"/>
    <x v="0"/>
    <x v="0"/>
    <x v="0"/>
    <x v="0"/>
    <x v="1"/>
    <s v="PWEGPL"/>
    <s v="MSEDCL"/>
    <n v="2.5000000000000001E-2"/>
    <s v="CE100001"/>
    <x v="48"/>
    <m/>
    <d v="1899-12-30T10:58:00"/>
    <d v="1899-12-30T10:58:00"/>
    <d v="1899-12-30T11:44:00"/>
    <n v="0"/>
    <n v="0.76666666666666661"/>
    <n v="0.76666666666666661"/>
    <s v="TPI Inspection"/>
    <s v="Close"/>
    <n v="1.9166666666666665E-2"/>
    <m/>
    <n v="0"/>
    <m/>
    <m/>
    <m/>
    <n v="0"/>
    <m/>
    <m/>
    <m/>
    <m/>
  </r>
  <r>
    <n v="61"/>
    <x v="4"/>
    <x v="0"/>
    <x v="0"/>
    <x v="0"/>
    <x v="0"/>
    <x v="35"/>
    <s v="PWEGPL"/>
    <s v="MSEDCL"/>
    <n v="2.5000000000000001E-2"/>
    <s v="CE100001"/>
    <x v="49"/>
    <m/>
    <d v="1899-12-30T13:14:00"/>
    <d v="1899-12-30T13:14:00"/>
    <d v="1899-12-30T13:59:00"/>
    <n v="0"/>
    <n v="0.75"/>
    <n v="0.75"/>
    <s v="TPI Inspection"/>
    <s v="Close"/>
    <n v="1.8750000000000003E-2"/>
    <m/>
    <n v="0"/>
    <m/>
    <m/>
    <m/>
    <n v="0"/>
    <m/>
    <m/>
    <m/>
    <m/>
  </r>
  <r>
    <n v="62"/>
    <x v="4"/>
    <x v="0"/>
    <x v="0"/>
    <x v="0"/>
    <x v="0"/>
    <x v="36"/>
    <s v="PWEGPL"/>
    <s v="MSEDCL"/>
    <n v="2.5000000000000001E-2"/>
    <s v="CE100001"/>
    <x v="50"/>
    <m/>
    <d v="1899-12-30T14:44:00"/>
    <d v="1899-12-30T14:44:00"/>
    <d v="1899-12-30T15:28:00"/>
    <n v="0"/>
    <n v="0.73333333333333606"/>
    <n v="0.73333333333333606"/>
    <s v="TPI Inspection"/>
    <s v="Close"/>
    <n v="1.8333333333333403E-2"/>
    <m/>
    <n v="0"/>
    <m/>
    <m/>
    <m/>
    <n v="0"/>
    <m/>
    <m/>
    <m/>
    <m/>
  </r>
  <r>
    <n v="63"/>
    <x v="4"/>
    <x v="0"/>
    <x v="0"/>
    <x v="0"/>
    <x v="0"/>
    <x v="8"/>
    <s v="PWEGPL"/>
    <s v="MSEDCL"/>
    <n v="2.5000000000000001E-2"/>
    <s v="CE100001"/>
    <x v="51"/>
    <m/>
    <d v="1899-12-30T15:12:00"/>
    <d v="1899-12-30T15:12:00"/>
    <d v="1899-12-30T16:14:00"/>
    <n v="0"/>
    <n v="1.033333333333335"/>
    <n v="1.033333333333335"/>
    <s v="TPI Inspection"/>
    <s v="Close"/>
    <n v="2.5833333333333375E-2"/>
    <m/>
    <n v="0"/>
    <m/>
    <m/>
    <m/>
    <n v="0"/>
    <m/>
    <m/>
    <m/>
    <m/>
  </r>
  <r>
    <n v="64"/>
    <x v="5"/>
    <x v="0"/>
    <x v="0"/>
    <x v="0"/>
    <x v="0"/>
    <x v="17"/>
    <s v="PWEGPL"/>
    <s v="MSEDCL"/>
    <n v="2.5000000000000001E-2"/>
    <n v="5201"/>
    <x v="52"/>
    <m/>
    <d v="1899-12-30T12:46:00"/>
    <d v="1899-12-30T12:48:00"/>
    <d v="1899-12-30T12:52:00"/>
    <n v="3.3333333333333215E-2"/>
    <n v="6.666666666666643E-2"/>
    <n v="9.9999999999999645E-2"/>
    <s v="Error reset"/>
    <s v="Close"/>
    <n v="2.4999999999999914E-3"/>
    <m/>
    <n v="0"/>
    <m/>
    <m/>
    <m/>
    <n v="0"/>
    <m/>
    <m/>
    <m/>
    <m/>
  </r>
  <r>
    <n v="65"/>
    <x v="6"/>
    <x v="0"/>
    <x v="0"/>
    <x v="0"/>
    <x v="0"/>
    <x v="27"/>
    <s v="PWEGPL"/>
    <s v="MSEDCL"/>
    <n v="2.5000000000000001E-2"/>
    <n v="5200"/>
    <x v="53"/>
    <m/>
    <d v="1899-12-30T19:40:00"/>
    <d v="1899-12-30T22:59:00"/>
    <d v="1899-12-30T23:09:00"/>
    <n v="3.3166666666666655"/>
    <n v="0.16666666666666341"/>
    <n v="3.483333333333329"/>
    <s v="Local reset Delay due to ROW"/>
    <s v="Close"/>
    <n v="8.7083333333333235E-2"/>
    <m/>
    <n v="0"/>
    <m/>
    <m/>
    <m/>
    <n v="0"/>
    <m/>
    <m/>
    <m/>
    <m/>
  </r>
  <r>
    <n v="66"/>
    <x v="6"/>
    <x v="0"/>
    <x v="0"/>
    <x v="0"/>
    <x v="0"/>
    <x v="33"/>
    <s v="PWEGPL"/>
    <s v="MSEDCL"/>
    <n v="2.5000000000000001E-2"/>
    <n v="5203"/>
    <x v="54"/>
    <m/>
    <d v="1899-12-30T00:48:00"/>
    <d v="1899-12-30T01:18:00"/>
    <d v="1899-12-30T02:05:00"/>
    <n v="0.5"/>
    <n v="0.78333333333333355"/>
    <n v="1.2833333333333337"/>
    <s v="Inspection"/>
    <s v="Close"/>
    <n v="3.2083333333333346E-2"/>
    <m/>
    <n v="0"/>
    <m/>
    <m/>
    <m/>
    <n v="0"/>
    <m/>
    <m/>
    <m/>
    <m/>
  </r>
  <r>
    <n v="67"/>
    <x v="6"/>
    <x v="0"/>
    <x v="0"/>
    <x v="0"/>
    <x v="0"/>
    <x v="1"/>
    <s v="PWEGPL"/>
    <s v="MSEDCL"/>
    <n v="2.5000000000000001E-2"/>
    <n v="205"/>
    <x v="55"/>
    <m/>
    <d v="1899-12-30T00:59:00"/>
    <d v="1899-12-30T02:59:00"/>
    <d v="1899-12-30T17:29:00"/>
    <n v="2"/>
    <n v="14.500000000000002"/>
    <n v="16.500000000000004"/>
    <s v="Yaw caliper oil seal replace"/>
    <s v="Close"/>
    <n v="0.41250000000000009"/>
    <m/>
    <n v="0"/>
    <m/>
    <m/>
    <m/>
    <n v="0"/>
    <m/>
    <m/>
    <m/>
    <m/>
  </r>
  <r>
    <n v="68"/>
    <x v="6"/>
    <x v="0"/>
    <x v="0"/>
    <x v="0"/>
    <x v="0"/>
    <x v="3"/>
    <s v="PWEGPL"/>
    <s v="MSEDCL"/>
    <n v="2.5000000000000001E-2"/>
    <n v="5200"/>
    <x v="56"/>
    <m/>
    <d v="1899-12-30T15:34:00"/>
    <d v="1899-12-30T16:55:00"/>
    <d v="1899-12-30T22:23:00"/>
    <n v="1.3500000000000005"/>
    <n v="5.4666666666666659"/>
    <n v="6.8166666666666664"/>
    <s v="Attend and found MPCB trip so stand it."/>
    <s v="Close"/>
    <n v="0.17041666666666666"/>
    <m/>
    <n v="0"/>
    <m/>
    <m/>
    <m/>
    <n v="0"/>
    <m/>
    <m/>
    <m/>
    <m/>
  </r>
  <r>
    <n v="69"/>
    <x v="7"/>
    <x v="0"/>
    <x v="0"/>
    <x v="0"/>
    <x v="0"/>
    <x v="21"/>
    <s v="PWEGPL"/>
    <s v="MSEDCL"/>
    <n v="2.5000000000000001E-2"/>
    <n v="110"/>
    <x v="57"/>
    <m/>
    <d v="1899-12-30T00:27:00"/>
    <d v="1899-12-30T02:44:00"/>
    <d v="1899-12-30T03:22:00"/>
    <n v="2.2833333333333332"/>
    <n v="0.63333333333333341"/>
    <n v="2.9166666666666665"/>
    <s v="Remove cable twist ."/>
    <s v="Close"/>
    <n v="7.2916666666666671E-2"/>
    <m/>
    <n v="0"/>
    <m/>
    <m/>
    <m/>
    <n v="0"/>
    <m/>
    <m/>
    <m/>
    <m/>
  </r>
  <r>
    <n v="70"/>
    <x v="7"/>
    <x v="0"/>
    <x v="0"/>
    <x v="0"/>
    <x v="0"/>
    <x v="17"/>
    <s v="PWEGPL"/>
    <s v="MSEDCL"/>
    <n v="2.5000000000000001E-2"/>
    <n v="800"/>
    <x v="58"/>
    <m/>
    <d v="1899-12-30T12:10:00"/>
    <d v="1899-12-30T12:41:00"/>
    <d v="1899-12-30T13:51:00"/>
    <n v="0.5166666666666675"/>
    <n v="1.1666666666666652"/>
    <n v="1.6833333333333327"/>
    <s v="Troble shooting work WIP"/>
    <s v="Close"/>
    <n v="4.208333333333332E-2"/>
    <m/>
    <n v="0"/>
    <m/>
    <m/>
    <m/>
    <n v="0"/>
    <m/>
    <m/>
    <m/>
    <m/>
  </r>
  <r>
    <n v="71"/>
    <x v="7"/>
    <x v="0"/>
    <x v="0"/>
    <x v="0"/>
    <x v="0"/>
    <x v="38"/>
    <s v="PWEGPL"/>
    <s v="MSEDCL"/>
    <n v="2.5000000000000001E-2"/>
    <n v="205"/>
    <x v="59"/>
    <m/>
    <d v="1899-12-30T05:23:00"/>
    <d v="1899-12-30T07:23:00"/>
    <d v="1899-12-30T07:46:00"/>
    <n v="2"/>
    <n v="0.3833333333333333"/>
    <n v="2.3833333333333337"/>
    <s v="Oil Topup"/>
    <s v="Close"/>
    <n v="5.9583333333333349E-2"/>
    <m/>
    <n v="0"/>
    <m/>
    <m/>
    <m/>
    <n v="0"/>
    <m/>
    <m/>
    <m/>
    <m/>
  </r>
  <r>
    <n v="72"/>
    <x v="7"/>
    <x v="0"/>
    <x v="0"/>
    <x v="0"/>
    <x v="0"/>
    <x v="8"/>
    <s v="PWEGPL"/>
    <s v="MSEDCL"/>
    <n v="2.5000000000000001E-2"/>
    <s v="CE100001"/>
    <x v="60"/>
    <m/>
    <d v="1899-12-30T10:25:00"/>
    <d v="1899-12-30T10:25:00"/>
    <d v="1899-12-30T18:05:00"/>
    <n v="0"/>
    <n v="7.6666666666666679"/>
    <n v="7.6666666666666679"/>
    <s v="pitch cylinder oil seal replace"/>
    <s v="Close"/>
    <n v="0.19166666666666671"/>
    <m/>
    <n v="0"/>
    <m/>
    <m/>
    <m/>
    <n v="0"/>
    <m/>
    <m/>
    <m/>
    <m/>
  </r>
  <r>
    <n v="73"/>
    <x v="7"/>
    <x v="0"/>
    <x v="0"/>
    <x v="0"/>
    <x v="0"/>
    <x v="9"/>
    <s v="PWEGPL"/>
    <s v="MSEDCL"/>
    <n v="2.5000000000000001E-2"/>
    <n v="205"/>
    <x v="61"/>
    <m/>
    <d v="1899-12-30T00:00:00"/>
    <d v="1899-12-30T00:50:00"/>
    <d v="1899-12-30T01:35:00"/>
    <n v="0.83333333333333337"/>
    <n v="0.75"/>
    <n v="1.5833333333333335"/>
    <s v="Oil Topup"/>
    <s v="Close"/>
    <n v="3.9583333333333338E-2"/>
    <m/>
    <n v="0"/>
    <m/>
    <m/>
    <m/>
    <n v="0"/>
    <m/>
    <m/>
    <m/>
    <m/>
  </r>
  <r>
    <n v="74"/>
    <x v="7"/>
    <x v="0"/>
    <x v="0"/>
    <x v="0"/>
    <x v="0"/>
    <x v="10"/>
    <s v="PWEGPL"/>
    <s v="MSEDCL"/>
    <n v="2.5000000000000001E-2"/>
    <n v="110"/>
    <x v="62"/>
    <m/>
    <d v="1899-12-30T03:22:00"/>
    <d v="1899-12-30T05:52:00"/>
    <d v="1899-12-30T06:23:00"/>
    <n v="2.5000000000000004"/>
    <n v="0.51666666666666616"/>
    <n v="3.0166666666666666"/>
    <s v="Remove cable twist ."/>
    <s v="Close"/>
    <n v="7.5416666666666674E-2"/>
    <m/>
    <n v="0"/>
    <m/>
    <m/>
    <m/>
    <n v="0"/>
    <m/>
    <m/>
    <m/>
    <m/>
  </r>
  <r>
    <n v="75"/>
    <x v="7"/>
    <x v="0"/>
    <x v="0"/>
    <x v="0"/>
    <x v="0"/>
    <x v="14"/>
    <s v="PWEGPL"/>
    <s v="MSEDCL"/>
    <n v="2.5000000000000001E-2"/>
    <n v="110"/>
    <x v="63"/>
    <m/>
    <d v="1899-12-30T02:47:00"/>
    <d v="1899-12-30T05:09:00"/>
    <d v="1899-12-30T05:42:00"/>
    <n v="2.3666666666666671"/>
    <n v="0.55000000000000004"/>
    <n v="2.9166666666666674"/>
    <s v="Remove cable twist ."/>
    <s v="Close"/>
    <n v="7.2916666666666685E-2"/>
    <m/>
    <n v="0"/>
    <m/>
    <m/>
    <m/>
    <n v="0"/>
    <m/>
    <m/>
    <m/>
    <m/>
  </r>
  <r>
    <n v="76"/>
    <x v="7"/>
    <x v="0"/>
    <x v="0"/>
    <x v="0"/>
    <x v="0"/>
    <x v="5"/>
    <s v="PWEGPL"/>
    <s v="MSEDCL"/>
    <n v="2.5000000000000001E-2"/>
    <n v="5202"/>
    <x v="64"/>
    <m/>
    <d v="1899-12-30T18:54:00"/>
    <d v="1899-12-30T23:45:00"/>
    <d v="1899-12-30T23:59:00"/>
    <n v="4.8500000000000014"/>
    <n v="0.2333333333333325"/>
    <n v="5.0833333333333339"/>
    <s v="Ingetean panel relay failure so replaced it with new one."/>
    <s v="Close"/>
    <n v="0.12708333333333335"/>
    <m/>
    <n v="0"/>
    <m/>
    <m/>
    <m/>
    <n v="0"/>
    <m/>
    <m/>
    <m/>
    <m/>
  </r>
  <r>
    <n v="77"/>
    <x v="8"/>
    <x v="0"/>
    <x v="0"/>
    <x v="0"/>
    <x v="0"/>
    <x v="17"/>
    <s v="PWEGPL"/>
    <s v="MSEDCL"/>
    <n v="2.5000000000000001E-2"/>
    <n v="800"/>
    <x v="65"/>
    <m/>
    <d v="1899-12-30T12:52:00"/>
    <d v="1899-12-30T13:58:00"/>
    <d v="1899-12-30T16:07:00"/>
    <n v="1.1000000000000014"/>
    <n v="2.1500000000000004"/>
    <n v="3.2500000000000018"/>
    <s v="Troble shooting work WIP"/>
    <s v="Close"/>
    <n v="8.1250000000000044E-2"/>
    <m/>
    <n v="0"/>
    <m/>
    <m/>
    <m/>
    <n v="0"/>
    <m/>
    <m/>
    <m/>
    <m/>
  </r>
  <r>
    <n v="78"/>
    <x v="8"/>
    <x v="0"/>
    <x v="0"/>
    <x v="0"/>
    <x v="0"/>
    <x v="8"/>
    <s v="PWEGPL"/>
    <s v="MSEDCL"/>
    <n v="2.5000000000000001E-2"/>
    <s v="CE100001"/>
    <x v="66"/>
    <m/>
    <d v="1899-12-30T11:09:00"/>
    <d v="1899-12-30T11:09:00"/>
    <d v="1899-12-30T16:49:00"/>
    <n v="0"/>
    <n v="5.6666666666666652"/>
    <n v="5.6666666666666652"/>
    <s v="Yaw caliper oil seal replace"/>
    <s v="Close"/>
    <n v="0.14166666666666664"/>
    <m/>
    <n v="0"/>
    <m/>
    <m/>
    <m/>
    <n v="0"/>
    <m/>
    <m/>
    <m/>
    <m/>
  </r>
  <r>
    <n v="79"/>
    <x v="8"/>
    <x v="0"/>
    <x v="0"/>
    <x v="0"/>
    <x v="0"/>
    <x v="10"/>
    <s v="PWEGPL"/>
    <s v="MSEDCL"/>
    <n v="2.5000000000000001E-2"/>
    <n v="1819"/>
    <x v="67"/>
    <m/>
    <d v="1899-12-30T16:07:00"/>
    <d v="1899-12-30T17:47:00"/>
    <d v="1899-12-30T18:12:00"/>
    <n v="1.6666666666666661"/>
    <n v="0.41666666666666519"/>
    <n v="2.0833333333333313"/>
    <s v="Reboot &amp; local reset"/>
    <s v="Close"/>
    <n v="5.2083333333333287E-2"/>
    <m/>
    <n v="0"/>
    <m/>
    <m/>
    <m/>
    <n v="0"/>
    <m/>
    <m/>
    <m/>
    <m/>
  </r>
  <r>
    <n v="80"/>
    <x v="8"/>
    <x v="0"/>
    <x v="0"/>
    <x v="0"/>
    <x v="0"/>
    <x v="15"/>
    <s v="PWEGPL"/>
    <s v="MSEDCL"/>
    <n v="2.5000000000000001E-2"/>
    <n v="800"/>
    <x v="68"/>
    <m/>
    <d v="1899-12-30T14:07:00"/>
    <d v="1899-12-30T15:08:00"/>
    <d v="1899-12-30T16:14:00"/>
    <n v="1.0166666666666657"/>
    <n v="1.1000000000000014"/>
    <n v="2.1166666666666671"/>
    <s v="Proportional valve connector tighten"/>
    <s v="Close"/>
    <n v="5.2916666666666681E-2"/>
    <m/>
    <n v="0"/>
    <m/>
    <m/>
    <m/>
    <n v="0"/>
    <m/>
    <m/>
    <m/>
    <m/>
  </r>
  <r>
    <n v="81"/>
    <x v="8"/>
    <x v="0"/>
    <x v="0"/>
    <x v="0"/>
    <x v="0"/>
    <x v="4"/>
    <s v="PWEGPL"/>
    <s v="MSEDCL"/>
    <n v="2.5000000000000001E-2"/>
    <n v="205"/>
    <x v="69"/>
    <m/>
    <d v="1899-12-30T00:00:00"/>
    <d v="1899-12-30T00:24:00"/>
    <d v="1899-12-30T00:43:00"/>
    <n v="0.4"/>
    <n v="0.31666666666666671"/>
    <n v="0.71666666666666667"/>
    <s v="Oil Topup"/>
    <s v="Close"/>
    <n v="1.7916666666666668E-2"/>
    <m/>
    <n v="0"/>
    <m/>
    <m/>
    <m/>
    <n v="0"/>
    <m/>
    <m/>
    <m/>
    <m/>
  </r>
  <r>
    <n v="82"/>
    <x v="9"/>
    <x v="0"/>
    <x v="0"/>
    <x v="0"/>
    <x v="0"/>
    <x v="15"/>
    <s v="PWEGPL"/>
    <s v="MSEDCL"/>
    <n v="2.5000000000000001E-2"/>
    <n v="800"/>
    <x v="70"/>
    <m/>
    <d v="1899-12-30T14:55:00"/>
    <d v="1899-12-30T15:51:00"/>
    <d v="1899-12-30T16:48:00"/>
    <n v="0.93333333333333268"/>
    <n v="0.95000000000000195"/>
    <n v="1.8833333333333346"/>
    <s v="Reboot and reset"/>
    <s v="Close"/>
    <n v="4.7083333333333366E-2"/>
    <m/>
    <n v="0"/>
    <m/>
    <m/>
    <m/>
    <n v="0"/>
    <m/>
    <m/>
    <m/>
    <m/>
  </r>
  <r>
    <n v="83"/>
    <x v="9"/>
    <x v="0"/>
    <x v="0"/>
    <x v="0"/>
    <x v="0"/>
    <x v="10"/>
    <s v="PWEGPL"/>
    <s v="MSEDCL"/>
    <n v="2.5000000000000001E-2"/>
    <n v="1819"/>
    <x v="71"/>
    <m/>
    <d v="1899-12-30T18:14:00"/>
    <d v="1899-12-30T19:02:00"/>
    <d v="1899-12-30T19:27:00"/>
    <n v="0.79999999999999982"/>
    <n v="0.41666666666666519"/>
    <n v="1.216666666666665"/>
    <s v="Reboot and reset"/>
    <s v="Close"/>
    <n v="3.0416666666666627E-2"/>
    <m/>
    <n v="0"/>
    <m/>
    <m/>
    <m/>
    <n v="0"/>
    <m/>
    <m/>
    <m/>
    <m/>
  </r>
  <r>
    <n v="84"/>
    <x v="9"/>
    <x v="0"/>
    <x v="0"/>
    <x v="0"/>
    <x v="0"/>
    <x v="8"/>
    <s v="PWEGPL"/>
    <s v="MSEDCL"/>
    <n v="2.5000000000000001E-2"/>
    <n v="205"/>
    <x v="72"/>
    <m/>
    <d v="1899-12-30T22:45:00"/>
    <d v="1899-12-30T23:59:00"/>
    <d v="1899-12-30T23:59:00"/>
    <n v="1.2333333333333343"/>
    <n v="0"/>
    <n v="1.2333333333333343"/>
    <s v="Yaw caliper failuer - WIP"/>
    <s v="Open"/>
    <n v="3.0833333333333358E-2"/>
    <m/>
    <n v="0"/>
    <m/>
    <m/>
    <m/>
    <n v="0"/>
    <m/>
    <m/>
    <m/>
    <m/>
  </r>
  <r>
    <n v="85"/>
    <x v="9"/>
    <x v="0"/>
    <x v="0"/>
    <x v="0"/>
    <x v="0"/>
    <x v="17"/>
    <s v="PWEGPL"/>
    <s v="MSEDCL"/>
    <n v="2.5000000000000001E-2"/>
    <n v="800"/>
    <x v="73"/>
    <m/>
    <d v="1899-12-30T10:17:00"/>
    <d v="1899-12-30T11:29:00"/>
    <d v="1899-12-30T16:41:00"/>
    <n v="1.1999999999999997"/>
    <n v="5.2"/>
    <n v="6.4"/>
    <s v="Proportional valve connector tighten"/>
    <s v="Close"/>
    <n v="0.16000000000000003"/>
    <m/>
    <n v="0"/>
    <m/>
    <m/>
    <m/>
    <n v="0"/>
    <m/>
    <m/>
    <m/>
    <m/>
  </r>
  <r>
    <n v="86"/>
    <x v="10"/>
    <x v="0"/>
    <x v="0"/>
    <x v="0"/>
    <x v="0"/>
    <x v="24"/>
    <s v="PWEGPL"/>
    <s v="MSEDCL"/>
    <n v="2.5000000000000001E-2"/>
    <n v="5216"/>
    <x v="74"/>
    <m/>
    <d v="1899-12-30T08:29:00"/>
    <d v="1899-12-30T08:29:00"/>
    <d v="1899-12-30T08:32:00"/>
    <n v="0"/>
    <n v="5.0000000000001155E-2"/>
    <n v="5.0000000000001155E-2"/>
    <s v="External Grid Failure"/>
    <s v="Close"/>
    <n v="1.2500000000000289E-3"/>
    <m/>
    <n v="0"/>
    <m/>
    <m/>
    <m/>
    <n v="0"/>
    <m/>
    <m/>
    <m/>
    <m/>
  </r>
  <r>
    <n v="87"/>
    <x v="10"/>
    <x v="0"/>
    <x v="0"/>
    <x v="0"/>
    <x v="0"/>
    <x v="33"/>
    <s v="PWEGPL"/>
    <s v="MSEDCL"/>
    <n v="2.5000000000000001E-2"/>
    <n v="5216"/>
    <x v="74"/>
    <m/>
    <d v="1899-12-30T08:29:00"/>
    <d v="1899-12-30T08:29:00"/>
    <d v="1899-12-30T08:32:00"/>
    <n v="0"/>
    <n v="5.0000000000001155E-2"/>
    <n v="5.0000000000001155E-2"/>
    <s v="External Grid Failure"/>
    <s v="Close"/>
    <n v="1.2500000000000289E-3"/>
    <m/>
    <n v="0"/>
    <m/>
    <m/>
    <m/>
    <n v="0"/>
    <m/>
    <m/>
    <m/>
    <m/>
  </r>
  <r>
    <n v="88"/>
    <x v="10"/>
    <x v="0"/>
    <x v="0"/>
    <x v="0"/>
    <x v="0"/>
    <x v="34"/>
    <s v="PWEGPL"/>
    <s v="MSEDCL"/>
    <n v="2.5000000000000001E-2"/>
    <n v="5216"/>
    <x v="74"/>
    <m/>
    <d v="1899-12-30T08:29:00"/>
    <d v="1899-12-30T08:29:00"/>
    <d v="1899-12-30T08:32:00"/>
    <n v="0"/>
    <n v="5.0000000000001155E-2"/>
    <n v="5.0000000000001155E-2"/>
    <s v="External Grid Failure"/>
    <s v="Close"/>
    <n v="1.2500000000000289E-3"/>
    <m/>
    <n v="0"/>
    <m/>
    <m/>
    <m/>
    <n v="0"/>
    <m/>
    <m/>
    <m/>
    <m/>
  </r>
  <r>
    <n v="89"/>
    <x v="10"/>
    <x v="0"/>
    <x v="0"/>
    <x v="0"/>
    <x v="0"/>
    <x v="1"/>
    <s v="PWEGPL"/>
    <s v="MSEDCL"/>
    <n v="2.5000000000000001E-2"/>
    <n v="5216"/>
    <x v="74"/>
    <m/>
    <d v="1899-12-30T08:29:00"/>
    <d v="1899-12-30T08:29:00"/>
    <d v="1899-12-30T08:32:00"/>
    <n v="0"/>
    <n v="5.0000000000001155E-2"/>
    <n v="5.0000000000001155E-2"/>
    <s v="External Grid Failure"/>
    <s v="Close"/>
    <n v="1.2500000000000289E-3"/>
    <m/>
    <n v="0"/>
    <m/>
    <m/>
    <m/>
    <n v="0"/>
    <m/>
    <m/>
    <m/>
    <m/>
  </r>
  <r>
    <n v="90"/>
    <x v="10"/>
    <x v="0"/>
    <x v="0"/>
    <x v="0"/>
    <x v="0"/>
    <x v="35"/>
    <s v="PWEGPL"/>
    <s v="MSEDCL"/>
    <n v="2.5000000000000001E-2"/>
    <n v="5216"/>
    <x v="74"/>
    <m/>
    <d v="1899-12-30T08:29:00"/>
    <d v="1899-12-30T08:29:00"/>
    <d v="1899-12-30T08:32:00"/>
    <n v="0"/>
    <n v="5.0000000000001155E-2"/>
    <n v="5.0000000000001155E-2"/>
    <s v="External Grid Failure"/>
    <s v="Close"/>
    <n v="1.2500000000000289E-3"/>
    <m/>
    <n v="0"/>
    <m/>
    <m/>
    <m/>
    <n v="0"/>
    <m/>
    <m/>
    <m/>
    <m/>
  </r>
  <r>
    <n v="91"/>
    <x v="10"/>
    <x v="0"/>
    <x v="0"/>
    <x v="0"/>
    <x v="0"/>
    <x v="36"/>
    <s v="PWEGPL"/>
    <s v="MSEDCL"/>
    <n v="2.5000000000000001E-2"/>
    <n v="5216"/>
    <x v="74"/>
    <m/>
    <d v="1899-12-30T08:29:00"/>
    <d v="1899-12-30T08:29:00"/>
    <d v="1899-12-30T08:32:00"/>
    <n v="0"/>
    <n v="5.0000000000001155E-2"/>
    <n v="5.0000000000001155E-2"/>
    <s v="External Grid Failure"/>
    <s v="Close"/>
    <n v="1.2500000000000289E-3"/>
    <m/>
    <n v="0"/>
    <m/>
    <m/>
    <m/>
    <n v="0"/>
    <m/>
    <m/>
    <m/>
    <m/>
  </r>
  <r>
    <n v="92"/>
    <x v="10"/>
    <x v="0"/>
    <x v="0"/>
    <x v="0"/>
    <x v="0"/>
    <x v="8"/>
    <s v="PWEGPL"/>
    <s v="MSEDCL"/>
    <n v="2.5000000000000001E-2"/>
    <n v="5216"/>
    <x v="74"/>
    <m/>
    <d v="1899-12-30T08:29:00"/>
    <d v="1899-12-30T08:29:00"/>
    <d v="1899-12-30T08:32:00"/>
    <n v="0"/>
    <n v="5.0000000000001155E-2"/>
    <n v="5.0000000000001155E-2"/>
    <s v="External Grid Failure"/>
    <s v="Close"/>
    <n v="1.2500000000000289E-3"/>
    <m/>
    <n v="0"/>
    <m/>
    <m/>
    <m/>
    <n v="0"/>
    <m/>
    <m/>
    <m/>
    <m/>
  </r>
  <r>
    <n v="93"/>
    <x v="10"/>
    <x v="0"/>
    <x v="0"/>
    <x v="0"/>
    <x v="0"/>
    <x v="9"/>
    <s v="PWEGPL"/>
    <s v="MSEDCL"/>
    <n v="2.5000000000000001E-2"/>
    <n v="5216"/>
    <x v="74"/>
    <m/>
    <d v="1899-12-30T08:29:00"/>
    <d v="1899-12-30T08:29:00"/>
    <d v="1899-12-30T08:32:00"/>
    <n v="0"/>
    <n v="5.0000000000001155E-2"/>
    <n v="5.0000000000001155E-2"/>
    <s v="External Grid Failure"/>
    <s v="Close"/>
    <n v="1.2500000000000289E-3"/>
    <m/>
    <n v="0"/>
    <m/>
    <m/>
    <m/>
    <n v="0"/>
    <m/>
    <m/>
    <m/>
    <m/>
  </r>
  <r>
    <n v="94"/>
    <x v="10"/>
    <x v="0"/>
    <x v="0"/>
    <x v="0"/>
    <x v="0"/>
    <x v="10"/>
    <s v="PWEGPL"/>
    <s v="MSEDCL"/>
    <n v="2.5000000000000001E-2"/>
    <n v="5216"/>
    <x v="74"/>
    <m/>
    <d v="1899-12-30T08:29:00"/>
    <d v="1899-12-30T08:29:00"/>
    <d v="1899-12-30T08:32:00"/>
    <n v="0"/>
    <n v="5.0000000000001155E-2"/>
    <n v="5.0000000000001155E-2"/>
    <s v="External Grid Failure"/>
    <s v="Close"/>
    <n v="1.2500000000000289E-3"/>
    <m/>
    <n v="0"/>
    <m/>
    <m/>
    <m/>
    <n v="0"/>
    <m/>
    <m/>
    <m/>
    <m/>
  </r>
  <r>
    <n v="95"/>
    <x v="10"/>
    <x v="0"/>
    <x v="0"/>
    <x v="0"/>
    <x v="0"/>
    <x v="11"/>
    <s v="PWEGPL"/>
    <s v="MSEDCL"/>
    <n v="2.5000000000000001E-2"/>
    <n v="5216"/>
    <x v="74"/>
    <m/>
    <d v="1899-12-30T08:29:00"/>
    <d v="1899-12-30T08:29:00"/>
    <d v="1899-12-30T08:32:00"/>
    <n v="0"/>
    <n v="5.0000000000001155E-2"/>
    <n v="5.0000000000001155E-2"/>
    <s v="External Grid Failure"/>
    <s v="Close"/>
    <n v="1.2500000000000289E-3"/>
    <m/>
    <n v="0"/>
    <m/>
    <m/>
    <m/>
    <n v="0"/>
    <m/>
    <m/>
    <m/>
    <m/>
  </r>
  <r>
    <n v="96"/>
    <x v="10"/>
    <x v="0"/>
    <x v="0"/>
    <x v="0"/>
    <x v="0"/>
    <x v="12"/>
    <s v="PWEGPL"/>
    <s v="MSEDCL"/>
    <n v="2.5000000000000001E-2"/>
    <n v="5216"/>
    <x v="74"/>
    <m/>
    <d v="1899-12-30T08:29:00"/>
    <d v="1899-12-30T08:29:00"/>
    <d v="1899-12-30T08:32:00"/>
    <n v="0"/>
    <n v="5.0000000000001155E-2"/>
    <n v="5.0000000000001155E-2"/>
    <s v="External Grid Failure"/>
    <s v="Close"/>
    <n v="1.2500000000000289E-3"/>
    <m/>
    <n v="0"/>
    <m/>
    <m/>
    <m/>
    <n v="0"/>
    <m/>
    <m/>
    <m/>
    <m/>
  </r>
  <r>
    <n v="97"/>
    <x v="10"/>
    <x v="0"/>
    <x v="0"/>
    <x v="0"/>
    <x v="0"/>
    <x v="2"/>
    <s v="PWEGPL"/>
    <s v="MSEDCL"/>
    <n v="2.5000000000000001E-2"/>
    <n v="5216"/>
    <x v="75"/>
    <m/>
    <d v="1899-12-30T00:26:00"/>
    <d v="1899-12-30T00:26:00"/>
    <d v="1899-12-30T00:27:00"/>
    <n v="0"/>
    <n v="1.6666666666666607E-2"/>
    <n v="1.6666666666666607E-2"/>
    <s v="External Grid Failure"/>
    <s v="Close"/>
    <n v="4.1666666666666523E-4"/>
    <m/>
    <n v="0"/>
    <m/>
    <m/>
    <m/>
    <n v="0"/>
    <m/>
    <m/>
    <m/>
    <m/>
  </r>
  <r>
    <n v="98"/>
    <x v="10"/>
    <x v="0"/>
    <x v="0"/>
    <x v="0"/>
    <x v="0"/>
    <x v="3"/>
    <s v="PWEGPL"/>
    <s v="MSEDCL"/>
    <n v="2.5000000000000001E-2"/>
    <n v="5216"/>
    <x v="75"/>
    <m/>
    <d v="1899-12-30T00:26:00"/>
    <d v="1899-12-30T00:26:00"/>
    <d v="1899-12-30T00:27:00"/>
    <n v="0"/>
    <n v="1.6666666666666607E-2"/>
    <n v="1.6666666666666607E-2"/>
    <s v="External Grid Failure"/>
    <s v="Close"/>
    <n v="4.1666666666666523E-4"/>
    <m/>
    <n v="0"/>
    <m/>
    <m/>
    <m/>
    <n v="0"/>
    <m/>
    <m/>
    <m/>
    <m/>
  </r>
  <r>
    <n v="99"/>
    <x v="10"/>
    <x v="0"/>
    <x v="0"/>
    <x v="0"/>
    <x v="0"/>
    <x v="13"/>
    <s v="PWEGPL"/>
    <s v="MSEDCL"/>
    <n v="2.5000000000000001E-2"/>
    <n v="5216"/>
    <x v="75"/>
    <m/>
    <d v="1899-12-30T00:26:00"/>
    <d v="1899-12-30T00:26:00"/>
    <d v="1899-12-30T00:27:00"/>
    <n v="0"/>
    <n v="1.6666666666666607E-2"/>
    <n v="1.6666666666666607E-2"/>
    <s v="External Grid Failure"/>
    <s v="Close"/>
    <n v="4.1666666666666523E-4"/>
    <m/>
    <n v="0"/>
    <m/>
    <m/>
    <m/>
    <n v="0"/>
    <m/>
    <m/>
    <m/>
    <m/>
  </r>
  <r>
    <n v="100"/>
    <x v="10"/>
    <x v="0"/>
    <x v="0"/>
    <x v="0"/>
    <x v="0"/>
    <x v="14"/>
    <s v="PWEGPL"/>
    <s v="MSEDCL"/>
    <n v="2.5000000000000001E-2"/>
    <n v="5216"/>
    <x v="75"/>
    <m/>
    <d v="1899-12-30T00:26:00"/>
    <d v="1899-12-30T00:26:00"/>
    <d v="1899-12-30T00:27:00"/>
    <n v="0"/>
    <n v="1.6666666666666607E-2"/>
    <n v="1.6666666666666607E-2"/>
    <s v="External Grid Failure"/>
    <s v="Close"/>
    <n v="4.1666666666666523E-4"/>
    <m/>
    <n v="0"/>
    <m/>
    <m/>
    <m/>
    <n v="0"/>
    <m/>
    <m/>
    <m/>
    <m/>
  </r>
  <r>
    <n v="101"/>
    <x v="10"/>
    <x v="0"/>
    <x v="0"/>
    <x v="0"/>
    <x v="0"/>
    <x v="15"/>
    <s v="PWEGPL"/>
    <s v="MSEDCL"/>
    <n v="2.5000000000000001E-2"/>
    <n v="5216"/>
    <x v="75"/>
    <m/>
    <d v="1899-12-30T00:26:00"/>
    <d v="1899-12-30T00:26:00"/>
    <d v="1899-12-30T00:27:00"/>
    <n v="0"/>
    <n v="1.6666666666666607E-2"/>
    <n v="1.6666666666666607E-2"/>
    <s v="External Grid Failure"/>
    <s v="Close"/>
    <n v="4.1666666666666523E-4"/>
    <m/>
    <n v="0"/>
    <m/>
    <m/>
    <m/>
    <n v="0"/>
    <m/>
    <m/>
    <m/>
    <m/>
  </r>
  <r>
    <n v="102"/>
    <x v="10"/>
    <x v="0"/>
    <x v="0"/>
    <x v="0"/>
    <x v="0"/>
    <x v="16"/>
    <s v="PWEGPL"/>
    <s v="MSEDCL"/>
    <n v="2.5000000000000001E-2"/>
    <n v="5216"/>
    <x v="75"/>
    <m/>
    <d v="1899-12-30T00:26:00"/>
    <d v="1899-12-30T00:26:00"/>
    <d v="1899-12-30T00:27:00"/>
    <n v="0"/>
    <n v="1.6666666666666607E-2"/>
    <n v="1.6666666666666607E-2"/>
    <s v="External Grid Failure"/>
    <s v="Close"/>
    <n v="4.1666666666666523E-4"/>
    <m/>
    <n v="0"/>
    <m/>
    <m/>
    <m/>
    <n v="0"/>
    <m/>
    <m/>
    <m/>
    <m/>
  </r>
  <r>
    <n v="103"/>
    <x v="10"/>
    <x v="0"/>
    <x v="0"/>
    <x v="0"/>
    <x v="0"/>
    <x v="4"/>
    <s v="PWEGPL"/>
    <s v="MSEDCL"/>
    <n v="2.5000000000000001E-2"/>
    <n v="5216"/>
    <x v="75"/>
    <m/>
    <d v="1899-12-30T00:26:00"/>
    <d v="1899-12-30T00:26:00"/>
    <d v="1899-12-30T00:27:00"/>
    <n v="0"/>
    <n v="1.6666666666666607E-2"/>
    <n v="1.6666666666666607E-2"/>
    <s v="External Grid Failure"/>
    <s v="Close"/>
    <n v="4.1666666666666523E-4"/>
    <m/>
    <n v="0"/>
    <m/>
    <m/>
    <m/>
    <n v="0"/>
    <m/>
    <m/>
    <m/>
    <m/>
  </r>
  <r>
    <n v="104"/>
    <x v="10"/>
    <x v="0"/>
    <x v="0"/>
    <x v="0"/>
    <x v="0"/>
    <x v="5"/>
    <s v="PWEGPL"/>
    <s v="MSEDCL"/>
    <n v="2.5000000000000001E-2"/>
    <n v="5216"/>
    <x v="75"/>
    <m/>
    <d v="1899-12-30T00:26:00"/>
    <d v="1899-12-30T00:26:00"/>
    <d v="1899-12-30T00:27:00"/>
    <n v="0"/>
    <n v="1.6666666666666607E-2"/>
    <n v="1.6666666666666607E-2"/>
    <s v="External Grid Failure"/>
    <s v="Close"/>
    <n v="4.1666666666666523E-4"/>
    <m/>
    <n v="0"/>
    <m/>
    <m/>
    <m/>
    <n v="0"/>
    <m/>
    <m/>
    <m/>
    <m/>
  </r>
  <r>
    <n v="105"/>
    <x v="10"/>
    <x v="0"/>
    <x v="0"/>
    <x v="0"/>
    <x v="0"/>
    <x v="6"/>
    <s v="PWEGPL"/>
    <s v="MSEDCL"/>
    <n v="2.5000000000000001E-2"/>
    <n v="5216"/>
    <x v="75"/>
    <m/>
    <d v="1899-12-30T00:26:00"/>
    <d v="1899-12-30T00:26:00"/>
    <d v="1899-12-30T00:27:00"/>
    <n v="0"/>
    <n v="1.6666666666666607E-2"/>
    <n v="1.6666666666666607E-2"/>
    <s v="External Grid Failure"/>
    <s v="Close"/>
    <n v="4.1666666666666523E-4"/>
    <m/>
    <n v="0"/>
    <m/>
    <m/>
    <m/>
    <n v="0"/>
    <m/>
    <m/>
    <m/>
    <m/>
  </r>
  <r>
    <n v="106"/>
    <x v="10"/>
    <x v="0"/>
    <x v="0"/>
    <x v="0"/>
    <x v="0"/>
    <x v="7"/>
    <s v="PWEGPL"/>
    <s v="MSEDCL"/>
    <n v="2.5000000000000001E-2"/>
    <n v="5216"/>
    <x v="75"/>
    <m/>
    <d v="1899-12-30T00:26:00"/>
    <d v="1899-12-30T00:26:00"/>
    <d v="1899-12-30T00:27:00"/>
    <n v="0"/>
    <n v="1.6666666666666607E-2"/>
    <n v="1.6666666666666607E-2"/>
    <s v="External Grid Failure"/>
    <s v="Close"/>
    <n v="4.1666666666666523E-4"/>
    <m/>
    <n v="0"/>
    <m/>
    <m/>
    <m/>
    <n v="0"/>
    <m/>
    <m/>
    <m/>
    <m/>
  </r>
  <r>
    <n v="107"/>
    <x v="10"/>
    <x v="0"/>
    <x v="0"/>
    <x v="0"/>
    <x v="0"/>
    <x v="35"/>
    <s v="PWEGPL"/>
    <s v="MSEDCL"/>
    <n v="2.5000000000000001E-2"/>
    <n v="907"/>
    <x v="76"/>
    <m/>
    <d v="1899-12-30T08:39:00"/>
    <d v="1899-12-30T09:58:00"/>
    <d v="1899-12-30T10:22:00"/>
    <n v="1.3166666666666673"/>
    <n v="0.39999999999999991"/>
    <n v="1.7166666666666672"/>
    <s v="Local Reset"/>
    <s v="Close"/>
    <n v="4.2916666666666686E-2"/>
    <m/>
    <n v="0"/>
    <m/>
    <m/>
    <m/>
    <n v="0"/>
    <m/>
    <m/>
    <m/>
    <m/>
  </r>
  <r>
    <n v="108"/>
    <x v="10"/>
    <x v="0"/>
    <x v="0"/>
    <x v="0"/>
    <x v="0"/>
    <x v="8"/>
    <s v="PWEGPL"/>
    <s v="MSEDCL"/>
    <n v="2.5000000000000001E-2"/>
    <n v="205"/>
    <x v="77"/>
    <m/>
    <d v="1899-12-30T00:00:00"/>
    <d v="1899-12-30T00:00:00"/>
    <d v="1899-12-30T16:44:00"/>
    <n v="0"/>
    <n v="16.733333333333334"/>
    <n v="16.733333333333334"/>
    <s v="Yaw caliper oil seal replace"/>
    <s v="Close"/>
    <n v="0.41833333333333339"/>
    <m/>
    <n v="0"/>
    <m/>
    <m/>
    <m/>
    <n v="0"/>
    <m/>
    <m/>
    <m/>
    <m/>
  </r>
  <r>
    <n v="109"/>
    <x v="10"/>
    <x v="0"/>
    <x v="0"/>
    <x v="0"/>
    <x v="0"/>
    <x v="9"/>
    <s v="PWEGPL"/>
    <s v="MSEDCL"/>
    <n v="2.5000000000000001E-2"/>
    <n v="205"/>
    <x v="78"/>
    <m/>
    <d v="1899-12-30T04:36:00"/>
    <d v="1899-12-30T07:25:00"/>
    <d v="1899-12-30T08:01:00"/>
    <n v="2.8166666666666673"/>
    <n v="0.60000000000000053"/>
    <n v="3.4166666666666679"/>
    <s v="Oil Topup"/>
    <s v="Close"/>
    <n v="8.5416666666666696E-2"/>
    <m/>
    <n v="0"/>
    <m/>
    <m/>
    <m/>
    <n v="0"/>
    <m/>
    <m/>
    <m/>
    <m/>
  </r>
  <r>
    <n v="110"/>
    <x v="10"/>
    <x v="0"/>
    <x v="0"/>
    <x v="0"/>
    <x v="0"/>
    <x v="15"/>
    <s v="PWEGPL"/>
    <s v="MSEDCL"/>
    <n v="2.5000000000000001E-2"/>
    <n v="800"/>
    <x v="79"/>
    <m/>
    <d v="1899-12-30T12:19:00"/>
    <d v="1899-12-30T13:02:00"/>
    <d v="1899-12-30T18:20:00"/>
    <n v="0.71666666666666679"/>
    <n v="5.3"/>
    <n v="6.0166666666666666"/>
    <s v="Attend and found proportional valve cable loose so reconnect the connection "/>
    <s v="Close"/>
    <n v="0.15041666666666667"/>
    <m/>
    <n v="0"/>
    <m/>
    <m/>
    <m/>
    <n v="0"/>
    <m/>
    <m/>
    <m/>
    <m/>
  </r>
  <r>
    <n v="111"/>
    <x v="10"/>
    <x v="0"/>
    <x v="0"/>
    <x v="0"/>
    <x v="0"/>
    <x v="4"/>
    <s v="PWEGPL"/>
    <s v="MSEDCL"/>
    <n v="2.5000000000000001E-2"/>
    <n v="5203"/>
    <x v="80"/>
    <m/>
    <d v="1899-12-30T00:39:00"/>
    <d v="1899-12-30T03:15:00"/>
    <d v="1899-12-30T03:32:00"/>
    <n v="2.5999999999999996"/>
    <n v="0.28333333333333366"/>
    <n v="2.8833333333333333"/>
    <s v="Local Reset"/>
    <s v="Close"/>
    <n v="7.2083333333333333E-2"/>
    <m/>
    <n v="0"/>
    <m/>
    <m/>
    <m/>
    <n v="0"/>
    <m/>
    <m/>
    <m/>
    <m/>
  </r>
  <r>
    <n v="112"/>
    <x v="10"/>
    <x v="0"/>
    <x v="0"/>
    <x v="0"/>
    <x v="0"/>
    <x v="4"/>
    <s v="PWEGPL"/>
    <s v="MSEDCL"/>
    <n v="2.5000000000000001E-2"/>
    <n v="110"/>
    <x v="81"/>
    <m/>
    <d v="1899-12-30T10:43:00"/>
    <d v="1899-12-30T14:12:00"/>
    <d v="1899-12-30T14:48:00"/>
    <n v="3.4833333333333329"/>
    <n v="0.60000000000000053"/>
    <n v="4.0833333333333339"/>
    <s v="Remove the ceble twist then start the WTG."/>
    <s v="Close"/>
    <n v="0.10208333333333336"/>
    <m/>
    <n v="0"/>
    <m/>
    <m/>
    <m/>
    <n v="0"/>
    <m/>
    <m/>
    <m/>
    <m/>
  </r>
  <r>
    <n v="113"/>
    <x v="10"/>
    <x v="0"/>
    <x v="0"/>
    <x v="0"/>
    <x v="0"/>
    <x v="5"/>
    <s v="PWEGPL"/>
    <s v="MSEDCL"/>
    <n v="2.5000000000000001E-2"/>
    <n v="205"/>
    <x v="82"/>
    <m/>
    <d v="1899-12-30T10:12:00"/>
    <d v="1899-12-30T14:58:00"/>
    <d v="1899-12-30T15:16:00"/>
    <n v="4.7666666666666675"/>
    <n v="0.3000000000000016"/>
    <n v="5.0666666666666682"/>
    <s v="Oil Topup"/>
    <s v="Close"/>
    <n v="0.12666666666666671"/>
    <m/>
    <n v="0"/>
    <m/>
    <m/>
    <m/>
    <n v="0"/>
    <m/>
    <m/>
    <m/>
    <m/>
  </r>
  <r>
    <n v="114"/>
    <x v="10"/>
    <x v="0"/>
    <x v="0"/>
    <x v="0"/>
    <x v="0"/>
    <x v="13"/>
    <s v="PWEGPL"/>
    <s v="MSEDCL"/>
    <n v="2.5000000000000001E-2"/>
    <n v="5212"/>
    <x v="83"/>
    <m/>
    <d v="1899-12-30T00:26:00"/>
    <d v="1899-12-30T01:35:00"/>
    <d v="1899-12-30T12:51:00"/>
    <n v="1.1499999999999999"/>
    <n v="11.266666666666666"/>
    <n v="12.416666666666664"/>
    <s v="KC001 contactor replaced in ingetam panel"/>
    <s v="Close"/>
    <n v="0.31041666666666662"/>
    <m/>
    <n v="0"/>
    <m/>
    <m/>
    <m/>
    <n v="0"/>
    <m/>
    <m/>
    <m/>
    <m/>
  </r>
  <r>
    <n v="115"/>
    <x v="11"/>
    <x v="0"/>
    <x v="0"/>
    <x v="0"/>
    <x v="0"/>
    <x v="15"/>
    <s v="PWEGPL"/>
    <s v="MSEDCL"/>
    <n v="2.5000000000000001E-2"/>
    <n v="800"/>
    <x v="84"/>
    <m/>
    <d v="1899-12-30T12:55:00"/>
    <d v="1899-12-30T13:29:00"/>
    <d v="1899-12-30T13:35:00"/>
    <n v="0.56666666666666732"/>
    <n v="9.9999999999999645E-2"/>
    <n v="0.66666666666666696"/>
    <s v="Local Reset"/>
    <s v="Close"/>
    <n v="1.6666666666666673E-2"/>
    <m/>
    <n v="0"/>
    <m/>
    <m/>
    <m/>
    <n v="0"/>
    <m/>
    <m/>
    <m/>
    <m/>
  </r>
  <r>
    <n v="116"/>
    <x v="11"/>
    <x v="0"/>
    <x v="0"/>
    <x v="0"/>
    <x v="0"/>
    <x v="5"/>
    <s v="PWEGPL"/>
    <s v="MSEDCL"/>
    <n v="2.5000000000000001E-2"/>
    <s v="CE100001"/>
    <x v="85"/>
    <m/>
    <d v="1899-12-30T11:25:00"/>
    <d v="1899-12-30T11:25:00"/>
    <d v="1899-12-30T14:54:00"/>
    <n v="0"/>
    <n v="3.4833333333333343"/>
    <n v="3.4833333333333343"/>
    <s v="leackage arresting work"/>
    <s v="Close"/>
    <n v="8.708333333333336E-2"/>
    <m/>
    <n v="0"/>
    <m/>
    <m/>
    <m/>
    <n v="0"/>
    <m/>
    <m/>
    <m/>
    <m/>
  </r>
  <r>
    <n v="117"/>
    <x v="11"/>
    <x v="0"/>
    <x v="0"/>
    <x v="0"/>
    <x v="0"/>
    <x v="7"/>
    <s v="PWEGPL"/>
    <s v="MSEDCL"/>
    <n v="2.5000000000000001E-2"/>
    <n v="700"/>
    <x v="86"/>
    <m/>
    <d v="1899-12-30T16:54:00"/>
    <d v="1899-12-30T17:50:00"/>
    <d v="1899-12-30T23:59:00"/>
    <n v="0.93333333333333268"/>
    <n v="6.1500000000000021"/>
    <n v="7.0833333333333348"/>
    <s v="replace lemda powre supply"/>
    <s v="Close"/>
    <n v="0.17708333333333337"/>
    <m/>
    <n v="0"/>
    <m/>
    <m/>
    <m/>
    <n v="0"/>
    <m/>
    <m/>
    <m/>
    <m/>
  </r>
  <r>
    <n v="118"/>
    <x v="11"/>
    <x v="0"/>
    <x v="0"/>
    <x v="0"/>
    <x v="0"/>
    <x v="2"/>
    <s v="PWEGPL"/>
    <s v="MSEDCL"/>
    <n v="2.5000000000000001E-2"/>
    <n v="5216"/>
    <x v="87"/>
    <m/>
    <d v="1899-12-30T11:43:00"/>
    <d v="1899-12-30T11:43:00"/>
    <d v="1899-12-30T11:47:00"/>
    <n v="0"/>
    <n v="6.666666666666643E-2"/>
    <n v="6.666666666666643E-2"/>
    <s v="External Grid Failure"/>
    <s v="Close"/>
    <n v="1.6666666666666609E-3"/>
    <m/>
    <n v="0"/>
    <m/>
    <m/>
    <m/>
    <n v="0"/>
    <m/>
    <m/>
    <m/>
    <m/>
  </r>
  <r>
    <n v="119"/>
    <x v="11"/>
    <x v="0"/>
    <x v="0"/>
    <x v="0"/>
    <x v="0"/>
    <x v="3"/>
    <s v="PWEGPL"/>
    <s v="MSEDCL"/>
    <n v="2.5000000000000001E-2"/>
    <n v="5216"/>
    <x v="87"/>
    <m/>
    <d v="1899-12-30T11:43:00"/>
    <d v="1899-12-30T11:43:00"/>
    <d v="1899-12-30T11:47:00"/>
    <n v="0"/>
    <n v="6.666666666666643E-2"/>
    <n v="6.666666666666643E-2"/>
    <s v="External Grid Failure"/>
    <s v="Close"/>
    <n v="1.6666666666666609E-3"/>
    <m/>
    <n v="0"/>
    <m/>
    <m/>
    <m/>
    <n v="0"/>
    <m/>
    <m/>
    <m/>
    <m/>
  </r>
  <r>
    <n v="120"/>
    <x v="11"/>
    <x v="0"/>
    <x v="0"/>
    <x v="0"/>
    <x v="0"/>
    <x v="13"/>
    <s v="PWEGPL"/>
    <s v="MSEDCL"/>
    <n v="2.5000000000000001E-2"/>
    <n v="5216"/>
    <x v="87"/>
    <m/>
    <d v="1899-12-30T11:43:00"/>
    <d v="1899-12-30T11:43:00"/>
    <d v="1899-12-30T11:47:00"/>
    <n v="0"/>
    <n v="6.666666666666643E-2"/>
    <n v="6.666666666666643E-2"/>
    <s v="External Grid Failure"/>
    <s v="Close"/>
    <n v="1.6666666666666609E-3"/>
    <m/>
    <n v="0"/>
    <m/>
    <m/>
    <m/>
    <n v="0"/>
    <m/>
    <m/>
    <m/>
    <m/>
  </r>
  <r>
    <n v="121"/>
    <x v="11"/>
    <x v="0"/>
    <x v="0"/>
    <x v="0"/>
    <x v="0"/>
    <x v="14"/>
    <s v="PWEGPL"/>
    <s v="MSEDCL"/>
    <n v="2.5000000000000001E-2"/>
    <n v="5216"/>
    <x v="87"/>
    <m/>
    <d v="1899-12-30T11:43:00"/>
    <d v="1899-12-30T11:43:00"/>
    <d v="1899-12-30T11:47:00"/>
    <n v="0"/>
    <n v="6.666666666666643E-2"/>
    <n v="6.666666666666643E-2"/>
    <s v="External Grid Failure"/>
    <s v="Close"/>
    <n v="1.6666666666666609E-3"/>
    <m/>
    <n v="0"/>
    <m/>
    <m/>
    <m/>
    <n v="0"/>
    <m/>
    <m/>
    <m/>
    <m/>
  </r>
  <r>
    <n v="122"/>
    <x v="11"/>
    <x v="0"/>
    <x v="0"/>
    <x v="0"/>
    <x v="0"/>
    <x v="15"/>
    <s v="PWEGPL"/>
    <s v="MSEDCL"/>
    <n v="2.5000000000000001E-2"/>
    <n v="5216"/>
    <x v="87"/>
    <m/>
    <d v="1899-12-30T11:43:00"/>
    <d v="1899-12-30T11:43:00"/>
    <d v="1899-12-30T11:47:00"/>
    <n v="0"/>
    <n v="6.666666666666643E-2"/>
    <n v="6.666666666666643E-2"/>
    <s v="External Grid Failure"/>
    <s v="Close"/>
    <n v="1.6666666666666609E-3"/>
    <m/>
    <n v="0"/>
    <m/>
    <m/>
    <m/>
    <n v="0"/>
    <m/>
    <m/>
    <m/>
    <m/>
  </r>
  <r>
    <n v="123"/>
    <x v="11"/>
    <x v="0"/>
    <x v="0"/>
    <x v="0"/>
    <x v="0"/>
    <x v="16"/>
    <s v="PWEGPL"/>
    <s v="MSEDCL"/>
    <n v="2.5000000000000001E-2"/>
    <n v="5216"/>
    <x v="87"/>
    <m/>
    <d v="1899-12-30T11:43:00"/>
    <d v="1899-12-30T11:43:00"/>
    <d v="1899-12-30T11:47:00"/>
    <n v="0"/>
    <n v="6.666666666666643E-2"/>
    <n v="6.666666666666643E-2"/>
    <s v="External Grid Failure"/>
    <s v="Close"/>
    <n v="1.6666666666666609E-3"/>
    <m/>
    <n v="0"/>
    <m/>
    <m/>
    <m/>
    <n v="0"/>
    <m/>
    <m/>
    <m/>
    <m/>
  </r>
  <r>
    <n v="124"/>
    <x v="11"/>
    <x v="0"/>
    <x v="0"/>
    <x v="0"/>
    <x v="0"/>
    <x v="4"/>
    <s v="PWEGPL"/>
    <s v="MSEDCL"/>
    <n v="2.5000000000000001E-2"/>
    <n v="5216"/>
    <x v="87"/>
    <m/>
    <d v="1899-12-30T11:43:00"/>
    <d v="1899-12-30T11:43:00"/>
    <d v="1899-12-30T11:47:00"/>
    <n v="0"/>
    <n v="6.666666666666643E-2"/>
    <n v="6.666666666666643E-2"/>
    <s v="External Grid Failure"/>
    <s v="Close"/>
    <n v="1.6666666666666609E-3"/>
    <m/>
    <n v="0"/>
    <m/>
    <m/>
    <m/>
    <n v="0"/>
    <m/>
    <m/>
    <m/>
    <m/>
  </r>
  <r>
    <n v="125"/>
    <x v="11"/>
    <x v="0"/>
    <x v="0"/>
    <x v="0"/>
    <x v="0"/>
    <x v="5"/>
    <s v="PWEGPL"/>
    <s v="MSEDCL"/>
    <n v="2.5000000000000001E-2"/>
    <n v="5216"/>
    <x v="87"/>
    <m/>
    <d v="1899-12-30T11:43:00"/>
    <d v="1899-12-30T11:43:00"/>
    <d v="1899-12-30T11:47:00"/>
    <n v="0"/>
    <n v="6.666666666666643E-2"/>
    <n v="6.666666666666643E-2"/>
    <s v="External Grid Failure"/>
    <s v="Close"/>
    <n v="1.6666666666666609E-3"/>
    <m/>
    <n v="0"/>
    <m/>
    <m/>
    <m/>
    <n v="0"/>
    <m/>
    <m/>
    <m/>
    <m/>
  </r>
  <r>
    <n v="126"/>
    <x v="11"/>
    <x v="0"/>
    <x v="0"/>
    <x v="0"/>
    <x v="0"/>
    <x v="6"/>
    <s v="PWEGPL"/>
    <s v="MSEDCL"/>
    <n v="2.5000000000000001E-2"/>
    <n v="5216"/>
    <x v="87"/>
    <m/>
    <d v="1899-12-30T11:43:00"/>
    <d v="1899-12-30T11:43:00"/>
    <d v="1899-12-30T11:47:00"/>
    <n v="0"/>
    <n v="6.666666666666643E-2"/>
    <n v="6.666666666666643E-2"/>
    <s v="External Grid Failure"/>
    <s v="Close"/>
    <n v="1.6666666666666609E-3"/>
    <m/>
    <n v="0"/>
    <m/>
    <m/>
    <m/>
    <n v="0"/>
    <m/>
    <m/>
    <m/>
    <m/>
  </r>
  <r>
    <n v="127"/>
    <x v="11"/>
    <x v="0"/>
    <x v="0"/>
    <x v="0"/>
    <x v="0"/>
    <x v="7"/>
    <s v="PWEGPL"/>
    <s v="MSEDCL"/>
    <n v="2.5000000000000001E-2"/>
    <n v="5216"/>
    <x v="87"/>
    <m/>
    <d v="1899-12-30T11:43:00"/>
    <d v="1899-12-30T11:43:00"/>
    <d v="1899-12-30T11:47:00"/>
    <n v="0"/>
    <n v="6.666666666666643E-2"/>
    <n v="6.666666666666643E-2"/>
    <s v="External Grid Failure"/>
    <s v="Close"/>
    <n v="1.6666666666666609E-3"/>
    <m/>
    <n v="0"/>
    <m/>
    <m/>
    <m/>
    <n v="0"/>
    <m/>
    <m/>
    <m/>
    <m/>
  </r>
  <r>
    <n v="128"/>
    <x v="12"/>
    <x v="0"/>
    <x v="0"/>
    <x v="0"/>
    <x v="0"/>
    <x v="37"/>
    <s v="PWEGPL"/>
    <s v="MSEDCL"/>
    <n v="2.5000000000000001E-2"/>
    <n v="552"/>
    <x v="88"/>
    <m/>
    <d v="1899-12-30T00:00:00"/>
    <d v="1899-12-30T02:30:00"/>
    <d v="1899-12-30T02:38:00"/>
    <n v="2.5"/>
    <n v="0.13333333333333319"/>
    <n v="2.6333333333333333"/>
    <s v="Reboot WTG"/>
    <s v="Close"/>
    <n v="6.5833333333333341E-2"/>
    <m/>
    <n v="0"/>
    <m/>
    <m/>
    <m/>
    <n v="0"/>
    <m/>
    <m/>
    <m/>
    <m/>
  </r>
  <r>
    <n v="129"/>
    <x v="12"/>
    <x v="0"/>
    <x v="0"/>
    <x v="0"/>
    <x v="0"/>
    <x v="10"/>
    <s v="PWEGPL"/>
    <s v="MSEDCL"/>
    <n v="2.5000000000000001E-2"/>
    <n v="1819"/>
    <x v="89"/>
    <m/>
    <d v="1899-12-30T16:23:00"/>
    <d v="1899-12-30T17:02:00"/>
    <d v="1899-12-30T17:12:00"/>
    <n v="0.65000000000000036"/>
    <n v="0.16666666666666607"/>
    <n v="0.81666666666666643"/>
    <s v="Reboot WTG"/>
    <s v="Close"/>
    <n v="2.0416666666666663E-2"/>
    <m/>
    <n v="0"/>
    <m/>
    <m/>
    <m/>
    <n v="0"/>
    <m/>
    <m/>
    <m/>
    <m/>
  </r>
  <r>
    <n v="130"/>
    <x v="12"/>
    <x v="0"/>
    <x v="0"/>
    <x v="0"/>
    <x v="0"/>
    <x v="15"/>
    <s v="PWEGPL"/>
    <s v="MSEDCL"/>
    <n v="2.5000000000000001E-2"/>
    <n v="800"/>
    <x v="90"/>
    <m/>
    <d v="1899-12-30T13:00:00"/>
    <d v="1899-12-30T14:23:00"/>
    <d v="1899-12-30T16:43:00"/>
    <n v="1.3833333333333337"/>
    <n v="2.333333333333333"/>
    <n v="3.7166666666666668"/>
    <s v="Remove the cable twist then start the WTG."/>
    <s v="Close"/>
    <n v="9.2916666666666675E-2"/>
    <m/>
    <n v="0"/>
    <m/>
    <m/>
    <m/>
    <n v="0"/>
    <m/>
    <m/>
    <m/>
    <m/>
  </r>
  <r>
    <n v="131"/>
    <x v="12"/>
    <x v="0"/>
    <x v="0"/>
    <x v="0"/>
    <x v="0"/>
    <x v="9"/>
    <s v="PWEGPL"/>
    <s v="MSEDCL"/>
    <n v="2.5000000000000001E-2"/>
    <n v="800"/>
    <x v="91"/>
    <m/>
    <d v="1899-12-30T00:00:00"/>
    <d v="1899-12-30T00:00:00"/>
    <d v="1899-12-30T16:20:00"/>
    <n v="0"/>
    <n v="16.333333333333332"/>
    <n v="16.333333333333332"/>
    <s v="check proportional valve ,cable connection check,check circuit, change cable"/>
    <s v="Close"/>
    <n v="0.40833333333333333"/>
    <m/>
    <n v="0"/>
    <m/>
    <m/>
    <m/>
    <n v="0"/>
    <m/>
    <m/>
    <m/>
    <m/>
  </r>
  <r>
    <n v="132"/>
    <x v="12"/>
    <x v="0"/>
    <x v="0"/>
    <x v="0"/>
    <x v="0"/>
    <x v="37"/>
    <s v="PWEGPL"/>
    <s v="MSEDCL"/>
    <n v="2.5000000000000001E-2"/>
    <n v="1819"/>
    <x v="92"/>
    <m/>
    <d v="1899-12-30T10:42:00"/>
    <d v="1899-12-30T10:42:00"/>
    <d v="1899-12-30T11:38:00"/>
    <n v="0"/>
    <n v="0.93333333333333401"/>
    <n v="0.93333333333333401"/>
    <s v="change generator brush and start WTG"/>
    <s v="Close"/>
    <n v="2.3333333333333352E-2"/>
    <m/>
    <n v="0"/>
    <m/>
    <m/>
    <m/>
    <n v="0"/>
    <m/>
    <m/>
    <m/>
    <m/>
  </r>
  <r>
    <n v="133"/>
    <x v="13"/>
    <x v="0"/>
    <x v="0"/>
    <x v="0"/>
    <x v="0"/>
    <x v="29"/>
    <s v="PWEGPL"/>
    <s v="MSEDCL"/>
    <n v="2.5000000000000001E-2"/>
    <n v="1893"/>
    <x v="93"/>
    <m/>
    <d v="1899-12-30T06:26:00"/>
    <d v="1899-12-30T08:02:00"/>
    <d v="1899-12-30T08:12:00"/>
    <n v="1.5999999999999996"/>
    <n v="0.16666666666666607"/>
    <n v="1.7666666666666657"/>
    <s v="Local Reset"/>
    <s v="Close"/>
    <n v="4.4166666666666646E-2"/>
    <m/>
    <n v="0"/>
    <m/>
    <m/>
    <m/>
    <n v="0"/>
    <m/>
    <m/>
    <m/>
    <m/>
  </r>
  <r>
    <n v="134"/>
    <x v="13"/>
    <x v="0"/>
    <x v="0"/>
    <x v="0"/>
    <x v="0"/>
    <x v="9"/>
    <s v="PWEGPL"/>
    <s v="MSEDCL"/>
    <n v="2.5000000000000001E-2"/>
    <n v="800"/>
    <x v="94"/>
    <m/>
    <d v="1899-12-30T08:06:00"/>
    <d v="1899-12-30T11:01:00"/>
    <d v="1899-12-30T12:18:00"/>
    <n v="2.9166666666666683"/>
    <n v="1.2833333333333341"/>
    <n v="4.2000000000000028"/>
    <s v="check proportional valve ,cable connection check,check circuit, change cable"/>
    <s v="Close"/>
    <n v="0.10500000000000008"/>
    <m/>
    <n v="0"/>
    <m/>
    <m/>
    <m/>
    <n v="0"/>
    <m/>
    <m/>
    <m/>
    <m/>
  </r>
  <r>
    <n v="135"/>
    <x v="13"/>
    <x v="0"/>
    <x v="0"/>
    <x v="0"/>
    <x v="0"/>
    <x v="15"/>
    <s v="PWEGPL"/>
    <s v="MSEDCL"/>
    <n v="2.5000000000000001E-2"/>
    <n v="800"/>
    <x v="95"/>
    <m/>
    <d v="1899-12-30T12:33:00"/>
    <d v="1899-12-30T13:51:00"/>
    <d v="1899-12-30T14:05:00"/>
    <n v="1.299999999999998"/>
    <n v="0.23333333333333517"/>
    <n v="1.5333333333333332"/>
    <s v="Local Reset"/>
    <s v="Close"/>
    <n v="3.833333333333333E-2"/>
    <m/>
    <n v="0"/>
    <m/>
    <m/>
    <m/>
    <n v="0"/>
    <m/>
    <m/>
    <m/>
    <m/>
  </r>
  <r>
    <n v="136"/>
    <x v="13"/>
    <x v="0"/>
    <x v="0"/>
    <x v="0"/>
    <x v="0"/>
    <x v="17"/>
    <s v="PWEGPL"/>
    <s v="MSEDCL"/>
    <n v="2.5000000000000001E-2"/>
    <n v="800"/>
    <x v="96"/>
    <m/>
    <d v="1899-12-30T14:48:00"/>
    <d v="1899-12-30T15:20:00"/>
    <d v="1899-12-30T15:40:00"/>
    <n v="0.5333333333333341"/>
    <n v="0.33333333333333215"/>
    <n v="0.86666666666666625"/>
    <s v="Local Reset"/>
    <s v="Close"/>
    <n v="2.1666666666666657E-2"/>
    <m/>
    <n v="0"/>
    <m/>
    <m/>
    <m/>
    <n v="0"/>
    <m/>
    <m/>
    <m/>
    <m/>
  </r>
  <r>
    <n v="137"/>
    <x v="14"/>
    <x v="0"/>
    <x v="0"/>
    <x v="0"/>
    <x v="0"/>
    <x v="17"/>
    <s v="PWEGPL"/>
    <s v="MSEDCL"/>
    <n v="2.5000000000000001E-2"/>
    <n v="800"/>
    <x v="97"/>
    <m/>
    <d v="1899-12-30T03:21:00"/>
    <d v="1899-12-30T04:09:00"/>
    <d v="1899-12-30T04:13:00"/>
    <n v="0.80000000000000049"/>
    <n v="6.666666666666643E-2"/>
    <n v="0.86666666666666692"/>
    <s v="Local Reset"/>
    <s v="Close"/>
    <n v="2.1666666666666674E-2"/>
    <m/>
    <n v="0"/>
    <m/>
    <m/>
    <m/>
    <n v="0"/>
    <m/>
    <m/>
    <m/>
    <m/>
  </r>
  <r>
    <n v="138"/>
    <x v="14"/>
    <x v="0"/>
    <x v="0"/>
    <x v="0"/>
    <x v="0"/>
    <x v="17"/>
    <s v="PWEGPL"/>
    <s v="MSEDCL"/>
    <n v="2.5000000000000001E-2"/>
    <n v="800"/>
    <x v="98"/>
    <m/>
    <d v="1899-12-30T14:34:00"/>
    <d v="1899-12-30T15:17:00"/>
    <d v="1899-12-30T16:28:00"/>
    <n v="0.71666666666666679"/>
    <n v="1.1833333333333318"/>
    <n v="1.8999999999999986"/>
    <s v="check proportional valve ,cable connection check,check circuit, change cable"/>
    <s v="Close"/>
    <n v="4.7499999999999966E-2"/>
    <m/>
    <n v="0"/>
    <m/>
    <m/>
    <m/>
    <n v="0"/>
    <m/>
    <m/>
    <m/>
    <m/>
  </r>
  <r>
    <n v="139"/>
    <x v="14"/>
    <x v="0"/>
    <x v="0"/>
    <x v="0"/>
    <x v="0"/>
    <x v="9"/>
    <s v="PWEGPL"/>
    <s v="MSEDCL"/>
    <n v="2.5000000000000001E-2"/>
    <n v="800"/>
    <x v="99"/>
    <m/>
    <d v="1899-12-30T16:41:00"/>
    <d v="1899-12-30T16:59:00"/>
    <d v="1899-12-30T22:55:00"/>
    <n v="0.3000000000000016"/>
    <n v="5.9333333333333336"/>
    <n v="6.2333333333333352"/>
    <s v="check proportional valve ,cable connection check,check circuit, change cable"/>
    <s v="Close"/>
    <n v="0.15583333333333338"/>
    <m/>
    <n v="0"/>
    <m/>
    <m/>
    <m/>
    <n v="0"/>
    <m/>
    <m/>
    <m/>
    <m/>
  </r>
  <r>
    <n v="140"/>
    <x v="14"/>
    <x v="0"/>
    <x v="0"/>
    <x v="0"/>
    <x v="0"/>
    <x v="15"/>
    <s v="PWEGPL"/>
    <s v="MSEDCL"/>
    <n v="2.5000000000000001E-2"/>
    <n v="800"/>
    <x v="100"/>
    <m/>
    <d v="1899-12-30T12:53:00"/>
    <d v="1899-12-30T14:24:00"/>
    <d v="1899-12-30T23:21:00"/>
    <n v="1.5166666666666666"/>
    <n v="8.9500000000000028"/>
    <n v="10.466666666666669"/>
    <s v="check proportional valve ,cable connection check,check circuit, change cable"/>
    <s v="Close"/>
    <n v="0.26166666666666671"/>
    <m/>
    <n v="0"/>
    <m/>
    <m/>
    <m/>
    <n v="0"/>
    <m/>
    <m/>
    <m/>
    <m/>
  </r>
  <r>
    <n v="141"/>
    <x v="15"/>
    <x v="0"/>
    <x v="0"/>
    <x v="0"/>
    <x v="0"/>
    <x v="17"/>
    <s v="PWEGPL"/>
    <s v="MSEDCL"/>
    <n v="2.5000000000000001E-2"/>
    <n v="800"/>
    <x v="101"/>
    <m/>
    <d v="1899-12-30T03:02:00"/>
    <d v="1899-12-30T04:30:00"/>
    <d v="1899-12-30T04:38:00"/>
    <n v="1.4666666666666668"/>
    <n v="0.13333333333333286"/>
    <n v="1.5999999999999996"/>
    <s v="Local Reset"/>
    <s v="Close"/>
    <n v="3.9999999999999994E-2"/>
    <m/>
    <n v="0"/>
    <m/>
    <m/>
    <m/>
    <n v="0"/>
    <m/>
    <m/>
    <m/>
    <m/>
  </r>
  <r>
    <n v="142"/>
    <x v="15"/>
    <x v="0"/>
    <x v="0"/>
    <x v="0"/>
    <x v="0"/>
    <x v="17"/>
    <s v="PWEGPL"/>
    <s v="MSEDCL"/>
    <n v="2.5000000000000001E-2"/>
    <n v="800"/>
    <x v="102"/>
    <m/>
    <d v="1899-12-30T12:32:00"/>
    <d v="1899-12-30T13:48:00"/>
    <d v="1899-12-30T14:54:00"/>
    <n v="1.2666666666666675"/>
    <n v="1.0999999999999988"/>
    <n v="2.3666666666666663"/>
    <s v="check proportional valve ,cable connection check circuit"/>
    <s v="Close"/>
    <n v="5.9166666666666659E-2"/>
    <m/>
    <n v="0"/>
    <m/>
    <m/>
    <m/>
    <n v="0"/>
    <m/>
    <m/>
    <m/>
    <m/>
  </r>
  <r>
    <n v="143"/>
    <x v="15"/>
    <x v="0"/>
    <x v="0"/>
    <x v="0"/>
    <x v="0"/>
    <x v="15"/>
    <s v="PWEGPL"/>
    <s v="MSEDCL"/>
    <n v="2.5000000000000001E-2"/>
    <n v="800"/>
    <x v="103"/>
    <m/>
    <d v="1899-12-30T12:53:00"/>
    <d v="1899-12-30T14:03:00"/>
    <d v="1899-12-30T15:04:00"/>
    <n v="1.1666666666666679"/>
    <n v="1.0166666666666657"/>
    <n v="2.1833333333333336"/>
    <s v="check proportional valve ,cable connection check circuit"/>
    <s v="Close"/>
    <n v="5.4583333333333345E-2"/>
    <m/>
    <n v="0"/>
    <m/>
    <m/>
    <m/>
    <n v="0"/>
    <m/>
    <m/>
    <m/>
    <m/>
  </r>
  <r>
    <n v="144"/>
    <x v="16"/>
    <x v="0"/>
    <x v="0"/>
    <x v="1"/>
    <x v="0"/>
    <x v="17"/>
    <s v="PWEGPL"/>
    <s v="MSEDCL"/>
    <n v="2.5000000000000001E-2"/>
    <n v="800"/>
    <x v="104"/>
    <m/>
    <d v="1899-12-30T14:22:00"/>
    <d v="1899-12-30T15:15:00"/>
    <d v="1899-12-30T16:39:00"/>
    <n v="0.88333333333333286"/>
    <n v="1.4000000000000004"/>
    <n v="2.2833333333333332"/>
    <s v="Troubleshooting done"/>
    <s v="Close"/>
    <n v="5.7083333333333333E-2"/>
    <m/>
    <n v="0"/>
    <m/>
    <m/>
    <m/>
    <n v="0"/>
    <m/>
    <m/>
    <m/>
    <m/>
  </r>
  <r>
    <n v="145"/>
    <x v="16"/>
    <x v="0"/>
    <x v="0"/>
    <x v="1"/>
    <x v="0"/>
    <x v="27"/>
    <s v="PWEGPL"/>
    <s v="MSEDCL"/>
    <n v="2.5000000000000001E-2"/>
    <n v="500"/>
    <x v="105"/>
    <m/>
    <d v="1899-12-30T23:05:00"/>
    <d v="1899-12-30T23:20:00"/>
    <d v="1899-12-30T23:48:00"/>
    <n v="0.25000000000000178"/>
    <n v="0.46666666666666767"/>
    <n v="0.71666666666666945"/>
    <s v="Auto-Reset"/>
    <s v="Close"/>
    <n v="1.7916666666666737E-2"/>
    <m/>
    <n v="0"/>
    <m/>
    <m/>
    <m/>
    <n v="0"/>
    <m/>
    <m/>
    <m/>
    <m/>
  </r>
  <r>
    <n v="146"/>
    <x v="16"/>
    <x v="0"/>
    <x v="0"/>
    <x v="1"/>
    <x v="0"/>
    <x v="9"/>
    <s v="PWEGPL"/>
    <s v="MSEDCL"/>
    <n v="2.5000000000000001E-2"/>
    <n v="800"/>
    <x v="106"/>
    <m/>
    <d v="1899-12-30T14:10:00"/>
    <d v="1899-12-30T14:50:00"/>
    <d v="1899-12-30T16:28:00"/>
    <n v="0.66666666666666696"/>
    <n v="1.6333333333333302"/>
    <n v="2.2999999999999972"/>
    <s v="Troubleshooting done"/>
    <s v="Close"/>
    <n v="5.7499999999999933E-2"/>
    <m/>
    <n v="0"/>
    <m/>
    <m/>
    <m/>
    <n v="0"/>
    <m/>
    <m/>
    <m/>
    <m/>
  </r>
  <r>
    <n v="147"/>
    <x v="16"/>
    <x v="0"/>
    <x v="0"/>
    <x v="1"/>
    <x v="0"/>
    <x v="15"/>
    <s v="PWEGPL"/>
    <s v="MSEDCL"/>
    <n v="2.5000000000000001E-2"/>
    <n v="800"/>
    <x v="107"/>
    <m/>
    <d v="1899-12-30T12:17:00"/>
    <d v="1899-12-30T13:15:00"/>
    <d v="1899-12-30T17:04:00"/>
    <n v="0.96666666666666856"/>
    <n v="3.8166666666666664"/>
    <n v="4.783333333333335"/>
    <s v="Troubleshooting done"/>
    <s v="Close"/>
    <n v="0.11958333333333337"/>
    <m/>
    <n v="0"/>
    <m/>
    <m/>
    <m/>
    <n v="0"/>
    <m/>
    <m/>
    <m/>
    <m/>
  </r>
  <r>
    <n v="148"/>
    <x v="17"/>
    <x v="0"/>
    <x v="0"/>
    <x v="1"/>
    <x v="0"/>
    <x v="20"/>
    <s v="PWEGPL"/>
    <s v="MSEDCL"/>
    <n v="2.5000000000000001E-2"/>
    <n v="5216"/>
    <x v="108"/>
    <m/>
    <d v="1899-12-30T08:02:00"/>
    <d v="1899-12-30T10:50:00"/>
    <d v="1899-12-30T10:52:00"/>
    <n v="2.8000000000000007"/>
    <n v="3.3333333333333215E-2"/>
    <n v="2.8333333333333339"/>
    <s v="Reset &amp; Stand Feeder"/>
    <s v="Close"/>
    <n v="7.0833333333333345E-2"/>
    <m/>
    <n v="0"/>
    <m/>
    <m/>
    <m/>
    <n v="0"/>
    <m/>
    <m/>
    <m/>
    <m/>
  </r>
  <r>
    <n v="149"/>
    <x v="17"/>
    <x v="0"/>
    <x v="0"/>
    <x v="1"/>
    <x v="0"/>
    <x v="21"/>
    <s v="PWEGPL"/>
    <s v="MSEDCL"/>
    <n v="2.5000000000000001E-2"/>
    <n v="5216"/>
    <x v="108"/>
    <m/>
    <d v="1899-12-30T08:02:00"/>
    <d v="1899-12-30T10:50:00"/>
    <d v="1899-12-30T10:52:00"/>
    <n v="2.8000000000000007"/>
    <n v="3.3333333333333215E-2"/>
    <n v="2.8333333333333339"/>
    <s v="Reset &amp; Stand Feeder"/>
    <s v="Close"/>
    <n v="7.0833333333333345E-2"/>
    <m/>
    <n v="0"/>
    <m/>
    <m/>
    <m/>
    <n v="0"/>
    <m/>
    <m/>
    <m/>
    <m/>
  </r>
  <r>
    <n v="150"/>
    <x v="17"/>
    <x v="0"/>
    <x v="0"/>
    <x v="1"/>
    <x v="0"/>
    <x v="22"/>
    <s v="PWEGPL"/>
    <s v="MSEDCL"/>
    <n v="2.5000000000000001E-2"/>
    <n v="5216"/>
    <x v="108"/>
    <m/>
    <d v="1899-12-30T08:02:00"/>
    <d v="1899-12-30T10:50:00"/>
    <d v="1899-12-30T10:52:00"/>
    <n v="2.8000000000000007"/>
    <n v="3.3333333333333215E-2"/>
    <n v="2.8333333333333339"/>
    <s v="Reset &amp; Stand Feeder"/>
    <s v="Close"/>
    <n v="7.0833333333333345E-2"/>
    <m/>
    <n v="0"/>
    <m/>
    <m/>
    <m/>
    <n v="0"/>
    <m/>
    <m/>
    <m/>
    <m/>
  </r>
  <r>
    <n v="151"/>
    <x v="17"/>
    <x v="0"/>
    <x v="0"/>
    <x v="1"/>
    <x v="0"/>
    <x v="23"/>
    <s v="PWEGPL"/>
    <s v="MSEDCL"/>
    <n v="2.5000000000000001E-2"/>
    <n v="5216"/>
    <x v="108"/>
    <m/>
    <d v="1899-12-30T08:02:00"/>
    <d v="1899-12-30T10:50:00"/>
    <d v="1899-12-30T10:52:00"/>
    <n v="2.8000000000000007"/>
    <n v="3.3333333333333215E-2"/>
    <n v="2.8333333333333339"/>
    <s v="Reset &amp; Stand Feeder"/>
    <s v="Close"/>
    <n v="7.0833333333333345E-2"/>
    <m/>
    <n v="0"/>
    <m/>
    <m/>
    <m/>
    <n v="0"/>
    <m/>
    <m/>
    <m/>
    <m/>
  </r>
  <r>
    <n v="152"/>
    <x v="17"/>
    <x v="0"/>
    <x v="0"/>
    <x v="1"/>
    <x v="0"/>
    <x v="25"/>
    <s v="PWEGPL"/>
    <s v="MSEDCL"/>
    <n v="2.5000000000000001E-2"/>
    <n v="5216"/>
    <x v="108"/>
    <m/>
    <d v="1899-12-30T08:02:00"/>
    <d v="1899-12-30T10:50:00"/>
    <d v="1899-12-30T10:52:00"/>
    <n v="2.8000000000000007"/>
    <n v="3.3333333333333215E-2"/>
    <n v="2.8333333333333339"/>
    <s v="Reset &amp; Stand Feeder"/>
    <s v="Close"/>
    <n v="7.0833333333333345E-2"/>
    <m/>
    <n v="0"/>
    <m/>
    <m/>
    <m/>
    <n v="0"/>
    <m/>
    <m/>
    <m/>
    <m/>
  </r>
  <r>
    <n v="153"/>
    <x v="17"/>
    <x v="0"/>
    <x v="0"/>
    <x v="1"/>
    <x v="0"/>
    <x v="26"/>
    <s v="PWEGPL"/>
    <s v="MSEDCL"/>
    <n v="2.5000000000000001E-2"/>
    <n v="5216"/>
    <x v="108"/>
    <m/>
    <d v="1899-12-30T08:02:00"/>
    <d v="1899-12-30T10:50:00"/>
    <d v="1899-12-30T10:52:00"/>
    <n v="2.8000000000000007"/>
    <n v="3.3333333333333215E-2"/>
    <n v="2.8333333333333339"/>
    <s v="Reset &amp; Stand Feeder"/>
    <s v="Close"/>
    <n v="7.0833333333333345E-2"/>
    <m/>
    <n v="0"/>
    <m/>
    <m/>
    <m/>
    <n v="0"/>
    <m/>
    <m/>
    <m/>
    <m/>
  </r>
  <r>
    <n v="154"/>
    <x v="17"/>
    <x v="0"/>
    <x v="0"/>
    <x v="1"/>
    <x v="0"/>
    <x v="17"/>
    <s v="PWEGPL"/>
    <s v="MSEDCL"/>
    <n v="2.5000000000000001E-2"/>
    <n v="5216"/>
    <x v="109"/>
    <m/>
    <d v="1899-12-30T08:02:00"/>
    <d v="1899-12-30T10:50:00"/>
    <d v="1899-12-30T10:52:00"/>
    <n v="2.8000000000000007"/>
    <n v="3.3333333333333215E-2"/>
    <n v="2.8333333333333339"/>
    <s v="Reset &amp; Stand Feeder"/>
    <s v="Close"/>
    <n v="7.0833333333333345E-2"/>
    <m/>
    <n v="0"/>
    <m/>
    <m/>
    <m/>
    <n v="0"/>
    <m/>
    <m/>
    <m/>
    <m/>
  </r>
  <r>
    <n v="155"/>
    <x v="17"/>
    <x v="0"/>
    <x v="0"/>
    <x v="1"/>
    <x v="0"/>
    <x v="27"/>
    <s v="PWEGPL"/>
    <s v="MSEDCL"/>
    <n v="2.5000000000000001E-2"/>
    <n v="500"/>
    <x v="110"/>
    <m/>
    <d v="1899-12-30T06:43:00"/>
    <d v="1899-12-30T07:15:00"/>
    <d v="1899-12-30T08:54:00"/>
    <n v="0.53333333333333277"/>
    <n v="1.6500000000000008"/>
    <n v="2.1833333333333336"/>
    <s v=" Generator Earthing brush changed"/>
    <s v="Close"/>
    <n v="5.4583333333333345E-2"/>
    <m/>
    <n v="0"/>
    <m/>
    <m/>
    <m/>
    <n v="0"/>
    <m/>
    <m/>
    <m/>
    <m/>
  </r>
  <r>
    <n v="156"/>
    <x v="17"/>
    <x v="0"/>
    <x v="0"/>
    <x v="1"/>
    <x v="0"/>
    <x v="28"/>
    <s v="PWEGPL"/>
    <s v="MSEDCL"/>
    <n v="2.5000000000000001E-2"/>
    <n v="5216"/>
    <x v="108"/>
    <m/>
    <d v="1899-12-30T08:02:00"/>
    <d v="1899-12-30T10:50:00"/>
    <d v="1899-12-30T10:52:00"/>
    <n v="2.8000000000000007"/>
    <n v="3.3333333333333215E-2"/>
    <n v="2.8333333333333339"/>
    <s v="Reset &amp; Stand Feeder"/>
    <s v="Close"/>
    <n v="7.0833333333333345E-2"/>
    <m/>
    <n v="0"/>
    <m/>
    <m/>
    <m/>
    <n v="0"/>
    <m/>
    <m/>
    <m/>
    <m/>
  </r>
  <r>
    <n v="157"/>
    <x v="17"/>
    <x v="0"/>
    <x v="0"/>
    <x v="1"/>
    <x v="0"/>
    <x v="29"/>
    <s v="PWEGPL"/>
    <s v="MSEDCL"/>
    <n v="2.5000000000000001E-2"/>
    <n v="5216"/>
    <x v="108"/>
    <m/>
    <d v="1899-12-30T08:02:00"/>
    <d v="1899-12-30T10:50:00"/>
    <d v="1899-12-30T10:52:00"/>
    <n v="2.8000000000000007"/>
    <n v="3.3333333333333215E-2"/>
    <n v="2.8333333333333339"/>
    <s v="Reset &amp; Stand Feeder"/>
    <s v="Close"/>
    <n v="7.0833333333333345E-2"/>
    <m/>
    <n v="0"/>
    <m/>
    <m/>
    <m/>
    <n v="0"/>
    <m/>
    <m/>
    <m/>
    <m/>
  </r>
  <r>
    <n v="158"/>
    <x v="17"/>
    <x v="0"/>
    <x v="0"/>
    <x v="1"/>
    <x v="0"/>
    <x v="9"/>
    <s v="PWEGPL"/>
    <s v="MSEDCL"/>
    <n v="2.5000000000000001E-2"/>
    <n v="800"/>
    <x v="111"/>
    <m/>
    <d v="1899-12-30T08:54:00"/>
    <d v="1899-12-30T09:45:00"/>
    <d v="1899-12-30T11:48:00"/>
    <n v="0.84999999999999964"/>
    <n v="2.0500000000000007"/>
    <n v="2.9000000000000004"/>
    <s v="Troubleshooting done &amp; Reset the Machine-Material not available"/>
    <s v="Close"/>
    <n v="7.2500000000000009E-2"/>
    <m/>
    <n v="0"/>
    <m/>
    <m/>
    <m/>
    <n v="0"/>
    <m/>
    <m/>
    <m/>
    <m/>
  </r>
  <r>
    <n v="159"/>
    <x v="17"/>
    <x v="0"/>
    <x v="0"/>
    <x v="1"/>
    <x v="0"/>
    <x v="15"/>
    <s v="PWEGPL"/>
    <s v="MSEDCL"/>
    <n v="2.5000000000000001E-2"/>
    <n v="800"/>
    <x v="112"/>
    <m/>
    <d v="1899-12-30T12:10:00"/>
    <d v="1899-12-30T13:00:00"/>
    <d v="1899-12-30T14:39:00"/>
    <n v="0.83333333333333304"/>
    <n v="1.6500000000000021"/>
    <n v="2.4833333333333352"/>
    <s v="Troubleshooting done &amp; Reset the Machine-Material not available"/>
    <s v="Close"/>
    <n v="6.2083333333333379E-2"/>
    <m/>
    <n v="0"/>
    <m/>
    <m/>
    <m/>
    <n v="0"/>
    <m/>
    <m/>
    <m/>
    <m/>
  </r>
  <r>
    <n v="160"/>
    <x v="17"/>
    <x v="0"/>
    <x v="0"/>
    <x v="1"/>
    <x v="0"/>
    <x v="17"/>
    <s v="PWEGPL"/>
    <s v="MSEDCL"/>
    <n v="2.5000000000000001E-2"/>
    <n v="800"/>
    <x v="113"/>
    <m/>
    <d v="1899-12-30T11:32:00"/>
    <d v="1899-12-30T13:00:00"/>
    <d v="1899-12-30T14:52:00"/>
    <n v="1.4666666666666655"/>
    <n v="1.866666666666668"/>
    <n v="3.3333333333333335"/>
    <s v="PLC replaced"/>
    <s v="Close"/>
    <n v="8.3333333333333343E-2"/>
    <m/>
    <n v="0"/>
    <m/>
    <m/>
    <m/>
    <n v="0"/>
    <m/>
    <m/>
    <m/>
    <m/>
  </r>
  <r>
    <n v="161"/>
    <x v="17"/>
    <x v="0"/>
    <x v="0"/>
    <x v="1"/>
    <x v="0"/>
    <x v="15"/>
    <s v="PWEGPL"/>
    <s v="MSEDCL"/>
    <n v="2.5000000000000001E-2"/>
    <n v="108"/>
    <x v="114"/>
    <m/>
    <d v="1899-12-30T14:26:00"/>
    <d v="1899-12-30T15:30:00"/>
    <d v="1899-12-30T17:08:00"/>
    <n v="1.0666666666666682"/>
    <n v="1.6333333333333329"/>
    <n v="2.7000000000000011"/>
    <s v="Troubleshooting done &amp; Reset the Machine-Material not available"/>
    <s v="Close"/>
    <n v="6.7500000000000032E-2"/>
    <m/>
    <n v="0"/>
    <m/>
    <m/>
    <m/>
    <n v="0"/>
    <m/>
    <m/>
    <m/>
    <m/>
  </r>
  <r>
    <n v="162"/>
    <x v="18"/>
    <x v="0"/>
    <x v="0"/>
    <x v="1"/>
    <x v="0"/>
    <x v="18"/>
    <s v="PWEGPL"/>
    <s v="MSEDCL"/>
    <n v="2.5000000000000001E-2"/>
    <s v="CE100001"/>
    <x v="115"/>
    <m/>
    <d v="1899-12-30T10:29:00"/>
    <d v="1899-12-30T10:29:00"/>
    <d v="1899-12-30T16:24:00"/>
    <n v="0"/>
    <n v="5.9166666666666661"/>
    <n v="5.9166666666666661"/>
    <s v="Manual Stop"/>
    <s v="Close"/>
    <n v="0.14791666666666667"/>
    <m/>
    <n v="0"/>
    <m/>
    <m/>
    <m/>
    <n v="0"/>
    <m/>
    <m/>
    <m/>
    <m/>
  </r>
  <r>
    <n v="163"/>
    <x v="18"/>
    <x v="0"/>
    <x v="0"/>
    <x v="1"/>
    <x v="0"/>
    <x v="8"/>
    <s v="PWEGPL"/>
    <s v="MSEDCL"/>
    <n v="2.5000000000000001E-2"/>
    <s v="CE100001"/>
    <x v="116"/>
    <m/>
    <d v="1899-12-30T11:03:00"/>
    <d v="1899-12-30T11:03:00"/>
    <d v="1899-12-30T14:21:00"/>
    <n v="0"/>
    <n v="3.2999999999999989"/>
    <n v="3.2999999999999989"/>
    <s v="Manual Stop"/>
    <s v="Close"/>
    <n v="8.2499999999999976E-2"/>
    <m/>
    <n v="0"/>
    <m/>
    <m/>
    <m/>
    <n v="0"/>
    <m/>
    <m/>
    <m/>
    <m/>
  </r>
  <r>
    <n v="164"/>
    <x v="18"/>
    <x v="0"/>
    <x v="0"/>
    <x v="1"/>
    <x v="0"/>
    <x v="9"/>
    <s v="PWEGPL"/>
    <s v="MSEDCL"/>
    <n v="2.5000000000000001E-2"/>
    <n v="800"/>
    <x v="117"/>
    <m/>
    <d v="1899-12-30T09:27:00"/>
    <d v="1899-12-30T11:16:00"/>
    <d v="1899-12-30T11:50:00"/>
    <n v="1.8166666666666682"/>
    <n v="0.56666666666666599"/>
    <n v="2.3833333333333342"/>
    <s v="Troubleshooting done &amp; Reset the Machine-Material not available"/>
    <s v="Close"/>
    <n v="5.9583333333333356E-2"/>
    <m/>
    <n v="0"/>
    <m/>
    <m/>
    <m/>
    <n v="0"/>
    <m/>
    <m/>
    <m/>
    <m/>
  </r>
  <r>
    <n v="165"/>
    <x v="18"/>
    <x v="0"/>
    <x v="0"/>
    <x v="1"/>
    <x v="0"/>
    <x v="13"/>
    <s v="PWEGPL"/>
    <s v="MSEDCL"/>
    <n v="2.5000000000000001E-2"/>
    <n v="9922"/>
    <x v="118"/>
    <m/>
    <d v="1899-12-30T13:45:00"/>
    <d v="1899-12-30T13:45:00"/>
    <d v="1899-12-30T15:07:00"/>
    <n v="0"/>
    <n v="1.3666666666666671"/>
    <n v="1.3666666666666671"/>
    <s v="LC taken for Tree cutting"/>
    <s v="Close"/>
    <n v="3.4166666666666679E-2"/>
    <m/>
    <n v="0"/>
    <m/>
    <m/>
    <m/>
    <n v="0"/>
    <m/>
    <m/>
    <m/>
    <m/>
  </r>
  <r>
    <n v="166"/>
    <x v="18"/>
    <x v="0"/>
    <x v="0"/>
    <x v="1"/>
    <x v="0"/>
    <x v="14"/>
    <s v="PWEGPL"/>
    <s v="MSEDCL"/>
    <n v="2.5000000000000001E-2"/>
    <n v="9922"/>
    <x v="118"/>
    <m/>
    <d v="1899-12-30T13:45:00"/>
    <d v="1899-12-30T13:45:00"/>
    <d v="1899-12-30T15:07:00"/>
    <n v="0"/>
    <n v="1.3666666666666671"/>
    <n v="1.3666666666666671"/>
    <s v="LC taken for Tree cutting"/>
    <s v="Close"/>
    <n v="3.4166666666666679E-2"/>
    <m/>
    <n v="0"/>
    <m/>
    <m/>
    <m/>
    <n v="0"/>
    <m/>
    <m/>
    <m/>
    <m/>
  </r>
  <r>
    <n v="167"/>
    <x v="18"/>
    <x v="0"/>
    <x v="0"/>
    <x v="1"/>
    <x v="0"/>
    <x v="15"/>
    <s v="PWEGPL"/>
    <s v="MSEDCL"/>
    <n v="2.5000000000000001E-2"/>
    <n v="9922"/>
    <x v="119"/>
    <m/>
    <d v="1899-12-30T13:45:00"/>
    <d v="1899-12-30T13:45:00"/>
    <d v="1899-12-30T15:07:00"/>
    <n v="0"/>
    <n v="1.3666666666666671"/>
    <n v="1.3666666666666671"/>
    <s v="LC taken for Tree cutting"/>
    <s v="Close"/>
    <n v="3.4166666666666679E-2"/>
    <m/>
    <n v="0"/>
    <m/>
    <m/>
    <m/>
    <n v="0"/>
    <m/>
    <m/>
    <m/>
    <m/>
  </r>
  <r>
    <n v="168"/>
    <x v="18"/>
    <x v="0"/>
    <x v="0"/>
    <x v="1"/>
    <x v="0"/>
    <x v="16"/>
    <s v="PWEGPL"/>
    <s v="MSEDCL"/>
    <n v="2.5000000000000001E-2"/>
    <n v="9922"/>
    <x v="118"/>
    <m/>
    <d v="1899-12-30T13:45:00"/>
    <d v="1899-12-30T13:45:00"/>
    <d v="1899-12-30T15:07:00"/>
    <n v="0"/>
    <n v="1.3666666666666671"/>
    <n v="1.3666666666666671"/>
    <s v="LC taken for Tree cutting"/>
    <s v="Close"/>
    <n v="3.4166666666666679E-2"/>
    <m/>
    <n v="0"/>
    <m/>
    <m/>
    <m/>
    <n v="0"/>
    <m/>
    <m/>
    <m/>
    <m/>
  </r>
  <r>
    <n v="169"/>
    <x v="18"/>
    <x v="0"/>
    <x v="0"/>
    <x v="1"/>
    <x v="0"/>
    <x v="4"/>
    <s v="PWEGPL"/>
    <s v="MSEDCL"/>
    <n v="2.5000000000000001E-2"/>
    <n v="9922"/>
    <x v="118"/>
    <m/>
    <d v="1899-12-30T13:45:00"/>
    <d v="1899-12-30T13:45:00"/>
    <d v="1899-12-30T15:07:00"/>
    <n v="0"/>
    <n v="1.3666666666666671"/>
    <n v="1.3666666666666671"/>
    <s v="LC taken for Tree cutting"/>
    <s v="Close"/>
    <n v="3.4166666666666679E-2"/>
    <m/>
    <n v="0"/>
    <m/>
    <m/>
    <m/>
    <n v="0"/>
    <m/>
    <m/>
    <m/>
    <m/>
  </r>
  <r>
    <n v="170"/>
    <x v="18"/>
    <x v="0"/>
    <x v="0"/>
    <x v="1"/>
    <x v="0"/>
    <x v="15"/>
    <s v="PWEGPL"/>
    <s v="MSEDCL"/>
    <n v="2.5000000000000001E-2"/>
    <n v="800"/>
    <x v="120"/>
    <m/>
    <d v="1899-12-30T12:56:00"/>
    <d v="1899-12-30T14:45:00"/>
    <d v="1899-12-30T15:04:00"/>
    <n v="1.8166666666666682"/>
    <n v="0.31666666666666554"/>
    <n v="2.1333333333333337"/>
    <s v="Troubleshooting done &amp; Reset the Machine-Material not available"/>
    <s v="Close"/>
    <n v="5.3333333333333344E-2"/>
    <m/>
    <n v="0"/>
    <m/>
    <m/>
    <m/>
    <n v="0"/>
    <m/>
    <m/>
    <m/>
    <m/>
  </r>
  <r>
    <n v="171"/>
    <x v="19"/>
    <x v="0"/>
    <x v="0"/>
    <x v="1"/>
    <x v="0"/>
    <x v="9"/>
    <s v="PWEGPL"/>
    <s v="MSEDCL"/>
    <n v="2.5000000000000001E-2"/>
    <n v="800"/>
    <x v="121"/>
    <m/>
    <d v="1899-12-30T02:37:00"/>
    <d v="1899-12-30T04:10:00"/>
    <d v="1899-12-30T04:54:00"/>
    <n v="1.5500000000000005"/>
    <n v="0.73333333333333339"/>
    <n v="2.2833333333333341"/>
    <s v="Troubleshooting done &amp; Reset the Machine-Material not available"/>
    <s v="Close"/>
    <n v="5.7083333333333354E-2"/>
    <m/>
    <n v="0"/>
    <m/>
    <m/>
    <m/>
    <n v="0"/>
    <m/>
    <m/>
    <m/>
    <m/>
  </r>
  <r>
    <n v="172"/>
    <x v="19"/>
    <x v="0"/>
    <x v="0"/>
    <x v="1"/>
    <x v="0"/>
    <x v="9"/>
    <s v="PWEGPL"/>
    <s v="MSEDCL"/>
    <n v="2.5000000000000001E-2"/>
    <n v="800"/>
    <x v="122"/>
    <m/>
    <d v="1899-12-30T12:53:00"/>
    <d v="1899-12-30T13:30:00"/>
    <d v="1899-12-30T14:46:00"/>
    <n v="0.61666666666666714"/>
    <n v="1.2666666666666675"/>
    <n v="1.8833333333333346"/>
    <s v="Troubleshooting done &amp; Reset the Machine-Material not available"/>
    <s v="Close"/>
    <n v="4.7083333333333366E-2"/>
    <m/>
    <n v="0"/>
    <m/>
    <m/>
    <m/>
    <n v="0"/>
    <m/>
    <m/>
    <m/>
    <m/>
  </r>
  <r>
    <n v="173"/>
    <x v="19"/>
    <x v="0"/>
    <x v="0"/>
    <x v="1"/>
    <x v="0"/>
    <x v="3"/>
    <s v="PWEGPL"/>
    <s v="MSEDCL"/>
    <n v="2.5000000000000001E-2"/>
    <n v="5200"/>
    <x v="123"/>
    <m/>
    <d v="1899-12-30T08:58:00"/>
    <d v="1899-12-30T10:54:00"/>
    <d v="1899-12-30T11:57:00"/>
    <n v="1.9333333333333331"/>
    <n v="1.0499999999999989"/>
    <n v="2.9833333333333321"/>
    <s v="MPCB tripped- Started"/>
    <s v="Close"/>
    <n v="7.4583333333333307E-2"/>
    <m/>
    <n v="0"/>
    <m/>
    <m/>
    <m/>
    <n v="0"/>
    <m/>
    <m/>
    <m/>
    <m/>
  </r>
  <r>
    <n v="174"/>
    <x v="19"/>
    <x v="0"/>
    <x v="0"/>
    <x v="1"/>
    <x v="0"/>
    <x v="15"/>
    <s v="PWEGPL"/>
    <s v="MSEDCL"/>
    <n v="2.5000000000000001E-2"/>
    <n v="800"/>
    <x v="124"/>
    <m/>
    <d v="1899-12-30T12:46:00"/>
    <d v="1899-12-30T15:16:00"/>
    <d v="1899-12-30T16:32:00"/>
    <n v="2.5000000000000018"/>
    <n v="1.2666666666666675"/>
    <n v="3.7666666666666693"/>
    <s v="Troubleshooting done &amp; Reset the Machine-Material not available"/>
    <s v="Close"/>
    <n v="9.4166666666666732E-2"/>
    <m/>
    <n v="0"/>
    <m/>
    <m/>
    <m/>
    <n v="0"/>
    <m/>
    <m/>
    <m/>
    <m/>
  </r>
  <r>
    <n v="175"/>
    <x v="20"/>
    <x v="0"/>
    <x v="0"/>
    <x v="1"/>
    <x v="0"/>
    <x v="21"/>
    <s v="PWEGPL"/>
    <s v="MSEDCL"/>
    <n v="2.5000000000000001E-2"/>
    <n v="205"/>
    <x v="125"/>
    <m/>
    <d v="1899-12-30T13:27:00"/>
    <d v="1899-12-30T15:12:00"/>
    <d v="1899-12-30T15:41:00"/>
    <n v="1.7499999999999991"/>
    <n v="0.48333333333333428"/>
    <n v="2.2333333333333334"/>
    <s v="Oil Topup"/>
    <s v="Close"/>
    <n v="5.5833333333333339E-2"/>
    <m/>
    <n v="0"/>
    <m/>
    <m/>
    <m/>
    <n v="0"/>
    <m/>
    <m/>
    <m/>
    <m/>
  </r>
  <r>
    <n v="176"/>
    <x v="20"/>
    <x v="0"/>
    <x v="0"/>
    <x v="1"/>
    <x v="0"/>
    <x v="17"/>
    <s v="PWEGPL"/>
    <s v="MSEDCL"/>
    <n v="2.5000000000000001E-2"/>
    <n v="800"/>
    <x v="126"/>
    <m/>
    <d v="1899-12-30T07:26:00"/>
    <d v="1899-12-30T09:43:00"/>
    <d v="1899-12-30T09:54:00"/>
    <n v="2.2833333333333332"/>
    <n v="0.18333333333333401"/>
    <n v="2.4666666666666672"/>
    <s v="Troubleshooting done &amp; Reset the Machine-Material not available"/>
    <s v="Close"/>
    <n v="6.1666666666666682E-2"/>
    <m/>
    <n v="0"/>
    <m/>
    <m/>
    <m/>
    <n v="0"/>
    <m/>
    <m/>
    <m/>
    <m/>
  </r>
  <r>
    <n v="177"/>
    <x v="20"/>
    <x v="0"/>
    <x v="0"/>
    <x v="1"/>
    <x v="0"/>
    <x v="9"/>
    <s v="PWEGPL"/>
    <s v="MSEDCL"/>
    <n v="2.5000000000000001E-2"/>
    <n v="800"/>
    <x v="127"/>
    <m/>
    <d v="1899-12-30T12:00:00"/>
    <d v="1899-12-30T13:02:00"/>
    <d v="1899-12-30T13:56:00"/>
    <n v="1.0333333333333323"/>
    <n v="0.90000000000000213"/>
    <n v="1.9333333333333345"/>
    <s v="Troubleshooting done &amp; Reset the Machine-Material not available"/>
    <s v="Close"/>
    <n v="4.8333333333333367E-2"/>
    <m/>
    <n v="0"/>
    <m/>
    <m/>
    <m/>
    <n v="0"/>
    <m/>
    <m/>
    <m/>
    <m/>
  </r>
  <r>
    <n v="178"/>
    <x v="20"/>
    <x v="0"/>
    <x v="0"/>
    <x v="1"/>
    <x v="0"/>
    <x v="11"/>
    <s v="PWEGPL"/>
    <s v="MSEDCL"/>
    <n v="2.5000000000000001E-2"/>
    <n v="205"/>
    <x v="128"/>
    <m/>
    <d v="1899-12-30T07:51:00"/>
    <d v="1899-12-30T11:18:00"/>
    <d v="1899-12-30T12:36:00"/>
    <n v="3.4500000000000011"/>
    <n v="1.2999999999999994"/>
    <n v="4.75"/>
    <s v="Oil Topup"/>
    <s v="Close"/>
    <n v="0.11875000000000001"/>
    <m/>
    <n v="0"/>
    <m/>
    <m/>
    <m/>
    <n v="0"/>
    <m/>
    <m/>
    <m/>
    <m/>
  </r>
  <r>
    <n v="179"/>
    <x v="20"/>
    <x v="0"/>
    <x v="0"/>
    <x v="1"/>
    <x v="0"/>
    <x v="12"/>
    <s v="PWEGPL"/>
    <s v="MSEDCL"/>
    <n v="2.5000000000000001E-2"/>
    <n v="700"/>
    <x v="129"/>
    <m/>
    <d v="1899-12-30T10:12:00"/>
    <d v="1899-12-30T12:43:00"/>
    <d v="1899-12-30T13:17:00"/>
    <n v="2.5166666666666671"/>
    <n v="0.56666666666666732"/>
    <n v="3.0833333333333344"/>
    <s v="Slip ring cleaning done"/>
    <s v="Close"/>
    <n v="7.7083333333333365E-2"/>
    <m/>
    <n v="0"/>
    <m/>
    <m/>
    <m/>
    <n v="0"/>
    <m/>
    <m/>
    <m/>
    <m/>
  </r>
  <r>
    <n v="180"/>
    <x v="20"/>
    <x v="0"/>
    <x v="0"/>
    <x v="1"/>
    <x v="0"/>
    <x v="15"/>
    <s v="PWEGPL"/>
    <s v="MSEDCL"/>
    <n v="2.5000000000000001E-2"/>
    <n v="800"/>
    <x v="130"/>
    <m/>
    <d v="1899-12-30T13:50:00"/>
    <d v="1899-12-30T17:24:00"/>
    <d v="1899-12-30T17:46:00"/>
    <n v="3.5666666666666647"/>
    <n v="0.36666666666666536"/>
    <n v="3.93333333333333"/>
    <s v="Troubleshooting done &amp; Reset the Machine-Material not available"/>
    <s v="Close"/>
    <n v="9.8333333333333259E-2"/>
    <m/>
    <n v="0"/>
    <m/>
    <m/>
    <m/>
    <n v="0"/>
    <m/>
    <m/>
    <m/>
    <m/>
  </r>
  <r>
    <n v="181"/>
    <x v="20"/>
    <x v="0"/>
    <x v="0"/>
    <x v="1"/>
    <x v="0"/>
    <x v="5"/>
    <s v="PWEGPL"/>
    <s v="MSEDCL"/>
    <n v="2.5000000000000001E-2"/>
    <n v="804"/>
    <x v="131"/>
    <m/>
    <d v="1899-12-30T05:37:00"/>
    <d v="1899-12-30T06:17:00"/>
    <d v="1899-12-30T07:12:00"/>
    <n v="0.6666666666666663"/>
    <n v="0.91666666666666607"/>
    <n v="1.5833333333333324"/>
    <s v="Troubleshooting done &amp; Reset the Machine-Material not available"/>
    <s v="Close"/>
    <n v="3.9583333333333311E-2"/>
    <m/>
    <n v="0"/>
    <m/>
    <m/>
    <m/>
    <n v="0"/>
    <m/>
    <m/>
    <m/>
    <m/>
  </r>
  <r>
    <n v="182"/>
    <x v="20"/>
    <x v="0"/>
    <x v="0"/>
    <x v="1"/>
    <x v="0"/>
    <x v="5"/>
    <s v="PWEGPL"/>
    <s v="MSEDCL"/>
    <n v="2.5000000000000001E-2"/>
    <n v="800"/>
    <x v="132"/>
    <m/>
    <d v="1899-12-30T08:52:00"/>
    <d v="1899-12-30T15:29:00"/>
    <d v="1899-12-30T22:37:00"/>
    <n v="6.6166666666666645"/>
    <n v="7.1333333333333346"/>
    <n v="13.75"/>
    <s v="Troubleshooting done &amp; Reset the Machine-Material not available"/>
    <s v="Close"/>
    <n v="0.34375"/>
    <m/>
    <n v="0"/>
    <m/>
    <m/>
    <m/>
    <n v="0"/>
    <m/>
    <m/>
    <m/>
    <m/>
  </r>
  <r>
    <n v="183"/>
    <x v="21"/>
    <x v="0"/>
    <x v="0"/>
    <x v="1"/>
    <x v="0"/>
    <x v="24"/>
    <s v="PWEGPL"/>
    <s v="MSEDCL"/>
    <n v="2.5000000000000001E-2"/>
    <n v="5216"/>
    <x v="133"/>
    <m/>
    <d v="1899-12-30T21:36:00"/>
    <d v="1899-12-30T21:36:00"/>
    <d v="1899-12-30T21:37:00"/>
    <n v="0"/>
    <n v="1.6666666666666607E-2"/>
    <n v="1.6666666666666607E-2"/>
    <s v="Reset &amp; Stand Feeder"/>
    <s v="Close"/>
    <n v="4.1666666666666523E-4"/>
    <m/>
    <n v="0"/>
    <m/>
    <m/>
    <m/>
    <n v="0"/>
    <m/>
    <m/>
    <m/>
    <m/>
  </r>
  <r>
    <n v="184"/>
    <x v="21"/>
    <x v="0"/>
    <x v="0"/>
    <x v="1"/>
    <x v="0"/>
    <x v="17"/>
    <s v="PWEGPL"/>
    <s v="MSEDCL"/>
    <n v="2.5000000000000001E-2"/>
    <n v="800"/>
    <x v="134"/>
    <m/>
    <d v="1899-12-30T02:02:00"/>
    <d v="1899-12-30T05:52:00"/>
    <d v="1899-12-30T12:02:00"/>
    <n v="3.8333333333333344"/>
    <n v="6.1666666666666661"/>
    <n v="10"/>
    <m/>
    <s v="Close"/>
    <n v="0.25"/>
    <m/>
    <n v="0"/>
    <m/>
    <m/>
    <m/>
    <n v="0"/>
    <m/>
    <m/>
    <m/>
    <m/>
  </r>
  <r>
    <n v="185"/>
    <x v="21"/>
    <x v="0"/>
    <x v="0"/>
    <x v="1"/>
    <x v="0"/>
    <x v="33"/>
    <s v="PWEGPL"/>
    <s v="MSEDCL"/>
    <n v="2.5000000000000001E-2"/>
    <n v="205"/>
    <x v="135"/>
    <m/>
    <d v="1899-12-30T10:52:00"/>
    <d v="1899-12-30T10:52:00"/>
    <d v="1899-12-30T11:41:00"/>
    <n v="0"/>
    <n v="0.81666666666666643"/>
    <n v="0.81666666666666643"/>
    <m/>
    <s v="Close"/>
    <n v="2.0416666666666663E-2"/>
    <m/>
    <n v="0"/>
    <m/>
    <m/>
    <m/>
    <n v="0"/>
    <m/>
    <m/>
    <m/>
    <m/>
  </r>
  <r>
    <n v="186"/>
    <x v="21"/>
    <x v="0"/>
    <x v="0"/>
    <x v="1"/>
    <x v="0"/>
    <x v="34"/>
    <s v="PWEGPL"/>
    <s v="MSEDCL"/>
    <n v="2.5000000000000001E-2"/>
    <n v="5216"/>
    <x v="133"/>
    <m/>
    <d v="1899-12-30T21:36:00"/>
    <d v="1899-12-30T21:36:00"/>
    <d v="1899-12-30T21:37:00"/>
    <n v="0"/>
    <n v="1.6666666666666607E-2"/>
    <n v="1.6666666666666607E-2"/>
    <s v="Reset &amp; Stand Feeder"/>
    <s v="Close"/>
    <n v="4.1666666666666523E-4"/>
    <m/>
    <n v="0"/>
    <m/>
    <m/>
    <m/>
    <n v="0"/>
    <m/>
    <m/>
    <m/>
    <m/>
  </r>
  <r>
    <n v="187"/>
    <x v="21"/>
    <x v="0"/>
    <x v="0"/>
    <x v="1"/>
    <x v="0"/>
    <x v="1"/>
    <s v="PWEGPL"/>
    <s v="MSEDCL"/>
    <n v="2.5000000000000001E-2"/>
    <n v="5216"/>
    <x v="133"/>
    <m/>
    <d v="1899-12-30T21:36:00"/>
    <d v="1899-12-30T21:36:00"/>
    <d v="1899-12-30T21:37:00"/>
    <n v="0"/>
    <n v="1.6666666666666607E-2"/>
    <n v="1.6666666666666607E-2"/>
    <s v="Reset &amp; Stand Feeder"/>
    <s v="Close"/>
    <n v="4.1666666666666523E-4"/>
    <m/>
    <n v="0"/>
    <m/>
    <m/>
    <m/>
    <n v="0"/>
    <m/>
    <m/>
    <m/>
    <m/>
  </r>
  <r>
    <n v="188"/>
    <x v="21"/>
    <x v="0"/>
    <x v="0"/>
    <x v="1"/>
    <x v="0"/>
    <x v="35"/>
    <s v="PWEGPL"/>
    <s v="MSEDCL"/>
    <n v="2.5000000000000001E-2"/>
    <n v="907"/>
    <x v="136"/>
    <m/>
    <d v="1899-12-30T21:39:00"/>
    <d v="1899-12-30T23:59:00"/>
    <d v="1899-12-30T23:59:00"/>
    <n v="2.3333333333333357"/>
    <n v="0"/>
    <n v="2.3333333333333357"/>
    <m/>
    <s v="Close"/>
    <n v="5.8333333333333397E-2"/>
    <m/>
    <n v="0"/>
    <m/>
    <m/>
    <m/>
    <n v="0"/>
    <m/>
    <m/>
    <m/>
    <m/>
  </r>
  <r>
    <n v="189"/>
    <x v="21"/>
    <x v="0"/>
    <x v="0"/>
    <x v="1"/>
    <x v="0"/>
    <x v="36"/>
    <s v="PWEGPL"/>
    <s v="MSEDCL"/>
    <n v="2.5000000000000001E-2"/>
    <n v="5216"/>
    <x v="133"/>
    <m/>
    <d v="1899-12-30T21:36:00"/>
    <d v="1899-12-30T21:36:00"/>
    <d v="1899-12-30T21:37:00"/>
    <n v="0"/>
    <n v="1.6666666666666607E-2"/>
    <n v="1.6666666666666607E-2"/>
    <s v="Reset &amp; Stand Feeder"/>
    <s v="Close"/>
    <n v="4.1666666666666523E-4"/>
    <m/>
    <n v="0"/>
    <m/>
    <m/>
    <m/>
    <n v="0"/>
    <m/>
    <m/>
    <m/>
    <m/>
  </r>
  <r>
    <n v="190"/>
    <x v="21"/>
    <x v="0"/>
    <x v="0"/>
    <x v="1"/>
    <x v="0"/>
    <x v="2"/>
    <s v="PWEGPL"/>
    <s v="MSEDCL"/>
    <n v="2.5000000000000001E-2"/>
    <n v="900"/>
    <x v="137"/>
    <m/>
    <d v="1899-12-30T21:50:00"/>
    <d v="1899-12-30T23:33:00"/>
    <d v="1899-12-30T23:59:00"/>
    <n v="1.7166666666666686"/>
    <n v="0.43333333333333179"/>
    <n v="2.1500000000000004"/>
    <m/>
    <s v="Close"/>
    <n v="5.3750000000000013E-2"/>
    <m/>
    <n v="0"/>
    <m/>
    <m/>
    <m/>
    <n v="0"/>
    <m/>
    <m/>
    <m/>
    <m/>
  </r>
  <r>
    <n v="191"/>
    <x v="21"/>
    <x v="0"/>
    <x v="0"/>
    <x v="1"/>
    <x v="0"/>
    <x v="8"/>
    <s v="PWEGPL"/>
    <s v="MSEDCL"/>
    <n v="2.5000000000000001E-2"/>
    <n v="205"/>
    <x v="138"/>
    <m/>
    <d v="1899-12-30T14:20:00"/>
    <d v="1899-12-30T14:49:00"/>
    <d v="1899-12-30T23:59:00"/>
    <n v="0.48333333333333428"/>
    <n v="9.1666666666666661"/>
    <n v="9.65"/>
    <s v="WIP- Oil seal replacment"/>
    <s v="Open"/>
    <n v="0.24125000000000002"/>
    <m/>
    <n v="0"/>
    <m/>
    <m/>
    <m/>
    <n v="0"/>
    <m/>
    <m/>
    <m/>
    <m/>
  </r>
  <r>
    <n v="192"/>
    <x v="21"/>
    <x v="0"/>
    <x v="0"/>
    <x v="1"/>
    <x v="0"/>
    <x v="9"/>
    <s v="PWEGPL"/>
    <s v="MSEDCL"/>
    <n v="2.5000000000000001E-2"/>
    <n v="800"/>
    <x v="139"/>
    <m/>
    <d v="1899-12-30T08:21:00"/>
    <d v="1899-12-30T12:21:00"/>
    <d v="1899-12-30T16:16:00"/>
    <n v="3.9999999999999991"/>
    <n v="3.9166666666666661"/>
    <n v="7.9166666666666652"/>
    <m/>
    <s v="Close"/>
    <n v="0.19791666666666663"/>
    <m/>
    <n v="0"/>
    <m/>
    <m/>
    <m/>
    <n v="0"/>
    <m/>
    <m/>
    <m/>
    <m/>
  </r>
  <r>
    <n v="193"/>
    <x v="21"/>
    <x v="0"/>
    <x v="0"/>
    <x v="1"/>
    <x v="0"/>
    <x v="10"/>
    <s v="PWEGPL"/>
    <s v="MSEDCL"/>
    <n v="2.5000000000000001E-2"/>
    <n v="5216"/>
    <x v="133"/>
    <m/>
    <d v="1899-12-30T21:36:00"/>
    <d v="1899-12-30T21:36:00"/>
    <d v="1899-12-30T21:37:00"/>
    <n v="0"/>
    <n v="1.6666666666666607E-2"/>
    <n v="1.6666666666666607E-2"/>
    <s v="Reset &amp; Stand Feeder"/>
    <s v="Close"/>
    <n v="4.1666666666666523E-4"/>
    <m/>
    <n v="0"/>
    <m/>
    <m/>
    <m/>
    <n v="0"/>
    <m/>
    <m/>
    <m/>
    <m/>
  </r>
  <r>
    <n v="194"/>
    <x v="21"/>
    <x v="0"/>
    <x v="0"/>
    <x v="1"/>
    <x v="0"/>
    <x v="11"/>
    <s v="PWEGPL"/>
    <s v="MSEDCL"/>
    <n v="2.5000000000000001E-2"/>
    <n v="5216"/>
    <x v="133"/>
    <m/>
    <d v="1899-12-30T21:36:00"/>
    <d v="1899-12-30T21:36:00"/>
    <d v="1899-12-30T21:37:00"/>
    <n v="0"/>
    <n v="1.6666666666666607E-2"/>
    <n v="1.6666666666666607E-2"/>
    <s v="Reset &amp; Stand Feeder"/>
    <s v="Close"/>
    <n v="4.1666666666666523E-4"/>
    <m/>
    <n v="0"/>
    <m/>
    <m/>
    <m/>
    <n v="0"/>
    <m/>
    <m/>
    <m/>
    <m/>
  </r>
  <r>
    <n v="195"/>
    <x v="21"/>
    <x v="0"/>
    <x v="0"/>
    <x v="1"/>
    <x v="0"/>
    <x v="12"/>
    <s v="PWEGPL"/>
    <s v="MSEDCL"/>
    <n v="2.5000000000000001E-2"/>
    <n v="5216"/>
    <x v="133"/>
    <m/>
    <d v="1899-12-30T21:36:00"/>
    <d v="1899-12-30T21:36:00"/>
    <d v="1899-12-30T21:37:00"/>
    <n v="0"/>
    <n v="1.6666666666666607E-2"/>
    <n v="1.6666666666666607E-2"/>
    <s v="Reset &amp; Stand Feeder"/>
    <s v="Close"/>
    <n v="4.1666666666666523E-4"/>
    <m/>
    <n v="0"/>
    <m/>
    <m/>
    <m/>
    <n v="0"/>
    <m/>
    <m/>
    <m/>
    <m/>
  </r>
  <r>
    <n v="196"/>
    <x v="21"/>
    <x v="0"/>
    <x v="0"/>
    <x v="1"/>
    <x v="0"/>
    <x v="3"/>
    <s v="PWEGPL"/>
    <s v="MSEDCL"/>
    <n v="2.5000000000000001E-2"/>
    <n v="5216"/>
    <x v="140"/>
    <m/>
    <d v="1899-12-30T23:33:00"/>
    <d v="1899-12-30T23:33:00"/>
    <d v="1899-12-30T23:53:00"/>
    <n v="0"/>
    <n v="0.33333333333333215"/>
    <n v="0.33333333333333215"/>
    <s v="Reset &amp; Stand Feeder"/>
    <s v="Close"/>
    <n v="8.3333333333333037E-3"/>
    <m/>
    <n v="0"/>
    <m/>
    <m/>
    <m/>
    <n v="0"/>
    <m/>
    <m/>
    <m/>
    <m/>
  </r>
  <r>
    <n v="197"/>
    <x v="21"/>
    <x v="0"/>
    <x v="0"/>
    <x v="1"/>
    <x v="0"/>
    <x v="13"/>
    <s v="PWEGPL"/>
    <s v="MSEDCL"/>
    <n v="2.5000000000000001E-2"/>
    <n v="5216"/>
    <x v="140"/>
    <m/>
    <d v="1899-12-30T23:33:00"/>
    <d v="1899-12-30T23:33:00"/>
    <d v="1899-12-30T23:53:00"/>
    <n v="0"/>
    <n v="0.33333333333333215"/>
    <n v="0.33333333333333215"/>
    <s v="Reset &amp; Stand Feeder"/>
    <s v="Close"/>
    <n v="8.3333333333333037E-3"/>
    <m/>
    <n v="0"/>
    <m/>
    <m/>
    <m/>
    <n v="0"/>
    <m/>
    <m/>
    <m/>
    <m/>
  </r>
  <r>
    <n v="198"/>
    <x v="21"/>
    <x v="0"/>
    <x v="0"/>
    <x v="1"/>
    <x v="0"/>
    <x v="14"/>
    <s v="PWEGPL"/>
    <s v="MSEDCL"/>
    <n v="2.5000000000000001E-2"/>
    <n v="5216"/>
    <x v="140"/>
    <m/>
    <d v="1899-12-30T23:33:00"/>
    <d v="1899-12-30T23:33:00"/>
    <d v="1899-12-30T23:53:00"/>
    <n v="0"/>
    <n v="0.33333333333333215"/>
    <n v="0.33333333333333215"/>
    <s v="Reset &amp; Stand Feeder"/>
    <s v="Close"/>
    <n v="8.3333333333333037E-3"/>
    <m/>
    <n v="0"/>
    <m/>
    <m/>
    <m/>
    <n v="0"/>
    <m/>
    <m/>
    <m/>
    <m/>
  </r>
  <r>
    <n v="199"/>
    <x v="21"/>
    <x v="0"/>
    <x v="0"/>
    <x v="1"/>
    <x v="0"/>
    <x v="15"/>
    <s v="PWEGPL"/>
    <s v="MSEDCL"/>
    <n v="2.5000000000000001E-2"/>
    <n v="800"/>
    <x v="141"/>
    <m/>
    <d v="1899-12-30T12:41:00"/>
    <d v="1899-12-30T12:41:00"/>
    <d v="1899-12-30T13:29:00"/>
    <n v="0"/>
    <n v="0.79999999999999982"/>
    <n v="0.79999999999999982"/>
    <m/>
    <s v="Close"/>
    <n v="1.9999999999999997E-2"/>
    <m/>
    <n v="0"/>
    <m/>
    <m/>
    <m/>
    <n v="0"/>
    <m/>
    <m/>
    <m/>
    <m/>
  </r>
  <r>
    <n v="200"/>
    <x v="21"/>
    <x v="0"/>
    <x v="0"/>
    <x v="1"/>
    <x v="0"/>
    <x v="16"/>
    <s v="PWEGPL"/>
    <s v="MSEDCL"/>
    <n v="2.5000000000000001E-2"/>
    <n v="5216"/>
    <x v="140"/>
    <m/>
    <d v="1899-12-30T23:33:00"/>
    <d v="1899-12-30T23:33:00"/>
    <d v="1899-12-30T23:53:00"/>
    <n v="0"/>
    <n v="0.33333333333333215"/>
    <n v="0.33333333333333215"/>
    <s v="Reset &amp; Stand Feeder"/>
    <s v="Close"/>
    <n v="8.3333333333333037E-3"/>
    <m/>
    <n v="0"/>
    <m/>
    <m/>
    <m/>
    <n v="0"/>
    <m/>
    <m/>
    <m/>
    <m/>
  </r>
  <r>
    <n v="201"/>
    <x v="21"/>
    <x v="0"/>
    <x v="0"/>
    <x v="1"/>
    <x v="0"/>
    <x v="4"/>
    <s v="PWEGPL"/>
    <s v="MSEDCL"/>
    <n v="2.5000000000000001E-2"/>
    <n v="5216"/>
    <x v="140"/>
    <m/>
    <d v="1899-12-30T23:33:00"/>
    <d v="1899-12-30T23:33:00"/>
    <d v="1899-12-30T23:53:00"/>
    <n v="0"/>
    <n v="0.33333333333333215"/>
    <n v="0.33333333333333215"/>
    <s v="Reset &amp; Stand Feeder"/>
    <s v="Close"/>
    <n v="8.3333333333333037E-3"/>
    <m/>
    <n v="0"/>
    <m/>
    <m/>
    <m/>
    <n v="0"/>
    <m/>
    <m/>
    <m/>
    <m/>
  </r>
  <r>
    <n v="202"/>
    <x v="21"/>
    <x v="0"/>
    <x v="0"/>
    <x v="1"/>
    <x v="0"/>
    <x v="5"/>
    <s v="PWEGPL"/>
    <s v="MSEDCL"/>
    <n v="2.5000000000000001E-2"/>
    <n v="800"/>
    <x v="142"/>
    <m/>
    <m/>
    <d v="1899-12-30T01:00:00"/>
    <d v="1899-12-30T23:59:00"/>
    <n v="1"/>
    <n v="22.983333333333334"/>
    <n v="23.983333333333334"/>
    <m/>
    <s v="Close"/>
    <n v="0.59958333333333336"/>
    <m/>
    <n v="0"/>
    <m/>
    <m/>
    <m/>
    <n v="0"/>
    <m/>
    <m/>
    <m/>
    <m/>
  </r>
  <r>
    <n v="203"/>
    <x v="21"/>
    <x v="0"/>
    <x v="0"/>
    <x v="1"/>
    <x v="0"/>
    <x v="6"/>
    <s v="PWEGPL"/>
    <s v="MSEDCL"/>
    <n v="2.5000000000000001E-2"/>
    <n v="5216"/>
    <x v="140"/>
    <m/>
    <d v="1899-12-30T23:33:00"/>
    <d v="1899-12-30T23:33:00"/>
    <d v="1899-12-30T23:53:00"/>
    <n v="0"/>
    <n v="0.33333333333333215"/>
    <n v="0.33333333333333215"/>
    <s v="Reset &amp; Stand Feeder"/>
    <s v="Close"/>
    <n v="8.3333333333333037E-3"/>
    <m/>
    <n v="0"/>
    <m/>
    <m/>
    <m/>
    <n v="0"/>
    <m/>
    <m/>
    <m/>
    <m/>
  </r>
  <r>
    <n v="204"/>
    <x v="21"/>
    <x v="0"/>
    <x v="0"/>
    <x v="1"/>
    <x v="0"/>
    <x v="7"/>
    <s v="PWEGPL"/>
    <s v="MSEDCL"/>
    <n v="2.5000000000000001E-2"/>
    <n v="5212"/>
    <x v="143"/>
    <m/>
    <d v="1899-12-30T22:11:00"/>
    <d v="1899-12-30T23:33:00"/>
    <d v="1899-12-30T23:59:00"/>
    <n v="1.3666666666666671"/>
    <n v="0.43333333333333179"/>
    <n v="1.7999999999999989"/>
    <m/>
    <s v="Close"/>
    <n v="4.4999999999999978E-2"/>
    <m/>
    <n v="0"/>
    <m/>
    <m/>
    <m/>
    <n v="0"/>
    <m/>
    <m/>
    <m/>
    <m/>
  </r>
  <r>
    <n v="205"/>
    <x v="21"/>
    <x v="0"/>
    <x v="0"/>
    <x v="1"/>
    <x v="0"/>
    <x v="7"/>
    <s v="PWEGPL"/>
    <s v="MSEDCL"/>
    <n v="2.5000000000000001E-2"/>
    <n v="5216"/>
    <x v="140"/>
    <m/>
    <d v="1899-12-30T23:33:00"/>
    <d v="1899-12-30T23:33:00"/>
    <d v="1899-12-30T23:53:00"/>
    <n v="0"/>
    <n v="0.33333333333333215"/>
    <n v="0.33333333333333215"/>
    <s v="Reset &amp; Stand Feeder"/>
    <s v="Close"/>
    <n v="8.3333333333333037E-3"/>
    <m/>
    <n v="0"/>
    <m/>
    <m/>
    <m/>
    <n v="0"/>
    <m/>
    <m/>
    <m/>
    <m/>
  </r>
  <r>
    <n v="206"/>
    <x v="21"/>
    <x v="0"/>
    <x v="0"/>
    <x v="1"/>
    <x v="0"/>
    <x v="15"/>
    <s v="PWEGPL"/>
    <s v="MSEDCL"/>
    <n v="2.5000000000000001E-2"/>
    <n v="800"/>
    <x v="140"/>
    <m/>
    <d v="1899-12-30T23:33:00"/>
    <d v="1899-12-30T23:33:00"/>
    <d v="1899-12-30T23:53:00"/>
    <n v="0"/>
    <n v="0.33333333333333215"/>
    <n v="0.33333333333333215"/>
    <s v="Reset &amp; Stand Feeder"/>
    <s v="Close"/>
    <n v="8.3333333333333037E-3"/>
    <m/>
    <n v="0"/>
    <m/>
    <m/>
    <m/>
    <n v="0"/>
    <m/>
    <m/>
    <m/>
    <m/>
  </r>
  <r>
    <n v="207"/>
    <x v="21"/>
    <x v="0"/>
    <x v="0"/>
    <x v="1"/>
    <x v="0"/>
    <x v="5"/>
    <s v="PWEGPL"/>
    <s v="MSEDCL"/>
    <n v="2.5000000000000001E-2"/>
    <n v="800"/>
    <x v="140"/>
    <m/>
    <d v="1899-12-30T23:33:00"/>
    <d v="1899-12-30T23:33:00"/>
    <d v="1899-12-30T23:53:00"/>
    <n v="0"/>
    <n v="0.33333333333333215"/>
    <n v="0.33333333333333215"/>
    <s v="Reset &amp; Stand Feeder"/>
    <s v="Close"/>
    <n v="8.3333333333333037E-3"/>
    <m/>
    <n v="0"/>
    <m/>
    <m/>
    <m/>
    <n v="0"/>
    <m/>
    <m/>
    <m/>
    <m/>
  </r>
  <r>
    <n v="208"/>
    <x v="22"/>
    <x v="0"/>
    <x v="0"/>
    <x v="1"/>
    <x v="0"/>
    <x v="17"/>
    <s v="PWEGPL"/>
    <s v="MSEDCL"/>
    <n v="2.5000000000000001E-2"/>
    <n v="800"/>
    <x v="144"/>
    <m/>
    <d v="1899-12-30T05:22:00"/>
    <d v="1899-12-30T09:35:00"/>
    <d v="1899-12-30T10:41:00"/>
    <n v="4.2166666666666677"/>
    <n v="1.1000000000000001"/>
    <n v="5.3166666666666682"/>
    <s v="Reset"/>
    <s v="Close"/>
    <n v="0.13291666666666671"/>
    <m/>
    <n v="0"/>
    <m/>
    <m/>
    <m/>
    <n v="0"/>
    <m/>
    <m/>
    <m/>
    <m/>
  </r>
  <r>
    <n v="209"/>
    <x v="22"/>
    <x v="0"/>
    <x v="0"/>
    <x v="1"/>
    <x v="0"/>
    <x v="29"/>
    <s v="PWEGPL"/>
    <s v="MSEDCL"/>
    <n v="2.5000000000000001E-2"/>
    <n v="5212"/>
    <x v="145"/>
    <m/>
    <d v="1899-12-30T14:47:00"/>
    <d v="1899-12-30T14:47:00"/>
    <d v="1899-12-30T17:06:00"/>
    <n v="0"/>
    <n v="2.3166666666666664"/>
    <n v="2.3166666666666664"/>
    <s v="Reset"/>
    <s v="Close"/>
    <n v="5.7916666666666665E-2"/>
    <m/>
    <n v="0"/>
    <m/>
    <m/>
    <m/>
    <n v="0"/>
    <m/>
    <m/>
    <m/>
    <m/>
  </r>
  <r>
    <n v="210"/>
    <x v="22"/>
    <x v="0"/>
    <x v="0"/>
    <x v="1"/>
    <x v="0"/>
    <x v="39"/>
    <s v="PWEGPL"/>
    <s v="MSEDCL"/>
    <n v="2.5000000000000001E-2"/>
    <n v="205"/>
    <x v="146"/>
    <m/>
    <d v="1899-12-30T22:34:00"/>
    <d v="1899-12-30T22:50:00"/>
    <d v="1899-12-30T23:13:00"/>
    <n v="0.26666666666666572"/>
    <n v="0.38333333333333197"/>
    <n v="0.64999999999999769"/>
    <s v="Oil Topup"/>
    <s v="Close"/>
    <n v="1.6249999999999942E-2"/>
    <m/>
    <n v="0"/>
    <m/>
    <m/>
    <m/>
    <n v="0"/>
    <m/>
    <m/>
    <m/>
    <m/>
  </r>
  <r>
    <n v="211"/>
    <x v="22"/>
    <x v="0"/>
    <x v="0"/>
    <x v="1"/>
    <x v="0"/>
    <x v="35"/>
    <s v="PWEGPL"/>
    <s v="MSEDCL"/>
    <n v="2.5000000000000001E-2"/>
    <n v="907"/>
    <x v="147"/>
    <m/>
    <d v="1899-12-30T00:00:00"/>
    <d v="1899-12-30T02:14:00"/>
    <d v="1899-12-30T02:17:00"/>
    <n v="2.2333333333333334"/>
    <n v="4.9999999999999822E-2"/>
    <n v="2.2833333333333332"/>
    <s v="Reset"/>
    <s v="Close"/>
    <n v="5.7083333333333333E-2"/>
    <m/>
    <n v="0"/>
    <m/>
    <m/>
    <m/>
    <n v="0"/>
    <m/>
    <m/>
    <m/>
    <m/>
  </r>
  <r>
    <n v="212"/>
    <x v="22"/>
    <x v="0"/>
    <x v="0"/>
    <x v="1"/>
    <x v="0"/>
    <x v="2"/>
    <s v="PWEGPL"/>
    <s v="MSEDCL"/>
    <n v="2.5000000000000001E-2"/>
    <n v="900"/>
    <x v="148"/>
    <m/>
    <d v="1899-12-30T00:00:00"/>
    <d v="1899-12-30T02:44:00"/>
    <d v="1899-12-30T02:45:00"/>
    <n v="2.7333333333333334"/>
    <n v="1.6666666666666607E-2"/>
    <n v="2.75"/>
    <s v="Reset"/>
    <s v="Close"/>
    <n v="6.8750000000000006E-2"/>
    <m/>
    <n v="0"/>
    <m/>
    <m/>
    <m/>
    <n v="0"/>
    <m/>
    <m/>
    <m/>
    <m/>
  </r>
  <r>
    <n v="213"/>
    <x v="22"/>
    <x v="0"/>
    <x v="0"/>
    <x v="1"/>
    <x v="0"/>
    <x v="8"/>
    <s v="PWEGPL"/>
    <s v="MSEDCL"/>
    <n v="2.5000000000000001E-2"/>
    <n v="205"/>
    <x v="149"/>
    <m/>
    <d v="1899-12-30T00:00:00"/>
    <d v="1899-12-30T15:18:00"/>
    <d v="1899-12-30T16:12:00"/>
    <n v="15.3"/>
    <n v="0.8999999999999968"/>
    <n v="16.2"/>
    <s v="Oil Caliper seal replacement"/>
    <s v="Close"/>
    <n v="0.40500000000000003"/>
    <m/>
    <n v="0"/>
    <m/>
    <m/>
    <m/>
    <n v="0"/>
    <m/>
    <m/>
    <m/>
    <m/>
  </r>
  <r>
    <n v="214"/>
    <x v="22"/>
    <x v="0"/>
    <x v="0"/>
    <x v="1"/>
    <x v="0"/>
    <x v="9"/>
    <s v="PWEGPL"/>
    <s v="MSEDCL"/>
    <n v="2.5000000000000001E-2"/>
    <n v="800"/>
    <x v="150"/>
    <m/>
    <d v="1899-12-30T05:02:00"/>
    <d v="1899-12-30T06:02:00"/>
    <d v="1899-12-30T07:28:00"/>
    <n v="0.99999999999999978"/>
    <n v="1.4333333333333336"/>
    <n v="2.4333333333333336"/>
    <s v="Reset"/>
    <s v="Close"/>
    <n v="6.0833333333333343E-2"/>
    <m/>
    <n v="0"/>
    <m/>
    <m/>
    <m/>
    <n v="0"/>
    <m/>
    <m/>
    <m/>
    <m/>
  </r>
  <r>
    <n v="215"/>
    <x v="22"/>
    <x v="0"/>
    <x v="0"/>
    <x v="1"/>
    <x v="0"/>
    <x v="9"/>
    <s v="PWEGPL"/>
    <s v="MSEDCL"/>
    <n v="2.5000000000000001E-2"/>
    <n v="800"/>
    <x v="151"/>
    <m/>
    <d v="1899-12-30T13:39:00"/>
    <d v="1899-12-30T14:35:00"/>
    <d v="1899-12-30T14:54:00"/>
    <n v="0.93333333333333535"/>
    <n v="0.31666666666666554"/>
    <n v="1.2500000000000009"/>
    <s v="Reset"/>
    <s v="Close"/>
    <n v="3.1250000000000021E-2"/>
    <m/>
    <n v="0"/>
    <m/>
    <m/>
    <m/>
    <n v="0"/>
    <m/>
    <m/>
    <m/>
    <m/>
  </r>
  <r>
    <n v="216"/>
    <x v="22"/>
    <x v="0"/>
    <x v="0"/>
    <x v="1"/>
    <x v="0"/>
    <x v="5"/>
    <s v="PWEGPL"/>
    <s v="MSEDCL"/>
    <n v="2.5000000000000001E-2"/>
    <n v="800"/>
    <x v="152"/>
    <m/>
    <d v="1899-12-30T00:00:00"/>
    <d v="1899-12-30T02:24:00"/>
    <d v="1899-12-30T07:10:00"/>
    <n v="2.4"/>
    <n v="4.7666666666666675"/>
    <n v="7.1666666666666661"/>
    <s v="Propotional valve changed"/>
    <s v="Close"/>
    <n v="0.17916666666666667"/>
    <m/>
    <n v="0"/>
    <m/>
    <m/>
    <m/>
    <n v="0"/>
    <m/>
    <m/>
    <m/>
    <m/>
  </r>
  <r>
    <n v="217"/>
    <x v="22"/>
    <x v="0"/>
    <x v="0"/>
    <x v="1"/>
    <x v="0"/>
    <x v="7"/>
    <s v="PWEGPL"/>
    <s v="MSEDCL"/>
    <n v="2.5000000000000001E-2"/>
    <n v="5212"/>
    <x v="153"/>
    <m/>
    <d v="1899-12-30T00:00:00"/>
    <d v="1899-12-30T02:49:00"/>
    <d v="1899-12-30T03:19:00"/>
    <n v="2.8166666666666664"/>
    <n v="0.49999999999999989"/>
    <n v="3.3166666666666664"/>
    <s v="MPCB changrd"/>
    <s v="Close"/>
    <n v="8.2916666666666666E-2"/>
    <m/>
    <n v="0"/>
    <m/>
    <m/>
    <m/>
    <n v="0"/>
    <m/>
    <m/>
    <m/>
    <m/>
  </r>
  <r>
    <n v="218"/>
    <x v="23"/>
    <x v="0"/>
    <x v="0"/>
    <x v="1"/>
    <x v="0"/>
    <x v="29"/>
    <s v="PWEGPL"/>
    <s v="MSEDCL"/>
    <n v="2.5000000000000001E-2"/>
    <s v="CE100001"/>
    <x v="154"/>
    <m/>
    <d v="1899-12-30T11:11:00"/>
    <d v="1899-12-30T11:11:00"/>
    <d v="1899-12-30T17:31:00"/>
    <n v="0"/>
    <n v="6.3333333333333321"/>
    <n v="6.3333333333333321"/>
    <s v="Yaw caliper oil seal replacement"/>
    <s v="Close"/>
    <n v="0.15833333333333333"/>
    <m/>
    <n v="0"/>
    <m/>
    <m/>
    <m/>
    <n v="0"/>
    <m/>
    <m/>
    <m/>
    <m/>
  </r>
  <r>
    <n v="219"/>
    <x v="23"/>
    <x v="0"/>
    <x v="0"/>
    <x v="1"/>
    <x v="0"/>
    <x v="29"/>
    <s v="PWEGPL"/>
    <s v="MSEDCL"/>
    <n v="2.5000000000000001E-2"/>
    <n v="2118"/>
    <x v="155"/>
    <m/>
    <d v="1899-12-30T21:52:00"/>
    <d v="1899-12-30T23:59:00"/>
    <d v="1899-12-30T23:59:00"/>
    <n v="2.1166666666666671"/>
    <n v="0"/>
    <n v="2.1166666666666671"/>
    <s v="Reset"/>
    <s v="Close"/>
    <n v="5.2916666666666681E-2"/>
    <m/>
    <n v="0"/>
    <m/>
    <m/>
    <m/>
    <n v="0"/>
    <m/>
    <m/>
    <m/>
    <m/>
  </r>
  <r>
    <n v="220"/>
    <x v="23"/>
    <x v="0"/>
    <x v="0"/>
    <x v="1"/>
    <x v="0"/>
    <x v="37"/>
    <s v="PWEGPL"/>
    <s v="MSEDCL"/>
    <n v="2.5000000000000001E-2"/>
    <n v="2118"/>
    <x v="156"/>
    <m/>
    <d v="1899-12-30T22:00:00"/>
    <d v="1899-12-30T23:59:00"/>
    <d v="1899-12-30T23:59:00"/>
    <n v="1.9833333333333343"/>
    <n v="0"/>
    <n v="1.9833333333333343"/>
    <s v="Reset"/>
    <s v="Close"/>
    <n v="4.9583333333333361E-2"/>
    <m/>
    <n v="0"/>
    <m/>
    <m/>
    <m/>
    <n v="0"/>
    <m/>
    <m/>
    <m/>
    <m/>
  </r>
  <r>
    <n v="221"/>
    <x v="23"/>
    <x v="0"/>
    <x v="0"/>
    <x v="1"/>
    <x v="0"/>
    <x v="9"/>
    <s v="PWEGPL"/>
    <s v="MSEDCL"/>
    <n v="2.5000000000000001E-2"/>
    <n v="800"/>
    <x v="157"/>
    <m/>
    <d v="1899-12-30T12:42:00"/>
    <d v="1899-12-30T12:42:00"/>
    <d v="1899-12-30T16:14:00"/>
    <n v="0"/>
    <n v="3.5333333333333341"/>
    <n v="3.5333333333333341"/>
    <s v="Propotional valve changed"/>
    <s v="Close"/>
    <n v="8.8333333333333361E-2"/>
    <m/>
    <n v="0"/>
    <m/>
    <m/>
    <m/>
    <n v="0"/>
    <m/>
    <m/>
    <m/>
    <m/>
  </r>
  <r>
    <n v="222"/>
    <x v="23"/>
    <x v="0"/>
    <x v="0"/>
    <x v="1"/>
    <x v="0"/>
    <x v="15"/>
    <s v="PWEGPL"/>
    <s v="MSEDCL"/>
    <n v="2.5000000000000001E-2"/>
    <n v="125"/>
    <x v="158"/>
    <m/>
    <d v="1899-12-30T13:05:00"/>
    <d v="1899-12-30T16:30:00"/>
    <d v="1899-12-30T23:52:00"/>
    <n v="3.4166666666666652"/>
    <n v="7.3666666666666671"/>
    <n v="10.783333333333331"/>
    <s v="Yaw motor replaced"/>
    <s v="Close"/>
    <n v="0.26958333333333329"/>
    <m/>
    <n v="0"/>
    <m/>
    <m/>
    <m/>
    <n v="0"/>
    <m/>
    <m/>
    <m/>
    <m/>
  </r>
  <r>
    <n v="223"/>
    <x v="24"/>
    <x v="0"/>
    <x v="0"/>
    <x v="1"/>
    <x v="0"/>
    <x v="25"/>
    <s v="PWEGPL"/>
    <s v="MSEDCL"/>
    <n v="2.5000000000000001E-2"/>
    <n v="101"/>
    <x v="159"/>
    <m/>
    <d v="1899-12-30T16:49:00"/>
    <d v="1899-12-30T17:22:00"/>
    <d v="1899-12-30T17:32:00"/>
    <n v="0.55000000000000071"/>
    <n v="0.16666666666666874"/>
    <n v="0.71666666666666945"/>
    <s v="Reset"/>
    <s v="Close"/>
    <n v="1.7916666666666737E-2"/>
    <m/>
    <n v="0"/>
    <m/>
    <m/>
    <m/>
    <n v="0"/>
    <m/>
    <m/>
    <m/>
    <m/>
  </r>
  <r>
    <n v="224"/>
    <x v="24"/>
    <x v="0"/>
    <x v="0"/>
    <x v="1"/>
    <x v="0"/>
    <x v="29"/>
    <s v="PWEGPL"/>
    <s v="MSEDCL"/>
    <n v="2.5000000000000001E-2"/>
    <n v="2118"/>
    <x v="160"/>
    <m/>
    <d v="1899-12-30T00:00:00"/>
    <d v="1899-12-30T01:11:00"/>
    <d v="1899-12-30T01:29:00"/>
    <n v="1.1833333333333333"/>
    <n v="0.3000000000000001"/>
    <n v="1.4833333333333334"/>
    <s v="Reset"/>
    <s v="Close"/>
    <n v="3.7083333333333336E-2"/>
    <m/>
    <n v="0"/>
    <m/>
    <m/>
    <m/>
    <n v="0"/>
    <m/>
    <m/>
    <m/>
    <m/>
  </r>
  <r>
    <n v="225"/>
    <x v="24"/>
    <x v="0"/>
    <x v="0"/>
    <x v="1"/>
    <x v="0"/>
    <x v="37"/>
    <s v="PWEGPL"/>
    <s v="MSEDCL"/>
    <n v="2.5000000000000001E-2"/>
    <n v="2118"/>
    <x v="161"/>
    <m/>
    <d v="1899-12-30T00:00:00"/>
    <d v="1899-12-30T00:45:00"/>
    <d v="1899-12-30T00:49:00"/>
    <n v="0.75"/>
    <n v="6.6666666666666596E-2"/>
    <n v="0.81666666666666665"/>
    <s v="Reset"/>
    <s v="Close"/>
    <n v="2.0416666666666666E-2"/>
    <m/>
    <n v="0"/>
    <m/>
    <m/>
    <m/>
    <n v="0"/>
    <m/>
    <m/>
    <m/>
    <m/>
  </r>
  <r>
    <n v="226"/>
    <x v="24"/>
    <x v="0"/>
    <x v="0"/>
    <x v="1"/>
    <x v="0"/>
    <x v="12"/>
    <s v="PWEGPL"/>
    <s v="MSEDCL"/>
    <n v="2.5000000000000001E-2"/>
    <n v="2118"/>
    <x v="162"/>
    <m/>
    <d v="1899-12-30T10:50:00"/>
    <d v="1899-12-30T10:54:00"/>
    <d v="1899-12-30T12:38:00"/>
    <n v="6.666666666666643E-2"/>
    <n v="1.7333333333333338"/>
    <n v="1.8000000000000003"/>
    <s v="Slip ring replaced"/>
    <s v="Close"/>
    <n v="4.5000000000000012E-2"/>
    <m/>
    <n v="0"/>
    <m/>
    <m/>
    <m/>
    <n v="0"/>
    <m/>
    <m/>
    <m/>
    <m/>
  </r>
  <r>
    <n v="227"/>
    <x v="25"/>
    <x v="0"/>
    <x v="0"/>
    <x v="1"/>
    <x v="0"/>
    <x v="17"/>
    <s v="PWEGPL"/>
    <s v="MSEDCL"/>
    <n v="2.5000000000000001E-2"/>
    <n v="1007"/>
    <x v="163"/>
    <m/>
    <d v="1899-12-30T10:46:00"/>
    <d v="1899-12-30T10:46:00"/>
    <d v="1899-12-30T12:48:00"/>
    <n v="0"/>
    <n v="2.0333333333333328"/>
    <n v="2.0333333333333328"/>
    <s v="Propotional valve changed"/>
    <s v="Close"/>
    <n v="5.0833333333333321E-2"/>
    <m/>
    <n v="0"/>
    <m/>
    <m/>
    <m/>
    <n v="0"/>
    <m/>
    <m/>
    <m/>
    <m/>
  </r>
  <r>
    <n v="228"/>
    <x v="25"/>
    <x v="0"/>
    <x v="0"/>
    <x v="1"/>
    <x v="0"/>
    <x v="13"/>
    <s v="PWEGPL"/>
    <s v="MSEDCL"/>
    <n v="2.5000000000000001E-2"/>
    <n v="9922"/>
    <x v="164"/>
    <m/>
    <d v="1899-12-30T14:15:00"/>
    <d v="1899-12-30T14:15:00"/>
    <d v="1899-12-30T16:10:00"/>
    <n v="0"/>
    <n v="1.9166666666666679"/>
    <n v="1.9166666666666679"/>
    <s v="Tree cutting"/>
    <s v="Close"/>
    <n v="4.7916666666666698E-2"/>
    <m/>
    <n v="0"/>
    <m/>
    <m/>
    <m/>
    <n v="0"/>
    <m/>
    <m/>
    <m/>
    <m/>
  </r>
  <r>
    <n v="229"/>
    <x v="25"/>
    <x v="0"/>
    <x v="0"/>
    <x v="1"/>
    <x v="0"/>
    <x v="14"/>
    <s v="PWEGPL"/>
    <s v="MSEDCL"/>
    <n v="2.5000000000000001E-2"/>
    <n v="9922"/>
    <x v="164"/>
    <m/>
    <d v="1899-12-30T14:15:00"/>
    <d v="1899-12-30T14:15:00"/>
    <d v="1899-12-30T16:10:00"/>
    <n v="0"/>
    <n v="1.9166666666666679"/>
    <n v="1.9166666666666679"/>
    <s v="Tree cutting"/>
    <s v="Close"/>
    <n v="4.7916666666666698E-2"/>
    <m/>
    <n v="0"/>
    <m/>
    <m/>
    <m/>
    <n v="0"/>
    <m/>
    <m/>
    <m/>
    <m/>
  </r>
  <r>
    <n v="230"/>
    <x v="25"/>
    <x v="0"/>
    <x v="0"/>
    <x v="1"/>
    <x v="0"/>
    <x v="15"/>
    <s v="PWEGPL"/>
    <s v="MSEDCL"/>
    <n v="2.5000000000000001E-2"/>
    <n v="9922"/>
    <x v="165"/>
    <m/>
    <d v="1899-12-30T14:15:00"/>
    <d v="1899-12-30T14:15:00"/>
    <d v="1899-12-30T16:10:00"/>
    <n v="0"/>
    <n v="1.9166666666666679"/>
    <n v="1.9166666666666679"/>
    <s v="Tree cutting"/>
    <s v="Close"/>
    <n v="4.7916666666666698E-2"/>
    <m/>
    <n v="0"/>
    <m/>
    <m/>
    <m/>
    <n v="0"/>
    <m/>
    <m/>
    <m/>
    <m/>
  </r>
  <r>
    <n v="231"/>
    <x v="25"/>
    <x v="0"/>
    <x v="0"/>
    <x v="1"/>
    <x v="0"/>
    <x v="16"/>
    <s v="PWEGPL"/>
    <s v="MSEDCL"/>
    <n v="2.5000000000000001E-2"/>
    <n v="9922"/>
    <x v="164"/>
    <m/>
    <d v="1899-12-30T14:15:00"/>
    <d v="1899-12-30T14:15:00"/>
    <d v="1899-12-30T16:10:00"/>
    <n v="0"/>
    <n v="1.9166666666666679"/>
    <n v="1.9166666666666679"/>
    <s v="Tree cutting"/>
    <s v="Close"/>
    <n v="4.7916666666666698E-2"/>
    <m/>
    <n v="0"/>
    <m/>
    <m/>
    <m/>
    <n v="0"/>
    <m/>
    <m/>
    <m/>
    <m/>
  </r>
  <r>
    <n v="232"/>
    <x v="25"/>
    <x v="0"/>
    <x v="0"/>
    <x v="1"/>
    <x v="0"/>
    <x v="4"/>
    <s v="PWEGPL"/>
    <s v="MSEDCL"/>
    <n v="2.5000000000000001E-2"/>
    <n v="9922"/>
    <x v="164"/>
    <m/>
    <d v="1899-12-30T14:15:00"/>
    <d v="1899-12-30T14:15:00"/>
    <d v="1899-12-30T16:10:00"/>
    <n v="0"/>
    <n v="1.9166666666666679"/>
    <n v="1.9166666666666679"/>
    <s v="Tree cutting"/>
    <s v="Close"/>
    <n v="4.7916666666666698E-2"/>
    <m/>
    <n v="0"/>
    <m/>
    <m/>
    <m/>
    <n v="0"/>
    <m/>
    <m/>
    <m/>
    <m/>
  </r>
  <r>
    <n v="233"/>
    <x v="25"/>
    <x v="0"/>
    <x v="0"/>
    <x v="1"/>
    <x v="0"/>
    <x v="15"/>
    <s v="PWEGPL"/>
    <s v="MSEDCL"/>
    <n v="2.5000000000000001E-2"/>
    <s v="CE100001"/>
    <x v="166"/>
    <m/>
    <d v="1899-12-30T11:12:00"/>
    <d v="1899-12-30T11:12:00"/>
    <d v="1899-12-30T14:06:00"/>
    <n v="0"/>
    <n v="2.9000000000000017"/>
    <n v="2.9000000000000017"/>
    <s v="Propotional valve changed"/>
    <s v="Close"/>
    <n v="7.2500000000000051E-2"/>
    <m/>
    <n v="0"/>
    <m/>
    <m/>
    <m/>
    <n v="0"/>
    <m/>
    <m/>
    <m/>
    <m/>
  </r>
  <r>
    <n v="234"/>
    <x v="26"/>
    <x v="0"/>
    <x v="0"/>
    <x v="1"/>
    <x v="0"/>
    <x v="31"/>
    <s v="PWEGPL"/>
    <s v="MSEDCL"/>
    <n v="2.5000000000000001E-2"/>
    <n v="412"/>
    <x v="167"/>
    <m/>
    <d v="1899-12-30T10:47:00"/>
    <d v="1899-12-30T10:47:00"/>
    <d v="1899-12-30T18:27:00"/>
    <n v="0"/>
    <n v="7.6666666666666643"/>
    <n v="7.6666666666666643"/>
    <s v="Gearbox radiator cooling motor changed"/>
    <s v="Close"/>
    <n v="0.19166666666666662"/>
    <m/>
    <n v="0"/>
    <m/>
    <m/>
    <m/>
    <n v="0"/>
    <m/>
    <m/>
    <m/>
    <m/>
  </r>
  <r>
    <n v="235"/>
    <x v="26"/>
    <x v="0"/>
    <x v="0"/>
    <x v="1"/>
    <x v="0"/>
    <x v="18"/>
    <s v="PWEGPL"/>
    <s v="MSEDCL"/>
    <n v="2.5000000000000001E-2"/>
    <n v="2102"/>
    <x v="168"/>
    <s v="PM"/>
    <d v="1899-12-30T22:18:00"/>
    <d v="1899-12-30T22:46:00"/>
    <d v="1899-12-30T23:02:00"/>
    <n v="0.46666666666666501"/>
    <n v="0.26666666666666838"/>
    <n v="0.73333333333333339"/>
    <s v="Reset"/>
    <s v="Close"/>
    <n v="1.8333333333333337E-2"/>
    <m/>
    <n v="0"/>
    <m/>
    <m/>
    <m/>
    <n v="0"/>
    <m/>
    <m/>
    <m/>
    <m/>
  </r>
  <r>
    <n v="236"/>
    <x v="26"/>
    <x v="0"/>
    <x v="0"/>
    <x v="1"/>
    <x v="0"/>
    <x v="16"/>
    <s v="PWEGPL"/>
    <s v="MSEDCL"/>
    <n v="2.5000000000000001E-2"/>
    <s v="CE100001"/>
    <x v="169"/>
    <m/>
    <d v="1899-12-30T12:31:00"/>
    <d v="1899-12-30T12:31:00"/>
    <d v="1899-12-30T12:57:00"/>
    <n v="0"/>
    <n v="0.43333333333333179"/>
    <n v="0.43333333333333179"/>
    <s v="MPCB reseted"/>
    <s v="Close"/>
    <n v="1.0833333333333296E-2"/>
    <m/>
    <n v="0"/>
    <m/>
    <m/>
    <m/>
    <n v="0"/>
    <m/>
    <m/>
    <m/>
    <m/>
  </r>
  <r>
    <n v="237"/>
    <x v="26"/>
    <x v="0"/>
    <x v="0"/>
    <x v="1"/>
    <x v="0"/>
    <x v="7"/>
    <s v="PWEGPL"/>
    <s v="MSEDCL"/>
    <n v="2.5000000000000001E-2"/>
    <s v="CE100001"/>
    <x v="170"/>
    <m/>
    <d v="1899-12-30T11:53:00"/>
    <d v="1899-12-30T11:53:00"/>
    <d v="1899-12-30T12:16:00"/>
    <n v="0"/>
    <n v="0.38333333333333597"/>
    <n v="0.38333333333333597"/>
    <s v="Gearbox manifold valve washer replaced"/>
    <s v="Close"/>
    <n v="9.5833333333334002E-3"/>
    <m/>
    <n v="0"/>
    <m/>
    <m/>
    <m/>
    <n v="0"/>
    <m/>
    <m/>
    <m/>
    <m/>
  </r>
  <r>
    <n v="238"/>
    <x v="27"/>
    <x v="0"/>
    <x v="0"/>
    <x v="1"/>
    <x v="0"/>
    <x v="2"/>
    <s v="PWEGPL"/>
    <s v="MSEDCL"/>
    <n v="2.5000000000000001E-2"/>
    <n v="9922"/>
    <x v="171"/>
    <m/>
    <d v="1899-12-30T12:12:00"/>
    <d v="1899-12-30T12:12:00"/>
    <d v="1899-12-30T12:57:00"/>
    <n v="0"/>
    <n v="0.75"/>
    <n v="0.75"/>
    <s v="Tree Trimming"/>
    <s v="Close"/>
    <n v="1.8750000000000003E-2"/>
    <m/>
    <n v="0"/>
    <m/>
    <m/>
    <m/>
    <n v="0"/>
    <m/>
    <m/>
    <m/>
    <m/>
  </r>
  <r>
    <n v="239"/>
    <x v="27"/>
    <x v="0"/>
    <x v="0"/>
    <x v="1"/>
    <x v="0"/>
    <x v="3"/>
    <s v="PWEGPL"/>
    <s v="MSEDCL"/>
    <n v="2.5000000000000001E-2"/>
    <n v="9922"/>
    <x v="171"/>
    <m/>
    <d v="1899-12-30T12:12:00"/>
    <d v="1899-12-30T12:12:00"/>
    <d v="1899-12-30T12:57:00"/>
    <n v="0"/>
    <n v="0.75"/>
    <n v="0.75"/>
    <s v="Tree Trimming"/>
    <s v="Close"/>
    <n v="1.8750000000000003E-2"/>
    <m/>
    <n v="0"/>
    <m/>
    <m/>
    <m/>
    <n v="0"/>
    <m/>
    <m/>
    <m/>
    <m/>
  </r>
  <r>
    <n v="240"/>
    <x v="27"/>
    <x v="0"/>
    <x v="0"/>
    <x v="1"/>
    <x v="0"/>
    <x v="15"/>
    <s v="PWEGPL"/>
    <s v="MSEDCL"/>
    <n v="2.5000000000000001E-2"/>
    <n v="800"/>
    <x v="172"/>
    <m/>
    <d v="1899-12-30T10:31:00"/>
    <d v="1899-12-30T10:45:00"/>
    <d v="1899-12-30T10:59:00"/>
    <n v="0.2333333333333325"/>
    <n v="0.2333333333333325"/>
    <n v="0.46666666666666501"/>
    <s v="Propotional valve &amp; Solenoid valve checked &amp; started"/>
    <s v="Close"/>
    <n v="1.1666666666666626E-2"/>
    <m/>
    <n v="0"/>
    <m/>
    <m/>
    <m/>
    <n v="0"/>
    <m/>
    <m/>
    <m/>
    <m/>
  </r>
  <r>
    <n v="241"/>
    <x v="27"/>
    <x v="0"/>
    <x v="0"/>
    <x v="1"/>
    <x v="0"/>
    <x v="5"/>
    <s v="PWEGPL"/>
    <s v="MSEDCL"/>
    <n v="2.5000000000000001E-2"/>
    <n v="9922"/>
    <x v="171"/>
    <m/>
    <d v="1899-12-30T12:12:00"/>
    <d v="1899-12-30T12:12:00"/>
    <d v="1899-12-30T12:57:00"/>
    <n v="0"/>
    <n v="0.75"/>
    <n v="0.75"/>
    <s v="Tree Trimming"/>
    <s v="Close"/>
    <n v="1.8750000000000003E-2"/>
    <m/>
    <n v="0"/>
    <m/>
    <m/>
    <m/>
    <n v="0"/>
    <m/>
    <m/>
    <m/>
    <m/>
  </r>
  <r>
    <n v="242"/>
    <x v="27"/>
    <x v="0"/>
    <x v="0"/>
    <x v="1"/>
    <x v="0"/>
    <x v="6"/>
    <s v="PWEGPL"/>
    <s v="MSEDCL"/>
    <n v="2.5000000000000001E-2"/>
    <n v="9922"/>
    <x v="171"/>
    <m/>
    <d v="1899-12-30T12:12:00"/>
    <d v="1899-12-30T12:12:00"/>
    <d v="1899-12-30T12:57:00"/>
    <n v="0"/>
    <n v="0.75"/>
    <n v="0.75"/>
    <s v="Tree Trimming"/>
    <s v="Close"/>
    <n v="1.8750000000000003E-2"/>
    <m/>
    <n v="0"/>
    <m/>
    <m/>
    <m/>
    <n v="0"/>
    <m/>
    <m/>
    <m/>
    <m/>
  </r>
  <r>
    <n v="243"/>
    <x v="27"/>
    <x v="0"/>
    <x v="0"/>
    <x v="1"/>
    <x v="0"/>
    <x v="7"/>
    <s v="PWEGPL"/>
    <s v="MSEDCL"/>
    <n v="2.5000000000000001E-2"/>
    <n v="9922"/>
    <x v="173"/>
    <m/>
    <d v="1899-12-30T12:12:00"/>
    <d v="1899-12-30T12:12:00"/>
    <d v="1899-12-30T12:57:00"/>
    <n v="0"/>
    <n v="0.75"/>
    <n v="0.75"/>
    <s v="Tree Trimming"/>
    <s v="Close"/>
    <n v="1.8750000000000003E-2"/>
    <m/>
    <n v="0"/>
    <m/>
    <m/>
    <m/>
    <n v="0"/>
    <m/>
    <m/>
    <m/>
    <m/>
  </r>
  <r>
    <n v="244"/>
    <x v="27"/>
    <x v="0"/>
    <x v="0"/>
    <x v="1"/>
    <x v="0"/>
    <x v="7"/>
    <s v="PWEGPL"/>
    <s v="MSEDCL"/>
    <n v="2.5000000000000001E-2"/>
    <n v="700"/>
    <x v="174"/>
    <m/>
    <d v="1899-12-30T15:08:00"/>
    <d v="1899-12-30T16:06:00"/>
    <d v="1899-12-30T23:59:00"/>
    <n v="0.96666666666666856"/>
    <n v="7.883333333333332"/>
    <n v="8.8500000000000014"/>
    <s v="Lamda power supply failure"/>
    <s v="Close"/>
    <n v="0.22125000000000006"/>
    <m/>
    <n v="0"/>
    <m/>
    <m/>
    <m/>
    <n v="0"/>
    <m/>
    <m/>
    <m/>
    <m/>
  </r>
  <r>
    <n v="245"/>
    <x v="28"/>
    <x v="0"/>
    <x v="0"/>
    <x v="1"/>
    <x v="0"/>
    <x v="15"/>
    <s v="PWEGPL"/>
    <s v="MSEDCL"/>
    <n v="2.5000000000000001E-2"/>
    <n v="800"/>
    <x v="175"/>
    <m/>
    <d v="1899-12-30T11:27:00"/>
    <d v="1899-12-30T12:27:00"/>
    <d v="1899-12-30T16:30:00"/>
    <n v="0.99999999999999911"/>
    <n v="4.0500000000000016"/>
    <n v="5.0500000000000007"/>
    <s v="B-blade propotional valve cable changed"/>
    <s v="Close"/>
    <n v="0.12625000000000003"/>
    <m/>
    <n v="0"/>
    <m/>
    <m/>
    <m/>
    <n v="0"/>
    <m/>
    <m/>
    <m/>
    <m/>
  </r>
  <r>
    <n v="246"/>
    <x v="28"/>
    <x v="0"/>
    <x v="0"/>
    <x v="1"/>
    <x v="0"/>
    <x v="7"/>
    <s v="PWEGPL"/>
    <s v="MSEDCL"/>
    <n v="2.5000000000000001E-2"/>
    <n v="700"/>
    <x v="176"/>
    <m/>
    <d v="1899-12-30T00:00:00"/>
    <d v="1899-12-30T23:59:00"/>
    <d v="1899-12-30T23:59:00"/>
    <n v="23.983333333333334"/>
    <n v="0"/>
    <n v="23.983333333333334"/>
    <s v="Material not available"/>
    <s v="Open"/>
    <n v="0.59958333333333336"/>
    <m/>
    <n v="0"/>
    <m/>
    <m/>
    <m/>
    <n v="0"/>
    <m/>
    <m/>
    <m/>
    <m/>
  </r>
  <r>
    <n v="247"/>
    <x v="29"/>
    <x v="0"/>
    <x v="0"/>
    <x v="1"/>
    <x v="0"/>
    <x v="22"/>
    <s v="PWEGPL"/>
    <s v="MSEDCL"/>
    <n v="2.5000000000000001E-2"/>
    <n v="5203"/>
    <x v="177"/>
    <m/>
    <d v="1899-12-30T19:02:00"/>
    <d v="1899-12-30T21:58:00"/>
    <d v="1899-12-30T22:31:00"/>
    <n v="2.9333333333333309"/>
    <n v="0.55000000000000071"/>
    <n v="3.4833333333333316"/>
    <s v="MCB tripped -Reseted"/>
    <s v="Close"/>
    <n v="8.708333333333329E-2"/>
    <m/>
    <n v="0"/>
    <m/>
    <m/>
    <m/>
    <n v="0"/>
    <m/>
    <m/>
    <m/>
    <m/>
  </r>
  <r>
    <n v="248"/>
    <x v="29"/>
    <x v="0"/>
    <x v="0"/>
    <x v="1"/>
    <x v="0"/>
    <x v="28"/>
    <s v="PWEGPL"/>
    <s v="MSEDCL"/>
    <n v="2.5000000000000001E-2"/>
    <n v="108"/>
    <x v="178"/>
    <m/>
    <d v="1899-12-30T13:01:00"/>
    <d v="1899-12-30T15:04:00"/>
    <d v="1899-12-30T16:10:00"/>
    <n v="2.049999999999998"/>
    <n v="1.1000000000000014"/>
    <n v="3.1499999999999995"/>
    <s v="Cable twist removed &amp; started"/>
    <s v="Close"/>
    <n v="7.8749999999999987E-2"/>
    <m/>
    <n v="0"/>
    <m/>
    <m/>
    <m/>
    <n v="0"/>
    <m/>
    <m/>
    <m/>
    <m/>
  </r>
  <r>
    <n v="249"/>
    <x v="29"/>
    <x v="0"/>
    <x v="0"/>
    <x v="1"/>
    <x v="0"/>
    <x v="29"/>
    <s v="PWEGPL"/>
    <s v="MSEDCL"/>
    <n v="2.5000000000000001E-2"/>
    <n v="205"/>
    <x v="179"/>
    <m/>
    <d v="1899-12-30T15:49:00"/>
    <d v="1899-12-30T15:49:00"/>
    <d v="1899-12-30T23:59:00"/>
    <n v="0"/>
    <n v="8.1666666666666679"/>
    <n v="8.1666666666666679"/>
    <s v="Yaw caliper failure"/>
    <s v="Open"/>
    <n v="0.20416666666666672"/>
    <m/>
    <n v="0"/>
    <m/>
    <m/>
    <m/>
    <n v="0"/>
    <m/>
    <m/>
    <m/>
    <m/>
  </r>
  <r>
    <n v="250"/>
    <x v="29"/>
    <x v="0"/>
    <x v="0"/>
    <x v="1"/>
    <x v="0"/>
    <x v="37"/>
    <s v="PWEGPL"/>
    <s v="MSEDCL"/>
    <n v="2.5000000000000001E-2"/>
    <n v="9922"/>
    <x v="180"/>
    <m/>
    <d v="1899-12-30T11:22:00"/>
    <d v="1899-12-30T11:22:00"/>
    <d v="1899-12-30T15:16:00"/>
    <n v="0"/>
    <n v="3.9000000000000008"/>
    <n v="3.9000000000000008"/>
    <s v="LC taken for DP-yard yearly maintenance"/>
    <s v="Close"/>
    <n v="9.7500000000000031E-2"/>
    <m/>
    <n v="0"/>
    <m/>
    <m/>
    <m/>
    <n v="0"/>
    <m/>
    <m/>
    <m/>
    <m/>
  </r>
  <r>
    <n v="251"/>
    <x v="29"/>
    <x v="0"/>
    <x v="0"/>
    <x v="1"/>
    <x v="0"/>
    <x v="0"/>
    <s v="PWEGPL"/>
    <s v="MSEDCL"/>
    <n v="2.5000000000000001E-2"/>
    <n v="9922"/>
    <x v="181"/>
    <m/>
    <d v="1899-12-30T11:22:00"/>
    <d v="1899-12-30T11:22:00"/>
    <d v="1899-12-30T15:16:00"/>
    <n v="0"/>
    <n v="3.9000000000000008"/>
    <n v="3.9000000000000008"/>
    <s v="LC taken for DP-yard yearly maintenance"/>
    <s v="Close"/>
    <n v="9.7500000000000031E-2"/>
    <m/>
    <n v="0"/>
    <m/>
    <m/>
    <m/>
    <n v="0"/>
    <m/>
    <m/>
    <m/>
    <m/>
  </r>
  <r>
    <n v="252"/>
    <x v="29"/>
    <x v="0"/>
    <x v="0"/>
    <x v="1"/>
    <x v="0"/>
    <x v="38"/>
    <s v="PWEGPL"/>
    <s v="MSEDCL"/>
    <n v="2.5000000000000001E-2"/>
    <n v="9922"/>
    <x v="182"/>
    <m/>
    <d v="1899-12-30T11:22:00"/>
    <d v="1899-12-30T11:22:00"/>
    <d v="1899-12-30T15:16:00"/>
    <n v="0"/>
    <n v="3.9000000000000008"/>
    <n v="3.9000000000000008"/>
    <s v="LC taken for DP-yard yearly maintenance"/>
    <s v="Close"/>
    <n v="9.7500000000000031E-2"/>
    <m/>
    <n v="0"/>
    <m/>
    <m/>
    <m/>
    <n v="0"/>
    <m/>
    <m/>
    <m/>
    <m/>
  </r>
  <r>
    <n v="253"/>
    <x v="29"/>
    <x v="0"/>
    <x v="0"/>
    <x v="1"/>
    <x v="0"/>
    <x v="18"/>
    <s v="PWEGPL"/>
    <s v="MSEDCL"/>
    <n v="2.5000000000000001E-2"/>
    <n v="9922"/>
    <x v="182"/>
    <m/>
    <d v="1899-12-30T11:22:00"/>
    <d v="1899-12-30T11:22:00"/>
    <d v="1899-12-30T15:16:00"/>
    <n v="0"/>
    <n v="3.9000000000000008"/>
    <n v="3.9000000000000008"/>
    <s v="LC taken for DP-yard yearly maintenance"/>
    <s v="Close"/>
    <n v="9.7500000000000031E-2"/>
    <m/>
    <n v="0"/>
    <m/>
    <m/>
    <m/>
    <n v="0"/>
    <m/>
    <m/>
    <m/>
    <m/>
  </r>
  <r>
    <n v="254"/>
    <x v="29"/>
    <x v="0"/>
    <x v="0"/>
    <x v="1"/>
    <x v="0"/>
    <x v="19"/>
    <s v="PWEGPL"/>
    <s v="MSEDCL"/>
    <n v="2.5000000000000001E-2"/>
    <n v="9922"/>
    <x v="182"/>
    <m/>
    <d v="1899-12-30T11:22:00"/>
    <d v="1899-12-30T11:22:00"/>
    <d v="1899-12-30T15:16:00"/>
    <n v="0"/>
    <n v="3.9000000000000008"/>
    <n v="3.9000000000000008"/>
    <s v="LC taken for DP-yard yearly maintenance"/>
    <s v="Close"/>
    <n v="9.7500000000000031E-2"/>
    <m/>
    <n v="0"/>
    <m/>
    <m/>
    <m/>
    <n v="0"/>
    <m/>
    <m/>
    <m/>
    <m/>
  </r>
  <r>
    <n v="255"/>
    <x v="29"/>
    <x v="0"/>
    <x v="0"/>
    <x v="1"/>
    <x v="0"/>
    <x v="35"/>
    <s v="PWEGPL"/>
    <s v="MSEDCL"/>
    <n v="2.5000000000000001E-2"/>
    <s v="CE100001"/>
    <x v="183"/>
    <s v="PM"/>
    <d v="1899-12-30T10:46:00"/>
    <d v="1899-12-30T10:46:00"/>
    <d v="1899-12-30T18:20:00"/>
    <n v="0"/>
    <n v="7.5666666666666647"/>
    <n v="7.5666666666666647"/>
    <s v="102-Month-PM-Scheduled"/>
    <s v="Close"/>
    <n v="0.18916666666666662"/>
    <m/>
    <n v="0"/>
    <m/>
    <m/>
    <m/>
    <n v="0"/>
    <m/>
    <m/>
    <m/>
    <m/>
  </r>
  <r>
    <n v="256"/>
    <x v="29"/>
    <x v="0"/>
    <x v="0"/>
    <x v="1"/>
    <x v="0"/>
    <x v="12"/>
    <s v="PWEGPL"/>
    <s v="MSEDCL"/>
    <n v="2.5000000000000001E-2"/>
    <n v="108"/>
    <x v="184"/>
    <m/>
    <d v="1899-12-30T12:57:00"/>
    <d v="1899-12-30T13:00:00"/>
    <d v="1899-12-30T13:33:00"/>
    <n v="4.9999999999999822E-2"/>
    <n v="0.55000000000000071"/>
    <n v="0.60000000000000053"/>
    <s v="Cable twist removed &amp; started"/>
    <s v="Close"/>
    <n v="1.5000000000000013E-2"/>
    <m/>
    <n v="0"/>
    <m/>
    <m/>
    <m/>
    <n v="0"/>
    <m/>
    <m/>
    <m/>
    <m/>
  </r>
  <r>
    <n v="257"/>
    <x v="29"/>
    <x v="0"/>
    <x v="0"/>
    <x v="1"/>
    <x v="0"/>
    <x v="14"/>
    <s v="PWEGPL"/>
    <s v="MSEDCL"/>
    <n v="2.5000000000000001E-2"/>
    <n v="110"/>
    <x v="185"/>
    <m/>
    <d v="1899-12-30T06:24:00"/>
    <d v="1899-12-30T07:08:00"/>
    <d v="1899-12-30T07:33:00"/>
    <n v="0.73333333333333339"/>
    <n v="0.41666666666666652"/>
    <n v="1.1499999999999999"/>
    <s v="Cable twist removed &amp; started"/>
    <s v="Close"/>
    <n v="2.8749999999999998E-2"/>
    <m/>
    <n v="0"/>
    <m/>
    <m/>
    <m/>
    <n v="0"/>
    <m/>
    <m/>
    <m/>
    <m/>
  </r>
  <r>
    <n v="258"/>
    <x v="29"/>
    <x v="0"/>
    <x v="0"/>
    <x v="1"/>
    <x v="0"/>
    <x v="7"/>
    <s v="PWEGPL"/>
    <s v="MSEDCL"/>
    <n v="2.5000000000000001E-2"/>
    <n v="700"/>
    <x v="176"/>
    <m/>
    <d v="1899-12-30T00:00:00"/>
    <d v="1899-12-30T23:59:00"/>
    <d v="1899-12-30T23:59:00"/>
    <n v="23.983333333333334"/>
    <n v="0"/>
    <n v="23.983333333333334"/>
    <s v="Lamda power supply failure"/>
    <s v="Open"/>
    <n v="0.59958333333333336"/>
    <m/>
    <n v="0"/>
    <m/>
    <m/>
    <m/>
    <n v="0"/>
    <m/>
    <m/>
    <m/>
    <m/>
  </r>
  <r>
    <n v="259"/>
    <x v="30"/>
    <x v="0"/>
    <x v="0"/>
    <x v="1"/>
    <x v="0"/>
    <x v="29"/>
    <s v="PWEGPL"/>
    <s v="MSEDCL"/>
    <n v="2.5000000000000001E-2"/>
    <n v="205"/>
    <x v="186"/>
    <m/>
    <d v="1899-12-30T00:00:00"/>
    <d v="1899-12-30T10:05:00"/>
    <d v="1899-12-30T16:41:00"/>
    <n v="10.083333333333334"/>
    <n v="6.6"/>
    <n v="16.683333333333334"/>
    <s v="Work in Progress -Yaw caliper replacement &amp; Lambda power supply"/>
    <s v="Open"/>
    <n v="0.41708333333333336"/>
    <m/>
    <n v="0"/>
    <m/>
    <m/>
    <m/>
    <n v="0"/>
    <m/>
    <m/>
    <m/>
    <m/>
  </r>
  <r>
    <n v="260"/>
    <x v="30"/>
    <x v="0"/>
    <x v="0"/>
    <x v="1"/>
    <x v="0"/>
    <x v="35"/>
    <s v="PWEGPL"/>
    <s v="MSEDCL"/>
    <n v="2.5000000000000001E-2"/>
    <n v="907"/>
    <x v="187"/>
    <m/>
    <d v="1899-12-30T20:20:00"/>
    <d v="1899-12-30T20:25:00"/>
    <d v="1899-12-30T20:30:00"/>
    <n v="8.3333333333335702E-2"/>
    <n v="8.3333333333330373E-2"/>
    <n v="0.16666666666666607"/>
    <s v="WIS- Lambada power supply Failure"/>
    <s v="Open"/>
    <n v="4.1666666666666519E-3"/>
    <m/>
    <n v="0"/>
    <m/>
    <m/>
    <m/>
    <n v="0"/>
    <m/>
    <m/>
    <m/>
    <m/>
  </r>
  <r>
    <n v="261"/>
    <x v="30"/>
    <x v="0"/>
    <x v="0"/>
    <x v="1"/>
    <x v="0"/>
    <x v="16"/>
    <s v="PWEGPL"/>
    <s v="MSEDCL"/>
    <n v="2.5000000000000001E-2"/>
    <n v="550"/>
    <x v="188"/>
    <m/>
    <d v="1899-12-30T02:35:00"/>
    <d v="1899-12-30T04:07:00"/>
    <d v="1899-12-30T04:18:00"/>
    <n v="1.5333333333333325"/>
    <n v="0.18333333333333401"/>
    <n v="1.7166666666666666"/>
    <s v="Reset"/>
    <s v="Close"/>
    <n v="4.2916666666666665E-2"/>
    <m/>
    <n v="0"/>
    <m/>
    <m/>
    <m/>
    <n v="0"/>
    <m/>
    <m/>
    <m/>
    <m/>
  </r>
  <r>
    <n v="262"/>
    <x v="30"/>
    <x v="0"/>
    <x v="0"/>
    <x v="1"/>
    <x v="0"/>
    <x v="7"/>
    <s v="PWEGPL"/>
    <s v="MSEDCL"/>
    <n v="2.5000000000000001E-2"/>
    <n v="700"/>
    <x v="189"/>
    <m/>
    <d v="1899-12-30T00:00:00"/>
    <d v="1899-12-30T00:30:00"/>
    <d v="1899-12-30T02:53:00"/>
    <n v="0.5"/>
    <n v="2.3833333333333337"/>
    <n v="2.8833333333333333"/>
    <s v="Lamda power supply repaced"/>
    <s v="Close"/>
    <n v="7.2083333333333333E-2"/>
    <m/>
    <n v="0"/>
    <m/>
    <m/>
    <m/>
    <n v="0"/>
    <m/>
    <m/>
    <m/>
    <m/>
  </r>
  <r>
    <n v="263"/>
    <x v="31"/>
    <x v="0"/>
    <x v="0"/>
    <x v="1"/>
    <x v="0"/>
    <x v="20"/>
    <s v="PWEGPL"/>
    <s v="MSEDCL"/>
    <n v="2.5000000000000001E-2"/>
    <n v="5216"/>
    <x v="190"/>
    <m/>
    <d v="1899-12-30T05:35:00"/>
    <d v="1899-12-30T05:35:00"/>
    <d v="1899-12-30T05:38:00"/>
    <n v="0"/>
    <n v="4.9999999999999822E-2"/>
    <n v="4.9999999999999822E-2"/>
    <s v="Reset &amp; Started"/>
    <s v="Close"/>
    <n v="1.2499999999999957E-3"/>
    <m/>
    <n v="0"/>
    <m/>
    <m/>
    <m/>
    <n v="0"/>
    <m/>
    <m/>
    <m/>
    <m/>
  </r>
  <r>
    <n v="264"/>
    <x v="31"/>
    <x v="0"/>
    <x v="0"/>
    <x v="1"/>
    <x v="0"/>
    <x v="21"/>
    <s v="PWEGPL"/>
    <s v="MSEDCL"/>
    <n v="2.5000000000000001E-2"/>
    <n v="5216"/>
    <x v="190"/>
    <m/>
    <d v="1899-12-30T05:35:00"/>
    <d v="1899-12-30T05:35:00"/>
    <d v="1899-12-30T05:38:00"/>
    <n v="0"/>
    <n v="4.9999999999999822E-2"/>
    <n v="4.9999999999999822E-2"/>
    <s v="Reset &amp; Started"/>
    <s v="Close"/>
    <n v="1.2499999999999957E-3"/>
    <m/>
    <n v="0"/>
    <m/>
    <m/>
    <m/>
    <n v="0"/>
    <m/>
    <m/>
    <m/>
    <m/>
  </r>
  <r>
    <n v="265"/>
    <x v="31"/>
    <x v="0"/>
    <x v="0"/>
    <x v="1"/>
    <x v="0"/>
    <x v="22"/>
    <s v="PWEGPL"/>
    <s v="MSEDCL"/>
    <n v="2.5000000000000001E-2"/>
    <n v="5216"/>
    <x v="190"/>
    <m/>
    <d v="1899-12-30T05:35:00"/>
    <d v="1899-12-30T05:35:00"/>
    <d v="1899-12-30T05:38:00"/>
    <n v="0"/>
    <n v="4.9999999999999822E-2"/>
    <n v="4.9999999999999822E-2"/>
    <s v="Reset &amp; Started"/>
    <s v="Close"/>
    <n v="1.2499999999999957E-3"/>
    <m/>
    <n v="0"/>
    <m/>
    <m/>
    <m/>
    <n v="0"/>
    <m/>
    <m/>
    <m/>
    <m/>
  </r>
  <r>
    <n v="266"/>
    <x v="31"/>
    <x v="0"/>
    <x v="0"/>
    <x v="1"/>
    <x v="0"/>
    <x v="23"/>
    <s v="PWEGPL"/>
    <s v="MSEDCL"/>
    <n v="2.5000000000000001E-2"/>
    <n v="5216"/>
    <x v="190"/>
    <m/>
    <d v="1899-12-30T05:35:00"/>
    <d v="1899-12-30T05:35:00"/>
    <d v="1899-12-30T05:38:00"/>
    <n v="0"/>
    <n v="4.9999999999999822E-2"/>
    <n v="4.9999999999999822E-2"/>
    <s v="Reset &amp; Started"/>
    <s v="Close"/>
    <n v="1.2499999999999957E-3"/>
    <m/>
    <n v="0"/>
    <m/>
    <m/>
    <m/>
    <n v="0"/>
    <m/>
    <m/>
    <m/>
    <m/>
  </r>
  <r>
    <n v="267"/>
    <x v="31"/>
    <x v="0"/>
    <x v="0"/>
    <x v="1"/>
    <x v="0"/>
    <x v="24"/>
    <s v="PWEGPL"/>
    <s v="MSEDCL"/>
    <n v="2.5000000000000001E-2"/>
    <n v="5216"/>
    <x v="191"/>
    <m/>
    <d v="1899-12-30T20:52:00"/>
    <d v="1899-12-30T20:52:00"/>
    <d v="1899-12-30T21:21:00"/>
    <n v="0"/>
    <n v="0.48333333333333428"/>
    <n v="0.48333333333333428"/>
    <s v="Reset &amp; Started"/>
    <s v="Close"/>
    <n v="1.2083333333333357E-2"/>
    <m/>
    <n v="0"/>
    <m/>
    <m/>
    <m/>
    <n v="0"/>
    <m/>
    <m/>
    <m/>
    <m/>
  </r>
  <r>
    <n v="268"/>
    <x v="31"/>
    <x v="0"/>
    <x v="0"/>
    <x v="1"/>
    <x v="0"/>
    <x v="25"/>
    <s v="PWEGPL"/>
    <s v="MSEDCL"/>
    <n v="2.5000000000000001E-2"/>
    <n v="5216"/>
    <x v="190"/>
    <m/>
    <d v="1899-12-30T05:35:00"/>
    <d v="1899-12-30T05:35:00"/>
    <d v="1899-12-30T05:38:00"/>
    <n v="0"/>
    <n v="4.9999999999999822E-2"/>
    <n v="4.9999999999999822E-2"/>
    <s v="Reset &amp; Started"/>
    <s v="Close"/>
    <n v="1.2499999999999957E-3"/>
    <m/>
    <n v="0"/>
    <m/>
    <m/>
    <m/>
    <n v="0"/>
    <m/>
    <m/>
    <m/>
    <m/>
  </r>
  <r>
    <n v="269"/>
    <x v="31"/>
    <x v="0"/>
    <x v="0"/>
    <x v="1"/>
    <x v="0"/>
    <x v="26"/>
    <s v="PWEGPL"/>
    <s v="MSEDCL"/>
    <n v="2.5000000000000001E-2"/>
    <n v="5216"/>
    <x v="190"/>
    <m/>
    <d v="1899-12-30T05:35:00"/>
    <d v="1899-12-30T05:35:00"/>
    <d v="1899-12-30T05:38:00"/>
    <n v="0"/>
    <n v="4.9999999999999822E-2"/>
    <n v="4.9999999999999822E-2"/>
    <s v="Reset &amp; Started"/>
    <s v="Close"/>
    <n v="1.2499999999999957E-3"/>
    <m/>
    <n v="0"/>
    <m/>
    <m/>
    <m/>
    <n v="0"/>
    <m/>
    <m/>
    <m/>
    <m/>
  </r>
  <r>
    <n v="270"/>
    <x v="31"/>
    <x v="0"/>
    <x v="0"/>
    <x v="1"/>
    <x v="0"/>
    <x v="17"/>
    <s v="PWEGPL"/>
    <s v="MSEDCL"/>
    <n v="2.5000000000000001E-2"/>
    <n v="5216"/>
    <x v="190"/>
    <m/>
    <d v="1899-12-30T05:35:00"/>
    <d v="1899-12-30T05:35:00"/>
    <d v="1899-12-30T05:38:00"/>
    <n v="0"/>
    <n v="4.9999999999999822E-2"/>
    <n v="4.9999999999999822E-2"/>
    <s v="Reset &amp; Started"/>
    <s v="Close"/>
    <n v="1.2499999999999957E-3"/>
    <m/>
    <n v="0"/>
    <m/>
    <m/>
    <m/>
    <n v="0"/>
    <m/>
    <m/>
    <m/>
    <m/>
  </r>
  <r>
    <n v="271"/>
    <x v="31"/>
    <x v="0"/>
    <x v="0"/>
    <x v="1"/>
    <x v="0"/>
    <x v="27"/>
    <s v="PWEGPL"/>
    <s v="MSEDCL"/>
    <n v="2.5000000000000001E-2"/>
    <n v="5216"/>
    <x v="192"/>
    <m/>
    <d v="1899-12-30T05:35:00"/>
    <d v="1899-12-30T05:35:00"/>
    <d v="1899-12-30T05:38:00"/>
    <n v="0"/>
    <n v="4.9999999999999822E-2"/>
    <n v="4.9999999999999822E-2"/>
    <s v="Reset &amp; Started"/>
    <s v="Close"/>
    <n v="1.2499999999999957E-3"/>
    <m/>
    <n v="0"/>
    <m/>
    <m/>
    <m/>
    <n v="0"/>
    <m/>
    <m/>
    <m/>
    <m/>
  </r>
  <r>
    <n v="272"/>
    <x v="31"/>
    <x v="0"/>
    <x v="0"/>
    <x v="1"/>
    <x v="0"/>
    <x v="28"/>
    <s v="PWEGPL"/>
    <s v="MSEDCL"/>
    <n v="2.5000000000000001E-2"/>
    <n v="5216"/>
    <x v="190"/>
    <m/>
    <d v="1899-12-30T20:52:00"/>
    <d v="1899-12-30T20:52:00"/>
    <d v="1899-12-30T21:21:00"/>
    <n v="0"/>
    <n v="0.48333333333333428"/>
    <n v="0.48333333333333428"/>
    <s v="Reset &amp; Started"/>
    <s v="Close"/>
    <n v="1.2083333333333357E-2"/>
    <m/>
    <n v="0"/>
    <m/>
    <m/>
    <m/>
    <n v="0"/>
    <m/>
    <m/>
    <m/>
    <m/>
  </r>
  <r>
    <n v="273"/>
    <x v="31"/>
    <x v="0"/>
    <x v="0"/>
    <x v="1"/>
    <x v="0"/>
    <x v="29"/>
    <s v="PWEGPL"/>
    <s v="MSEDCL"/>
    <n v="2.5000000000000001E-2"/>
    <n v="5216"/>
    <x v="190"/>
    <m/>
    <d v="1899-12-30T05:35:00"/>
    <d v="1899-12-30T05:35:00"/>
    <d v="1899-12-30T05:38:00"/>
    <n v="0"/>
    <n v="4.9999999999999822E-2"/>
    <n v="4.9999999999999822E-2"/>
    <s v="Reset &amp; Started"/>
    <s v="Close"/>
    <n v="1.2499999999999957E-3"/>
    <m/>
    <n v="0"/>
    <m/>
    <m/>
    <m/>
    <n v="0"/>
    <m/>
    <m/>
    <m/>
    <m/>
  </r>
  <r>
    <n v="274"/>
    <x v="31"/>
    <x v="0"/>
    <x v="0"/>
    <x v="1"/>
    <x v="0"/>
    <x v="30"/>
    <s v="PWEGPL"/>
    <s v="MSEDCL"/>
    <n v="2.5000000000000001E-2"/>
    <n v="5216"/>
    <x v="191"/>
    <m/>
    <d v="1899-12-30T20:52:00"/>
    <d v="1899-12-30T20:52:00"/>
    <d v="1899-12-30T21:21:00"/>
    <n v="0"/>
    <n v="0.48333333333333428"/>
    <n v="0.48333333333333428"/>
    <s v="Reset &amp; Started"/>
    <s v="Close"/>
    <n v="1.2083333333333357E-2"/>
    <m/>
    <n v="0"/>
    <m/>
    <m/>
    <m/>
    <n v="0"/>
    <m/>
    <m/>
    <m/>
    <m/>
  </r>
  <r>
    <n v="275"/>
    <x v="31"/>
    <x v="0"/>
    <x v="0"/>
    <x v="1"/>
    <x v="0"/>
    <x v="31"/>
    <s v="PWEGPL"/>
    <s v="MSEDCL"/>
    <n v="2.5000000000000001E-2"/>
    <n v="5216"/>
    <x v="191"/>
    <m/>
    <d v="1899-12-30T20:52:00"/>
    <d v="1899-12-30T20:52:00"/>
    <d v="1899-12-30T21:21:00"/>
    <n v="0"/>
    <n v="0.48333333333333428"/>
    <n v="0.48333333333333428"/>
    <s v="Reset &amp; Started"/>
    <s v="Close"/>
    <n v="1.2083333333333357E-2"/>
    <m/>
    <n v="0"/>
    <m/>
    <m/>
    <m/>
    <n v="0"/>
    <m/>
    <m/>
    <m/>
    <m/>
  </r>
  <r>
    <n v="276"/>
    <x v="31"/>
    <x v="0"/>
    <x v="0"/>
    <x v="1"/>
    <x v="0"/>
    <x v="32"/>
    <s v="PWEGPL"/>
    <s v="MSEDCL"/>
    <n v="2.5000000000000001E-2"/>
    <n v="5216"/>
    <x v="191"/>
    <m/>
    <d v="1899-12-30T20:52:00"/>
    <d v="1899-12-30T20:52:00"/>
    <d v="1899-12-30T21:21:00"/>
    <n v="0"/>
    <n v="0.48333333333333428"/>
    <n v="0.48333333333333428"/>
    <s v="Reset &amp; Started"/>
    <s v="Close"/>
    <n v="1.2083333333333357E-2"/>
    <m/>
    <n v="0"/>
    <m/>
    <m/>
    <m/>
    <n v="0"/>
    <m/>
    <m/>
    <m/>
    <m/>
  </r>
  <r>
    <n v="277"/>
    <x v="31"/>
    <x v="0"/>
    <x v="0"/>
    <x v="1"/>
    <x v="0"/>
    <x v="39"/>
    <s v="PWEGPL"/>
    <s v="MSEDCL"/>
    <n v="2.5000000000000001E-2"/>
    <n v="5216"/>
    <x v="191"/>
    <m/>
    <d v="1899-12-30T20:52:00"/>
    <d v="1899-12-30T20:52:00"/>
    <d v="1899-12-30T21:21:00"/>
    <n v="0"/>
    <n v="0.48333333333333428"/>
    <n v="0.48333333333333428"/>
    <s v="Reset &amp; Started"/>
    <s v="Close"/>
    <n v="1.2083333333333357E-2"/>
    <m/>
    <n v="0"/>
    <m/>
    <m/>
    <m/>
    <n v="0"/>
    <m/>
    <m/>
    <m/>
    <m/>
  </r>
  <r>
    <n v="278"/>
    <x v="31"/>
    <x v="0"/>
    <x v="0"/>
    <x v="1"/>
    <x v="0"/>
    <x v="37"/>
    <s v="PWEGPL"/>
    <s v="MSEDCL"/>
    <n v="2.5000000000000001E-2"/>
    <n v="5216"/>
    <x v="191"/>
    <m/>
    <d v="1899-12-30T20:52:00"/>
    <d v="1899-12-30T20:52:00"/>
    <d v="1899-12-30T21:21:00"/>
    <n v="0"/>
    <n v="0.48333333333333428"/>
    <n v="0.48333333333333428"/>
    <s v="Reset &amp; Started"/>
    <s v="Close"/>
    <n v="1.2083333333333357E-2"/>
    <m/>
    <n v="0"/>
    <m/>
    <m/>
    <m/>
    <n v="0"/>
    <m/>
    <m/>
    <m/>
    <m/>
  </r>
  <r>
    <n v="279"/>
    <x v="31"/>
    <x v="0"/>
    <x v="0"/>
    <x v="1"/>
    <x v="0"/>
    <x v="0"/>
    <s v="PWEGPL"/>
    <s v="MSEDCL"/>
    <n v="2.5000000000000001E-2"/>
    <n v="5216"/>
    <x v="191"/>
    <m/>
    <d v="1899-12-30T20:52:00"/>
    <d v="1899-12-30T20:52:00"/>
    <d v="1899-12-30T21:21:00"/>
    <n v="0"/>
    <n v="0.48333333333333428"/>
    <n v="0.48333333333333428"/>
    <s v="Reset &amp; Started"/>
    <s v="Close"/>
    <n v="1.2083333333333357E-2"/>
    <m/>
    <n v="0"/>
    <m/>
    <m/>
    <m/>
    <n v="0"/>
    <m/>
    <m/>
    <m/>
    <m/>
  </r>
  <r>
    <n v="280"/>
    <x v="31"/>
    <x v="0"/>
    <x v="0"/>
    <x v="1"/>
    <x v="0"/>
    <x v="38"/>
    <s v="PWEGPL"/>
    <s v="MSEDCL"/>
    <n v="2.5000000000000001E-2"/>
    <n v="5216"/>
    <x v="191"/>
    <m/>
    <d v="1899-12-30T20:52:00"/>
    <d v="1899-12-30T20:52:00"/>
    <d v="1899-12-30T21:21:00"/>
    <n v="0"/>
    <n v="0.48333333333333428"/>
    <n v="0.48333333333333428"/>
    <s v="Reset &amp; Started"/>
    <s v="Close"/>
    <n v="1.2083333333333357E-2"/>
    <m/>
    <n v="0"/>
    <m/>
    <m/>
    <m/>
    <n v="0"/>
    <m/>
    <m/>
    <m/>
    <m/>
  </r>
  <r>
    <n v="281"/>
    <x v="31"/>
    <x v="0"/>
    <x v="0"/>
    <x v="1"/>
    <x v="0"/>
    <x v="18"/>
    <s v="PWEGPL"/>
    <s v="MSEDCL"/>
    <n v="2.5000000000000001E-2"/>
    <n v="5216"/>
    <x v="191"/>
    <m/>
    <d v="1899-12-30T20:52:00"/>
    <d v="1899-12-30T20:52:00"/>
    <d v="1899-12-30T21:21:00"/>
    <n v="0"/>
    <n v="0.48333333333333428"/>
    <n v="0.48333333333333428"/>
    <s v="Reset &amp; Started"/>
    <s v="Close"/>
    <n v="1.2083333333333357E-2"/>
    <m/>
    <n v="0"/>
    <m/>
    <m/>
    <m/>
    <n v="0"/>
    <m/>
    <m/>
    <m/>
    <m/>
  </r>
  <r>
    <n v="282"/>
    <x v="31"/>
    <x v="0"/>
    <x v="0"/>
    <x v="1"/>
    <x v="0"/>
    <x v="19"/>
    <s v="PWEGPL"/>
    <s v="MSEDCL"/>
    <n v="2.5000000000000001E-2"/>
    <n v="5216"/>
    <x v="191"/>
    <m/>
    <d v="1899-12-30T20:52:00"/>
    <d v="1899-12-30T20:52:00"/>
    <d v="1899-12-30T21:21:00"/>
    <n v="0"/>
    <n v="0.48333333333333428"/>
    <n v="0.48333333333333428"/>
    <s v="Reset &amp; Started"/>
    <s v="Close"/>
    <n v="1.2083333333333357E-2"/>
    <m/>
    <n v="0"/>
    <m/>
    <m/>
    <m/>
    <n v="0"/>
    <m/>
    <m/>
    <m/>
    <m/>
  </r>
  <r>
    <n v="283"/>
    <x v="31"/>
    <x v="0"/>
    <x v="0"/>
    <x v="1"/>
    <x v="0"/>
    <x v="33"/>
    <s v="PWEGPL"/>
    <s v="MSEDCL"/>
    <n v="2.5000000000000001E-2"/>
    <n v="5216"/>
    <x v="191"/>
    <m/>
    <d v="1899-12-30T20:52:00"/>
    <d v="1899-12-30T20:52:00"/>
    <d v="1899-12-30T21:21:00"/>
    <n v="0"/>
    <n v="0.48333333333333428"/>
    <n v="0.48333333333333428"/>
    <s v="Reset &amp; Started"/>
    <s v="Close"/>
    <n v="1.2083333333333357E-2"/>
    <m/>
    <n v="0"/>
    <m/>
    <m/>
    <m/>
    <n v="0"/>
    <m/>
    <m/>
    <m/>
    <m/>
  </r>
  <r>
    <n v="284"/>
    <x v="31"/>
    <x v="0"/>
    <x v="0"/>
    <x v="1"/>
    <x v="0"/>
    <x v="34"/>
    <s v="PWEGPL"/>
    <s v="MSEDCL"/>
    <n v="2.5000000000000001E-2"/>
    <n v="5216"/>
    <x v="193"/>
    <m/>
    <d v="1899-12-30T20:52:00"/>
    <d v="1899-12-30T20:52:00"/>
    <d v="1899-12-30T21:21:00"/>
    <n v="0"/>
    <n v="0.48333333333333428"/>
    <n v="0.48333333333333428"/>
    <s v="Reset &amp; Started"/>
    <s v="Close"/>
    <n v="1.2083333333333357E-2"/>
    <m/>
    <n v="0"/>
    <m/>
    <m/>
    <m/>
    <n v="0"/>
    <m/>
    <m/>
    <m/>
    <m/>
  </r>
  <r>
    <n v="285"/>
    <x v="31"/>
    <x v="0"/>
    <x v="0"/>
    <x v="1"/>
    <x v="0"/>
    <x v="1"/>
    <s v="PWEGPL"/>
    <s v="MSEDCL"/>
    <n v="2.5000000000000001E-2"/>
    <n v="5216"/>
    <x v="191"/>
    <m/>
    <d v="1899-12-30T20:52:00"/>
    <d v="1899-12-30T20:52:00"/>
    <d v="1899-12-30T21:21:00"/>
    <n v="0"/>
    <n v="0.48333333333333428"/>
    <n v="0.48333333333333428"/>
    <s v="Reset &amp; Started"/>
    <s v="Close"/>
    <n v="1.2083333333333357E-2"/>
    <m/>
    <n v="0"/>
    <m/>
    <m/>
    <m/>
    <n v="0"/>
    <m/>
    <m/>
    <m/>
    <m/>
  </r>
  <r>
    <n v="286"/>
    <x v="31"/>
    <x v="0"/>
    <x v="0"/>
    <x v="1"/>
    <x v="0"/>
    <x v="35"/>
    <s v="PWEGPL"/>
    <s v="MSEDCL"/>
    <n v="2.5000000000000001E-2"/>
    <n v="5216"/>
    <x v="194"/>
    <m/>
    <d v="1899-12-30T20:52:00"/>
    <d v="1899-12-30T20:52:00"/>
    <d v="1899-12-30T21:21:00"/>
    <n v="0"/>
    <n v="0.48333333333333428"/>
    <n v="0.48333333333333428"/>
    <s v="Reset &amp; Started"/>
    <s v="Close"/>
    <n v="1.2083333333333357E-2"/>
    <m/>
    <n v="0"/>
    <m/>
    <m/>
    <m/>
    <n v="0"/>
    <m/>
    <m/>
    <m/>
    <m/>
  </r>
  <r>
    <n v="287"/>
    <x v="31"/>
    <x v="0"/>
    <x v="0"/>
    <x v="1"/>
    <x v="0"/>
    <x v="36"/>
    <s v="PWEGPL"/>
    <s v="MSEDCL"/>
    <n v="2.5000000000000001E-2"/>
    <n v="5216"/>
    <x v="191"/>
    <m/>
    <d v="1899-12-30T20:52:00"/>
    <d v="1899-12-30T20:52:00"/>
    <d v="1899-12-30T21:21:00"/>
    <n v="0"/>
    <n v="0.48333333333333428"/>
    <n v="0.48333333333333428"/>
    <s v="Reset &amp; Started"/>
    <s v="Close"/>
    <n v="1.2083333333333357E-2"/>
    <m/>
    <n v="0"/>
    <m/>
    <m/>
    <m/>
    <n v="0"/>
    <m/>
    <m/>
    <m/>
    <m/>
  </r>
  <r>
    <n v="288"/>
    <x v="31"/>
    <x v="0"/>
    <x v="0"/>
    <x v="1"/>
    <x v="0"/>
    <x v="2"/>
    <s v="PWEGPL"/>
    <s v="MSEDCL"/>
    <n v="2.5000000000000001E-2"/>
    <n v="5216"/>
    <x v="195"/>
    <m/>
    <d v="1899-12-30T09:21:00"/>
    <d v="1899-12-30T09:21:00"/>
    <d v="1899-12-30T09:22:00"/>
    <n v="0"/>
    <n v="1.6666666666666607E-2"/>
    <n v="1.6666666666666607E-2"/>
    <s v="Reset &amp; Started"/>
    <s v="Close"/>
    <n v="4.1666666666666523E-4"/>
    <m/>
    <n v="0"/>
    <m/>
    <m/>
    <m/>
    <n v="0"/>
    <m/>
    <m/>
    <m/>
    <m/>
  </r>
  <r>
    <n v="289"/>
    <x v="31"/>
    <x v="0"/>
    <x v="0"/>
    <x v="1"/>
    <x v="0"/>
    <x v="8"/>
    <s v="PWEGPL"/>
    <s v="MSEDCL"/>
    <n v="2.5000000000000001E-2"/>
    <n v="5216"/>
    <x v="191"/>
    <m/>
    <d v="1899-12-30T20:52:00"/>
    <d v="1899-12-30T20:52:00"/>
    <d v="1899-12-30T21:21:00"/>
    <n v="0"/>
    <n v="0.48333333333333428"/>
    <n v="0.48333333333333428"/>
    <s v="Reset &amp; Started"/>
    <s v="Close"/>
    <n v="1.2083333333333357E-2"/>
    <m/>
    <n v="0"/>
    <m/>
    <m/>
    <m/>
    <n v="0"/>
    <m/>
    <m/>
    <m/>
    <m/>
  </r>
  <r>
    <n v="290"/>
    <x v="31"/>
    <x v="0"/>
    <x v="0"/>
    <x v="1"/>
    <x v="0"/>
    <x v="9"/>
    <s v="PWEGPL"/>
    <s v="MSEDCL"/>
    <n v="2.5000000000000001E-2"/>
    <n v="5216"/>
    <x v="191"/>
    <m/>
    <d v="1899-12-30T20:52:00"/>
    <d v="1899-12-30T20:52:00"/>
    <d v="1899-12-30T21:21:00"/>
    <n v="0"/>
    <n v="0.48333333333333428"/>
    <n v="0.48333333333333428"/>
    <s v="Reset &amp; Started"/>
    <s v="Close"/>
    <n v="1.2083333333333357E-2"/>
    <m/>
    <n v="0"/>
    <m/>
    <m/>
    <m/>
    <n v="0"/>
    <m/>
    <m/>
    <m/>
    <m/>
  </r>
  <r>
    <n v="291"/>
    <x v="31"/>
    <x v="0"/>
    <x v="0"/>
    <x v="1"/>
    <x v="0"/>
    <x v="10"/>
    <s v="PWEGPL"/>
    <s v="MSEDCL"/>
    <n v="2.5000000000000001E-2"/>
    <n v="5216"/>
    <x v="191"/>
    <m/>
    <d v="1899-12-30T20:52:00"/>
    <d v="1899-12-30T20:52:00"/>
    <d v="1899-12-30T21:21:00"/>
    <n v="0"/>
    <n v="0.48333333333333428"/>
    <n v="0.48333333333333428"/>
    <s v="Reset &amp; Started"/>
    <s v="Close"/>
    <n v="1.2083333333333357E-2"/>
    <m/>
    <n v="0"/>
    <m/>
    <m/>
    <m/>
    <n v="0"/>
    <m/>
    <m/>
    <m/>
    <m/>
  </r>
  <r>
    <n v="292"/>
    <x v="31"/>
    <x v="0"/>
    <x v="0"/>
    <x v="1"/>
    <x v="0"/>
    <x v="11"/>
    <s v="PWEGPL"/>
    <s v="MSEDCL"/>
    <n v="2.5000000000000001E-2"/>
    <n v="5216"/>
    <x v="191"/>
    <m/>
    <d v="1899-12-30T20:52:00"/>
    <d v="1899-12-30T20:52:00"/>
    <d v="1899-12-30T21:21:00"/>
    <n v="0"/>
    <n v="0.48333333333333428"/>
    <n v="0.48333333333333428"/>
    <s v="Reset &amp; Started"/>
    <s v="Close"/>
    <n v="1.2083333333333357E-2"/>
    <m/>
    <n v="0"/>
    <m/>
    <m/>
    <m/>
    <n v="0"/>
    <m/>
    <m/>
    <m/>
    <m/>
  </r>
  <r>
    <n v="293"/>
    <x v="31"/>
    <x v="0"/>
    <x v="0"/>
    <x v="1"/>
    <x v="0"/>
    <x v="12"/>
    <s v="PWEGPL"/>
    <s v="MSEDCL"/>
    <n v="2.5000000000000001E-2"/>
    <n v="5216"/>
    <x v="191"/>
    <m/>
    <d v="1899-12-30T20:52:00"/>
    <d v="1899-12-30T20:52:00"/>
    <d v="1899-12-30T21:21:00"/>
    <n v="0"/>
    <n v="0.48333333333333428"/>
    <n v="0.48333333333333428"/>
    <s v="Reset &amp; Started"/>
    <s v="Close"/>
    <n v="1.2083333333333357E-2"/>
    <m/>
    <n v="0"/>
    <m/>
    <m/>
    <m/>
    <n v="0"/>
    <m/>
    <m/>
    <m/>
    <m/>
  </r>
  <r>
    <n v="294"/>
    <x v="31"/>
    <x v="0"/>
    <x v="0"/>
    <x v="1"/>
    <x v="0"/>
    <x v="3"/>
    <s v="PWEGPL"/>
    <s v="MSEDCL"/>
    <n v="2.5000000000000001E-2"/>
    <n v="5216"/>
    <x v="195"/>
    <m/>
    <d v="1899-12-30T09:21:00"/>
    <d v="1899-12-30T09:21:00"/>
    <d v="1899-12-30T09:22:00"/>
    <n v="0"/>
    <n v="1.6666666666666607E-2"/>
    <n v="1.6666666666666607E-2"/>
    <s v="Reset &amp; Started"/>
    <s v="Close"/>
    <n v="4.1666666666666523E-4"/>
    <m/>
    <n v="0"/>
    <m/>
    <m/>
    <m/>
    <n v="0"/>
    <m/>
    <m/>
    <m/>
    <m/>
  </r>
  <r>
    <n v="295"/>
    <x v="31"/>
    <x v="0"/>
    <x v="0"/>
    <x v="1"/>
    <x v="0"/>
    <x v="13"/>
    <s v="PWEGPL"/>
    <s v="MSEDCL"/>
    <n v="2.5000000000000001E-2"/>
    <n v="5216"/>
    <x v="195"/>
    <m/>
    <d v="1899-12-30T09:21:00"/>
    <d v="1899-12-30T09:21:00"/>
    <d v="1899-12-30T09:22:00"/>
    <n v="0"/>
    <n v="1.6666666666666607E-2"/>
    <n v="1.6666666666666607E-2"/>
    <s v="Reset &amp; Started"/>
    <s v="Close"/>
    <n v="4.1666666666666523E-4"/>
    <m/>
    <n v="0"/>
    <m/>
    <m/>
    <m/>
    <n v="0"/>
    <m/>
    <m/>
    <m/>
    <m/>
  </r>
  <r>
    <n v="296"/>
    <x v="31"/>
    <x v="0"/>
    <x v="0"/>
    <x v="1"/>
    <x v="0"/>
    <x v="14"/>
    <s v="PWEGPL"/>
    <s v="MSEDCL"/>
    <n v="2.5000000000000001E-2"/>
    <n v="5216"/>
    <x v="195"/>
    <m/>
    <d v="1899-12-30T09:21:00"/>
    <d v="1899-12-30T09:21:00"/>
    <d v="1899-12-30T09:22:00"/>
    <n v="0"/>
    <n v="1.6666666666666607E-2"/>
    <n v="1.6666666666666607E-2"/>
    <s v="Reset &amp; Started"/>
    <s v="Close"/>
    <n v="4.1666666666666523E-4"/>
    <m/>
    <n v="0"/>
    <m/>
    <m/>
    <m/>
    <n v="0"/>
    <m/>
    <m/>
    <m/>
    <m/>
  </r>
  <r>
    <n v="297"/>
    <x v="31"/>
    <x v="0"/>
    <x v="0"/>
    <x v="1"/>
    <x v="0"/>
    <x v="15"/>
    <s v="PWEGPL"/>
    <s v="MSEDCL"/>
    <n v="2.5000000000000001E-2"/>
    <n v="5216"/>
    <x v="196"/>
    <m/>
    <d v="1899-12-30T09:21:00"/>
    <d v="1899-12-30T09:21:00"/>
    <d v="1899-12-30T09:22:00"/>
    <n v="0"/>
    <n v="1.6666666666666607E-2"/>
    <n v="1.6666666666666607E-2"/>
    <s v="Reset &amp; Started"/>
    <s v="Close"/>
    <n v="4.1666666666666523E-4"/>
    <m/>
    <n v="0"/>
    <m/>
    <m/>
    <m/>
    <n v="0"/>
    <m/>
    <m/>
    <m/>
    <m/>
  </r>
  <r>
    <n v="298"/>
    <x v="31"/>
    <x v="0"/>
    <x v="0"/>
    <x v="1"/>
    <x v="0"/>
    <x v="16"/>
    <s v="PWEGPL"/>
    <s v="MSEDCL"/>
    <n v="2.5000000000000001E-2"/>
    <n v="5216"/>
    <x v="195"/>
    <m/>
    <d v="1899-12-30T09:21:00"/>
    <d v="1899-12-30T09:21:00"/>
    <d v="1899-12-30T09:22:00"/>
    <n v="0"/>
    <n v="1.6666666666666607E-2"/>
    <n v="1.6666666666666607E-2"/>
    <s v="Reset &amp; Started"/>
    <s v="Close"/>
    <n v="4.1666666666666523E-4"/>
    <m/>
    <n v="0"/>
    <m/>
    <m/>
    <m/>
    <n v="0"/>
    <m/>
    <m/>
    <m/>
    <m/>
  </r>
  <r>
    <n v="299"/>
    <x v="31"/>
    <x v="0"/>
    <x v="0"/>
    <x v="1"/>
    <x v="0"/>
    <x v="4"/>
    <s v="PWEGPL"/>
    <s v="MSEDCL"/>
    <n v="2.5000000000000001E-2"/>
    <n v="5216"/>
    <x v="195"/>
    <m/>
    <d v="1899-12-30T09:21:00"/>
    <d v="1899-12-30T09:21:00"/>
    <d v="1899-12-30T09:22:00"/>
    <n v="0"/>
    <n v="1.6666666666666607E-2"/>
    <n v="1.6666666666666607E-2"/>
    <s v="Reset &amp; Started"/>
    <s v="Close"/>
    <n v="4.1666666666666523E-4"/>
    <m/>
    <n v="0"/>
    <m/>
    <m/>
    <m/>
    <n v="0"/>
    <m/>
    <m/>
    <m/>
    <m/>
  </r>
  <r>
    <n v="300"/>
    <x v="31"/>
    <x v="0"/>
    <x v="0"/>
    <x v="1"/>
    <x v="0"/>
    <x v="5"/>
    <s v="PWEGPL"/>
    <s v="MSEDCL"/>
    <n v="2.5000000000000001E-2"/>
    <n v="5216"/>
    <x v="195"/>
    <m/>
    <d v="1899-12-30T09:21:00"/>
    <d v="1899-12-30T09:21:00"/>
    <d v="1899-12-30T09:22:00"/>
    <n v="0"/>
    <n v="1.6666666666666607E-2"/>
    <n v="1.6666666666666607E-2"/>
    <s v="Reset &amp; Started"/>
    <s v="Close"/>
    <n v="4.1666666666666523E-4"/>
    <m/>
    <n v="0"/>
    <m/>
    <m/>
    <m/>
    <n v="0"/>
    <m/>
    <m/>
    <m/>
    <m/>
  </r>
  <r>
    <n v="301"/>
    <x v="31"/>
    <x v="0"/>
    <x v="0"/>
    <x v="1"/>
    <x v="0"/>
    <x v="6"/>
    <s v="PWEGPL"/>
    <s v="MSEDCL"/>
    <n v="2.5000000000000001E-2"/>
    <n v="5216"/>
    <x v="195"/>
    <m/>
    <d v="1899-12-30T09:21:00"/>
    <d v="1899-12-30T09:21:00"/>
    <d v="1899-12-30T09:22:00"/>
    <n v="0"/>
    <n v="1.6666666666666607E-2"/>
    <n v="1.6666666666666607E-2"/>
    <s v="Reset &amp; Started"/>
    <s v="Close"/>
    <n v="4.1666666666666523E-4"/>
    <m/>
    <n v="0"/>
    <m/>
    <m/>
    <m/>
    <n v="0"/>
    <m/>
    <m/>
    <m/>
    <m/>
  </r>
  <r>
    <n v="302"/>
    <x v="31"/>
    <x v="0"/>
    <x v="0"/>
    <x v="1"/>
    <x v="0"/>
    <x v="7"/>
    <s v="PWEGPL"/>
    <s v="MSEDCL"/>
    <n v="2.5000000000000001E-2"/>
    <n v="5216"/>
    <x v="195"/>
    <m/>
    <d v="1899-12-30T09:21:00"/>
    <d v="1899-12-30T09:21:00"/>
    <d v="1899-12-30T09:22:00"/>
    <n v="0"/>
    <n v="1.6666666666666607E-2"/>
    <n v="1.6666666666666607E-2"/>
    <s v="Reset &amp; Started"/>
    <s v="Close"/>
    <n v="4.1666666666666523E-4"/>
    <m/>
    <n v="0"/>
    <m/>
    <m/>
    <m/>
    <n v="0"/>
    <m/>
    <m/>
    <m/>
    <m/>
  </r>
  <r>
    <n v="303"/>
    <x v="31"/>
    <x v="0"/>
    <x v="0"/>
    <x v="1"/>
    <x v="0"/>
    <x v="20"/>
    <s v="PWEGPL"/>
    <s v="MSEDCL"/>
    <n v="2.5000000000000001E-2"/>
    <n v="5216"/>
    <x v="197"/>
    <m/>
    <d v="1899-12-30T07:43:00"/>
    <d v="1899-12-30T07:43:00"/>
    <d v="1899-12-30T07:48:00"/>
    <n v="0"/>
    <n v="8.3333333333333037E-2"/>
    <n v="8.3333333333333037E-2"/>
    <s v="Reset &amp; Started"/>
    <s v="Close"/>
    <n v="2.0833333333333259E-3"/>
    <m/>
    <n v="0"/>
    <m/>
    <m/>
    <m/>
    <n v="0"/>
    <m/>
    <m/>
    <m/>
    <m/>
  </r>
  <r>
    <n v="304"/>
    <x v="31"/>
    <x v="0"/>
    <x v="0"/>
    <x v="1"/>
    <x v="0"/>
    <x v="21"/>
    <s v="PWEGPL"/>
    <s v="MSEDCL"/>
    <n v="2.5000000000000001E-2"/>
    <n v="5216"/>
    <x v="198"/>
    <m/>
    <d v="1899-12-30T07:43:00"/>
    <d v="1899-12-30T07:43:00"/>
    <d v="1899-12-30T07:48:00"/>
    <n v="0"/>
    <n v="8.3333333333333037E-2"/>
    <n v="8.3333333333333037E-2"/>
    <s v="Reset &amp; Started"/>
    <s v="Close"/>
    <n v="2.0833333333333259E-3"/>
    <m/>
    <n v="0"/>
    <m/>
    <m/>
    <m/>
    <n v="0"/>
    <m/>
    <m/>
    <m/>
    <m/>
  </r>
  <r>
    <n v="305"/>
    <x v="31"/>
    <x v="0"/>
    <x v="0"/>
    <x v="1"/>
    <x v="0"/>
    <x v="22"/>
    <s v="PWEGPL"/>
    <s v="MSEDCL"/>
    <n v="2.5000000000000001E-2"/>
    <n v="5216"/>
    <x v="199"/>
    <m/>
    <d v="1899-12-30T07:43:00"/>
    <d v="1899-12-30T07:43:00"/>
    <d v="1899-12-30T07:48:00"/>
    <n v="0"/>
    <n v="8.3333333333333037E-2"/>
    <n v="8.3333333333333037E-2"/>
    <s v="Reset &amp; Started"/>
    <s v="Close"/>
    <n v="2.0833333333333259E-3"/>
    <m/>
    <n v="0"/>
    <m/>
    <m/>
    <m/>
    <n v="0"/>
    <m/>
    <m/>
    <m/>
    <m/>
  </r>
  <r>
    <n v="306"/>
    <x v="31"/>
    <x v="0"/>
    <x v="0"/>
    <x v="1"/>
    <x v="0"/>
    <x v="23"/>
    <s v="PWEGPL"/>
    <s v="MSEDCL"/>
    <n v="2.5000000000000001E-2"/>
    <n v="5216"/>
    <x v="198"/>
    <m/>
    <d v="1899-12-30T07:43:00"/>
    <d v="1899-12-30T07:43:00"/>
    <d v="1899-12-30T07:48:00"/>
    <n v="0"/>
    <n v="8.3333333333333037E-2"/>
    <n v="8.3333333333333037E-2"/>
    <s v="Reset &amp; Started"/>
    <s v="Close"/>
    <n v="2.0833333333333259E-3"/>
    <m/>
    <n v="0"/>
    <m/>
    <m/>
    <m/>
    <n v="0"/>
    <m/>
    <m/>
    <m/>
    <m/>
  </r>
  <r>
    <n v="307"/>
    <x v="31"/>
    <x v="0"/>
    <x v="0"/>
    <x v="1"/>
    <x v="0"/>
    <x v="25"/>
    <s v="PWEGPL"/>
    <s v="MSEDCL"/>
    <n v="2.5000000000000001E-2"/>
    <n v="5216"/>
    <x v="200"/>
    <m/>
    <d v="1899-12-30T07:43:00"/>
    <d v="1899-12-30T07:43:00"/>
    <d v="1899-12-30T07:48:00"/>
    <n v="0"/>
    <n v="8.3333333333333037E-2"/>
    <n v="8.3333333333333037E-2"/>
    <s v="Reset &amp; Started"/>
    <s v="Close"/>
    <n v="2.0833333333333259E-3"/>
    <m/>
    <n v="0"/>
    <m/>
    <m/>
    <m/>
    <n v="0"/>
    <m/>
    <m/>
    <m/>
    <m/>
  </r>
  <r>
    <n v="308"/>
    <x v="31"/>
    <x v="0"/>
    <x v="0"/>
    <x v="1"/>
    <x v="0"/>
    <x v="26"/>
    <s v="PWEGPL"/>
    <s v="MSEDCL"/>
    <n v="2.5000000000000001E-2"/>
    <n v="5216"/>
    <x v="200"/>
    <m/>
    <d v="1899-12-30T07:43:00"/>
    <d v="1899-12-30T07:43:00"/>
    <d v="1899-12-30T07:48:00"/>
    <n v="0"/>
    <n v="8.3333333333333037E-2"/>
    <n v="8.3333333333333037E-2"/>
    <s v="Reset &amp; Started"/>
    <s v="Close"/>
    <n v="2.0833333333333259E-3"/>
    <m/>
    <n v="0"/>
    <m/>
    <m/>
    <m/>
    <n v="0"/>
    <m/>
    <m/>
    <m/>
    <m/>
  </r>
  <r>
    <n v="309"/>
    <x v="31"/>
    <x v="0"/>
    <x v="0"/>
    <x v="1"/>
    <x v="0"/>
    <x v="17"/>
    <s v="PWEGPL"/>
    <s v="MSEDCL"/>
    <n v="2.5000000000000001E-2"/>
    <n v="5216"/>
    <x v="198"/>
    <m/>
    <d v="1899-12-30T07:43:00"/>
    <d v="1899-12-30T07:43:00"/>
    <d v="1899-12-30T07:48:00"/>
    <n v="0"/>
    <n v="8.3333333333333037E-2"/>
    <n v="8.3333333333333037E-2"/>
    <s v="Reset &amp; Started"/>
    <s v="Close"/>
    <n v="2.0833333333333259E-3"/>
    <m/>
    <n v="0"/>
    <m/>
    <m/>
    <m/>
    <n v="0"/>
    <m/>
    <m/>
    <m/>
    <m/>
  </r>
  <r>
    <n v="310"/>
    <x v="31"/>
    <x v="0"/>
    <x v="0"/>
    <x v="1"/>
    <x v="0"/>
    <x v="28"/>
    <s v="PWEGPL"/>
    <s v="MSEDCL"/>
    <n v="2.5000000000000001E-2"/>
    <n v="5216"/>
    <x v="198"/>
    <m/>
    <d v="1899-12-30T07:43:00"/>
    <d v="1899-12-30T07:43:00"/>
    <d v="1899-12-30T07:48:00"/>
    <n v="0"/>
    <n v="8.3333333333333037E-2"/>
    <n v="8.3333333333333037E-2"/>
    <s v="Reset &amp; Started"/>
    <s v="Close"/>
    <n v="2.0833333333333259E-3"/>
    <m/>
    <n v="0"/>
    <m/>
    <m/>
    <m/>
    <n v="0"/>
    <m/>
    <m/>
    <m/>
    <m/>
  </r>
  <r>
    <n v="311"/>
    <x v="31"/>
    <x v="0"/>
    <x v="0"/>
    <x v="1"/>
    <x v="0"/>
    <x v="29"/>
    <s v="PWEGPL"/>
    <s v="MSEDCL"/>
    <n v="2.5000000000000001E-2"/>
    <n v="5216"/>
    <x v="198"/>
    <m/>
    <d v="1899-12-30T07:43:00"/>
    <d v="1899-12-30T07:43:00"/>
    <d v="1899-12-30T07:48:00"/>
    <n v="0"/>
    <n v="8.3333333333333037E-2"/>
    <n v="8.3333333333333037E-2"/>
    <s v="Reset &amp; Started"/>
    <s v="Close"/>
    <n v="2.0833333333333259E-3"/>
    <m/>
    <n v="0"/>
    <m/>
    <m/>
    <m/>
    <n v="0"/>
    <m/>
    <m/>
    <m/>
    <m/>
  </r>
  <r>
    <n v="312"/>
    <x v="31"/>
    <x v="0"/>
    <x v="0"/>
    <x v="1"/>
    <x v="0"/>
    <x v="20"/>
    <s v="PWEGPL"/>
    <s v="MSEDCL"/>
    <n v="2.5000000000000001E-2"/>
    <n v="2509"/>
    <x v="201"/>
    <m/>
    <d v="1899-12-30T05:38:00"/>
    <d v="1899-12-30T05:38:00"/>
    <d v="1899-12-30T08:30:00"/>
    <n v="0"/>
    <n v="2.866666666666668"/>
    <n v="2.866666666666668"/>
    <s v="Reset &amp; Started"/>
    <s v="Close"/>
    <n v="7.1666666666666698E-2"/>
    <m/>
    <n v="0"/>
    <m/>
    <m/>
    <m/>
    <n v="0"/>
    <m/>
    <m/>
    <m/>
    <m/>
  </r>
  <r>
    <n v="313"/>
    <x v="31"/>
    <x v="0"/>
    <x v="0"/>
    <x v="1"/>
    <x v="0"/>
    <x v="21"/>
    <s v="PWEGPL"/>
    <s v="MSEDCL"/>
    <n v="2.5000000000000001E-2"/>
    <n v="2509"/>
    <x v="201"/>
    <m/>
    <d v="1899-12-30T05:38:00"/>
    <d v="1899-12-30T05:38:00"/>
    <d v="1899-12-30T08:20:00"/>
    <n v="0"/>
    <n v="2.700000000000002"/>
    <n v="2.700000000000002"/>
    <s v="Reset &amp; Started"/>
    <s v="Close"/>
    <n v="6.7500000000000046E-2"/>
    <m/>
    <n v="0"/>
    <m/>
    <m/>
    <m/>
    <n v="0"/>
    <m/>
    <m/>
    <m/>
    <m/>
  </r>
  <r>
    <n v="314"/>
    <x v="31"/>
    <x v="0"/>
    <x v="0"/>
    <x v="1"/>
    <x v="0"/>
    <x v="22"/>
    <s v="PWEGPL"/>
    <s v="MSEDCL"/>
    <n v="2.5000000000000001E-2"/>
    <n v="2509"/>
    <x v="201"/>
    <m/>
    <d v="1899-12-30T05:38:00"/>
    <d v="1899-12-30T05:38:00"/>
    <d v="1899-12-30T07:50:00"/>
    <n v="0"/>
    <n v="2.2000000000000011"/>
    <n v="2.2000000000000011"/>
    <s v="Reset &amp; Started"/>
    <s v="Close"/>
    <n v="5.5000000000000028E-2"/>
    <m/>
    <n v="0"/>
    <m/>
    <m/>
    <m/>
    <n v="0"/>
    <m/>
    <m/>
    <m/>
    <m/>
  </r>
  <r>
    <n v="315"/>
    <x v="31"/>
    <x v="0"/>
    <x v="0"/>
    <x v="1"/>
    <x v="0"/>
    <x v="23"/>
    <s v="PWEGPL"/>
    <s v="MSEDCL"/>
    <n v="2.5000000000000001E-2"/>
    <n v="2509"/>
    <x v="201"/>
    <m/>
    <d v="1899-12-30T05:38:00"/>
    <d v="1899-12-30T05:38:00"/>
    <d v="1899-12-30T13:25:00"/>
    <n v="0"/>
    <n v="7.783333333333335"/>
    <n v="7.783333333333335"/>
    <s v="Reset &amp; Started"/>
    <s v="Close"/>
    <n v="0.19458333333333339"/>
    <m/>
    <n v="0"/>
    <m/>
    <m/>
    <m/>
    <n v="0"/>
    <m/>
    <m/>
    <m/>
    <m/>
  </r>
  <r>
    <n v="316"/>
    <x v="31"/>
    <x v="0"/>
    <x v="0"/>
    <x v="1"/>
    <x v="0"/>
    <x v="25"/>
    <s v="PWEGPL"/>
    <s v="MSEDCL"/>
    <n v="2.5000000000000001E-2"/>
    <n v="2509"/>
    <x v="201"/>
    <m/>
    <d v="1899-12-30T05:38:00"/>
    <d v="1899-12-30T05:38:00"/>
    <d v="1899-12-30T10:27:00"/>
    <n v="0"/>
    <n v="4.8166666666666664"/>
    <n v="4.8166666666666664"/>
    <s v="Reset &amp; Started"/>
    <s v="Close"/>
    <n v="0.12041666666666667"/>
    <m/>
    <n v="0"/>
    <m/>
    <m/>
    <m/>
    <n v="0"/>
    <m/>
    <m/>
    <m/>
    <m/>
  </r>
  <r>
    <n v="317"/>
    <x v="31"/>
    <x v="0"/>
    <x v="0"/>
    <x v="1"/>
    <x v="0"/>
    <x v="26"/>
    <s v="PWEGPL"/>
    <s v="MSEDCL"/>
    <n v="2.5000000000000001E-2"/>
    <n v="2509"/>
    <x v="201"/>
    <m/>
    <d v="1899-12-30T05:38:00"/>
    <d v="1899-12-30T05:38:00"/>
    <d v="1899-12-30T08:25:00"/>
    <n v="0"/>
    <n v="2.7833333333333332"/>
    <n v="2.7833333333333332"/>
    <s v="Reset &amp; Started"/>
    <s v="Close"/>
    <n v="6.958333333333333E-2"/>
    <m/>
    <n v="0"/>
    <m/>
    <m/>
    <m/>
    <n v="0"/>
    <m/>
    <m/>
    <m/>
    <m/>
  </r>
  <r>
    <n v="318"/>
    <x v="31"/>
    <x v="0"/>
    <x v="0"/>
    <x v="1"/>
    <x v="0"/>
    <x v="17"/>
    <s v="PWEGPL"/>
    <s v="MSEDCL"/>
    <n v="2.5000000000000001E-2"/>
    <n v="2509"/>
    <x v="201"/>
    <m/>
    <d v="1899-12-30T05:38:00"/>
    <d v="1899-12-30T05:38:00"/>
    <d v="1899-12-30T18:10:00"/>
    <n v="0"/>
    <n v="12.533333333333337"/>
    <n v="12.533333333333337"/>
    <s v="T-Connector replaced"/>
    <s v="Close"/>
    <n v="0.31333333333333346"/>
    <m/>
    <n v="0"/>
    <m/>
    <m/>
    <m/>
    <n v="0"/>
    <m/>
    <m/>
    <m/>
    <m/>
  </r>
  <r>
    <n v="319"/>
    <x v="31"/>
    <x v="0"/>
    <x v="0"/>
    <x v="1"/>
    <x v="0"/>
    <x v="27"/>
    <s v="PWEGPL"/>
    <s v="MSEDCL"/>
    <n v="2.5000000000000001E-2"/>
    <n v="5222"/>
    <x v="202"/>
    <m/>
    <d v="1899-12-30T21:45:00"/>
    <d v="1899-12-30T22:54:00"/>
    <d v="1899-12-30T22:54:00"/>
    <n v="1.1499999999999986"/>
    <n v="0"/>
    <n v="1.1499999999999986"/>
    <s v="Reset"/>
    <s v="Close"/>
    <n v="2.8749999999999967E-2"/>
    <m/>
    <n v="0"/>
    <m/>
    <m/>
    <m/>
    <n v="0"/>
    <m/>
    <m/>
    <m/>
    <m/>
  </r>
  <r>
    <n v="320"/>
    <x v="31"/>
    <x v="0"/>
    <x v="0"/>
    <x v="1"/>
    <x v="0"/>
    <x v="29"/>
    <s v="PWEGPL"/>
    <s v="MSEDCL"/>
    <n v="2.5000000000000001E-2"/>
    <n v="205"/>
    <x v="203"/>
    <m/>
    <d v="1899-12-30T00:00:00"/>
    <d v="1899-12-30T15:00:00"/>
    <d v="1899-12-30T16:00:00"/>
    <n v="15"/>
    <n v="0.99999999999999911"/>
    <n v="16"/>
    <s v="Lambda power supply replaced"/>
    <s v="Close"/>
    <n v="0.4"/>
    <m/>
    <n v="0"/>
    <m/>
    <m/>
    <m/>
    <n v="0"/>
    <m/>
    <m/>
    <m/>
    <m/>
  </r>
  <r>
    <n v="321"/>
    <x v="31"/>
    <x v="0"/>
    <x v="0"/>
    <x v="1"/>
    <x v="0"/>
    <x v="29"/>
    <s v="PWEGPL"/>
    <s v="MSEDCL"/>
    <n v="2.5000000000000001E-2"/>
    <n v="2118"/>
    <x v="204"/>
    <m/>
    <d v="1899-12-30T21:21:00"/>
    <d v="1899-12-30T23:09:00"/>
    <d v="1899-12-30T23:09:00"/>
    <n v="1.7999999999999963"/>
    <n v="0"/>
    <n v="1.7999999999999963"/>
    <s v="Reset"/>
    <s v="Close"/>
    <n v="4.4999999999999908E-2"/>
    <m/>
    <n v="0"/>
    <m/>
    <m/>
    <m/>
    <n v="0"/>
    <m/>
    <m/>
    <m/>
    <m/>
  </r>
  <r>
    <n v="322"/>
    <x v="31"/>
    <x v="0"/>
    <x v="0"/>
    <x v="1"/>
    <x v="0"/>
    <x v="34"/>
    <s v="PWEGPL"/>
    <s v="MSEDCL"/>
    <n v="2.5000000000000001E-2"/>
    <n v="205"/>
    <x v="205"/>
    <m/>
    <d v="1899-12-30T22:04:00"/>
    <d v="1899-12-30T22:54:00"/>
    <d v="1899-12-30T22:54:00"/>
    <n v="0.83333333333333304"/>
    <n v="0"/>
    <n v="0.83333333333333304"/>
    <s v="Reset"/>
    <s v="Close"/>
    <n v="2.0833333333333329E-2"/>
    <m/>
    <n v="0"/>
    <m/>
    <m/>
    <m/>
    <n v="0"/>
    <m/>
    <m/>
    <m/>
    <m/>
  </r>
  <r>
    <n v="323"/>
    <x v="31"/>
    <x v="0"/>
    <x v="0"/>
    <x v="1"/>
    <x v="0"/>
    <x v="35"/>
    <s v="PWEGPL"/>
    <s v="MSEDCL"/>
    <n v="2.5000000000000001E-2"/>
    <n v="907"/>
    <x v="206"/>
    <m/>
    <d v="1899-12-30T00:00:00"/>
    <d v="1899-12-30T17:36:00"/>
    <d v="1899-12-30T17:43:00"/>
    <n v="17.600000000000001"/>
    <n v="0.11666666666666359"/>
    <n v="17.716666666666665"/>
    <s v="Lambda power supply replaced"/>
    <s v="Close"/>
    <n v="0.44291666666666663"/>
    <m/>
    <n v="0"/>
    <m/>
    <m/>
    <m/>
    <n v="0"/>
    <m/>
    <m/>
    <m/>
    <m/>
  </r>
  <r>
    <n v="324"/>
    <x v="31"/>
    <x v="0"/>
    <x v="0"/>
    <x v="1"/>
    <x v="0"/>
    <x v="35"/>
    <s v="PWEGPL"/>
    <s v="MSEDCL"/>
    <n v="2.5000000000000001E-2"/>
    <n v="907"/>
    <x v="207"/>
    <m/>
    <d v="1899-12-30T21:23:00"/>
    <d v="1899-12-30T23:59:00"/>
    <d v="1899-12-30T23:59:00"/>
    <n v="2.6000000000000014"/>
    <n v="0"/>
    <n v="2.6000000000000014"/>
    <s v="Reset"/>
    <s v="Close"/>
    <n v="6.5000000000000044E-2"/>
    <m/>
    <n v="0"/>
    <m/>
    <m/>
    <m/>
    <n v="0"/>
    <m/>
    <m/>
    <m/>
    <m/>
  </r>
  <r>
    <n v="325"/>
    <x v="31"/>
    <x v="0"/>
    <x v="0"/>
    <x v="1"/>
    <x v="0"/>
    <x v="9"/>
    <s v="PWEGPL"/>
    <s v="MSEDCL"/>
    <n v="2.5000000000000001E-2"/>
    <n v="205"/>
    <x v="208"/>
    <m/>
    <d v="1899-12-30T21:36:00"/>
    <d v="1899-12-30T23:59:00"/>
    <d v="1899-12-30T23:59:00"/>
    <n v="2.3833333333333329"/>
    <n v="0"/>
    <n v="2.3833333333333329"/>
    <s v="Oil Topup"/>
    <s v="Close"/>
    <n v="5.9583333333333321E-2"/>
    <m/>
    <n v="0"/>
    <m/>
    <m/>
    <m/>
    <n v="0"/>
    <m/>
    <m/>
    <m/>
    <m/>
  </r>
  <r>
    <n v="326"/>
    <x v="31"/>
    <x v="0"/>
    <x v="0"/>
    <x v="1"/>
    <x v="0"/>
    <x v="15"/>
    <s v="PWEGPL"/>
    <s v="MSEDCL"/>
    <n v="2.5000000000000001E-2"/>
    <n v="2118"/>
    <x v="209"/>
    <m/>
    <d v="1899-12-30T15:53:00"/>
    <d v="1899-12-30T16:49:00"/>
    <d v="1899-12-30T19:22:00"/>
    <n v="0.93333333333333268"/>
    <n v="2.5500000000000016"/>
    <n v="3.4833333333333343"/>
    <s v="Relay tightened"/>
    <s v="Close"/>
    <n v="8.708333333333336E-2"/>
    <m/>
    <n v="0"/>
    <m/>
    <m/>
    <m/>
    <n v="0"/>
    <m/>
    <m/>
    <m/>
    <m/>
  </r>
  <r>
    <n v="327"/>
    <x v="32"/>
    <x v="0"/>
    <x v="0"/>
    <x v="1"/>
    <x v="0"/>
    <x v="37"/>
    <s v="PWEGPL"/>
    <s v="MSEDCL"/>
    <n v="2.5000000000000001E-2"/>
    <n v="2299"/>
    <x v="210"/>
    <m/>
    <d v="1899-12-30T13:20:00"/>
    <d v="1899-12-30T13:20:00"/>
    <d v="1899-12-30T14:34:00"/>
    <n v="0"/>
    <n v="1.2333333333333316"/>
    <n v="1.2333333333333316"/>
    <s v="Disc insulator replaced"/>
    <s v="Close"/>
    <n v="3.0833333333333292E-2"/>
    <m/>
    <n v="0"/>
    <m/>
    <m/>
    <m/>
    <n v="0"/>
    <m/>
    <m/>
    <m/>
    <m/>
  </r>
  <r>
    <n v="328"/>
    <x v="32"/>
    <x v="0"/>
    <x v="0"/>
    <x v="1"/>
    <x v="0"/>
    <x v="0"/>
    <s v="PWEGPL"/>
    <s v="MSEDCL"/>
    <n v="2.5000000000000001E-2"/>
    <n v="2299"/>
    <x v="211"/>
    <m/>
    <d v="1899-12-30T13:20:00"/>
    <d v="1899-12-30T13:20:00"/>
    <d v="1899-12-30T14:34:00"/>
    <n v="0"/>
    <n v="1.2333333333333316"/>
    <n v="1.2333333333333316"/>
    <s v="Disc insulator replaced"/>
    <s v="Close"/>
    <n v="3.0833333333333292E-2"/>
    <m/>
    <n v="0"/>
    <m/>
    <m/>
    <m/>
    <n v="0"/>
    <m/>
    <m/>
    <m/>
    <m/>
  </r>
  <r>
    <n v="329"/>
    <x v="32"/>
    <x v="0"/>
    <x v="0"/>
    <x v="1"/>
    <x v="0"/>
    <x v="38"/>
    <s v="PWEGPL"/>
    <s v="MSEDCL"/>
    <n v="2.5000000000000001E-2"/>
    <n v="2299"/>
    <x v="210"/>
    <m/>
    <d v="1899-12-30T13:20:00"/>
    <d v="1899-12-30T13:20:00"/>
    <d v="1899-12-30T14:34:00"/>
    <n v="0"/>
    <n v="1.2333333333333316"/>
    <n v="1.2333333333333316"/>
    <s v="Disc insulator replaced"/>
    <s v="Close"/>
    <n v="3.0833333333333292E-2"/>
    <m/>
    <n v="0"/>
    <m/>
    <m/>
    <m/>
    <n v="0"/>
    <m/>
    <m/>
    <m/>
    <m/>
  </r>
  <r>
    <n v="330"/>
    <x v="32"/>
    <x v="0"/>
    <x v="0"/>
    <x v="1"/>
    <x v="0"/>
    <x v="18"/>
    <s v="PWEGPL"/>
    <s v="MSEDCL"/>
    <n v="2.5000000000000001E-2"/>
    <n v="2299"/>
    <x v="211"/>
    <m/>
    <d v="1899-12-30T13:20:00"/>
    <d v="1899-12-30T13:20:00"/>
    <d v="1899-12-30T14:34:00"/>
    <n v="0"/>
    <n v="1.2333333333333316"/>
    <n v="1.2333333333333316"/>
    <s v="Disc insulator replaced"/>
    <s v="Close"/>
    <n v="3.0833333333333292E-2"/>
    <m/>
    <n v="0"/>
    <m/>
    <m/>
    <m/>
    <n v="0"/>
    <m/>
    <m/>
    <m/>
    <m/>
  </r>
  <r>
    <n v="331"/>
    <x v="32"/>
    <x v="0"/>
    <x v="0"/>
    <x v="1"/>
    <x v="0"/>
    <x v="19"/>
    <s v="PWEGPL"/>
    <s v="MSEDCL"/>
    <n v="2.5000000000000001E-2"/>
    <n v="2299"/>
    <x v="210"/>
    <m/>
    <d v="1899-12-30T13:20:00"/>
    <d v="1899-12-30T13:20:00"/>
    <d v="1899-12-30T14:34:00"/>
    <n v="0"/>
    <n v="1.2333333333333316"/>
    <n v="1.2333333333333316"/>
    <s v="Disc insulator replaced"/>
    <s v="Close"/>
    <n v="3.0833333333333292E-2"/>
    <m/>
    <n v="0"/>
    <m/>
    <m/>
    <m/>
    <n v="0"/>
    <m/>
    <m/>
    <m/>
    <m/>
  </r>
  <r>
    <n v="332"/>
    <x v="32"/>
    <x v="0"/>
    <x v="0"/>
    <x v="1"/>
    <x v="0"/>
    <x v="34"/>
    <s v="PWEGPL"/>
    <s v="MSEDCL"/>
    <n v="2.5000000000000001E-2"/>
    <n v="205"/>
    <x v="212"/>
    <m/>
    <d v="1899-12-30T13:20:00"/>
    <d v="1899-12-30T13:20:00"/>
    <d v="1899-12-30T14:34:00"/>
    <n v="0"/>
    <n v="1.2333333333333316"/>
    <n v="1.2333333333333316"/>
    <s v="Disc insulator replaced"/>
    <s v="Close"/>
    <n v="3.0833333333333292E-2"/>
    <m/>
    <n v="0"/>
    <m/>
    <m/>
    <m/>
    <n v="0"/>
    <m/>
    <m/>
    <m/>
    <m/>
  </r>
  <r>
    <n v="333"/>
    <x v="32"/>
    <x v="0"/>
    <x v="0"/>
    <x v="1"/>
    <x v="0"/>
    <x v="35"/>
    <s v="PWEGPL"/>
    <s v="MSEDCL"/>
    <n v="2.5000000000000001E-2"/>
    <n v="907"/>
    <x v="213"/>
    <m/>
    <d v="1899-12-30T00:00:00"/>
    <d v="1899-12-30T00:00:00"/>
    <d v="1899-12-30T01:04:00"/>
    <n v="0"/>
    <n v="1.0666666666666667"/>
    <n v="1.0666666666666667"/>
    <s v="Reset"/>
    <s v="Close"/>
    <n v="2.6666666666666668E-2"/>
    <m/>
    <n v="0"/>
    <m/>
    <m/>
    <m/>
    <n v="0"/>
    <m/>
    <m/>
    <m/>
    <m/>
  </r>
  <r>
    <n v="334"/>
    <x v="32"/>
    <x v="0"/>
    <x v="0"/>
    <x v="1"/>
    <x v="0"/>
    <x v="36"/>
    <s v="PWEGPL"/>
    <s v="MSEDCL"/>
    <n v="2.5000000000000001E-2"/>
    <n v="1007"/>
    <x v="214"/>
    <s v="PM"/>
    <d v="1899-12-30T09:45:00"/>
    <d v="1899-12-30T09:45:00"/>
    <d v="1899-12-30T17:00:00"/>
    <n v="0"/>
    <n v="7.2500000000000009"/>
    <n v="7.2500000000000009"/>
    <s v="Reset"/>
    <s v="Close"/>
    <n v="0.18125000000000002"/>
    <m/>
    <n v="0"/>
    <m/>
    <m/>
    <m/>
    <n v="0"/>
    <m/>
    <m/>
    <m/>
    <m/>
  </r>
  <r>
    <n v="335"/>
    <x v="32"/>
    <x v="0"/>
    <x v="0"/>
    <x v="1"/>
    <x v="0"/>
    <x v="2"/>
    <s v="PWEGPL"/>
    <s v="MSEDCL"/>
    <n v="2.5000000000000001E-2"/>
    <n v="205"/>
    <x v="215"/>
    <m/>
    <d v="1899-12-30T07:09:00"/>
    <d v="1899-12-30T11:54:00"/>
    <d v="1899-12-30T12:19:00"/>
    <n v="4.75"/>
    <n v="0.41666666666666519"/>
    <n v="5.1666666666666661"/>
    <s v="Oil Topup"/>
    <s v="Close"/>
    <n v="0.12916666666666665"/>
    <m/>
    <n v="0"/>
    <m/>
    <m/>
    <m/>
    <n v="0"/>
    <m/>
    <m/>
    <m/>
    <m/>
  </r>
  <r>
    <n v="336"/>
    <x v="32"/>
    <x v="0"/>
    <x v="0"/>
    <x v="1"/>
    <x v="0"/>
    <x v="9"/>
    <s v="PWEGPL"/>
    <s v="MSEDCL"/>
    <n v="2.5000000000000001E-2"/>
    <n v="205"/>
    <x v="216"/>
    <m/>
    <d v="1899-12-30T00:00:00"/>
    <d v="1899-12-30T01:19:00"/>
    <d v="1899-12-30T01:39:00"/>
    <n v="1.3166666666666667"/>
    <n v="0.33333333333333315"/>
    <n v="1.65"/>
    <s v="Oil Topup"/>
    <s v="Close"/>
    <n v="4.1250000000000002E-2"/>
    <m/>
    <n v="0"/>
    <m/>
    <m/>
    <m/>
    <n v="0"/>
    <m/>
    <m/>
    <m/>
    <m/>
  </r>
  <r>
    <n v="337"/>
    <x v="32"/>
    <x v="0"/>
    <x v="0"/>
    <x v="1"/>
    <x v="0"/>
    <x v="4"/>
    <s v="PWEGPL"/>
    <s v="MSEDCL"/>
    <n v="2.5000000000000001E-2"/>
    <n v="110"/>
    <x v="217"/>
    <m/>
    <d v="1899-12-30T16:01:00"/>
    <d v="1899-12-30T17:24:00"/>
    <d v="1899-12-30T18:05:00"/>
    <n v="1.3833333333333337"/>
    <n v="0.68333333333333357"/>
    <n v="2.0666666666666673"/>
    <s v="Reset"/>
    <s v="Close"/>
    <n v="5.1666666666666687E-2"/>
    <m/>
    <n v="0"/>
    <m/>
    <m/>
    <m/>
    <n v="0"/>
    <m/>
    <m/>
    <m/>
    <m/>
  </r>
  <r>
    <n v="338"/>
    <x v="32"/>
    <x v="0"/>
    <x v="0"/>
    <x v="1"/>
    <x v="0"/>
    <x v="0"/>
    <s v="PWEGPL"/>
    <s v="MSEDCL"/>
    <n v="2.5000000000000001E-2"/>
    <n v="205"/>
    <x v="218"/>
    <m/>
    <d v="1899-12-30T09:32:00"/>
    <d v="1899-12-30T10:36:00"/>
    <d v="1899-12-30T11:04:00"/>
    <n v="1.0666666666666669"/>
    <n v="0.46666666666666634"/>
    <n v="1.5333333333333332"/>
    <s v="Oil Topup"/>
    <s v="Close"/>
    <n v="3.833333333333333E-2"/>
    <m/>
    <n v="0"/>
    <m/>
    <m/>
    <m/>
    <n v="0"/>
    <m/>
    <m/>
    <m/>
    <m/>
  </r>
  <r>
    <n v="339"/>
    <x v="32"/>
    <x v="0"/>
    <x v="0"/>
    <x v="1"/>
    <x v="0"/>
    <x v="18"/>
    <s v="PWEGPL"/>
    <s v="MSEDCL"/>
    <n v="2.5000000000000001E-2"/>
    <n v="5201"/>
    <x v="219"/>
    <m/>
    <d v="1899-12-30T14:41:00"/>
    <d v="1899-12-30T14:41:00"/>
    <d v="1899-12-30T14:52:00"/>
    <n v="0"/>
    <n v="0.18333333333333268"/>
    <n v="0.18333333333333268"/>
    <s v="Reset"/>
    <s v="Close"/>
    <n v="4.5833333333333169E-3"/>
    <m/>
    <n v="0"/>
    <m/>
    <m/>
    <m/>
    <n v="0"/>
    <m/>
    <m/>
    <m/>
    <m/>
  </r>
  <r>
    <n v="340"/>
    <x v="33"/>
    <x v="0"/>
    <x v="0"/>
    <x v="1"/>
    <x v="0"/>
    <x v="29"/>
    <s v="PWEGPL"/>
    <s v="MSEDCL"/>
    <n v="2.5000000000000001E-2"/>
    <n v="2118"/>
    <x v="220"/>
    <m/>
    <d v="1899-12-30T14:34:00"/>
    <d v="1899-12-30T15:03:00"/>
    <d v="1899-12-30T15:36:00"/>
    <n v="0.48333333333333428"/>
    <n v="0.55000000000000071"/>
    <n v="1.033333333333335"/>
    <s v="Reset"/>
    <s v="Close"/>
    <n v="2.5833333333333375E-2"/>
    <m/>
    <n v="0"/>
    <m/>
    <m/>
    <m/>
    <n v="0"/>
    <m/>
    <m/>
    <m/>
    <m/>
  </r>
  <r>
    <n v="341"/>
    <x v="33"/>
    <x v="0"/>
    <x v="0"/>
    <x v="1"/>
    <x v="0"/>
    <x v="29"/>
    <s v="PWEGPL"/>
    <s v="MSEDCL"/>
    <n v="2.5000000000000001E-2"/>
    <n v="2118"/>
    <x v="221"/>
    <m/>
    <d v="1899-12-30T16:01:00"/>
    <d v="1899-12-30T16:34:00"/>
    <d v="1899-12-30T16:43:00"/>
    <n v="0.55000000000000071"/>
    <n v="0.14999999999999947"/>
    <n v="0.70000000000000018"/>
    <s v="Reset"/>
    <s v="Close"/>
    <n v="1.7500000000000005E-2"/>
    <m/>
    <n v="0"/>
    <m/>
    <m/>
    <m/>
    <n v="0"/>
    <m/>
    <m/>
    <m/>
    <m/>
  </r>
  <r>
    <n v="342"/>
    <x v="33"/>
    <x v="0"/>
    <x v="0"/>
    <x v="1"/>
    <x v="0"/>
    <x v="29"/>
    <s v="PWEGPL"/>
    <s v="MSEDCL"/>
    <n v="2.5000000000000001E-2"/>
    <n v="812"/>
    <x v="222"/>
    <m/>
    <d v="1899-12-30T17:55:00"/>
    <d v="1899-12-30T18:31:00"/>
    <d v="1899-12-30T18:39:00"/>
    <n v="0.59999999999999787"/>
    <n v="0.13333333333333286"/>
    <n v="0.73333333333333073"/>
    <s v="Reset"/>
    <s v="Close"/>
    <n v="1.8333333333333268E-2"/>
    <m/>
    <n v="0"/>
    <m/>
    <m/>
    <m/>
    <n v="0"/>
    <m/>
    <m/>
    <m/>
    <m/>
  </r>
  <r>
    <n v="343"/>
    <x v="33"/>
    <x v="0"/>
    <x v="0"/>
    <x v="1"/>
    <x v="0"/>
    <x v="37"/>
    <s v="PWEGPL"/>
    <s v="MSEDCL"/>
    <n v="2.5000000000000001E-2"/>
    <n v="2118"/>
    <x v="223"/>
    <m/>
    <d v="1899-12-30T14:51:00"/>
    <d v="1899-12-30T15:28:00"/>
    <d v="1899-12-30T15:38:00"/>
    <n v="0.61666666666666714"/>
    <n v="0.16666666666666607"/>
    <n v="0.78333333333333321"/>
    <s v="Reset"/>
    <s v="Close"/>
    <n v="1.9583333333333331E-2"/>
    <m/>
    <n v="0"/>
    <m/>
    <m/>
    <m/>
    <n v="0"/>
    <m/>
    <m/>
    <m/>
    <m/>
  </r>
  <r>
    <n v="344"/>
    <x v="33"/>
    <x v="0"/>
    <x v="0"/>
    <x v="1"/>
    <x v="0"/>
    <x v="37"/>
    <s v="PWEGPL"/>
    <s v="MSEDCL"/>
    <n v="2.5000000000000001E-2"/>
    <n v="2118"/>
    <x v="224"/>
    <m/>
    <d v="1899-12-30T16:37:00"/>
    <d v="1899-12-30T16:51:00"/>
    <d v="1899-12-30T17:00:00"/>
    <n v="0.23333333333333517"/>
    <n v="0.14999999999999947"/>
    <n v="0.38333333333333464"/>
    <s v="Reset"/>
    <s v="Close"/>
    <n v="9.5833333333333673E-3"/>
    <m/>
    <n v="0"/>
    <m/>
    <m/>
    <m/>
    <n v="0"/>
    <m/>
    <m/>
    <m/>
    <m/>
  </r>
  <r>
    <n v="345"/>
    <x v="33"/>
    <x v="0"/>
    <x v="0"/>
    <x v="1"/>
    <x v="0"/>
    <x v="37"/>
    <s v="PWEGPL"/>
    <s v="MSEDCL"/>
    <n v="2.5000000000000001E-2"/>
    <n v="2118"/>
    <x v="225"/>
    <m/>
    <d v="1899-12-30T20:41:00"/>
    <d v="1899-12-30T21:08:00"/>
    <d v="1899-12-30T21:23:00"/>
    <n v="0.4499999999999984"/>
    <n v="0.24999999999999911"/>
    <n v="0.69999999999999751"/>
    <s v="Reset"/>
    <s v="Close"/>
    <n v="1.7499999999999939E-2"/>
    <m/>
    <n v="0"/>
    <m/>
    <m/>
    <m/>
    <n v="0"/>
    <m/>
    <m/>
    <m/>
    <m/>
  </r>
  <r>
    <n v="346"/>
    <x v="33"/>
    <x v="0"/>
    <x v="0"/>
    <x v="1"/>
    <x v="0"/>
    <x v="35"/>
    <s v="PWEGPL"/>
    <s v="MSEDCL"/>
    <n v="2.5000000000000001E-2"/>
    <n v="907"/>
    <x v="226"/>
    <m/>
    <d v="1899-12-30T07:33:00"/>
    <d v="1899-12-30T09:47:00"/>
    <d v="1899-12-30T10:07:00"/>
    <n v="2.2333333333333334"/>
    <n v="0.33333333333333348"/>
    <n v="2.5666666666666669"/>
    <s v="Reset"/>
    <s v="Close"/>
    <n v="6.4166666666666677E-2"/>
    <m/>
    <n v="0"/>
    <m/>
    <m/>
    <m/>
    <n v="0"/>
    <m/>
    <m/>
    <m/>
    <m/>
  </r>
  <r>
    <n v="347"/>
    <x v="33"/>
    <x v="0"/>
    <x v="0"/>
    <x v="1"/>
    <x v="0"/>
    <x v="35"/>
    <s v="PWEGPL"/>
    <s v="MSEDCL"/>
    <n v="2.5000000000000001E-2"/>
    <n v="907"/>
    <x v="227"/>
    <m/>
    <d v="1899-12-30T10:23:00"/>
    <d v="1899-12-30T10:39:00"/>
    <d v="1899-12-30T11:29:00"/>
    <n v="0.26666666666666838"/>
    <n v="0.83333333333333171"/>
    <n v="1.1000000000000001"/>
    <s v="Reset"/>
    <s v="Close"/>
    <n v="2.7500000000000004E-2"/>
    <m/>
    <n v="0"/>
    <m/>
    <m/>
    <m/>
    <n v="0"/>
    <m/>
    <m/>
    <m/>
    <m/>
  </r>
  <r>
    <n v="348"/>
    <x v="33"/>
    <x v="0"/>
    <x v="0"/>
    <x v="1"/>
    <x v="0"/>
    <x v="35"/>
    <s v="PWEGPL"/>
    <s v="MSEDCL"/>
    <n v="2.5000000000000001E-2"/>
    <n v="907"/>
    <x v="228"/>
    <m/>
    <d v="1899-12-30T14:37:00"/>
    <d v="1899-12-30T15:21:00"/>
    <d v="1899-12-30T15:57:00"/>
    <n v="0.73333333333333073"/>
    <n v="0.60000000000000053"/>
    <n v="1.3333333333333313"/>
    <s v="Reset"/>
    <s v="Close"/>
    <n v="3.3333333333333284E-2"/>
    <m/>
    <n v="0"/>
    <m/>
    <m/>
    <m/>
    <n v="0"/>
    <m/>
    <m/>
    <m/>
    <m/>
  </r>
  <r>
    <n v="349"/>
    <x v="33"/>
    <x v="0"/>
    <x v="0"/>
    <x v="1"/>
    <x v="0"/>
    <x v="35"/>
    <s v="PWEGPL"/>
    <s v="MSEDCL"/>
    <n v="2.5000000000000001E-2"/>
    <n v="907"/>
    <x v="229"/>
    <m/>
    <d v="1899-12-30T18:31:00"/>
    <d v="1899-12-30T22:30:00"/>
    <d v="1899-12-30T22:48:00"/>
    <n v="3.9833333333333352"/>
    <n v="0.3000000000000016"/>
    <n v="4.2833333333333368"/>
    <s v="Reset"/>
    <s v="Close"/>
    <n v="0.10708333333333342"/>
    <m/>
    <n v="0"/>
    <m/>
    <m/>
    <m/>
    <n v="0"/>
    <m/>
    <m/>
    <m/>
    <m/>
  </r>
  <r>
    <n v="350"/>
    <x v="33"/>
    <x v="0"/>
    <x v="0"/>
    <x v="1"/>
    <x v="0"/>
    <x v="35"/>
    <s v="PWEGPL"/>
    <s v="MSEDCL"/>
    <n v="2.5000000000000001E-2"/>
    <n v="205"/>
    <x v="230"/>
    <m/>
    <d v="1899-12-30T23:22:00"/>
    <d v="1899-12-30T23:59:00"/>
    <d v="1899-12-30T23:59:00"/>
    <n v="0.61666666666666714"/>
    <n v="0"/>
    <n v="0.61666666666666714"/>
    <s v="Reset"/>
    <s v="Close"/>
    <n v="1.5416666666666679E-2"/>
    <m/>
    <n v="0"/>
    <m/>
    <m/>
    <m/>
    <n v="0"/>
    <m/>
    <m/>
    <m/>
    <m/>
  </r>
  <r>
    <n v="351"/>
    <x v="33"/>
    <x v="0"/>
    <x v="0"/>
    <x v="1"/>
    <x v="0"/>
    <x v="4"/>
    <s v="PWEGPL"/>
    <s v="MSEDCL"/>
    <n v="2.5000000000000001E-2"/>
    <n v="5222"/>
    <x v="231"/>
    <m/>
    <d v="1899-12-30T13:22:00"/>
    <d v="1899-12-30T13:30:00"/>
    <d v="1899-12-30T13:37:00"/>
    <n v="0.13333333333333286"/>
    <n v="0.11666666666666625"/>
    <n v="0.24999999999999911"/>
    <s v="Reset"/>
    <s v="Close"/>
    <n v="6.2499999999999778E-3"/>
    <m/>
    <n v="0"/>
    <m/>
    <m/>
    <m/>
    <n v="0"/>
    <m/>
    <m/>
    <m/>
    <m/>
  </r>
  <r>
    <n v="352"/>
    <x v="34"/>
    <x v="0"/>
    <x v="0"/>
    <x v="1"/>
    <x v="0"/>
    <x v="27"/>
    <s v="PWEGPL"/>
    <s v="MSEDCL"/>
    <n v="2.5000000000000001E-2"/>
    <n v="5210"/>
    <x v="232"/>
    <m/>
    <d v="1899-12-30T15:02:00"/>
    <d v="1899-12-30T15:14:00"/>
    <d v="1899-12-30T17:19:00"/>
    <n v="0.19999999999999929"/>
    <n v="2.0833333333333339"/>
    <n v="2.2833333333333332"/>
    <s v="Rotor contactor feedback module replaced"/>
    <s v="Close"/>
    <n v="5.7083333333333333E-2"/>
    <m/>
    <n v="0"/>
    <m/>
    <m/>
    <m/>
    <n v="0"/>
    <m/>
    <m/>
    <m/>
    <m/>
  </r>
  <r>
    <n v="353"/>
    <x v="34"/>
    <x v="0"/>
    <x v="0"/>
    <x v="1"/>
    <x v="0"/>
    <x v="32"/>
    <s v="PWEGPL"/>
    <s v="MSEDCL"/>
    <n v="2.5000000000000001E-2"/>
    <n v="205"/>
    <x v="233"/>
    <m/>
    <d v="1899-12-30T08:38:00"/>
    <d v="1899-12-30T09:33:00"/>
    <d v="1899-12-30T10:40:00"/>
    <n v="0.91666666666666741"/>
    <n v="1.1166666666666654"/>
    <n v="2.0333333333333328"/>
    <s v="Oil topup"/>
    <s v="Close"/>
    <n v="5.0833333333333321E-2"/>
    <m/>
    <n v="0"/>
    <m/>
    <m/>
    <m/>
    <n v="0"/>
    <m/>
    <m/>
    <m/>
    <m/>
  </r>
  <r>
    <n v="354"/>
    <x v="34"/>
    <x v="0"/>
    <x v="0"/>
    <x v="1"/>
    <x v="0"/>
    <x v="37"/>
    <s v="PWEGPL"/>
    <s v="MSEDCL"/>
    <n v="2.5000000000000001E-2"/>
    <n v="102"/>
    <x v="234"/>
    <s v="PM"/>
    <d v="1899-12-30T20:54:00"/>
    <d v="1899-12-30T23:59:00"/>
    <d v="1899-12-30T23:59:00"/>
    <n v="3.0833333333333357"/>
    <n v="0"/>
    <n v="3.0833333333333357"/>
    <s v="Reset"/>
    <s v="Close"/>
    <n v="7.7083333333333393E-2"/>
    <m/>
    <n v="0"/>
    <m/>
    <m/>
    <m/>
    <n v="0"/>
    <m/>
    <m/>
    <m/>
    <m/>
  </r>
  <r>
    <n v="355"/>
    <x v="34"/>
    <x v="0"/>
    <x v="0"/>
    <x v="1"/>
    <x v="0"/>
    <x v="35"/>
    <s v="PWEGPL"/>
    <s v="MSEDCL"/>
    <n v="2.5000000000000001E-2"/>
    <n v="205"/>
    <x v="235"/>
    <m/>
    <d v="1899-12-30T00:00:00"/>
    <d v="1899-12-30T02:26:00"/>
    <d v="1899-12-30T03:51:00"/>
    <n v="2.4333333333333336"/>
    <n v="1.4166666666666665"/>
    <n v="3.8500000000000005"/>
    <s v="Oil Topup"/>
    <s v="Close"/>
    <n v="9.6250000000000016E-2"/>
    <m/>
    <n v="0"/>
    <m/>
    <m/>
    <m/>
    <n v="0"/>
    <m/>
    <m/>
    <m/>
    <m/>
  </r>
  <r>
    <n v="356"/>
    <x v="34"/>
    <x v="0"/>
    <x v="0"/>
    <x v="1"/>
    <x v="0"/>
    <x v="9"/>
    <s v="PWEGPL"/>
    <s v="MSEDCL"/>
    <n v="2.5000000000000001E-2"/>
    <n v="110"/>
    <x v="236"/>
    <m/>
    <d v="1899-12-30T08:53:00"/>
    <d v="1899-12-30T11:07:00"/>
    <d v="1899-12-30T12:26:00"/>
    <n v="2.2333333333333347"/>
    <n v="1.3166666666666673"/>
    <n v="3.550000000000002"/>
    <s v="Cable twist removed &amp; started"/>
    <s v="Close"/>
    <n v="8.8750000000000051E-2"/>
    <m/>
    <n v="0"/>
    <m/>
    <m/>
    <m/>
    <n v="0"/>
    <m/>
    <m/>
    <m/>
    <m/>
  </r>
  <r>
    <n v="357"/>
    <x v="34"/>
    <x v="0"/>
    <x v="0"/>
    <x v="1"/>
    <x v="0"/>
    <x v="4"/>
    <s v="PWEGPL"/>
    <s v="MSEDCL"/>
    <n v="2.5000000000000001E-2"/>
    <n v="110"/>
    <x v="237"/>
    <m/>
    <d v="1899-12-30T08:58:00"/>
    <d v="1899-12-30T11:15:00"/>
    <d v="1899-12-30T12:18:00"/>
    <n v="2.2833333333333332"/>
    <n v="1.0500000000000016"/>
    <n v="3.3333333333333348"/>
    <s v="Cable twist removed &amp; started"/>
    <s v="Close"/>
    <n v="8.333333333333337E-2"/>
    <m/>
    <n v="0"/>
    <m/>
    <m/>
    <m/>
    <n v="0"/>
    <m/>
    <m/>
    <m/>
    <m/>
  </r>
  <r>
    <n v="358"/>
    <x v="35"/>
    <x v="0"/>
    <x v="0"/>
    <x v="1"/>
    <x v="0"/>
    <x v="37"/>
    <s v="PWEGPL"/>
    <s v="MSEDCL"/>
    <n v="2.5000000000000001E-2"/>
    <n v="102"/>
    <x v="238"/>
    <s v="PM"/>
    <d v="1899-12-30T00:00:00"/>
    <d v="1899-12-30T00:00:00"/>
    <d v="1899-12-30T00:59:00"/>
    <n v="0"/>
    <n v="0.98333333333333339"/>
    <n v="0.98333333333333339"/>
    <s v="Yaw fault finding"/>
    <s v="Close"/>
    <n v="2.4583333333333336E-2"/>
    <m/>
    <n v="0"/>
    <m/>
    <m/>
    <m/>
    <n v="0"/>
    <m/>
    <m/>
    <m/>
    <m/>
  </r>
  <r>
    <n v="359"/>
    <x v="35"/>
    <x v="0"/>
    <x v="0"/>
    <x v="1"/>
    <x v="0"/>
    <x v="12"/>
    <s v="PWEGPL"/>
    <s v="MSEDCL"/>
    <n v="2.5000000000000001E-2"/>
    <n v="2118"/>
    <x v="239"/>
    <m/>
    <d v="1899-12-30T18:09:00"/>
    <d v="1899-12-30T19:03:00"/>
    <d v="1899-12-30T19:19:00"/>
    <n v="0.90000000000000213"/>
    <n v="0.26666666666666572"/>
    <n v="1.1666666666666679"/>
    <s v="Fault finding ang and coummunication restored"/>
    <s v="Close"/>
    <n v="2.9166666666666698E-2"/>
    <m/>
    <n v="0"/>
    <m/>
    <m/>
    <m/>
    <n v="0"/>
    <m/>
    <m/>
    <m/>
    <m/>
  </r>
  <r>
    <n v="360"/>
    <x v="35"/>
    <x v="0"/>
    <x v="0"/>
    <x v="1"/>
    <x v="0"/>
    <x v="16"/>
    <s v="PWEGPL"/>
    <s v="MSEDCL"/>
    <n v="2.5000000000000001E-2"/>
    <n v="550"/>
    <x v="240"/>
    <m/>
    <d v="1899-12-30T11:04:00"/>
    <d v="1899-12-30T11:56:00"/>
    <d v="1899-12-30T12:05:00"/>
    <n v="0.86666666666666758"/>
    <n v="0.14999999999999947"/>
    <n v="1.0166666666666671"/>
    <s v="Reset"/>
    <s v="Close"/>
    <n v="2.5416666666666678E-2"/>
    <m/>
    <n v="0"/>
    <m/>
    <m/>
    <m/>
    <n v="0"/>
    <m/>
    <m/>
    <m/>
    <m/>
  </r>
  <r>
    <n v="361"/>
    <x v="35"/>
    <x v="0"/>
    <x v="0"/>
    <x v="1"/>
    <x v="0"/>
    <x v="12"/>
    <s v="PWEGPL"/>
    <s v="MSEDCL"/>
    <n v="2.5000000000000001E-2"/>
    <n v="2118"/>
    <x v="241"/>
    <m/>
    <d v="1899-12-30T19:58:00"/>
    <d v="1899-12-30T22:47:00"/>
    <d v="1899-12-30T23:59:00"/>
    <n v="2.81666666666667"/>
    <n v="1.1999999999999984"/>
    <n v="4.0166666666666684"/>
    <s v="Propotional valve replaced"/>
    <s v="Close"/>
    <n v="0.10041666666666671"/>
    <m/>
    <n v="0"/>
    <m/>
    <m/>
    <m/>
    <n v="0"/>
    <m/>
    <m/>
    <m/>
    <m/>
  </r>
  <r>
    <n v="362"/>
    <x v="36"/>
    <x v="0"/>
    <x v="0"/>
    <x v="1"/>
    <x v="0"/>
    <x v="29"/>
    <s v="PWEGPL"/>
    <s v="MSEDCL"/>
    <n v="2.5000000000000001E-2"/>
    <n v="205"/>
    <x v="242"/>
    <m/>
    <d v="1899-12-30T13:48:00"/>
    <d v="1899-12-30T14:26:00"/>
    <d v="1899-12-30T22:22:00"/>
    <n v="0.63333333333333108"/>
    <n v="7.9333333333333345"/>
    <n v="8.5666666666666664"/>
    <s v="Oil topup"/>
    <s v="Close"/>
    <n v="0.21416666666666667"/>
    <m/>
    <n v="0"/>
    <m/>
    <m/>
    <m/>
    <n v="0"/>
    <m/>
    <m/>
    <m/>
    <m/>
  </r>
  <r>
    <n v="363"/>
    <x v="36"/>
    <x v="0"/>
    <x v="0"/>
    <x v="1"/>
    <x v="0"/>
    <x v="19"/>
    <s v="PWEGPL"/>
    <s v="MSEDCL"/>
    <n v="2.5000000000000001E-2"/>
    <n v="552"/>
    <x v="243"/>
    <m/>
    <d v="1899-12-30T04:14:00"/>
    <d v="1899-12-30T05:52:00"/>
    <d v="1899-12-30T06:00:00"/>
    <n v="1.6333333333333335"/>
    <n v="0.13333333333333286"/>
    <n v="1.7666666666666664"/>
    <s v="Reset"/>
    <s v="Close"/>
    <n v="4.416666666666666E-2"/>
    <m/>
    <n v="0"/>
    <m/>
    <m/>
    <m/>
    <n v="0"/>
    <m/>
    <m/>
    <m/>
    <m/>
  </r>
  <r>
    <n v="364"/>
    <x v="36"/>
    <x v="0"/>
    <x v="0"/>
    <x v="1"/>
    <x v="0"/>
    <x v="8"/>
    <s v="PWEGPL"/>
    <s v="MSEDCL"/>
    <n v="2.5000000000000001E-2"/>
    <n v="1007"/>
    <x v="244"/>
    <s v="PM"/>
    <d v="1899-12-30T09:40:00"/>
    <d v="1899-12-30T09:40:00"/>
    <d v="1899-12-30T17:21:00"/>
    <n v="0"/>
    <n v="7.6833333333333371"/>
    <n v="7.6833333333333371"/>
    <s v="102 PM service"/>
    <s v="Close"/>
    <n v="0.19208333333333344"/>
    <m/>
    <n v="0"/>
    <m/>
    <m/>
    <m/>
    <n v="0"/>
    <m/>
    <m/>
    <m/>
    <m/>
  </r>
  <r>
    <n v="365"/>
    <x v="36"/>
    <x v="0"/>
    <x v="0"/>
    <x v="1"/>
    <x v="0"/>
    <x v="12"/>
    <s v="PWEGPL"/>
    <s v="MSEDCL"/>
    <n v="2.5000000000000001E-2"/>
    <n v="800"/>
    <x v="245"/>
    <m/>
    <d v="1899-12-30T00:00:00"/>
    <d v="1899-12-30T00:00:00"/>
    <d v="1899-12-30T04:52:00"/>
    <n v="0"/>
    <n v="4.8666666666666671"/>
    <n v="4.8666666666666671"/>
    <s v="C-Blade propotional valve changed"/>
    <s v="Close"/>
    <n v="0.12166666666666669"/>
    <m/>
    <n v="0"/>
    <m/>
    <m/>
    <m/>
    <n v="0"/>
    <m/>
    <m/>
    <m/>
    <m/>
  </r>
  <r>
    <n v="366"/>
    <x v="36"/>
    <x v="0"/>
    <x v="0"/>
    <x v="1"/>
    <x v="0"/>
    <x v="3"/>
    <s v="PWEGPL"/>
    <s v="MSEDCL"/>
    <n v="2.5000000000000001E-2"/>
    <n v="2509"/>
    <x v="201"/>
    <m/>
    <d v="1899-12-30T14:33:00"/>
    <d v="1899-12-30T18:00:00"/>
    <d v="1899-12-30T19:14:00"/>
    <n v="3.4499999999999984"/>
    <n v="1.2333333333333343"/>
    <n v="4.6833333333333327"/>
    <s v="SF-6 Breaker charged"/>
    <s v="Close"/>
    <n v="0.11708333333333332"/>
    <m/>
    <n v="0"/>
    <m/>
    <m/>
    <m/>
    <n v="0"/>
    <m/>
    <m/>
    <m/>
    <m/>
  </r>
  <r>
    <n v="367"/>
    <x v="37"/>
    <x v="0"/>
    <x v="0"/>
    <x v="1"/>
    <x v="0"/>
    <x v="20"/>
    <s v="PWEGPL"/>
    <s v="MSEDCL"/>
    <n v="2.5000000000000001E-2"/>
    <n v="9922"/>
    <x v="246"/>
    <m/>
    <d v="1899-12-30T13:30:00"/>
    <d v="1899-12-30T15:09:00"/>
    <d v="1899-12-30T15:09:00"/>
    <n v="1.6499999999999995"/>
    <n v="0"/>
    <n v="1.6499999999999995"/>
    <s v="LC taken for DP-yard yearly maintenance"/>
    <s v="Close"/>
    <n v="4.1249999999999988E-2"/>
    <m/>
    <n v="0"/>
    <m/>
    <m/>
    <m/>
    <n v="0"/>
    <m/>
    <m/>
    <m/>
    <m/>
  </r>
  <r>
    <n v="368"/>
    <x v="37"/>
    <x v="0"/>
    <x v="0"/>
    <x v="1"/>
    <x v="0"/>
    <x v="21"/>
    <s v="PWEGPL"/>
    <s v="MSEDCL"/>
    <n v="2.5000000000000001E-2"/>
    <n v="9922"/>
    <x v="247"/>
    <m/>
    <d v="1899-12-30T13:30:00"/>
    <d v="1899-12-30T15:09:00"/>
    <d v="1899-12-30T15:09:00"/>
    <n v="1.6499999999999995"/>
    <n v="0"/>
    <n v="1.6499999999999995"/>
    <s v="LC taken for DP-yard yearly maintenance"/>
    <s v="Close"/>
    <n v="4.1249999999999988E-2"/>
    <m/>
    <n v="0"/>
    <m/>
    <m/>
    <m/>
    <n v="0"/>
    <m/>
    <m/>
    <m/>
    <m/>
  </r>
  <r>
    <n v="369"/>
    <x v="37"/>
    <x v="0"/>
    <x v="0"/>
    <x v="1"/>
    <x v="0"/>
    <x v="22"/>
    <s v="PWEGPL"/>
    <s v="MSEDCL"/>
    <n v="2.5000000000000001E-2"/>
    <n v="9922"/>
    <x v="246"/>
    <m/>
    <d v="1899-12-30T13:30:00"/>
    <d v="1899-12-30T15:09:00"/>
    <d v="1899-12-30T15:09:00"/>
    <n v="1.6499999999999995"/>
    <n v="0"/>
    <n v="1.6499999999999995"/>
    <s v="LC taken for DP-yard yearly maintenance"/>
    <s v="Close"/>
    <n v="4.1249999999999988E-2"/>
    <m/>
    <n v="0"/>
    <m/>
    <m/>
    <m/>
    <n v="0"/>
    <m/>
    <m/>
    <m/>
    <m/>
  </r>
  <r>
    <n v="370"/>
    <x v="37"/>
    <x v="0"/>
    <x v="0"/>
    <x v="1"/>
    <x v="0"/>
    <x v="23"/>
    <s v="PWEGPL"/>
    <s v="MSEDCL"/>
    <n v="2.5000000000000001E-2"/>
    <n v="9922"/>
    <x v="246"/>
    <m/>
    <d v="1899-12-30T13:30:00"/>
    <d v="1899-12-30T15:09:00"/>
    <d v="1899-12-30T15:09:00"/>
    <n v="1.6499999999999995"/>
    <n v="0"/>
    <n v="1.6499999999999995"/>
    <s v="LC taken for DP-yard yearly maintenance"/>
    <s v="Close"/>
    <n v="4.1249999999999988E-2"/>
    <m/>
    <n v="0"/>
    <m/>
    <m/>
    <m/>
    <n v="0"/>
    <m/>
    <m/>
    <m/>
    <m/>
  </r>
  <r>
    <n v="371"/>
    <x v="37"/>
    <x v="0"/>
    <x v="0"/>
    <x v="1"/>
    <x v="0"/>
    <x v="24"/>
    <s v="PWEGPL"/>
    <s v="MSEDCL"/>
    <n v="2.5000000000000001E-2"/>
    <n v="800"/>
    <x v="248"/>
    <m/>
    <d v="1899-12-30T20:36:00"/>
    <d v="1899-12-30T22:57:00"/>
    <d v="1899-12-30T23:59:00"/>
    <n v="2.349999999999997"/>
    <n v="1.033333333333335"/>
    <n v="3.383333333333332"/>
    <s v="Propotional valve cable tightened"/>
    <s v="Close"/>
    <n v="8.4583333333333302E-2"/>
    <m/>
    <n v="0"/>
    <m/>
    <m/>
    <m/>
    <n v="0"/>
    <m/>
    <m/>
    <m/>
    <m/>
  </r>
  <r>
    <n v="372"/>
    <x v="37"/>
    <x v="0"/>
    <x v="0"/>
    <x v="1"/>
    <x v="0"/>
    <x v="26"/>
    <s v="PWEGPL"/>
    <s v="MSEDCL"/>
    <n v="2.5000000000000001E-2"/>
    <n v="9922"/>
    <x v="246"/>
    <m/>
    <d v="1899-12-30T13:30:00"/>
    <d v="1899-12-30T15:09:00"/>
    <d v="1899-12-30T15:09:00"/>
    <n v="1.6499999999999995"/>
    <n v="0"/>
    <n v="1.6499999999999995"/>
    <s v="LC taken for DP-yard yearly maintenance"/>
    <s v="Close"/>
    <n v="4.1249999999999988E-2"/>
    <m/>
    <n v="0"/>
    <m/>
    <m/>
    <m/>
    <n v="0"/>
    <m/>
    <m/>
    <m/>
    <m/>
  </r>
  <r>
    <n v="373"/>
    <x v="37"/>
    <x v="0"/>
    <x v="0"/>
    <x v="1"/>
    <x v="0"/>
    <x v="29"/>
    <s v="PWEGPL"/>
    <s v="MSEDCL"/>
    <n v="2.5000000000000001E-2"/>
    <s v="CE100001"/>
    <x v="249"/>
    <m/>
    <d v="1899-12-30T13:42:00"/>
    <d v="1899-12-30T13:42:00"/>
    <d v="1899-12-30T18:12:00"/>
    <n v="0"/>
    <n v="4.5"/>
    <n v="4.5"/>
    <s v="Manual stop for yaw caliper oil seal replacement"/>
    <s v="Close"/>
    <n v="0.1125"/>
    <m/>
    <n v="0"/>
    <m/>
    <m/>
    <m/>
    <n v="0"/>
    <m/>
    <m/>
    <m/>
    <m/>
  </r>
  <r>
    <n v="374"/>
    <x v="37"/>
    <x v="0"/>
    <x v="0"/>
    <x v="1"/>
    <x v="0"/>
    <x v="12"/>
    <s v="PWEGPL"/>
    <s v="MSEDCL"/>
    <n v="2.5000000000000001E-2"/>
    <n v="2118"/>
    <x v="250"/>
    <m/>
    <d v="1899-12-30T01:44:00"/>
    <d v="1899-12-30T03:02:00"/>
    <d v="1899-12-30T03:27:00"/>
    <n v="1.2999999999999998"/>
    <n v="0.41666666666666718"/>
    <n v="1.7166666666666668"/>
    <s v="Reset"/>
    <s v="Close"/>
    <n v="4.2916666666666672E-2"/>
    <m/>
    <n v="0"/>
    <m/>
    <m/>
    <m/>
    <n v="0"/>
    <m/>
    <m/>
    <m/>
    <m/>
  </r>
  <r>
    <n v="375"/>
    <x v="37"/>
    <x v="0"/>
    <x v="0"/>
    <x v="1"/>
    <x v="0"/>
    <x v="3"/>
    <s v="PWEGPL"/>
    <s v="MSEDCL"/>
    <n v="2.5000000000000001E-2"/>
    <n v="103"/>
    <x v="251"/>
    <m/>
    <d v="1899-12-30T12:20:00"/>
    <d v="1899-12-30T14:16:00"/>
    <d v="1899-12-30T15:57:00"/>
    <n v="1.9333333333333318"/>
    <n v="1.6833333333333327"/>
    <n v="3.6166666666666645"/>
    <s v="Contactor replaced"/>
    <s v="Close"/>
    <n v="9.0416666666666617E-2"/>
    <m/>
    <n v="0"/>
    <m/>
    <m/>
    <m/>
    <n v="0"/>
    <m/>
    <m/>
    <m/>
    <m/>
  </r>
  <r>
    <n v="376"/>
    <x v="37"/>
    <x v="0"/>
    <x v="0"/>
    <x v="1"/>
    <x v="0"/>
    <x v="14"/>
    <s v="PWEGPL"/>
    <s v="MSEDCL"/>
    <n v="2.5000000000000001E-2"/>
    <n v="2118"/>
    <x v="252"/>
    <m/>
    <d v="1899-12-30T12:36:00"/>
    <d v="1899-12-30T13:44:00"/>
    <d v="1899-12-30T13:49:00"/>
    <n v="1.133333333333332"/>
    <n v="8.3333333333333037E-2"/>
    <n v="1.216666666666665"/>
    <s v="Reset"/>
    <s v="Close"/>
    <n v="3.0416666666666627E-2"/>
    <m/>
    <n v="0"/>
    <m/>
    <m/>
    <m/>
    <n v="0"/>
    <m/>
    <m/>
    <m/>
    <m/>
  </r>
  <r>
    <n v="377"/>
    <x v="37"/>
    <x v="0"/>
    <x v="0"/>
    <x v="1"/>
    <x v="0"/>
    <x v="21"/>
    <s v="PWEGPL"/>
    <s v="MSEDCL"/>
    <n v="2.5000000000000001E-2"/>
    <n v="1894"/>
    <x v="253"/>
    <m/>
    <d v="1899-12-30T11:30:00"/>
    <d v="1899-12-30T12:19:00"/>
    <d v="1899-12-30T12:33:00"/>
    <n v="0.8166666666666651"/>
    <n v="0.23333333333333517"/>
    <n v="1.0500000000000003"/>
    <s v="Reset"/>
    <s v="Close"/>
    <n v="2.6250000000000009E-2"/>
    <m/>
    <n v="0"/>
    <m/>
    <m/>
    <m/>
    <n v="0"/>
    <m/>
    <m/>
    <m/>
    <m/>
  </r>
  <r>
    <n v="378"/>
    <x v="38"/>
    <x v="0"/>
    <x v="0"/>
    <x v="1"/>
    <x v="0"/>
    <x v="2"/>
    <s v="PWEGPL"/>
    <s v="MSEDCL"/>
    <n v="2.5000000000000001E-2"/>
    <n v="9922"/>
    <x v="254"/>
    <m/>
    <d v="1899-12-30T13:24:00"/>
    <d v="1899-12-30T13:24:00"/>
    <d v="1899-12-30T15:42:00"/>
    <n v="0"/>
    <n v="2.2999999999999998"/>
    <n v="2.2999999999999998"/>
    <s v="LC taken for DP-yard yearly maintenance"/>
    <s v="Close"/>
    <n v="5.7499999999999996E-2"/>
    <m/>
    <n v="0"/>
    <m/>
    <m/>
    <m/>
    <n v="0"/>
    <m/>
    <m/>
    <m/>
    <m/>
  </r>
  <r>
    <n v="379"/>
    <x v="38"/>
    <x v="0"/>
    <x v="0"/>
    <x v="1"/>
    <x v="0"/>
    <x v="12"/>
    <s v="PWEGPL"/>
    <s v="MSEDCL"/>
    <n v="2.5000000000000001E-2"/>
    <n v="2118"/>
    <x v="255"/>
    <m/>
    <d v="1899-12-30T06:51:00"/>
    <d v="1899-12-30T06:51:00"/>
    <d v="1899-12-30T07:48:00"/>
    <n v="0"/>
    <n v="0.95000000000000062"/>
    <n v="0.95000000000000062"/>
    <s v="Reset"/>
    <s v="Close"/>
    <n v="2.3750000000000018E-2"/>
    <m/>
    <n v="0"/>
    <m/>
    <m/>
    <m/>
    <n v="0"/>
    <m/>
    <m/>
    <m/>
    <m/>
  </r>
  <r>
    <n v="380"/>
    <x v="38"/>
    <x v="0"/>
    <x v="0"/>
    <x v="1"/>
    <x v="0"/>
    <x v="3"/>
    <s v="PWEGPL"/>
    <s v="MSEDCL"/>
    <n v="2.5000000000000001E-2"/>
    <n v="9922"/>
    <x v="254"/>
    <m/>
    <d v="1899-12-30T13:24:00"/>
    <d v="1899-12-30T13:24:00"/>
    <d v="1899-12-30T15:42:00"/>
    <n v="0"/>
    <n v="2.2999999999999998"/>
    <n v="2.2999999999999998"/>
    <s v="LC taken for DP-yard yearly maintenance"/>
    <s v="Close"/>
    <n v="5.7499999999999996E-2"/>
    <m/>
    <n v="0"/>
    <m/>
    <m/>
    <m/>
    <n v="0"/>
    <m/>
    <m/>
    <m/>
    <m/>
  </r>
  <r>
    <n v="381"/>
    <x v="38"/>
    <x v="0"/>
    <x v="0"/>
    <x v="1"/>
    <x v="0"/>
    <x v="14"/>
    <s v="PWEGPL"/>
    <s v="MSEDCL"/>
    <n v="2.5000000000000001E-2"/>
    <n v="2118"/>
    <x v="256"/>
    <m/>
    <d v="1899-12-30T10:16:00"/>
    <d v="1899-12-30T11:30:00"/>
    <d v="1899-12-30T13:42:00"/>
    <n v="1.2333333333333329"/>
    <n v="2.1999999999999988"/>
    <n v="3.4333333333333318"/>
    <s v="Slipring changed"/>
    <s v="Close"/>
    <n v="8.5833333333333303E-2"/>
    <m/>
    <n v="0"/>
    <m/>
    <m/>
    <m/>
    <n v="0"/>
    <m/>
    <m/>
    <m/>
    <m/>
  </r>
  <r>
    <n v="382"/>
    <x v="38"/>
    <x v="0"/>
    <x v="0"/>
    <x v="1"/>
    <x v="0"/>
    <x v="5"/>
    <s v="PWEGPL"/>
    <s v="MSEDCL"/>
    <n v="2.5000000000000001E-2"/>
    <n v="9922"/>
    <x v="254"/>
    <m/>
    <d v="1899-12-30T13:24:00"/>
    <d v="1899-12-30T13:24:00"/>
    <d v="1899-12-30T15:42:00"/>
    <n v="0"/>
    <n v="2.2999999999999998"/>
    <n v="2.2999999999999998"/>
    <s v="LC taken for DP-yard yearly maintenance"/>
    <s v="Close"/>
    <n v="5.7499999999999996E-2"/>
    <m/>
    <n v="0"/>
    <m/>
    <m/>
    <m/>
    <n v="0"/>
    <m/>
    <m/>
    <m/>
    <m/>
  </r>
  <r>
    <n v="383"/>
    <x v="38"/>
    <x v="0"/>
    <x v="0"/>
    <x v="1"/>
    <x v="0"/>
    <x v="6"/>
    <s v="PWEGPL"/>
    <s v="MSEDCL"/>
    <n v="2.5000000000000001E-2"/>
    <n v="9922"/>
    <x v="254"/>
    <m/>
    <d v="1899-12-30T13:24:00"/>
    <d v="1899-12-30T13:24:00"/>
    <d v="1899-12-30T15:42:00"/>
    <n v="0"/>
    <n v="2.2999999999999998"/>
    <n v="2.2999999999999998"/>
    <s v="LC taken for DP-yard yearly maintenance"/>
    <s v="Close"/>
    <n v="5.7499999999999996E-2"/>
    <m/>
    <n v="0"/>
    <m/>
    <m/>
    <m/>
    <n v="0"/>
    <m/>
    <m/>
    <m/>
    <m/>
  </r>
  <r>
    <n v="384"/>
    <x v="38"/>
    <x v="0"/>
    <x v="0"/>
    <x v="1"/>
    <x v="0"/>
    <x v="7"/>
    <s v="PWEGPL"/>
    <s v="MSEDCL"/>
    <n v="2.5000000000000001E-2"/>
    <n v="9922"/>
    <x v="254"/>
    <m/>
    <d v="1899-12-30T13:24:00"/>
    <d v="1899-12-30T13:24:00"/>
    <d v="1899-12-30T15:42:00"/>
    <n v="0"/>
    <n v="2.2999999999999998"/>
    <n v="2.2999999999999998"/>
    <s v="LC taken for DP-yard yearly maintenance"/>
    <s v="Close"/>
    <n v="5.7499999999999996E-2"/>
    <m/>
    <n v="0"/>
    <m/>
    <m/>
    <m/>
    <n v="0"/>
    <m/>
    <m/>
    <m/>
    <m/>
  </r>
  <r>
    <n v="385"/>
    <x v="38"/>
    <x v="0"/>
    <x v="0"/>
    <x v="1"/>
    <x v="0"/>
    <x v="12"/>
    <s v="PWEGPL"/>
    <s v="MSEDCL"/>
    <n v="2.5000000000000001E-2"/>
    <n v="1007"/>
    <x v="257"/>
    <s v="PM"/>
    <d v="1899-12-30T10:29:00"/>
    <d v="1899-12-30T10:29:00"/>
    <d v="1899-12-30T17:44:00"/>
    <n v="0"/>
    <n v="7.2500000000000018"/>
    <n v="7.2500000000000018"/>
    <s v="102 PM service"/>
    <s v="Close"/>
    <n v="0.18125000000000005"/>
    <m/>
    <n v="0"/>
    <m/>
    <m/>
    <m/>
    <n v="0"/>
    <m/>
    <m/>
    <m/>
    <m/>
  </r>
  <r>
    <n v="386"/>
    <x v="39"/>
    <x v="0"/>
    <x v="0"/>
    <x v="1"/>
    <x v="0"/>
    <x v="27"/>
    <s v="PWEGPL"/>
    <s v="MSEDCL"/>
    <n v="2.5000000000000001E-2"/>
    <n v="416"/>
    <x v="258"/>
    <m/>
    <d v="1899-12-30T01:35:00"/>
    <d v="1899-12-30T02:20:00"/>
    <d v="1899-12-30T02:30:00"/>
    <n v="0.75"/>
    <n v="0.16666666666666674"/>
    <n v="0.91666666666666674"/>
    <s v="Reset"/>
    <s v="Close"/>
    <n v="2.2916666666666669E-2"/>
    <m/>
    <n v="0"/>
    <m/>
    <m/>
    <m/>
    <n v="0"/>
    <m/>
    <m/>
    <m/>
    <m/>
  </r>
  <r>
    <n v="387"/>
    <x v="40"/>
    <x v="0"/>
    <x v="0"/>
    <x v="1"/>
    <x v="0"/>
    <x v="12"/>
    <s v="PWEGPL"/>
    <s v="MSEDCL"/>
    <n v="2.5000000000000001E-2"/>
    <n v="2118"/>
    <x v="259"/>
    <m/>
    <d v="1899-12-30T07:15:00"/>
    <d v="1899-12-30T08:00:00"/>
    <d v="1899-12-30T08:06:00"/>
    <n v="0.75"/>
    <n v="9.9999999999999645E-2"/>
    <n v="0.84999999999999964"/>
    <s v="Reset"/>
    <s v="Close"/>
    <n v="2.1249999999999991E-2"/>
    <m/>
    <n v="0"/>
    <m/>
    <m/>
    <m/>
    <n v="0"/>
    <m/>
    <m/>
    <m/>
    <m/>
  </r>
  <r>
    <n v="388"/>
    <x v="40"/>
    <x v="0"/>
    <x v="0"/>
    <x v="1"/>
    <x v="0"/>
    <x v="12"/>
    <s v="PWEGPL"/>
    <s v="MSEDCL"/>
    <n v="2.5000000000000001E-2"/>
    <n v="2118"/>
    <x v="260"/>
    <m/>
    <d v="1899-12-30T11:32:00"/>
    <d v="1899-12-30T12:19:00"/>
    <d v="1899-12-30T12:36:00"/>
    <n v="0.78333333333333188"/>
    <n v="0.28333333333333499"/>
    <n v="1.0666666666666669"/>
    <s v="Reset"/>
    <s v="Close"/>
    <n v="2.6666666666666672E-2"/>
    <m/>
    <n v="0"/>
    <m/>
    <m/>
    <m/>
    <n v="0"/>
    <m/>
    <m/>
    <m/>
    <m/>
  </r>
  <r>
    <n v="389"/>
    <x v="40"/>
    <x v="0"/>
    <x v="0"/>
    <x v="1"/>
    <x v="0"/>
    <x v="16"/>
    <s v="PWEGPL"/>
    <s v="MSEDCL"/>
    <n v="2.5000000000000001E-2"/>
    <n v="1007"/>
    <x v="261"/>
    <m/>
    <d v="1899-12-30T11:16:00"/>
    <d v="1899-12-30T11:16:00"/>
    <d v="1899-12-30T13:33:00"/>
    <n v="0"/>
    <n v="2.2833333333333319"/>
    <n v="2.2833333333333319"/>
    <s v="Cooling motor replaced"/>
    <s v="Close"/>
    <n v="5.7083333333333298E-2"/>
    <m/>
    <n v="0"/>
    <m/>
    <m/>
    <m/>
    <n v="0"/>
    <m/>
    <m/>
    <m/>
    <m/>
  </r>
  <r>
    <n v="390"/>
    <x v="41"/>
    <x v="0"/>
    <x v="0"/>
    <x v="1"/>
    <x v="0"/>
    <x v="24"/>
    <s v="PWEGPL"/>
    <s v="MSEDCL"/>
    <n v="2.5000000000000001E-2"/>
    <n v="1894"/>
    <x v="262"/>
    <m/>
    <d v="1899-12-30T13:29:00"/>
    <d v="1899-12-30T14:31:00"/>
    <d v="1899-12-30T14:55:00"/>
    <n v="1.033333333333335"/>
    <n v="0.39999999999999858"/>
    <n v="1.4333333333333336"/>
    <s v="MCB charged"/>
    <s v="Close"/>
    <n v="3.5833333333333342E-2"/>
    <m/>
    <n v="0"/>
    <m/>
    <m/>
    <m/>
    <n v="0"/>
    <m/>
    <m/>
    <m/>
    <m/>
  </r>
  <r>
    <n v="391"/>
    <x v="41"/>
    <x v="0"/>
    <x v="0"/>
    <x v="1"/>
    <x v="0"/>
    <x v="33"/>
    <s v="PWEGPL"/>
    <s v="MSEDCL"/>
    <n v="2.5000000000000001E-2"/>
    <n v="205"/>
    <x v="263"/>
    <m/>
    <d v="1899-12-30T12:32:00"/>
    <d v="1899-12-30T12:32:00"/>
    <d v="1899-12-30T13:15:00"/>
    <n v="0"/>
    <n v="0.71666666666666679"/>
    <n v="0.71666666666666679"/>
    <s v="Oil Topup"/>
    <s v="Close"/>
    <n v="1.7916666666666671E-2"/>
    <m/>
    <n v="0"/>
    <m/>
    <m/>
    <m/>
    <n v="0"/>
    <m/>
    <m/>
    <m/>
    <m/>
  </r>
  <r>
    <n v="392"/>
    <x v="41"/>
    <x v="0"/>
    <x v="0"/>
    <x v="1"/>
    <x v="0"/>
    <x v="11"/>
    <s v="PWEGPL"/>
    <s v="MSEDCL"/>
    <n v="2.5000000000000001E-2"/>
    <s v="CE100001"/>
    <x v="264"/>
    <s v="PM"/>
    <d v="1899-12-30T10:05:00"/>
    <d v="1899-12-30T10:15:00"/>
    <d v="1899-12-30T18:00:00"/>
    <n v="0.16666666666666607"/>
    <n v="7.75"/>
    <n v="7.9166666666666661"/>
    <s v="102 PM service"/>
    <s v="Close"/>
    <n v="0.19791666666666666"/>
    <m/>
    <n v="0"/>
    <m/>
    <m/>
    <m/>
    <n v="0"/>
    <m/>
    <m/>
    <m/>
    <m/>
  </r>
  <r>
    <n v="393"/>
    <x v="41"/>
    <x v="0"/>
    <x v="0"/>
    <x v="1"/>
    <x v="0"/>
    <x v="12"/>
    <s v="PWEGPL"/>
    <s v="MSEDCL"/>
    <n v="2.5000000000000001E-2"/>
    <n v="9922"/>
    <x v="265"/>
    <m/>
    <d v="1899-12-30T17:02:00"/>
    <d v="1899-12-30T17:41:00"/>
    <d v="1899-12-30T18:04:00"/>
    <n v="0.65000000000000036"/>
    <n v="0.38333333333333197"/>
    <n v="1.0333333333333323"/>
    <s v="Reset"/>
    <s v="Close"/>
    <n v="2.5833333333333309E-2"/>
    <m/>
    <n v="0"/>
    <m/>
    <m/>
    <m/>
    <n v="0"/>
    <m/>
    <m/>
    <m/>
    <m/>
  </r>
  <r>
    <n v="394"/>
    <x v="41"/>
    <x v="0"/>
    <x v="0"/>
    <x v="1"/>
    <x v="0"/>
    <x v="13"/>
    <s v="PWEGPL"/>
    <s v="MSEDCL"/>
    <n v="2.5000000000000001E-2"/>
    <n v="9922"/>
    <x v="266"/>
    <m/>
    <d v="1899-12-30T11:53:00"/>
    <d v="1899-12-30T11:53:00"/>
    <d v="1899-12-30T14:06:00"/>
    <n v="0"/>
    <n v="2.2166666666666681"/>
    <n v="2.2166666666666681"/>
    <s v="LC taken for DP-yard yearly maintenance"/>
    <s v="Close"/>
    <n v="5.5416666666666704E-2"/>
    <m/>
    <n v="0"/>
    <m/>
    <m/>
    <m/>
    <n v="0"/>
    <m/>
    <m/>
    <m/>
    <m/>
  </r>
  <r>
    <n v="395"/>
    <x v="41"/>
    <x v="0"/>
    <x v="0"/>
    <x v="1"/>
    <x v="0"/>
    <x v="14"/>
    <s v="PWEGPL"/>
    <s v="MSEDCL"/>
    <n v="2.5000000000000001E-2"/>
    <n v="9922"/>
    <x v="267"/>
    <m/>
    <d v="1899-12-30T11:53:00"/>
    <d v="1899-12-30T11:53:00"/>
    <d v="1899-12-30T14:06:00"/>
    <n v="0"/>
    <n v="2.2166666666666681"/>
    <n v="2.2166666666666681"/>
    <s v="LC taken for DP-yard yearly maintenance"/>
    <s v="Close"/>
    <n v="5.5416666666666704E-2"/>
    <m/>
    <n v="0"/>
    <m/>
    <m/>
    <m/>
    <n v="0"/>
    <m/>
    <m/>
    <m/>
    <m/>
  </r>
  <r>
    <n v="396"/>
    <x v="41"/>
    <x v="0"/>
    <x v="0"/>
    <x v="1"/>
    <x v="0"/>
    <x v="15"/>
    <s v="PWEGPL"/>
    <s v="MSEDCL"/>
    <n v="2.5000000000000001E-2"/>
    <n v="9922"/>
    <x v="268"/>
    <m/>
    <d v="1899-12-30T11:53:00"/>
    <d v="1899-12-30T11:53:00"/>
    <d v="1899-12-30T14:06:00"/>
    <n v="0"/>
    <n v="2.2166666666666681"/>
    <n v="2.2166666666666681"/>
    <s v="LC taken for DP-yard yearly maintenance"/>
    <s v="Close"/>
    <n v="5.5416666666666704E-2"/>
    <m/>
    <n v="0"/>
    <m/>
    <m/>
    <m/>
    <n v="0"/>
    <m/>
    <m/>
    <m/>
    <m/>
  </r>
  <r>
    <n v="397"/>
    <x v="41"/>
    <x v="0"/>
    <x v="0"/>
    <x v="1"/>
    <x v="0"/>
    <x v="16"/>
    <s v="PWEGPL"/>
    <s v="MSEDCL"/>
    <n v="2.5000000000000001E-2"/>
    <n v="9922"/>
    <x v="269"/>
    <m/>
    <d v="1899-12-30T11:53:00"/>
    <d v="1899-12-30T11:53:00"/>
    <d v="1899-12-30T14:06:00"/>
    <n v="0"/>
    <n v="2.2166666666666681"/>
    <n v="2.2166666666666681"/>
    <s v="LC taken for DP-yard yearly maintenance"/>
    <s v="Close"/>
    <n v="5.5416666666666704E-2"/>
    <m/>
    <n v="0"/>
    <m/>
    <m/>
    <m/>
    <n v="0"/>
    <m/>
    <m/>
    <m/>
    <m/>
  </r>
  <r>
    <n v="398"/>
    <x v="41"/>
    <x v="0"/>
    <x v="0"/>
    <x v="1"/>
    <x v="0"/>
    <x v="4"/>
    <s v="PWEGPL"/>
    <s v="MSEDCL"/>
    <n v="2.5000000000000001E-2"/>
    <n v="9922"/>
    <x v="270"/>
    <m/>
    <d v="1899-12-30T11:53:00"/>
    <d v="1899-12-30T11:53:00"/>
    <d v="1899-12-30T14:06:00"/>
    <n v="0"/>
    <n v="2.2166666666666681"/>
    <n v="2.2166666666666681"/>
    <s v="LC taken for DP-yard yearly maintenance"/>
    <s v="Close"/>
    <n v="5.5416666666666704E-2"/>
    <m/>
    <n v="0"/>
    <m/>
    <m/>
    <m/>
    <n v="0"/>
    <m/>
    <m/>
    <m/>
    <m/>
  </r>
  <r>
    <n v="399"/>
    <x v="42"/>
    <x v="0"/>
    <x v="0"/>
    <x v="1"/>
    <x v="0"/>
    <x v="19"/>
    <s v="PWEGPL"/>
    <s v="MSEDCL"/>
    <n v="2.5000000000000001E-2"/>
    <n v="552"/>
    <x v="271"/>
    <m/>
    <d v="1899-12-30T05:11:00"/>
    <d v="1899-12-30T06:47:00"/>
    <d v="1899-12-30T06:52:00"/>
    <n v="1.5999999999999996"/>
    <n v="8.333333333333437E-2"/>
    <n v="1.683333333333334"/>
    <s v="Reset"/>
    <s v="Close"/>
    <n v="4.2083333333333355E-2"/>
    <m/>
    <n v="0"/>
    <m/>
    <m/>
    <m/>
    <n v="0"/>
    <m/>
    <m/>
    <m/>
    <m/>
  </r>
  <r>
    <n v="400"/>
    <x v="42"/>
    <x v="0"/>
    <x v="0"/>
    <x v="1"/>
    <x v="0"/>
    <x v="33"/>
    <s v="PWEGPL"/>
    <s v="MSEDCL"/>
    <n v="2.5000000000000001E-2"/>
    <n v="208"/>
    <x v="272"/>
    <m/>
    <d v="1899-12-30T01:17:00"/>
    <d v="1899-12-30T02:19:00"/>
    <d v="1899-12-30T05:22:00"/>
    <n v="1.0333333333333332"/>
    <n v="3.05"/>
    <n v="4.083333333333333"/>
    <s v="Contactor changed"/>
    <s v="Close"/>
    <n v="0.10208333333333333"/>
    <m/>
    <n v="0"/>
    <m/>
    <m/>
    <m/>
    <n v="0"/>
    <m/>
    <m/>
    <m/>
    <m/>
  </r>
  <r>
    <n v="401"/>
    <x v="42"/>
    <x v="0"/>
    <x v="0"/>
    <x v="1"/>
    <x v="0"/>
    <x v="10"/>
    <s v="PWEGPL"/>
    <s v="MSEDCL"/>
    <n v="2.5000000000000001E-2"/>
    <s v="CE100001"/>
    <x v="273"/>
    <s v="PM"/>
    <d v="1899-12-30T09:57:00"/>
    <d v="1899-12-30T09:57:00"/>
    <d v="1899-12-30T17:31:00"/>
    <n v="0"/>
    <n v="7.5666666666666664"/>
    <n v="7.5666666666666664"/>
    <s v="102 PM service"/>
    <s v="Close"/>
    <n v="0.18916666666666668"/>
    <m/>
    <n v="0"/>
    <m/>
    <m/>
    <m/>
    <n v="0"/>
    <m/>
    <m/>
    <m/>
    <m/>
  </r>
  <r>
    <n v="402"/>
    <x v="42"/>
    <x v="0"/>
    <x v="0"/>
    <x v="1"/>
    <x v="0"/>
    <x v="12"/>
    <s v="PWEGPL"/>
    <s v="MSEDCL"/>
    <n v="2.5000000000000001E-2"/>
    <s v="CE100001"/>
    <x v="274"/>
    <m/>
    <d v="1899-12-30T11:56:00"/>
    <d v="1899-12-30T11:56:00"/>
    <d v="1899-12-30T16:43:00"/>
    <n v="0"/>
    <n v="4.7833333333333323"/>
    <n v="4.7833333333333323"/>
    <s v="Manual stop for Bus Interbus failure troubleshooting work"/>
    <s v="Close"/>
    <n v="0.11958333333333332"/>
    <m/>
    <n v="0"/>
    <m/>
    <m/>
    <m/>
    <n v="0"/>
    <m/>
    <m/>
    <m/>
    <m/>
  </r>
  <r>
    <n v="403"/>
    <x v="42"/>
    <x v="0"/>
    <x v="0"/>
    <x v="1"/>
    <x v="0"/>
    <x v="19"/>
    <s v="PWEGPL"/>
    <s v="MSEDCL"/>
    <n v="2.5000000000000001E-2"/>
    <n v="552"/>
    <x v="275"/>
    <m/>
    <d v="1899-12-30T22:18:00"/>
    <d v="1899-12-30T22:18:00"/>
    <d v="1899-12-30T23:19:00"/>
    <n v="0"/>
    <n v="1.0166666666666657"/>
    <n v="1.0166666666666657"/>
    <s v="Carbon Brush replaced"/>
    <s v="Close"/>
    <n v="2.5416666666666643E-2"/>
    <m/>
    <n v="0"/>
    <m/>
    <m/>
    <m/>
    <n v="0"/>
    <m/>
    <m/>
    <m/>
    <m/>
  </r>
  <r>
    <n v="404"/>
    <x v="43"/>
    <x v="0"/>
    <x v="0"/>
    <x v="1"/>
    <x v="0"/>
    <x v="17"/>
    <s v="PWEGPL"/>
    <s v="MSEDCL"/>
    <n v="2.5000000000000001E-2"/>
    <n v="5204"/>
    <x v="276"/>
    <m/>
    <d v="1899-12-30T21:40:00"/>
    <d v="1899-12-30T23:59:00"/>
    <d v="1899-12-30T23:59:00"/>
    <n v="2.3166666666666664"/>
    <n v="0"/>
    <n v="2.3166666666666664"/>
    <m/>
    <s v="Close"/>
    <n v="5.7916666666666665E-2"/>
    <m/>
    <n v="0"/>
    <m/>
    <m/>
    <m/>
    <n v="0"/>
    <m/>
    <m/>
    <m/>
    <m/>
  </r>
  <r>
    <n v="405"/>
    <x v="43"/>
    <x v="0"/>
    <x v="0"/>
    <x v="1"/>
    <x v="0"/>
    <x v="29"/>
    <s v="PWEGPL"/>
    <s v="MSEDCL"/>
    <n v="2.5000000000000001E-2"/>
    <n v="205"/>
    <x v="277"/>
    <m/>
    <d v="1899-12-30T14:18:00"/>
    <d v="1899-12-30T15:21:00"/>
    <d v="1899-12-30T17:23:00"/>
    <n v="1.0499999999999989"/>
    <n v="2.0333333333333341"/>
    <n v="3.083333333333333"/>
    <s v="Oil Topup"/>
    <s v="Close"/>
    <n v="7.7083333333333337E-2"/>
    <m/>
    <n v="0"/>
    <m/>
    <m/>
    <m/>
    <n v="0"/>
    <m/>
    <m/>
    <m/>
    <m/>
  </r>
  <r>
    <n v="406"/>
    <x v="43"/>
    <x v="0"/>
    <x v="0"/>
    <x v="1"/>
    <x v="0"/>
    <x v="2"/>
    <s v="PWEGPL"/>
    <s v="MSEDCL"/>
    <n v="2.5000000000000001E-2"/>
    <n v="110"/>
    <x v="278"/>
    <m/>
    <d v="1899-12-30T12:40:00"/>
    <d v="1899-12-30T13:33:00"/>
    <d v="1899-12-30T14:06:00"/>
    <n v="0.88333333333333286"/>
    <n v="0.55000000000000071"/>
    <n v="1.4333333333333336"/>
    <s v="Cable Untwisting"/>
    <s v="Close"/>
    <n v="3.5833333333333342E-2"/>
    <m/>
    <n v="0"/>
    <m/>
    <m/>
    <m/>
    <n v="0"/>
    <m/>
    <m/>
    <m/>
    <m/>
  </r>
  <r>
    <n v="407"/>
    <x v="43"/>
    <x v="0"/>
    <x v="0"/>
    <x v="1"/>
    <x v="0"/>
    <x v="9"/>
    <s v="PWEGPL"/>
    <s v="MSEDCL"/>
    <n v="2.5000000000000001E-2"/>
    <s v="CE100001"/>
    <x v="279"/>
    <s v="PM"/>
    <d v="1899-12-30T09:50:00"/>
    <d v="1899-12-30T09:50:00"/>
    <d v="1899-12-30T16:58:00"/>
    <n v="0"/>
    <n v="7.1333333333333311"/>
    <n v="7.1333333333333311"/>
    <s v="102 PM service"/>
    <s v="Close"/>
    <n v="0.17833333333333329"/>
    <m/>
    <n v="0"/>
    <m/>
    <m/>
    <m/>
    <n v="0"/>
    <m/>
    <m/>
    <m/>
    <m/>
  </r>
  <r>
    <n v="408"/>
    <x v="44"/>
    <x v="0"/>
    <x v="0"/>
    <x v="1"/>
    <x v="0"/>
    <x v="17"/>
    <s v="PWEGPL"/>
    <s v="MSEDCL"/>
    <n v="2.5000000000000001E-2"/>
    <n v="5204"/>
    <x v="280"/>
    <m/>
    <d v="1899-12-30T00:00:00"/>
    <d v="1899-12-30T00:30:00"/>
    <d v="1899-12-30T13:36:00"/>
    <n v="0.5"/>
    <n v="13.099999999999998"/>
    <n v="13.6"/>
    <s v="Loose connection Tightened &amp; Safety Relay changed"/>
    <s v="Close"/>
    <n v="0.34"/>
    <m/>
    <n v="0"/>
    <m/>
    <m/>
    <m/>
    <n v="0"/>
    <m/>
    <m/>
    <m/>
    <m/>
  </r>
  <r>
    <n v="409"/>
    <x v="44"/>
    <x v="0"/>
    <x v="0"/>
    <x v="1"/>
    <x v="0"/>
    <x v="0"/>
    <s v="PWEGPL"/>
    <s v="MSEDCL"/>
    <n v="2.5000000000000001E-2"/>
    <n v="110"/>
    <x v="281"/>
    <m/>
    <d v="1899-12-30T10:11:00"/>
    <d v="1899-12-30T10:31:00"/>
    <d v="1899-12-30T11:09:00"/>
    <n v="0.33333333333333481"/>
    <n v="0.63333333333333242"/>
    <n v="0.96666666666666723"/>
    <s v="Cable untwisting removed"/>
    <s v="Close"/>
    <n v="2.4166666666666684E-2"/>
    <m/>
    <n v="0"/>
    <m/>
    <m/>
    <m/>
    <n v="0"/>
    <m/>
    <m/>
    <m/>
    <m/>
  </r>
  <r>
    <n v="410"/>
    <x v="44"/>
    <x v="0"/>
    <x v="0"/>
    <x v="1"/>
    <x v="0"/>
    <x v="14"/>
    <s v="PWEGPL"/>
    <s v="MSEDCL"/>
    <n v="2.5000000000000001E-2"/>
    <s v="CE100001"/>
    <x v="282"/>
    <s v="PM"/>
    <d v="1899-12-30T10:02:00"/>
    <d v="1899-12-30T10:02:00"/>
    <d v="1899-12-30T17:52:00"/>
    <n v="0"/>
    <n v="7.8333333333333339"/>
    <n v="7.8333333333333339"/>
    <s v="102 PM service"/>
    <s v="Close"/>
    <n v="0.19583333333333336"/>
    <m/>
    <n v="0"/>
    <m/>
    <m/>
    <m/>
    <n v="0"/>
    <m/>
    <m/>
    <m/>
    <m/>
  </r>
  <r>
    <n v="411"/>
    <x v="44"/>
    <x v="0"/>
    <x v="0"/>
    <x v="1"/>
    <x v="0"/>
    <x v="15"/>
    <s v="PWEGPL"/>
    <s v="MSEDCL"/>
    <n v="2.5000000000000001E-2"/>
    <n v="110"/>
    <x v="283"/>
    <m/>
    <d v="1899-12-30T14:02:00"/>
    <d v="1899-12-30T15:35:00"/>
    <d v="1899-12-30T16:04:00"/>
    <n v="1.5499999999999998"/>
    <n v="0.48333333333333162"/>
    <n v="2.0333333333333314"/>
    <s v="Cable untwisting removed"/>
    <s v="Close"/>
    <n v="5.0833333333333286E-2"/>
    <m/>
    <n v="0"/>
    <m/>
    <m/>
    <m/>
    <n v="0"/>
    <m/>
    <m/>
    <m/>
    <m/>
  </r>
  <r>
    <n v="412"/>
    <x v="45"/>
    <x v="0"/>
    <x v="0"/>
    <x v="1"/>
    <x v="0"/>
    <x v="20"/>
    <s v="PWEGPL"/>
    <s v="MSEDCL"/>
    <n v="2.5000000000000001E-2"/>
    <s v="CE100001"/>
    <x v="284"/>
    <m/>
    <d v="1899-12-30T16:20:00"/>
    <d v="1899-12-30T16:20:00"/>
    <d v="1899-12-30T16:55:00"/>
    <n v="0"/>
    <n v="0.58333333333333659"/>
    <n v="0.58333333333333659"/>
    <s v="Troubleshooting work"/>
    <s v="Close"/>
    <n v="1.4583333333333415E-2"/>
    <m/>
    <n v="0"/>
    <m/>
    <m/>
    <m/>
    <n v="0"/>
    <m/>
    <m/>
    <m/>
    <m/>
  </r>
  <r>
    <n v="413"/>
    <x v="45"/>
    <x v="0"/>
    <x v="0"/>
    <x v="1"/>
    <x v="0"/>
    <x v="22"/>
    <s v="PWEGPL"/>
    <s v="MSEDCL"/>
    <n v="2.5000000000000001E-2"/>
    <s v="CE100001"/>
    <x v="285"/>
    <m/>
    <d v="1899-12-30T17:03:00"/>
    <d v="1899-12-30T17:03:00"/>
    <d v="1899-12-30T17:33:00"/>
    <n v="0"/>
    <n v="0.50000000000000089"/>
    <n v="0.50000000000000089"/>
    <s v="Carbon brush replaced"/>
    <s v="Close"/>
    <n v="1.2500000000000023E-2"/>
    <m/>
    <n v="0"/>
    <m/>
    <m/>
    <m/>
    <n v="0"/>
    <m/>
    <m/>
    <m/>
    <m/>
  </r>
  <r>
    <n v="414"/>
    <x v="45"/>
    <x v="0"/>
    <x v="0"/>
    <x v="1"/>
    <x v="0"/>
    <x v="17"/>
    <s v="PWEGPL"/>
    <s v="MSEDCL"/>
    <n v="2.5000000000000001E-2"/>
    <n v="2114"/>
    <x v="286"/>
    <m/>
    <d v="1899-12-30T09:42:00"/>
    <d v="1899-12-30T10:44:00"/>
    <d v="1899-12-30T16:41:00"/>
    <n v="1.0333333333333337"/>
    <n v="5.95"/>
    <n v="6.9833333333333343"/>
    <s v="Hydraulic valve &amp; F/B module replaced"/>
    <s v="Close"/>
    <n v="0.17458333333333337"/>
    <m/>
    <n v="0"/>
    <m/>
    <m/>
    <m/>
    <n v="0"/>
    <m/>
    <m/>
    <m/>
    <m/>
  </r>
  <r>
    <n v="415"/>
    <x v="45"/>
    <x v="0"/>
    <x v="0"/>
    <x v="1"/>
    <x v="0"/>
    <x v="34"/>
    <s v="PWEGPL"/>
    <s v="MSEDCL"/>
    <n v="2.5000000000000001E-2"/>
    <n v="110"/>
    <x v="287"/>
    <m/>
    <d v="1899-12-30T13:51:00"/>
    <d v="1899-12-30T14:21:00"/>
    <d v="1899-12-30T15:05:00"/>
    <n v="0.50000000000000089"/>
    <n v="0.73333333333333339"/>
    <n v="1.2333333333333343"/>
    <s v="Cable twist removed &amp; started"/>
    <s v="Close"/>
    <n v="3.0833333333333358E-2"/>
    <m/>
    <n v="0"/>
    <m/>
    <m/>
    <m/>
    <n v="0"/>
    <m/>
    <m/>
    <m/>
    <m/>
  </r>
  <r>
    <n v="416"/>
    <x v="45"/>
    <x v="0"/>
    <x v="0"/>
    <x v="1"/>
    <x v="0"/>
    <x v="10"/>
    <s v="PWEGPL"/>
    <s v="MSEDCL"/>
    <n v="2.5000000000000001E-2"/>
    <s v="CE100001"/>
    <x v="288"/>
    <m/>
    <d v="1899-12-30T12:08:00"/>
    <d v="1899-12-30T12:08:00"/>
    <d v="1899-12-30T12:44:00"/>
    <n v="0"/>
    <n v="0.60000000000000053"/>
    <n v="0.60000000000000053"/>
    <s v="Troubleshooting work"/>
    <s v="Close"/>
    <n v="1.5000000000000013E-2"/>
    <m/>
    <n v="0"/>
    <m/>
    <m/>
    <m/>
    <n v="0"/>
    <m/>
    <m/>
    <m/>
    <m/>
  </r>
  <r>
    <n v="417"/>
    <x v="45"/>
    <x v="0"/>
    <x v="0"/>
    <x v="1"/>
    <x v="0"/>
    <x v="12"/>
    <s v="PWEGPL"/>
    <s v="MSEDCL"/>
    <n v="2.5000000000000001E-2"/>
    <s v="CE100001"/>
    <x v="288"/>
    <m/>
    <d v="1899-12-30T01:28:00"/>
    <d v="1899-12-30T01:28:00"/>
    <d v="1899-12-30T02:41:00"/>
    <n v="0"/>
    <n v="1.2166666666666668"/>
    <n v="1.2166666666666668"/>
    <s v="Troubleshooting work"/>
    <s v="Close"/>
    <n v="3.0416666666666672E-2"/>
    <m/>
    <n v="0"/>
    <m/>
    <m/>
    <m/>
    <n v="0"/>
    <m/>
    <m/>
    <m/>
    <m/>
  </r>
  <r>
    <n v="418"/>
    <x v="45"/>
    <x v="0"/>
    <x v="0"/>
    <x v="1"/>
    <x v="0"/>
    <x v="12"/>
    <s v="PWEGPL"/>
    <s v="MSEDCL"/>
    <n v="2.5000000000000001E-2"/>
    <n v="1821"/>
    <x v="289"/>
    <m/>
    <d v="1899-12-30T11:24:00"/>
    <d v="1899-12-30T11:24:00"/>
    <d v="1899-12-30T11:58:00"/>
    <n v="0"/>
    <n v="0.56666666666666599"/>
    <n v="0.56666666666666599"/>
    <s v="MCB charged"/>
    <s v="Close"/>
    <n v="1.416666666666665E-2"/>
    <m/>
    <n v="0"/>
    <m/>
    <m/>
    <m/>
    <n v="0"/>
    <m/>
    <m/>
    <m/>
    <m/>
  </r>
  <r>
    <n v="419"/>
    <x v="45"/>
    <x v="0"/>
    <x v="0"/>
    <x v="1"/>
    <x v="0"/>
    <x v="13"/>
    <s v="PWEGPL"/>
    <s v="MSEDCL"/>
    <n v="2.5000000000000001E-2"/>
    <s v="CE100001"/>
    <x v="288"/>
    <s v="PM"/>
    <d v="1899-12-30T10:10:00"/>
    <d v="1899-12-30T10:10:00"/>
    <d v="1899-12-30T17:39:00"/>
    <n v="0"/>
    <n v="7.4833333333333325"/>
    <n v="7.4833333333333325"/>
    <s v="102 PM service"/>
    <s v="Close"/>
    <n v="0.18708333333333332"/>
    <m/>
    <n v="0"/>
    <m/>
    <m/>
    <m/>
    <n v="0"/>
    <m/>
    <m/>
    <m/>
    <m/>
  </r>
  <r>
    <n v="420"/>
    <x v="46"/>
    <x v="1"/>
    <x v="0"/>
    <x v="2"/>
    <x v="1"/>
    <x v="17"/>
    <s v="PWEGPL"/>
    <s v="MSEDCL"/>
    <n v="2.5000000000000001E-2"/>
    <n v="203"/>
    <x v="290"/>
    <s v="BD"/>
    <d v="1899-12-30T17:29:00"/>
    <d v="1899-12-30T17:45:00"/>
    <d v="1899-12-30T18:06:00"/>
    <n v="0.26666666666666572"/>
    <n v="0.35000000000000142"/>
    <n v="0.61666666666666714"/>
    <s v="Oil Topup"/>
    <s v="Close"/>
    <n v="1.5416666666666679E-2"/>
    <s v="G9"/>
    <n v="6.8119897762345776"/>
    <m/>
    <m/>
    <n v="265.11527777777798"/>
    <n v="6.8119897762345776"/>
    <m/>
    <m/>
    <m/>
    <m/>
  </r>
  <r>
    <n v="421"/>
    <x v="47"/>
    <x v="1"/>
    <x v="0"/>
    <x v="2"/>
    <x v="1"/>
    <x v="17"/>
    <s v="PWEGPL"/>
    <s v="MSEDCL"/>
    <n v="2.5000000000000001E-2"/>
    <n v="202"/>
    <x v="291"/>
    <s v="BD"/>
    <d v="1899-12-30T10:58:00"/>
    <d v="1899-12-30T10:58:00"/>
    <d v="1899-12-30T15:07:00"/>
    <n v="0"/>
    <n v="4.1500000000000004"/>
    <n v="4.1500000000000004"/>
    <s v=" Nacelle main accumulator replaced"/>
    <s v="Close"/>
    <n v="0.10375000000000001"/>
    <s v="G9"/>
    <n v="160.80313368055559"/>
    <m/>
    <m/>
    <n v="929.94583333333344"/>
    <n v="160.80313368055559"/>
    <m/>
    <m/>
    <m/>
    <m/>
  </r>
  <r>
    <n v="422"/>
    <x v="47"/>
    <x v="1"/>
    <x v="0"/>
    <x v="2"/>
    <x v="1"/>
    <x v="28"/>
    <s v="PWEGPL"/>
    <s v="MSEDCL"/>
    <n v="2.5000000000000001E-2"/>
    <n v="110"/>
    <x v="287"/>
    <s v="BD"/>
    <d v="1899-12-30T14:00:00"/>
    <d v="1899-12-30T15:17:00"/>
    <d v="1899-12-30T16:07:00"/>
    <n v="1.2833333333333314"/>
    <n v="0.8333333333333357"/>
    <n v="2.1166666666666671"/>
    <s v="Cable twisting removed"/>
    <s v="Close"/>
    <n v="5.2916666666666681E-2"/>
    <s v="G11"/>
    <n v="62.80167148919756"/>
    <m/>
    <m/>
    <n v="712.08194444444462"/>
    <n v="62.80167148919756"/>
    <m/>
    <m/>
    <m/>
    <m/>
  </r>
  <r>
    <n v="423"/>
    <x v="47"/>
    <x v="1"/>
    <x v="0"/>
    <x v="2"/>
    <x v="1"/>
    <x v="35"/>
    <s v="PWEGPL"/>
    <s v="MSEDCL"/>
    <n v="2.5000000000000001E-2"/>
    <n v="907"/>
    <x v="292"/>
    <s v="BD"/>
    <d v="1899-12-30T12:09:00"/>
    <d v="1899-12-30T12:09:00"/>
    <d v="1899-12-30T12:31:00"/>
    <n v="0"/>
    <n v="0.36666666666666803"/>
    <n v="0.36666666666666803"/>
    <s v="Reset"/>
    <s v="Close"/>
    <n v="9.1666666666667014E-3"/>
    <s v="G25"/>
    <n v="1.3327739197530961"/>
    <m/>
    <m/>
    <n v="87.236111111111427"/>
    <n v="1.3327739197530961"/>
    <m/>
    <m/>
    <m/>
    <m/>
  </r>
  <r>
    <n v="424"/>
    <x v="47"/>
    <x v="1"/>
    <x v="0"/>
    <x v="2"/>
    <x v="1"/>
    <x v="12"/>
    <s v="PWEGPL"/>
    <s v="MSEDCL"/>
    <n v="2.5000000000000001E-2"/>
    <n v="2118"/>
    <x v="293"/>
    <s v="BD"/>
    <d v="1899-12-30T18:47:00"/>
    <d v="1899-12-30T22:23:00"/>
    <d v="1899-12-30T23:59:00"/>
    <n v="3.5999999999999979"/>
    <n v="1.5999999999999996"/>
    <n v="5.1999999999999975"/>
    <s v="Slipring &amp; F/B module replaced"/>
    <s v="Close"/>
    <n v="0.12999999999999995"/>
    <s v="G32"/>
    <n v="231.81166666666644"/>
    <m/>
    <m/>
    <n v="1069.8999999999994"/>
    <n v="231.81166666666644"/>
    <m/>
    <m/>
    <m/>
    <m/>
  </r>
  <r>
    <n v="425"/>
    <x v="47"/>
    <x v="1"/>
    <x v="0"/>
    <x v="2"/>
    <x v="1"/>
    <x v="3"/>
    <s v="PWEGPL"/>
    <s v="MSEDCL"/>
    <n v="2.5000000000000001E-2"/>
    <n v="110"/>
    <x v="287"/>
    <s v="BD"/>
    <d v="1899-12-30T14:06:00"/>
    <d v="1899-12-30T14:06:00"/>
    <d v="1899-12-30T15:00:00"/>
    <n v="0"/>
    <n v="0.89999999999999947"/>
    <n v="0.89999999999999947"/>
    <s v="Cable twisting removed"/>
    <s v="Close"/>
    <n v="2.2499999999999989E-2"/>
    <s v="G26"/>
    <n v="8.035312499999991"/>
    <m/>
    <m/>
    <n v="214.27499999999989"/>
    <n v="8.035312499999991"/>
    <m/>
    <m/>
    <m/>
    <m/>
  </r>
  <r>
    <n v="426"/>
    <x v="47"/>
    <x v="1"/>
    <x v="0"/>
    <x v="2"/>
    <x v="1"/>
    <x v="7"/>
    <s v="PWEGPL"/>
    <s v="MSEDCL"/>
    <n v="2.5000000000000001E-2"/>
    <n v="110"/>
    <x v="287"/>
    <s v="BD"/>
    <d v="1899-12-30T13:43:00"/>
    <d v="1899-12-30T15:08:00"/>
    <d v="1899-12-30T15:50:00"/>
    <n v="1.416666666666667"/>
    <n v="0.70000000000000018"/>
    <n v="2.1166666666666671"/>
    <s v="Cable twisting removed"/>
    <s v="Close"/>
    <n v="5.2916666666666681E-2"/>
    <s v="G39"/>
    <n v="40.695856481481506"/>
    <m/>
    <m/>
    <n v="461.43333333333345"/>
    <n v="40.695856481481506"/>
    <m/>
    <m/>
    <m/>
    <m/>
  </r>
  <r>
    <n v="427"/>
    <x v="48"/>
    <x v="1"/>
    <x v="0"/>
    <x v="2"/>
    <x v="1"/>
    <x v="22"/>
    <s v="PWEGPL"/>
    <s v="MSEDCL"/>
    <n v="2.5000000000000001E-2"/>
    <n v="5203"/>
    <x v="294"/>
    <s v="BD"/>
    <d v="1899-12-30T01:31:00"/>
    <d v="1899-12-30T04:10:00"/>
    <d v="1899-12-30T14:53:00"/>
    <n v="2.6500000000000004"/>
    <n v="10.716666666666665"/>
    <n v="13.366666666666667"/>
    <s v="Radiator Motor replaced"/>
    <s v="Close"/>
    <n v="0.33416666666666672"/>
    <s v="G4"/>
    <n v="3863.6906944444445"/>
    <m/>
    <m/>
    <n v="6937.3"/>
    <n v="3863.6906944444445"/>
    <m/>
    <m/>
    <m/>
    <m/>
  </r>
  <r>
    <n v="428"/>
    <x v="48"/>
    <x v="1"/>
    <x v="0"/>
    <x v="2"/>
    <x v="1"/>
    <x v="17"/>
    <s v="PWEGPL"/>
    <s v="MSEDCL"/>
    <n v="2.5000000000000001E-2"/>
    <n v="2114"/>
    <x v="286"/>
    <s v="BD"/>
    <d v="1899-12-30T11:09:00"/>
    <d v="1899-12-30T11:46:00"/>
    <d v="1899-12-30T16:21:00"/>
    <n v="0.61666666666666714"/>
    <n v="4.583333333333333"/>
    <n v="5.2"/>
    <s v="Reset"/>
    <s v="Close"/>
    <n v="0.13"/>
    <s v="G9"/>
    <n v="503.62000000000006"/>
    <m/>
    <m/>
    <n v="2324.4"/>
    <n v="503.62000000000006"/>
    <m/>
    <m/>
    <m/>
    <m/>
  </r>
  <r>
    <n v="429"/>
    <x v="48"/>
    <x v="1"/>
    <x v="0"/>
    <x v="2"/>
    <x v="1"/>
    <x v="17"/>
    <s v="PWEGPL"/>
    <s v="MSEDCL"/>
    <n v="2.5000000000000001E-2"/>
    <n v="2114"/>
    <x v="286"/>
    <s v="BD"/>
    <d v="1899-12-30T16:57:00"/>
    <d v="1899-12-30T17:15:00"/>
    <d v="1899-12-30T17:49:00"/>
    <n v="0.3000000000000016"/>
    <n v="0.56666666666666732"/>
    <n v="0.86666666666666892"/>
    <s v="Reset"/>
    <s v="Close"/>
    <n v="2.1666666666666723E-2"/>
    <s v="G9"/>
    <n v="13.989444444444517"/>
    <m/>
    <m/>
    <n v="387.400000000001"/>
    <n v="13.989444444444517"/>
    <m/>
    <m/>
    <m/>
    <m/>
  </r>
  <r>
    <n v="430"/>
    <x v="48"/>
    <x v="1"/>
    <x v="0"/>
    <x v="2"/>
    <x v="1"/>
    <x v="38"/>
    <s v="PWEGPL"/>
    <s v="MSEDCL"/>
    <n v="2.5000000000000001E-2"/>
    <n v="203"/>
    <x v="290"/>
    <s v="BD"/>
    <d v="1899-12-30T04:07:00"/>
    <d v="1899-12-30T05:33:00"/>
    <d v="1899-12-30T06:08:00"/>
    <n v="1.4333333333333336"/>
    <n v="0.58333333333333459"/>
    <n v="2.0166666666666684"/>
    <s v="Reset"/>
    <s v="Close"/>
    <n v="5.0416666666666714E-2"/>
    <s v="G19"/>
    <n v="89.190351080247055"/>
    <m/>
    <m/>
    <n v="1061.4388888888898"/>
    <n v="89.190351080247055"/>
    <m/>
    <m/>
    <m/>
    <m/>
  </r>
  <r>
    <n v="431"/>
    <x v="48"/>
    <x v="1"/>
    <x v="0"/>
    <x v="2"/>
    <x v="1"/>
    <x v="38"/>
    <s v="PWEGPL"/>
    <s v="MSEDCL"/>
    <n v="2.5000000000000001E-2"/>
    <n v="110"/>
    <x v="287"/>
    <s v="BD"/>
    <d v="1899-12-30T14:36:00"/>
    <d v="1899-12-30T15:11:00"/>
    <d v="1899-12-30T15:56:00"/>
    <n v="0.58333333333333393"/>
    <n v="0.75"/>
    <n v="1.3333333333333339"/>
    <s v="Cable twist removed &amp; started"/>
    <s v="Close"/>
    <n v="3.3333333333333347E-2"/>
    <s v="G19"/>
    <n v="38.987654320987694"/>
    <m/>
    <m/>
    <n v="701.77777777777817"/>
    <n v="38.987654320987694"/>
    <m/>
    <m/>
    <m/>
    <m/>
  </r>
  <r>
    <n v="432"/>
    <x v="48"/>
    <x v="1"/>
    <x v="0"/>
    <x v="2"/>
    <x v="1"/>
    <x v="36"/>
    <s v="PWEGPL"/>
    <s v="MSEDCL"/>
    <n v="2.5000000000000001E-2"/>
    <s v="CE100007"/>
    <x v="295"/>
    <s v="Audit"/>
    <d v="1899-12-30T12:07:00"/>
    <d v="1899-12-30T12:07:00"/>
    <d v="1899-12-30T15:18:00"/>
    <n v="0"/>
    <n v="3.1833333333333353"/>
    <n v="3.1833333333333353"/>
    <s v="LC taken for DP-yard yearly maintenance"/>
    <s v="Close"/>
    <n v="7.9583333333333395E-2"/>
    <s v="G26"/>
    <n v="194.3331047453706"/>
    <m/>
    <m/>
    <n v="1465.1291666666675"/>
    <n v="194.3331047453706"/>
    <m/>
    <m/>
    <m/>
    <m/>
  </r>
  <r>
    <n v="433"/>
    <x v="48"/>
    <x v="1"/>
    <x v="0"/>
    <x v="2"/>
    <x v="1"/>
    <x v="8"/>
    <s v="PWEGPL"/>
    <s v="MSEDCL"/>
    <n v="2.5000000000000001E-2"/>
    <s v="CE100007"/>
    <x v="295"/>
    <s v="Audit"/>
    <d v="1899-12-30T12:07:00"/>
    <d v="1899-12-30T12:07:00"/>
    <d v="1899-12-30T15:18:00"/>
    <n v="0"/>
    <n v="3.1833333333333353"/>
    <n v="3.1833333333333353"/>
    <s v="LC taken for DP-yard yearly maintenance"/>
    <s v="Close"/>
    <n v="7.9583333333333395E-2"/>
    <s v="G28"/>
    <n v="176.00112075617307"/>
    <m/>
    <m/>
    <n v="1326.9194444444452"/>
    <n v="176.00112075617307"/>
    <m/>
    <m/>
    <m/>
    <m/>
  </r>
  <r>
    <n v="434"/>
    <x v="48"/>
    <x v="1"/>
    <x v="0"/>
    <x v="2"/>
    <x v="1"/>
    <x v="9"/>
    <s v="PWEGPL"/>
    <s v="MSEDCL"/>
    <n v="2.5000000000000001E-2"/>
    <s v="CE100007"/>
    <x v="295"/>
    <s v="Audit"/>
    <d v="1899-12-30T12:07:00"/>
    <d v="1899-12-30T12:07:00"/>
    <d v="1899-12-30T15:18:00"/>
    <n v="0"/>
    <n v="3.1833333333333353"/>
    <n v="3.1833333333333353"/>
    <s v="LC taken for DP-yard yearly maintenance"/>
    <s v="Close"/>
    <n v="7.9583333333333395E-2"/>
    <s v="G29"/>
    <n v="186.87364101080271"/>
    <m/>
    <m/>
    <n v="1408.8902777777787"/>
    <n v="186.87364101080271"/>
    <m/>
    <m/>
    <m/>
    <m/>
  </r>
  <r>
    <n v="435"/>
    <x v="48"/>
    <x v="1"/>
    <x v="0"/>
    <x v="2"/>
    <x v="1"/>
    <x v="10"/>
    <s v="PWEGPL"/>
    <s v="MSEDCL"/>
    <n v="2.5000000000000001E-2"/>
    <s v="CE100007"/>
    <x v="295"/>
    <s v="Audit"/>
    <d v="1899-12-30T12:07:00"/>
    <d v="1899-12-30T12:07:00"/>
    <d v="1899-12-30T15:18:00"/>
    <n v="0"/>
    <n v="3.1833333333333353"/>
    <n v="3.1833333333333353"/>
    <s v="LC taken for DP-yard yearly maintenance"/>
    <s v="Close"/>
    <n v="7.9583333333333395E-2"/>
    <s v="G30"/>
    <n v="195.24794463734594"/>
    <m/>
    <m/>
    <n v="1472.0263888888899"/>
    <n v="195.24794463734594"/>
    <m/>
    <m/>
    <m/>
    <m/>
  </r>
  <r>
    <n v="436"/>
    <x v="48"/>
    <x v="1"/>
    <x v="0"/>
    <x v="2"/>
    <x v="1"/>
    <x v="11"/>
    <s v="PWEGPL"/>
    <s v="MSEDCL"/>
    <n v="2.5000000000000001E-2"/>
    <s v="CE100007"/>
    <x v="295"/>
    <s v="Audit"/>
    <d v="1899-12-30T12:07:00"/>
    <d v="1899-12-30T12:07:00"/>
    <d v="1899-12-30T15:18:00"/>
    <n v="0"/>
    <n v="3.1833333333333353"/>
    <n v="3.1833333333333353"/>
    <s v="LC taken for DP-yard yearly maintenance"/>
    <s v="Close"/>
    <n v="7.9583333333333395E-2"/>
    <s v="G31"/>
    <n v="181.52534625771628"/>
    <m/>
    <m/>
    <n v="1368.5680555555564"/>
    <n v="181.52534625771628"/>
    <m/>
    <m/>
    <m/>
    <m/>
  </r>
  <r>
    <n v="437"/>
    <x v="48"/>
    <x v="1"/>
    <x v="0"/>
    <x v="2"/>
    <x v="1"/>
    <x v="12"/>
    <s v="PWEGPL"/>
    <s v="MSEDCL"/>
    <n v="2.5000000000000001E-2"/>
    <s v="CE100007"/>
    <x v="295"/>
    <s v="Audit"/>
    <d v="1899-12-30T12:07:00"/>
    <d v="1899-12-30T12:07:00"/>
    <d v="1899-12-30T15:18:00"/>
    <n v="0"/>
    <n v="3.1833333333333353"/>
    <n v="3.1833333333333353"/>
    <s v="LC taken for DP-yard yearly maintenance"/>
    <s v="Close"/>
    <n v="7.9583333333333395E-2"/>
    <s v="G32"/>
    <n v="177.93635898919777"/>
    <m/>
    <m/>
    <n v="1341.5097222222232"/>
    <n v="177.93635898919777"/>
    <m/>
    <m/>
    <m/>
    <m/>
  </r>
  <r>
    <n v="438"/>
    <x v="48"/>
    <x v="1"/>
    <x v="0"/>
    <x v="2"/>
    <x v="1"/>
    <x v="9"/>
    <s v="PWEGPL"/>
    <s v="MSEDCL"/>
    <n v="2.5000000000000001E-2"/>
    <n v="2509"/>
    <x v="201"/>
    <s v="Audit"/>
    <d v="1899-12-30T17:21:00"/>
    <d v="1899-12-30T17:21:00"/>
    <d v="1899-12-30T19:50:00"/>
    <n v="0"/>
    <n v="2.4833333333333298"/>
    <n v="2.4833333333333298"/>
    <s v="SF6 Breaker Charged &amp; started"/>
    <s v="Close"/>
    <n v="6.2083333333333247E-2"/>
    <s v="G29"/>
    <n v="113.72445119598733"/>
    <m/>
    <m/>
    <n v="1099.0819444444428"/>
    <n v="113.72445119598733"/>
    <m/>
    <m/>
    <m/>
    <m/>
  </r>
  <r>
    <n v="439"/>
    <x v="48"/>
    <x v="1"/>
    <x v="0"/>
    <x v="2"/>
    <x v="1"/>
    <x v="16"/>
    <s v="PWEGPL"/>
    <s v="MSEDCL"/>
    <n v="2.5000000000000001E-2"/>
    <s v="CE100010"/>
    <x v="296"/>
    <s v="PM"/>
    <d v="1899-12-30T10:24:00"/>
    <d v="1899-12-30T10:24:00"/>
    <d v="1899-12-30T17:25:00"/>
    <n v="0"/>
    <n v="7.0166666666666684"/>
    <n v="7.0166666666666684"/>
    <s v="102 PM service"/>
    <s v="Close"/>
    <n v="0.17541666666666672"/>
    <s v="G37"/>
    <n v="904.66760416666716"/>
    <m/>
    <m/>
    <n v="3094.3500000000008"/>
    <n v="904.66760416666716"/>
    <m/>
    <m/>
    <m/>
    <m/>
  </r>
  <r>
    <n v="440"/>
    <x v="49"/>
    <x v="1"/>
    <x v="0"/>
    <x v="2"/>
    <x v="1"/>
    <x v="17"/>
    <s v="PWEGPL"/>
    <s v="MSEDCL"/>
    <n v="2.5000000000000001E-2"/>
    <n v="203"/>
    <x v="290"/>
    <s v="BD"/>
    <d v="1899-12-30T05:24:00"/>
    <d v="1899-12-30T06:45:00"/>
    <d v="1899-12-30T06:52:00"/>
    <n v="1.3499999999999999"/>
    <n v="0.11666666666666758"/>
    <n v="1.4666666666666675"/>
    <s v="Pressure sensor replaced"/>
    <s v="Close"/>
    <n v="3.6666666666666688E-2"/>
    <s v="G9"/>
    <n v="21.97419753086422"/>
    <m/>
    <m/>
    <n v="359.57777777777795"/>
    <n v="21.97419753086422"/>
    <m/>
    <m/>
    <m/>
    <m/>
  </r>
  <r>
    <n v="441"/>
    <x v="49"/>
    <x v="1"/>
    <x v="0"/>
    <x v="2"/>
    <x v="1"/>
    <x v="17"/>
    <s v="PWEGPL"/>
    <s v="MSEDCL"/>
    <n v="2.5000000000000001E-2"/>
    <n v="203"/>
    <x v="290"/>
    <s v="BD"/>
    <d v="1899-12-30T10:18:00"/>
    <d v="1899-12-30T12:25:00"/>
    <d v="1899-12-30T13:54:00"/>
    <n v="2.1166666666666645"/>
    <n v="1.4833333333333361"/>
    <n v="3.6000000000000005"/>
    <s v="F/B module replaced"/>
    <s v="Close"/>
    <n v="9.0000000000000024E-2"/>
    <s v="G9"/>
    <n v="132.39000000000004"/>
    <m/>
    <m/>
    <n v="882.60000000000014"/>
    <n v="132.39000000000004"/>
    <m/>
    <m/>
    <m/>
    <m/>
  </r>
  <r>
    <n v="442"/>
    <x v="49"/>
    <x v="1"/>
    <x v="0"/>
    <x v="2"/>
    <x v="1"/>
    <x v="17"/>
    <s v="PWEGPL"/>
    <s v="MSEDCL"/>
    <n v="2.5000000000000001E-2"/>
    <n v="203"/>
    <x v="290"/>
    <s v="BD"/>
    <d v="1899-12-30T17:05:00"/>
    <d v="1899-12-30T18:44:00"/>
    <d v="1899-12-30T18:51:00"/>
    <n v="1.6500000000000021"/>
    <n v="0.11666666666666892"/>
    <n v="1.766666666666671"/>
    <s v="Troubleshooting done &amp; Reset "/>
    <s v="Close"/>
    <n v="4.4166666666666778E-2"/>
    <s v="G9"/>
    <n v="31.883016975308799"/>
    <m/>
    <m/>
    <n v="433.12777777777882"/>
    <n v="31.883016975308799"/>
    <m/>
    <m/>
    <m/>
    <m/>
  </r>
  <r>
    <n v="443"/>
    <x v="49"/>
    <x v="1"/>
    <x v="0"/>
    <x v="2"/>
    <x v="1"/>
    <x v="35"/>
    <s v="PWEGPL"/>
    <s v="MSEDCL"/>
    <n v="2.5000000000000001E-2"/>
    <n v="907"/>
    <x v="292"/>
    <s v="BD"/>
    <d v="1899-12-30T11:11:00"/>
    <d v="1899-12-30T13:40:00"/>
    <d v="1899-12-30T14:27:00"/>
    <n v="2.4833333333333325"/>
    <n v="0.78333333333333321"/>
    <n v="3.2666666666666657"/>
    <s v="Reset"/>
    <s v="Close"/>
    <n v="8.1666666666666651E-2"/>
    <s v="G25"/>
    <n v="140.35475308641966"/>
    <m/>
    <m/>
    <n v="1031.1777777777775"/>
    <n v="140.35475308641966"/>
    <m/>
    <m/>
    <m/>
    <m/>
  </r>
  <r>
    <n v="444"/>
    <x v="49"/>
    <x v="1"/>
    <x v="0"/>
    <x v="2"/>
    <x v="1"/>
    <x v="35"/>
    <s v="PWEGPL"/>
    <s v="MSEDCL"/>
    <n v="2.5000000000000001E-2"/>
    <n v="907"/>
    <x v="292"/>
    <s v="BD"/>
    <d v="1899-12-30T15:43:00"/>
    <d v="1899-12-30T17:08:00"/>
    <d v="1899-12-30T18:51:00"/>
    <n v="1.416666666666667"/>
    <n v="1.7166666666666686"/>
    <n v="3.1333333333333355"/>
    <s v="Yawing contactor replaced"/>
    <s v="Close"/>
    <n v="7.8333333333333394E-2"/>
    <s v="G25"/>
    <n v="129.13104938271624"/>
    <m/>
    <m/>
    <n v="989.08888888888964"/>
    <n v="129.13104938271624"/>
    <m/>
    <m/>
    <m/>
    <m/>
  </r>
  <r>
    <n v="445"/>
    <x v="49"/>
    <x v="1"/>
    <x v="0"/>
    <x v="2"/>
    <x v="1"/>
    <x v="15"/>
    <s v="PWEGPL"/>
    <s v="MSEDCL"/>
    <n v="2.5000000000000001E-2"/>
    <s v="CE100010"/>
    <x v="296"/>
    <s v="PM"/>
    <d v="1899-12-30T10:30:00"/>
    <d v="1899-12-30T10:30:00"/>
    <d v="1899-12-30T18:02:00"/>
    <n v="0"/>
    <n v="7.5333333333333359"/>
    <n v="7.5333333333333359"/>
    <s v="102 PM service"/>
    <s v="Close"/>
    <n v="0.18833333333333341"/>
    <s v="G36"/>
    <n v="769.29283950617344"/>
    <m/>
    <m/>
    <n v="2450.8444444444453"/>
    <n v="769.29283950617344"/>
    <m/>
    <m/>
    <m/>
    <m/>
  </r>
  <r>
    <n v="446"/>
    <x v="49"/>
    <x v="1"/>
    <x v="0"/>
    <x v="2"/>
    <x v="1"/>
    <x v="4"/>
    <s v="PWEGPL"/>
    <s v="MSEDCL"/>
    <n v="2.5000000000000001E-2"/>
    <n v="550"/>
    <x v="297"/>
    <s v="BD"/>
    <d v="1899-12-30T20:51:00"/>
    <d v="1899-12-30T21:59:00"/>
    <d v="1899-12-30T22:18:00"/>
    <n v="1.1333333333333346"/>
    <n v="0.31666666666666554"/>
    <n v="1.4500000000000002"/>
    <s v="MCB charged"/>
    <s v="Close"/>
    <n v="3.6250000000000004E-2"/>
    <s v="G38"/>
    <n v="24.85768229166667"/>
    <m/>
    <m/>
    <n v="411.43750000000006"/>
    <n v="24.85768229166667"/>
    <m/>
    <m/>
    <m/>
    <m/>
  </r>
  <r>
    <n v="447"/>
    <x v="49"/>
    <x v="1"/>
    <x v="0"/>
    <x v="2"/>
    <x v="1"/>
    <x v="7"/>
    <s v="PWEGPL"/>
    <s v="MSEDCL"/>
    <n v="2.5000000000000001E-2"/>
    <n v="800"/>
    <x v="298"/>
    <s v="BD"/>
    <d v="1899-12-30T12:01:00"/>
    <d v="1899-12-30T13:40:00"/>
    <d v="1899-12-30T18:14:00"/>
    <n v="1.6499999999999995"/>
    <n v="4.5666666666666691"/>
    <n v="6.2166666666666686"/>
    <s v="Pitching relay &amp; F/B module replaced"/>
    <s v="Close"/>
    <n v="0.15541666666666673"/>
    <s v="G39"/>
    <n v="494.49302179783973"/>
    <m/>
    <m/>
    <n v="1909.0347222222226"/>
    <n v="494.49302179783973"/>
    <m/>
    <m/>
    <m/>
    <m/>
  </r>
  <r>
    <n v="448"/>
    <x v="50"/>
    <x v="1"/>
    <x v="0"/>
    <x v="2"/>
    <x v="1"/>
    <x v="17"/>
    <s v="PWEGPL"/>
    <s v="MSEDCL"/>
    <n v="2.5000000000000001E-2"/>
    <n v="203"/>
    <x v="290"/>
    <s v="BD"/>
    <d v="1899-12-30T00:22:00"/>
    <d v="1899-12-30T00:47:00"/>
    <d v="1899-12-30T00:49:00"/>
    <n v="0.41666666666666669"/>
    <n v="3.3333333333333215E-2"/>
    <n v="0.4499999999999999"/>
    <s v="Reset "/>
    <s v="Close"/>
    <n v="1.1249999999999998E-2"/>
    <s v="G9"/>
    <n v="1.3338281249999995"/>
    <m/>
    <m/>
    <n v="71.137499999999989"/>
    <n v="1.3338281249999995"/>
    <m/>
    <m/>
    <m/>
    <m/>
  </r>
  <r>
    <n v="449"/>
    <x v="50"/>
    <x v="1"/>
    <x v="0"/>
    <x v="2"/>
    <x v="1"/>
    <x v="17"/>
    <s v="PWEGPL"/>
    <s v="MSEDCL"/>
    <n v="2.5000000000000001E-2"/>
    <n v="203"/>
    <x v="290"/>
    <s v="BD"/>
    <d v="1899-12-30T03:27:00"/>
    <d v="1899-12-30T03:27:00"/>
    <d v="1899-12-30T05:38:00"/>
    <n v="0"/>
    <n v="2.1833333333333322"/>
    <n v="2.1833333333333322"/>
    <s v="Reset"/>
    <s v="Close"/>
    <n v="5.458333333333331E-2"/>
    <s v="G9"/>
    <n v="31.398936149691327"/>
    <m/>
    <m/>
    <n v="345.14861111111094"/>
    <n v="31.398936149691327"/>
    <m/>
    <m/>
    <m/>
    <m/>
  </r>
  <r>
    <n v="450"/>
    <x v="50"/>
    <x v="1"/>
    <x v="0"/>
    <x v="2"/>
    <x v="1"/>
    <x v="17"/>
    <s v="PWEGPL"/>
    <s v="MSEDCL"/>
    <n v="2.5000000000000001E-2"/>
    <n v="203"/>
    <x v="290"/>
    <s v="BD"/>
    <d v="1899-12-30T09:10:00"/>
    <d v="1899-12-30T10:35:00"/>
    <d v="1899-12-30T14:05:00"/>
    <n v="1.4166666666666683"/>
    <n v="3.4999999999999996"/>
    <n v="4.9166666666666679"/>
    <s v=" Loose connection tightened"/>
    <s v="Close"/>
    <n v="0.1229166666666667"/>
    <s v="G9"/>
    <n v="159.22687596450626"/>
    <m/>
    <m/>
    <n v="777.24305555555577"/>
    <n v="159.22687596450626"/>
    <m/>
    <m/>
    <m/>
    <m/>
  </r>
  <r>
    <n v="451"/>
    <x v="50"/>
    <x v="1"/>
    <x v="0"/>
    <x v="2"/>
    <x v="1"/>
    <x v="1"/>
    <s v="PWEGPL"/>
    <s v="MSEDCL"/>
    <n v="2.5000000000000001E-2"/>
    <n v="5201"/>
    <x v="299"/>
    <s v="BD"/>
    <d v="1899-12-30T09:27:00"/>
    <d v="1899-12-30T11:57:00"/>
    <d v="1899-12-30T12:31:00"/>
    <n v="2.4999999999999991"/>
    <n v="0.56666666666666865"/>
    <n v="3.0666666666666678"/>
    <s v="Reset"/>
    <s v="Close"/>
    <n v="7.6666666666666702E-2"/>
    <s v="G24"/>
    <n v="63.675925925925974"/>
    <m/>
    <m/>
    <n v="498.33333333333348"/>
    <n v="63.675925925925974"/>
    <m/>
    <m/>
    <m/>
    <m/>
  </r>
  <r>
    <n v="452"/>
    <x v="50"/>
    <x v="1"/>
    <x v="0"/>
    <x v="2"/>
    <x v="1"/>
    <x v="3"/>
    <s v="PWEGPL"/>
    <s v="MSEDCL"/>
    <n v="2.5000000000000001E-2"/>
    <n v="402"/>
    <x v="300"/>
    <s v="BD"/>
    <d v="1899-12-30T14:42:00"/>
    <d v="1899-12-30T14:42:00"/>
    <d v="1899-12-30T15:20:00"/>
    <n v="0"/>
    <n v="0.63333333333333641"/>
    <n v="0.63333333333333641"/>
    <s v="Oil leakage arrested"/>
    <s v="Close"/>
    <n v="1.5833333333333411E-2"/>
    <s v="G26"/>
    <n v="2.1601504629629837"/>
    <m/>
    <m/>
    <n v="81.858333333333732"/>
    <n v="2.1601504629629837"/>
    <m/>
    <m/>
    <m/>
    <m/>
  </r>
  <r>
    <n v="453"/>
    <x v="50"/>
    <x v="1"/>
    <x v="0"/>
    <x v="2"/>
    <x v="1"/>
    <x v="4"/>
    <s v="PWEGPL"/>
    <s v="MSEDCL"/>
    <n v="2.5000000000000001E-2"/>
    <s v="CE100010"/>
    <x v="296"/>
    <s v="PM"/>
    <d v="1899-12-30T10:48:00"/>
    <d v="1899-12-30T10:48:00"/>
    <d v="1899-12-30T17:42:00"/>
    <n v="0"/>
    <n v="6.8999999999999986"/>
    <n v="6.8999999999999986"/>
    <s v="102 PM service"/>
    <s v="Close"/>
    <n v="0.17249999999999999"/>
    <s v="G38"/>
    <n v="223.33718749999991"/>
    <m/>
    <m/>
    <n v="776.82499999999982"/>
    <n v="223.33718749999991"/>
    <m/>
    <m/>
    <m/>
    <m/>
  </r>
  <r>
    <n v="454"/>
    <x v="50"/>
    <x v="1"/>
    <x v="0"/>
    <x v="2"/>
    <x v="1"/>
    <x v="7"/>
    <s v="PWEGPL"/>
    <s v="MSEDCL"/>
    <n v="2.5000000000000001E-2"/>
    <n v="5203"/>
    <x v="294"/>
    <s v="BD"/>
    <d v="1899-12-30T05:59:00"/>
    <d v="1899-12-30T09:23:00"/>
    <d v="1899-12-30T14:33:00"/>
    <n v="3.4"/>
    <n v="5.1666666666666679"/>
    <n v="8.5666666666666682"/>
    <s v="MPCB charged"/>
    <s v="Close"/>
    <n v="0.21416666666666673"/>
    <s v="G39"/>
    <n v="367.1937075617285"/>
    <m/>
    <m/>
    <n v="1028.713888888889"/>
    <n v="367.1937075617285"/>
    <m/>
    <m/>
    <m/>
    <m/>
  </r>
  <r>
    <n v="455"/>
    <x v="51"/>
    <x v="1"/>
    <x v="0"/>
    <x v="2"/>
    <x v="1"/>
    <x v="17"/>
    <s v="PWEGPL"/>
    <s v="MSEDCL"/>
    <n v="2.5000000000000001E-2"/>
    <n v="509"/>
    <x v="301"/>
    <s v="BD"/>
    <d v="1899-12-30T20:32:00"/>
    <d v="1899-12-30T22:01:00"/>
    <d v="1899-12-30T23:59:00"/>
    <n v="1.4833333333333307"/>
    <n v="1.9666666666666677"/>
    <n v="3.4499999999999984"/>
    <s v="Filter cleaned"/>
    <s v="Close"/>
    <n v="8.6249999999999966E-2"/>
    <s v="G9"/>
    <n v="100.01406249999989"/>
    <m/>
    <m/>
    <n v="695.74999999999966"/>
    <n v="100.01406249999989"/>
    <m/>
    <m/>
    <m/>
    <m/>
  </r>
  <r>
    <n v="456"/>
    <x v="51"/>
    <x v="1"/>
    <x v="0"/>
    <x v="2"/>
    <x v="1"/>
    <x v="38"/>
    <s v="PWEGPL"/>
    <s v="MSEDCL"/>
    <n v="2.5000000000000001E-2"/>
    <n v="500"/>
    <x v="302"/>
    <s v="BD"/>
    <d v="1899-12-30T17:00:00"/>
    <d v="1899-12-30T18:05:00"/>
    <d v="1899-12-30T18:36:00"/>
    <n v="1.0833333333333321"/>
    <n v="0.5166666666666675"/>
    <n v="1.5999999999999996"/>
    <s v="Reset"/>
    <s v="Close"/>
    <n v="3.9999999999999994E-2"/>
    <s v="G19"/>
    <n v="23.955555555555545"/>
    <m/>
    <m/>
    <n v="359.33333333333326"/>
    <n v="23.955555555555545"/>
    <m/>
    <m/>
    <m/>
    <m/>
  </r>
  <r>
    <n v="457"/>
    <x v="51"/>
    <x v="1"/>
    <x v="0"/>
    <x v="2"/>
    <x v="1"/>
    <x v="38"/>
    <s v="PWEGPL"/>
    <s v="MSEDCL"/>
    <n v="2.5000000000000001E-2"/>
    <n v="500"/>
    <x v="302"/>
    <s v="BD"/>
    <d v="1899-12-30T19:41:00"/>
    <d v="1899-12-30T20:07:00"/>
    <d v="1899-12-30T23:59:00"/>
    <n v="0.43333333333333446"/>
    <n v="3.8666666666666663"/>
    <n v="4.3000000000000007"/>
    <s v="Cooling motor replaced"/>
    <s v="Close"/>
    <n v="0.10750000000000003"/>
    <s v="G19"/>
    <n v="173.02274305555562"/>
    <m/>
    <m/>
    <n v="965.70833333333348"/>
    <n v="173.02274305555562"/>
    <m/>
    <m/>
    <m/>
    <m/>
  </r>
  <r>
    <n v="458"/>
    <x v="51"/>
    <x v="1"/>
    <x v="0"/>
    <x v="2"/>
    <x v="1"/>
    <x v="13"/>
    <s v="PWEGPL"/>
    <s v="MSEDCL"/>
    <n v="2.5000000000000001E-2"/>
    <n v="100"/>
    <x v="303"/>
    <s v="BD"/>
    <d v="1899-12-30T11:00:00"/>
    <d v="1899-12-30T12:11:00"/>
    <d v="1899-12-30T12:45:00"/>
    <n v="1.1833333333333331"/>
    <n v="0.56666666666666732"/>
    <n v="1.7500000000000004"/>
    <s v="Cable twist removed &amp; started"/>
    <s v="Close"/>
    <n v="4.3750000000000011E-2"/>
    <s v="G34"/>
    <n v="25.169921875000014"/>
    <m/>
    <m/>
    <n v="345.18750000000011"/>
    <n v="25.169921875000014"/>
    <m/>
    <m/>
    <m/>
    <m/>
  </r>
  <r>
    <n v="459"/>
    <x v="51"/>
    <x v="1"/>
    <x v="0"/>
    <x v="2"/>
    <x v="1"/>
    <x v="5"/>
    <s v="PWEGPL"/>
    <s v="MSEDCL"/>
    <n v="2.5000000000000001E-2"/>
    <s v="CE100010"/>
    <x v="296"/>
    <s v="PM"/>
    <d v="1899-12-30T10:31:00"/>
    <d v="1899-12-30T10:31:00"/>
    <d v="1899-12-30T18:09:00"/>
    <n v="0"/>
    <n v="7.6333333333333311"/>
    <n v="7.6333333333333311"/>
    <s v="102 PM service"/>
    <s v="Close"/>
    <n v="0.1908333333333333"/>
    <s v="G39"/>
    <n v="472.61641975308612"/>
    <m/>
    <m/>
    <n v="1485.9555555555551"/>
    <n v="472.61641975308612"/>
    <m/>
    <m/>
    <m/>
    <m/>
  </r>
  <r>
    <n v="460"/>
    <x v="52"/>
    <x v="1"/>
    <x v="0"/>
    <x v="2"/>
    <x v="1"/>
    <x v="17"/>
    <s v="PWEGPL"/>
    <s v="MSEDCL"/>
    <n v="2.5000000000000001E-2"/>
    <n v="509"/>
    <x v="301"/>
    <s v="BD"/>
    <d v="1899-12-30T00:00:00"/>
    <d v="1899-12-30T02:41:00"/>
    <d v="1899-12-30T03:43:00"/>
    <n v="2.6833333333333336"/>
    <n v="1.0333333333333332"/>
    <n v="3.7166666666666668"/>
    <s v="Fan capacitor replaced"/>
    <s v="Close"/>
    <n v="9.2916666666666675E-2"/>
    <s v="G9"/>
    <n v="224.18339699074073"/>
    <m/>
    <m/>
    <n v="1447.6416666666667"/>
    <n v="224.18339699074073"/>
    <m/>
    <m/>
    <m/>
    <m/>
  </r>
  <r>
    <n v="461"/>
    <x v="52"/>
    <x v="1"/>
    <x v="0"/>
    <x v="2"/>
    <x v="1"/>
    <x v="17"/>
    <s v="PWEGPL"/>
    <s v="MSEDCL"/>
    <n v="2.5000000000000001E-2"/>
    <n v="509"/>
    <x v="301"/>
    <s v="BD"/>
    <d v="1899-12-30T12:00:00"/>
    <d v="1899-12-30T12:01:00"/>
    <d v="1899-12-30T15:25:00"/>
    <n v="1.6666666666666607E-2"/>
    <n v="3.3999999999999986"/>
    <n v="3.4166666666666652"/>
    <s v="Reset"/>
    <s v="Close"/>
    <n v="8.5416666666666641E-2"/>
    <s v="G9"/>
    <n v="189.45298032407391"/>
    <m/>
    <m/>
    <n v="1330.7916666666661"/>
    <n v="189.45298032407391"/>
    <m/>
    <m/>
    <m/>
    <m/>
  </r>
  <r>
    <n v="462"/>
    <x v="52"/>
    <x v="1"/>
    <x v="0"/>
    <x v="2"/>
    <x v="1"/>
    <x v="38"/>
    <s v="PWEGPL"/>
    <s v="MSEDCL"/>
    <n v="2.5000000000000001E-2"/>
    <n v="500"/>
    <x v="302"/>
    <s v="BD"/>
    <d v="1899-12-30T00:00:00"/>
    <d v="1899-12-30T00:00:00"/>
    <d v="1899-12-30T01:50:00"/>
    <n v="0"/>
    <n v="1.8333333333333335"/>
    <n v="1.8333333333333335"/>
    <s v="Cooling motor replaced"/>
    <s v="Close"/>
    <n v="4.5833333333333337E-2"/>
    <s v="G19"/>
    <n v="52.937500000000007"/>
    <m/>
    <m/>
    <n v="693"/>
    <n v="52.937500000000007"/>
    <m/>
    <m/>
    <m/>
    <m/>
  </r>
  <r>
    <n v="463"/>
    <x v="52"/>
    <x v="1"/>
    <x v="0"/>
    <x v="2"/>
    <x v="1"/>
    <x v="19"/>
    <s v="PWEGPL"/>
    <s v="MSEDCL"/>
    <n v="2.5000000000000001E-2"/>
    <n v="552"/>
    <x v="304"/>
    <s v="BD"/>
    <d v="1899-12-30T00:00:00"/>
    <d v="1899-12-30T02:19:00"/>
    <d v="1899-12-30T02:23:00"/>
    <n v="2.3166666666666664"/>
    <n v="6.6666666666666763E-2"/>
    <n v="2.3833333333333333"/>
    <s v="Reset"/>
    <s v="Close"/>
    <n v="5.9583333333333335E-2"/>
    <s v="G19"/>
    <n v="89.464375000000004"/>
    <m/>
    <m/>
    <n v="900.9"/>
    <n v="89.464375000000004"/>
    <m/>
    <m/>
    <m/>
    <m/>
  </r>
  <r>
    <n v="464"/>
    <x v="52"/>
    <x v="1"/>
    <x v="0"/>
    <x v="2"/>
    <x v="1"/>
    <x v="33"/>
    <s v="PWEGPL"/>
    <s v="MSEDCL"/>
    <n v="2.5000000000000001E-2"/>
    <s v="CE100014"/>
    <x v="305"/>
    <s v="PM/Lift inspention"/>
    <d v="1899-12-30T10:58:00"/>
    <d v="1899-12-30T10:58:00"/>
    <d v="1899-12-30T14:13:00"/>
    <n v="0"/>
    <n v="3.2500000000000004"/>
    <n v="3.2500000000000004"/>
    <s v="Avanti lift inspection"/>
    <s v="Close"/>
    <n v="8.1250000000000017E-2"/>
    <s v="G22"/>
    <n v="134.15842013888891"/>
    <m/>
    <m/>
    <n v="990.70833333333337"/>
    <n v="134.15842013888891"/>
    <m/>
    <m/>
    <m/>
    <m/>
  </r>
  <r>
    <n v="465"/>
    <x v="52"/>
    <x v="1"/>
    <x v="0"/>
    <x v="2"/>
    <x v="1"/>
    <x v="34"/>
    <s v="PWEGPL"/>
    <s v="MSEDCL"/>
    <n v="2.5000000000000001E-2"/>
    <s v="CE100014"/>
    <x v="305"/>
    <s v="PM/Lift inspention"/>
    <d v="1899-12-30T14:18:00"/>
    <d v="1899-12-30T14:18:00"/>
    <d v="1899-12-30T16:38:00"/>
    <n v="0"/>
    <n v="2.333333333333333"/>
    <n v="2.333333333333333"/>
    <s v="Avanti lift inspection"/>
    <s v="Close"/>
    <n v="5.8333333333333327E-2"/>
    <s v="G23"/>
    <n v="68.981867283950592"/>
    <m/>
    <m/>
    <n v="709.5277777777776"/>
    <n v="68.981867283950592"/>
    <m/>
    <m/>
    <m/>
    <m/>
  </r>
  <r>
    <n v="466"/>
    <x v="52"/>
    <x v="1"/>
    <x v="0"/>
    <x v="2"/>
    <x v="1"/>
    <x v="6"/>
    <s v="PWEGPL"/>
    <s v="MSEDCL"/>
    <n v="2.5000000000000001E-2"/>
    <s v="CE100010"/>
    <x v="296"/>
    <s v="PM"/>
    <d v="1899-12-30T10:17:00"/>
    <d v="1899-12-30T10:17:00"/>
    <d v="1899-12-30T17:58:00"/>
    <n v="0"/>
    <n v="7.6833333333333318"/>
    <n v="7.6833333333333318"/>
    <s v="102 PM service"/>
    <s v="Close"/>
    <n v="0.1920833333333333"/>
    <s v="G40"/>
    <n v="693.84990837191333"/>
    <m/>
    <m/>
    <n v="2167.3402777777774"/>
    <n v="693.84990837191333"/>
    <m/>
    <m/>
    <m/>
    <m/>
  </r>
  <r>
    <n v="467"/>
    <x v="53"/>
    <x v="1"/>
    <x v="0"/>
    <x v="2"/>
    <x v="1"/>
    <x v="20"/>
    <s v="PWEGPL"/>
    <s v="MSEDCL"/>
    <n v="2.5000000000000001E-2"/>
    <n v="5216"/>
    <x v="306"/>
    <s v="BD"/>
    <d v="1899-12-30T06:42:00"/>
    <d v="1899-12-30T06:42:00"/>
    <d v="1899-12-30T09:26:00"/>
    <n v="0"/>
    <n v="2.7333333333333329"/>
    <n v="2.7333333333333329"/>
    <s v=" One Pin &amp; two LA replaced"/>
    <s v="Close"/>
    <n v="6.8333333333333329E-2"/>
    <s v="G2"/>
    <n v="161.86110339506169"/>
    <m/>
    <m/>
    <n v="1421.2194444444444"/>
    <n v="161.86110339506169"/>
    <m/>
    <m/>
    <m/>
    <m/>
  </r>
  <r>
    <n v="468"/>
    <x v="53"/>
    <x v="1"/>
    <x v="0"/>
    <x v="2"/>
    <x v="1"/>
    <x v="21"/>
    <s v="PWEGPL"/>
    <s v="MSEDCL"/>
    <n v="2.5000000000000001E-2"/>
    <n v="5216"/>
    <x v="306"/>
    <s v="BD"/>
    <d v="1899-12-30T06:42:00"/>
    <d v="1899-12-30T06:42:00"/>
    <d v="1899-12-30T09:26:00"/>
    <n v="0"/>
    <n v="2.7333333333333329"/>
    <n v="2.7333333333333329"/>
    <s v=" One Pin &amp; two LA replaced"/>
    <s v="Close"/>
    <n v="6.8333333333333329E-2"/>
    <s v="G3"/>
    <n v="169.50083333333328"/>
    <m/>
    <m/>
    <n v="1488.2999999999997"/>
    <n v="169.50083333333328"/>
    <m/>
    <m/>
    <m/>
    <m/>
  </r>
  <r>
    <n v="469"/>
    <x v="53"/>
    <x v="1"/>
    <x v="0"/>
    <x v="2"/>
    <x v="1"/>
    <x v="22"/>
    <s v="PWEGPL"/>
    <s v="MSEDCL"/>
    <n v="2.5000000000000001E-2"/>
    <n v="5216"/>
    <x v="306"/>
    <s v="BD"/>
    <d v="1899-12-30T06:42:00"/>
    <d v="1899-12-30T06:42:00"/>
    <d v="1899-12-30T09:26:00"/>
    <n v="0"/>
    <n v="2.7333333333333329"/>
    <n v="2.7333333333333329"/>
    <s v=" One Pin &amp; two LA replaced"/>
    <s v="Close"/>
    <n v="6.8333333333333329E-2"/>
    <s v="G4"/>
    <n v="15.045987654320983"/>
    <m/>
    <m/>
    <n v="132.11111111111109"/>
    <n v="15.045987654320983"/>
    <m/>
    <m/>
    <m/>
    <m/>
  </r>
  <r>
    <n v="470"/>
    <x v="53"/>
    <x v="1"/>
    <x v="0"/>
    <x v="2"/>
    <x v="1"/>
    <x v="23"/>
    <s v="PWEGPL"/>
    <s v="MSEDCL"/>
    <n v="2.5000000000000001E-2"/>
    <n v="5216"/>
    <x v="306"/>
    <s v="BD"/>
    <d v="1899-12-30T06:42:00"/>
    <d v="1899-12-30T06:42:00"/>
    <d v="1899-12-30T09:26:00"/>
    <n v="0"/>
    <n v="2.7333333333333329"/>
    <n v="2.7333333333333329"/>
    <s v=" One Pin &amp; two LA replaced"/>
    <s v="Close"/>
    <n v="6.8333333333333329E-2"/>
    <s v="G5"/>
    <n v="206.58400462962959"/>
    <m/>
    <m/>
    <n v="1813.9083333333331"/>
    <n v="206.58400462962959"/>
    <m/>
    <m/>
    <m/>
    <m/>
  </r>
  <r>
    <n v="471"/>
    <x v="53"/>
    <x v="1"/>
    <x v="0"/>
    <x v="2"/>
    <x v="1"/>
    <x v="24"/>
    <s v="PWEGPL"/>
    <s v="MSEDCL"/>
    <n v="2.5000000000000001E-2"/>
    <s v="CE100014"/>
    <x v="305"/>
    <s v="BD"/>
    <d v="1899-12-30T13:13:00"/>
    <d v="1899-12-30T13:13:00"/>
    <d v="1899-12-30T15:51:00"/>
    <n v="0"/>
    <n v="2.633333333333332"/>
    <n v="2.633333333333332"/>
    <s v="Avanti lift inspection"/>
    <s v="Close"/>
    <n v="6.5833333333333299E-2"/>
    <s v="G6"/>
    <n v="168.97892746913564"/>
    <m/>
    <m/>
    <n v="1540.0611111111104"/>
    <n v="168.97892746913564"/>
    <m/>
    <m/>
    <m/>
    <m/>
  </r>
  <r>
    <n v="472"/>
    <x v="53"/>
    <x v="1"/>
    <x v="0"/>
    <x v="2"/>
    <x v="1"/>
    <x v="25"/>
    <s v="PWEGPL"/>
    <s v="MSEDCL"/>
    <n v="2.5000000000000001E-2"/>
    <n v="5216"/>
    <x v="306"/>
    <s v="BD"/>
    <d v="1899-12-30T06:42:00"/>
    <d v="1899-12-30T06:42:00"/>
    <d v="1899-12-30T08:43:00"/>
    <n v="0"/>
    <n v="2.0166666666666662"/>
    <n v="2.0166666666666662"/>
    <s v=" One Pin &amp; two LA replaced"/>
    <s v="Close"/>
    <n v="5.0416666666666658E-2"/>
    <s v="G7"/>
    <n v="87.227485532407357"/>
    <m/>
    <m/>
    <n v="1038.0791666666664"/>
    <n v="87.227485532407357"/>
    <m/>
    <m/>
    <m/>
    <m/>
  </r>
  <r>
    <n v="473"/>
    <x v="53"/>
    <x v="1"/>
    <x v="0"/>
    <x v="2"/>
    <x v="1"/>
    <x v="26"/>
    <s v="PWEGPL"/>
    <s v="MSEDCL"/>
    <n v="2.5000000000000001E-2"/>
    <n v="5216"/>
    <x v="306"/>
    <s v="BD"/>
    <d v="1899-12-30T06:42:00"/>
    <d v="1899-12-30T06:42:00"/>
    <d v="1899-12-30T09:26:00"/>
    <n v="0"/>
    <n v="2.7333333333333329"/>
    <n v="2.7333333333333329"/>
    <s v=" One Pin &amp; two LA replaced"/>
    <s v="Close"/>
    <n v="6.8333333333333329E-2"/>
    <s v="G8"/>
    <n v="136.0624228395061"/>
    <m/>
    <m/>
    <n v="1194.6944444444441"/>
    <n v="136.0624228395061"/>
    <m/>
    <m/>
    <m/>
    <m/>
  </r>
  <r>
    <n v="474"/>
    <x v="53"/>
    <x v="1"/>
    <x v="0"/>
    <x v="2"/>
    <x v="1"/>
    <x v="17"/>
    <s v="PWEGPL"/>
    <s v="MSEDCL"/>
    <n v="2.5000000000000001E-2"/>
    <n v="5216"/>
    <x v="306"/>
    <s v="BD"/>
    <d v="1899-12-30T06:42:00"/>
    <d v="1899-12-30T06:42:00"/>
    <d v="1899-12-30T09:26:00"/>
    <n v="0"/>
    <n v="2.7333333333333329"/>
    <n v="2.7333333333333329"/>
    <s v=" One Pin &amp; two LA replaced"/>
    <s v="Close"/>
    <n v="6.8333333333333329E-2"/>
    <s v="G9"/>
    <n v="237.4931327160493"/>
    <m/>
    <m/>
    <n v="2085.3055555555552"/>
    <n v="237.4931327160493"/>
    <m/>
    <m/>
    <m/>
    <m/>
  </r>
  <r>
    <n v="475"/>
    <x v="53"/>
    <x v="1"/>
    <x v="0"/>
    <x v="2"/>
    <x v="1"/>
    <x v="28"/>
    <s v="PWEGPL"/>
    <s v="MSEDCL"/>
    <n v="2.5000000000000001E-2"/>
    <n v="5216"/>
    <x v="306"/>
    <s v="BD"/>
    <d v="1899-12-30T06:42:00"/>
    <d v="1899-12-30T06:42:00"/>
    <d v="1899-12-30T09:26:00"/>
    <n v="0"/>
    <n v="2.7333333333333329"/>
    <n v="2.7333333333333329"/>
    <s v=" One Pin &amp; two LA replaced"/>
    <s v="Close"/>
    <n v="6.8333333333333329E-2"/>
    <s v="G11"/>
    <n v="105.16626543209874"/>
    <m/>
    <m/>
    <n v="923.41111111111093"/>
    <n v="105.16626543209874"/>
    <m/>
    <m/>
    <m/>
    <m/>
  </r>
  <r>
    <n v="476"/>
    <x v="53"/>
    <x v="1"/>
    <x v="0"/>
    <x v="2"/>
    <x v="1"/>
    <x v="29"/>
    <s v="PWEGPL"/>
    <s v="MSEDCL"/>
    <n v="2.5000000000000001E-2"/>
    <n v="5216"/>
    <x v="306"/>
    <s v="BD"/>
    <d v="1899-12-30T06:42:00"/>
    <d v="1899-12-30T06:42:00"/>
    <d v="1899-12-30T09:26:00"/>
    <n v="0"/>
    <n v="2.7333333333333329"/>
    <n v="2.7333333333333329"/>
    <s v=" One Pin &amp; two LA replaced"/>
    <s v="Close"/>
    <n v="6.8333333333333329E-2"/>
    <s v="G12"/>
    <n v="225.84546296296293"/>
    <m/>
    <m/>
    <n v="1983.0333333333331"/>
    <n v="225.84546296296293"/>
    <m/>
    <m/>
    <m/>
    <m/>
  </r>
  <r>
    <n v="477"/>
    <x v="53"/>
    <x v="1"/>
    <x v="0"/>
    <x v="2"/>
    <x v="1"/>
    <x v="37"/>
    <s v="PWEGPL"/>
    <s v="MSEDCL"/>
    <n v="2.5000000000000001E-2"/>
    <n v="2118"/>
    <x v="293"/>
    <s v="BD"/>
    <d v="1899-12-30T08:06:00"/>
    <d v="1899-12-30T08:34:00"/>
    <d v="1899-12-30T08:40:00"/>
    <n v="0.46666666666666767"/>
    <n v="9.9999999999999645E-2"/>
    <n v="0.56666666666666732"/>
    <s v="Reset"/>
    <s v="Close"/>
    <n v="1.4166666666666683E-2"/>
    <s v="G17"/>
    <n v="10.581057098765458"/>
    <m/>
    <m/>
    <n v="448.13888888888943"/>
    <n v="10.581057098765458"/>
    <m/>
    <m/>
    <m/>
    <m/>
  </r>
  <r>
    <n v="478"/>
    <x v="53"/>
    <x v="1"/>
    <x v="0"/>
    <x v="2"/>
    <x v="1"/>
    <x v="1"/>
    <s v="PWEGPL"/>
    <s v="MSEDCL"/>
    <n v="2.5000000000000001E-2"/>
    <s v="CE100014"/>
    <x v="305"/>
    <s v="PM/Lift inspention"/>
    <d v="1899-12-30T10:25:00"/>
    <d v="1899-12-30T10:25:00"/>
    <d v="1899-12-30T13:00:00"/>
    <n v="0"/>
    <n v="2.5833333333333335"/>
    <n v="2.5833333333333335"/>
    <s v="Avanti lift inspection"/>
    <s v="Close"/>
    <n v="6.458333333333334E-2"/>
    <s v="G24"/>
    <n v="234.29472897376547"/>
    <m/>
    <m/>
    <n v="2176.6736111111113"/>
    <n v="234.29472897376547"/>
    <m/>
    <m/>
    <m/>
    <m/>
  </r>
  <r>
    <n v="479"/>
    <x v="53"/>
    <x v="1"/>
    <x v="0"/>
    <x v="2"/>
    <x v="1"/>
    <x v="8"/>
    <s v="PWEGPL"/>
    <s v="MSEDCL"/>
    <n v="2.5000000000000001E-2"/>
    <n v="110"/>
    <x v="287"/>
    <s v="BD"/>
    <d v="1899-12-30T01:25:00"/>
    <d v="1899-12-30T02:49:00"/>
    <d v="1899-12-30T03:16:00"/>
    <n v="1.3999999999999995"/>
    <n v="0.45000000000000007"/>
    <n v="1.8499999999999994"/>
    <s v="Cable twist removed &amp; started"/>
    <s v="Close"/>
    <n v="4.6249999999999986E-2"/>
    <s v="G28"/>
    <n v="109.69825520833326"/>
    <m/>
    <m/>
    <n v="1423.1124999999995"/>
    <n v="109.69825520833326"/>
    <m/>
    <m/>
    <m/>
    <m/>
  </r>
  <r>
    <n v="480"/>
    <x v="53"/>
    <x v="1"/>
    <x v="0"/>
    <x v="2"/>
    <x v="1"/>
    <x v="9"/>
    <s v="PWEGPL"/>
    <s v="MSEDCL"/>
    <n v="2.5000000000000001E-2"/>
    <n v="110"/>
    <x v="287"/>
    <s v="BD"/>
    <d v="1899-12-30T00:40:00"/>
    <d v="1899-12-30T01:20:00"/>
    <d v="1899-12-30T01:54:00"/>
    <n v="0.66666666666666663"/>
    <n v="0.56666666666666665"/>
    <n v="1.2333333333333334"/>
    <s v="Cable twist removed &amp; started"/>
    <s v="Close"/>
    <n v="3.0833333333333338E-2"/>
    <s v="G29"/>
    <n v="47.878028549382712"/>
    <m/>
    <m/>
    <n v="931.68055555555554"/>
    <n v="47.878028549382712"/>
    <m/>
    <m/>
    <m/>
    <m/>
  </r>
  <r>
    <n v="481"/>
    <x v="53"/>
    <x v="1"/>
    <x v="0"/>
    <x v="2"/>
    <x v="1"/>
    <x v="3"/>
    <s v="PWEGPL"/>
    <s v="MSEDCL"/>
    <n v="2.5000000000000001E-2"/>
    <n v="110"/>
    <x v="287"/>
    <s v="BD"/>
    <d v="1899-12-30T07:57:00"/>
    <d v="1899-12-30T10:40:00"/>
    <d v="1899-12-30T11:29:00"/>
    <n v="2.7166666666666663"/>
    <n v="0.81666666666666643"/>
    <n v="3.5333333333333328"/>
    <s v="Cable twist removed &amp; started"/>
    <s v="Close"/>
    <n v="8.8333333333333319E-2"/>
    <s v="G26"/>
    <n v="449.83013888888871"/>
    <m/>
    <m/>
    <n v="3055.4499999999994"/>
    <n v="449.83013888888871"/>
    <m/>
    <m/>
    <m/>
    <m/>
  </r>
  <r>
    <n v="482"/>
    <x v="53"/>
    <x v="1"/>
    <x v="0"/>
    <x v="2"/>
    <x v="1"/>
    <x v="7"/>
    <s v="PWEGPL"/>
    <s v="MSEDCL"/>
    <n v="2.5000000000000001E-2"/>
    <n v="2118"/>
    <x v="293"/>
    <s v="BD"/>
    <d v="1899-12-30T07:56:00"/>
    <d v="1899-12-30T10:46:00"/>
    <d v="1899-12-30T11:29:00"/>
    <n v="2.8333333333333339"/>
    <n v="0.71666666666666545"/>
    <n v="3.5499999999999994"/>
    <s v="Reset"/>
    <s v="Close"/>
    <n v="8.8749999999999996E-2"/>
    <s v="G39"/>
    <n v="411.15656249999984"/>
    <m/>
    <m/>
    <n v="2779.6499999999996"/>
    <n v="411.15656249999984"/>
    <m/>
    <m/>
    <m/>
    <m/>
  </r>
  <r>
    <n v="483"/>
    <x v="53"/>
    <x v="1"/>
    <x v="0"/>
    <x v="2"/>
    <x v="1"/>
    <x v="23"/>
    <s v="PWEGPL"/>
    <s v="MSEDCL"/>
    <n v="2.5000000000000001E-2"/>
    <n v="2509"/>
    <x v="201"/>
    <s v="BD"/>
    <d v="1899-12-30T09:26:00"/>
    <d v="1899-12-30T09:26:00"/>
    <d v="1899-12-30T23:59:00"/>
    <n v="0"/>
    <n v="14.549999999999999"/>
    <n v="14.549999999999999"/>
    <s v="SF6 breaker T-connector replaced"/>
    <s v="Close"/>
    <n v="0.36375000000000002"/>
    <s v="G5"/>
    <n v="5853.7946484374988"/>
    <m/>
    <m/>
    <n v="9655.7437499999996"/>
    <n v="5853.7946484374988"/>
    <m/>
    <m/>
    <m/>
    <m/>
  </r>
  <r>
    <n v="484"/>
    <x v="53"/>
    <x v="1"/>
    <x v="0"/>
    <x v="2"/>
    <x v="1"/>
    <x v="25"/>
    <s v="PWEGPL"/>
    <s v="MSEDCL"/>
    <n v="2.5000000000000001E-2"/>
    <n v="5216"/>
    <x v="306"/>
    <s v="BD"/>
    <d v="1899-12-30T07:41:00"/>
    <d v="1899-12-30T07:41:00"/>
    <d v="1899-12-30T08:43:00"/>
    <n v="0"/>
    <n v="1.0333333333333323"/>
    <n v="1.0333333333333323"/>
    <s v=" One Pin &amp; two LA replaced"/>
    <s v="Close"/>
    <n v="2.5833333333333309E-2"/>
    <s v="G7"/>
    <n v="22.901608796296252"/>
    <m/>
    <m/>
    <n v="531.90833333333285"/>
    <n v="22.901608796296252"/>
    <m/>
    <m/>
    <m/>
    <m/>
  </r>
  <r>
    <n v="485"/>
    <x v="53"/>
    <x v="1"/>
    <x v="0"/>
    <x v="2"/>
    <x v="1"/>
    <x v="25"/>
    <s v="PWEGPL"/>
    <s v="MSEDCL"/>
    <n v="2.5000000000000001E-2"/>
    <n v="5216"/>
    <x v="306"/>
    <s v="BD"/>
    <d v="1899-12-30T08:46:00"/>
    <d v="1899-12-30T08:46:00"/>
    <d v="1899-12-30T09:26:00"/>
    <n v="0"/>
    <n v="0.66666666666666563"/>
    <n v="0.66666666666666563"/>
    <s v=" One Pin &amp; two LA replaced"/>
    <s v="Close"/>
    <n v="1.6666666666666642E-2"/>
    <s v="G7"/>
    <n v="9.5324074074073764"/>
    <m/>
    <m/>
    <n v="343.16666666666612"/>
    <n v="9.5324074074073764"/>
    <m/>
    <m/>
    <m/>
    <m/>
  </r>
  <r>
    <n v="486"/>
    <x v="53"/>
    <x v="1"/>
    <x v="0"/>
    <x v="2"/>
    <x v="1"/>
    <x v="25"/>
    <s v="PWEGPL"/>
    <s v="MSEDCL"/>
    <n v="2.5000000000000001E-2"/>
    <n v="2509"/>
    <x v="201"/>
    <s v="BD"/>
    <d v="1899-12-30T09:26:00"/>
    <d v="1899-12-30T09:26:00"/>
    <d v="1899-12-30T10:24:00"/>
    <n v="0"/>
    <n v="0.96666666666666723"/>
    <n v="0.96666666666666723"/>
    <s v="SF6 Breaker Charged &amp; started"/>
    <s v="Close"/>
    <n v="2.4166666666666684E-2"/>
    <s v="G7"/>
    <n v="20.041886574074098"/>
    <m/>
    <m/>
    <n v="497.59166666666698"/>
    <n v="20.041886574074098"/>
    <m/>
    <m/>
    <m/>
    <m/>
  </r>
  <r>
    <n v="487"/>
    <x v="53"/>
    <x v="1"/>
    <x v="0"/>
    <x v="2"/>
    <x v="1"/>
    <x v="17"/>
    <s v="PWEGPL"/>
    <s v="MSEDCL"/>
    <n v="2.5000000000000001E-2"/>
    <n v="5216"/>
    <x v="306"/>
    <s v="BD"/>
    <d v="1899-12-30T07:41:00"/>
    <d v="1899-12-30T07:41:00"/>
    <d v="1899-12-30T08:43:00"/>
    <n v="0"/>
    <n v="1.0333333333333323"/>
    <n v="1.0333333333333323"/>
    <s v=" One Pin &amp; two LA replaced"/>
    <s v="Close"/>
    <n v="2.5833333333333309E-2"/>
    <s v="G9"/>
    <n v="33.942727623456719"/>
    <m/>
    <m/>
    <n v="788.34722222222138"/>
    <n v="33.942727623456719"/>
    <m/>
    <m/>
    <m/>
    <m/>
  </r>
  <r>
    <n v="488"/>
    <x v="53"/>
    <x v="1"/>
    <x v="0"/>
    <x v="2"/>
    <x v="1"/>
    <x v="17"/>
    <s v="PWEGPL"/>
    <s v="MSEDCL"/>
    <n v="2.5000000000000001E-2"/>
    <n v="5216"/>
    <x v="306"/>
    <s v="BD"/>
    <d v="1899-12-30T08:46:00"/>
    <d v="1899-12-30T08:46:00"/>
    <d v="1899-12-30T09:26:00"/>
    <n v="0"/>
    <n v="0.66666666666666563"/>
    <n v="0.66666666666666563"/>
    <s v=" One Pin &amp; two LA replaced"/>
    <s v="Close"/>
    <n v="1.6666666666666642E-2"/>
    <s v="G9"/>
    <n v="14.128086419753041"/>
    <m/>
    <m/>
    <n v="508.61111111111029"/>
    <n v="14.128086419753041"/>
    <m/>
    <m/>
    <m/>
    <m/>
  </r>
  <r>
    <n v="489"/>
    <x v="53"/>
    <x v="1"/>
    <x v="0"/>
    <x v="2"/>
    <x v="1"/>
    <x v="28"/>
    <s v="PWEGPL"/>
    <s v="MSEDCL"/>
    <n v="2.5000000000000001E-2"/>
    <n v="5216"/>
    <x v="306"/>
    <s v="BD"/>
    <d v="1899-12-30T07:41:00"/>
    <d v="1899-12-30T07:41:00"/>
    <d v="1899-12-30T08:43:00"/>
    <n v="0"/>
    <n v="1.0333333333333323"/>
    <n v="1.0333333333333323"/>
    <s v=" One Pin &amp; two LA replaced"/>
    <s v="Close"/>
    <n v="2.5833333333333309E-2"/>
    <s v="G11"/>
    <n v="15.030455246913549"/>
    <m/>
    <m/>
    <n v="349.09444444444409"/>
    <n v="15.030455246913549"/>
    <m/>
    <m/>
    <m/>
    <m/>
  </r>
  <r>
    <n v="490"/>
    <x v="53"/>
    <x v="1"/>
    <x v="0"/>
    <x v="2"/>
    <x v="1"/>
    <x v="28"/>
    <s v="PWEGPL"/>
    <s v="MSEDCL"/>
    <n v="2.5000000000000001E-2"/>
    <n v="5216"/>
    <x v="306"/>
    <s v="BD"/>
    <d v="1899-12-30T08:46:00"/>
    <d v="1899-12-30T08:46:00"/>
    <d v="1899-12-30T09:26:00"/>
    <n v="0"/>
    <n v="0.66666666666666563"/>
    <n v="0.66666666666666563"/>
    <s v=" One Pin &amp; two LA replaced"/>
    <s v="Close"/>
    <n v="1.6666666666666642E-2"/>
    <s v="G11"/>
    <n v="6.2561728395061529"/>
    <m/>
    <m/>
    <n v="225.22222222222186"/>
    <n v="6.2561728395061529"/>
    <m/>
    <m/>
    <m/>
    <m/>
  </r>
  <r>
    <n v="491"/>
    <x v="53"/>
    <x v="1"/>
    <x v="0"/>
    <x v="2"/>
    <x v="1"/>
    <x v="29"/>
    <s v="PWEGPL"/>
    <s v="MSEDCL"/>
    <n v="2.5000000000000001E-2"/>
    <n v="5216"/>
    <x v="306"/>
    <s v="BD"/>
    <d v="1899-12-30T07:41:00"/>
    <d v="1899-12-30T07:41:00"/>
    <d v="1899-12-30T08:43:00"/>
    <n v="0"/>
    <n v="1.0333333333333323"/>
    <n v="1.0333333333333323"/>
    <s v=" One Pin &amp; two LA replaced"/>
    <s v="Close"/>
    <n v="2.5833333333333309E-2"/>
    <s v="G12"/>
    <n v="32.278032407407345"/>
    <m/>
    <m/>
    <n v="749.6833333333326"/>
    <n v="32.278032407407345"/>
    <m/>
    <m/>
    <m/>
    <m/>
  </r>
  <r>
    <n v="492"/>
    <x v="53"/>
    <x v="1"/>
    <x v="0"/>
    <x v="2"/>
    <x v="1"/>
    <x v="29"/>
    <s v="PWEGPL"/>
    <s v="MSEDCL"/>
    <n v="2.5000000000000001E-2"/>
    <n v="5216"/>
    <x v="306"/>
    <s v="BD"/>
    <d v="1899-12-30T08:46:00"/>
    <d v="1899-12-30T08:46:00"/>
    <d v="1899-12-30T09:26:00"/>
    <n v="0"/>
    <n v="0.66666666666666563"/>
    <n v="0.66666666666666563"/>
    <s v=" One Pin &amp; two LA replaced"/>
    <s v="Close"/>
    <n v="1.6666666666666642E-2"/>
    <s v="G12"/>
    <n v="13.435185185185144"/>
    <m/>
    <m/>
    <n v="483.66666666666589"/>
    <n v="13.435185185185144"/>
    <m/>
    <m/>
    <m/>
    <m/>
  </r>
  <r>
    <n v="493"/>
    <x v="53"/>
    <x v="1"/>
    <x v="0"/>
    <x v="2"/>
    <x v="1"/>
    <x v="29"/>
    <s v="PWEGPL"/>
    <s v="MSEDCL"/>
    <n v="2.5000000000000001E-2"/>
    <n v="2118"/>
    <x v="293"/>
    <s v="BD"/>
    <d v="1899-12-30T15:47:00"/>
    <d v="1899-12-30T16:56:00"/>
    <d v="1899-12-30T16:59:00"/>
    <n v="1.1500000000000012"/>
    <n v="4.9999999999999822E-2"/>
    <n v="1.2000000000000011"/>
    <s v="Reset"/>
    <s v="Close"/>
    <n v="3.0000000000000027E-2"/>
    <s v="G12"/>
    <n v="43.530000000000079"/>
    <m/>
    <m/>
    <n v="870.60000000000082"/>
    <n v="43.530000000000079"/>
    <m/>
    <m/>
    <m/>
    <m/>
  </r>
  <r>
    <n v="494"/>
    <x v="53"/>
    <x v="1"/>
    <x v="0"/>
    <x v="2"/>
    <x v="1"/>
    <x v="29"/>
    <s v="PWEGPL"/>
    <s v="MSEDCL"/>
    <n v="2.5000000000000001E-2"/>
    <n v="2118"/>
    <x v="293"/>
    <s v="BD"/>
    <d v="1899-12-30T18:33:00"/>
    <d v="1899-12-30T21:28:00"/>
    <d v="1899-12-30T22:32:00"/>
    <n v="2.9166666666666643"/>
    <n v="1.0666666666666709"/>
    <n v="3.9833333333333352"/>
    <s v="Reset"/>
    <s v="Close"/>
    <n v="9.9583333333333385E-2"/>
    <s v="G12"/>
    <n v="479.6445081018523"/>
    <m/>
    <m/>
    <n v="2889.9083333333347"/>
    <n v="479.6445081018523"/>
    <m/>
    <m/>
    <m/>
    <m/>
  </r>
  <r>
    <n v="495"/>
    <x v="53"/>
    <x v="1"/>
    <x v="0"/>
    <x v="2"/>
    <x v="1"/>
    <x v="37"/>
    <s v="PWEGPL"/>
    <s v="MSEDCL"/>
    <n v="2.5000000000000001E-2"/>
    <n v="2118"/>
    <x v="293"/>
    <s v="BD"/>
    <d v="1899-12-30T16:36:00"/>
    <d v="1899-12-30T18:00:00"/>
    <d v="1899-12-30T18:10:00"/>
    <n v="1.3999999999999977"/>
    <n v="0.16666666666666874"/>
    <n v="1.5666666666666664"/>
    <s v="Reset"/>
    <s v="Close"/>
    <n v="3.9166666666666662E-2"/>
    <s v="G17"/>
    <n v="80.877353395061704"/>
    <m/>
    <m/>
    <n v="1238.9722222222222"/>
    <n v="80.877353395061704"/>
    <m/>
    <m/>
    <m/>
    <m/>
  </r>
  <r>
    <n v="496"/>
    <x v="53"/>
    <x v="1"/>
    <x v="0"/>
    <x v="2"/>
    <x v="1"/>
    <x v="37"/>
    <s v="PWEGPL"/>
    <s v="MSEDCL"/>
    <n v="2.5000000000000001E-2"/>
    <n v="2118"/>
    <x v="293"/>
    <s v="BD"/>
    <d v="1899-12-30T22:22:00"/>
    <d v="1899-12-30T23:03:00"/>
    <d v="1899-12-30T23:23:00"/>
    <n v="0.68333333333333357"/>
    <n v="0.33333333333333215"/>
    <n v="1.0166666666666657"/>
    <s v="Reset"/>
    <s v="Close"/>
    <n v="2.5416666666666643E-2"/>
    <s v="G17"/>
    <n v="34.058921682098706"/>
    <m/>
    <m/>
    <n v="804.01388888888823"/>
    <n v="34.058921682098706"/>
    <m/>
    <m/>
    <m/>
    <m/>
  </r>
  <r>
    <n v="497"/>
    <x v="53"/>
    <x v="1"/>
    <x v="0"/>
    <x v="2"/>
    <x v="1"/>
    <x v="8"/>
    <s v="PWEGPL"/>
    <s v="MSEDCL"/>
    <n v="2.5000000000000001E-2"/>
    <n v="2118"/>
    <x v="293"/>
    <s v="BD"/>
    <d v="1899-12-30T16:22:00"/>
    <d v="1899-12-30T17:10:00"/>
    <d v="1899-12-30T17:23:00"/>
    <n v="0.79999999999999982"/>
    <n v="0.2166666666666659"/>
    <n v="1.0166666666666657"/>
    <s v="Reset"/>
    <s v="Close"/>
    <n v="2.5416666666666643E-2"/>
    <s v="G28"/>
    <n v="33.129389467592532"/>
    <m/>
    <m/>
    <n v="782.07083333333264"/>
    <n v="33.129389467592532"/>
    <m/>
    <m/>
    <m/>
    <m/>
  </r>
  <r>
    <n v="498"/>
    <x v="54"/>
    <x v="1"/>
    <x v="0"/>
    <x v="2"/>
    <x v="1"/>
    <x v="23"/>
    <s v="PWEGPL"/>
    <s v="MSEDCL"/>
    <n v="2.5000000000000001E-2"/>
    <n v="2509"/>
    <x v="201"/>
    <s v="BD"/>
    <d v="1899-12-30T00:00:00"/>
    <d v="1899-12-30T10:30:00"/>
    <d v="1899-12-30T14:15:00"/>
    <n v="10.5"/>
    <n v="3.75"/>
    <n v="14.25"/>
    <s v=" SF6  breaker T-connector replaced"/>
    <s v="Close"/>
    <n v="0.35625000000000001"/>
    <s v="G5"/>
    <n v="1093.576171875"/>
    <m/>
    <m/>
    <n v="1841.8125"/>
    <n v="1093.576171875"/>
    <m/>
    <m/>
    <m/>
    <m/>
  </r>
  <r>
    <n v="499"/>
    <x v="54"/>
    <x v="1"/>
    <x v="0"/>
    <x v="2"/>
    <x v="1"/>
    <x v="23"/>
    <s v="PWEGPL"/>
    <s v="MSEDCL"/>
    <n v="2.5000000000000001E-2"/>
    <n v="402"/>
    <x v="300"/>
    <s v="BD"/>
    <d v="1899-12-30T16:06:00"/>
    <d v="1899-12-30T16:06:00"/>
    <d v="1899-12-30T17:44:00"/>
    <n v="0"/>
    <n v="1.6333333333333329"/>
    <n v="1.6333333333333329"/>
    <s v="Gearbox oil hose replacement"/>
    <s v="Close"/>
    <n v="4.0833333333333326E-2"/>
    <s v="G5"/>
    <n v="14.367094907407399"/>
    <m/>
    <m/>
    <n v="211.10833333333326"/>
    <n v="14.367094907407399"/>
    <m/>
    <m/>
    <m/>
    <m/>
  </r>
  <r>
    <n v="500"/>
    <x v="54"/>
    <x v="1"/>
    <x v="0"/>
    <x v="2"/>
    <x v="1"/>
    <x v="19"/>
    <s v="PWEGPL"/>
    <s v="MSEDCL"/>
    <n v="2.5000000000000001E-2"/>
    <n v="552"/>
    <x v="304"/>
    <s v="BD"/>
    <d v="1899-12-30T15:58:00"/>
    <d v="1899-12-30T15:58:00"/>
    <d v="1899-12-30T16:55:00"/>
    <n v="0"/>
    <n v="0.95000000000000195"/>
    <n v="0.95000000000000195"/>
    <s v="Carbon brush holder replaced"/>
    <s v="Close"/>
    <n v="2.3750000000000049E-2"/>
    <s v="G19"/>
    <n v="5.5403472222222447"/>
    <m/>
    <m/>
    <n v="139.96666666666695"/>
    <n v="5.5403472222222447"/>
    <m/>
    <m/>
    <m/>
    <m/>
  </r>
  <r>
    <n v="501"/>
    <x v="55"/>
    <x v="1"/>
    <x v="0"/>
    <x v="2"/>
    <x v="1"/>
    <x v="20"/>
    <s v="PWEGPL"/>
    <s v="MSEDCL"/>
    <n v="2.5000000000000001E-2"/>
    <s v="CE100007"/>
    <x v="295"/>
    <s v="PM"/>
    <d v="1899-12-30T11:13:00"/>
    <d v="1899-12-30T11:13:00"/>
    <d v="1899-12-30T11:58:00"/>
    <n v="0"/>
    <n v="0.75"/>
    <n v="0.75"/>
    <s v="LC taken for DP-yard yearly maintenance"/>
    <s v="Close"/>
    <n v="1.8750000000000003E-2"/>
    <s v="G2"/>
    <n v="4.63671875"/>
    <m/>
    <m/>
    <n v="148.375"/>
    <n v="4.63671875"/>
    <m/>
    <m/>
    <m/>
    <m/>
  </r>
  <r>
    <n v="502"/>
    <x v="55"/>
    <x v="1"/>
    <x v="0"/>
    <x v="2"/>
    <x v="1"/>
    <x v="21"/>
    <s v="PWEGPL"/>
    <s v="MSEDCL"/>
    <n v="2.5000000000000001E-2"/>
    <s v="CE100007"/>
    <x v="295"/>
    <s v="PM"/>
    <d v="1899-12-30T11:13:00"/>
    <d v="1899-12-30T11:13:00"/>
    <d v="1899-12-30T11:58:00"/>
    <n v="0"/>
    <n v="0.75"/>
    <n v="0.75"/>
    <s v="LC taken for DP-yard yearly maintenance"/>
    <s v="Close"/>
    <n v="1.8750000000000003E-2"/>
    <s v="G3"/>
    <n v="3.6875"/>
    <m/>
    <m/>
    <n v="118"/>
    <n v="3.6875"/>
    <m/>
    <m/>
    <m/>
    <m/>
  </r>
  <r>
    <n v="503"/>
    <x v="55"/>
    <x v="1"/>
    <x v="0"/>
    <x v="2"/>
    <x v="1"/>
    <x v="22"/>
    <s v="PWEGPL"/>
    <s v="MSEDCL"/>
    <n v="2.5000000000000001E-2"/>
    <s v="CE100007"/>
    <x v="295"/>
    <s v="PM"/>
    <d v="1899-12-30T11:13:00"/>
    <d v="1899-12-30T11:13:00"/>
    <d v="1899-12-30T11:58:00"/>
    <n v="0"/>
    <n v="0.75"/>
    <n v="0.75"/>
    <s v="LC taken for DP-yard yearly maintenance"/>
    <s v="Close"/>
    <n v="1.8750000000000003E-2"/>
    <s v="G4"/>
    <n v="4.0234375"/>
    <m/>
    <m/>
    <n v="128.75"/>
    <n v="4.0234375"/>
    <m/>
    <m/>
    <m/>
    <m/>
  </r>
  <r>
    <n v="504"/>
    <x v="55"/>
    <x v="1"/>
    <x v="0"/>
    <x v="2"/>
    <x v="1"/>
    <x v="23"/>
    <s v="PWEGPL"/>
    <s v="MSEDCL"/>
    <n v="2.5000000000000001E-2"/>
    <s v="CE100007"/>
    <x v="295"/>
    <s v="PM"/>
    <d v="1899-12-30T11:13:00"/>
    <d v="1899-12-30T11:13:00"/>
    <d v="1899-12-30T11:58:00"/>
    <n v="0"/>
    <n v="0.75"/>
    <n v="0.75"/>
    <s v="LC taken for DP-yard yearly maintenance"/>
    <s v="Close"/>
    <n v="1.8750000000000003E-2"/>
    <s v="G5"/>
    <n v="3.8916015625"/>
    <m/>
    <m/>
    <n v="124.53125"/>
    <n v="3.8916015625"/>
    <m/>
    <m/>
    <m/>
    <m/>
  </r>
  <r>
    <n v="505"/>
    <x v="55"/>
    <x v="1"/>
    <x v="0"/>
    <x v="2"/>
    <x v="1"/>
    <x v="25"/>
    <s v="PWEGPL"/>
    <s v="MSEDCL"/>
    <n v="2.5000000000000001E-2"/>
    <s v="CE100007"/>
    <x v="295"/>
    <s v="PM"/>
    <d v="1899-12-30T11:13:00"/>
    <d v="1899-12-30T11:13:00"/>
    <d v="1899-12-30T11:58:00"/>
    <n v="0"/>
    <n v="0.75"/>
    <n v="0.75"/>
    <s v="LC taken for DP-yard yearly maintenance"/>
    <s v="Close"/>
    <n v="1.8750000000000003E-2"/>
    <s v="G7"/>
    <n v="4.345703125"/>
    <m/>
    <m/>
    <n v="139.0625"/>
    <n v="4.345703125"/>
    <m/>
    <m/>
    <m/>
    <m/>
  </r>
  <r>
    <n v="506"/>
    <x v="55"/>
    <x v="1"/>
    <x v="0"/>
    <x v="2"/>
    <x v="1"/>
    <x v="26"/>
    <s v="PWEGPL"/>
    <s v="MSEDCL"/>
    <n v="2.5000000000000001E-2"/>
    <s v="CE100007"/>
    <x v="295"/>
    <s v="PM"/>
    <d v="1899-12-30T11:13:00"/>
    <d v="1899-12-30T11:13:00"/>
    <d v="1899-12-30T11:58:00"/>
    <n v="0"/>
    <n v="0.75"/>
    <n v="0.75"/>
    <s v="LC taken for DP-yard yearly maintenance"/>
    <s v="Close"/>
    <n v="1.8750000000000003E-2"/>
    <s v="G8"/>
    <n v="4"/>
    <m/>
    <m/>
    <n v="128"/>
    <n v="4"/>
    <m/>
    <m/>
    <m/>
    <m/>
  </r>
  <r>
    <n v="507"/>
    <x v="55"/>
    <x v="1"/>
    <x v="0"/>
    <x v="2"/>
    <x v="1"/>
    <x v="17"/>
    <s v="PWEGPL"/>
    <s v="MSEDCL"/>
    <n v="2.5000000000000001E-2"/>
    <s v="CE100007"/>
    <x v="295"/>
    <s v="PM"/>
    <d v="1899-12-30T11:13:00"/>
    <d v="1899-12-30T11:13:00"/>
    <d v="1899-12-30T11:58:00"/>
    <n v="0"/>
    <n v="0.75"/>
    <n v="0.75"/>
    <s v="LC taken for DP-yard yearly maintenance"/>
    <s v="Close"/>
    <n v="1.8750000000000003E-2"/>
    <s v="G9"/>
    <n v="4.796875"/>
    <m/>
    <m/>
    <n v="153.5"/>
    <n v="4.796875"/>
    <m/>
    <m/>
    <m/>
    <m/>
  </r>
  <r>
    <n v="508"/>
    <x v="55"/>
    <x v="1"/>
    <x v="0"/>
    <x v="2"/>
    <x v="1"/>
    <x v="28"/>
    <s v="PWEGPL"/>
    <s v="MSEDCL"/>
    <n v="2.5000000000000001E-2"/>
    <s v="CE100007"/>
    <x v="295"/>
    <s v="PM"/>
    <d v="1899-12-30T11:13:00"/>
    <d v="1899-12-30T11:13:00"/>
    <d v="1899-12-30T11:58:00"/>
    <n v="0"/>
    <n v="0.75"/>
    <n v="0.75"/>
    <s v="LC taken for DP-yard yearly maintenance"/>
    <s v="Close"/>
    <n v="1.8750000000000003E-2"/>
    <s v="G11"/>
    <n v="4.736328125"/>
    <m/>
    <m/>
    <n v="151.5625"/>
    <n v="4.736328125"/>
    <m/>
    <m/>
    <m/>
    <m/>
  </r>
  <r>
    <n v="509"/>
    <x v="55"/>
    <x v="1"/>
    <x v="0"/>
    <x v="2"/>
    <x v="1"/>
    <x v="29"/>
    <s v="PWEGPL"/>
    <s v="MSEDCL"/>
    <n v="2.5000000000000001E-2"/>
    <s v="CE100007"/>
    <x v="295"/>
    <s v="PM"/>
    <d v="1899-12-30T11:13:00"/>
    <d v="1899-12-30T11:13:00"/>
    <d v="1899-12-30T11:58:00"/>
    <n v="0"/>
    <n v="0.75"/>
    <n v="0.75"/>
    <s v="LC taken for DP-yard yearly maintenance"/>
    <s v="Close"/>
    <n v="1.8750000000000003E-2"/>
    <s v="G12"/>
    <n v="4.806640625"/>
    <m/>
    <m/>
    <n v="153.8125"/>
    <n v="4.806640625"/>
    <m/>
    <m/>
    <m/>
    <m/>
  </r>
  <r>
    <n v="510"/>
    <x v="55"/>
    <x v="1"/>
    <x v="0"/>
    <x v="2"/>
    <x v="1"/>
    <x v="32"/>
    <s v="PWEGPL"/>
    <s v="MSEDCL"/>
    <n v="2.5000000000000001E-2"/>
    <s v="CE100014"/>
    <x v="305"/>
    <s v="PM/Lift inspention"/>
    <d v="1899-12-30T10:28:00"/>
    <d v="1899-12-30T10:28:00"/>
    <d v="1899-12-30T14:10:00"/>
    <n v="0"/>
    <n v="3.7"/>
    <n v="3.7"/>
    <s v="Avanti lift inspection"/>
    <s v="Close"/>
    <n v="9.2500000000000013E-2"/>
    <s v="G15"/>
    <n v="83.328368055555572"/>
    <m/>
    <m/>
    <n v="540.50833333333344"/>
    <n v="83.328368055555572"/>
    <m/>
    <m/>
    <m/>
    <m/>
  </r>
  <r>
    <n v="511"/>
    <x v="55"/>
    <x v="1"/>
    <x v="0"/>
    <x v="2"/>
    <x v="1"/>
    <x v="39"/>
    <s v="PWEGPL"/>
    <s v="MSEDCL"/>
    <n v="2.5000000000000001E-2"/>
    <n v="103"/>
    <x v="307"/>
    <s v="BD"/>
    <d v="1899-12-30T12:43:00"/>
    <d v="1899-12-30T12:43:00"/>
    <d v="1899-12-30T23:59:00"/>
    <n v="0"/>
    <n v="11.266666666666666"/>
    <n v="11.266666666666666"/>
    <s v="Yaw motor replacement WIP"/>
    <s v="Open"/>
    <n v="0.28166666666666668"/>
    <s v="G16"/>
    <n v="901.78712962962948"/>
    <m/>
    <m/>
    <n v="1920.9666666666665"/>
    <n v="901.78712962962948"/>
    <m/>
    <m/>
    <m/>
    <m/>
  </r>
  <r>
    <n v="512"/>
    <x v="55"/>
    <x v="1"/>
    <x v="0"/>
    <x v="2"/>
    <x v="1"/>
    <x v="0"/>
    <s v="PWEGPL"/>
    <s v="MSEDCL"/>
    <n v="2.5000000000000001E-2"/>
    <n v="110"/>
    <x v="287"/>
    <s v="BD"/>
    <d v="1899-12-30T01:34:00"/>
    <d v="1899-12-30T01:44:00"/>
    <d v="1899-12-30T02:24:00"/>
    <n v="0.16666666666666674"/>
    <n v="0.6666666666666663"/>
    <n v="0.83333333333333304"/>
    <s v="Cable twist removed &amp; started"/>
    <s v="Close"/>
    <n v="2.0833333333333329E-2"/>
    <s v="G18"/>
    <n v="5.2830825617283921"/>
    <m/>
    <m/>
    <n v="152.15277777777774"/>
    <n v="5.2830825617283921"/>
    <m/>
    <m/>
    <m/>
    <m/>
  </r>
  <r>
    <n v="513"/>
    <x v="55"/>
    <x v="1"/>
    <x v="0"/>
    <x v="2"/>
    <x v="1"/>
    <x v="38"/>
    <s v="PWEGPL"/>
    <s v="MSEDCL"/>
    <n v="2.5000000000000001E-2"/>
    <s v="CE100014"/>
    <x v="305"/>
    <s v="PM/Lift inspention"/>
    <d v="1899-12-30T14:33:00"/>
    <d v="1899-12-30T14:33:00"/>
    <d v="1899-12-30T16:51:00"/>
    <n v="0"/>
    <n v="2.2999999999999998"/>
    <n v="2.2999999999999998"/>
    <s v="Avanti lift inspection"/>
    <s v="Close"/>
    <n v="5.7499999999999996E-2"/>
    <s v="G19"/>
    <n v="49.630486111111104"/>
    <m/>
    <m/>
    <n v="517.88333333333333"/>
    <n v="49.630486111111104"/>
    <m/>
    <m/>
    <m/>
    <m/>
  </r>
  <r>
    <n v="514"/>
    <x v="55"/>
    <x v="1"/>
    <x v="0"/>
    <x v="2"/>
    <x v="1"/>
    <x v="1"/>
    <s v="PWEGPL"/>
    <s v="MSEDCL"/>
    <n v="2.5000000000000001E-2"/>
    <n v="110"/>
    <x v="287"/>
    <s v="BD"/>
    <d v="1899-12-30T12:27:00"/>
    <d v="1899-12-30T13:48:00"/>
    <d v="1899-12-30T14:25:00"/>
    <n v="1.3500000000000032"/>
    <n v="0.61666666666666448"/>
    <n v="1.9666666666666677"/>
    <s v="Cable twist removed &amp; started"/>
    <s v="Close"/>
    <n v="4.9166666666666692E-2"/>
    <s v="G24"/>
    <n v="28.699448302469172"/>
    <m/>
    <m/>
    <n v="350.23055555555578"/>
    <n v="28.699448302469172"/>
    <m/>
    <m/>
    <m/>
    <m/>
  </r>
  <r>
    <n v="515"/>
    <x v="55"/>
    <x v="1"/>
    <x v="0"/>
    <x v="2"/>
    <x v="1"/>
    <x v="25"/>
    <s v="PWEGPL"/>
    <s v="MSEDCL"/>
    <n v="2.5000000000000001E-2"/>
    <s v="CE100007"/>
    <x v="295"/>
    <s v="PM"/>
    <d v="1899-12-30T11:13:00"/>
    <d v="1899-12-30T11:13:00"/>
    <d v="1899-12-30T13:23:00"/>
    <n v="0"/>
    <n v="2.166666666666667"/>
    <n v="2.166666666666667"/>
    <s v="LC taken for DP-yard yearly maintenance"/>
    <s v="Close"/>
    <n v="5.4166666666666675E-2"/>
    <s v="G7"/>
    <n v="36.267843364197539"/>
    <m/>
    <m/>
    <n v="401.73611111111114"/>
    <n v="36.267843364197539"/>
    <m/>
    <m/>
    <m/>
    <m/>
  </r>
  <r>
    <n v="516"/>
    <x v="55"/>
    <x v="1"/>
    <x v="0"/>
    <x v="2"/>
    <x v="1"/>
    <x v="17"/>
    <s v="PWEGPL"/>
    <s v="MSEDCL"/>
    <n v="2.5000000000000001E-2"/>
    <s v="CE100007"/>
    <x v="295"/>
    <s v="PM"/>
    <d v="1899-12-30T11:13:00"/>
    <d v="1899-12-30T11:13:00"/>
    <d v="1899-12-30T13:23:00"/>
    <n v="0"/>
    <n v="2.166666666666667"/>
    <n v="2.166666666666667"/>
    <s v="LC taken for DP-yard yearly maintenance"/>
    <s v="Close"/>
    <n v="5.4166666666666675E-2"/>
    <s v="G9"/>
    <n v="40.033179012345684"/>
    <m/>
    <m/>
    <n v="443.44444444444446"/>
    <n v="40.033179012345684"/>
    <m/>
    <m/>
    <m/>
    <m/>
  </r>
  <r>
    <n v="517"/>
    <x v="55"/>
    <x v="1"/>
    <x v="0"/>
    <x v="2"/>
    <x v="1"/>
    <x v="28"/>
    <s v="PWEGPL"/>
    <s v="MSEDCL"/>
    <n v="2.5000000000000001E-2"/>
    <s v="CE100007"/>
    <x v="295"/>
    <s v="PM"/>
    <d v="1899-12-30T11:13:00"/>
    <d v="1899-12-30T11:13:00"/>
    <d v="1899-12-30T13:23:00"/>
    <n v="0"/>
    <n v="2.166666666666667"/>
    <n v="2.166666666666667"/>
    <s v="LC taken for DP-yard yearly maintenance"/>
    <s v="Close"/>
    <n v="5.4166666666666675E-2"/>
    <s v="G11"/>
    <n v="39.527874228395078"/>
    <m/>
    <m/>
    <n v="437.84722222222229"/>
    <n v="39.527874228395078"/>
    <m/>
    <m/>
    <m/>
    <m/>
  </r>
  <r>
    <n v="518"/>
    <x v="55"/>
    <x v="1"/>
    <x v="0"/>
    <x v="2"/>
    <x v="1"/>
    <x v="29"/>
    <s v="PWEGPL"/>
    <s v="MSEDCL"/>
    <n v="2.5000000000000001E-2"/>
    <s v="CE100007"/>
    <x v="295"/>
    <s v="PM"/>
    <d v="1899-12-30T11:13:00"/>
    <d v="1899-12-30T11:13:00"/>
    <d v="1899-12-30T13:23:00"/>
    <n v="0"/>
    <n v="2.166666666666667"/>
    <n v="2.166666666666667"/>
    <s v="LC taken for DP-yard yearly maintenance"/>
    <s v="Close"/>
    <n v="5.4166666666666675E-2"/>
    <s v="G12"/>
    <n v="40.114679783950628"/>
    <m/>
    <m/>
    <n v="444.34722222222229"/>
    <n v="40.114679783950628"/>
    <m/>
    <m/>
    <m/>
    <m/>
  </r>
  <r>
    <n v="519"/>
    <x v="56"/>
    <x v="1"/>
    <x v="0"/>
    <x v="2"/>
    <x v="1"/>
    <x v="20"/>
    <s v="PWEGPL"/>
    <s v="MSEDCL"/>
    <n v="2.5000000000000001E-2"/>
    <s v="CE100014"/>
    <x v="305"/>
    <s v="PM/Lift inspention"/>
    <d v="1899-12-30T11:09:00"/>
    <d v="1899-12-30T11:09:00"/>
    <d v="1899-12-30T13:41:00"/>
    <n v="0"/>
    <n v="2.5333333333333323"/>
    <n v="2.5333333333333323"/>
    <s v="Avanti lift inspection"/>
    <s v="Close"/>
    <n v="6.3333333333333311E-2"/>
    <s v="G2"/>
    <n v="23.999814814814798"/>
    <m/>
    <m/>
    <n v="227.36666666666659"/>
    <n v="23.999814814814798"/>
    <m/>
    <m/>
    <m/>
    <m/>
  </r>
  <r>
    <n v="520"/>
    <x v="56"/>
    <x v="1"/>
    <x v="0"/>
    <x v="2"/>
    <x v="1"/>
    <x v="25"/>
    <s v="PWEGPL"/>
    <s v="MSEDCL"/>
    <n v="2.5000000000000001E-2"/>
    <n v="115"/>
    <x v="308"/>
    <s v="BD"/>
    <d v="1899-12-30T00:00:00"/>
    <d v="1899-12-30T00:00:00"/>
    <d v="1899-12-30T17:53:00"/>
    <n v="0"/>
    <n v="17.883333333333333"/>
    <n v="17.883333333333333"/>
    <s v="Neccel accumulator replaced"/>
    <s v="Close"/>
    <n v="0.44708333333333333"/>
    <s v="G7"/>
    <n v="1474.6960956790124"/>
    <m/>
    <m/>
    <n v="1979.088888888889"/>
    <n v="1474.6960956790124"/>
    <m/>
    <m/>
    <m/>
    <m/>
  </r>
  <r>
    <n v="521"/>
    <x v="56"/>
    <x v="1"/>
    <x v="0"/>
    <x v="2"/>
    <x v="1"/>
    <x v="26"/>
    <s v="PWEGPL"/>
    <s v="MSEDCL"/>
    <n v="2.5000000000000001E-2"/>
    <s v="CE100014"/>
    <x v="305"/>
    <s v="PM/Lift inspention"/>
    <d v="1899-12-30T13:51:00"/>
    <d v="1899-12-30T13:51:00"/>
    <d v="1899-12-30T16:13:00"/>
    <n v="0"/>
    <n v="2.3666666666666663"/>
    <n v="2.3666666666666663"/>
    <s v="Avanti lift inspection"/>
    <s v="Close"/>
    <n v="5.9166666666666659E-2"/>
    <s v="G8"/>
    <n v="26.585829475308635"/>
    <m/>
    <m/>
    <n v="269.60277777777776"/>
    <n v="26.585829475308635"/>
    <m/>
    <m/>
    <m/>
    <m/>
  </r>
  <r>
    <n v="522"/>
    <x v="56"/>
    <x v="1"/>
    <x v="0"/>
    <x v="2"/>
    <x v="1"/>
    <x v="39"/>
    <s v="PWEGPL"/>
    <s v="MSEDCL"/>
    <n v="2.5000000000000001E-2"/>
    <n v="103"/>
    <x v="307"/>
    <s v="BD"/>
    <d v="1899-12-30T00:00:00"/>
    <d v="1899-12-30T00:00:00"/>
    <d v="1899-12-30T14:04:00"/>
    <n v="0"/>
    <n v="14.066666666666666"/>
    <n v="14.066666666666666"/>
    <s v="Yaw motor replaced"/>
    <s v="Close"/>
    <n v="0.35166666666666668"/>
    <s v="G16"/>
    <n v="581.24638888888887"/>
    <m/>
    <m/>
    <n v="991.69999999999993"/>
    <n v="581.24638888888887"/>
    <m/>
    <m/>
    <m/>
    <m/>
  </r>
  <r>
    <n v="523"/>
    <x v="56"/>
    <x v="1"/>
    <x v="0"/>
    <x v="2"/>
    <x v="1"/>
    <x v="33"/>
    <s v="PWEGPL"/>
    <s v="MSEDCL"/>
    <n v="2.5000000000000001E-2"/>
    <n v="207"/>
    <x v="309"/>
    <s v="BD"/>
    <d v="1899-12-30T15:42:00"/>
    <d v="1899-12-30T16:25:00"/>
    <d v="1899-12-30T16:25:00"/>
    <n v="0.71666666666666679"/>
    <n v="0"/>
    <n v="0.71666666666666679"/>
    <s v="Reset"/>
    <s v="Close"/>
    <n v="1.7916666666666671E-2"/>
    <s v="G22"/>
    <n v="1.8315229552469141"/>
    <m/>
    <m/>
    <n v="61.334722222222226"/>
    <n v="1.8315229552469141"/>
    <m/>
    <m/>
    <m/>
    <m/>
  </r>
  <r>
    <n v="524"/>
    <x v="56"/>
    <x v="1"/>
    <x v="0"/>
    <x v="2"/>
    <x v="1"/>
    <x v="35"/>
    <s v="PWEGPL"/>
    <s v="MSEDCL"/>
    <n v="2.5000000000000001E-2"/>
    <n v="108"/>
    <x v="310"/>
    <s v="BD"/>
    <d v="1899-12-30T05:34:00"/>
    <d v="1899-12-30T05:34:00"/>
    <d v="1899-12-30T06:12:00"/>
    <n v="0"/>
    <n v="0.63333333333333441"/>
    <n v="0.63333333333333441"/>
    <s v="Cable twist removed &amp; started"/>
    <s v="Close"/>
    <n v="1.5833333333333362E-2"/>
    <s v="G25"/>
    <n v="1.4038888888888936"/>
    <m/>
    <m/>
    <n v="53.200000000000088"/>
    <n v="1.4038888888888936"/>
    <m/>
    <m/>
    <m/>
    <m/>
  </r>
  <r>
    <n v="525"/>
    <x v="57"/>
    <x v="1"/>
    <x v="0"/>
    <x v="2"/>
    <x v="1"/>
    <x v="21"/>
    <s v="PWEGPL"/>
    <s v="MSEDCL"/>
    <n v="2.5000000000000001E-2"/>
    <s v="CE100014"/>
    <x v="305"/>
    <s v="PM/Lift inspention"/>
    <d v="1899-12-30T10:45:00"/>
    <d v="1899-12-30T10:45:00"/>
    <d v="1899-12-30T13:16:00"/>
    <n v="0"/>
    <n v="2.5166666666666671"/>
    <n v="2.5166666666666671"/>
    <s v="Avanti lift inspection"/>
    <s v="Close"/>
    <n v="6.2916666666666676E-2"/>
    <s v="G3"/>
    <n v="7.7293124999999998"/>
    <m/>
    <m/>
    <n v="73.709999999999994"/>
    <n v="7.7293124999999998"/>
    <m/>
    <m/>
    <m/>
    <m/>
  </r>
  <r>
    <n v="526"/>
    <x v="57"/>
    <x v="1"/>
    <x v="0"/>
    <x v="2"/>
    <x v="1"/>
    <x v="23"/>
    <s v="PWEGPL"/>
    <s v="MSEDCL"/>
    <n v="2.5000000000000001E-2"/>
    <s v="CE100014"/>
    <x v="305"/>
    <s v="PM/Lift inspention"/>
    <d v="1899-12-30T13:28:00"/>
    <d v="1899-12-30T13:28:00"/>
    <d v="1899-12-30T16:16:00"/>
    <n v="0"/>
    <n v="2.799999999999998"/>
    <n v="2.799999999999998"/>
    <s v="Avanti lift inspection"/>
    <s v="Close"/>
    <n v="6.9999999999999951E-2"/>
    <s v="G5"/>
    <n v="16.333333333333311"/>
    <m/>
    <m/>
    <n v="139.99999999999991"/>
    <n v="16.333333333333311"/>
    <m/>
    <m/>
    <m/>
    <m/>
  </r>
  <r>
    <n v="527"/>
    <x v="57"/>
    <x v="1"/>
    <x v="0"/>
    <x v="2"/>
    <x v="1"/>
    <x v="29"/>
    <s v="PWEGPL"/>
    <s v="MSEDCL"/>
    <n v="2.5000000000000001E-2"/>
    <n v="5263"/>
    <x v="311"/>
    <s v="BD"/>
    <d v="1899-12-30T11:07:00"/>
    <d v="1899-12-30T11:40:00"/>
    <d v="1899-12-30T13:01:00"/>
    <n v="0.54999999999999938"/>
    <n v="1.3500000000000019"/>
    <n v="1.9000000000000012"/>
    <s v="Reset"/>
    <s v="Close"/>
    <n v="4.7500000000000035E-2"/>
    <s v="G12"/>
    <n v="5.5403472222222296"/>
    <m/>
    <m/>
    <n v="69.983333333333377"/>
    <n v="5.5403472222222296"/>
    <m/>
    <m/>
    <m/>
    <m/>
  </r>
  <r>
    <n v="528"/>
    <x v="57"/>
    <x v="1"/>
    <x v="0"/>
    <x v="2"/>
    <x v="1"/>
    <x v="19"/>
    <s v="PWEGPL"/>
    <s v="MSEDCL"/>
    <n v="2.5000000000000001E-2"/>
    <n v="205"/>
    <x v="312"/>
    <s v="BD"/>
    <d v="1899-12-30T01:54:00"/>
    <d v="1899-12-30T02:37:00"/>
    <d v="1899-12-30T02:37:00"/>
    <n v="0.71666666666666679"/>
    <n v="0"/>
    <n v="0.71666666666666679"/>
    <s v="Oil Topup"/>
    <s v="Close"/>
    <n v="1.7916666666666671E-2"/>
    <s v="G19"/>
    <n v="1.1467081404320991"/>
    <m/>
    <m/>
    <n v="38.401388888888896"/>
    <n v="1.1467081404320991"/>
    <m/>
    <m/>
    <m/>
    <m/>
  </r>
  <r>
    <n v="529"/>
    <x v="57"/>
    <x v="1"/>
    <x v="0"/>
    <x v="2"/>
    <x v="1"/>
    <x v="33"/>
    <s v="PWEGPL"/>
    <s v="MSEDCL"/>
    <n v="2.5000000000000001E-2"/>
    <n v="207"/>
    <x v="309"/>
    <s v="BD"/>
    <d v="1899-12-30T16:14:00"/>
    <d v="1899-12-30T18:40:00"/>
    <d v="1899-12-30T18:44:00"/>
    <n v="2.4333333333333327"/>
    <n v="6.666666666666643E-2"/>
    <n v="2.4999999999999991"/>
    <s v="Reset"/>
    <s v="Close"/>
    <n v="6.2499999999999979E-2"/>
    <s v="G22"/>
    <n v="16.471354166666654"/>
    <m/>
    <m/>
    <n v="158.12499999999994"/>
    <n v="16.471354166666654"/>
    <m/>
    <m/>
    <m/>
    <m/>
  </r>
  <r>
    <n v="530"/>
    <x v="57"/>
    <x v="1"/>
    <x v="0"/>
    <x v="2"/>
    <x v="1"/>
    <x v="1"/>
    <s v="PWEGPL"/>
    <s v="MSEDCL"/>
    <n v="2.5000000000000001E-2"/>
    <n v="205"/>
    <x v="312"/>
    <s v="BD"/>
    <d v="1899-12-30T14:26:00"/>
    <d v="1899-12-30T15:10:00"/>
    <d v="1899-12-30T16:09:00"/>
    <n v="0.73333333333333339"/>
    <n v="0.9833333333333325"/>
    <n v="1.7166666666666659"/>
    <s v="Oil Topup"/>
    <s v="Close"/>
    <n v="4.2916666666666652E-2"/>
    <s v="G24"/>
    <n v="7.1013175154320916"/>
    <m/>
    <m/>
    <n v="99.280555555555509"/>
    <n v="7.1013175154320916"/>
    <m/>
    <m/>
    <m/>
    <m/>
  </r>
  <r>
    <n v="531"/>
    <x v="57"/>
    <x v="1"/>
    <x v="0"/>
    <x v="2"/>
    <x v="1"/>
    <x v="35"/>
    <s v="PWEGPL"/>
    <s v="MSEDCL"/>
    <n v="2.5000000000000001E-2"/>
    <n v="907"/>
    <x v="292"/>
    <s v="BD"/>
    <d v="1899-12-30T11:31:00"/>
    <d v="1899-12-30T12:01:00"/>
    <d v="1899-12-30T14:09:00"/>
    <n v="0.49999999999999956"/>
    <n v="2.1333333333333337"/>
    <n v="2.6333333333333333"/>
    <s v="Relay replaced 24 volt"/>
    <s v="Close"/>
    <n v="6.5833333333333341E-2"/>
    <s v="G25"/>
    <n v="17.095331790123456"/>
    <m/>
    <m/>
    <n v="155.80555555555554"/>
    <n v="17.095331790123456"/>
    <m/>
    <m/>
    <m/>
    <m/>
  </r>
  <r>
    <n v="532"/>
    <x v="57"/>
    <x v="1"/>
    <x v="0"/>
    <x v="2"/>
    <x v="1"/>
    <x v="7"/>
    <s v="PWEGPL"/>
    <s v="MSEDCL"/>
    <n v="2.5000000000000001E-2"/>
    <s v="CE100010"/>
    <x v="296"/>
    <s v="PM"/>
    <d v="1899-12-30T10:02:00"/>
    <d v="1899-12-30T10:02:00"/>
    <d v="1899-12-30T17:40:00"/>
    <n v="0"/>
    <n v="7.6333333333333346"/>
    <n v="7.6333333333333346"/>
    <s v="102 PM service"/>
    <s v="Close"/>
    <n v="0.19083333333333338"/>
    <s v="G39"/>
    <n v="157.20160879629637"/>
    <m/>
    <m/>
    <n v="494.25833333333344"/>
    <n v="157.20160879629637"/>
    <m/>
    <m/>
    <m/>
    <m/>
  </r>
  <r>
    <n v="533"/>
    <x v="57"/>
    <x v="1"/>
    <x v="0"/>
    <x v="2"/>
    <x v="1"/>
    <x v="29"/>
    <s v="PWEGPL"/>
    <s v="MSEDCL"/>
    <n v="2.5000000000000001E-2"/>
    <n v="5263"/>
    <x v="311"/>
    <s v="BD"/>
    <d v="1899-12-30T00:19:00"/>
    <d v="1899-12-30T01:03:00"/>
    <d v="1899-12-30T01:13:00"/>
    <n v="0.73333333333333339"/>
    <n v="0.16666666666666674"/>
    <n v="0.90000000000000013"/>
    <s v="Reset"/>
    <s v="Close"/>
    <n v="2.2500000000000006E-2"/>
    <s v="G12"/>
    <n v="1.2431250000000005"/>
    <m/>
    <m/>
    <n v="33.150000000000006"/>
    <n v="1.2431250000000005"/>
    <m/>
    <m/>
    <m/>
    <m/>
  </r>
  <r>
    <n v="534"/>
    <x v="58"/>
    <x v="1"/>
    <x v="0"/>
    <x v="2"/>
    <x v="1"/>
    <x v="22"/>
    <s v="PWEGPL"/>
    <s v="MSEDCL"/>
    <n v="2.5000000000000001E-2"/>
    <s v="CE100014"/>
    <x v="305"/>
    <s v="PM/Lift inspention"/>
    <d v="1899-12-30T11:01:00"/>
    <d v="1899-12-30T11:01:00"/>
    <d v="1899-12-30T13:24:00"/>
    <n v="0"/>
    <n v="2.3833333333333329"/>
    <n v="2.3833333333333329"/>
    <s v="Avanti lift inspection"/>
    <s v="Close"/>
    <n v="5.9583333333333321E-2"/>
    <s v="G4"/>
    <n v="35.896199845678993"/>
    <m/>
    <m/>
    <n v="361.47222222222211"/>
    <n v="35.896199845678993"/>
    <m/>
    <m/>
    <m/>
    <m/>
  </r>
  <r>
    <n v="535"/>
    <x v="58"/>
    <x v="1"/>
    <x v="0"/>
    <x v="2"/>
    <x v="1"/>
    <x v="24"/>
    <s v="PWEGPL"/>
    <s v="MSEDCL"/>
    <n v="2.5000000000000001E-2"/>
    <n v="118"/>
    <x v="313"/>
    <s v="BD"/>
    <d v="1899-12-30T14:26:00"/>
    <d v="1899-12-30T15:01:00"/>
    <d v="1899-12-30T17:14:00"/>
    <n v="0.58333333333333393"/>
    <n v="2.2166666666666668"/>
    <n v="2.8000000000000007"/>
    <s v="Repair work yaw system"/>
    <s v="Close"/>
    <n v="7.0000000000000021E-2"/>
    <s v="G6"/>
    <n v="49.285833333333358"/>
    <m/>
    <m/>
    <n v="422.4500000000001"/>
    <n v="49.285833333333358"/>
    <m/>
    <m/>
    <m/>
    <m/>
  </r>
  <r>
    <n v="536"/>
    <x v="58"/>
    <x v="1"/>
    <x v="0"/>
    <x v="2"/>
    <x v="1"/>
    <x v="25"/>
    <s v="PWEGPL"/>
    <s v="MSEDCL"/>
    <n v="2.5000000000000001E-2"/>
    <s v="CE100014"/>
    <x v="305"/>
    <s v="PM/Lift inspention"/>
    <d v="1899-12-30T13:35:00"/>
    <d v="1899-12-30T13:35:00"/>
    <d v="1899-12-30T15:52:00"/>
    <n v="0"/>
    <n v="2.2833333333333332"/>
    <n v="2.2833333333333332"/>
    <s v="Avanti lift inspection"/>
    <s v="Close"/>
    <n v="5.7083333333333333E-2"/>
    <s v="G7"/>
    <n v="33.037639853395063"/>
    <m/>
    <m/>
    <n v="347.25694444444446"/>
    <n v="33.037639853395063"/>
    <m/>
    <m/>
    <m/>
    <m/>
  </r>
  <r>
    <n v="537"/>
    <x v="58"/>
    <x v="1"/>
    <x v="0"/>
    <x v="2"/>
    <x v="1"/>
    <x v="29"/>
    <s v="PWEGPL"/>
    <s v="MSEDCL"/>
    <n v="2.5000000000000001E-2"/>
    <n v="2118"/>
    <x v="293"/>
    <s v="BD"/>
    <d v="1899-12-30T17:51:00"/>
    <d v="1899-12-30T18:20:00"/>
    <d v="1899-12-30T18:30:00"/>
    <n v="0.48333333333333162"/>
    <n v="0.16666666666666874"/>
    <n v="0.65000000000000036"/>
    <s v="reset"/>
    <s v="Close"/>
    <n v="1.6250000000000011E-2"/>
    <s v="G12"/>
    <n v="2.5320659722222252"/>
    <m/>
    <m/>
    <n v="93.491666666666717"/>
    <n v="2.5320659722222252"/>
    <m/>
    <m/>
    <m/>
    <m/>
  </r>
  <r>
    <n v="538"/>
    <x v="58"/>
    <x v="1"/>
    <x v="0"/>
    <x v="2"/>
    <x v="1"/>
    <x v="37"/>
    <s v="PWEGPL"/>
    <s v="MSEDCL"/>
    <n v="2.5000000000000001E-2"/>
    <s v="CE100007"/>
    <x v="295"/>
    <s v="BD"/>
    <d v="1899-12-30T04:58:00"/>
    <d v="1899-12-30T04:58:00"/>
    <d v="1899-12-30T05:29:00"/>
    <n v="0"/>
    <n v="0.51666666666666616"/>
    <n v="0.51666666666666616"/>
    <s v="Isolator female jaw replaced"/>
    <s v="Close"/>
    <n v="1.2916666666666654E-2"/>
    <s v="G17"/>
    <n v="2.0725270061728356"/>
    <m/>
    <m/>
    <n v="96.27222222222214"/>
    <n v="2.0725270061728356"/>
    <m/>
    <m/>
    <m/>
    <m/>
  </r>
  <r>
    <n v="539"/>
    <x v="58"/>
    <x v="1"/>
    <x v="0"/>
    <x v="2"/>
    <x v="1"/>
    <x v="0"/>
    <s v="PWEGPL"/>
    <s v="MSEDCL"/>
    <n v="2.5000000000000001E-2"/>
    <s v="CE100007"/>
    <x v="295"/>
    <s v="BD"/>
    <d v="1899-12-30T04:58:00"/>
    <d v="1899-12-30T04:58:00"/>
    <d v="1899-12-30T05:29:00"/>
    <n v="0"/>
    <n v="0.51666666666666616"/>
    <n v="0.51666666666666616"/>
    <s v="Isolator female jaw replaced"/>
    <s v="Close"/>
    <n v="1.2916666666666654E-2"/>
    <s v="G18"/>
    <n v="1.8500733024691323"/>
    <m/>
    <m/>
    <n v="85.938888888888812"/>
    <n v="1.8500733024691323"/>
    <m/>
    <m/>
    <m/>
    <m/>
  </r>
  <r>
    <n v="540"/>
    <x v="58"/>
    <x v="1"/>
    <x v="0"/>
    <x v="2"/>
    <x v="1"/>
    <x v="38"/>
    <s v="PWEGPL"/>
    <s v="MSEDCL"/>
    <n v="2.5000000000000001E-2"/>
    <s v="CE100007"/>
    <x v="295"/>
    <s v="BD"/>
    <d v="1899-12-30T04:58:00"/>
    <d v="1899-12-30T04:58:00"/>
    <d v="1899-12-30T05:29:00"/>
    <n v="0"/>
    <n v="0.51666666666666616"/>
    <n v="0.51666666666666616"/>
    <s v="Isolator female jaw replaced"/>
    <s v="Close"/>
    <n v="1.2916666666666654E-2"/>
    <s v="G19"/>
    <n v="1.8871489197530829"/>
    <m/>
    <m/>
    <n v="87.661111111111026"/>
    <n v="1.8871489197530829"/>
    <m/>
    <m/>
    <m/>
    <m/>
  </r>
  <r>
    <n v="541"/>
    <x v="58"/>
    <x v="1"/>
    <x v="0"/>
    <x v="2"/>
    <x v="1"/>
    <x v="18"/>
    <s v="PWEGPL"/>
    <s v="MSEDCL"/>
    <n v="2.5000000000000001E-2"/>
    <s v="CE100007"/>
    <x v="295"/>
    <s v="BD"/>
    <d v="1899-12-30T04:58:00"/>
    <d v="1899-12-30T04:58:00"/>
    <d v="1899-12-30T05:29:00"/>
    <n v="0"/>
    <n v="0.51666666666666616"/>
    <n v="0.51666666666666616"/>
    <s v="Isolator female jaw replaced"/>
    <s v="Close"/>
    <n v="1.2916666666666654E-2"/>
    <s v="G20"/>
    <n v="2.1318479938271562"/>
    <m/>
    <m/>
    <n v="99.027777777777672"/>
    <n v="2.1318479938271562"/>
    <m/>
    <m/>
    <m/>
    <m/>
  </r>
  <r>
    <n v="542"/>
    <x v="58"/>
    <x v="1"/>
    <x v="0"/>
    <x v="2"/>
    <x v="1"/>
    <x v="19"/>
    <s v="PWEGPL"/>
    <s v="MSEDCL"/>
    <n v="2.5000000000000001E-2"/>
    <s v="CE100007"/>
    <x v="295"/>
    <s v="BD"/>
    <d v="1899-12-30T04:58:00"/>
    <d v="1899-12-30T04:58:00"/>
    <d v="1899-12-30T05:29:00"/>
    <n v="0"/>
    <n v="0.51666666666666616"/>
    <n v="0.51666666666666616"/>
    <s v="Isolator female jaw replaced"/>
    <s v="Close"/>
    <n v="1.2916666666666654E-2"/>
    <s v="G19"/>
    <n v="1.8871489197530829"/>
    <m/>
    <m/>
    <n v="87.661111111111026"/>
    <n v="1.8871489197530829"/>
    <m/>
    <m/>
    <m/>
    <m/>
  </r>
  <r>
    <n v="543"/>
    <x v="58"/>
    <x v="1"/>
    <x v="0"/>
    <x v="2"/>
    <x v="1"/>
    <x v="33"/>
    <s v="PWEGPL"/>
    <s v="MSEDCL"/>
    <n v="2.5000000000000001E-2"/>
    <n v="200"/>
    <x v="314"/>
    <s v="BD"/>
    <d v="1899-12-30T11:20:00"/>
    <d v="1899-12-30T11:20:00"/>
    <d v="1899-12-30T16:23:00"/>
    <n v="0"/>
    <n v="5.0499999999999989"/>
    <n v="5.0499999999999989"/>
    <s v="accumulator replaced"/>
    <s v="Close"/>
    <n v="0.12624999999999997"/>
    <s v="G22"/>
    <n v="250.59748263888878"/>
    <m/>
    <m/>
    <n v="1190.958333333333"/>
    <n v="250.59748263888878"/>
    <m/>
    <m/>
    <m/>
    <m/>
  </r>
  <r>
    <n v="544"/>
    <x v="58"/>
    <x v="1"/>
    <x v="0"/>
    <x v="2"/>
    <x v="1"/>
    <x v="34"/>
    <s v="PWEGPL"/>
    <s v="MSEDCL"/>
    <n v="2.5000000000000001E-2"/>
    <n v="5216"/>
    <x v="306"/>
    <s v="BD"/>
    <d v="1899-12-30T06:52:00"/>
    <d v="1899-12-30T06:52:00"/>
    <d v="1899-12-30T06:53:00"/>
    <n v="0"/>
    <n v="1.6666666666665275E-2"/>
    <n v="1.6666666666665275E-2"/>
    <s v="reset"/>
    <s v="Close"/>
    <n v="4.1666666666663189E-4"/>
    <s v="G23"/>
    <n v="2.465277777777366E-3"/>
    <m/>
    <m/>
    <n v="3.5499999999997036"/>
    <n v="2.465277777777366E-3"/>
    <m/>
    <m/>
    <m/>
    <m/>
  </r>
  <r>
    <n v="545"/>
    <x v="58"/>
    <x v="1"/>
    <x v="0"/>
    <x v="2"/>
    <x v="1"/>
    <x v="1"/>
    <s v="PWEGPL"/>
    <s v="MSEDCL"/>
    <n v="2.5000000000000001E-2"/>
    <n v="115"/>
    <x v="308"/>
    <s v="BD"/>
    <d v="1899-12-30T11:45:00"/>
    <d v="1899-12-30T11:45:00"/>
    <d v="1899-12-30T18:16:00"/>
    <n v="0"/>
    <n v="6.5166666666666657"/>
    <n v="6.5166666666666657"/>
    <s v="Yaw caliper replaced"/>
    <s v="Close"/>
    <n v="0.16291666666666665"/>
    <s v="G24"/>
    <n v="395.32596547067885"/>
    <m/>
    <m/>
    <n v="1455.9319444444441"/>
    <n v="395.32596547067885"/>
    <m/>
    <m/>
    <m/>
    <m/>
  </r>
  <r>
    <n v="546"/>
    <x v="58"/>
    <x v="1"/>
    <x v="0"/>
    <x v="2"/>
    <x v="1"/>
    <x v="35"/>
    <s v="PWEGPL"/>
    <s v="MSEDCL"/>
    <n v="2.5000000000000001E-2"/>
    <n v="5216"/>
    <x v="306"/>
    <s v="BD"/>
    <d v="1899-12-30T06:52:00"/>
    <d v="1899-12-30T06:52:00"/>
    <d v="1899-12-30T06:53:00"/>
    <n v="0"/>
    <n v="1.6666666666665275E-2"/>
    <n v="1.6666666666665275E-2"/>
    <s v="reset"/>
    <s v="Close"/>
    <n v="4.1666666666663189E-4"/>
    <s v="G25"/>
    <n v="2.4131944444440415E-3"/>
    <m/>
    <m/>
    <n v="3.4749999999997101"/>
    <n v="2.4131944444440415E-3"/>
    <m/>
    <m/>
    <m/>
    <m/>
  </r>
  <r>
    <n v="547"/>
    <x v="58"/>
    <x v="1"/>
    <x v="0"/>
    <x v="2"/>
    <x v="1"/>
    <x v="36"/>
    <s v="PWEGPL"/>
    <s v="MSEDCL"/>
    <n v="2.5000000000000001E-2"/>
    <n v="5216"/>
    <x v="306"/>
    <s v="BD"/>
    <d v="1899-12-30T06:52:00"/>
    <d v="1899-12-30T06:52:00"/>
    <d v="1899-12-30T06:53:00"/>
    <n v="0"/>
    <n v="1.6666666666665275E-2"/>
    <n v="1.6666666666665275E-2"/>
    <s v="reset"/>
    <s v="Close"/>
    <n v="4.1666666666663189E-4"/>
    <s v="G26"/>
    <n v="2.8115354938266909E-3"/>
    <m/>
    <m/>
    <n v="4.0486111111107732"/>
    <n v="2.8115354938266909E-3"/>
    <m/>
    <m/>
    <m/>
    <m/>
  </r>
  <r>
    <n v="548"/>
    <x v="58"/>
    <x v="1"/>
    <x v="0"/>
    <x v="2"/>
    <x v="1"/>
    <x v="8"/>
    <s v="PWEGPL"/>
    <s v="MSEDCL"/>
    <n v="2.5000000000000001E-2"/>
    <n v="5216"/>
    <x v="306"/>
    <s v="BD"/>
    <d v="1899-12-30T06:52:00"/>
    <d v="1899-12-30T06:52:00"/>
    <d v="1899-12-30T06:53:00"/>
    <n v="0"/>
    <n v="1.6666666666665275E-2"/>
    <n v="1.6666666666665275E-2"/>
    <s v="reset"/>
    <s v="Close"/>
    <n v="4.1666666666663189E-4"/>
    <s v="G28"/>
    <n v="2.0871913580243432E-3"/>
    <m/>
    <m/>
    <n v="3.0055555555553046"/>
    <n v="2.0871913580243432E-3"/>
    <m/>
    <m/>
    <m/>
    <m/>
  </r>
  <r>
    <n v="549"/>
    <x v="58"/>
    <x v="1"/>
    <x v="0"/>
    <x v="2"/>
    <x v="1"/>
    <x v="9"/>
    <s v="PWEGPL"/>
    <s v="MSEDCL"/>
    <n v="2.5000000000000001E-2"/>
    <n v="800"/>
    <x v="298"/>
    <s v="BD"/>
    <d v="1899-12-30T06:23:00"/>
    <d v="1899-12-30T09:10:00"/>
    <d v="1899-12-30T12:35:00"/>
    <n v="2.7833333333333328"/>
    <n v="3.4166666666666679"/>
    <n v="6.2000000000000011"/>
    <s v="proportional valve changed"/>
    <s v="Close"/>
    <n v="0.15500000000000003"/>
    <s v="G29"/>
    <n v="359.30722222222238"/>
    <m/>
    <m/>
    <n v="1390.866666666667"/>
    <n v="359.30722222222238"/>
    <m/>
    <m/>
    <m/>
    <m/>
  </r>
  <r>
    <n v="550"/>
    <x v="58"/>
    <x v="1"/>
    <x v="0"/>
    <x v="2"/>
    <x v="1"/>
    <x v="10"/>
    <s v="PWEGPL"/>
    <s v="MSEDCL"/>
    <n v="2.5000000000000001E-2"/>
    <n v="5216"/>
    <x v="306"/>
    <s v="BD"/>
    <d v="1899-12-30T06:52:00"/>
    <d v="1899-12-30T06:52:00"/>
    <d v="1899-12-30T06:53:00"/>
    <n v="0"/>
    <n v="1.6666666666665275E-2"/>
    <n v="1.6666666666665275E-2"/>
    <s v="reset"/>
    <s v="Close"/>
    <n v="4.1666666666663189E-4"/>
    <s v="G30"/>
    <n v="2.6890432098760943E-3"/>
    <m/>
    <m/>
    <n v="3.8722222222218989"/>
    <n v="2.6890432098760943E-3"/>
    <m/>
    <m/>
    <m/>
    <m/>
  </r>
  <r>
    <n v="551"/>
    <x v="58"/>
    <x v="1"/>
    <x v="0"/>
    <x v="2"/>
    <x v="1"/>
    <x v="11"/>
    <s v="PWEGPL"/>
    <s v="MSEDCL"/>
    <n v="2.5000000000000001E-2"/>
    <n v="5216"/>
    <x v="306"/>
    <s v="BD"/>
    <d v="1899-12-30T06:52:00"/>
    <d v="1899-12-30T06:52:00"/>
    <d v="1899-12-30T06:53:00"/>
    <n v="0"/>
    <n v="1.6666666666665275E-2"/>
    <n v="1.6666666666665275E-2"/>
    <s v="reset"/>
    <s v="Close"/>
    <n v="4.1666666666663189E-4"/>
    <s v="G31"/>
    <n v="2.96006944444395E-3"/>
    <m/>
    <m/>
    <n v="4.262499999999644"/>
    <n v="2.96006944444395E-3"/>
    <m/>
    <m/>
    <m/>
    <m/>
  </r>
  <r>
    <n v="552"/>
    <x v="58"/>
    <x v="1"/>
    <x v="0"/>
    <x v="2"/>
    <x v="1"/>
    <x v="12"/>
    <s v="PWEGPL"/>
    <s v="MSEDCL"/>
    <n v="2.5000000000000001E-2"/>
    <n v="5216"/>
    <x v="306"/>
    <s v="BD"/>
    <d v="1899-12-30T06:52:00"/>
    <d v="1899-12-30T06:52:00"/>
    <d v="1899-12-30T06:53:00"/>
    <n v="0"/>
    <n v="1.6666666666665275E-2"/>
    <n v="1.6666666666665275E-2"/>
    <s v="reset"/>
    <s v="Close"/>
    <n v="4.1666666666663189E-4"/>
    <s v="G32"/>
    <n v="2.4546682098761335E-3"/>
    <m/>
    <m/>
    <n v="3.5347222222219274"/>
    <n v="2.4546682098761335E-3"/>
    <m/>
    <m/>
    <m/>
    <m/>
  </r>
  <r>
    <n v="553"/>
    <x v="59"/>
    <x v="1"/>
    <x v="0"/>
    <x v="2"/>
    <x v="1"/>
    <x v="24"/>
    <s v="PWEGPL"/>
    <s v="MSEDCL"/>
    <n v="2.5000000000000001E-2"/>
    <n v="118"/>
    <x v="313"/>
    <s v="BD"/>
    <d v="1899-12-30T00:12:00"/>
    <d v="1899-12-30T01:07:00"/>
    <d v="1899-12-30T02:58:00"/>
    <n v="0.91666666666666674"/>
    <n v="1.85"/>
    <n v="2.7666666666666666"/>
    <s v="Trouble shooting"/>
    <s v="Close"/>
    <n v="6.9166666666666668E-2"/>
    <s v="G6"/>
    <n v="157.44766975308642"/>
    <m/>
    <m/>
    <n v="1365.8111111111111"/>
    <n v="157.44766975308642"/>
    <m/>
    <m/>
    <m/>
    <m/>
  </r>
  <r>
    <n v="554"/>
    <x v="59"/>
    <x v="1"/>
    <x v="0"/>
    <x v="2"/>
    <x v="1"/>
    <x v="27"/>
    <s v="PWEGPL"/>
    <s v="MSEDCL"/>
    <n v="2.5000000000000001E-2"/>
    <s v="CE100007"/>
    <x v="295"/>
    <s v="PM"/>
    <d v="1899-12-30T11:22:00"/>
    <d v="1899-12-30T11:22:00"/>
    <d v="1899-12-30T12:28:00"/>
    <n v="0"/>
    <n v="1.1000000000000001"/>
    <n v="1.1000000000000001"/>
    <s v="LC taken for VCB-yard yearly maintenance"/>
    <s v="Close"/>
    <n v="2.7500000000000004E-2"/>
    <s v="G10"/>
    <n v="25.309166666666673"/>
    <m/>
    <m/>
    <n v="552.20000000000005"/>
    <n v="25.309166666666673"/>
    <m/>
    <m/>
    <m/>
    <m/>
  </r>
  <r>
    <n v="555"/>
    <x v="59"/>
    <x v="1"/>
    <x v="0"/>
    <x v="2"/>
    <x v="1"/>
    <x v="28"/>
    <s v="PWEGPL"/>
    <s v="MSEDCL"/>
    <n v="2.5000000000000001E-2"/>
    <s v="CE100014"/>
    <x v="305"/>
    <s v="PM/Lift inspention"/>
    <d v="1899-12-30T13:13:00"/>
    <d v="1899-12-30T13:13:00"/>
    <d v="1899-12-30T15:33:00"/>
    <n v="0"/>
    <n v="2.333333333333333"/>
    <n v="2.333333333333333"/>
    <s v=" Avanti Lift Inspection"/>
    <s v="Close"/>
    <n v="5.8333333333333327E-2"/>
    <s v="G11"/>
    <n v="74.6909722222222"/>
    <m/>
    <m/>
    <n v="768.24999999999989"/>
    <n v="74.6909722222222"/>
    <m/>
    <m/>
    <m/>
    <m/>
  </r>
  <r>
    <n v="556"/>
    <x v="59"/>
    <x v="1"/>
    <x v="0"/>
    <x v="2"/>
    <x v="1"/>
    <x v="29"/>
    <s v="PWEGPL"/>
    <s v="MSEDCL"/>
    <n v="2.5000000000000001E-2"/>
    <s v="CE100014"/>
    <x v="305"/>
    <s v="PM/Lift inspention"/>
    <d v="1899-12-30T10:41:00"/>
    <d v="1899-12-30T10:41:00"/>
    <d v="1899-12-30T13:06:00"/>
    <n v="0"/>
    <n v="2.4166666666666647"/>
    <n v="2.4166666666666647"/>
    <s v=" Avanti Lift Inspection"/>
    <s v="Close"/>
    <n v="6.0416666666666619E-2"/>
    <s v="G12"/>
    <n v="107.01092303240723"/>
    <m/>
    <m/>
    <n v="1062.7291666666658"/>
    <n v="107.01092303240723"/>
    <m/>
    <m/>
    <m/>
    <m/>
  </r>
  <r>
    <n v="557"/>
    <x v="59"/>
    <x v="1"/>
    <x v="0"/>
    <x v="2"/>
    <x v="1"/>
    <x v="30"/>
    <s v="PWEGPL"/>
    <s v="MSEDCL"/>
    <n v="2.5000000000000001E-2"/>
    <s v="CE100007"/>
    <x v="295"/>
    <s v="PM"/>
    <d v="1899-12-30T11:22:00"/>
    <d v="1899-12-30T11:22:00"/>
    <d v="1899-12-30T12:28:00"/>
    <n v="0"/>
    <n v="1.1000000000000001"/>
    <n v="1.1000000000000001"/>
    <s v="LC taken for VCB-yard yearly maintenance"/>
    <s v="Close"/>
    <n v="2.7500000000000004E-2"/>
    <s v="G13"/>
    <n v="22.406006944444449"/>
    <m/>
    <m/>
    <n v="488.85833333333341"/>
    <n v="22.406006944444449"/>
    <m/>
    <m/>
    <m/>
    <m/>
  </r>
  <r>
    <n v="558"/>
    <x v="59"/>
    <x v="1"/>
    <x v="0"/>
    <x v="2"/>
    <x v="1"/>
    <x v="31"/>
    <s v="PWEGPL"/>
    <s v="MSEDCL"/>
    <n v="2.5000000000000001E-2"/>
    <s v="CE100007"/>
    <x v="295"/>
    <s v="PM"/>
    <d v="1899-12-30T11:22:00"/>
    <d v="1899-12-30T11:22:00"/>
    <d v="1899-12-30T12:28:00"/>
    <n v="0"/>
    <n v="1.1000000000000001"/>
    <n v="1.1000000000000001"/>
    <s v="LC taken for VCB-yard yearly maintenance"/>
    <s v="Close"/>
    <n v="2.7500000000000004E-2"/>
    <s v="G14"/>
    <n v="22.095104166666673"/>
    <m/>
    <m/>
    <n v="482.07500000000005"/>
    <n v="22.095104166666673"/>
    <m/>
    <m/>
    <m/>
    <m/>
  </r>
  <r>
    <n v="559"/>
    <x v="59"/>
    <x v="1"/>
    <x v="0"/>
    <x v="2"/>
    <x v="1"/>
    <x v="32"/>
    <s v="PWEGPL"/>
    <s v="MSEDCL"/>
    <n v="2.5000000000000001E-2"/>
    <s v="CE100007"/>
    <x v="295"/>
    <s v="PM"/>
    <d v="1899-12-30T11:22:00"/>
    <d v="1899-12-30T11:22:00"/>
    <d v="1899-12-30T12:28:00"/>
    <n v="0"/>
    <n v="1.1000000000000001"/>
    <n v="1.1000000000000001"/>
    <s v="LC taken for VCB-yard yearly maintenance"/>
    <s v="Close"/>
    <n v="2.7500000000000004E-2"/>
    <s v="G15"/>
    <n v="21.897638888888892"/>
    <m/>
    <m/>
    <n v="477.76666666666671"/>
    <n v="21.897638888888892"/>
    <m/>
    <m/>
    <m/>
    <m/>
  </r>
  <r>
    <n v="560"/>
    <x v="59"/>
    <x v="1"/>
    <x v="0"/>
    <x v="2"/>
    <x v="1"/>
    <x v="39"/>
    <s v="PWEGPL"/>
    <s v="MSEDCL"/>
    <n v="2.5000000000000001E-2"/>
    <s v="CE100007"/>
    <x v="295"/>
    <s v="PM"/>
    <d v="1899-12-30T11:22:00"/>
    <d v="1899-12-30T11:22:00"/>
    <d v="1899-12-30T12:28:00"/>
    <n v="0"/>
    <n v="1.1000000000000001"/>
    <n v="1.1000000000000001"/>
    <s v="LC taken for VCB-yard yearly maintenance"/>
    <s v="Close"/>
    <n v="2.7500000000000004E-2"/>
    <s v="G16"/>
    <n v="16.427430555555556"/>
    <m/>
    <m/>
    <n v="358.41666666666669"/>
    <n v="16.427430555555556"/>
    <m/>
    <m/>
    <m/>
    <m/>
  </r>
  <r>
    <n v="561"/>
    <x v="59"/>
    <x v="1"/>
    <x v="0"/>
    <x v="2"/>
    <x v="1"/>
    <x v="37"/>
    <s v="PWEGPL"/>
    <s v="MSEDCL"/>
    <n v="2.5000000000000001E-2"/>
    <s v="CE100007"/>
    <x v="295"/>
    <s v="PM"/>
    <d v="1899-12-30T11:22:00"/>
    <d v="1899-12-30T11:22:00"/>
    <d v="1899-12-30T12:28:00"/>
    <n v="0"/>
    <n v="1.1000000000000001"/>
    <n v="1.1000000000000001"/>
    <s v="LC taken for VCB-yard yearly maintenance"/>
    <s v="Close"/>
    <n v="2.7500000000000004E-2"/>
    <s v="G17"/>
    <n v="24.326041666666669"/>
    <m/>
    <m/>
    <n v="530.75"/>
    <n v="24.326041666666669"/>
    <m/>
    <m/>
    <m/>
    <m/>
  </r>
  <r>
    <n v="562"/>
    <x v="59"/>
    <x v="1"/>
    <x v="0"/>
    <x v="2"/>
    <x v="1"/>
    <x v="0"/>
    <s v="PWEGPL"/>
    <s v="MSEDCL"/>
    <n v="2.5000000000000001E-2"/>
    <s v="CE100007"/>
    <x v="295"/>
    <s v="PM"/>
    <d v="1899-12-30T11:22:00"/>
    <d v="1899-12-30T11:22:00"/>
    <d v="1899-12-30T12:28:00"/>
    <n v="0"/>
    <n v="1.1000000000000001"/>
    <n v="1.1000000000000001"/>
    <s v="LC taken for VCB-yard yearly maintenance"/>
    <s v="Close"/>
    <n v="2.7500000000000004E-2"/>
    <s v="G18"/>
    <n v="25.031875000000007"/>
    <m/>
    <m/>
    <n v="546.15000000000009"/>
    <n v="25.031875000000007"/>
    <m/>
    <m/>
    <m/>
    <m/>
  </r>
  <r>
    <n v="563"/>
    <x v="59"/>
    <x v="1"/>
    <x v="0"/>
    <x v="2"/>
    <x v="1"/>
    <x v="38"/>
    <s v="PWEGPL"/>
    <s v="MSEDCL"/>
    <n v="2.5000000000000001E-2"/>
    <s v="CE100007"/>
    <x v="295"/>
    <s v="PM"/>
    <d v="1899-12-30T11:22:00"/>
    <d v="1899-12-30T11:22:00"/>
    <d v="1899-12-30T12:28:00"/>
    <n v="0"/>
    <n v="1.1000000000000001"/>
    <n v="1.1000000000000001"/>
    <s v="LC taken for VCB-yard yearly maintenance"/>
    <s v="Close"/>
    <n v="2.7500000000000004E-2"/>
    <s v="G19"/>
    <n v="25.258750000000003"/>
    <m/>
    <m/>
    <n v="551.1"/>
    <n v="25.258750000000003"/>
    <m/>
    <m/>
    <m/>
    <m/>
  </r>
  <r>
    <n v="564"/>
    <x v="59"/>
    <x v="1"/>
    <x v="0"/>
    <x v="2"/>
    <x v="1"/>
    <x v="18"/>
    <s v="PWEGPL"/>
    <s v="MSEDCL"/>
    <n v="2.5000000000000001E-2"/>
    <s v="CE100007"/>
    <x v="295"/>
    <s v="PM"/>
    <d v="1899-12-30T11:22:00"/>
    <d v="1899-12-30T11:22:00"/>
    <d v="1899-12-30T12:28:00"/>
    <n v="0"/>
    <n v="1.1000000000000001"/>
    <n v="1.1000000000000001"/>
    <s v="LC taken for VCB-yard yearly maintenance"/>
    <s v="Close"/>
    <n v="2.7500000000000004E-2"/>
    <s v="G20"/>
    <n v="28.40769097222223"/>
    <m/>
    <m/>
    <n v="619.80416666666679"/>
    <n v="28.40769097222223"/>
    <m/>
    <m/>
    <m/>
    <m/>
  </r>
  <r>
    <n v="565"/>
    <x v="59"/>
    <x v="1"/>
    <x v="0"/>
    <x v="2"/>
    <x v="1"/>
    <x v="19"/>
    <s v="PWEGPL"/>
    <s v="MSEDCL"/>
    <n v="2.5000000000000001E-2"/>
    <s v="CE100007"/>
    <x v="295"/>
    <s v="PM"/>
    <d v="1899-12-30T11:22:00"/>
    <d v="1899-12-30T11:22:00"/>
    <d v="1899-12-30T12:28:00"/>
    <n v="0"/>
    <n v="1.1000000000000001"/>
    <n v="1.1000000000000001"/>
    <s v="LC taken for VCB-yard yearly maintenance"/>
    <s v="Close"/>
    <n v="2.7500000000000004E-2"/>
    <s v="G19"/>
    <n v="25.258750000000003"/>
    <m/>
    <m/>
    <n v="551.1"/>
    <n v="25.258750000000003"/>
    <m/>
    <m/>
    <m/>
    <m/>
  </r>
  <r>
    <n v="566"/>
    <x v="59"/>
    <x v="1"/>
    <x v="0"/>
    <x v="2"/>
    <x v="1"/>
    <x v="35"/>
    <s v="PWEGPL"/>
    <s v="MSEDCL"/>
    <n v="2.5000000000000001E-2"/>
    <n v="907"/>
    <x v="292"/>
    <s v="BD"/>
    <d v="1899-12-30T16:56:00"/>
    <d v="1899-12-30T17:21:00"/>
    <d v="1899-12-30T17:36:00"/>
    <n v="0.41666666666666785"/>
    <n v="0.24999999999999911"/>
    <n v="0.66666666666666696"/>
    <s v="reset"/>
    <s v="Close"/>
    <n v="1.6666666666666673E-2"/>
    <s v="G25"/>
    <n v="7.4737654320987712"/>
    <m/>
    <m/>
    <n v="269.05555555555566"/>
    <n v="7.4737654320987712"/>
    <m/>
    <m/>
    <m/>
    <m/>
  </r>
  <r>
    <n v="567"/>
    <x v="59"/>
    <x v="1"/>
    <x v="0"/>
    <x v="2"/>
    <x v="1"/>
    <x v="2"/>
    <s v="PWEGPL"/>
    <s v="MSEDCL"/>
    <n v="2.5000000000000001E-2"/>
    <s v="CE100010"/>
    <x v="296"/>
    <s v="PM"/>
    <d v="1899-12-30T09:56:00"/>
    <d v="1899-12-30T09:56:00"/>
    <d v="1899-12-30T17:38:00"/>
    <n v="0"/>
    <n v="7.6999999999999975"/>
    <n v="7.6999999999999975"/>
    <s v="102 PM service"/>
    <s v="Close"/>
    <n v="0.19249999999999995"/>
    <s v="G32"/>
    <n v="799.17979166666623"/>
    <m/>
    <m/>
    <n v="2490.9499999999994"/>
    <n v="799.17979166666623"/>
    <m/>
    <m/>
    <m/>
    <m/>
  </r>
  <r>
    <n v="568"/>
    <x v="59"/>
    <x v="1"/>
    <x v="0"/>
    <x v="2"/>
    <x v="1"/>
    <x v="4"/>
    <s v="PWEGPL"/>
    <s v="MSEDCL"/>
    <n v="2.5000000000000001E-2"/>
    <n v="500"/>
    <x v="302"/>
    <s v="BD"/>
    <d v="1899-12-30T23:31:00"/>
    <d v="1899-12-30T23:40:00"/>
    <d v="1899-12-30T23:48:00"/>
    <n v="0.15000000000000213"/>
    <n v="0.13333333333333286"/>
    <n v="0.28333333333333499"/>
    <s v="reset"/>
    <s v="Close"/>
    <n v="7.0833333333333755E-3"/>
    <s v="G38"/>
    <n v="1.2512741126543356"/>
    <m/>
    <m/>
    <n v="105.99027777777839"/>
    <n v="1.2512741126543356"/>
    <m/>
    <m/>
    <m/>
    <m/>
  </r>
  <r>
    <n v="569"/>
    <x v="59"/>
    <x v="1"/>
    <x v="0"/>
    <x v="2"/>
    <x v="1"/>
    <x v="29"/>
    <s v="PWEGPL"/>
    <s v="MSEDCL"/>
    <n v="2.5000000000000001E-2"/>
    <n v="2118"/>
    <x v="293"/>
    <s v="BD"/>
    <d v="1899-12-30T21:44:00"/>
    <d v="1899-12-30T23:09:00"/>
    <d v="1899-12-30T23:56:00"/>
    <n v="1.4166666666666643"/>
    <n v="0.78333333333333588"/>
    <n v="2.2000000000000002"/>
    <s v="reset"/>
    <s v="Close"/>
    <n v="5.5000000000000007E-2"/>
    <s v="G12"/>
    <n v="88.682916666666685"/>
    <m/>
    <m/>
    <n v="967.45"/>
    <n v="88.682916666666685"/>
    <m/>
    <m/>
    <m/>
    <m/>
  </r>
  <r>
    <n v="570"/>
    <x v="59"/>
    <x v="1"/>
    <x v="0"/>
    <x v="2"/>
    <x v="1"/>
    <x v="37"/>
    <s v="PWEGPL"/>
    <s v="MSEDCL"/>
    <n v="2.5000000000000001E-2"/>
    <n v="2118"/>
    <x v="293"/>
    <s v="BD"/>
    <d v="1899-12-30T21:51:00"/>
    <d v="1899-12-30T22:27:00"/>
    <d v="1899-12-30T22:27:00"/>
    <n v="0.59999999999999787"/>
    <n v="0"/>
    <n v="0.59999999999999787"/>
    <s v="reset"/>
    <s v="Close"/>
    <n v="1.4999999999999947E-2"/>
    <s v="G17"/>
    <n v="7.2374999999999483"/>
    <m/>
    <m/>
    <n v="289.49999999999898"/>
    <n v="7.2374999999999483"/>
    <m/>
    <m/>
    <m/>
    <m/>
  </r>
  <r>
    <n v="571"/>
    <x v="59"/>
    <x v="1"/>
    <x v="0"/>
    <x v="2"/>
    <x v="1"/>
    <x v="37"/>
    <s v="PWEGPL"/>
    <s v="MSEDCL"/>
    <n v="2.5000000000000001E-2"/>
    <n v="5201"/>
    <x v="299"/>
    <s v="BD"/>
    <d v="1899-12-30T23:28:00"/>
    <d v="1899-12-30T23:59:00"/>
    <d v="1899-12-30T23:59:00"/>
    <n v="0.5166666666666675"/>
    <n v="0"/>
    <n v="0.5166666666666675"/>
    <s v="reset"/>
    <s v="Close"/>
    <n v="1.2916666666666687E-2"/>
    <s v="G17"/>
    <n v="5.3666956018518688"/>
    <m/>
    <m/>
    <n v="249.29166666666706"/>
    <n v="5.3666956018518688"/>
    <m/>
    <m/>
    <m/>
    <m/>
  </r>
  <r>
    <n v="572"/>
    <x v="60"/>
    <x v="1"/>
    <x v="0"/>
    <x v="2"/>
    <x v="1"/>
    <x v="23"/>
    <s v="PWEGPL"/>
    <s v="MSEDCL"/>
    <n v="2.5000000000000001E-2"/>
    <n v="5222"/>
    <x v="315"/>
    <s v="BD"/>
    <d v="1899-12-30T23:11:00"/>
    <d v="1899-12-30T23:59:00"/>
    <d v="1899-12-30T23:59:00"/>
    <n v="0.79999999999999982"/>
    <n v="0"/>
    <n v="0.79999999999999982"/>
    <s v="reset"/>
    <s v="Open"/>
    <n v="1.9999999999999997E-2"/>
    <s v="G5"/>
    <n v="15.907777777777769"/>
    <m/>
    <m/>
    <n v="477.23333333333318"/>
    <n v="15.907777777777769"/>
    <m/>
    <m/>
    <m/>
    <m/>
  </r>
  <r>
    <n v="573"/>
    <x v="60"/>
    <x v="1"/>
    <x v="0"/>
    <x v="2"/>
    <x v="1"/>
    <x v="17"/>
    <s v="PWEGPL"/>
    <s v="MSEDCL"/>
    <n v="2.5000000000000001E-2"/>
    <s v="CE100014"/>
    <x v="305"/>
    <s v="PM/Lift inspention"/>
    <d v="1899-12-30T10:48:00"/>
    <d v="1899-12-30T10:48:00"/>
    <d v="1899-12-30T13:08:00"/>
    <n v="0"/>
    <n v="2.3333333333333317"/>
    <n v="2.3333333333333317"/>
    <s v="Avanti lift inspection"/>
    <s v="Close"/>
    <n v="5.8333333333333293E-2"/>
    <s v="G9"/>
    <n v="121.42245370370354"/>
    <m/>
    <m/>
    <n v="1248.9166666666658"/>
    <n v="121.42245370370354"/>
    <m/>
    <m/>
    <m/>
    <m/>
  </r>
  <r>
    <n v="574"/>
    <x v="60"/>
    <x v="1"/>
    <x v="0"/>
    <x v="2"/>
    <x v="1"/>
    <x v="27"/>
    <s v="PWEGPL"/>
    <s v="MSEDCL"/>
    <n v="2.5000000000000001E-2"/>
    <s v="CE100014"/>
    <x v="305"/>
    <s v="PM/Lift inspention"/>
    <d v="1899-12-30T13:25:00"/>
    <d v="1899-12-30T13:25:00"/>
    <d v="1899-12-30T15:35:00"/>
    <n v="0"/>
    <n v="2.166666666666667"/>
    <n v="2.166666666666667"/>
    <s v="Avanti lift inspection"/>
    <s v="Close"/>
    <n v="5.4166666666666675E-2"/>
    <s v="G10"/>
    <n v="130.6131365740741"/>
    <m/>
    <m/>
    <n v="1446.791666666667"/>
    <n v="130.6131365740741"/>
    <m/>
    <m/>
    <m/>
    <m/>
  </r>
  <r>
    <n v="575"/>
    <x v="60"/>
    <x v="1"/>
    <x v="0"/>
    <x v="2"/>
    <x v="1"/>
    <x v="29"/>
    <s v="PWEGPL"/>
    <s v="MSEDCL"/>
    <n v="2.5000000000000001E-2"/>
    <n v="2118"/>
    <x v="293"/>
    <s v="BD"/>
    <d v="1899-12-30T20:59:00"/>
    <d v="1899-12-30T23:09:00"/>
    <d v="1899-12-30T23:55:00"/>
    <n v="2.1666666666666643"/>
    <n v="0.76666666666666927"/>
    <n v="2.9333333333333336"/>
    <s v="reset"/>
    <s v="Close"/>
    <n v="7.3333333333333348E-2"/>
    <s v="G12"/>
    <n v="218.51703703703708"/>
    <m/>
    <m/>
    <n v="1787.8666666666668"/>
    <n v="218.51703703703708"/>
    <m/>
    <m/>
    <m/>
    <m/>
  </r>
  <r>
    <n v="576"/>
    <x v="60"/>
    <x v="1"/>
    <x v="0"/>
    <x v="2"/>
    <x v="1"/>
    <x v="1"/>
    <s v="PWEGPL"/>
    <s v="MSEDCL"/>
    <n v="2.5000000000000001E-2"/>
    <n v="509"/>
    <x v="301"/>
    <s v="BD"/>
    <d v="1899-12-30T22:11:00"/>
    <d v="1899-12-30T22:11:00"/>
    <d v="1899-12-30T22:59:00"/>
    <n v="0"/>
    <n v="0.79999999999999982"/>
    <n v="0.79999999999999982"/>
    <s v="Fan capacitor replaced"/>
    <s v="Close"/>
    <n v="1.9999999999999997E-2"/>
    <s v="G24"/>
    <n v="18.744444444444433"/>
    <m/>
    <m/>
    <n v="562.33333333333314"/>
    <n v="18.744444444444433"/>
    <m/>
    <m/>
    <m/>
    <m/>
  </r>
  <r>
    <n v="577"/>
    <x v="60"/>
    <x v="1"/>
    <x v="0"/>
    <x v="2"/>
    <x v="1"/>
    <x v="9"/>
    <s v="PWEGPL"/>
    <s v="MSEDCL"/>
    <n v="2.5000000000000001E-2"/>
    <n v="800"/>
    <x v="298"/>
    <s v="BD"/>
    <d v="1899-12-30T00:02:00"/>
    <d v="1899-12-30T01:35:00"/>
    <d v="1899-12-30T06:43:00"/>
    <n v="1.5500000000000003"/>
    <n v="5.1333333333333337"/>
    <n v="6.6833333333333336"/>
    <s v="Propotional valve loose connection tightened"/>
    <s v="Close"/>
    <n v="0.16708333333333336"/>
    <s v="G29"/>
    <n v="1285.1052141203706"/>
    <m/>
    <m/>
    <n v="4614.8416666666672"/>
    <n v="1285.1052141203706"/>
    <m/>
    <m/>
    <m/>
    <m/>
  </r>
  <r>
    <n v="578"/>
    <x v="60"/>
    <x v="1"/>
    <x v="0"/>
    <x v="2"/>
    <x v="1"/>
    <x v="9"/>
    <s v="PWEGPL"/>
    <s v="MSEDCL"/>
    <n v="2.5000000000000001E-2"/>
    <n v="429"/>
    <x v="316"/>
    <s v="BD"/>
    <d v="1899-12-30T14:54:00"/>
    <d v="1899-12-30T14:54:00"/>
    <d v="1899-12-30T15:34:00"/>
    <n v="0"/>
    <n v="0.66666666666666696"/>
    <n v="0.66666666666666696"/>
    <s v="Radiator cleaned"/>
    <s v="Close"/>
    <n v="1.6666666666666673E-2"/>
    <s v="G29"/>
    <n v="12.787037037037049"/>
    <m/>
    <m/>
    <n v="460.33333333333354"/>
    <n v="12.787037037037049"/>
    <m/>
    <m/>
    <m/>
    <m/>
  </r>
  <r>
    <n v="579"/>
    <x v="60"/>
    <x v="1"/>
    <x v="0"/>
    <x v="2"/>
    <x v="1"/>
    <x v="3"/>
    <s v="PWEGPL"/>
    <s v="MSEDCL"/>
    <n v="2.5000000000000001E-2"/>
    <n v="429"/>
    <x v="316"/>
    <s v="BD"/>
    <d v="1899-12-30T13:51:00"/>
    <d v="1899-12-30T13:51:00"/>
    <d v="1899-12-30T14:21:00"/>
    <n v="0"/>
    <n v="0.50000000000000089"/>
    <n v="0.50000000000000089"/>
    <s v="Radiator cleaned"/>
    <s v="Close"/>
    <n v="1.2500000000000023E-2"/>
    <s v="G26"/>
    <n v="6.1024305555555776"/>
    <m/>
    <m/>
    <n v="292.9166666666672"/>
    <n v="6.1024305555555776"/>
    <m/>
    <m/>
    <m/>
    <m/>
  </r>
  <r>
    <n v="580"/>
    <x v="60"/>
    <x v="1"/>
    <x v="0"/>
    <x v="2"/>
    <x v="1"/>
    <x v="4"/>
    <s v="PWEGPL"/>
    <s v="MSEDCL"/>
    <n v="2.5000000000000001E-2"/>
    <n v="500"/>
    <x v="302"/>
    <s v="BD"/>
    <d v="1899-12-30T01:26:00"/>
    <d v="1899-12-30T01:26:00"/>
    <d v="1899-12-30T03:03:00"/>
    <n v="0"/>
    <n v="1.6166666666666663"/>
    <n v="1.6166666666666663"/>
    <s v="reset"/>
    <s v="Close"/>
    <n v="4.0416666666666656E-2"/>
    <s v="G38"/>
    <n v="67.708862847222193"/>
    <m/>
    <m/>
    <n v="1005.1624999999998"/>
    <n v="67.708862847222193"/>
    <m/>
    <m/>
    <m/>
    <m/>
  </r>
  <r>
    <n v="581"/>
    <x v="60"/>
    <x v="1"/>
    <x v="0"/>
    <x v="2"/>
    <x v="1"/>
    <x v="4"/>
    <s v="PWEGPL"/>
    <s v="MSEDCL"/>
    <n v="2.5000000000000001E-2"/>
    <n v="501"/>
    <x v="317"/>
    <s v="BD"/>
    <d v="1899-12-30T11:10:00"/>
    <d v="1899-12-30T11:10:00"/>
    <d v="1899-12-30T13:17:00"/>
    <n v="0"/>
    <n v="2.1166666666666685"/>
    <n v="2.1166666666666685"/>
    <s v="Generator Motor replaced"/>
    <s v="Close"/>
    <n v="5.2916666666666716E-2"/>
    <s v="G38"/>
    <n v="116.06719618055574"/>
    <m/>
    <m/>
    <n v="1316.037500000001"/>
    <n v="116.06719618055574"/>
    <m/>
    <m/>
    <m/>
    <m/>
  </r>
  <r>
    <n v="582"/>
    <x v="60"/>
    <x v="1"/>
    <x v="0"/>
    <x v="2"/>
    <x v="1"/>
    <x v="4"/>
    <s v="PWEGPL"/>
    <s v="MSEDCL"/>
    <n v="2.5000000000000001E-2"/>
    <s v="CE100001"/>
    <x v="288"/>
    <s v="BD"/>
    <d v="1899-12-30T15:16:00"/>
    <d v="1899-12-30T15:16:00"/>
    <d v="1899-12-30T15:56:00"/>
    <n v="0"/>
    <n v="0.6666666666666643"/>
    <n v="0.6666666666666643"/>
    <s v="Contactor changed"/>
    <s v="Close"/>
    <n v="1.6666666666666607E-2"/>
    <s v="G38"/>
    <n v="11.513888888888808"/>
    <m/>
    <m/>
    <n v="414.49999999999852"/>
    <n v="11.513888888888808"/>
    <m/>
    <m/>
    <m/>
    <m/>
  </r>
  <r>
    <n v="583"/>
    <x v="61"/>
    <x v="1"/>
    <x v="0"/>
    <x v="2"/>
    <x v="1"/>
    <x v="21"/>
    <s v="PWEGPL"/>
    <s v="MSEDCL"/>
    <n v="2.5000000000000001E-2"/>
    <n v="552"/>
    <x v="304"/>
    <s v="BD"/>
    <d v="1899-12-30T15:18:00"/>
    <d v="1899-12-30T16:04:00"/>
    <d v="1899-12-30T16:16:00"/>
    <n v="0.76666666666666394"/>
    <n v="0.19999999999999929"/>
    <n v="0.96666666666666323"/>
    <s v="Reset"/>
    <s v="Close"/>
    <n v="2.4166666666666583E-2"/>
    <s v="G3"/>
    <n v="3.935698302469107"/>
    <m/>
    <m/>
    <n v="97.713888888888533"/>
    <n v="3.935698302469107"/>
    <m/>
    <m/>
    <m/>
    <m/>
  </r>
  <r>
    <n v="584"/>
    <x v="61"/>
    <x v="1"/>
    <x v="0"/>
    <x v="2"/>
    <x v="1"/>
    <x v="29"/>
    <s v="PWEGPL"/>
    <s v="MSEDCL"/>
    <n v="2.5000000000000001E-2"/>
    <n v="2118"/>
    <x v="293"/>
    <s v="BD"/>
    <d v="1899-12-30T20:15:00"/>
    <d v="1899-12-30T21:52:00"/>
    <d v="1899-12-30T22:01:00"/>
    <n v="1.6166666666666663"/>
    <n v="0.14999999999999947"/>
    <n v="1.7666666666666657"/>
    <s v="Reset"/>
    <s v="Close"/>
    <n v="4.4166666666666646E-2"/>
    <s v="G12"/>
    <n v="13.438117283950604"/>
    <m/>
    <m/>
    <n v="182.55555555555546"/>
    <n v="13.438117283950604"/>
    <m/>
    <m/>
    <m/>
    <m/>
  </r>
  <r>
    <n v="585"/>
    <x v="61"/>
    <x v="1"/>
    <x v="0"/>
    <x v="2"/>
    <x v="1"/>
    <x v="9"/>
    <s v="PWEGPL"/>
    <s v="MSEDCL"/>
    <n v="2.5000000000000001E-2"/>
    <n v="507"/>
    <x v="318"/>
    <s v="BD"/>
    <d v="1899-12-30T11:10:00"/>
    <d v="1899-12-30T11:10:00"/>
    <d v="1899-12-30T16:46:00"/>
    <n v="0"/>
    <n v="5.6"/>
    <n v="5.6"/>
    <s v="Generator Internal cooling motor replaced"/>
    <s v="Close"/>
    <n v="0.13999999999999999"/>
    <s v="G29"/>
    <n v="112.80888888888887"/>
    <m/>
    <m/>
    <n v="483.46666666666658"/>
    <n v="112.80888888888887"/>
    <m/>
    <m/>
    <m/>
    <m/>
  </r>
  <r>
    <n v="586"/>
    <x v="62"/>
    <x v="1"/>
    <x v="0"/>
    <x v="2"/>
    <x v="1"/>
    <x v="24"/>
    <s v="PWEGPL"/>
    <s v="MSEDCL"/>
    <n v="2.5000000000000001E-2"/>
    <s v="CE100007"/>
    <x v="295"/>
    <s v="PM"/>
    <d v="1899-12-30T12:31:00"/>
    <d v="1899-12-30T12:31:00"/>
    <d v="1899-12-30T15:25:00"/>
    <n v="0"/>
    <n v="2.8999999999999977"/>
    <n v="2.8999999999999977"/>
    <s v="LC taken for VCB &amp; DP-yard yearly maintenance"/>
    <s v="Close"/>
    <n v="7.2499999999999939E-2"/>
    <s v="G6"/>
    <n v="73.529097222222106"/>
    <m/>
    <m/>
    <n v="608.5166666666662"/>
    <n v="73.529097222222106"/>
    <m/>
    <m/>
    <m/>
    <m/>
  </r>
  <r>
    <n v="587"/>
    <x v="62"/>
    <x v="1"/>
    <x v="0"/>
    <x v="2"/>
    <x v="1"/>
    <x v="29"/>
    <s v="PWEGPL"/>
    <s v="MSEDCL"/>
    <n v="2.5000000000000001E-2"/>
    <s v="CE100001"/>
    <x v="288"/>
    <s v="BD"/>
    <d v="1899-12-30T11:02:00"/>
    <d v="1899-12-30T11:02:00"/>
    <d v="1899-12-30T14:08:00"/>
    <n v="0"/>
    <n v="3.100000000000001"/>
    <n v="3.100000000000001"/>
    <s v="Troubleshooting work"/>
    <s v="Close"/>
    <n v="7.7500000000000027E-2"/>
    <s v="G12"/>
    <n v="46.948854166666699"/>
    <m/>
    <m/>
    <n v="363.47500000000014"/>
    <n v="46.948854166666699"/>
    <m/>
    <m/>
    <m/>
    <m/>
  </r>
  <r>
    <n v="588"/>
    <x v="62"/>
    <x v="1"/>
    <x v="0"/>
    <x v="2"/>
    <x v="1"/>
    <x v="30"/>
    <s v="PWEGPL"/>
    <s v="MSEDCL"/>
    <n v="2.5000000000000001E-2"/>
    <s v="CE100014"/>
    <x v="305"/>
    <s v="PM/Lift inspention"/>
    <d v="1899-12-30T10:37:00"/>
    <d v="1899-12-30T10:37:00"/>
    <d v="1899-12-30T13:17:00"/>
    <n v="0"/>
    <n v="2.6666666666666665"/>
    <n v="2.6666666666666665"/>
    <s v="Avanti lift inspection"/>
    <s v="Close"/>
    <n v="6.6666666666666666E-2"/>
    <s v="G13"/>
    <n v="50.728395061728392"/>
    <m/>
    <m/>
    <n v="456.55555555555554"/>
    <n v="50.728395061728392"/>
    <m/>
    <m/>
    <m/>
    <m/>
  </r>
  <r>
    <n v="589"/>
    <x v="62"/>
    <x v="1"/>
    <x v="0"/>
    <x v="2"/>
    <x v="1"/>
    <x v="31"/>
    <s v="PWEGPL"/>
    <s v="MSEDCL"/>
    <n v="2.5000000000000001E-2"/>
    <s v="CE100014"/>
    <x v="305"/>
    <s v="PM/Lift inspention"/>
    <d v="1899-12-30T13:27:00"/>
    <d v="1899-12-30T13:27:00"/>
    <d v="1899-12-30T17:48:00"/>
    <n v="0"/>
    <n v="4.3500000000000005"/>
    <n v="4.3500000000000005"/>
    <s v="Avanti lift inspection"/>
    <s v="Close"/>
    <n v="0.10875000000000001"/>
    <s v="G14"/>
    <n v="126.47851562500001"/>
    <m/>
    <m/>
    <n v="697.8125"/>
    <n v="126.47851562500001"/>
    <m/>
    <m/>
    <m/>
    <m/>
  </r>
  <r>
    <n v="590"/>
    <x v="62"/>
    <x v="1"/>
    <x v="0"/>
    <x v="2"/>
    <x v="1"/>
    <x v="33"/>
    <s v="PWEGPL"/>
    <s v="MSEDCL"/>
    <n v="2.5000000000000001E-2"/>
    <s v="CE100007"/>
    <x v="295"/>
    <s v="PM"/>
    <d v="1899-12-30T12:31:00"/>
    <d v="1899-12-30T12:31:00"/>
    <d v="1899-12-30T15:25:00"/>
    <n v="0"/>
    <n v="2.8999999999999977"/>
    <n v="2.8999999999999977"/>
    <s v="LC taken for VCB &amp; DP-yard yearly maintenance"/>
    <s v="Close"/>
    <n v="7.2499999999999939E-2"/>
    <s v="G22"/>
    <n v="52.095277777777696"/>
    <m/>
    <m/>
    <n v="431.13333333333298"/>
    <n v="52.095277777777696"/>
    <m/>
    <m/>
    <m/>
    <m/>
  </r>
  <r>
    <n v="591"/>
    <x v="62"/>
    <x v="1"/>
    <x v="0"/>
    <x v="2"/>
    <x v="1"/>
    <x v="34"/>
    <s v="PWEGPL"/>
    <s v="MSEDCL"/>
    <n v="2.5000000000000001E-2"/>
    <s v="CE100007"/>
    <x v="295"/>
    <s v="PM"/>
    <d v="1899-12-30T12:31:00"/>
    <d v="1899-12-30T12:31:00"/>
    <d v="1899-12-30T15:25:00"/>
    <n v="0"/>
    <n v="2.8999999999999977"/>
    <n v="2.8999999999999977"/>
    <s v="LC taken for VCB &amp; DP-yard yearly maintenance"/>
    <s v="Close"/>
    <n v="7.2499999999999939E-2"/>
    <s v="G23"/>
    <n v="40.122708333333264"/>
    <m/>
    <m/>
    <n v="332.04999999999973"/>
    <n v="40.122708333333264"/>
    <m/>
    <m/>
    <m/>
    <m/>
  </r>
  <r>
    <n v="592"/>
    <x v="62"/>
    <x v="1"/>
    <x v="0"/>
    <x v="2"/>
    <x v="1"/>
    <x v="1"/>
    <s v="PWEGPL"/>
    <s v="MSEDCL"/>
    <n v="2.5000000000000001E-2"/>
    <s v="CE100007"/>
    <x v="295"/>
    <s v="PM"/>
    <d v="1899-12-30T12:31:00"/>
    <d v="1899-12-30T12:31:00"/>
    <d v="1899-12-30T15:25:00"/>
    <n v="0"/>
    <n v="2.8999999999999977"/>
    <n v="2.8999999999999977"/>
    <s v="LC taken for VCB &amp; DP-yard yearly maintenance"/>
    <s v="Close"/>
    <n v="7.2499999999999939E-2"/>
    <s v="G24"/>
    <n v="46.430208333333262"/>
    <m/>
    <m/>
    <n v="384.24999999999972"/>
    <n v="46.430208333333262"/>
    <m/>
    <m/>
    <m/>
    <m/>
  </r>
  <r>
    <n v="593"/>
    <x v="62"/>
    <x v="1"/>
    <x v="0"/>
    <x v="2"/>
    <x v="1"/>
    <x v="35"/>
    <s v="PWEGPL"/>
    <s v="MSEDCL"/>
    <n v="2.5000000000000001E-2"/>
    <s v="CE100007"/>
    <x v="295"/>
    <s v="PM"/>
    <d v="1899-12-30T12:31:00"/>
    <d v="1899-12-30T12:31:00"/>
    <d v="1899-12-30T15:25:00"/>
    <n v="0"/>
    <n v="2.8999999999999977"/>
    <n v="2.8999999999999977"/>
    <s v="LC taken for VCB &amp; DP-yard yearly maintenance"/>
    <s v="Close"/>
    <n v="7.2499999999999939E-2"/>
    <s v="G25"/>
    <n v="40.794340277777714"/>
    <m/>
    <m/>
    <n v="337.60833333333306"/>
    <n v="40.794340277777714"/>
    <m/>
    <m/>
    <m/>
    <m/>
  </r>
  <r>
    <n v="594"/>
    <x v="62"/>
    <x v="1"/>
    <x v="0"/>
    <x v="2"/>
    <x v="1"/>
    <x v="36"/>
    <s v="PWEGPL"/>
    <s v="MSEDCL"/>
    <n v="2.5000000000000001E-2"/>
    <s v="CE100007"/>
    <x v="295"/>
    <s v="PM"/>
    <d v="1899-12-30T12:31:00"/>
    <d v="1899-12-30T12:31:00"/>
    <d v="1899-12-30T15:25:00"/>
    <n v="0"/>
    <n v="2.8999999999999977"/>
    <n v="2.8999999999999977"/>
    <s v="LC taken for VCB &amp; DP-yard yearly maintenance"/>
    <s v="Close"/>
    <n v="7.2499999999999939E-2"/>
    <s v="G26"/>
    <n v="39.275868055555492"/>
    <m/>
    <m/>
    <n v="325.0416666666664"/>
    <n v="39.275868055555492"/>
    <m/>
    <m/>
    <m/>
    <m/>
  </r>
  <r>
    <n v="595"/>
    <x v="62"/>
    <x v="1"/>
    <x v="0"/>
    <x v="2"/>
    <x v="1"/>
    <x v="8"/>
    <s v="PWEGPL"/>
    <s v="MSEDCL"/>
    <n v="2.5000000000000001E-2"/>
    <s v="CE100007"/>
    <x v="295"/>
    <s v="PM"/>
    <d v="1899-12-30T12:31:00"/>
    <d v="1899-12-30T12:31:00"/>
    <d v="1899-12-30T15:25:00"/>
    <n v="0"/>
    <n v="2.8999999999999977"/>
    <n v="2.8999999999999977"/>
    <s v="LC taken for VCB &amp; DP-yard yearly maintenance"/>
    <s v="Close"/>
    <n v="7.2499999999999939E-2"/>
    <s v="G28"/>
    <n v="38.487430555555498"/>
    <m/>
    <m/>
    <n v="318.51666666666642"/>
    <n v="38.487430555555498"/>
    <m/>
    <m/>
    <m/>
    <m/>
  </r>
  <r>
    <n v="596"/>
    <x v="62"/>
    <x v="1"/>
    <x v="0"/>
    <x v="2"/>
    <x v="1"/>
    <x v="9"/>
    <s v="PWEGPL"/>
    <s v="MSEDCL"/>
    <n v="2.5000000000000001E-2"/>
    <s v="CE100007"/>
    <x v="295"/>
    <s v="PM"/>
    <d v="1899-12-30T12:31:00"/>
    <d v="1899-12-30T12:31:00"/>
    <d v="1899-12-30T15:25:00"/>
    <n v="0"/>
    <n v="2.8999999999999977"/>
    <n v="2.8999999999999977"/>
    <s v="LC taken for VCB &amp; DP-yard yearly maintenance"/>
    <s v="Close"/>
    <n v="7.2499999999999939E-2"/>
    <s v="G29"/>
    <n v="46.605416666666599"/>
    <m/>
    <m/>
    <n v="385.6999999999997"/>
    <n v="46.605416666666599"/>
    <m/>
    <m/>
    <m/>
    <m/>
  </r>
  <r>
    <n v="597"/>
    <x v="62"/>
    <x v="1"/>
    <x v="0"/>
    <x v="2"/>
    <x v="1"/>
    <x v="10"/>
    <s v="PWEGPL"/>
    <s v="MSEDCL"/>
    <n v="2.5000000000000001E-2"/>
    <s v="CE100007"/>
    <x v="295"/>
    <s v="PM"/>
    <d v="1899-12-30T12:31:00"/>
    <d v="1899-12-30T12:31:00"/>
    <d v="1899-12-30T15:25:00"/>
    <n v="0"/>
    <n v="2.8999999999999977"/>
    <n v="2.8999999999999977"/>
    <s v="LC taken for VCB &amp; DP-yard yearly maintenance"/>
    <s v="Close"/>
    <n v="7.2499999999999939E-2"/>
    <s v="G30"/>
    <n v="40.677534722222155"/>
    <m/>
    <m/>
    <n v="336.64166666666637"/>
    <n v="40.677534722222155"/>
    <m/>
    <m/>
    <m/>
    <m/>
  </r>
  <r>
    <n v="598"/>
    <x v="62"/>
    <x v="1"/>
    <x v="0"/>
    <x v="2"/>
    <x v="1"/>
    <x v="11"/>
    <s v="PWEGPL"/>
    <s v="MSEDCL"/>
    <n v="2.5000000000000001E-2"/>
    <s v="CE100007"/>
    <x v="295"/>
    <s v="PM"/>
    <d v="1899-12-30T12:31:00"/>
    <d v="1899-12-30T12:31:00"/>
    <d v="1899-12-30T15:25:00"/>
    <n v="0"/>
    <n v="2.8999999999999977"/>
    <n v="2.8999999999999977"/>
    <s v="LC taken for VCB &amp; DP-yard yearly maintenance"/>
    <s v="Close"/>
    <n v="7.2499999999999939E-2"/>
    <s v="G31"/>
    <n v="54.51899305555547"/>
    <m/>
    <m/>
    <n v="451.19166666666632"/>
    <n v="54.51899305555547"/>
    <m/>
    <m/>
    <m/>
    <m/>
  </r>
  <r>
    <n v="599"/>
    <x v="62"/>
    <x v="1"/>
    <x v="0"/>
    <x v="2"/>
    <x v="1"/>
    <x v="12"/>
    <s v="PWEGPL"/>
    <s v="MSEDCL"/>
    <n v="2.5000000000000001E-2"/>
    <s v="CE100007"/>
    <x v="295"/>
    <s v="PM"/>
    <d v="1899-12-30T12:31:00"/>
    <d v="1899-12-30T12:31:00"/>
    <d v="1899-12-30T15:25:00"/>
    <n v="0"/>
    <n v="2.8999999999999977"/>
    <n v="2.8999999999999977"/>
    <s v="LC taken for VCB &amp; DP-yard yearly maintenance"/>
    <s v="Close"/>
    <n v="7.2499999999999939E-2"/>
    <s v="G32"/>
    <n v="40.385520833333267"/>
    <m/>
    <m/>
    <n v="334.22499999999974"/>
    <n v="40.385520833333267"/>
    <m/>
    <m/>
    <m/>
    <m/>
  </r>
  <r>
    <n v="600"/>
    <x v="62"/>
    <x v="1"/>
    <x v="0"/>
    <x v="2"/>
    <x v="1"/>
    <x v="3"/>
    <s v="PWEGPL"/>
    <s v="MSEDCL"/>
    <n v="2.5000000000000001E-2"/>
    <s v="CE100010"/>
    <x v="296"/>
    <s v="PM"/>
    <d v="1899-12-30T10:06:00"/>
    <d v="1899-12-30T10:06:00"/>
    <d v="1899-12-30T17:24:00"/>
    <n v="0"/>
    <n v="7.2999999999999989"/>
    <n v="7.2999999999999989"/>
    <s v="102 PM service"/>
    <s v="Close"/>
    <n v="0.1825"/>
    <s v="G26"/>
    <n v="248.87170138888877"/>
    <m/>
    <m/>
    <n v="818.20833333333314"/>
    <n v="248.87170138888877"/>
    <m/>
    <m/>
    <m/>
    <m/>
  </r>
  <r>
    <n v="601"/>
    <x v="62"/>
    <x v="1"/>
    <x v="0"/>
    <x v="2"/>
    <x v="1"/>
    <x v="9"/>
    <s v="PWEGPL"/>
    <s v="MSEDCL"/>
    <n v="2.5000000000000001E-2"/>
    <n v="5212"/>
    <x v="319"/>
    <s v="BD"/>
    <d v="1899-12-30T15:33:00"/>
    <d v="1899-12-30T16:39:00"/>
    <d v="1899-12-30T17:12:00"/>
    <n v="1.0999999999999988"/>
    <n v="0.55000000000000071"/>
    <n v="1.6499999999999995"/>
    <s v="Rebot &amp; Reset"/>
    <s v="Close"/>
    <n v="4.1249999999999988E-2"/>
    <s v="G29"/>
    <n v="15.08718749999999"/>
    <m/>
    <m/>
    <n v="219.44999999999993"/>
    <n v="15.08718749999999"/>
    <m/>
    <m/>
    <m/>
    <m/>
  </r>
  <r>
    <n v="602"/>
    <x v="62"/>
    <x v="1"/>
    <x v="0"/>
    <x v="2"/>
    <x v="1"/>
    <x v="35"/>
    <s v="PWEGPL"/>
    <s v="MSEDCL"/>
    <n v="2.5000000000000001E-2"/>
    <n v="907"/>
    <x v="292"/>
    <s v="BD"/>
    <d v="1899-12-30T15:28:00"/>
    <d v="1899-12-30T16:21:00"/>
    <d v="1899-12-30T16:55:00"/>
    <n v="0.88333333333333286"/>
    <n v="0.56666666666666732"/>
    <n v="1.4500000000000002"/>
    <s v="Rebot &amp; Reset"/>
    <s v="Close"/>
    <n v="3.6250000000000004E-2"/>
    <s v="G25"/>
    <n v="10.198585069444448"/>
    <m/>
    <m/>
    <n v="168.8041666666667"/>
    <n v="10.198585069444448"/>
    <m/>
    <m/>
    <m/>
    <m/>
  </r>
  <r>
    <n v="603"/>
    <x v="63"/>
    <x v="1"/>
    <x v="0"/>
    <x v="2"/>
    <x v="1"/>
    <x v="29"/>
    <s v="PWEGPL"/>
    <s v="MSEDCL"/>
    <n v="2.5000000000000001E-2"/>
    <n v="2102"/>
    <x v="320"/>
    <s v="BD"/>
    <d v="1899-12-30T03:10:00"/>
    <d v="1899-12-30T05:06:00"/>
    <d v="1899-12-30T05:10:00"/>
    <n v="1.9333333333333331"/>
    <n v="6.6666666666667096E-2"/>
    <n v="2"/>
    <s v="Rebot &amp; Reset"/>
    <s v="Close"/>
    <n v="0.05"/>
    <s v="G12"/>
    <n v="38.111111111111107"/>
    <m/>
    <m/>
    <n v="457.33333333333331"/>
    <n v="38.111111111111107"/>
    <m/>
    <m/>
    <m/>
    <m/>
  </r>
  <r>
    <n v="604"/>
    <x v="63"/>
    <x v="1"/>
    <x v="0"/>
    <x v="2"/>
    <x v="1"/>
    <x v="30"/>
    <s v="PWEGPL"/>
    <s v="MSEDCL"/>
    <n v="2.5000000000000001E-2"/>
    <n v="2106"/>
    <x v="321"/>
    <s v="BD"/>
    <d v="1899-12-30T13:44:00"/>
    <d v="1899-12-30T14:11:00"/>
    <d v="1899-12-30T14:26:00"/>
    <n v="0.45000000000000107"/>
    <n v="0.24999999999999911"/>
    <n v="0.70000000000000018"/>
    <s v="Rebot &amp; Reset"/>
    <s v="Close"/>
    <n v="1.7500000000000005E-2"/>
    <s v="G13"/>
    <n v="5.0429166666666694"/>
    <m/>
    <m/>
    <n v="172.90000000000003"/>
    <n v="5.0429166666666694"/>
    <m/>
    <m/>
    <m/>
    <m/>
  </r>
  <r>
    <n v="605"/>
    <x v="63"/>
    <x v="1"/>
    <x v="0"/>
    <x v="2"/>
    <x v="1"/>
    <x v="39"/>
    <s v="PWEGPL"/>
    <s v="MSEDCL"/>
    <n v="2.5000000000000001E-2"/>
    <s v="CE100014"/>
    <x v="305"/>
    <s v="PM/Lift inspention"/>
    <d v="1899-12-30T10:21:00"/>
    <d v="1899-12-30T10:21:00"/>
    <d v="1899-12-30T13:09:00"/>
    <n v="0"/>
    <n v="2.800000000000002"/>
    <n v="2.800000000000002"/>
    <s v="Avanti lift inspection"/>
    <s v="Close"/>
    <n v="7.0000000000000048E-2"/>
    <s v="G16"/>
    <n v="53.137777777777856"/>
    <m/>
    <m/>
    <n v="455.46666666666698"/>
    <n v="53.137777777777856"/>
    <m/>
    <m/>
    <m/>
    <m/>
  </r>
  <r>
    <n v="606"/>
    <x v="63"/>
    <x v="1"/>
    <x v="0"/>
    <x v="2"/>
    <x v="1"/>
    <x v="37"/>
    <s v="PWEGPL"/>
    <s v="MSEDCL"/>
    <n v="2.5000000000000001E-2"/>
    <s v="CE100001"/>
    <x v="288"/>
    <s v="BD"/>
    <d v="1899-12-30T11:04:00"/>
    <d v="1899-12-30T11:04:00"/>
    <d v="1899-12-30T13:21:00"/>
    <n v="0"/>
    <n v="2.2833333333333345"/>
    <n v="2.2833333333333345"/>
    <s v="Troubleshooting work"/>
    <s v="Close"/>
    <n v="5.7083333333333368E-2"/>
    <s v="G17"/>
    <n v="54.163626543209944"/>
    <m/>
    <m/>
    <n v="569.31111111111147"/>
    <n v="54.163626543209944"/>
    <m/>
    <m/>
    <m/>
    <m/>
  </r>
  <r>
    <n v="607"/>
    <x v="63"/>
    <x v="1"/>
    <x v="0"/>
    <x v="2"/>
    <x v="1"/>
    <x v="19"/>
    <s v="PWEGPL"/>
    <s v="MSEDCL"/>
    <n v="2.5000000000000001E-2"/>
    <s v="CE100014"/>
    <x v="305"/>
    <s v="PM/Lift inspention"/>
    <d v="1899-12-30T13:26:00"/>
    <d v="1899-12-30T13:26:00"/>
    <d v="1899-12-30T16:05:00"/>
    <n v="0"/>
    <n v="2.6499999999999986"/>
    <n v="2.6499999999999986"/>
    <s v="Avanti lift inspection"/>
    <s v="Close"/>
    <n v="6.6249999999999962E-2"/>
    <s v="G19"/>
    <n v="68.810746527777695"/>
    <m/>
    <m/>
    <n v="623.19166666666626"/>
    <n v="68.810746527777695"/>
    <m/>
    <m/>
    <m/>
    <m/>
  </r>
  <r>
    <n v="608"/>
    <x v="63"/>
    <x v="1"/>
    <x v="0"/>
    <x v="2"/>
    <x v="1"/>
    <x v="33"/>
    <s v="PWEGPL"/>
    <s v="MSEDCL"/>
    <n v="2.5000000000000001E-2"/>
    <s v="CE100010"/>
    <x v="296"/>
    <s v="PM"/>
    <d v="1899-12-30T10:18:00"/>
    <d v="1899-12-30T10:18:00"/>
    <d v="1899-12-30T17:28:00"/>
    <n v="0"/>
    <n v="7.1666666666666652"/>
    <n v="7.1666666666666652"/>
    <s v="102 PM service"/>
    <s v="Close"/>
    <n v="0.17916666666666664"/>
    <s v="G22"/>
    <n v="433.35937499999989"/>
    <m/>
    <m/>
    <n v="1451.2499999999998"/>
    <n v="433.35937499999989"/>
    <m/>
    <m/>
    <m/>
    <m/>
  </r>
  <r>
    <n v="609"/>
    <x v="63"/>
    <x v="1"/>
    <x v="0"/>
    <x v="2"/>
    <x v="1"/>
    <x v="3"/>
    <s v="PWEGPL"/>
    <s v="MSEDCL"/>
    <n v="2.5000000000000001E-2"/>
    <n v="2118"/>
    <x v="293"/>
    <s v="BD"/>
    <d v="1899-12-30T23:09:00"/>
    <d v="1899-12-30T23:48:00"/>
    <d v="1899-12-30T23:59:00"/>
    <n v="0.65000000000000302"/>
    <n v="0.18333333333333268"/>
    <n v="0.8333333333333357"/>
    <s v="Rebot &amp; Reset"/>
    <s v="Open"/>
    <n v="2.0833333333333395E-2"/>
    <s v="G26"/>
    <n v="5.5242091049383024"/>
    <m/>
    <m/>
    <n v="159.09722222222265"/>
    <n v="5.5242091049383024"/>
    <m/>
    <m/>
    <m/>
    <m/>
  </r>
  <r>
    <n v="610"/>
    <x v="63"/>
    <x v="1"/>
    <x v="0"/>
    <x v="2"/>
    <x v="1"/>
    <x v="7"/>
    <s v="PWEGPL"/>
    <s v="MSEDCL"/>
    <n v="2.5000000000000001E-2"/>
    <n v="2118"/>
    <x v="293"/>
    <s v="BD"/>
    <d v="1899-12-30T23:08:00"/>
    <d v="1899-12-30T23:59:00"/>
    <d v="1899-12-30T23:59:00"/>
    <n v="0.84999999999999964"/>
    <n v="0"/>
    <n v="0.84999999999999964"/>
    <s v="Rebot &amp; Reset"/>
    <s v="Open"/>
    <n v="2.1249999999999991E-2"/>
    <s v="G39"/>
    <n v="5.4287847222222183"/>
    <m/>
    <m/>
    <n v="153.28333333333327"/>
    <n v="5.4287847222222183"/>
    <m/>
    <m/>
    <m/>
    <m/>
  </r>
  <r>
    <n v="611"/>
    <x v="63"/>
    <x v="1"/>
    <x v="0"/>
    <x v="2"/>
    <x v="1"/>
    <x v="29"/>
    <s v="PWEGPL"/>
    <s v="MSEDCL"/>
    <n v="2.5000000000000001E-2"/>
    <s v="CE100001"/>
    <x v="288"/>
    <s v="BD"/>
    <d v="1899-12-30T11:31:00"/>
    <d v="1899-12-30T11:31:00"/>
    <d v="1899-12-30T12:32:00"/>
    <n v="0"/>
    <n v="1.0166666666666671"/>
    <n v="1.0166666666666671"/>
    <s v="PLC module replaced"/>
    <s v="Close"/>
    <n v="2.5416666666666678E-2"/>
    <s v="G12"/>
    <n v="9.8480169753086493"/>
    <m/>
    <m/>
    <n v="232.47777777777785"/>
    <n v="9.8480169753086493"/>
    <m/>
    <m/>
    <m/>
    <m/>
  </r>
  <r>
    <n v="612"/>
    <x v="64"/>
    <x v="1"/>
    <x v="0"/>
    <x v="2"/>
    <x v="1"/>
    <x v="20"/>
    <s v="PWEGPL"/>
    <s v="MSEDCL"/>
    <n v="2.5000000000000001E-2"/>
    <n v="410"/>
    <x v="322"/>
    <s v="BD"/>
    <d v="1899-12-30T21:37:00"/>
    <d v="1899-12-30T21:44:00"/>
    <d v="1899-12-30T23:06:00"/>
    <n v="0.11666666666666625"/>
    <n v="1.3666666666666671"/>
    <n v="1.4833333333333334"/>
    <s v="Rebot &amp; Reset"/>
    <s v="Close"/>
    <n v="3.7083333333333336E-2"/>
    <s v="G2"/>
    <n v="37.381802662037039"/>
    <m/>
    <m/>
    <n v="604.82916666666665"/>
    <n v="37.381802662037039"/>
    <m/>
    <m/>
    <m/>
    <m/>
  </r>
  <r>
    <n v="613"/>
    <x v="64"/>
    <x v="1"/>
    <x v="0"/>
    <x v="2"/>
    <x v="1"/>
    <x v="23"/>
    <s v="PWEGPL"/>
    <s v="MSEDCL"/>
    <n v="2.5000000000000001E-2"/>
    <n v="5212"/>
    <x v="319"/>
    <s v="BD"/>
    <d v="1899-12-30T21:37:00"/>
    <d v="1899-12-30T21:44:00"/>
    <d v="1899-12-30T23:59:00"/>
    <n v="0.11666666666666625"/>
    <n v="2.25"/>
    <n v="2.3666666666666663"/>
    <s v="Rebot &amp; Reset"/>
    <s v="Open"/>
    <n v="5.9166666666666659E-2"/>
    <s v="G5"/>
    <n v="78.59059027777775"/>
    <m/>
    <m/>
    <n v="796.97499999999991"/>
    <n v="78.59059027777775"/>
    <m/>
    <m/>
    <m/>
    <m/>
  </r>
  <r>
    <n v="614"/>
    <x v="64"/>
    <x v="1"/>
    <x v="0"/>
    <x v="2"/>
    <x v="1"/>
    <x v="26"/>
    <s v="PWEGPL"/>
    <s v="MSEDCL"/>
    <n v="2.5000000000000001E-2"/>
    <n v="222"/>
    <x v="323"/>
    <s v="BD"/>
    <d v="1899-12-30T13:19:00"/>
    <d v="1899-12-30T16:46:00"/>
    <d v="1899-12-30T16:51:00"/>
    <n v="3.4499999999999984"/>
    <n v="8.3333333333335702E-2"/>
    <n v="3.5333333333333341"/>
    <s v="Rebot &amp; Reset"/>
    <s v="Close"/>
    <n v="8.8333333333333361E-2"/>
    <s v="G8"/>
    <n v="213.83945987654332"/>
    <m/>
    <m/>
    <n v="1452.4944444444448"/>
    <n v="213.83945987654332"/>
    <m/>
    <m/>
    <m/>
    <m/>
  </r>
  <r>
    <n v="615"/>
    <x v="64"/>
    <x v="1"/>
    <x v="0"/>
    <x v="2"/>
    <x v="1"/>
    <x v="30"/>
    <s v="PWEGPL"/>
    <s v="MSEDCL"/>
    <n v="2.5000000000000001E-2"/>
    <n v="2106"/>
    <x v="321"/>
    <s v="BD"/>
    <d v="1899-12-30T14:00:00"/>
    <d v="1899-12-30T16:45:00"/>
    <d v="1899-12-30T17:04:00"/>
    <n v="2.7499999999999982"/>
    <n v="0.31666666666666821"/>
    <n v="3.0666666666666664"/>
    <s v="Rebot &amp; Reset"/>
    <s v="Close"/>
    <n v="7.6666666666666661E-2"/>
    <s v="G13"/>
    <n v="171.50049382716048"/>
    <m/>
    <m/>
    <n v="1342.1777777777777"/>
    <n v="171.50049382716048"/>
    <m/>
    <m/>
    <m/>
    <m/>
  </r>
  <r>
    <n v="616"/>
    <x v="64"/>
    <x v="1"/>
    <x v="0"/>
    <x v="2"/>
    <x v="1"/>
    <x v="37"/>
    <s v="PWEGPL"/>
    <s v="MSEDCL"/>
    <n v="2.5000000000000001E-2"/>
    <n v="2118"/>
    <x v="293"/>
    <s v="BD"/>
    <d v="1899-12-30T00:00:00"/>
    <d v="1899-12-30T01:18:00"/>
    <d v="1899-12-30T01:24:00"/>
    <n v="1.3"/>
    <n v="9.9999999999999811E-2"/>
    <n v="1.4"/>
    <s v="Rebot &amp; Reset"/>
    <s v="Close"/>
    <n v="3.4999999999999996E-2"/>
    <s v="G17"/>
    <n v="39.186388888888885"/>
    <m/>
    <m/>
    <n v="671.76666666666665"/>
    <n v="39.186388888888885"/>
    <m/>
    <m/>
    <m/>
    <m/>
  </r>
  <r>
    <n v="617"/>
    <x v="64"/>
    <x v="1"/>
    <x v="0"/>
    <x v="2"/>
    <x v="1"/>
    <x v="34"/>
    <s v="PWEGPL"/>
    <s v="MSEDCL"/>
    <n v="2.5000000000000001E-2"/>
    <s v="CE100010"/>
    <x v="296"/>
    <s v="PM"/>
    <d v="1899-12-30T09:57:00"/>
    <d v="1899-12-30T09:57:00"/>
    <d v="1899-12-30T17:50:00"/>
    <n v="0"/>
    <n v="7.883333333333332"/>
    <n v="7.883333333333332"/>
    <s v="102 PM service"/>
    <s v="Close"/>
    <n v="0.1970833333333333"/>
    <s v="G23"/>
    <n v="942.77777874228366"/>
    <m/>
    <m/>
    <n v="2870.1902777777773"/>
    <n v="942.77777874228366"/>
    <m/>
    <m/>
    <m/>
    <m/>
  </r>
  <r>
    <n v="618"/>
    <x v="64"/>
    <x v="1"/>
    <x v="0"/>
    <x v="2"/>
    <x v="1"/>
    <x v="35"/>
    <s v="PWEGPL"/>
    <s v="MSEDCL"/>
    <n v="2.5000000000000001E-2"/>
    <s v="CE100014"/>
    <x v="305"/>
    <s v="PM/Lift inspention"/>
    <d v="1899-12-30T10:32:00"/>
    <d v="1899-12-30T10:32:00"/>
    <d v="1899-12-30T15:00:00"/>
    <n v="0"/>
    <n v="4.4666666666666668"/>
    <n v="4.4666666666666668"/>
    <s v="Avanti lift inspection"/>
    <s v="Close"/>
    <n v="0.11166666666666668"/>
    <s v="G25"/>
    <n v="334.45820987654321"/>
    <m/>
    <m/>
    <n v="1797.088888888889"/>
    <n v="334.45820987654321"/>
    <m/>
    <m/>
    <m/>
    <m/>
  </r>
  <r>
    <n v="619"/>
    <x v="64"/>
    <x v="1"/>
    <x v="0"/>
    <x v="2"/>
    <x v="1"/>
    <x v="36"/>
    <s v="PWEGPL"/>
    <s v="MSEDCL"/>
    <n v="2.5000000000000001E-2"/>
    <s v="CE100014"/>
    <x v="305"/>
    <s v="PM/Lift inspention"/>
    <d v="1899-12-30T13:05:00"/>
    <d v="1899-12-30T13:05:00"/>
    <d v="1899-12-30T15:07:00"/>
    <n v="0"/>
    <n v="2.0333333333333314"/>
    <n v="2.0333333333333314"/>
    <s v="Avanti lift inspection"/>
    <s v="Close"/>
    <n v="5.0833333333333286E-2"/>
    <s v="G26"/>
    <n v="63.236902006172713"/>
    <m/>
    <m/>
    <n v="746.40277777777703"/>
    <n v="63.236902006172713"/>
    <m/>
    <m/>
    <m/>
    <m/>
  </r>
  <r>
    <n v="620"/>
    <x v="64"/>
    <x v="1"/>
    <x v="0"/>
    <x v="2"/>
    <x v="1"/>
    <x v="9"/>
    <s v="PWEGPL"/>
    <s v="MSEDCL"/>
    <n v="2.5000000000000001E-2"/>
    <n v="5212"/>
    <x v="319"/>
    <s v="BD"/>
    <d v="1899-12-30T19:52:00"/>
    <d v="1899-12-30T21:06:00"/>
    <d v="1899-12-30T23:59:00"/>
    <n v="1.2333333333333343"/>
    <n v="2.8833333333333311"/>
    <n v="4.1166666666666654"/>
    <s v="Rebot &amp; Reset"/>
    <s v="Open"/>
    <n v="0.10291666666666664"/>
    <s v="G29"/>
    <n v="262.14804687499981"/>
    <m/>
    <m/>
    <n v="1528.3124999999995"/>
    <n v="262.14804687499981"/>
    <m/>
    <m/>
    <m/>
    <m/>
  </r>
  <r>
    <n v="621"/>
    <x v="64"/>
    <x v="1"/>
    <x v="0"/>
    <x v="2"/>
    <x v="1"/>
    <x v="3"/>
    <s v="PWEGPL"/>
    <s v="MSEDCL"/>
    <n v="2.5000000000000001E-2"/>
    <s v="CE100001"/>
    <x v="288"/>
    <s v="BD"/>
    <d v="1899-12-30T11:25:00"/>
    <d v="1899-12-30T11:25:00"/>
    <d v="1899-12-30T13:50:00"/>
    <n v="0"/>
    <n v="2.4166666666666687"/>
    <n v="2.4166666666666687"/>
    <s v="Troubleshooting work"/>
    <s v="Close"/>
    <n v="6.0416666666666723E-2"/>
    <s v="G26"/>
    <n v="89.327859760802625"/>
    <m/>
    <m/>
    <n v="887.11805555555623"/>
    <n v="89.327859760802625"/>
    <m/>
    <m/>
    <m/>
    <m/>
  </r>
  <r>
    <n v="622"/>
    <x v="64"/>
    <x v="1"/>
    <x v="0"/>
    <x v="2"/>
    <x v="1"/>
    <x v="7"/>
    <s v="PWEGPL"/>
    <s v="MSEDCL"/>
    <n v="2.5000000000000001E-2"/>
    <n v="2118"/>
    <x v="293"/>
    <s v="BD"/>
    <d v="1899-12-30T00:00:00"/>
    <d v="1899-12-30T00:18:00"/>
    <d v="1899-12-30T00:41:00"/>
    <n v="0.3"/>
    <n v="0.3833333333333333"/>
    <n v="0.68333333333333335"/>
    <s v="Troubleshooting work in progress"/>
    <s v="Close"/>
    <n v="1.7083333333333336E-2"/>
    <s v="G39"/>
    <n v="7.4824604552469127"/>
    <m/>
    <m/>
    <n v="262.79861111111109"/>
    <n v="7.4824604552469127"/>
    <m/>
    <m/>
    <m/>
    <m/>
  </r>
  <r>
    <n v="623"/>
    <x v="64"/>
    <x v="1"/>
    <x v="0"/>
    <x v="2"/>
    <x v="1"/>
    <x v="30"/>
    <s v="PWEGPL"/>
    <s v="MSEDCL"/>
    <n v="2.5000000000000001E-2"/>
    <s v="CE100007"/>
    <x v="295"/>
    <s v="BD"/>
    <d v="1899-12-30T18:39:00"/>
    <d v="1899-12-30T18:39:00"/>
    <d v="1899-12-30T21:59:00"/>
    <n v="0"/>
    <n v="3.3333333333333375"/>
    <n v="3.3333333333333375"/>
    <s v="Breaker charged"/>
    <s v="Close"/>
    <n v="8.333333333333344E-2"/>
    <s v="G13"/>
    <n v="202.62345679012398"/>
    <m/>
    <m/>
    <n v="1458.8888888888907"/>
    <n v="202.62345679012398"/>
    <m/>
    <m/>
    <m/>
    <m/>
  </r>
  <r>
    <n v="624"/>
    <x v="64"/>
    <x v="1"/>
    <x v="0"/>
    <x v="2"/>
    <x v="1"/>
    <x v="35"/>
    <s v="PWEGPL"/>
    <s v="MSEDCL"/>
    <n v="2.5000000000000001E-2"/>
    <n v="803"/>
    <x v="324"/>
    <s v="BD"/>
    <d v="1899-12-30T15:00:00"/>
    <d v="1899-12-30T15:40:00"/>
    <d v="1899-12-30T23:59:00"/>
    <n v="0.66666666666666696"/>
    <n v="8.3166666666666664"/>
    <n v="8.9833333333333343"/>
    <s v="Troubleshooting work in progress"/>
    <s v="Open"/>
    <n v="0.22458333333333336"/>
    <s v="G25"/>
    <n v="1352.8504899691359"/>
    <m/>
    <m/>
    <n v="3614.2944444444447"/>
    <n v="1352.8504899691359"/>
    <m/>
    <m/>
    <m/>
    <m/>
  </r>
  <r>
    <n v="625"/>
    <x v="65"/>
    <x v="1"/>
    <x v="0"/>
    <x v="2"/>
    <x v="1"/>
    <x v="23"/>
    <s v="PWEGPL"/>
    <s v="MSEDCL"/>
    <n v="2.5000000000000001E-2"/>
    <n v="205"/>
    <x v="312"/>
    <s v="BD"/>
    <d v="1899-12-30T08:53:00"/>
    <d v="1899-12-30T10:30:00"/>
    <d v="1899-12-30T23:59:00"/>
    <n v="1.6166666666666676"/>
    <n v="13.483333333333334"/>
    <n v="15.1"/>
    <s v="Oil seal failuer"/>
    <s v="Open"/>
    <n v="0.3775"/>
    <s v="G5"/>
    <n v="969.83420138888891"/>
    <m/>
    <m/>
    <n v="1541.4583333333333"/>
    <n v="969.83420138888891"/>
    <m/>
    <m/>
    <m/>
    <m/>
  </r>
  <r>
    <n v="626"/>
    <x v="65"/>
    <x v="1"/>
    <x v="0"/>
    <x v="2"/>
    <x v="1"/>
    <x v="30"/>
    <s v="PWEGPL"/>
    <s v="MSEDCL"/>
    <n v="2.5000000000000001E-2"/>
    <n v="2106"/>
    <x v="321"/>
    <s v="BD"/>
    <d v="1899-12-30T15:57:00"/>
    <d v="1899-12-30T16:10:00"/>
    <d v="1899-12-30T16:25:00"/>
    <n v="0.21666666666666856"/>
    <n v="0.24999999999999911"/>
    <n v="0.46666666666666767"/>
    <s v="Feed back replaced"/>
    <s v="Close"/>
    <n v="1.1666666666666693E-2"/>
    <s v="G13"/>
    <n v="1.2113888888888942"/>
    <m/>
    <m/>
    <n v="62.300000000000132"/>
    <n v="1.2113888888888942"/>
    <m/>
    <m/>
    <m/>
    <m/>
  </r>
  <r>
    <n v="627"/>
    <x v="65"/>
    <x v="1"/>
    <x v="0"/>
    <x v="2"/>
    <x v="1"/>
    <x v="35"/>
    <s v="PWEGPL"/>
    <s v="MSEDCL"/>
    <n v="2.5000000000000001E-2"/>
    <n v="803"/>
    <x v="324"/>
    <s v="BD"/>
    <d v="1899-12-30T00:00:00"/>
    <d v="1899-12-30T00:00:00"/>
    <d v="1899-12-30T23:59:00"/>
    <n v="0"/>
    <n v="23.983333333333334"/>
    <n v="23.983333333333334"/>
    <s v="Pitch cylender failuier"/>
    <s v="Open"/>
    <n v="0.59958333333333336"/>
    <s v="G25"/>
    <n v="2842.0485947145062"/>
    <m/>
    <m/>
    <n v="2844.0236111111112"/>
    <n v="2842.0485947145062"/>
    <m/>
    <m/>
    <m/>
    <m/>
  </r>
  <r>
    <n v="628"/>
    <x v="65"/>
    <x v="1"/>
    <x v="0"/>
    <x v="2"/>
    <x v="1"/>
    <x v="8"/>
    <s v="PWEGPL"/>
    <s v="MSEDCL"/>
    <n v="2.5000000000000001E-2"/>
    <n v="205"/>
    <x v="312"/>
    <s v="BD"/>
    <d v="1899-12-30T09:41:00"/>
    <d v="1899-12-30T10:28:00"/>
    <d v="1899-12-30T12:36:00"/>
    <n v="0.78333333333333321"/>
    <n v="2.1333333333333337"/>
    <n v="2.916666666666667"/>
    <s v="Oil top up"/>
    <s v="Close"/>
    <n v="7.2916666666666671E-2"/>
    <s v="G28"/>
    <n v="33.407479745370381"/>
    <m/>
    <m/>
    <n v="274.89583333333337"/>
    <n v="33.407479745370381"/>
    <m/>
    <m/>
    <m/>
    <m/>
  </r>
  <r>
    <n v="629"/>
    <x v="65"/>
    <x v="1"/>
    <x v="0"/>
    <x v="2"/>
    <x v="1"/>
    <x v="9"/>
    <s v="PWEGPL"/>
    <s v="MSEDCL"/>
    <n v="2.5000000000000001E-2"/>
    <n v="5212"/>
    <x v="319"/>
    <s v="BD"/>
    <d v="1899-12-30T00:00:00"/>
    <d v="1899-12-30T00:00:00"/>
    <d v="1899-12-30T02:09:00"/>
    <n v="0"/>
    <n v="2.15"/>
    <n v="2.15"/>
    <s v="Reset"/>
    <s v="Close"/>
    <n v="5.3749999999999999E-2"/>
    <s v="G29"/>
    <n v="17.254123263888886"/>
    <m/>
    <m/>
    <n v="192.60416666666666"/>
    <n v="17.254123263888886"/>
    <m/>
    <m/>
    <m/>
    <m/>
  </r>
  <r>
    <n v="630"/>
    <x v="65"/>
    <x v="1"/>
    <x v="0"/>
    <x v="2"/>
    <x v="1"/>
    <x v="11"/>
    <s v="PWEGPL"/>
    <s v="MSEDCL"/>
    <n v="2.5000000000000001E-2"/>
    <s v="CE100014"/>
    <x v="305"/>
    <s v="PM/Lift inspention"/>
    <d v="1899-12-30T11:10:00"/>
    <d v="1899-12-30T11:10:00"/>
    <d v="1899-12-30T13:34:00"/>
    <n v="0"/>
    <n v="2.4000000000000008"/>
    <n v="2.4000000000000008"/>
    <s v="Avanti lift inspection"/>
    <s v="Close"/>
    <n v="6.0000000000000026E-2"/>
    <s v="G31"/>
    <n v="26.000000000000014"/>
    <m/>
    <m/>
    <n v="260.00000000000006"/>
    <n v="26.000000000000014"/>
    <m/>
    <m/>
    <m/>
    <m/>
  </r>
  <r>
    <n v="631"/>
    <x v="65"/>
    <x v="1"/>
    <x v="0"/>
    <x v="2"/>
    <x v="1"/>
    <x v="12"/>
    <s v="PWEGPL"/>
    <s v="MSEDCL"/>
    <n v="2.5000000000000001E-2"/>
    <s v="CE100014"/>
    <x v="305"/>
    <s v="PM/Lift inspention"/>
    <d v="1899-12-30T13:42:00"/>
    <d v="1899-12-30T13:42:00"/>
    <d v="1899-12-30T16:06:00"/>
    <n v="0"/>
    <n v="2.4000000000000021"/>
    <n v="2.4000000000000021"/>
    <s v="Avanti lift inspection"/>
    <s v="Close"/>
    <n v="6.0000000000000053E-2"/>
    <s v="G32"/>
    <n v="32.100000000000058"/>
    <m/>
    <m/>
    <n v="321.00000000000028"/>
    <n v="32.100000000000058"/>
    <m/>
    <m/>
    <m/>
    <m/>
  </r>
  <r>
    <n v="632"/>
    <x v="65"/>
    <x v="1"/>
    <x v="0"/>
    <x v="2"/>
    <x v="1"/>
    <x v="16"/>
    <s v="PWEGPL"/>
    <s v="MSEDCL"/>
    <n v="2.5000000000000001E-2"/>
    <n v="110"/>
    <x v="287"/>
    <s v="BD"/>
    <d v="1899-12-30T00:00:00"/>
    <d v="1899-12-30T00:00:00"/>
    <d v="1899-12-30T03:04:00"/>
    <n v="0"/>
    <n v="3.0666666666666673"/>
    <n v="3.0666666666666673"/>
    <s v="Cable twist removed &amp; started"/>
    <s v="Close"/>
    <n v="7.6666666666666689E-2"/>
    <s v="G37"/>
    <n v="48.295740740740762"/>
    <m/>
    <m/>
    <n v="377.96666666666675"/>
    <n v="48.295740740740762"/>
    <m/>
    <m/>
    <m/>
    <m/>
  </r>
  <r>
    <n v="633"/>
    <x v="66"/>
    <x v="1"/>
    <x v="0"/>
    <x v="2"/>
    <x v="1"/>
    <x v="23"/>
    <s v="PWEGPL"/>
    <s v="MSEDCL"/>
    <n v="2.5000000000000001E-2"/>
    <n v="205"/>
    <x v="312"/>
    <s v="BD"/>
    <d v="1899-12-30T00:00:00"/>
    <d v="1899-12-30T00:00:00"/>
    <d v="1899-12-30T17:51:00"/>
    <n v="0"/>
    <n v="17.850000000000001"/>
    <n v="17.850000000000001"/>
    <s v="Oil seal replaced"/>
    <s v="Close"/>
    <n v="0.44625000000000004"/>
    <s v="G5"/>
    <n v="3122.6111328125012"/>
    <m/>
    <m/>
    <n v="4198.4687500000009"/>
    <n v="3122.6111328125012"/>
    <m/>
    <m/>
    <m/>
    <m/>
  </r>
  <r>
    <n v="634"/>
    <x v="66"/>
    <x v="1"/>
    <x v="0"/>
    <x v="2"/>
    <x v="1"/>
    <x v="17"/>
    <s v="PWEGPL"/>
    <s v="MSEDCL"/>
    <n v="2.5000000000000001E-2"/>
    <n v="509"/>
    <x v="301"/>
    <s v="BD"/>
    <d v="1899-12-30T20:50:00"/>
    <d v="1899-12-30T20:50:00"/>
    <d v="1899-12-30T23:43:00"/>
    <n v="0"/>
    <n v="2.8833333333333337"/>
    <n v="2.8833333333333337"/>
    <s v="Fan relay replaced"/>
    <s v="Close"/>
    <n v="7.2083333333333346E-2"/>
    <s v="G9"/>
    <n v="98.377731481481504"/>
    <m/>
    <m/>
    <n v="818.86666666666679"/>
    <n v="98.377731481481504"/>
    <m/>
    <m/>
    <m/>
    <m/>
  </r>
  <r>
    <n v="635"/>
    <x v="66"/>
    <x v="1"/>
    <x v="0"/>
    <x v="2"/>
    <x v="1"/>
    <x v="1"/>
    <s v="PWEGPL"/>
    <s v="MSEDCL"/>
    <n v="2.5000000000000001E-2"/>
    <n v="205"/>
    <x v="312"/>
    <s v="BD"/>
    <d v="1899-12-30T00:31:00"/>
    <d v="1899-12-30T00:31:00"/>
    <d v="1899-12-30T01:42:00"/>
    <n v="0"/>
    <n v="1.1833333333333331"/>
    <n v="1.1833333333333331"/>
    <s v="Oil topup"/>
    <s v="Close"/>
    <n v="2.958333333333333E-2"/>
    <s v="G24"/>
    <n v="16.176125578703697"/>
    <m/>
    <m/>
    <n v="328.07916666666659"/>
    <n v="16.176125578703697"/>
    <m/>
    <m/>
    <m/>
    <m/>
  </r>
  <r>
    <n v="636"/>
    <x v="66"/>
    <x v="1"/>
    <x v="0"/>
    <x v="2"/>
    <x v="1"/>
    <x v="35"/>
    <s v="PWEGPL"/>
    <s v="MSEDCL"/>
    <n v="2.5000000000000001E-2"/>
    <n v="803"/>
    <x v="324"/>
    <s v="BD"/>
    <d v="1899-12-30T00:00:00"/>
    <d v="1899-12-30T00:00:00"/>
    <d v="1899-12-30T23:59:00"/>
    <n v="0"/>
    <n v="23.983333333333334"/>
    <n v="23.983333333333334"/>
    <s v="Pitch cylender failuier- wip"/>
    <s v="Open"/>
    <n v="0.59958333333333336"/>
    <s v="G25"/>
    <n v="6644.7615422453709"/>
    <m/>
    <m/>
    <n v="6649.3791666666666"/>
    <n v="6644.7615422453709"/>
    <m/>
    <m/>
    <m/>
    <m/>
  </r>
  <r>
    <n v="637"/>
    <x v="66"/>
    <x v="1"/>
    <x v="0"/>
    <x v="2"/>
    <x v="1"/>
    <x v="36"/>
    <s v="PWEGPL"/>
    <s v="MSEDCL"/>
    <n v="2.5000000000000001E-2"/>
    <n v="1894"/>
    <x v="325"/>
    <s v="BD"/>
    <d v="1899-12-30T02:58:00"/>
    <d v="1899-12-30T02:58:00"/>
    <d v="1899-12-30T03:48:00"/>
    <n v="0"/>
    <n v="0.83333333333333304"/>
    <n v="0.83333333333333304"/>
    <s v="reboot"/>
    <s v="Close"/>
    <n v="2.0833333333333329E-2"/>
    <s v="G26"/>
    <n v="7.4291087962962905"/>
    <m/>
    <m/>
    <n v="213.95833333333326"/>
    <n v="7.4291087962962905"/>
    <m/>
    <m/>
    <m/>
    <m/>
  </r>
  <r>
    <n v="638"/>
    <x v="66"/>
    <x v="1"/>
    <x v="0"/>
    <x v="2"/>
    <x v="1"/>
    <x v="2"/>
    <s v="PWEGPL"/>
    <s v="MSEDCL"/>
    <n v="2.5000000000000001E-2"/>
    <n v="110"/>
    <x v="287"/>
    <s v="BD"/>
    <d v="1899-12-30T08:07:00"/>
    <d v="1899-12-30T08:07:00"/>
    <d v="1899-12-30T11:47:00"/>
    <n v="0"/>
    <n v="3.6666666666666656"/>
    <n v="3.6666666666666656"/>
    <s v="Cable twist removed &amp; started"/>
    <s v="Close"/>
    <n v="9.1666666666666646E-2"/>
    <s v="G32"/>
    <n v="108.3024691358024"/>
    <m/>
    <m/>
    <n v="708.88888888888869"/>
    <n v="108.3024691358024"/>
    <m/>
    <m/>
    <m/>
    <m/>
  </r>
  <r>
    <n v="639"/>
    <x v="66"/>
    <x v="1"/>
    <x v="0"/>
    <x v="2"/>
    <x v="1"/>
    <x v="3"/>
    <s v="PWEGPL"/>
    <s v="MSEDCL"/>
    <n v="2.5000000000000001E-2"/>
    <s v="CE100007"/>
    <x v="295"/>
    <s v="PM"/>
    <d v="1899-12-30T15:13:00"/>
    <d v="1899-12-30T15:13:00"/>
    <d v="1899-12-30T15:53:00"/>
    <n v="0"/>
    <n v="0.66666666666666696"/>
    <n v="0.66666666666666696"/>
    <s v="LC taken for VCB01 yearly maintenance"/>
    <s v="Close"/>
    <n v="1.6666666666666673E-2"/>
    <s v="G26"/>
    <n v="4.7546296296296333"/>
    <m/>
    <m/>
    <n v="171.16666666666674"/>
    <n v="4.7546296296296333"/>
    <m/>
    <m/>
    <m/>
    <m/>
  </r>
  <r>
    <n v="640"/>
    <x v="66"/>
    <x v="1"/>
    <x v="0"/>
    <x v="2"/>
    <x v="1"/>
    <x v="13"/>
    <s v="PWEGPL"/>
    <s v="MSEDCL"/>
    <n v="2.5000000000000001E-2"/>
    <s v="CE100007"/>
    <x v="295"/>
    <s v="PM"/>
    <d v="1899-12-30T15:13:00"/>
    <d v="1899-12-30T15:13:00"/>
    <d v="1899-12-30T15:53:00"/>
    <n v="0"/>
    <n v="0.66666666666666696"/>
    <n v="0.66666666666666696"/>
    <s v="LC taken for VCB01 yearly maintenance"/>
    <s v="Close"/>
    <n v="1.6666666666666673E-2"/>
    <s v="G34"/>
    <n v="5.1682098765432141"/>
    <m/>
    <m/>
    <n v="186.05555555555563"/>
    <n v="5.1682098765432141"/>
    <m/>
    <m/>
    <m/>
    <m/>
  </r>
  <r>
    <n v="641"/>
    <x v="66"/>
    <x v="1"/>
    <x v="0"/>
    <x v="2"/>
    <x v="1"/>
    <x v="14"/>
    <s v="PWEGPL"/>
    <s v="MSEDCL"/>
    <n v="2.5000000000000001E-2"/>
    <s v="CE100007"/>
    <x v="295"/>
    <s v="PM"/>
    <d v="1899-12-30T15:13:00"/>
    <d v="1899-12-30T15:13:00"/>
    <d v="1899-12-30T15:53:00"/>
    <n v="0"/>
    <n v="0.66666666666666696"/>
    <n v="0.66666666666666696"/>
    <s v="LC taken for VCB01 yearly maintenance"/>
    <s v="Close"/>
    <n v="1.6666666666666673E-2"/>
    <s v="G35"/>
    <n v="4.0524691358024727"/>
    <m/>
    <m/>
    <n v="145.88888888888897"/>
    <n v="4.0524691358024727"/>
    <m/>
    <m/>
    <m/>
    <m/>
  </r>
  <r>
    <n v="642"/>
    <x v="66"/>
    <x v="1"/>
    <x v="0"/>
    <x v="2"/>
    <x v="1"/>
    <x v="15"/>
    <s v="PWEGPL"/>
    <s v="MSEDCL"/>
    <n v="2.5000000000000001E-2"/>
    <s v="CE100007"/>
    <x v="295"/>
    <s v="PM"/>
    <d v="1899-12-30T15:13:00"/>
    <d v="1899-12-30T15:13:00"/>
    <d v="1899-12-30T15:53:00"/>
    <n v="0"/>
    <n v="0.66666666666666696"/>
    <n v="0.66666666666666696"/>
    <s v="LC taken for VCB01 yearly maintenance"/>
    <s v="Close"/>
    <n v="1.6666666666666673E-2"/>
    <s v="G36"/>
    <n v="4.6805555555555598"/>
    <m/>
    <m/>
    <n v="168.50000000000009"/>
    <n v="4.6805555555555598"/>
    <m/>
    <m/>
    <m/>
    <m/>
  </r>
  <r>
    <n v="643"/>
    <x v="66"/>
    <x v="1"/>
    <x v="0"/>
    <x v="2"/>
    <x v="1"/>
    <x v="16"/>
    <s v="PWEGPL"/>
    <s v="MSEDCL"/>
    <n v="2.5000000000000001E-2"/>
    <s v="CE100007"/>
    <x v="295"/>
    <s v="PM"/>
    <d v="1899-12-30T15:13:00"/>
    <d v="1899-12-30T15:13:00"/>
    <d v="1899-12-30T15:53:00"/>
    <n v="0"/>
    <n v="0.66666666666666696"/>
    <n v="0.66666666666666696"/>
    <s v="LC taken for VCB01 yearly maintenance"/>
    <s v="Close"/>
    <n v="1.6666666666666673E-2"/>
    <s v="G37"/>
    <n v="5.0756172839506215"/>
    <m/>
    <m/>
    <n v="182.72222222222229"/>
    <n v="5.0756172839506215"/>
    <m/>
    <m/>
    <m/>
    <m/>
  </r>
  <r>
    <n v="644"/>
    <x v="66"/>
    <x v="1"/>
    <x v="0"/>
    <x v="2"/>
    <x v="1"/>
    <x v="4"/>
    <s v="PWEGPL"/>
    <s v="MSEDCL"/>
    <n v="2.5000000000000001E-2"/>
    <s v="CE100007"/>
    <x v="295"/>
    <s v="PM"/>
    <d v="1899-12-30T15:13:00"/>
    <d v="1899-12-30T15:13:00"/>
    <d v="1899-12-30T15:53:00"/>
    <n v="0"/>
    <n v="0.66666666666666696"/>
    <n v="0.66666666666666696"/>
    <s v="LC taken for VCB01 yearly maintenance"/>
    <s v="Close"/>
    <n v="1.6666666666666673E-2"/>
    <s v="G38"/>
    <n v="4.2114197530864237"/>
    <m/>
    <m/>
    <n v="151.61111111111117"/>
    <n v="4.2114197530864237"/>
    <m/>
    <m/>
    <m/>
    <m/>
  </r>
  <r>
    <n v="645"/>
    <x v="66"/>
    <x v="1"/>
    <x v="0"/>
    <x v="2"/>
    <x v="1"/>
    <x v="5"/>
    <s v="PWEGPL"/>
    <s v="MSEDCL"/>
    <n v="2.5000000000000001E-2"/>
    <s v="CE100007"/>
    <x v="295"/>
    <s v="PM"/>
    <d v="1899-12-30T15:13:00"/>
    <d v="1899-12-30T15:13:00"/>
    <d v="1899-12-30T15:53:00"/>
    <n v="0"/>
    <n v="0.66666666666666696"/>
    <n v="0.66666666666666696"/>
    <s v="LC taken for VCB01 yearly maintenance"/>
    <s v="Close"/>
    <n v="1.6666666666666673E-2"/>
    <s v="G39"/>
    <n v="4.8271604938271651"/>
    <m/>
    <m/>
    <n v="173.77777777777786"/>
    <n v="4.8271604938271651"/>
    <m/>
    <m/>
    <m/>
    <m/>
  </r>
  <r>
    <n v="646"/>
    <x v="66"/>
    <x v="1"/>
    <x v="0"/>
    <x v="2"/>
    <x v="1"/>
    <x v="6"/>
    <s v="PWEGPL"/>
    <s v="MSEDCL"/>
    <n v="2.5000000000000001E-2"/>
    <s v="CE100007"/>
    <x v="295"/>
    <s v="PM"/>
    <d v="1899-12-30T15:13:00"/>
    <d v="1899-12-30T15:13:00"/>
    <d v="1899-12-30T15:53:00"/>
    <n v="0"/>
    <n v="0.66666666666666696"/>
    <n v="0.66666666666666696"/>
    <s v="LC taken for VCB01 yearly maintenance"/>
    <s v="Close"/>
    <n v="1.6666666666666673E-2"/>
    <s v="G40"/>
    <n v="5.3703703703703747"/>
    <m/>
    <m/>
    <n v="193.33333333333343"/>
    <n v="5.3703703703703747"/>
    <m/>
    <m/>
    <m/>
    <m/>
  </r>
  <r>
    <n v="647"/>
    <x v="66"/>
    <x v="1"/>
    <x v="0"/>
    <x v="2"/>
    <x v="1"/>
    <x v="7"/>
    <s v="PWEGPL"/>
    <s v="MSEDCL"/>
    <n v="2.5000000000000001E-2"/>
    <s v="CE100007"/>
    <x v="295"/>
    <s v="PM"/>
    <d v="1899-12-30T15:13:00"/>
    <d v="1899-12-30T15:13:00"/>
    <d v="1899-12-30T15:53:00"/>
    <n v="0"/>
    <n v="0.66666666666666696"/>
    <n v="0.66666666666666696"/>
    <s v="LC taken for VCB01 yearly maintenance"/>
    <s v="Close"/>
    <n v="1.6666666666666673E-2"/>
    <s v="G39"/>
    <n v="4.8271604938271651"/>
    <m/>
    <m/>
    <n v="173.77777777777786"/>
    <n v="4.8271604938271651"/>
    <m/>
    <m/>
    <m/>
    <m/>
  </r>
  <r>
    <n v="648"/>
    <x v="66"/>
    <x v="1"/>
    <x v="0"/>
    <x v="2"/>
    <x v="1"/>
    <x v="2"/>
    <s v="PWEGPL"/>
    <s v="MSEDCL"/>
    <n v="2.5000000000000001E-2"/>
    <s v="CE100007"/>
    <x v="295"/>
    <s v="PM"/>
    <d v="1899-12-30T15:13:00"/>
    <d v="1899-12-30T15:13:00"/>
    <d v="1899-12-30T15:53:00"/>
    <n v="0"/>
    <n v="0.66666666666666696"/>
    <n v="0.66666666666666696"/>
    <s v="LC taken for VCB01 yearly maintenance"/>
    <s v="Close"/>
    <n v="1.6666666666666673E-2"/>
    <s v="G32"/>
    <n v="3.5802469135802504"/>
    <m/>
    <m/>
    <n v="128.88888888888894"/>
    <n v="3.5802469135802504"/>
    <m/>
    <m/>
    <m/>
    <m/>
  </r>
  <r>
    <n v="649"/>
    <x v="67"/>
    <x v="1"/>
    <x v="0"/>
    <x v="2"/>
    <x v="1"/>
    <x v="21"/>
    <s v="PWEGPL"/>
    <s v="MSEDCL"/>
    <n v="2.5000000000000001E-2"/>
    <n v="552"/>
    <x v="304"/>
    <s v="BD"/>
    <d v="1899-12-30T11:54:00"/>
    <d v="1899-12-30T12:22:00"/>
    <d v="1899-12-30T12:32:00"/>
    <n v="0.46666666666666767"/>
    <n v="0.16666666666666607"/>
    <n v="0.63333333333333375"/>
    <s v="Reset"/>
    <s v="Close"/>
    <n v="1.5833333333333345E-2"/>
    <s v="G3"/>
    <n v="7.8314158950617374"/>
    <m/>
    <m/>
    <n v="296.76944444444462"/>
    <n v="7.8314158950617374"/>
    <m/>
    <m/>
    <m/>
    <m/>
  </r>
  <r>
    <n v="650"/>
    <x v="67"/>
    <x v="1"/>
    <x v="0"/>
    <x v="2"/>
    <x v="1"/>
    <x v="35"/>
    <s v="PWEGPL"/>
    <s v="MSEDCL"/>
    <n v="2.5000000000000001E-2"/>
    <n v="803"/>
    <x v="324"/>
    <s v="BD"/>
    <d v="1899-12-30T00:00:00"/>
    <d v="1899-12-30T23:59:00"/>
    <d v="1899-12-30T23:59:00"/>
    <n v="23.983333333333334"/>
    <n v="0"/>
    <n v="23.983333333333334"/>
    <s v="Pitch cylender failuier- WIP"/>
    <s v="Open"/>
    <n v="0.59958333333333336"/>
    <s v="G25"/>
    <n v="10359.596669560186"/>
    <m/>
    <m/>
    <n v="10366.795833333334"/>
    <n v="10359.596669560186"/>
    <m/>
    <m/>
    <m/>
    <m/>
  </r>
  <r>
    <n v="651"/>
    <x v="67"/>
    <x v="1"/>
    <x v="0"/>
    <x v="2"/>
    <x v="1"/>
    <x v="13"/>
    <s v="PWEGPL"/>
    <s v="MSEDCL"/>
    <n v="2.5000000000000001E-2"/>
    <s v="CE100014"/>
    <x v="305"/>
    <s v="PM/Lift inspention"/>
    <d v="1899-12-30T11:07:00"/>
    <d v="1899-12-30T11:07:00"/>
    <d v="1899-12-30T13:23:00"/>
    <n v="0"/>
    <n v="2.2666666666666666"/>
    <n v="2.2666666666666666"/>
    <s v="Avanti lift inspection"/>
    <s v="Close"/>
    <n v="5.6666666666666671E-2"/>
    <s v="G34"/>
    <n v="96.440370370370374"/>
    <m/>
    <m/>
    <n v="1021.1333333333333"/>
    <n v="96.440370370370374"/>
    <m/>
    <m/>
    <m/>
    <m/>
  </r>
  <r>
    <n v="652"/>
    <x v="67"/>
    <x v="1"/>
    <x v="0"/>
    <x v="2"/>
    <x v="1"/>
    <x v="14"/>
    <s v="PWEGPL"/>
    <s v="MSEDCL"/>
    <n v="2.5000000000000001E-2"/>
    <s v="CE100014"/>
    <x v="305"/>
    <s v="PM/Lift inspention"/>
    <d v="1899-12-30T13:28:00"/>
    <d v="1899-12-30T13:28:00"/>
    <d v="1899-12-30T15:45:00"/>
    <n v="0"/>
    <n v="2.2833333333333332"/>
    <n v="2.2833333333333332"/>
    <s v="Avanti lift inspection"/>
    <s v="Close"/>
    <n v="5.7083333333333333E-2"/>
    <s v="G35"/>
    <n v="100.28960262345679"/>
    <m/>
    <m/>
    <n v="1054.1388888888889"/>
    <n v="100.28960262345679"/>
    <m/>
    <m/>
    <m/>
    <m/>
  </r>
  <r>
    <n v="653"/>
    <x v="68"/>
    <x v="1"/>
    <x v="0"/>
    <x v="2"/>
    <x v="1"/>
    <x v="32"/>
    <s v="PWEGPL"/>
    <s v="MSEDCL"/>
    <n v="2.5000000000000001E-2"/>
    <n v="1894"/>
    <x v="325"/>
    <s v="BD"/>
    <d v="1899-12-30T08:00:00"/>
    <d v="1899-12-30T09:26:00"/>
    <d v="1899-12-30T09:36:00"/>
    <n v="1.4333333333333336"/>
    <n v="0.16666666666666607"/>
    <n v="1.5999999999999996"/>
    <s v="reset &amp; Rebot"/>
    <s v="Close"/>
    <n v="3.9999999999999994E-2"/>
    <s v="G15"/>
    <n v="18.026666666666657"/>
    <m/>
    <m/>
    <n v="270.39999999999992"/>
    <n v="18.026666666666657"/>
    <m/>
    <m/>
    <m/>
    <m/>
  </r>
  <r>
    <n v="654"/>
    <x v="68"/>
    <x v="1"/>
    <x v="0"/>
    <x v="2"/>
    <x v="1"/>
    <x v="35"/>
    <s v="PWEGPL"/>
    <s v="MSEDCL"/>
    <n v="2.5000000000000001E-2"/>
    <n v="803"/>
    <x v="324"/>
    <s v="BD"/>
    <d v="1899-12-30T00:00:00"/>
    <d v="1899-12-30T00:00:00"/>
    <d v="1899-12-30T23:59:00"/>
    <n v="0"/>
    <n v="23.983333333333334"/>
    <n v="23.983333333333334"/>
    <s v="Pitch cylender failuier- WIP"/>
    <s v="Open"/>
    <n v="0.59958333333333336"/>
    <s v="G25"/>
    <n v="3856.6379735725309"/>
    <m/>
    <m/>
    <n v="3859.3180555555555"/>
    <n v="3856.6379735725309"/>
    <m/>
    <m/>
    <m/>
    <m/>
  </r>
  <r>
    <n v="655"/>
    <x v="68"/>
    <x v="1"/>
    <x v="0"/>
    <x v="2"/>
    <x v="1"/>
    <x v="3"/>
    <s v="PWEGPL"/>
    <s v="MSEDCL"/>
    <n v="2.5000000000000001E-2"/>
    <n v="108"/>
    <x v="310"/>
    <s v="BD"/>
    <d v="1899-12-30T12:01:00"/>
    <d v="1899-12-30T12:33:00"/>
    <d v="1899-12-30T13:19:00"/>
    <n v="0.5333333333333341"/>
    <n v="0.76666666666666661"/>
    <n v="1.3000000000000007"/>
    <s v="Cable twist removed &amp; started"/>
    <s v="Close"/>
    <n v="3.2500000000000022E-2"/>
    <s v="G26"/>
    <n v="10.005034722222234"/>
    <m/>
    <m/>
    <n v="184.70833333333346"/>
    <n v="10.005034722222234"/>
    <m/>
    <m/>
    <m/>
    <m/>
  </r>
  <r>
    <n v="656"/>
    <x v="69"/>
    <x v="1"/>
    <x v="0"/>
    <x v="2"/>
    <x v="1"/>
    <x v="20"/>
    <s v="PWEGPL"/>
    <s v="MSEDCL"/>
    <n v="2.5000000000000001E-2"/>
    <s v="CE100007"/>
    <x v="295"/>
    <s v="BD"/>
    <d v="1899-12-30T12:53:00"/>
    <d v="1899-12-30T12:53:00"/>
    <d v="1899-12-30T15:03:00"/>
    <n v="0"/>
    <n v="2.166666666666667"/>
    <n v="2.166666666666667"/>
    <s v="LC taken for G-02 Two LA replacement"/>
    <s v="Close"/>
    <n v="5.4166666666666675E-2"/>
    <s v="G2"/>
    <n v="34.262924382716058"/>
    <m/>
    <m/>
    <n v="379.52777777777783"/>
    <n v="34.262924382716058"/>
    <m/>
    <m/>
    <m/>
    <m/>
  </r>
  <r>
    <n v="657"/>
    <x v="69"/>
    <x v="1"/>
    <x v="0"/>
    <x v="2"/>
    <x v="1"/>
    <x v="21"/>
    <s v="PWEGPL"/>
    <s v="MSEDCL"/>
    <n v="2.5000000000000001E-2"/>
    <s v="CE100007"/>
    <x v="295"/>
    <s v="BD"/>
    <d v="1899-12-30T12:53:00"/>
    <d v="1899-12-30T12:53:00"/>
    <d v="1899-12-30T15:03:00"/>
    <n v="0"/>
    <n v="2.166666666666667"/>
    <n v="2.166666666666667"/>
    <s v="LC taken for G-02 Two LA replacement"/>
    <s v="Close"/>
    <n v="5.4166666666666675E-2"/>
    <s v="G3"/>
    <n v="33.545717592592602"/>
    <m/>
    <m/>
    <n v="371.58333333333337"/>
    <n v="33.545717592592602"/>
    <m/>
    <m/>
    <m/>
    <m/>
  </r>
  <r>
    <n v="658"/>
    <x v="69"/>
    <x v="1"/>
    <x v="0"/>
    <x v="2"/>
    <x v="1"/>
    <x v="22"/>
    <s v="PWEGPL"/>
    <s v="MSEDCL"/>
    <n v="2.5000000000000001E-2"/>
    <s v="CE100007"/>
    <x v="295"/>
    <s v="BD"/>
    <d v="1899-12-30T12:53:00"/>
    <d v="1899-12-30T12:53:00"/>
    <d v="1899-12-30T15:03:00"/>
    <n v="0"/>
    <n v="2.166666666666667"/>
    <n v="2.166666666666667"/>
    <s v="LC taken for G-02 Two LA replacement"/>
    <s v="Close"/>
    <n v="5.4166666666666675E-2"/>
    <s v="G4"/>
    <n v="31.361496913580257"/>
    <m/>
    <m/>
    <n v="347.38888888888897"/>
    <n v="31.361496913580257"/>
    <m/>
    <m/>
    <m/>
    <m/>
  </r>
  <r>
    <n v="659"/>
    <x v="69"/>
    <x v="1"/>
    <x v="0"/>
    <x v="2"/>
    <x v="1"/>
    <x v="23"/>
    <s v="PWEGPL"/>
    <s v="MSEDCL"/>
    <n v="2.5000000000000001E-2"/>
    <s v="CE100007"/>
    <x v="295"/>
    <s v="BD"/>
    <d v="1899-12-30T12:53:00"/>
    <d v="1899-12-30T12:53:00"/>
    <d v="1899-12-30T15:03:00"/>
    <n v="0"/>
    <n v="2.166666666666667"/>
    <n v="2.166666666666667"/>
    <s v="LC taken for G-02 Two LA replacement"/>
    <s v="Close"/>
    <n v="5.4166666666666675E-2"/>
    <s v="G5"/>
    <n v="24.083478009259267"/>
    <m/>
    <m/>
    <n v="266.77083333333337"/>
    <n v="24.083478009259267"/>
    <m/>
    <m/>
    <m/>
    <m/>
  </r>
  <r>
    <n v="660"/>
    <x v="69"/>
    <x v="1"/>
    <x v="0"/>
    <x v="2"/>
    <x v="1"/>
    <x v="26"/>
    <s v="PWEGPL"/>
    <s v="MSEDCL"/>
    <n v="2.5000000000000001E-2"/>
    <s v="CE100007"/>
    <x v="295"/>
    <s v="BD"/>
    <d v="1899-12-30T12:53:00"/>
    <d v="1899-12-30T12:53:00"/>
    <d v="1899-12-30T15:03:00"/>
    <n v="0"/>
    <n v="2.166666666666667"/>
    <n v="2.166666666666667"/>
    <s v="LC taken for G-02 Two LA replacement"/>
    <s v="Close"/>
    <n v="5.4166666666666675E-2"/>
    <s v="G8"/>
    <n v="32.616608796296312"/>
    <m/>
    <m/>
    <n v="361.29166666666674"/>
    <n v="32.616608796296312"/>
    <m/>
    <m/>
    <m/>
    <m/>
  </r>
  <r>
    <n v="661"/>
    <x v="69"/>
    <x v="1"/>
    <x v="0"/>
    <x v="2"/>
    <x v="1"/>
    <x v="35"/>
    <s v="PWEGPL"/>
    <s v="MSEDCL"/>
    <n v="2.5000000000000001E-2"/>
    <n v="803"/>
    <x v="324"/>
    <s v="BD"/>
    <d v="1899-12-30T00:00:00"/>
    <d v="1899-12-30T00:00:00"/>
    <d v="1899-12-30T23:59:00"/>
    <n v="0"/>
    <n v="23.983333333333334"/>
    <n v="23.983333333333334"/>
    <s v="Pitch cylender failuier- WIP"/>
    <s v="Open"/>
    <n v="0.59958333333333336"/>
    <s v="G25"/>
    <n v="3720.8267968750001"/>
    <m/>
    <m/>
    <n v="3723.4125000000004"/>
    <n v="3720.8267968750001"/>
    <m/>
    <m/>
    <m/>
    <m/>
  </r>
  <r>
    <n v="662"/>
    <x v="69"/>
    <x v="1"/>
    <x v="0"/>
    <x v="2"/>
    <x v="1"/>
    <x v="15"/>
    <s v="PWEGPL"/>
    <s v="MSEDCL"/>
    <n v="2.5000000000000001E-2"/>
    <s v="CE100014"/>
    <x v="305"/>
    <s v="PM/Lift inspention"/>
    <d v="1899-12-30T11:23:00"/>
    <d v="1899-12-30T11:23:00"/>
    <d v="1899-12-30T13:51:00"/>
    <n v="0"/>
    <n v="2.4666666666666659"/>
    <n v="2.4666666666666659"/>
    <s v="Avanti lift inspection"/>
    <s v="Close"/>
    <n v="6.1666666666666647E-2"/>
    <s v="G36"/>
    <n v="46.943179012345645"/>
    <m/>
    <m/>
    <n v="456.7444444444443"/>
    <n v="46.943179012345645"/>
    <m/>
    <m/>
    <m/>
    <m/>
  </r>
  <r>
    <n v="663"/>
    <x v="69"/>
    <x v="1"/>
    <x v="0"/>
    <x v="2"/>
    <x v="1"/>
    <x v="16"/>
    <s v="PWEGPL"/>
    <s v="MSEDCL"/>
    <n v="2.5000000000000001E-2"/>
    <s v="CE100014"/>
    <x v="305"/>
    <s v="PM/Lift inspention"/>
    <d v="1899-12-30T13:58:00"/>
    <d v="1899-12-30T13:58:00"/>
    <d v="1899-12-30T16:09:00"/>
    <n v="0"/>
    <n v="2.1833333333333309"/>
    <n v="2.1833333333333309"/>
    <s v="Avanti lift inspection"/>
    <s v="Close"/>
    <n v="5.4583333333333275E-2"/>
    <s v="G37"/>
    <n v="34.643106674382636"/>
    <m/>
    <m/>
    <n v="380.80972222222175"/>
    <n v="34.643106674382636"/>
    <m/>
    <m/>
    <m/>
    <m/>
  </r>
  <r>
    <n v="664"/>
    <x v="69"/>
    <x v="1"/>
    <x v="0"/>
    <x v="2"/>
    <x v="1"/>
    <x v="4"/>
    <s v="PWEGPL"/>
    <s v="MSEDCL"/>
    <n v="2.5000000000000001E-2"/>
    <n v="205"/>
    <x v="312"/>
    <s v="BD"/>
    <d v="1899-12-30T13:51:00"/>
    <d v="1899-12-30T17:00:00"/>
    <d v="1899-12-30T17:30:00"/>
    <n v="3.1500000000000021"/>
    <n v="0.49999999999999822"/>
    <n v="3.6500000000000004"/>
    <s v="Oil Topup"/>
    <s v="Close"/>
    <n v="9.1250000000000012E-2"/>
    <s v="G38"/>
    <n v="85.994887152777792"/>
    <m/>
    <m/>
    <n v="565.44583333333333"/>
    <n v="85.994887152777792"/>
    <m/>
    <m/>
    <m/>
    <m/>
  </r>
  <r>
    <n v="665"/>
    <x v="69"/>
    <x v="1"/>
    <x v="0"/>
    <x v="2"/>
    <x v="1"/>
    <x v="23"/>
    <s v="PWEGPL"/>
    <s v="MSEDCL"/>
    <n v="2.5000000000000001E-2"/>
    <s v="CE100001"/>
    <x v="288"/>
    <s v="BD"/>
    <d v="1899-12-30T11:47:00"/>
    <d v="1899-12-30T11:47:00"/>
    <d v="1899-12-30T12:53:00"/>
    <n v="0"/>
    <n v="1.1000000000000001"/>
    <n v="1.1000000000000001"/>
    <s v="Troubleshooting work"/>
    <s v="Close"/>
    <n v="2.7500000000000004E-2"/>
    <s v="G5"/>
    <n v="6.2075520833333337"/>
    <m/>
    <m/>
    <n v="135.4375"/>
    <n v="6.2075520833333337"/>
    <m/>
    <m/>
    <m/>
    <m/>
  </r>
  <r>
    <n v="666"/>
    <x v="70"/>
    <x v="1"/>
    <x v="0"/>
    <x v="2"/>
    <x v="1"/>
    <x v="17"/>
    <s v="PWEGPL"/>
    <s v="MSEDCL"/>
    <n v="2.5000000000000001E-2"/>
    <n v="800"/>
    <x v="298"/>
    <s v="BD"/>
    <d v="1899-12-30T02:28:00"/>
    <d v="1899-12-30T03:31:00"/>
    <d v="1899-12-30T12:30:00"/>
    <n v="1.0499999999999998"/>
    <n v="8.9833333333333343"/>
    <n v="10.033333333333333"/>
    <s v="Loose connection tightened"/>
    <s v="Close"/>
    <n v="0.25083333333333335"/>
    <s v="G9"/>
    <n v="1989.586774691358"/>
    <m/>
    <m/>
    <n v="4759.1444444444442"/>
    <n v="1989.586774691358"/>
    <m/>
    <m/>
    <m/>
    <m/>
  </r>
  <r>
    <n v="667"/>
    <x v="70"/>
    <x v="1"/>
    <x v="0"/>
    <x v="2"/>
    <x v="1"/>
    <x v="1"/>
    <s v="PWEGPL"/>
    <s v="MSEDCL"/>
    <n v="2.5000000000000001E-2"/>
    <n v="205"/>
    <x v="312"/>
    <s v="BD"/>
    <d v="1899-12-30T11:18:00"/>
    <d v="1899-12-30T13:46:00"/>
    <d v="1899-12-30T14:05:00"/>
    <n v="2.4666666666666672"/>
    <n v="0.31666666666666554"/>
    <n v="2.7833333333333328"/>
    <s v="Oil Topup"/>
    <s v="Close"/>
    <n v="6.9583333333333316E-2"/>
    <s v="G24"/>
    <n v="130.94488040123451"/>
    <m/>
    <m/>
    <n v="1129.1055555555554"/>
    <n v="130.94488040123451"/>
    <m/>
    <m/>
    <m/>
    <m/>
  </r>
  <r>
    <n v="668"/>
    <x v="70"/>
    <x v="1"/>
    <x v="0"/>
    <x v="2"/>
    <x v="1"/>
    <x v="35"/>
    <s v="PWEGPL"/>
    <s v="MSEDCL"/>
    <n v="2.5000000000000001E-2"/>
    <n v="803"/>
    <x v="324"/>
    <s v="BD"/>
    <d v="1899-12-30T00:00:00"/>
    <d v="1899-12-30T00:00:00"/>
    <d v="1899-12-30T18:31:00"/>
    <n v="0"/>
    <n v="18.516666666666666"/>
    <n v="18.516666666666666"/>
    <s v="Pitch cylinder replaced"/>
    <s v="Open"/>
    <n v="0.46291666666666664"/>
    <s v="G25"/>
    <n v="5795.403769290122"/>
    <m/>
    <m/>
    <n v="7511.594444444444"/>
    <n v="5795.403769290122"/>
    <m/>
    <m/>
    <m/>
    <m/>
  </r>
  <r>
    <n v="669"/>
    <x v="70"/>
    <x v="1"/>
    <x v="0"/>
    <x v="2"/>
    <x v="1"/>
    <x v="35"/>
    <s v="PWEGPL"/>
    <s v="MSEDCL"/>
    <n v="2.5000000000000001E-2"/>
    <n v="5205"/>
    <x v="326"/>
    <s v="BD"/>
    <d v="1899-12-30T19:46:00"/>
    <d v="1899-12-30T21:26:00"/>
    <d v="1899-12-30T23:59:00"/>
    <n v="1.6666666666666687"/>
    <n v="2.5499999999999989"/>
    <n v="4.2166666666666677"/>
    <s v="Troubleshooting done"/>
    <s v="Close"/>
    <n v="0.1054166666666667"/>
    <s v="G25"/>
    <n v="300.53608410493842"/>
    <m/>
    <m/>
    <n v="1710.5611111111116"/>
    <n v="300.53608410493842"/>
    <m/>
    <m/>
    <m/>
    <m/>
  </r>
  <r>
    <n v="670"/>
    <x v="70"/>
    <x v="1"/>
    <x v="0"/>
    <x v="2"/>
    <x v="1"/>
    <x v="4"/>
    <s v="PWEGPL"/>
    <s v="MSEDCL"/>
    <n v="2.5000000000000001E-2"/>
    <s v="CE100014"/>
    <x v="305"/>
    <s v="PM/Lift inspention"/>
    <d v="1899-12-30T11:14:00"/>
    <d v="1899-12-30T11:14:00"/>
    <d v="1899-12-30T13:37:00"/>
    <n v="0"/>
    <n v="2.3833333333333342"/>
    <n v="2.3833333333333342"/>
    <s v="Avanti lift inspection"/>
    <s v="Close"/>
    <n v="5.9583333333333356E-2"/>
    <s v="G38"/>
    <n v="70.194821566358073"/>
    <m/>
    <m/>
    <n v="706.85694444444471"/>
    <n v="70.194821566358073"/>
    <m/>
    <m/>
    <m/>
    <m/>
  </r>
  <r>
    <n v="671"/>
    <x v="70"/>
    <x v="1"/>
    <x v="0"/>
    <x v="2"/>
    <x v="1"/>
    <x v="5"/>
    <s v="PWEGPL"/>
    <s v="MSEDCL"/>
    <n v="2.5000000000000001E-2"/>
    <s v="CE100014"/>
    <x v="305"/>
    <s v="PM/Lift inspention"/>
    <d v="1899-12-30T13:46:00"/>
    <d v="1899-12-30T13:46:00"/>
    <d v="1899-12-30T16:15:00"/>
    <n v="0"/>
    <n v="2.4833333333333325"/>
    <n v="2.4833333333333325"/>
    <s v="Avanti lift inspection"/>
    <s v="Close"/>
    <n v="6.2083333333333317E-2"/>
    <s v="G39"/>
    <n v="89.377868441357961"/>
    <m/>
    <m/>
    <n v="863.78611111111081"/>
    <n v="89.377868441357961"/>
    <m/>
    <m/>
    <m/>
    <m/>
  </r>
  <r>
    <n v="672"/>
    <x v="71"/>
    <x v="1"/>
    <x v="0"/>
    <x v="2"/>
    <x v="1"/>
    <x v="24"/>
    <s v="PWEGPL"/>
    <s v="MSEDCL"/>
    <n v="2.5000000000000001E-2"/>
    <n v="110"/>
    <x v="287"/>
    <s v="BD"/>
    <d v="1899-12-30T12:17:00"/>
    <d v="1899-12-30T13:02:00"/>
    <d v="1899-12-30T13:23:00"/>
    <n v="0.75"/>
    <n v="0.35000000000000142"/>
    <n v="1.1000000000000014"/>
    <s v="Cable twist removed &amp; started"/>
    <s v="Close"/>
    <n v="2.7500000000000038E-2"/>
    <s v="G6"/>
    <n v="15.912760416666707"/>
    <m/>
    <m/>
    <n v="347.18750000000045"/>
    <n v="15.912760416666707"/>
    <m/>
    <m/>
    <m/>
    <m/>
  </r>
  <r>
    <n v="673"/>
    <x v="71"/>
    <x v="1"/>
    <x v="0"/>
    <x v="2"/>
    <x v="1"/>
    <x v="30"/>
    <s v="PWEGPL"/>
    <s v="MSEDCL"/>
    <n v="2.5000000000000001E-2"/>
    <n v="205"/>
    <x v="312"/>
    <s v="BD"/>
    <d v="1899-12-30T10:33:00"/>
    <d v="1899-12-30T11:00:00"/>
    <d v="1899-12-30T11:40:00"/>
    <n v="0.4499999999999984"/>
    <n v="0.66666666666666696"/>
    <n v="1.1166666666666654"/>
    <s v="oil topup"/>
    <s v="Close"/>
    <n v="2.7916666666666635E-2"/>
    <s v="G13"/>
    <n v="17.076211419753047"/>
    <m/>
    <m/>
    <n v="367.01111111111072"/>
    <n v="17.076211419753047"/>
    <m/>
    <m/>
    <m/>
    <m/>
  </r>
  <r>
    <n v="674"/>
    <x v="71"/>
    <x v="1"/>
    <x v="0"/>
    <x v="2"/>
    <x v="1"/>
    <x v="35"/>
    <s v="PWEGPL"/>
    <s v="MSEDCL"/>
    <n v="2.5000000000000001E-2"/>
    <n v="907"/>
    <x v="292"/>
    <s v="BD"/>
    <d v="1899-12-30T00:00:00"/>
    <d v="1899-12-30T00:00:00"/>
    <d v="1899-12-30T01:00:00"/>
    <n v="0"/>
    <n v="1"/>
    <n v="1"/>
    <s v="Trouble shooting and reset"/>
    <s v="Close"/>
    <n v="2.5000000000000001E-2"/>
    <s v="G25"/>
    <n v="10.5625"/>
    <m/>
    <m/>
    <n v="253.5"/>
    <n v="10.5625"/>
    <m/>
    <m/>
    <m/>
    <m/>
  </r>
  <r>
    <n v="675"/>
    <x v="71"/>
    <x v="1"/>
    <x v="0"/>
    <x v="2"/>
    <x v="1"/>
    <x v="9"/>
    <s v="PWEGPL"/>
    <s v="MSEDCL"/>
    <n v="2.5000000000000001E-2"/>
    <n v="110"/>
    <x v="287"/>
    <s v="BD"/>
    <d v="1899-12-30T15:30:00"/>
    <d v="1899-12-30T16:00:00"/>
    <d v="1899-12-30T17:22:00"/>
    <n v="0.49999999999999822"/>
    <n v="1.3666666666666671"/>
    <n v="1.8666666666666654"/>
    <s v="Cable twist removed &amp; started"/>
    <s v="Close"/>
    <n v="4.6666666666666634E-2"/>
    <s v="G29"/>
    <n v="39.151604938271554"/>
    <m/>
    <m/>
    <n v="503.37777777777745"/>
    <n v="39.151604938271554"/>
    <m/>
    <m/>
    <m/>
    <m/>
  </r>
  <r>
    <n v="676"/>
    <x v="71"/>
    <x v="1"/>
    <x v="0"/>
    <x v="2"/>
    <x v="1"/>
    <x v="6"/>
    <s v="PWEGPL"/>
    <s v="MSEDCL"/>
    <n v="2.5000000000000001E-2"/>
    <s v="CE100014"/>
    <x v="305"/>
    <s v="PM/Lift inspention"/>
    <d v="1899-12-30T11:20:00"/>
    <d v="1899-12-30T11:20:00"/>
    <d v="1899-12-30T14:07:00"/>
    <n v="0"/>
    <n v="2.7833333333333328"/>
    <n v="2.7833333333333328"/>
    <s v="Avanti lift inspection"/>
    <s v="Close"/>
    <n v="6.9583333333333316E-2"/>
    <s v="G40"/>
    <n v="76.770067515432075"/>
    <m/>
    <m/>
    <n v="661.96944444444432"/>
    <n v="76.770067515432075"/>
    <m/>
    <m/>
    <m/>
    <m/>
  </r>
  <r>
    <n v="677"/>
    <x v="71"/>
    <x v="1"/>
    <x v="0"/>
    <x v="2"/>
    <x v="1"/>
    <x v="7"/>
    <s v="PWEGPL"/>
    <s v="MSEDCL"/>
    <n v="2.5000000000000001E-2"/>
    <s v="CE100014"/>
    <x v="305"/>
    <s v="PM/Lift inspention"/>
    <d v="1899-12-30T13:58:00"/>
    <d v="1899-12-30T13:58:00"/>
    <d v="1899-12-30T16:17:00"/>
    <n v="0"/>
    <n v="2.3166666666666664"/>
    <n v="2.3166666666666664"/>
    <s v="Avanti lift inspection"/>
    <s v="Close"/>
    <n v="5.7916666666666665E-2"/>
    <s v="G39"/>
    <n v="60.713559027777762"/>
    <m/>
    <m/>
    <n v="628.97499999999991"/>
    <n v="60.713559027777762"/>
    <m/>
    <m/>
    <m/>
    <m/>
  </r>
  <r>
    <n v="678"/>
    <x v="71"/>
    <x v="1"/>
    <x v="0"/>
    <x v="2"/>
    <x v="1"/>
    <x v="7"/>
    <s v="PWEGPL"/>
    <s v="MSEDCL"/>
    <n v="2.5000000000000001E-2"/>
    <n v="812"/>
    <x v="327"/>
    <s v="BD"/>
    <d v="1899-12-30T21:39:00"/>
    <d v="1899-12-30T22:08:00"/>
    <d v="1899-12-30T22:22:00"/>
    <n v="0.48333333333333428"/>
    <n v="0.23333333333333517"/>
    <n v="0.71666666666666945"/>
    <s v="Reset"/>
    <s v="Close"/>
    <n v="1.7916666666666737E-2"/>
    <s v="G39"/>
    <n v="5.8102256944444903"/>
    <m/>
    <m/>
    <n v="194.57500000000076"/>
    <n v="5.8102256944444903"/>
    <m/>
    <m/>
    <m/>
    <m/>
  </r>
  <r>
    <n v="679"/>
    <x v="72"/>
    <x v="1"/>
    <x v="0"/>
    <x v="2"/>
    <x v="1"/>
    <x v="20"/>
    <s v="PWEGPL"/>
    <s v="MSEDCL"/>
    <n v="2.5000000000000001E-2"/>
    <n v="5216"/>
    <x v="306"/>
    <s v="BD"/>
    <d v="1899-12-30T19:19:00"/>
    <d v="1899-12-30T19:19:00"/>
    <d v="1899-12-30T19:27:00"/>
    <n v="0"/>
    <n v="0.13333333333333286"/>
    <n v="0.13333333333333286"/>
    <s v="Restored again"/>
    <s v="Close"/>
    <n v="3.3333333333333218E-3"/>
    <s v="G2"/>
    <n v="0.30209876543209657"/>
    <m/>
    <m/>
    <n v="54.377777777777581"/>
    <n v="0.30209876543209657"/>
    <m/>
    <m/>
    <m/>
    <m/>
  </r>
  <r>
    <n v="680"/>
    <x v="72"/>
    <x v="1"/>
    <x v="0"/>
    <x v="2"/>
    <x v="1"/>
    <x v="21"/>
    <s v="PWEGPL"/>
    <s v="MSEDCL"/>
    <n v="2.5000000000000001E-2"/>
    <n v="5216"/>
    <x v="306"/>
    <s v="BD"/>
    <d v="1899-12-30T19:19:00"/>
    <d v="1899-12-30T19:19:00"/>
    <d v="1899-12-30T19:27:00"/>
    <n v="0"/>
    <n v="0.13333333333333286"/>
    <n v="0.13333333333333286"/>
    <s v="Restored again"/>
    <s v="Close"/>
    <n v="3.3333333333333218E-3"/>
    <s v="G3"/>
    <n v="0.19444444444444303"/>
    <m/>
    <m/>
    <n v="34.999999999999872"/>
    <n v="0.19444444444444303"/>
    <m/>
    <m/>
    <m/>
    <m/>
  </r>
  <r>
    <n v="681"/>
    <x v="72"/>
    <x v="1"/>
    <x v="0"/>
    <x v="2"/>
    <x v="1"/>
    <x v="22"/>
    <s v="PWEGPL"/>
    <s v="MSEDCL"/>
    <n v="2.5000000000000001E-2"/>
    <n v="5216"/>
    <x v="306"/>
    <s v="BD"/>
    <d v="1899-12-30T19:19:00"/>
    <d v="1899-12-30T19:19:00"/>
    <d v="1899-12-30T19:27:00"/>
    <n v="0"/>
    <n v="0.13333333333333286"/>
    <n v="0.13333333333333286"/>
    <s v="Restored again"/>
    <s v="Close"/>
    <n v="3.3333333333333218E-3"/>
    <s v="G4"/>
    <n v="7.4135802469135287E-2"/>
    <m/>
    <m/>
    <n v="13.344444444444397"/>
    <n v="7.4135802469135287E-2"/>
    <m/>
    <m/>
    <m/>
    <m/>
  </r>
  <r>
    <n v="682"/>
    <x v="72"/>
    <x v="1"/>
    <x v="0"/>
    <x v="2"/>
    <x v="1"/>
    <x v="23"/>
    <s v="PWEGPL"/>
    <s v="MSEDCL"/>
    <n v="2.5000000000000001E-2"/>
    <n v="5216"/>
    <x v="306"/>
    <s v="BD"/>
    <d v="1899-12-30T19:19:00"/>
    <d v="1899-12-30T19:19:00"/>
    <d v="1899-12-30T19:27:00"/>
    <n v="0"/>
    <n v="0.13333333333333286"/>
    <n v="0.13333333333333286"/>
    <s v="Restored again"/>
    <s v="Close"/>
    <n v="3.3333333333333218E-3"/>
    <s v="G5"/>
    <n v="0.1842901234567888"/>
    <m/>
    <m/>
    <n v="33.172222222222103"/>
    <n v="0.1842901234567888"/>
    <m/>
    <m/>
    <m/>
    <m/>
  </r>
  <r>
    <n v="683"/>
    <x v="72"/>
    <x v="1"/>
    <x v="0"/>
    <x v="2"/>
    <x v="1"/>
    <x v="23"/>
    <s v="PWEGPL"/>
    <s v="MSEDCL"/>
    <n v="2.5000000000000001E-2"/>
    <n v="5222"/>
    <x v="315"/>
    <s v="BD"/>
    <d v="1899-12-30T18:42:00"/>
    <d v="1899-12-30T23:59:00"/>
    <d v="1899-12-30T23:59:00"/>
    <n v="5.2833333333333332"/>
    <n v="0"/>
    <n v="5.2833333333333332"/>
    <s v="Not attend due to mvehicle stuck in mud."/>
    <s v="Close"/>
    <n v="0.13208333333333333"/>
    <s v="G5"/>
    <n v="289.36140962577156"/>
    <m/>
    <m/>
    <n v="1314.4493055555554"/>
    <n v="289.36140962577156"/>
    <m/>
    <m/>
    <m/>
    <m/>
  </r>
  <r>
    <n v="684"/>
    <x v="72"/>
    <x v="1"/>
    <x v="0"/>
    <x v="2"/>
    <x v="1"/>
    <x v="24"/>
    <s v="PWEGPL"/>
    <s v="MSEDCL"/>
    <n v="2.5000000000000001E-2"/>
    <n v="201"/>
    <x v="328"/>
    <s v="BD"/>
    <d v="1899-12-30T19:34:00"/>
    <d v="1899-12-30T21:05:00"/>
    <d v="1899-12-30T21:33:00"/>
    <n v="1.5166666666666666"/>
    <n v="0.46666666666666767"/>
    <n v="1.9833333333333343"/>
    <s v="Reset"/>
    <s v="Close"/>
    <n v="4.9583333333333361E-2"/>
    <s v="G6"/>
    <n v="23.642641782407431"/>
    <m/>
    <m/>
    <n v="286.09583333333347"/>
    <n v="23.642641782407431"/>
    <m/>
    <m/>
    <m/>
    <m/>
  </r>
  <r>
    <n v="685"/>
    <x v="72"/>
    <x v="1"/>
    <x v="0"/>
    <x v="2"/>
    <x v="1"/>
    <x v="25"/>
    <s v="PWEGPL"/>
    <s v="MSEDCL"/>
    <n v="2.5000000000000001E-2"/>
    <n v="5216"/>
    <x v="306"/>
    <s v="BD"/>
    <d v="1899-12-30T19:19:00"/>
    <d v="1899-12-30T19:19:00"/>
    <d v="1899-12-30T19:27:00"/>
    <n v="0"/>
    <n v="0.13333333333333286"/>
    <n v="0.13333333333333286"/>
    <s v="Restored again"/>
    <s v="Close"/>
    <n v="3.3333333333333218E-3"/>
    <s v="G7"/>
    <n v="0.22425925925925766"/>
    <m/>
    <m/>
    <n v="40.366666666666525"/>
    <n v="0.22425925925925766"/>
    <m/>
    <m/>
    <m/>
    <m/>
  </r>
  <r>
    <n v="686"/>
    <x v="72"/>
    <x v="1"/>
    <x v="0"/>
    <x v="2"/>
    <x v="1"/>
    <x v="25"/>
    <s v="PWEGPL"/>
    <s v="MSEDCL"/>
    <n v="2.5000000000000001E-2"/>
    <n v="700"/>
    <x v="329"/>
    <s v="BD"/>
    <d v="1899-12-30T19:18:00"/>
    <d v="1899-12-30T23:59:00"/>
    <d v="1899-12-30T23:59:00"/>
    <n v="4.6833333333333327"/>
    <n v="0"/>
    <n v="4.6833333333333327"/>
    <s v="Not attend due to mvehicle stuck in mud."/>
    <s v="Close"/>
    <n v="0.11708333333333332"/>
    <s v="G7"/>
    <n v="276.68336516203698"/>
    <m/>
    <m/>
    <n v="1417.8791666666664"/>
    <n v="276.68336516203698"/>
    <m/>
    <m/>
    <m/>
    <m/>
  </r>
  <r>
    <n v="687"/>
    <x v="72"/>
    <x v="1"/>
    <x v="0"/>
    <x v="2"/>
    <x v="1"/>
    <x v="26"/>
    <s v="PWEGPL"/>
    <s v="MSEDCL"/>
    <n v="2.5000000000000001E-2"/>
    <n v="203"/>
    <x v="290"/>
    <s v="BD"/>
    <d v="1899-12-30T10:32:00"/>
    <d v="1899-12-30T11:03:00"/>
    <d v="1899-12-30T12:30:00"/>
    <n v="0.5166666666666675"/>
    <n v="1.4500000000000002"/>
    <n v="1.9666666666666677"/>
    <s v="Oil top up"/>
    <s v="Close"/>
    <n v="4.9166666666666692E-2"/>
    <s v="G8"/>
    <n v="40.974270833333378"/>
    <m/>
    <m/>
    <n v="500.02500000000026"/>
    <n v="40.974270833333378"/>
    <m/>
    <m/>
    <m/>
    <m/>
  </r>
  <r>
    <n v="688"/>
    <x v="72"/>
    <x v="1"/>
    <x v="0"/>
    <x v="2"/>
    <x v="1"/>
    <x v="26"/>
    <s v="PWEGPL"/>
    <s v="MSEDCL"/>
    <n v="2.5000000000000001E-2"/>
    <n v="5216"/>
    <x v="306"/>
    <s v="BD"/>
    <d v="1899-12-30T19:19:00"/>
    <d v="1899-12-30T19:19:00"/>
    <d v="1899-12-30T19:27:00"/>
    <n v="0"/>
    <n v="0.13333333333333286"/>
    <n v="0.13333333333333286"/>
    <s v="Restored again"/>
    <s v="Close"/>
    <n v="3.3333333333333218E-3"/>
    <s v="G8"/>
    <n v="0.18833333333333199"/>
    <m/>
    <m/>
    <n v="33.899999999999878"/>
    <n v="0.18833333333333199"/>
    <m/>
    <m/>
    <m/>
    <m/>
  </r>
  <r>
    <n v="689"/>
    <x v="72"/>
    <x v="1"/>
    <x v="0"/>
    <x v="2"/>
    <x v="1"/>
    <x v="17"/>
    <s v="PWEGPL"/>
    <s v="MSEDCL"/>
    <n v="2.5000000000000001E-2"/>
    <n v="5216"/>
    <x v="306"/>
    <s v="BD"/>
    <d v="1899-12-30T19:19:00"/>
    <d v="1899-12-30T19:19:00"/>
    <d v="1899-12-30T19:27:00"/>
    <n v="0"/>
    <n v="0.13333333333333286"/>
    <n v="0.13333333333333286"/>
    <s v="Restored again"/>
    <s v="Close"/>
    <n v="3.3333333333333218E-3"/>
    <s v="G9"/>
    <n v="0.34462962962962718"/>
    <m/>
    <m/>
    <n v="62.033333333333111"/>
    <n v="0.34462962962962718"/>
    <m/>
    <m/>
    <m/>
    <m/>
  </r>
  <r>
    <n v="690"/>
    <x v="72"/>
    <x v="1"/>
    <x v="0"/>
    <x v="2"/>
    <x v="1"/>
    <x v="28"/>
    <s v="PWEGPL"/>
    <s v="MSEDCL"/>
    <n v="2.5000000000000001E-2"/>
    <n v="5216"/>
    <x v="306"/>
    <s v="BD"/>
    <d v="1899-12-30T19:19:00"/>
    <d v="1899-12-30T19:19:00"/>
    <d v="1899-12-30T19:27:00"/>
    <n v="0"/>
    <n v="0.13333333333333286"/>
    <n v="0.13333333333333286"/>
    <s v="Restored again"/>
    <s v="Close"/>
    <n v="3.3333333333333218E-3"/>
    <s v="G11"/>
    <n v="0.28351851851851656"/>
    <m/>
    <m/>
    <n v="51.033333333333154"/>
    <n v="0.28351851851851656"/>
    <m/>
    <m/>
    <m/>
    <m/>
  </r>
  <r>
    <n v="691"/>
    <x v="72"/>
    <x v="1"/>
    <x v="0"/>
    <x v="2"/>
    <x v="1"/>
    <x v="29"/>
    <s v="PWEGPL"/>
    <s v="MSEDCL"/>
    <n v="2.5000000000000001E-2"/>
    <n v="5216"/>
    <x v="306"/>
    <s v="BD"/>
    <d v="1899-12-30T19:19:00"/>
    <d v="1899-12-30T19:19:00"/>
    <d v="1899-12-30T19:27:00"/>
    <n v="0"/>
    <n v="0.13333333333333286"/>
    <n v="0.13333333333333286"/>
    <s v="Restored again"/>
    <s v="Close"/>
    <n v="3.3333333333333218E-3"/>
    <s v="G12"/>
    <n v="0.26802469135802276"/>
    <m/>
    <m/>
    <n v="48.244444444444269"/>
    <n v="0.26802469135802276"/>
    <m/>
    <m/>
    <m/>
    <m/>
  </r>
  <r>
    <n v="692"/>
    <x v="72"/>
    <x v="1"/>
    <x v="0"/>
    <x v="2"/>
    <x v="1"/>
    <x v="18"/>
    <s v="PWEGPL"/>
    <s v="MSEDCL"/>
    <n v="2.5000000000000001E-2"/>
    <n v="2102"/>
    <x v="320"/>
    <s v="BD"/>
    <d v="1899-12-30T15:45:00"/>
    <d v="1899-12-30T16:00:00"/>
    <d v="1899-12-30T17:18:00"/>
    <n v="0.24999999999999911"/>
    <n v="1.3000000000000007"/>
    <n v="1.5499999999999998"/>
    <s v="Reset"/>
    <s v="Close"/>
    <n v="3.875E-2"/>
    <s v="G20"/>
    <n v="46.010377604166656"/>
    <m/>
    <m/>
    <n v="712.41874999999993"/>
    <n v="46.010377604166656"/>
    <m/>
    <m/>
    <m/>
    <m/>
  </r>
  <r>
    <n v="693"/>
    <x v="72"/>
    <x v="1"/>
    <x v="0"/>
    <x v="2"/>
    <x v="1"/>
    <x v="2"/>
    <s v="PWEGPL"/>
    <s v="MSEDCL"/>
    <n v="2.5000000000000001E-2"/>
    <s v="CE100014"/>
    <x v="305"/>
    <s v="PM/Lift inspention"/>
    <d v="1899-12-30T10:33:00"/>
    <d v="1899-12-30T10:33:00"/>
    <d v="1899-12-30T13:05:00"/>
    <n v="0"/>
    <n v="2.5333333333333337"/>
    <n v="2.5333333333333337"/>
    <s v="Avanti lift inspection"/>
    <s v="Close"/>
    <n v="6.3333333333333339E-2"/>
    <s v="G32"/>
    <n v="79.598271604938304"/>
    <m/>
    <m/>
    <n v="754.08888888888907"/>
    <n v="79.598271604938304"/>
    <m/>
    <m/>
    <m/>
    <m/>
  </r>
  <r>
    <n v="694"/>
    <x v="72"/>
    <x v="1"/>
    <x v="0"/>
    <x v="2"/>
    <x v="1"/>
    <x v="3"/>
    <s v="PWEGPL"/>
    <s v="MSEDCL"/>
    <n v="2.5000000000000001E-2"/>
    <s v="CE100014"/>
    <x v="305"/>
    <s v="PM/Lift inspention"/>
    <d v="1899-12-30T13:13:00"/>
    <d v="1899-12-30T13:13:00"/>
    <d v="1899-12-30T16:00:00"/>
    <n v="0"/>
    <n v="2.7833333333333314"/>
    <n v="2.7833333333333314"/>
    <s v="Avanti lift inspection"/>
    <s v="Close"/>
    <n v="6.9583333333333289E-2"/>
    <s v="G26"/>
    <n v="115.77378086419736"/>
    <m/>
    <m/>
    <n v="998.28888888888821"/>
    <n v="115.77378086419736"/>
    <m/>
    <m/>
    <m/>
    <m/>
  </r>
  <r>
    <n v="695"/>
    <x v="72"/>
    <x v="1"/>
    <x v="0"/>
    <x v="2"/>
    <x v="1"/>
    <x v="13"/>
    <s v="PWEGPL"/>
    <s v="MSEDCL"/>
    <n v="2.5000000000000001E-2"/>
    <n v="800"/>
    <x v="298"/>
    <s v="BD"/>
    <d v="1899-12-30T07:19:00"/>
    <d v="1899-12-30T11:08:00"/>
    <d v="1899-12-30T18:12:00"/>
    <n v="3.8166666666666664"/>
    <n v="7.0666666666666664"/>
    <n v="10.883333333333333"/>
    <s v="Cable failuer replaced."/>
    <s v="Close"/>
    <n v="0.27208333333333334"/>
    <s v="G34"/>
    <n v="1656.6121257716052"/>
    <m/>
    <m/>
    <n v="3653.1722222222224"/>
    <n v="1656.6121257716052"/>
    <m/>
    <m/>
    <m/>
    <m/>
  </r>
  <r>
    <n v="696"/>
    <x v="72"/>
    <x v="1"/>
    <x v="0"/>
    <x v="2"/>
    <x v="1"/>
    <x v="2"/>
    <s v="PWEGPL"/>
    <s v="MSEDCL"/>
    <n v="2.5000000000000001E-2"/>
    <n v="5216"/>
    <x v="306"/>
    <s v="BD"/>
    <d v="1899-12-30T19:15:00"/>
    <d v="1899-12-30T19:15:00"/>
    <d v="1899-12-30T19:25:00"/>
    <n v="0"/>
    <n v="0.16666666666666607"/>
    <n v="0.16666666666666607"/>
    <s v="Restored again"/>
    <s v="Close"/>
    <n v="4.1666666666666519E-3"/>
    <s v="G32"/>
    <n v="0.34452160493826917"/>
    <m/>
    <m/>
    <n v="49.611111111110937"/>
    <n v="0.34452160493826917"/>
    <m/>
    <m/>
    <m/>
    <m/>
  </r>
  <r>
    <n v="697"/>
    <x v="72"/>
    <x v="1"/>
    <x v="0"/>
    <x v="2"/>
    <x v="1"/>
    <x v="3"/>
    <s v="PWEGPL"/>
    <s v="MSEDCL"/>
    <n v="2.5000000000000001E-2"/>
    <n v="5216"/>
    <x v="306"/>
    <s v="BD"/>
    <d v="1899-12-30T19:15:00"/>
    <d v="1899-12-30T19:15:00"/>
    <d v="1899-12-30T19:25:00"/>
    <n v="0"/>
    <n v="0.16666666666666607"/>
    <n v="0.16666666666666607"/>
    <s v="Restored again"/>
    <s v="Close"/>
    <n v="4.1666666666666519E-3"/>
    <s v="G26"/>
    <n v="0.41512345679012053"/>
    <m/>
    <m/>
    <n v="59.777777777777565"/>
    <n v="0.41512345679012053"/>
    <m/>
    <m/>
    <m/>
    <m/>
  </r>
  <r>
    <n v="698"/>
    <x v="72"/>
    <x v="1"/>
    <x v="0"/>
    <x v="2"/>
    <x v="1"/>
    <x v="13"/>
    <s v="PWEGPL"/>
    <s v="MSEDCL"/>
    <n v="2.5000000000000001E-2"/>
    <n v="5216"/>
    <x v="306"/>
    <s v="BD"/>
    <d v="1899-12-30T19:15:00"/>
    <d v="1899-12-30T19:15:00"/>
    <d v="1899-12-30T19:25:00"/>
    <n v="0"/>
    <n v="0.16666666666666607"/>
    <n v="0.16666666666666607"/>
    <s v="Restored again"/>
    <s v="Close"/>
    <n v="4.1666666666666519E-3"/>
    <s v="G34"/>
    <n v="0.3885030864197504"/>
    <m/>
    <m/>
    <n v="55.944444444444251"/>
    <n v="0.3885030864197504"/>
    <m/>
    <m/>
    <m/>
    <m/>
  </r>
  <r>
    <n v="699"/>
    <x v="72"/>
    <x v="1"/>
    <x v="0"/>
    <x v="2"/>
    <x v="1"/>
    <x v="14"/>
    <s v="PWEGPL"/>
    <s v="MSEDCL"/>
    <n v="2.5000000000000001E-2"/>
    <n v="5216"/>
    <x v="306"/>
    <s v="BD"/>
    <d v="1899-12-30T19:15:00"/>
    <d v="1899-12-30T19:15:00"/>
    <d v="1899-12-30T19:25:00"/>
    <n v="0"/>
    <n v="0.16666666666666607"/>
    <n v="0.16666666666666607"/>
    <s v="Restored again"/>
    <s v="Close"/>
    <n v="4.1666666666666519E-3"/>
    <s v="G35"/>
    <n v="0.20322145061728253"/>
    <m/>
    <m/>
    <n v="29.263888888888786"/>
    <n v="0.20322145061728253"/>
    <m/>
    <m/>
    <m/>
    <m/>
  </r>
  <r>
    <n v="700"/>
    <x v="72"/>
    <x v="1"/>
    <x v="0"/>
    <x v="2"/>
    <x v="1"/>
    <x v="15"/>
    <s v="PWEGPL"/>
    <s v="MSEDCL"/>
    <n v="2.5000000000000001E-2"/>
    <n v="5216"/>
    <x v="306"/>
    <s v="BD"/>
    <d v="1899-12-30T19:15:00"/>
    <d v="1899-12-30T19:15:00"/>
    <d v="1899-12-30T19:25:00"/>
    <n v="0"/>
    <n v="0.16666666666666607"/>
    <n v="0.16666666666666607"/>
    <s v="Restored again"/>
    <s v="Close"/>
    <n v="4.1666666666666519E-3"/>
    <s v="G36"/>
    <n v="0.423804012345676"/>
    <m/>
    <m/>
    <n v="61.027777777777565"/>
    <n v="0.423804012345676"/>
    <m/>
    <m/>
    <m/>
    <m/>
  </r>
  <r>
    <n v="701"/>
    <x v="72"/>
    <x v="1"/>
    <x v="0"/>
    <x v="2"/>
    <x v="1"/>
    <x v="16"/>
    <s v="PWEGPL"/>
    <s v="MSEDCL"/>
    <n v="2.5000000000000001E-2"/>
    <n v="5216"/>
    <x v="306"/>
    <s v="BD"/>
    <d v="1899-12-30T19:15:00"/>
    <d v="1899-12-30T19:15:00"/>
    <d v="1899-12-30T19:25:00"/>
    <n v="0"/>
    <n v="0.16666666666666607"/>
    <n v="0.16666666666666607"/>
    <s v="Restored again"/>
    <s v="Close"/>
    <n v="4.1666666666666519E-3"/>
    <s v="G37"/>
    <n v="0.41859567901234268"/>
    <m/>
    <m/>
    <n v="60.277777777777565"/>
    <n v="0.41859567901234268"/>
    <m/>
    <m/>
    <m/>
    <m/>
  </r>
  <r>
    <n v="702"/>
    <x v="72"/>
    <x v="1"/>
    <x v="0"/>
    <x v="2"/>
    <x v="1"/>
    <x v="4"/>
    <s v="PWEGPL"/>
    <s v="MSEDCL"/>
    <n v="2.5000000000000001E-2"/>
    <n v="5216"/>
    <x v="306"/>
    <s v="BD"/>
    <d v="1899-12-30T19:15:00"/>
    <d v="1899-12-30T19:15:00"/>
    <d v="1899-12-30T19:25:00"/>
    <n v="0"/>
    <n v="0.16666666666666607"/>
    <n v="0.16666666666666607"/>
    <s v="Restored again"/>
    <s v="Close"/>
    <n v="4.1666666666666519E-3"/>
    <s v="G38"/>
    <n v="0.10542052469135726"/>
    <m/>
    <m/>
    <n v="15.1805555555555"/>
    <n v="0.10542052469135726"/>
    <m/>
    <m/>
    <m/>
    <m/>
  </r>
  <r>
    <n v="703"/>
    <x v="72"/>
    <x v="1"/>
    <x v="0"/>
    <x v="2"/>
    <x v="1"/>
    <x v="5"/>
    <s v="PWEGPL"/>
    <s v="MSEDCL"/>
    <n v="2.5000000000000001E-2"/>
    <n v="5216"/>
    <x v="306"/>
    <s v="BD"/>
    <d v="1899-12-30T19:15:00"/>
    <d v="1899-12-30T19:15:00"/>
    <d v="1899-12-30T19:25:00"/>
    <n v="0"/>
    <n v="0.16666666666666607"/>
    <n v="0.16666666666666607"/>
    <s v="Restored again"/>
    <s v="Close"/>
    <n v="4.1666666666666519E-3"/>
    <s v="G39"/>
    <n v="0.42939814814814514"/>
    <m/>
    <m/>
    <n v="61.833333333333115"/>
    <n v="0.42939814814814514"/>
    <m/>
    <m/>
    <m/>
    <m/>
  </r>
  <r>
    <n v="704"/>
    <x v="72"/>
    <x v="1"/>
    <x v="0"/>
    <x v="2"/>
    <x v="1"/>
    <x v="6"/>
    <s v="PWEGPL"/>
    <s v="MSEDCL"/>
    <n v="2.5000000000000001E-2"/>
    <n v="5216"/>
    <x v="306"/>
    <s v="BD"/>
    <d v="1899-12-30T19:15:00"/>
    <d v="1899-12-30T19:15:00"/>
    <d v="1899-12-30T19:25:00"/>
    <n v="0"/>
    <n v="0.16666666666666607"/>
    <n v="0.16666666666666607"/>
    <s v="Restored again"/>
    <s v="Close"/>
    <n v="4.1666666666666519E-3"/>
    <s v="G40"/>
    <n v="0.431616512345676"/>
    <m/>
    <m/>
    <n v="62.152777777777558"/>
    <n v="0.431616512345676"/>
    <m/>
    <m/>
    <m/>
    <m/>
  </r>
  <r>
    <n v="705"/>
    <x v="72"/>
    <x v="1"/>
    <x v="0"/>
    <x v="2"/>
    <x v="1"/>
    <x v="7"/>
    <s v="PWEGPL"/>
    <s v="MSEDCL"/>
    <n v="2.5000000000000001E-2"/>
    <n v="5216"/>
    <x v="306"/>
    <s v="BD"/>
    <d v="1899-12-30T19:15:00"/>
    <d v="1899-12-30T19:15:00"/>
    <d v="1899-12-30T19:25:00"/>
    <n v="0"/>
    <n v="0.16666666666666607"/>
    <n v="0.16666666666666607"/>
    <s v="Restored again"/>
    <s v="Close"/>
    <n v="4.1666666666666519E-3"/>
    <s v="G39"/>
    <n v="0.42939814814814514"/>
    <m/>
    <m/>
    <n v="61.833333333333115"/>
    <n v="0.42939814814814514"/>
    <m/>
    <m/>
    <m/>
    <m/>
  </r>
  <r>
    <n v="706"/>
    <x v="73"/>
    <x v="1"/>
    <x v="0"/>
    <x v="2"/>
    <x v="1"/>
    <x v="20"/>
    <s v="PWEGPL"/>
    <s v="MSEDCL"/>
    <n v="2.5000000000000001E-2"/>
    <n v="410"/>
    <x v="322"/>
    <s v="BD"/>
    <d v="1899-12-30T12:55:00"/>
    <d v="1899-12-30T23:59:00"/>
    <d v="1899-12-30T23:59:00"/>
    <n v="11.066666666666666"/>
    <n v="0"/>
    <n v="11.066666666666666"/>
    <s v="reset"/>
    <s v="Close"/>
    <n v="0.27666666666666667"/>
    <s v="G2"/>
    <n v="1925.0927777777777"/>
    <m/>
    <m/>
    <n v="4174.8999999999996"/>
    <n v="1925.0927777777777"/>
    <m/>
    <m/>
    <m/>
    <m/>
  </r>
  <r>
    <n v="707"/>
    <x v="73"/>
    <x v="1"/>
    <x v="0"/>
    <x v="2"/>
    <x v="1"/>
    <x v="21"/>
    <s v="PWEGPL"/>
    <s v="MSEDCL"/>
    <n v="2.5000000000000001E-2"/>
    <n v="5216"/>
    <x v="306"/>
    <s v="BD"/>
    <d v="1899-12-30T12:38:00"/>
    <d v="1899-12-30T12:38:00"/>
    <d v="1899-12-30T12:52:00"/>
    <n v="0"/>
    <n v="0.2333333333333325"/>
    <n v="0.2333333333333325"/>
    <s v="reset"/>
    <s v="Close"/>
    <n v="5.8333333333333128E-3"/>
    <s v="G3"/>
    <n v="0.2351697530864181"/>
    <m/>
    <m/>
    <n v="24.188888888888805"/>
    <n v="0.2351697530864181"/>
    <m/>
    <m/>
    <m/>
    <m/>
  </r>
  <r>
    <n v="708"/>
    <x v="73"/>
    <x v="1"/>
    <x v="0"/>
    <x v="2"/>
    <x v="1"/>
    <x v="22"/>
    <s v="PWEGPL"/>
    <s v="MSEDCL"/>
    <n v="2.5000000000000001E-2"/>
    <n v="700"/>
    <x v="329"/>
    <s v="BD"/>
    <d v="1899-12-30T12:38:00"/>
    <d v="1899-12-30T12:38:00"/>
    <d v="1899-12-30T23:59:00"/>
    <n v="0"/>
    <n v="11.35"/>
    <n v="11.35"/>
    <s v="Not attend"/>
    <s v="Open"/>
    <n v="0.28375"/>
    <s v="G4"/>
    <n v="556.44163194444445"/>
    <m/>
    <m/>
    <n v="1176.6166666666668"/>
    <n v="556.44163194444445"/>
    <m/>
    <m/>
    <m/>
    <m/>
  </r>
  <r>
    <n v="709"/>
    <x v="73"/>
    <x v="1"/>
    <x v="0"/>
    <x v="2"/>
    <x v="1"/>
    <x v="23"/>
    <s v="PWEGPL"/>
    <s v="MSEDCL"/>
    <n v="2.5000000000000001E-2"/>
    <n v="5222"/>
    <x v="315"/>
    <s v="BD"/>
    <d v="1899-12-30T00:00:00"/>
    <d v="1899-12-30T00:00:00"/>
    <d v="1899-12-30T23:59:00"/>
    <n v="0"/>
    <n v="23.983333333333334"/>
    <n v="23.983333333333334"/>
    <s v="Not attend"/>
    <s v="Open"/>
    <n v="0.59958333333333336"/>
    <s v="G5"/>
    <n v="5873.8333921682106"/>
    <m/>
    <m/>
    <n v="5877.9152777777781"/>
    <n v="5873.8333921682106"/>
    <m/>
    <m/>
    <m/>
    <m/>
  </r>
  <r>
    <n v="710"/>
    <x v="73"/>
    <x v="1"/>
    <x v="0"/>
    <x v="2"/>
    <x v="1"/>
    <x v="24"/>
    <s v="PWEGPL"/>
    <s v="MSEDCL"/>
    <n v="2.5000000000000001E-2"/>
    <n v="700"/>
    <x v="329"/>
    <s v="BD"/>
    <d v="1899-12-30T15:33:00"/>
    <d v="1899-12-30T15:33:00"/>
    <d v="1899-12-30T16:00:00"/>
    <n v="0"/>
    <n v="0.4499999999999984"/>
    <n v="0.4499999999999984"/>
    <s v="reset"/>
    <s v="Close"/>
    <n v="1.1249999999999961E-2"/>
    <s v="G6"/>
    <n v="2.6201953124999817"/>
    <m/>
    <m/>
    <n v="139.74374999999952"/>
    <n v="2.6201953124999817"/>
    <m/>
    <m/>
    <m/>
    <m/>
  </r>
  <r>
    <n v="711"/>
    <x v="73"/>
    <x v="1"/>
    <x v="0"/>
    <x v="2"/>
    <x v="1"/>
    <x v="25"/>
    <s v="PWEGPL"/>
    <s v="MSEDCL"/>
    <n v="2.5000000000000001E-2"/>
    <s v="CE100007"/>
    <x v="295"/>
    <s v="BD"/>
    <d v="1899-12-30T00:00:00"/>
    <d v="1899-12-30T00:00:00"/>
    <d v="1899-12-30T11:18:00"/>
    <n v="0"/>
    <n v="11.3"/>
    <n v="11.3"/>
    <s v="reset"/>
    <s v="Close"/>
    <n v="0.28250000000000003"/>
    <s v="G7"/>
    <n v="328.53572916666673"/>
    <m/>
    <m/>
    <n v="697.77500000000009"/>
    <n v="328.53572916666673"/>
    <m/>
    <m/>
    <m/>
    <m/>
  </r>
  <r>
    <n v="712"/>
    <x v="73"/>
    <x v="1"/>
    <x v="0"/>
    <x v="2"/>
    <x v="1"/>
    <x v="26"/>
    <s v="PWEGPL"/>
    <s v="MSEDCL"/>
    <n v="2.5000000000000001E-2"/>
    <n v="5201"/>
    <x v="299"/>
    <s v="BD"/>
    <d v="1899-12-30T12:55:00"/>
    <d v="1899-12-30T12:55:00"/>
    <d v="1899-12-30T23:59:00"/>
    <n v="0"/>
    <n v="11.066666666666666"/>
    <n v="11.066666666666666"/>
    <s v="reset"/>
    <s v="Close"/>
    <n v="0.27666666666666667"/>
    <s v="G8"/>
    <n v="378.46975308641976"/>
    <m/>
    <m/>
    <n v="820.77777777777783"/>
    <n v="378.46975308641976"/>
    <m/>
    <m/>
    <m/>
    <m/>
  </r>
  <r>
    <n v="713"/>
    <x v="73"/>
    <x v="1"/>
    <x v="0"/>
    <x v="2"/>
    <x v="1"/>
    <x v="17"/>
    <s v="PWEGPL"/>
    <s v="MSEDCL"/>
    <n v="2.5000000000000001E-2"/>
    <n v="5203"/>
    <x v="294"/>
    <s v="BD"/>
    <d v="1899-12-30T12:54:00"/>
    <d v="1899-12-30T12:54:00"/>
    <d v="1899-12-30T23:59:00"/>
    <n v="0"/>
    <n v="11.083333333333334"/>
    <n v="11.083333333333334"/>
    <s v="Not attend"/>
    <s v="Open"/>
    <n v="0.27708333333333335"/>
    <s v="G9"/>
    <n v="2324.5816454475307"/>
    <m/>
    <m/>
    <n v="5033.6805555555557"/>
    <n v="2324.5816454475307"/>
    <m/>
    <m/>
    <m/>
    <m/>
  </r>
  <r>
    <n v="714"/>
    <x v="73"/>
    <x v="1"/>
    <x v="0"/>
    <x v="2"/>
    <x v="1"/>
    <x v="27"/>
    <s v="PWEGPL"/>
    <s v="MSEDCL"/>
    <n v="2.5000000000000001E-2"/>
    <n v="5216"/>
    <x v="306"/>
    <s v="BD"/>
    <d v="1899-12-30T12:12:00"/>
    <d v="1899-12-30T12:12:00"/>
    <d v="1899-12-30T14:20:00"/>
    <n v="0"/>
    <n v="2.1333333333333337"/>
    <n v="2.1333333333333337"/>
    <s v="reset"/>
    <s v="Close"/>
    <n v="5.3333333333333344E-2"/>
    <s v="G10"/>
    <n v="91.417283950617303"/>
    <m/>
    <m/>
    <n v="1028.4444444444446"/>
    <n v="91.417283950617303"/>
    <m/>
    <m/>
    <m/>
    <m/>
  </r>
  <r>
    <n v="715"/>
    <x v="73"/>
    <x v="1"/>
    <x v="0"/>
    <x v="2"/>
    <x v="1"/>
    <x v="28"/>
    <s v="PWEGPL"/>
    <s v="MSEDCL"/>
    <n v="2.5000000000000001E-2"/>
    <n v="5216"/>
    <x v="306"/>
    <s v="BD"/>
    <d v="1899-12-30T12:38:00"/>
    <d v="1899-12-30T12:38:00"/>
    <d v="1899-12-30T12:52:00"/>
    <n v="0"/>
    <n v="0.2333333333333325"/>
    <n v="0.2333333333333325"/>
    <s v="reset"/>
    <s v="Close"/>
    <n v="5.8333333333333128E-3"/>
    <s v="G11"/>
    <n v="0.32988040123456558"/>
    <m/>
    <m/>
    <n v="33.930555555555436"/>
    <n v="0.32988040123456558"/>
    <m/>
    <m/>
    <m/>
    <m/>
  </r>
  <r>
    <n v="716"/>
    <x v="73"/>
    <x v="1"/>
    <x v="0"/>
    <x v="2"/>
    <x v="1"/>
    <x v="29"/>
    <s v="PWEGPL"/>
    <s v="MSEDCL"/>
    <n v="2.5000000000000001E-2"/>
    <n v="2118"/>
    <x v="293"/>
    <s v="BD"/>
    <d v="1899-12-30T17:46:00"/>
    <d v="1899-12-30T17:46:00"/>
    <d v="1899-12-30T22:00:00"/>
    <n v="0"/>
    <n v="4.2333333333333343"/>
    <n v="4.2333333333333343"/>
    <s v="reset"/>
    <s v="Close"/>
    <n v="0.10583333333333336"/>
    <s v="G12"/>
    <n v="290.4091165123458"/>
    <m/>
    <m/>
    <n v="1646.4138888888892"/>
    <n v="290.4091165123458"/>
    <m/>
    <m/>
    <m/>
    <m/>
  </r>
  <r>
    <n v="717"/>
    <x v="73"/>
    <x v="1"/>
    <x v="0"/>
    <x v="2"/>
    <x v="1"/>
    <x v="30"/>
    <s v="PWEGPL"/>
    <s v="MSEDCL"/>
    <n v="2.5000000000000001E-2"/>
    <n v="5216"/>
    <x v="306"/>
    <s v="BD"/>
    <d v="1899-12-30T12:12:00"/>
    <d v="1899-12-30T12:12:00"/>
    <d v="1899-12-30T14:20:00"/>
    <n v="0"/>
    <n v="2.1333333333333337"/>
    <n v="2.1333333333333337"/>
    <s v="reset"/>
    <s v="Close"/>
    <n v="5.3333333333333344E-2"/>
    <s v="G13"/>
    <n v="70.597530864197566"/>
    <m/>
    <m/>
    <n v="794.2222222222224"/>
    <n v="70.597530864197566"/>
    <m/>
    <m/>
    <m/>
    <m/>
  </r>
  <r>
    <n v="718"/>
    <x v="73"/>
    <x v="1"/>
    <x v="0"/>
    <x v="2"/>
    <x v="1"/>
    <x v="31"/>
    <s v="PWEGPL"/>
    <s v="MSEDCL"/>
    <n v="2.5000000000000001E-2"/>
    <n v="5216"/>
    <x v="306"/>
    <s v="BD"/>
    <d v="1899-12-30T12:12:00"/>
    <d v="1899-12-30T12:12:00"/>
    <d v="1899-12-30T14:20:00"/>
    <n v="0"/>
    <n v="2.1333333333333337"/>
    <n v="2.1333333333333337"/>
    <s v="Fault rectification"/>
    <s v="Close"/>
    <n v="5.3333333333333344E-2"/>
    <s v="G14"/>
    <n v="78.680493827160532"/>
    <m/>
    <m/>
    <n v="885.15555555555579"/>
    <n v="78.680493827160532"/>
    <m/>
    <m/>
    <m/>
    <m/>
  </r>
  <r>
    <n v="719"/>
    <x v="73"/>
    <x v="1"/>
    <x v="0"/>
    <x v="2"/>
    <x v="1"/>
    <x v="32"/>
    <s v="PWEGPL"/>
    <s v="MSEDCL"/>
    <n v="2.5000000000000001E-2"/>
    <n v="5216"/>
    <x v="306"/>
    <s v="BD"/>
    <d v="1899-12-30T12:12:00"/>
    <d v="1899-12-30T12:12:00"/>
    <d v="1899-12-30T14:20:00"/>
    <n v="0"/>
    <n v="2.1333333333333337"/>
    <n v="2.1333333333333337"/>
    <s v="Fault rectification"/>
    <s v="Close"/>
    <n v="5.3333333333333344E-2"/>
    <s v="G15"/>
    <n v="69.878518518518547"/>
    <m/>
    <m/>
    <n v="786.13333333333344"/>
    <n v="69.878518518518547"/>
    <m/>
    <m/>
    <m/>
    <m/>
  </r>
  <r>
    <n v="720"/>
    <x v="73"/>
    <x v="1"/>
    <x v="0"/>
    <x v="2"/>
    <x v="1"/>
    <x v="39"/>
    <s v="PWEGPL"/>
    <s v="MSEDCL"/>
    <n v="2.5000000000000001E-2"/>
    <n v="5216"/>
    <x v="306"/>
    <s v="BD"/>
    <d v="1899-12-30T12:12:00"/>
    <d v="1899-12-30T12:12:00"/>
    <d v="1899-12-30T14:20:00"/>
    <n v="0"/>
    <n v="2.1333333333333337"/>
    <n v="2.1333333333333337"/>
    <s v="Fault rectification"/>
    <s v="Close"/>
    <n v="5.3333333333333344E-2"/>
    <s v="G16"/>
    <n v="55.261234567901262"/>
    <m/>
    <m/>
    <n v="621.6888888888891"/>
    <n v="55.261234567901262"/>
    <m/>
    <m/>
    <m/>
    <m/>
  </r>
  <r>
    <n v="721"/>
    <x v="73"/>
    <x v="1"/>
    <x v="0"/>
    <x v="2"/>
    <x v="1"/>
    <x v="37"/>
    <s v="PWEGPL"/>
    <s v="MSEDCL"/>
    <n v="2.5000000000000001E-2"/>
    <n v="205"/>
    <x v="312"/>
    <s v="BD"/>
    <d v="1899-12-30T12:12:00"/>
    <d v="1899-12-30T12:12:00"/>
    <d v="1899-12-30T14:20:00"/>
    <n v="0"/>
    <n v="2.1333333333333337"/>
    <n v="2.1333333333333337"/>
    <s v="Fault rectification"/>
    <s v="Close"/>
    <n v="5.3333333333333344E-2"/>
    <s v="G17"/>
    <n v="68.314074074074114"/>
    <m/>
    <m/>
    <n v="768.53333333333353"/>
    <n v="68.314074074074114"/>
    <m/>
    <m/>
    <m/>
    <m/>
  </r>
  <r>
    <n v="722"/>
    <x v="73"/>
    <x v="1"/>
    <x v="0"/>
    <x v="2"/>
    <x v="1"/>
    <x v="0"/>
    <s v="PWEGPL"/>
    <s v="MSEDCL"/>
    <n v="2.5000000000000001E-2"/>
    <n v="5216"/>
    <x v="306"/>
    <s v="BD"/>
    <d v="1899-12-30T12:12:00"/>
    <d v="1899-12-30T12:12:00"/>
    <d v="1899-12-30T14:20:00"/>
    <n v="0"/>
    <n v="2.1333333333333337"/>
    <n v="2.1333333333333337"/>
    <s v="Fault rectification"/>
    <s v="Close"/>
    <n v="5.3333333333333344E-2"/>
    <s v="G18"/>
    <n v="73.98716049382719"/>
    <m/>
    <m/>
    <n v="832.35555555555572"/>
    <n v="73.98716049382719"/>
    <m/>
    <m/>
    <m/>
    <m/>
  </r>
  <r>
    <n v="723"/>
    <x v="73"/>
    <x v="1"/>
    <x v="0"/>
    <x v="2"/>
    <x v="1"/>
    <x v="38"/>
    <s v="PWEGPL"/>
    <s v="MSEDCL"/>
    <n v="2.5000000000000001E-2"/>
    <n v="5216"/>
    <x v="306"/>
    <s v="BD"/>
    <d v="1899-12-30T12:12:00"/>
    <d v="1899-12-30T12:12:00"/>
    <d v="1899-12-30T14:20:00"/>
    <n v="0"/>
    <n v="2.1333333333333337"/>
    <n v="2.1333333333333337"/>
    <s v="Fault rectification"/>
    <s v="Close"/>
    <n v="5.3333333333333344E-2"/>
    <s v="G19"/>
    <n v="15.360000000000007"/>
    <m/>
    <m/>
    <n v="172.80000000000004"/>
    <n v="15.360000000000007"/>
    <m/>
    <m/>
    <m/>
    <m/>
  </r>
  <r>
    <n v="724"/>
    <x v="73"/>
    <x v="1"/>
    <x v="0"/>
    <x v="2"/>
    <x v="1"/>
    <x v="18"/>
    <s v="PWEGPL"/>
    <s v="MSEDCL"/>
    <n v="2.5000000000000001E-2"/>
    <n v="2509"/>
    <x v="201"/>
    <s v="BD"/>
    <d v="1899-12-30T10:23:00"/>
    <d v="1899-12-30T10:23:00"/>
    <d v="1899-12-30T23:59:00"/>
    <n v="0"/>
    <n v="13.6"/>
    <n v="13.6"/>
    <s v="SF6 breaker T- connector failed"/>
    <s v="Open"/>
    <n v="0.34"/>
    <s v="G20"/>
    <n v="3625.9866666666667"/>
    <m/>
    <m/>
    <n v="6398.8"/>
    <n v="3625.9866666666667"/>
    <m/>
    <m/>
    <m/>
    <m/>
  </r>
  <r>
    <n v="725"/>
    <x v="73"/>
    <x v="1"/>
    <x v="0"/>
    <x v="2"/>
    <x v="1"/>
    <x v="19"/>
    <s v="PWEGPL"/>
    <s v="MSEDCL"/>
    <n v="2.5000000000000001E-2"/>
    <n v="5216"/>
    <x v="306"/>
    <s v="BD"/>
    <d v="1899-12-30T12:12:00"/>
    <d v="1899-12-30T12:12:00"/>
    <d v="1899-12-30T14:20:00"/>
    <n v="0"/>
    <n v="2.1333333333333337"/>
    <n v="2.1333333333333337"/>
    <s v="Fault rectification"/>
    <s v="Close"/>
    <n v="5.3333333333333344E-2"/>
    <s v="G19"/>
    <n v="15.360000000000007"/>
    <m/>
    <m/>
    <n v="172.80000000000004"/>
    <n v="15.360000000000007"/>
    <m/>
    <m/>
    <m/>
    <m/>
  </r>
  <r>
    <n v="726"/>
    <x v="73"/>
    <x v="1"/>
    <x v="0"/>
    <x v="2"/>
    <x v="1"/>
    <x v="33"/>
    <s v="PWEGPL"/>
    <s v="MSEDCL"/>
    <n v="2.5000000000000001E-2"/>
    <s v="CE100007"/>
    <x v="295"/>
    <s v="BD"/>
    <d v="1899-12-30T15:33:00"/>
    <d v="1899-12-30T15:33:00"/>
    <d v="1899-12-30T16:00:00"/>
    <n v="0"/>
    <n v="0.4499999999999984"/>
    <n v="0.4499999999999984"/>
    <s v="Fault rectification"/>
    <s v="Close"/>
    <n v="1.1249999999999961E-2"/>
    <s v="G22"/>
    <n v="2.6078906249999814"/>
    <m/>
    <m/>
    <n v="139.08749999999949"/>
    <n v="2.6078906249999814"/>
    <m/>
    <m/>
    <m/>
    <m/>
  </r>
  <r>
    <n v="727"/>
    <x v="73"/>
    <x v="1"/>
    <x v="0"/>
    <x v="2"/>
    <x v="1"/>
    <x v="34"/>
    <s v="PWEGPL"/>
    <s v="MSEDCL"/>
    <n v="2.5000000000000001E-2"/>
    <s v="CE100007"/>
    <x v="295"/>
    <s v="BD"/>
    <d v="1899-12-30T15:33:00"/>
    <d v="1899-12-30T15:33:00"/>
    <d v="1899-12-30T16:00:00"/>
    <n v="0"/>
    <n v="0.4499999999999984"/>
    <n v="0.4499999999999984"/>
    <s v="Fault rectification"/>
    <s v="Close"/>
    <n v="1.1249999999999961E-2"/>
    <s v="G23"/>
    <n v="2.4131249999999826"/>
    <m/>
    <m/>
    <n v="128.69999999999953"/>
    <n v="2.4131249999999826"/>
    <m/>
    <m/>
    <m/>
    <m/>
  </r>
  <r>
    <n v="728"/>
    <x v="73"/>
    <x v="1"/>
    <x v="0"/>
    <x v="2"/>
    <x v="1"/>
    <x v="1"/>
    <s v="PWEGPL"/>
    <s v="MSEDCL"/>
    <n v="2.5000000000000001E-2"/>
    <s v="CE100007"/>
    <x v="295"/>
    <s v="BD"/>
    <d v="1899-12-30T15:33:00"/>
    <d v="1899-12-30T15:33:00"/>
    <d v="1899-12-30T16:00:00"/>
    <n v="0"/>
    <n v="0.4499999999999984"/>
    <n v="0.4499999999999984"/>
    <s v="Fault rectification"/>
    <s v="Close"/>
    <n v="1.1249999999999961E-2"/>
    <s v="G24"/>
    <n v="2.7801562499999801"/>
    <m/>
    <m/>
    <n v="148.27499999999947"/>
    <n v="2.7801562499999801"/>
    <m/>
    <m/>
    <m/>
    <m/>
  </r>
  <r>
    <n v="729"/>
    <x v="73"/>
    <x v="1"/>
    <x v="0"/>
    <x v="2"/>
    <x v="1"/>
    <x v="35"/>
    <s v="PWEGPL"/>
    <s v="MSEDCL"/>
    <n v="2.5000000000000001E-2"/>
    <s v="CE100007"/>
    <x v="295"/>
    <s v="BD"/>
    <d v="1899-12-30T15:33:00"/>
    <d v="1899-12-30T15:33:00"/>
    <d v="1899-12-30T16:00:00"/>
    <n v="0"/>
    <n v="0.4499999999999984"/>
    <n v="0.4499999999999984"/>
    <s v="Fault rectification"/>
    <s v="Close"/>
    <n v="1.1249999999999961E-2"/>
    <s v="G25"/>
    <n v="3.851015624999973"/>
    <m/>
    <m/>
    <n v="205.38749999999928"/>
    <n v="3.851015624999973"/>
    <m/>
    <m/>
    <m/>
    <m/>
  </r>
  <r>
    <n v="730"/>
    <x v="73"/>
    <x v="1"/>
    <x v="0"/>
    <x v="2"/>
    <x v="1"/>
    <x v="36"/>
    <s v="PWEGPL"/>
    <s v="MSEDCL"/>
    <n v="2.5000000000000001E-2"/>
    <s v="CE100007"/>
    <x v="295"/>
    <s v="BD"/>
    <d v="1899-12-30T15:33:00"/>
    <d v="1899-12-30T15:33:00"/>
    <d v="1899-12-30T16:00:00"/>
    <n v="0"/>
    <n v="0.4499999999999984"/>
    <n v="0.4499999999999984"/>
    <s v="Fault rectification"/>
    <s v="Close"/>
    <n v="1.1249999999999961E-2"/>
    <s v="G26"/>
    <n v="2.690859374999981"/>
    <m/>
    <m/>
    <n v="143.51249999999951"/>
    <n v="2.690859374999981"/>
    <m/>
    <m/>
    <m/>
    <m/>
  </r>
  <r>
    <n v="731"/>
    <x v="73"/>
    <x v="1"/>
    <x v="0"/>
    <x v="2"/>
    <x v="1"/>
    <x v="8"/>
    <s v="PWEGPL"/>
    <s v="MSEDCL"/>
    <n v="2.5000000000000001E-2"/>
    <s v="CE100007"/>
    <x v="295"/>
    <s v="BD"/>
    <d v="1899-12-30T15:33:00"/>
    <d v="1899-12-30T15:33:00"/>
    <d v="1899-12-30T16:00:00"/>
    <n v="0"/>
    <n v="0.4499999999999984"/>
    <n v="0.4499999999999984"/>
    <s v="Fault rectification"/>
    <s v="Close"/>
    <n v="1.1249999999999961E-2"/>
    <s v="G28"/>
    <n v="3.3876562499999761"/>
    <m/>
    <m/>
    <n v="180.67499999999936"/>
    <n v="3.3876562499999761"/>
    <m/>
    <m/>
    <m/>
    <m/>
  </r>
  <r>
    <n v="732"/>
    <x v="73"/>
    <x v="1"/>
    <x v="0"/>
    <x v="2"/>
    <x v="1"/>
    <x v="9"/>
    <s v="PWEGPL"/>
    <s v="MSEDCL"/>
    <n v="2.5000000000000001E-2"/>
    <s v="CE100007"/>
    <x v="295"/>
    <s v="BD"/>
    <d v="1899-12-30T15:33:00"/>
    <d v="1899-12-30T15:33:00"/>
    <d v="1899-12-30T16:00:00"/>
    <n v="0"/>
    <n v="0.4499999999999984"/>
    <n v="0.4499999999999984"/>
    <s v="Fault rectification"/>
    <s v="Close"/>
    <n v="1.1249999999999961E-2"/>
    <s v="G29"/>
    <n v="4.0274999999999705"/>
    <m/>
    <m/>
    <n v="214.79999999999922"/>
    <n v="4.0274999999999705"/>
    <m/>
    <m/>
    <m/>
    <m/>
  </r>
  <r>
    <n v="733"/>
    <x v="73"/>
    <x v="1"/>
    <x v="0"/>
    <x v="2"/>
    <x v="1"/>
    <x v="10"/>
    <s v="PWEGPL"/>
    <s v="MSEDCL"/>
    <n v="2.5000000000000001E-2"/>
    <s v="CE100007"/>
    <x v="295"/>
    <s v="BD"/>
    <d v="1899-12-30T15:33:00"/>
    <d v="1899-12-30T15:33:00"/>
    <d v="1899-12-30T16:00:00"/>
    <n v="0"/>
    <n v="0.4499999999999984"/>
    <n v="0.4499999999999984"/>
    <s v="Fault rectification"/>
    <s v="Close"/>
    <n v="1.1249999999999961E-2"/>
    <s v="G30"/>
    <n v="3.1528124999999778"/>
    <m/>
    <m/>
    <n v="168.14999999999941"/>
    <n v="3.1528124999999778"/>
    <m/>
    <m/>
    <m/>
    <m/>
  </r>
  <r>
    <n v="734"/>
    <x v="73"/>
    <x v="1"/>
    <x v="0"/>
    <x v="2"/>
    <x v="1"/>
    <x v="11"/>
    <s v="PWEGPL"/>
    <s v="MSEDCL"/>
    <n v="2.5000000000000001E-2"/>
    <s v="CE100007"/>
    <x v="295"/>
    <s v="BD"/>
    <d v="1899-12-30T15:33:00"/>
    <d v="1899-12-30T15:33:00"/>
    <d v="1899-12-30T16:00:00"/>
    <n v="0"/>
    <n v="0.4499999999999984"/>
    <n v="0.4499999999999984"/>
    <s v="Fault rectification"/>
    <s v="Close"/>
    <n v="1.1249999999999961E-2"/>
    <s v="G31"/>
    <n v="2.76609374999998"/>
    <m/>
    <m/>
    <n v="147.52499999999947"/>
    <n v="2.76609374999998"/>
    <m/>
    <m/>
    <m/>
    <m/>
  </r>
  <r>
    <n v="735"/>
    <x v="73"/>
    <x v="1"/>
    <x v="0"/>
    <x v="2"/>
    <x v="1"/>
    <x v="12"/>
    <s v="PWEGPL"/>
    <s v="MSEDCL"/>
    <n v="2.5000000000000001E-2"/>
    <s v="CE100007"/>
    <x v="295"/>
    <s v="BD"/>
    <d v="1899-12-30T15:33:00"/>
    <d v="1899-12-30T15:33:00"/>
    <d v="1899-12-30T16:00:00"/>
    <n v="0"/>
    <n v="0.4499999999999984"/>
    <n v="0.4499999999999984"/>
    <s v="Fault rectification"/>
    <s v="Close"/>
    <n v="1.1249999999999961E-2"/>
    <s v="G32"/>
    <n v="3.2034374999999771"/>
    <m/>
    <m/>
    <n v="170.8499999999994"/>
    <n v="3.2034374999999771"/>
    <m/>
    <m/>
    <m/>
    <m/>
  </r>
  <r>
    <n v="736"/>
    <x v="73"/>
    <x v="1"/>
    <x v="0"/>
    <x v="2"/>
    <x v="1"/>
    <x v="14"/>
    <s v="PWEGPL"/>
    <s v="MSEDCL"/>
    <n v="2.5000000000000001E-2"/>
    <n v="205"/>
    <x v="312"/>
    <s v="BD"/>
    <d v="1899-12-30T17:18:00"/>
    <d v="1899-12-30T17:18:00"/>
    <d v="1899-12-30T18:07:00"/>
    <n v="0"/>
    <n v="0.81666666666666643"/>
    <n v="0.81666666666666643"/>
    <s v="reset"/>
    <s v="Close"/>
    <n v="2.0416666666666663E-2"/>
    <s v="G35"/>
    <n v="13.109626736111103"/>
    <m/>
    <m/>
    <n v="385.26249999999987"/>
    <n v="13.109626736111103"/>
    <m/>
    <m/>
    <m/>
    <m/>
  </r>
  <r>
    <n v="737"/>
    <x v="73"/>
    <x v="1"/>
    <x v="0"/>
    <x v="2"/>
    <x v="1"/>
    <x v="5"/>
    <s v="PWEGPL"/>
    <s v="MSEDCL"/>
    <n v="2.5000000000000001E-2"/>
    <n v="900"/>
    <x v="330"/>
    <s v="BD"/>
    <d v="1899-12-30T00:00:00"/>
    <d v="1899-12-30T00:00:00"/>
    <d v="1899-12-30T00:16:00"/>
    <n v="0"/>
    <n v="0.26666666666666666"/>
    <n v="0.26666666666666666"/>
    <s v="reset"/>
    <s v="Close"/>
    <n v="6.6666666666666671E-3"/>
    <s v="G39"/>
    <n v="0.96246913580246907"/>
    <m/>
    <m/>
    <n v="86.62222222222222"/>
    <n v="0.96246913580246907"/>
    <m/>
    <m/>
    <m/>
    <m/>
  </r>
  <r>
    <n v="738"/>
    <x v="74"/>
    <x v="1"/>
    <x v="0"/>
    <x v="2"/>
    <x v="1"/>
    <x v="20"/>
    <s v="PWEGPL"/>
    <s v="MSEDCL"/>
    <n v="2.5000000000000001E-2"/>
    <n v="410"/>
    <x v="322"/>
    <s v="BD"/>
    <d v="1899-12-30T00:00:00"/>
    <d v="1899-12-30T00:00:00"/>
    <d v="1899-12-30T01:12:00"/>
    <n v="0"/>
    <n v="1.2"/>
    <n v="1.2"/>
    <s v="Reset"/>
    <s v="Close"/>
    <n v="0.03"/>
    <s v="G2"/>
    <n v="13.194999999999999"/>
    <m/>
    <m/>
    <n v="263.89999999999998"/>
    <n v="13.194999999999999"/>
    <m/>
    <m/>
    <m/>
    <m/>
  </r>
  <r>
    <n v="739"/>
    <x v="74"/>
    <x v="1"/>
    <x v="0"/>
    <x v="2"/>
    <x v="1"/>
    <x v="21"/>
    <s v="PWEGPL"/>
    <s v="MSEDCL"/>
    <n v="2.5000000000000001E-2"/>
    <n v="205"/>
    <x v="312"/>
    <s v="BD"/>
    <d v="1899-12-30T07:59:00"/>
    <d v="1899-12-30T10:10:00"/>
    <d v="1899-12-30T11:41:00"/>
    <n v="2.1833333333333336"/>
    <n v="1.5166666666666666"/>
    <n v="3.7"/>
    <s v="oil top up"/>
    <s v="Close"/>
    <n v="9.2500000000000013E-2"/>
    <s v="G3"/>
    <n v="69.685902777777798"/>
    <m/>
    <m/>
    <n v="452.01666666666671"/>
    <n v="69.685902777777798"/>
    <m/>
    <m/>
    <m/>
    <m/>
  </r>
  <r>
    <n v="740"/>
    <x v="74"/>
    <x v="1"/>
    <x v="0"/>
    <x v="2"/>
    <x v="1"/>
    <x v="22"/>
    <s v="PWEGPL"/>
    <s v="MSEDCL"/>
    <n v="2.5000000000000001E-2"/>
    <n v="2509"/>
    <x v="201"/>
    <s v="BD"/>
    <d v="1899-12-30T00:00:00"/>
    <d v="1899-12-30T23:59:00"/>
    <d v="1899-12-30T23:59:00"/>
    <n v="23.983333333333334"/>
    <n v="0"/>
    <n v="23.983333333333334"/>
    <s v="Not attend"/>
    <s v="Open"/>
    <n v="0.59958333333333336"/>
    <s v="G4"/>
    <n v="2927.9291917438272"/>
    <m/>
    <m/>
    <n v="2929.963888888889"/>
    <n v="2927.9291917438272"/>
    <m/>
    <m/>
    <m/>
    <m/>
  </r>
  <r>
    <n v="741"/>
    <x v="74"/>
    <x v="1"/>
    <x v="0"/>
    <x v="2"/>
    <x v="1"/>
    <x v="23"/>
    <s v="PWEGPL"/>
    <s v="MSEDCL"/>
    <n v="2.5000000000000001E-2"/>
    <n v="5222"/>
    <x v="315"/>
    <s v="BD"/>
    <d v="1899-12-30T00:00:00"/>
    <d v="1899-12-30T00:00:00"/>
    <d v="1899-12-30T17:40:00"/>
    <n v="0"/>
    <n v="17.666666666666668"/>
    <n v="17.666666666666668"/>
    <s v="gear box damper encoder cable replaced"/>
    <s v="Close"/>
    <n v="0.44166666666666671"/>
    <s v="G5"/>
    <n v="2166.3545524691363"/>
    <m/>
    <m/>
    <n v="2942.9722222222226"/>
    <n v="2166.3545524691363"/>
    <m/>
    <m/>
    <m/>
    <m/>
  </r>
  <r>
    <n v="742"/>
    <x v="74"/>
    <x v="1"/>
    <x v="0"/>
    <x v="2"/>
    <x v="1"/>
    <x v="26"/>
    <s v="PWEGPL"/>
    <s v="MSEDCL"/>
    <n v="2.5000000000000001E-2"/>
    <n v="5201"/>
    <x v="299"/>
    <s v="BD"/>
    <d v="1899-12-30T00:00:00"/>
    <d v="1899-12-30T01:00:00"/>
    <d v="1899-12-30T02:10:00"/>
    <n v="1"/>
    <n v="1.1666666666666667"/>
    <n v="2.1666666666666665"/>
    <s v="relay replaced"/>
    <s v="Close"/>
    <n v="5.4166666666666669E-2"/>
    <s v="G8"/>
    <n v="42.902006172839506"/>
    <m/>
    <m/>
    <n v="475.22222222222223"/>
    <n v="42.902006172839506"/>
    <m/>
    <m/>
    <m/>
    <m/>
  </r>
  <r>
    <n v="743"/>
    <x v="74"/>
    <x v="1"/>
    <x v="0"/>
    <x v="2"/>
    <x v="1"/>
    <x v="29"/>
    <s v="PWEGPL"/>
    <s v="MSEDCL"/>
    <n v="2.5000000000000001E-2"/>
    <n v="2118"/>
    <x v="293"/>
    <s v="BD"/>
    <d v="1899-12-30T16:34:00"/>
    <d v="1899-12-30T22:10:00"/>
    <d v="1899-12-30T22:20:00"/>
    <n v="5.6000000000000014"/>
    <n v="0.16666666666666341"/>
    <n v="5.7666666666666648"/>
    <s v="Reset"/>
    <s v="Close"/>
    <n v="0.14416666666666664"/>
    <s v="G12"/>
    <n v="82.789710648148102"/>
    <m/>
    <m/>
    <n v="344.55833333333322"/>
    <n v="82.789710648148102"/>
    <m/>
    <m/>
    <m/>
    <m/>
  </r>
  <r>
    <n v="744"/>
    <x v="74"/>
    <x v="1"/>
    <x v="0"/>
    <x v="2"/>
    <x v="1"/>
    <x v="30"/>
    <s v="PWEGPL"/>
    <s v="MSEDCL"/>
    <n v="2.5000000000000001E-2"/>
    <n v="5212"/>
    <x v="319"/>
    <s v="BD"/>
    <d v="1899-12-30T16:36:00"/>
    <d v="1899-12-30T23:59:00"/>
    <d v="1899-12-30T23:59:00"/>
    <n v="7.3833333333333311"/>
    <n v="0"/>
    <n v="7.3833333333333311"/>
    <s v="contactor replaced"/>
    <s v="Close"/>
    <n v="0.18458333333333329"/>
    <s v="G13"/>
    <n v="460.33716049382679"/>
    <m/>
    <m/>
    <n v="1496.3555555555549"/>
    <n v="460.33716049382679"/>
    <m/>
    <m/>
    <m/>
    <m/>
  </r>
  <r>
    <n v="745"/>
    <x v="74"/>
    <x v="1"/>
    <x v="0"/>
    <x v="2"/>
    <x v="1"/>
    <x v="37"/>
    <s v="PWEGPL"/>
    <s v="MSEDCL"/>
    <n v="2.5000000000000001E-2"/>
    <n v="5212"/>
    <x v="319"/>
    <s v="BD"/>
    <d v="1899-12-30T22:16:00"/>
    <d v="1899-12-30T23:59:00"/>
    <d v="1899-12-30T23:59:00"/>
    <n v="1.7166666666666686"/>
    <n v="0"/>
    <n v="1.7166666666666686"/>
    <s v="contactor repaired"/>
    <s v="Close"/>
    <n v="4.2916666666666714E-2"/>
    <s v="G17"/>
    <n v="23.145792824074125"/>
    <m/>
    <m/>
    <n v="323.59166666666704"/>
    <n v="23.145792824074125"/>
    <m/>
    <m/>
    <m/>
    <m/>
  </r>
  <r>
    <n v="746"/>
    <x v="74"/>
    <x v="1"/>
    <x v="0"/>
    <x v="2"/>
    <x v="1"/>
    <x v="0"/>
    <s v="PWEGPL"/>
    <s v="MSEDCL"/>
    <n v="2.5000000000000001E-2"/>
    <n v="5201"/>
    <x v="299"/>
    <s v="BD"/>
    <d v="1899-12-30T15:12:00"/>
    <d v="1899-12-30T15:13:00"/>
    <d v="1899-12-30T15:21:00"/>
    <n v="1.6666666666666607E-2"/>
    <n v="0.13333333333333286"/>
    <n v="0.14999999999999947"/>
    <s v="reset"/>
    <s v="Close"/>
    <n v="3.7499999999999869E-3"/>
    <s v="G18"/>
    <n v="0.19882812499999861"/>
    <m/>
    <m/>
    <n v="31.81249999999989"/>
    <n v="0.19882812499999861"/>
    <m/>
    <m/>
    <m/>
    <m/>
  </r>
  <r>
    <n v="747"/>
    <x v="74"/>
    <x v="1"/>
    <x v="0"/>
    <x v="2"/>
    <x v="1"/>
    <x v="18"/>
    <s v="PWEGPL"/>
    <s v="MSEDCL"/>
    <n v="2.5000000000000001E-2"/>
    <s v="CE100007"/>
    <x v="295"/>
    <s v="BD"/>
    <d v="1899-12-30T00:00:00"/>
    <d v="1899-12-30T00:01:00"/>
    <d v="1899-12-30T19:36:00"/>
    <n v="1.6666666666666666E-2"/>
    <n v="19.583333333333336"/>
    <n v="19.600000000000001"/>
    <s v="T- connector replaced"/>
    <s v="Close"/>
    <n v="0.49000000000000005"/>
    <s v="G20"/>
    <n v="4290.4536111111129"/>
    <m/>
    <m/>
    <n v="5253.6166666666677"/>
    <n v="4290.4536111111129"/>
    <m/>
    <m/>
    <m/>
    <m/>
  </r>
  <r>
    <n v="748"/>
    <x v="74"/>
    <x v="1"/>
    <x v="0"/>
    <x v="2"/>
    <x v="1"/>
    <x v="35"/>
    <s v="PWEGPL"/>
    <s v="MSEDCL"/>
    <n v="2.5000000000000001E-2"/>
    <n v="108"/>
    <x v="310"/>
    <s v="BD"/>
    <d v="1899-12-30T16:08:00"/>
    <d v="1899-12-30T18:50:00"/>
    <d v="1899-12-30T19:17:00"/>
    <n v="2.7000000000000011"/>
    <n v="0.45000000000000107"/>
    <n v="3.1500000000000021"/>
    <s v="Cable twist removed"/>
    <s v="Close"/>
    <n v="7.8750000000000056E-2"/>
    <s v="G25"/>
    <n v="95.193984375000127"/>
    <m/>
    <m/>
    <n v="725.28750000000048"/>
    <n v="95.193984375000127"/>
    <m/>
    <m/>
    <m/>
    <m/>
  </r>
  <r>
    <n v="749"/>
    <x v="74"/>
    <x v="1"/>
    <x v="0"/>
    <x v="2"/>
    <x v="1"/>
    <x v="9"/>
    <s v="PWEGPL"/>
    <s v="MSEDCL"/>
    <n v="2.5000000000000001E-2"/>
    <n v="108"/>
    <x v="310"/>
    <s v="BD"/>
    <d v="1899-12-30T16:09:00"/>
    <d v="1899-12-30T18:56:00"/>
    <d v="1899-12-30T19:23:00"/>
    <n v="2.7833333333333341"/>
    <n v="0.45000000000000107"/>
    <n v="3.2333333333333352"/>
    <s v="Cable twist removed"/>
    <s v="Close"/>
    <n v="8.0833333333333382E-2"/>
    <s v="G29"/>
    <n v="102.14863425925938"/>
    <m/>
    <m/>
    <n v="758.21666666666715"/>
    <n v="102.14863425925938"/>
    <m/>
    <m/>
    <m/>
    <m/>
  </r>
  <r>
    <n v="750"/>
    <x v="74"/>
    <x v="1"/>
    <x v="0"/>
    <x v="2"/>
    <x v="1"/>
    <x v="7"/>
    <s v="PWEGPL"/>
    <s v="MSEDCL"/>
    <n v="2.5000000000000001E-2"/>
    <n v="222"/>
    <x v="323"/>
    <s v="BD"/>
    <d v="1899-12-30T13:00:00"/>
    <d v="1899-12-30T23:59:00"/>
    <d v="1899-12-30T23:59:00"/>
    <n v="10.983333333333334"/>
    <n v="0"/>
    <n v="10.983333333333334"/>
    <s v="Reset- scada comunication failuer."/>
    <s v="Close"/>
    <n v="0.27458333333333335"/>
    <s v="G39"/>
    <n v="1154.8155063657409"/>
    <m/>
    <m/>
    <n v="2523.4208333333336"/>
    <n v="1154.8155063657409"/>
    <m/>
    <m/>
    <m/>
    <m/>
  </r>
  <r>
    <n v="751"/>
    <x v="75"/>
    <x v="1"/>
    <x v="0"/>
    <x v="2"/>
    <x v="1"/>
    <x v="22"/>
    <s v="PWEGPL"/>
    <s v="MSEDCL"/>
    <n v="2.5000000000000001E-2"/>
    <n v="2509"/>
    <x v="201"/>
    <s v="BD"/>
    <d v="1899-12-30T00:00:00"/>
    <d v="1899-12-30T11:00:00"/>
    <d v="1899-12-30T13:10:00"/>
    <n v="11"/>
    <n v="2.1666666666666656"/>
    <n v="13.166666666666664"/>
    <s v="SF6 breaker T- connector replaced"/>
    <s v="Close"/>
    <n v="0.32916666666666661"/>
    <s v="G4"/>
    <n v="1327.8979552469132"/>
    <m/>
    <m/>
    <n v="2420.4722222222217"/>
    <n v="1327.8979552469132"/>
    <m/>
    <m/>
    <m/>
    <m/>
  </r>
  <r>
    <n v="752"/>
    <x v="75"/>
    <x v="1"/>
    <x v="0"/>
    <x v="2"/>
    <x v="1"/>
    <x v="17"/>
    <s v="PWEGPL"/>
    <s v="MSEDCL"/>
    <n v="2.5000000000000001E-2"/>
    <n v="5203"/>
    <x v="294"/>
    <s v="BD"/>
    <d v="1899-12-30T00:00:00"/>
    <d v="1899-12-30T12:30:00"/>
    <d v="1899-12-30T13:00:00"/>
    <n v="12.5"/>
    <n v="0.49999999999999822"/>
    <n v="13"/>
    <s v="Radiator cooling motor changrd"/>
    <s v="Close"/>
    <n v="0.32500000000000001"/>
    <s v="G9"/>
    <n v="1956.9965277777778"/>
    <m/>
    <m/>
    <n v="3612.916666666667"/>
    <n v="1956.9965277777778"/>
    <m/>
    <m/>
    <m/>
    <m/>
  </r>
  <r>
    <n v="753"/>
    <x v="75"/>
    <x v="1"/>
    <x v="0"/>
    <x v="2"/>
    <x v="1"/>
    <x v="30"/>
    <s v="PWEGPL"/>
    <s v="MSEDCL"/>
    <n v="2.5000000000000001E-2"/>
    <n v="5212"/>
    <x v="319"/>
    <s v="BD"/>
    <d v="1899-12-30T00:00:00"/>
    <d v="1899-12-30T02:01:00"/>
    <d v="1899-12-30T02:07:00"/>
    <n v="2.0166666666666666"/>
    <n v="0.10000000000000031"/>
    <n v="2.1166666666666667"/>
    <s v="Contactor changed"/>
    <s v="Close"/>
    <n v="5.2916666666666667E-2"/>
    <s v="G13"/>
    <n v="49.983098958333329"/>
    <m/>
    <m/>
    <n v="566.73749999999995"/>
    <n v="49.983098958333329"/>
    <m/>
    <m/>
    <m/>
    <m/>
  </r>
  <r>
    <n v="754"/>
    <x v="75"/>
    <x v="1"/>
    <x v="0"/>
    <x v="2"/>
    <x v="1"/>
    <x v="37"/>
    <s v="PWEGPL"/>
    <s v="MSEDCL"/>
    <n v="2.5000000000000001E-2"/>
    <n v="5212"/>
    <x v="319"/>
    <s v="BD"/>
    <d v="1899-12-30T00:00:00"/>
    <d v="1899-12-30T00:24:00"/>
    <d v="1899-12-30T03:27:00"/>
    <n v="0.4"/>
    <n v="3.0500000000000007"/>
    <n v="3.45"/>
    <s v="Reset"/>
    <s v="Close"/>
    <n v="8.6250000000000007E-2"/>
    <s v="G17"/>
    <n v="143.49124999999998"/>
    <m/>
    <m/>
    <n v="998.19999999999993"/>
    <n v="143.49124999999998"/>
    <m/>
    <m/>
    <m/>
    <m/>
  </r>
  <r>
    <n v="755"/>
    <x v="75"/>
    <x v="1"/>
    <x v="0"/>
    <x v="2"/>
    <x v="1"/>
    <x v="18"/>
    <s v="PWEGPL"/>
    <s v="MSEDCL"/>
    <n v="2.5000000000000001E-2"/>
    <s v="CE100014"/>
    <x v="305"/>
    <s v="PM/Lift inspention"/>
    <d v="1899-12-30T13:50:00"/>
    <d v="1899-12-30T13:50:00"/>
    <d v="1899-12-30T14:17:00"/>
    <n v="0"/>
    <n v="0.4499999999999984"/>
    <n v="0.4499999999999984"/>
    <s v="Avanti lift inspection"/>
    <s v="Close"/>
    <n v="1.1249999999999961E-2"/>
    <s v="G20"/>
    <n v="2.4321093749999827"/>
    <m/>
    <m/>
    <n v="129.71249999999955"/>
    <n v="2.4321093749999827"/>
    <m/>
    <m/>
    <m/>
    <m/>
  </r>
  <r>
    <n v="756"/>
    <x v="75"/>
    <x v="1"/>
    <x v="0"/>
    <x v="2"/>
    <x v="1"/>
    <x v="8"/>
    <s v="PWEGPL"/>
    <s v="MSEDCL"/>
    <n v="2.5000000000000001E-2"/>
    <s v="CE100014"/>
    <x v="305"/>
    <s v="PM/Lift inspention"/>
    <d v="1899-12-30T10:39:00"/>
    <d v="1899-12-30T10:39:00"/>
    <d v="1899-12-30T12:39:00"/>
    <n v="0"/>
    <n v="1.9999999999999996"/>
    <n v="1.9999999999999996"/>
    <s v="Avanti lift inspection"/>
    <s v="Close"/>
    <n v="4.9999999999999989E-2"/>
    <s v="G28"/>
    <n v="30.541666666666654"/>
    <m/>
    <m/>
    <n v="366.49999999999994"/>
    <n v="30.541666666666654"/>
    <m/>
    <m/>
    <m/>
    <m/>
  </r>
  <r>
    <n v="757"/>
    <x v="75"/>
    <x v="1"/>
    <x v="0"/>
    <x v="2"/>
    <x v="1"/>
    <x v="7"/>
    <s v="PWEGPL"/>
    <s v="MSEDCL"/>
    <n v="2.5000000000000001E-2"/>
    <n v="222"/>
    <x v="323"/>
    <s v="BD"/>
    <d v="1899-12-30T00:00:00"/>
    <d v="1899-12-30T00:30:00"/>
    <d v="1899-12-30T04:00:00"/>
    <n v="0.5"/>
    <n v="3.4999999999999996"/>
    <n v="4"/>
    <s v="Reset"/>
    <s v="Close"/>
    <n v="0.1"/>
    <s v="G39"/>
    <n v="147.05555555555557"/>
    <m/>
    <m/>
    <n v="882.33333333333337"/>
    <n v="147.05555555555557"/>
    <m/>
    <m/>
    <m/>
    <m/>
  </r>
  <r>
    <n v="758"/>
    <x v="76"/>
    <x v="1"/>
    <x v="0"/>
    <x v="3"/>
    <x v="1"/>
    <x v="1"/>
    <s v="PWEGPL"/>
    <s v="MSEDCL"/>
    <n v="2.5000000000000001E-2"/>
    <n v="115"/>
    <x v="308"/>
    <s v="BD"/>
    <d v="1899-12-30T10:52:00"/>
    <d v="1899-12-30T10:52:00"/>
    <d v="1899-12-30T16:44:00"/>
    <n v="0"/>
    <n v="5.8666666666666689"/>
    <n v="5.8666666666666689"/>
    <s v="Yaw caliper seal replaced"/>
    <s v="Close"/>
    <n v="0.14666666666666672"/>
    <s v="G22"/>
    <n v="134.44444444444451"/>
    <s v="None"/>
    <m/>
    <n v="550"/>
    <n v="134.44444444444451"/>
    <m/>
    <m/>
    <m/>
    <m/>
  </r>
  <r>
    <n v="759"/>
    <x v="77"/>
    <x v="1"/>
    <x v="0"/>
    <x v="3"/>
    <x v="1"/>
    <x v="23"/>
    <s v="PWEGPL"/>
    <s v="MSEDCL"/>
    <n v="2.5000000000000001E-2"/>
    <n v="1894"/>
    <x v="325"/>
    <s v="BD"/>
    <d v="1899-12-30T14:33:00"/>
    <d v="1899-12-30T15:11:00"/>
    <d v="1899-12-30T17:31:00"/>
    <n v="0.63333333333333108"/>
    <n v="2.333333333333333"/>
    <n v="2.9666666666666641"/>
    <s v="Gear box hose replaced &amp;MPCB reset."/>
    <s v="Close"/>
    <n v="7.4166666666666603E-2"/>
    <s v="G03"/>
    <n v="59.086111111111066"/>
    <s v="None"/>
    <m/>
    <n v="478"/>
    <n v="59.086111111111066"/>
    <m/>
    <m/>
    <m/>
    <m/>
  </r>
  <r>
    <n v="760"/>
    <x v="77"/>
    <x v="1"/>
    <x v="0"/>
    <x v="3"/>
    <x v="1"/>
    <x v="1"/>
    <s v="PWEGPL"/>
    <s v="MSEDCL"/>
    <n v="2.5000000000000001E-2"/>
    <n v="115"/>
    <x v="308"/>
    <s v="BD"/>
    <d v="1899-12-30T10:23:00"/>
    <d v="1899-12-30T10:23:00"/>
    <d v="1899-12-30T13:59:00"/>
    <n v="0"/>
    <n v="3.5999999999999992"/>
    <n v="3.5999999999999992"/>
    <s v="Yaw caliper replacment"/>
    <s v="Close"/>
    <n v="8.9999999999999983E-2"/>
    <s v="G22"/>
    <n v="45.749999999999993"/>
    <s v="None"/>
    <m/>
    <n v="305"/>
    <n v="45.749999999999993"/>
    <m/>
    <m/>
    <m/>
    <m/>
  </r>
  <r>
    <n v="761"/>
    <x v="77"/>
    <x v="1"/>
    <x v="0"/>
    <x v="3"/>
    <x v="1"/>
    <x v="9"/>
    <s v="PWEGPL"/>
    <s v="MSEDCL"/>
    <n v="2.5000000000000001E-2"/>
    <n v="207"/>
    <x v="309"/>
    <s v="BD"/>
    <d v="1899-12-30T16:31:00"/>
    <d v="1899-12-30T17:32:00"/>
    <d v="1899-12-30T23:59:00"/>
    <n v="1.0166666666666684"/>
    <n v="6.4499999999999984"/>
    <n v="7.4666666666666668"/>
    <s v="Hydraulic valve replaced"/>
    <s v="Close"/>
    <n v="0.18666666666666668"/>
    <s v="G29"/>
    <n v="260.71111111111111"/>
    <s v="None"/>
    <m/>
    <n v="838"/>
    <n v="260.71111111111111"/>
    <m/>
    <m/>
    <m/>
    <m/>
  </r>
  <r>
    <n v="762"/>
    <x v="78"/>
    <x v="1"/>
    <x v="0"/>
    <x v="3"/>
    <x v="1"/>
    <x v="31"/>
    <s v="PWEGPL"/>
    <s v="MSEDCL"/>
    <n v="2.5000000000000001E-2"/>
    <n v="115"/>
    <x v="308"/>
    <s v="BD"/>
    <d v="1899-12-30T10:32:00"/>
    <d v="1899-12-30T10:32:00"/>
    <d v="1899-12-30T18:39:00"/>
    <n v="0"/>
    <n v="8.1166666666666636"/>
    <n v="8.1166666666666636"/>
    <s v="Yaw caliper replacment"/>
    <s v="Close"/>
    <n v="0.20291666666666661"/>
    <s v="G12"/>
    <n v="393.65833333333319"/>
    <s v="None"/>
    <m/>
    <n v="1164"/>
    <n v="393.65833333333319"/>
    <m/>
    <m/>
    <m/>
    <m/>
  </r>
  <r>
    <n v="763"/>
    <x v="78"/>
    <x v="1"/>
    <x v="0"/>
    <x v="3"/>
    <x v="1"/>
    <x v="9"/>
    <s v="PWEGPL"/>
    <s v="MSEDCL"/>
    <n v="2.5000000000000001E-2"/>
    <n v="207"/>
    <x v="309"/>
    <s v="BD"/>
    <d v="1899-12-30T08:55:00"/>
    <d v="1899-12-30T11:11:00"/>
    <d v="1899-12-30T16:06:00"/>
    <n v="2.2666666666666679"/>
    <n v="4.9166666666666679"/>
    <n v="7.1833333333333353"/>
    <s v="Cable twist removed and hydraulic hose pipe replaced for oil leakage."/>
    <s v="Close"/>
    <n v="0.1795833333333334"/>
    <s v="G29"/>
    <n v="92.186111111111146"/>
    <s v="None"/>
    <m/>
    <n v="308"/>
    <n v="92.186111111111146"/>
    <m/>
    <m/>
    <m/>
    <m/>
  </r>
  <r>
    <n v="764"/>
    <x v="78"/>
    <x v="1"/>
    <x v="0"/>
    <x v="3"/>
    <x v="1"/>
    <x v="6"/>
    <s v="PWEGPL"/>
    <s v="MSEDCL"/>
    <n v="2.5000000000000001E-2"/>
    <n v="5216"/>
    <x v="306"/>
    <s v="BD"/>
    <d v="1899-12-30T23:35:00"/>
    <d v="1899-12-30T23:59:00"/>
    <d v="1899-12-30T23:59:00"/>
    <n v="0.40000000000000124"/>
    <n v="0"/>
    <n v="0.40000000000000124"/>
    <s v="Yaw pulse counter replaced."/>
    <s v="Close"/>
    <n v="1.0000000000000031E-2"/>
    <s v="G40"/>
    <n v="0.85000000000000264"/>
    <s v="None"/>
    <m/>
    <n v="51"/>
    <n v="0.85000000000000264"/>
    <m/>
    <m/>
    <m/>
    <m/>
  </r>
  <r>
    <n v="765"/>
    <x v="79"/>
    <x v="1"/>
    <x v="0"/>
    <x v="3"/>
    <x v="1"/>
    <x v="8"/>
    <s v="PWEGPL"/>
    <s v="MSEDCL"/>
    <n v="2.5000000000000001E-2"/>
    <n v="115"/>
    <x v="308"/>
    <s v="BD"/>
    <d v="1899-12-30T10:42:00"/>
    <d v="1899-12-30T10:42:00"/>
    <d v="1899-12-30T14:34:00"/>
    <n v="0"/>
    <n v="3.8666666666666663"/>
    <n v="3.8666666666666663"/>
    <s v="yaw caliper oil seal replacement"/>
    <s v="Close"/>
    <n v="9.6666666666666665E-2"/>
    <s v="G25"/>
    <n v="108.58888888888887"/>
    <s v="None"/>
    <m/>
    <n v="674"/>
    <n v="108.58888888888887"/>
    <m/>
    <m/>
    <m/>
    <m/>
  </r>
  <r>
    <n v="766"/>
    <x v="79"/>
    <x v="1"/>
    <x v="0"/>
    <x v="3"/>
    <x v="1"/>
    <x v="3"/>
    <s v="PWEGPL"/>
    <s v="MSEDCL"/>
    <n v="2.5000000000000001E-2"/>
    <n v="118"/>
    <x v="313"/>
    <s v="BD"/>
    <d v="1899-12-30T11:24:00"/>
    <d v="1899-12-30T11:24:00"/>
    <d v="1899-12-30T13:42:00"/>
    <n v="0"/>
    <n v="2.2999999999999985"/>
    <n v="2.2999999999999985"/>
    <s v="Yaw motor replaced"/>
    <s v="Close"/>
    <n v="5.7499999999999968E-2"/>
    <s v="G26"/>
    <n v="38.429166666666639"/>
    <s v="None"/>
    <m/>
    <n v="401"/>
    <n v="38.429166666666639"/>
    <m/>
    <m/>
    <m/>
    <m/>
  </r>
  <r>
    <n v="767"/>
    <x v="79"/>
    <x v="1"/>
    <x v="0"/>
    <x v="3"/>
    <x v="1"/>
    <x v="6"/>
    <s v="PWEGPL"/>
    <s v="MSEDCL"/>
    <n v="2.5000000000000001E-2"/>
    <n v="5216"/>
    <x v="306"/>
    <s v="BD"/>
    <d v="1899-12-30T00:00:00"/>
    <d v="1899-12-30T00:11:00"/>
    <d v="1899-12-30T02:37:00"/>
    <n v="0.18333333333333332"/>
    <n v="2.4333333333333336"/>
    <n v="2.6166666666666667"/>
    <s v="Yaw pulse counter replaced."/>
    <s v="Close"/>
    <n v="6.5416666666666665E-2"/>
    <s v="G40"/>
    <n v="52.66041666666667"/>
    <s v="None"/>
    <m/>
    <n v="483"/>
    <n v="52.66041666666667"/>
    <m/>
    <m/>
    <m/>
    <m/>
  </r>
  <r>
    <n v="768"/>
    <x v="80"/>
    <x v="1"/>
    <x v="0"/>
    <x v="3"/>
    <x v="1"/>
    <x v="29"/>
    <s v="PWEGPL"/>
    <s v="MSEDCL"/>
    <n v="2.5000000000000001E-2"/>
    <n v="115"/>
    <x v="308"/>
    <s v="BD"/>
    <d v="1899-12-30T11:25:00"/>
    <d v="1899-12-30T11:25:00"/>
    <d v="1899-12-30T16:49:00"/>
    <n v="0"/>
    <n v="5.3999999999999995"/>
    <n v="5.3999999999999995"/>
    <s v="yaw caliper oil seal replacement"/>
    <s v="Close"/>
    <n v="0.13499999999999998"/>
    <s v="G10"/>
    <n v="69.974999999999994"/>
    <s v="None"/>
    <m/>
    <n v="311"/>
    <n v="69.974999999999994"/>
    <m/>
    <m/>
    <m/>
    <m/>
  </r>
  <r>
    <n v="769"/>
    <x v="80"/>
    <x v="1"/>
    <x v="0"/>
    <x v="3"/>
    <x v="1"/>
    <x v="37"/>
    <s v="PWEGPL"/>
    <s v="MSEDCL"/>
    <n v="2.5000000000000001E-2"/>
    <n v="118"/>
    <x v="313"/>
    <s v="BD"/>
    <d v="1899-12-30T11:20:00"/>
    <d v="1899-12-30T11:20:00"/>
    <d v="1899-12-30T16:49:00"/>
    <n v="0"/>
    <n v="5.4833333333333307"/>
    <n v="5.4833333333333307"/>
    <s v="Yaw motor replaced"/>
    <s v="Close"/>
    <n v="0.13708333333333328"/>
    <s v="G17"/>
    <n v="75.3958333333333"/>
    <s v="None"/>
    <m/>
    <n v="330"/>
    <n v="75.3958333333333"/>
    <m/>
    <m/>
    <m/>
    <m/>
  </r>
  <r>
    <n v="770"/>
    <x v="80"/>
    <x v="1"/>
    <x v="0"/>
    <x v="3"/>
    <x v="1"/>
    <x v="36"/>
    <s v="PWEGPL"/>
    <s v="MSEDCL"/>
    <n v="2.5000000000000001E-2"/>
    <n v="1894"/>
    <x v="325"/>
    <s v="BD"/>
    <d v="1899-12-30T20:10:00"/>
    <d v="1899-12-30T20:40:00"/>
    <d v="1899-12-30T21:56:00"/>
    <n v="0.50000000000000089"/>
    <n v="1.2666666666666648"/>
    <n v="1.7666666666666657"/>
    <s v="Trouble shooting and reset"/>
    <s v="Close"/>
    <n v="4.4166666666666646E-2"/>
    <s v="G27"/>
    <n v="3.9013888888888872"/>
    <s v="None"/>
    <m/>
    <n v="53"/>
    <n v="3.9013888888888872"/>
    <m/>
    <m/>
    <m/>
    <m/>
  </r>
  <r>
    <n v="771"/>
    <x v="81"/>
    <x v="1"/>
    <x v="0"/>
    <x v="3"/>
    <x v="1"/>
    <x v="23"/>
    <s v="PWEGPL"/>
    <s v="MSEDCL"/>
    <n v="2.5000000000000001E-2"/>
    <n v="550"/>
    <x v="297"/>
    <s v="BD"/>
    <d v="1899-12-30T20:55:00"/>
    <d v="1899-12-30T21:15:00"/>
    <d v="1899-12-30T22:30:00"/>
    <n v="0.33333333333333215"/>
    <n v="1.2500000000000009"/>
    <n v="1.583333333333333"/>
    <s v="mpcb reset generator motor"/>
    <s v="Close"/>
    <n v="3.9583333333333331E-2"/>
    <s v="G03"/>
    <n v="11.017361111111109"/>
    <s v="None"/>
    <m/>
    <n v="167"/>
    <n v="11.017361111111109"/>
    <m/>
    <m/>
    <m/>
    <m/>
  </r>
  <r>
    <n v="772"/>
    <x v="81"/>
    <x v="1"/>
    <x v="0"/>
    <x v="3"/>
    <x v="1"/>
    <x v="24"/>
    <s v="PWEGPL"/>
    <s v="MSEDCL"/>
    <n v="2.5000000000000001E-2"/>
    <n v="700"/>
    <x v="329"/>
    <s v="BD"/>
    <d v="1899-12-30T16:30:00"/>
    <d v="1899-12-30T17:30:00"/>
    <d v="1899-12-30T23:59:00"/>
    <n v="0.99999999999999911"/>
    <n v="6.4833333333333343"/>
    <n v="7.4833333333333334"/>
    <s v="Trouble shotting WIP"/>
    <s v="Open"/>
    <n v="0.18708333333333335"/>
    <s v="G22"/>
    <n v="359.82361111111112"/>
    <s v="material shortage- pcb active crowbar card failuier"/>
    <m/>
    <n v="1154"/>
    <n v="359.82361111111112"/>
    <m/>
    <m/>
    <m/>
    <m/>
  </r>
  <r>
    <n v="773"/>
    <x v="81"/>
    <x v="1"/>
    <x v="0"/>
    <x v="3"/>
    <x v="1"/>
    <x v="1"/>
    <s v="PWEGPL"/>
    <s v="MSEDCL"/>
    <n v="2.5000000000000001E-2"/>
    <s v="CE100010"/>
    <x v="296"/>
    <s v="PM"/>
    <d v="1899-12-30T10:59:00"/>
    <d v="1899-12-30T10:59:00"/>
    <d v="1899-12-30T17:43:00"/>
    <n v="0"/>
    <n v="6.7333333333333325"/>
    <n v="6.7333333333333325"/>
    <s v="PM 102 month service"/>
    <s v="Close"/>
    <n v="0.16833333333333333"/>
    <s v="G22"/>
    <n v="292.33888888888885"/>
    <s v="None"/>
    <m/>
    <n v="1042"/>
    <n v="292.33888888888885"/>
    <m/>
    <m/>
    <m/>
    <m/>
  </r>
  <r>
    <n v="774"/>
    <x v="81"/>
    <x v="1"/>
    <x v="0"/>
    <x v="3"/>
    <x v="1"/>
    <x v="6"/>
    <s v="PWEGPL"/>
    <s v="MSEDCL"/>
    <n v="2.5000000000000001E-2"/>
    <n v="103"/>
    <x v="307"/>
    <s v="BD"/>
    <d v="1899-12-30T17:37:00"/>
    <d v="1899-12-30T23:05:00"/>
    <d v="1899-12-30T23:59:00"/>
    <n v="5.4666666666666632"/>
    <n v="0.90000000000000213"/>
    <n v="6.3666666666666654"/>
    <s v="Yaw mototr contactor replaced"/>
    <s v="Close"/>
    <n v="0.15916666666666665"/>
    <s v="G40"/>
    <n v="187.28611111111107"/>
    <s v="None"/>
    <m/>
    <n v="706"/>
    <n v="187.28611111111107"/>
    <m/>
    <m/>
    <m/>
    <m/>
  </r>
  <r>
    <n v="775"/>
    <x v="82"/>
    <x v="1"/>
    <x v="0"/>
    <x v="3"/>
    <x v="1"/>
    <x v="23"/>
    <s v="PWEGPL"/>
    <s v="MSEDCL"/>
    <n v="2.5000000000000001E-2"/>
    <n v="700"/>
    <x v="329"/>
    <s v="BD"/>
    <d v="1899-12-30T02:02:00"/>
    <d v="1899-12-30T02:40:00"/>
    <d v="1899-12-30T02:50:00"/>
    <n v="0.63333333333333341"/>
    <n v="0.16666666666666707"/>
    <n v="0.80000000000000049"/>
    <s v="rese &amp; reboot"/>
    <s v="Close"/>
    <n v="2.0000000000000014E-2"/>
    <s v="G03"/>
    <n v="6.0333333333333377"/>
    <s v="None"/>
    <m/>
    <n v="181"/>
    <n v="6.0333333333333377"/>
    <m/>
    <m/>
    <m/>
    <m/>
  </r>
  <r>
    <n v="776"/>
    <x v="82"/>
    <x v="1"/>
    <x v="0"/>
    <x v="3"/>
    <x v="1"/>
    <x v="24"/>
    <s v="PWEGPL"/>
    <s v="MSEDCL"/>
    <n v="2.5000000000000001E-2"/>
    <n v="700"/>
    <x v="329"/>
    <s v="BD"/>
    <d v="1899-12-30T00:00:00"/>
    <d v="1899-12-30T00:00:00"/>
    <d v="1899-12-30T09:10:00"/>
    <n v="0"/>
    <n v="9.1666666666666661"/>
    <n v="9.1666666666666661"/>
    <s v="pcb active crowbar card replaced"/>
    <s v="Close"/>
    <n v="0.22916666666666666"/>
    <s v="G22"/>
    <n v="649.6875"/>
    <s v="None"/>
    <m/>
    <n v="1701"/>
    <n v="649.6875"/>
    <m/>
    <m/>
    <m/>
    <m/>
  </r>
  <r>
    <n v="777"/>
    <x v="82"/>
    <x v="1"/>
    <x v="0"/>
    <x v="3"/>
    <x v="1"/>
    <x v="17"/>
    <s v="PWEGPL"/>
    <s v="MSEDCL"/>
    <n v="2.5000000000000001E-2"/>
    <n v="2509"/>
    <x v="201"/>
    <s v="BD"/>
    <d v="1899-12-30T22:30:00"/>
    <d v="1899-12-30T23:59:00"/>
    <d v="1899-12-30T23:59:00"/>
    <n v="1.4833333333333334"/>
    <n v="0"/>
    <n v="1.4833333333333334"/>
    <s v="SF6 breaker tripped."/>
    <s v="Open"/>
    <n v="3.7083333333333336E-2"/>
    <s v="G06"/>
    <n v="24.784027777777776"/>
    <s v="None"/>
    <m/>
    <n v="401"/>
    <n v="24.784027777777776"/>
    <m/>
    <m/>
    <m/>
    <m/>
  </r>
  <r>
    <n v="778"/>
    <x v="82"/>
    <x v="1"/>
    <x v="0"/>
    <x v="3"/>
    <x v="1"/>
    <x v="8"/>
    <s v="PWEGPL"/>
    <s v="MSEDCL"/>
    <n v="2.5000000000000001E-2"/>
    <n v="207"/>
    <x v="309"/>
    <s v="BD"/>
    <d v="1899-12-30T21:40:00"/>
    <d v="1899-12-30T22:40:00"/>
    <d v="1899-12-30T23:59:00"/>
    <n v="1.0000000000000018"/>
    <n v="1.3166666666666647"/>
    <n v="2.3166666666666664"/>
    <s v="reset &amp; Rebot"/>
    <s v="Close"/>
    <n v="5.7916666666666665E-2"/>
    <s v="G25"/>
    <n v="38.90069444444444"/>
    <s v="None"/>
    <m/>
    <n v="403"/>
    <n v="38.90069444444444"/>
    <m/>
    <m/>
    <m/>
    <m/>
  </r>
  <r>
    <n v="779"/>
    <x v="82"/>
    <x v="1"/>
    <x v="0"/>
    <x v="3"/>
    <x v="1"/>
    <x v="16"/>
    <s v="PWEGPL"/>
    <s v="MSEDCL"/>
    <n v="2.5000000000000001E-2"/>
    <n v="700"/>
    <x v="329"/>
    <s v="BD"/>
    <d v="1899-12-30T21:53:00"/>
    <d v="1899-12-30T22:30:00"/>
    <d v="1899-12-30T22:57:00"/>
    <n v="0.61666666666666714"/>
    <n v="0.4499999999999984"/>
    <n v="1.0666666666666655"/>
    <s v="reset &amp; Rebot"/>
    <s v="Close"/>
    <n v="2.6666666666666641E-2"/>
    <s v="G37"/>
    <n v="8.7999999999999901"/>
    <s v="None"/>
    <m/>
    <n v="198"/>
    <n v="8.7999999999999901"/>
    <m/>
    <m/>
    <m/>
    <m/>
  </r>
  <r>
    <n v="780"/>
    <x v="82"/>
    <x v="1"/>
    <x v="0"/>
    <x v="3"/>
    <x v="1"/>
    <x v="6"/>
    <s v="PWEGPL"/>
    <s v="MSEDCL"/>
    <n v="2.5000000000000001E-2"/>
    <n v="103"/>
    <x v="307"/>
    <s v="BD"/>
    <d v="1899-12-30T00:00:00"/>
    <d v="1899-12-30T00:00:00"/>
    <d v="1899-12-30T01:08:00"/>
    <n v="0"/>
    <n v="1.1333333333333333"/>
    <n v="1.1333333333333333"/>
    <s v="Yaw mototr contactor replaced"/>
    <s v="Close"/>
    <n v="2.8333333333333335E-2"/>
    <s v="G40"/>
    <n v="9.5388888888888879"/>
    <s v="None"/>
    <m/>
    <n v="202"/>
    <n v="9.5388888888888879"/>
    <m/>
    <m/>
    <m/>
    <m/>
  </r>
  <r>
    <n v="781"/>
    <x v="82"/>
    <x v="1"/>
    <x v="0"/>
    <x v="3"/>
    <x v="1"/>
    <x v="24"/>
    <s v="PWEGPL"/>
    <s v="MSEDCL"/>
    <n v="2.5000000000000001E-2"/>
    <s v="CE100010"/>
    <x v="296"/>
    <s v="PM"/>
    <d v="1899-12-30T09:10:00"/>
    <d v="1899-12-30T09:10:00"/>
    <d v="1899-12-30T17:37:00"/>
    <n v="0"/>
    <n v="8.4500000000000028"/>
    <n v="8.4500000000000028"/>
    <s v="PM 102 month service"/>
    <s v="Close"/>
    <n v="0.21125000000000008"/>
    <s v="G22"/>
    <n v="565.79791666666677"/>
    <s v="None"/>
    <m/>
    <n v="1607"/>
    <n v="565.79791666666677"/>
    <m/>
    <m/>
    <m/>
    <m/>
  </r>
  <r>
    <n v="782"/>
    <x v="83"/>
    <x v="1"/>
    <x v="0"/>
    <x v="3"/>
    <x v="1"/>
    <x v="23"/>
    <s v="PWEGPL"/>
    <s v="MSEDCL"/>
    <n v="2.5000000000000001E-2"/>
    <n v="700"/>
    <x v="329"/>
    <s v="BD"/>
    <d v="1899-12-30T21:04:00"/>
    <d v="1899-12-30T22:21:00"/>
    <d v="1899-12-30T22:36:00"/>
    <n v="1.2833333333333341"/>
    <n v="0.25000000000000178"/>
    <n v="1.5333333333333359"/>
    <s v="Rebot reset"/>
    <s v="Close"/>
    <n v="3.83333333333334E-2"/>
    <s v="G03"/>
    <n v="24.597222222222264"/>
    <s v="None"/>
    <m/>
    <n v="385"/>
    <n v="24.597222222222264"/>
    <m/>
    <m/>
    <m/>
    <m/>
  </r>
  <r>
    <n v="783"/>
    <x v="83"/>
    <x v="1"/>
    <x v="0"/>
    <x v="3"/>
    <x v="1"/>
    <x v="24"/>
    <s v="PWEGPL"/>
    <s v="MSEDCL"/>
    <n v="2.5000000000000001E-2"/>
    <n v="700"/>
    <x v="329"/>
    <s v="BD"/>
    <d v="1899-12-30T14:10:00"/>
    <d v="1899-12-30T16:44:00"/>
    <d v="1899-12-30T23:59:00"/>
    <n v="2.5666666666666682"/>
    <n v="7.2499999999999982"/>
    <n v="9.8166666666666664"/>
    <s v="Material- Lambda power supply not available"/>
    <s v="Close"/>
    <n v="0.24541666666666667"/>
    <s v="G22"/>
    <n v="956.30694444444441"/>
    <s v="material shortage- pcb active crowbar card failuier"/>
    <m/>
    <n v="2338"/>
    <n v="956.30694444444441"/>
    <m/>
    <m/>
    <m/>
    <m/>
  </r>
  <r>
    <n v="784"/>
    <x v="83"/>
    <x v="1"/>
    <x v="0"/>
    <x v="3"/>
    <x v="1"/>
    <x v="17"/>
    <s v="PWEGPL"/>
    <s v="MSEDCL"/>
    <n v="2.5000000000000001E-2"/>
    <n v="5216"/>
    <x v="306"/>
    <s v="BD"/>
    <d v="1899-12-30T03:21:00"/>
    <d v="1899-12-30T03:45:00"/>
    <d v="1899-12-30T12:15:00"/>
    <n v="0.39999999999999991"/>
    <n v="8.5"/>
    <n v="8.8999999999999986"/>
    <s v="PLC replaced"/>
    <s v="Close"/>
    <n v="0.22249999999999998"/>
    <s v="G10"/>
    <n v="792.09999999999991"/>
    <s v="None"/>
    <m/>
    <n v="2136"/>
    <n v="792.09999999999991"/>
    <m/>
    <m/>
    <m/>
    <m/>
  </r>
  <r>
    <n v="785"/>
    <x v="83"/>
    <x v="1"/>
    <x v="0"/>
    <x v="3"/>
    <x v="1"/>
    <x v="39"/>
    <s v="PWEGPL"/>
    <s v="MSEDCL"/>
    <n v="2.5000000000000001E-2"/>
    <s v="CE100010"/>
    <x v="296"/>
    <s v="PM"/>
    <d v="1899-12-30T10:55:00"/>
    <d v="1899-12-30T10:55:00"/>
    <d v="1899-12-30T18:01:00"/>
    <n v="0"/>
    <n v="7.1"/>
    <n v="7.1"/>
    <s v="PM 102 month service"/>
    <s v="Close"/>
    <n v="0.17749999999999999"/>
    <s v="G16"/>
    <n v="400.55833333333328"/>
    <s v="None"/>
    <m/>
    <n v="1354"/>
    <n v="400.55833333333328"/>
    <m/>
    <m/>
    <m/>
    <m/>
  </r>
  <r>
    <n v="786"/>
    <x v="83"/>
    <x v="1"/>
    <x v="0"/>
    <x v="3"/>
    <x v="1"/>
    <x v="8"/>
    <s v="PWEGPL"/>
    <s v="MSEDCL"/>
    <n v="2.5000000000000001E-2"/>
    <n v="207"/>
    <x v="309"/>
    <s v="BD"/>
    <d v="1899-12-30T00:00:00"/>
    <d v="1899-12-30T00:01:00"/>
    <d v="1899-12-30T02:26:00"/>
    <n v="1.6666666666666666E-2"/>
    <n v="2.416666666666667"/>
    <n v="2.4333333333333336"/>
    <s v="Rebot reset"/>
    <s v="Close"/>
    <n v="6.0833333333333343E-2"/>
    <s v="G25"/>
    <n v="57.487500000000004"/>
    <s v="None"/>
    <m/>
    <n v="567"/>
    <n v="57.487500000000004"/>
    <m/>
    <m/>
    <m/>
    <m/>
  </r>
  <r>
    <n v="787"/>
    <x v="83"/>
    <x v="1"/>
    <x v="0"/>
    <x v="3"/>
    <x v="1"/>
    <x v="16"/>
    <s v="PWEGPL"/>
    <s v="MSEDCL"/>
    <n v="2.5000000000000001E-2"/>
    <n v="401"/>
    <x v="331"/>
    <s v="BD"/>
    <d v="1899-12-30T13:15:00"/>
    <d v="1899-12-30T13:15:00"/>
    <d v="1899-12-30T14:20:00"/>
    <n v="0"/>
    <n v="1.0833333333333321"/>
    <n v="1.0833333333333321"/>
    <s v="gearbox fim added"/>
    <s v="Close"/>
    <n v="2.7083333333333307E-2"/>
    <s v="G35"/>
    <n v="10.065972222222211"/>
    <s v="None"/>
    <m/>
    <n v="223"/>
    <n v="10.065972222222211"/>
    <m/>
    <m/>
    <m/>
    <m/>
  </r>
  <r>
    <n v="788"/>
    <x v="83"/>
    <x v="1"/>
    <x v="0"/>
    <x v="3"/>
    <x v="1"/>
    <x v="8"/>
    <s v="PWEGPL"/>
    <s v="MSEDCL"/>
    <n v="2.5000000000000001E-2"/>
    <n v="5263"/>
    <x v="311"/>
    <s v="BD"/>
    <d v="1899-12-30T13:26:00"/>
    <d v="1899-12-30T14:45:00"/>
    <d v="1899-12-30T14:45:00"/>
    <n v="1.3166666666666673"/>
    <n v="0"/>
    <n v="1.3166666666666673"/>
    <s v="optical cable changed"/>
    <s v="Close"/>
    <n v="3.2916666666666684E-2"/>
    <s v="G25"/>
    <n v="16.842361111111117"/>
    <s v="None"/>
    <m/>
    <n v="307"/>
    <n v="16.842361111111117"/>
    <m/>
    <m/>
    <m/>
    <m/>
  </r>
  <r>
    <n v="789"/>
    <x v="84"/>
    <x v="1"/>
    <x v="0"/>
    <x v="3"/>
    <x v="1"/>
    <x v="39"/>
    <s v="PWEGPL"/>
    <s v="MSEDCL"/>
    <n v="2.5000000000000001E-2"/>
    <n v="5216"/>
    <x v="306"/>
    <s v="BD"/>
    <d v="1899-12-30T17:11:00"/>
    <d v="1899-12-30T17:30:00"/>
    <d v="1899-12-30T23:59:00"/>
    <n v="0.31666666666666554"/>
    <n v="6.4833333333333343"/>
    <n v="6.8"/>
    <s v="Lambda power supply failuier"/>
    <s v="Open"/>
    <n v="0.17"/>
    <s v="G20"/>
    <n v="388.16666666666669"/>
    <s v="material shortage- pcb active crowbar card failuier"/>
    <m/>
    <n v="1370"/>
    <n v="388.16666666666669"/>
    <m/>
    <m/>
    <m/>
    <m/>
  </r>
  <r>
    <n v="790"/>
    <x v="84"/>
    <x v="1"/>
    <x v="0"/>
    <x v="3"/>
    <x v="1"/>
    <x v="18"/>
    <s v="PWEGPL"/>
    <s v="MSEDCL"/>
    <n v="2.5000000000000001E-2"/>
    <n v="1813"/>
    <x v="332"/>
    <s v="BD"/>
    <d v="1899-12-30T09:24:00"/>
    <d v="1899-12-30T10:02:00"/>
    <d v="1899-12-30T11:15:00"/>
    <n v="0.63333333333333375"/>
    <n v="1.2166666666666663"/>
    <n v="1.85"/>
    <s v="SIM added"/>
    <s v="Close"/>
    <n v="4.6250000000000006E-2"/>
    <s v="G25"/>
    <n v="28.59791666666667"/>
    <s v="None"/>
    <m/>
    <n v="371"/>
    <n v="28.59791666666667"/>
    <m/>
    <m/>
    <m/>
    <m/>
  </r>
  <r>
    <n v="791"/>
    <x v="84"/>
    <x v="1"/>
    <x v="0"/>
    <x v="3"/>
    <x v="1"/>
    <x v="35"/>
    <s v="PWEGPL"/>
    <s v="MSEDCL"/>
    <n v="2.5000000000000001E-2"/>
    <n v="108"/>
    <x v="310"/>
    <s v="BD"/>
    <d v="1899-12-30T13:21:00"/>
    <d v="1899-12-30T13:40:00"/>
    <d v="1899-12-30T14:01:00"/>
    <n v="0.31666666666666554"/>
    <n v="0.35000000000000142"/>
    <n v="0.66666666666666696"/>
    <s v="cable twist removed"/>
    <s v="Close"/>
    <n v="1.6666666666666673E-2"/>
    <s v="G28"/>
    <n v="2.4444444444444455"/>
    <s v="None"/>
    <m/>
    <n v="88"/>
    <n v="2.4444444444444455"/>
    <m/>
    <m/>
    <m/>
    <m/>
  </r>
  <r>
    <n v="792"/>
    <x v="84"/>
    <x v="1"/>
    <x v="0"/>
    <x v="3"/>
    <x v="1"/>
    <x v="36"/>
    <s v="PWEGPL"/>
    <s v="MSEDCL"/>
    <n v="2.5000000000000001E-2"/>
    <n v="1894"/>
    <x v="325"/>
    <s v="BD"/>
    <d v="1899-12-30T11:16:00"/>
    <d v="1899-12-30T12:10:00"/>
    <d v="1899-12-30T13:20:00"/>
    <n v="0.89999999999999813"/>
    <n v="1.1666666666666679"/>
    <n v="2.066666666666666"/>
    <s v="Reboot &amp; Reset"/>
    <s v="Close"/>
    <n v="5.1666666666666652E-2"/>
    <s v="G28"/>
    <n v="23.594444444444434"/>
    <s v="None"/>
    <m/>
    <n v="274"/>
    <n v="23.594444444444434"/>
    <m/>
    <m/>
    <m/>
    <m/>
  </r>
  <r>
    <n v="793"/>
    <x v="84"/>
    <x v="1"/>
    <x v="0"/>
    <x v="3"/>
    <x v="1"/>
    <x v="2"/>
    <s v="PWEGPL"/>
    <s v="MSEDCL"/>
    <n v="2.5000000000000001E-2"/>
    <n v="1894"/>
    <x v="325"/>
    <s v="BD"/>
    <d v="1899-12-30T13:20:00"/>
    <d v="1899-12-30T14:30:00"/>
    <d v="1899-12-30T16:14:00"/>
    <n v="1.1666666666666652"/>
    <n v="1.7333333333333352"/>
    <n v="2.9000000000000004"/>
    <s v="MPCB reset"/>
    <s v="Close"/>
    <n v="7.2500000000000009E-2"/>
    <s v="G28"/>
    <n v="46.400000000000006"/>
    <s v="None"/>
    <m/>
    <n v="384"/>
    <n v="46.400000000000006"/>
    <m/>
    <m/>
    <m/>
    <m/>
  </r>
  <r>
    <n v="794"/>
    <x v="84"/>
    <x v="1"/>
    <x v="0"/>
    <x v="3"/>
    <x v="1"/>
    <x v="8"/>
    <s v="PWEGPL"/>
    <s v="MSEDCL"/>
    <n v="2.5000000000000001E-2"/>
    <n v="207"/>
    <x v="309"/>
    <s v="BD"/>
    <d v="1899-12-30T11:57:00"/>
    <d v="1899-12-30T12:20:00"/>
    <d v="1899-12-30T13:13:00"/>
    <n v="0.38333333333333597"/>
    <n v="0.88333333333333286"/>
    <n v="1.2666666666666688"/>
    <s v="Generator relay replaced"/>
    <s v="Close"/>
    <n v="3.1666666666666725E-2"/>
    <s v="G28"/>
    <n v="8.8138888888889042"/>
    <s v="None"/>
    <m/>
    <n v="167"/>
    <n v="8.8138888888889042"/>
    <m/>
    <m/>
    <m/>
    <m/>
  </r>
  <r>
    <n v="795"/>
    <x v="84"/>
    <x v="1"/>
    <x v="0"/>
    <x v="3"/>
    <x v="1"/>
    <x v="10"/>
    <s v="PWEGPL"/>
    <s v="MSEDCL"/>
    <n v="2.5000000000000001E-2"/>
    <n v="110"/>
    <x v="287"/>
    <s v="BD"/>
    <d v="1899-12-30T13:57:00"/>
    <d v="1899-12-30T14:10:00"/>
    <d v="1899-12-30T14:43:00"/>
    <n v="0.21666666666666856"/>
    <n v="0.55000000000000071"/>
    <n v="0.76666666666666927"/>
    <s v="cable twist removed"/>
    <s v="Close"/>
    <n v="1.9166666666666735E-2"/>
    <s v="G39"/>
    <n v="3.2263888888888994"/>
    <s v="None"/>
    <m/>
    <n v="101"/>
    <n v="3.2263888888888994"/>
    <m/>
    <m/>
    <m/>
    <m/>
  </r>
  <r>
    <n v="796"/>
    <x v="84"/>
    <x v="1"/>
    <x v="0"/>
    <x v="3"/>
    <x v="1"/>
    <x v="7"/>
    <s v="PWEGPL"/>
    <s v="MSEDCL"/>
    <n v="2.5000000000000001E-2"/>
    <n v="110"/>
    <x v="287"/>
    <s v="BD"/>
    <d v="1899-12-30T00:17:00"/>
    <d v="1899-12-30T01:10:00"/>
    <d v="1899-12-30T01:36:00"/>
    <n v="0.8833333333333333"/>
    <n v="0.43333333333333329"/>
    <n v="1.3166666666666667"/>
    <s v="cable twist removed"/>
    <s v="Close"/>
    <n v="3.291666666666667E-2"/>
    <s v="G15"/>
    <n v="8.3388888888888886"/>
    <s v="None"/>
    <m/>
    <n v="152"/>
    <n v="8.3388888888888886"/>
    <m/>
    <m/>
    <m/>
    <m/>
  </r>
  <r>
    <n v="797"/>
    <x v="84"/>
    <x v="1"/>
    <x v="0"/>
    <x v="3"/>
    <x v="1"/>
    <x v="37"/>
    <s v="PWEGPL"/>
    <s v="MSEDCL"/>
    <n v="2.5000000000000001E-2"/>
    <s v="CE100010"/>
    <x v="296"/>
    <s v="PM"/>
    <d v="1899-12-30T09:37:00"/>
    <d v="1899-12-30T09:37:00"/>
    <d v="1899-12-30T16:49:00"/>
    <n v="0"/>
    <n v="7.1999999999999984"/>
    <n v="7.1999999999999984"/>
    <s v="PM 102 month service"/>
    <s v="Close"/>
    <n v="0.17999999999999997"/>
    <s v="G22"/>
    <n v="435.2999999999999"/>
    <s v="None"/>
    <m/>
    <n v="1451"/>
    <n v="435.2999999999999"/>
    <m/>
    <m/>
    <m/>
    <m/>
  </r>
  <r>
    <n v="798"/>
    <x v="84"/>
    <x v="1"/>
    <x v="0"/>
    <x v="3"/>
    <x v="1"/>
    <x v="37"/>
    <s v="PWEGPL"/>
    <s v="MSEDCL"/>
    <n v="2.5000000000000001E-2"/>
    <n v="700"/>
    <x v="329"/>
    <s v="BD"/>
    <d v="1899-12-30T00:00:00"/>
    <d v="1899-12-30T00:00:00"/>
    <d v="1899-12-30T23:59:00"/>
    <n v="0"/>
    <n v="23.983333333333334"/>
    <n v="23.983333333333334"/>
    <s v="Lambda power supply failuier"/>
    <s v="Open"/>
    <n v="0.59958333333333336"/>
    <s v="G03"/>
    <n v="3870.3104166666667"/>
    <s v="material shortage- pcb active crowbar card failuier"/>
    <m/>
    <n v="3873"/>
    <n v="3870.3104166666667"/>
    <m/>
    <m/>
    <m/>
    <m/>
  </r>
  <r>
    <n v="799"/>
    <x v="85"/>
    <x v="1"/>
    <x v="0"/>
    <x v="3"/>
    <x v="1"/>
    <x v="23"/>
    <s v="PWEGPL"/>
    <s v="MSEDCL"/>
    <n v="2.5000000000000001E-2"/>
    <n v="700"/>
    <x v="329"/>
    <s v="BD"/>
    <d v="1899-12-30T10:25:00"/>
    <d v="1899-12-30T12:22:00"/>
    <d v="1899-12-30T13:43:00"/>
    <n v="1.9500000000000024"/>
    <n v="1.3499999999999979"/>
    <n v="3.3000000000000003"/>
    <s v="Loose OFC connection tightened"/>
    <s v="Close"/>
    <n v="8.2500000000000018E-2"/>
    <s v="G22"/>
    <n v="171.1875"/>
    <s v="None"/>
    <m/>
    <n v="1245"/>
    <n v="171.1875"/>
    <m/>
    <m/>
    <m/>
    <m/>
  </r>
  <r>
    <n v="800"/>
    <x v="85"/>
    <x v="1"/>
    <x v="0"/>
    <x v="3"/>
    <x v="1"/>
    <x v="24"/>
    <s v="PWEGPL"/>
    <s v="MSEDCL"/>
    <n v="2.5000000000000001E-2"/>
    <n v="700"/>
    <x v="329"/>
    <s v="BD"/>
    <d v="1899-12-30T00:00:00"/>
    <d v="1899-12-30T23:59:00"/>
    <d v="1899-12-30T23:59:00"/>
    <n v="23.983333333333334"/>
    <n v="0"/>
    <n v="23.983333333333334"/>
    <s v="Lambda power supply failuier"/>
    <s v="Open"/>
    <n v="0.59958333333333336"/>
    <s v="G10"/>
    <n v="8574.0416666666679"/>
    <s v="material shortage- pcb active crowbar card failuier"/>
    <m/>
    <n v="8580"/>
    <n v="8574.0416666666679"/>
    <m/>
    <m/>
    <m/>
    <m/>
  </r>
  <r>
    <n v="801"/>
    <x v="85"/>
    <x v="1"/>
    <x v="0"/>
    <x v="3"/>
    <x v="1"/>
    <x v="17"/>
    <s v="PWEGPL"/>
    <s v="MSEDCL"/>
    <n v="2.5000000000000001E-2"/>
    <n v="509"/>
    <x v="301"/>
    <s v="BD"/>
    <d v="1899-12-30T04:30:00"/>
    <d v="1899-12-30T04:45:00"/>
    <d v="1899-12-30T06:30:00"/>
    <n v="0.24999999999999978"/>
    <n v="1.7499999999999998"/>
    <n v="1.9999999999999996"/>
    <s v="Reboot &amp; Reset"/>
    <s v="Close"/>
    <n v="4.9999999999999989E-2"/>
    <s v="G13"/>
    <n v="72.166666666666657"/>
    <s v="None"/>
    <m/>
    <n v="866"/>
    <n v="72.166666666666657"/>
    <m/>
    <m/>
    <m/>
    <m/>
  </r>
  <r>
    <n v="802"/>
    <x v="85"/>
    <x v="1"/>
    <x v="0"/>
    <x v="3"/>
    <x v="1"/>
    <x v="27"/>
    <s v="PWEGPL"/>
    <s v="MSEDCL"/>
    <n v="2.5000000000000001E-2"/>
    <s v="CE100001"/>
    <x v="288"/>
    <s v="BD"/>
    <d v="1899-12-30T15:03:00"/>
    <d v="1899-12-30T15:03:00"/>
    <d v="1899-12-30T16:54:00"/>
    <n v="0"/>
    <n v="1.8499999999999988"/>
    <n v="1.8499999999999988"/>
    <s v="Greace applied"/>
    <s v="Close"/>
    <n v="4.6249999999999972E-2"/>
    <s v="G16"/>
    <n v="61.743749999999956"/>
    <s v="None"/>
    <m/>
    <n v="801"/>
    <n v="61.743749999999956"/>
    <m/>
    <m/>
    <m/>
    <m/>
  </r>
  <r>
    <n v="803"/>
    <x v="85"/>
    <x v="1"/>
    <x v="0"/>
    <x v="3"/>
    <x v="1"/>
    <x v="39"/>
    <s v="PWEGPL"/>
    <s v="MSEDCL"/>
    <n v="2.5000000000000001E-2"/>
    <n v="5216"/>
    <x v="306"/>
    <s v="BD"/>
    <d v="1899-12-30T00:00:00"/>
    <d v="1899-12-30T23:59:00"/>
    <d v="1899-12-30T23:59:00"/>
    <n v="23.983333333333334"/>
    <n v="0"/>
    <n v="23.983333333333334"/>
    <s v="Lambda power supply failuier"/>
    <s v="Open"/>
    <n v="0.59958333333333336"/>
    <s v="G21"/>
    <n v="8851.8486111111106"/>
    <s v="material shortage- pcb active crowbar card failuier"/>
    <m/>
    <n v="8858"/>
    <n v="8851.8486111111106"/>
    <m/>
    <m/>
    <m/>
    <m/>
  </r>
  <r>
    <n v="804"/>
    <x v="85"/>
    <x v="1"/>
    <x v="0"/>
    <x v="3"/>
    <x v="1"/>
    <x v="34"/>
    <s v="PWEGPL"/>
    <s v="MSEDCL"/>
    <n v="2.5000000000000001E-2"/>
    <n v="110"/>
    <x v="287"/>
    <s v="BD"/>
    <d v="1899-12-30T10:25:00"/>
    <d v="1899-12-30T10:47:00"/>
    <d v="1899-12-30T11:43:00"/>
    <n v="0.36666666666666803"/>
    <n v="0.93333333333333268"/>
    <n v="1.3000000000000007"/>
    <s v="cable twist removed"/>
    <s v="Close"/>
    <n v="3.2500000000000022E-2"/>
    <s v="G21"/>
    <n v="24.375000000000014"/>
    <s v="None"/>
    <m/>
    <n v="450"/>
    <n v="24.375000000000014"/>
    <m/>
    <m/>
    <m/>
    <m/>
  </r>
  <r>
    <n v="805"/>
    <x v="85"/>
    <x v="1"/>
    <x v="0"/>
    <x v="3"/>
    <x v="1"/>
    <x v="2"/>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6"/>
    <x v="85"/>
    <x v="1"/>
    <x v="0"/>
    <x v="3"/>
    <x v="1"/>
    <x v="3"/>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7"/>
    <x v="85"/>
    <x v="1"/>
    <x v="0"/>
    <x v="3"/>
    <x v="1"/>
    <x v="5"/>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8"/>
    <x v="85"/>
    <x v="1"/>
    <x v="0"/>
    <x v="3"/>
    <x v="1"/>
    <x v="6"/>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9"/>
    <x v="85"/>
    <x v="1"/>
    <x v="0"/>
    <x v="3"/>
    <x v="1"/>
    <x v="7"/>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10"/>
    <x v="85"/>
    <x v="1"/>
    <x v="0"/>
    <x v="3"/>
    <x v="1"/>
    <x v="4"/>
    <s v="PWEGPL"/>
    <s v="MSEDCL"/>
    <n v="2.5000000000000001E-2"/>
    <n v="205"/>
    <x v="312"/>
    <s v="BD"/>
    <d v="1899-12-30T08:21:00"/>
    <d v="1899-12-30T10:32:00"/>
    <d v="1899-12-30T11:15:00"/>
    <n v="2.1833333333333336"/>
    <n v="0.71666666666666679"/>
    <n v="2.9000000000000004"/>
    <s v="Oil Topup"/>
    <s v="Close"/>
    <n v="7.2500000000000009E-2"/>
    <s v="G36"/>
    <n v="127.11666666666669"/>
    <s v="None"/>
    <m/>
    <n v="1052"/>
    <n v="127.11666666666669"/>
    <m/>
    <m/>
    <m/>
    <m/>
  </r>
  <r>
    <n v="811"/>
    <x v="86"/>
    <x v="1"/>
    <x v="0"/>
    <x v="3"/>
    <x v="1"/>
    <x v="24"/>
    <s v="PWEGPL"/>
    <s v="MSEDCL"/>
    <n v="2.5000000000000001E-2"/>
    <n v="700"/>
    <x v="329"/>
    <s v="BD"/>
    <d v="1899-12-30T00:00:00"/>
    <d v="1899-12-30T18:49:00"/>
    <d v="1899-12-30T18:49:00"/>
    <n v="18.816666666666666"/>
    <n v="0"/>
    <n v="18.816666666666666"/>
    <s v="lambda power supply replaced"/>
    <s v="Close"/>
    <n v="0.47041666666666671"/>
    <s v="G22"/>
    <n v="1355.5840277777779"/>
    <s v="None"/>
    <m/>
    <n v="1729"/>
    <n v="1355.5840277777779"/>
    <m/>
    <m/>
    <m/>
    <m/>
  </r>
  <r>
    <n v="812"/>
    <x v="86"/>
    <x v="1"/>
    <x v="0"/>
    <x v="3"/>
    <x v="1"/>
    <x v="30"/>
    <s v="PWEGPL"/>
    <s v="MSEDCL"/>
    <n v="2.5000000000000001E-2"/>
    <n v="800"/>
    <x v="298"/>
    <s v="BD"/>
    <d v="1899-12-30T02:37:00"/>
    <d v="1899-12-30T03:10:00"/>
    <d v="1899-12-30T13:52:00"/>
    <n v="0.55000000000000004"/>
    <n v="10.700000000000003"/>
    <n v="11.250000000000002"/>
    <s v="proportional valve changed"/>
    <s v="Close"/>
    <n v="0.28125000000000006"/>
    <s v="G13"/>
    <n v="25.781250000000004"/>
    <s v="None"/>
    <m/>
    <n v="55"/>
    <n v="25.781250000000004"/>
    <m/>
    <m/>
    <m/>
    <m/>
  </r>
  <r>
    <n v="813"/>
    <x v="86"/>
    <x v="1"/>
    <x v="0"/>
    <x v="3"/>
    <x v="1"/>
    <x v="39"/>
    <s v="PWEGPL"/>
    <s v="MSEDCL"/>
    <n v="2.5000000000000001E-2"/>
    <n v="5216"/>
    <x v="306"/>
    <s v="BD"/>
    <d v="1899-12-30T00:00:00"/>
    <d v="1899-12-30T23:59:00"/>
    <d v="1899-12-30T23:59:00"/>
    <n v="23.983333333333334"/>
    <n v="0"/>
    <n v="23.983333333333334"/>
    <s v="lambda power supply replaced"/>
    <s v="Close"/>
    <n v="0.59958333333333336"/>
    <s v="G16"/>
    <n v="1915.66875"/>
    <s v="None"/>
    <m/>
    <n v="1917"/>
    <n v="1915.66875"/>
    <m/>
    <m/>
    <m/>
    <m/>
  </r>
  <r>
    <n v="814"/>
    <x v="86"/>
    <x v="1"/>
    <x v="0"/>
    <x v="3"/>
    <x v="1"/>
    <x v="36"/>
    <s v="PWEGPL"/>
    <s v="MSEDCL"/>
    <n v="2.5000000000000001E-2"/>
    <n v="5254"/>
    <x v="333"/>
    <s v="BD"/>
    <d v="1899-12-30T09:42:00"/>
    <d v="1899-12-30T10:10:00"/>
    <d v="1899-12-30T14:44:00"/>
    <n v="0.46666666666666767"/>
    <n v="4.5666666666666647"/>
    <n v="5.0333333333333332"/>
    <s v="contactor repaired"/>
    <s v="Close"/>
    <n v="0.12583333333333332"/>
    <s v="G27"/>
    <n v="73.402777777777786"/>
    <s v="None"/>
    <m/>
    <n v="350"/>
    <n v="73.402777777777786"/>
    <m/>
    <m/>
    <m/>
    <m/>
  </r>
  <r>
    <n v="815"/>
    <x v="86"/>
    <x v="1"/>
    <x v="0"/>
    <x v="3"/>
    <x v="1"/>
    <x v="6"/>
    <s v="PWEGPL"/>
    <s v="MSEDCL"/>
    <n v="2.5000000000000001E-2"/>
    <n v="800"/>
    <x v="298"/>
    <s v="BD"/>
    <d v="1899-12-30T19:01:00"/>
    <d v="1899-12-30T22:05:00"/>
    <d v="1899-12-30T22:21:00"/>
    <n v="3.0666666666666664"/>
    <n v="0.26666666666666838"/>
    <n v="3.3333333333333348"/>
    <s v="Reboot &amp; Reset"/>
    <s v="Close"/>
    <n v="8.333333333333337E-2"/>
    <s v="G40"/>
    <n v="24.166666666666679"/>
    <s v="None"/>
    <m/>
    <n v="174"/>
    <n v="24.166666666666679"/>
    <m/>
    <m/>
    <m/>
    <m/>
  </r>
  <r>
    <n v="816"/>
    <x v="87"/>
    <x v="1"/>
    <x v="0"/>
    <x v="3"/>
    <x v="1"/>
    <x v="27"/>
    <s v="PWEGPL"/>
    <s v="MSEDCL"/>
    <n v="2.5000000000000001E-2"/>
    <s v="CE100001"/>
    <x v="288"/>
    <s v="BD"/>
    <d v="1899-12-30T10:59:00"/>
    <d v="1899-12-30T10:59:00"/>
    <d v="1899-12-30T14:21:00"/>
    <n v="0"/>
    <n v="3.3666666666666667"/>
    <n v="3.3666666666666667"/>
    <s v="Oil seal replaced"/>
    <s v="Close"/>
    <n v="8.4166666666666667E-2"/>
    <s v="G12"/>
    <n v="119.9375"/>
    <s v="None"/>
    <m/>
    <n v="855"/>
    <n v="119.9375"/>
    <m/>
    <m/>
    <m/>
    <m/>
  </r>
  <r>
    <n v="817"/>
    <x v="87"/>
    <x v="1"/>
    <x v="0"/>
    <x v="3"/>
    <x v="1"/>
    <x v="39"/>
    <s v="PWEGPL"/>
    <s v="MSEDCL"/>
    <n v="2.5000000000000001E-2"/>
    <n v="5216"/>
    <x v="306"/>
    <s v="BD"/>
    <d v="1899-12-30T00:00:00"/>
    <d v="1899-12-30T00:00:00"/>
    <d v="1899-12-30T17:30:00"/>
    <n v="0"/>
    <n v="17.5"/>
    <n v="17.5"/>
    <s v="PLC programming reinstalled"/>
    <s v="Close"/>
    <n v="0.4375"/>
    <s v="G14"/>
    <n v="4246.6666666666661"/>
    <s v="material shortage- pcb active crowbar card failuier"/>
    <m/>
    <n v="5824"/>
    <n v="4246.6666666666661"/>
    <m/>
    <m/>
    <m/>
    <m/>
  </r>
  <r>
    <n v="818"/>
    <x v="87"/>
    <x v="1"/>
    <x v="0"/>
    <x v="3"/>
    <x v="1"/>
    <x v="37"/>
    <s v="PWEGPL"/>
    <s v="MSEDCL"/>
    <n v="2.5000000000000001E-2"/>
    <n v="700"/>
    <x v="329"/>
    <s v="BD"/>
    <d v="1899-12-30T22:10:00"/>
    <d v="1899-12-30T22:30:00"/>
    <d v="1899-12-30T23:59:00"/>
    <n v="0.33333333333333215"/>
    <n v="1.4833333333333334"/>
    <n v="1.8166666666666655"/>
    <s v="CCU replaced"/>
    <s v="Close"/>
    <n v="4.541666666666664E-2"/>
    <s v="G17"/>
    <n v="45.340972222222192"/>
    <s v="None"/>
    <m/>
    <n v="599"/>
    <n v="45.340972222222192"/>
    <m/>
    <m/>
    <m/>
    <m/>
  </r>
  <r>
    <n v="819"/>
    <x v="87"/>
    <x v="1"/>
    <x v="0"/>
    <x v="3"/>
    <x v="1"/>
    <x v="35"/>
    <s v="PWEGPL"/>
    <s v="MSEDCL"/>
    <n v="2.5000000000000001E-2"/>
    <n v="118"/>
    <x v="313"/>
    <s v="BD"/>
    <d v="1899-12-30T11:30:00"/>
    <d v="1899-12-30T13:00:00"/>
    <d v="1899-12-30T13:30:00"/>
    <n v="1.4999999999999987"/>
    <n v="0.50000000000000089"/>
    <n v="1.9999999999999996"/>
    <s v="Reboot &amp; Reset"/>
    <s v="Close"/>
    <n v="4.9999999999999989E-2"/>
    <s v="G25"/>
    <n v="69.999999999999986"/>
    <s v="None"/>
    <m/>
    <n v="840"/>
    <n v="69.999999999999986"/>
    <m/>
    <m/>
    <m/>
    <m/>
  </r>
  <r>
    <n v="820"/>
    <x v="87"/>
    <x v="1"/>
    <x v="0"/>
    <x v="3"/>
    <x v="1"/>
    <x v="6"/>
    <s v="PWEGPL"/>
    <s v="MSEDCL"/>
    <n v="2.5000000000000001E-2"/>
    <n v="800"/>
    <x v="298"/>
    <s v="BD"/>
    <d v="1899-12-30T10:55:00"/>
    <d v="1899-12-30T12:00:00"/>
    <d v="1899-12-30T12:47:00"/>
    <n v="1.0833333333333335"/>
    <n v="0.78333333333333321"/>
    <n v="1.8666666666666667"/>
    <s v="Reboot &amp; Reset"/>
    <s v="Close"/>
    <n v="4.6666666666666669E-2"/>
    <s v="G40"/>
    <n v="44.87777777777778"/>
    <s v="None"/>
    <m/>
    <n v="577"/>
    <n v="44.87777777777778"/>
    <m/>
    <m/>
    <m/>
    <m/>
  </r>
  <r>
    <n v="821"/>
    <x v="88"/>
    <x v="1"/>
    <x v="0"/>
    <x v="3"/>
    <x v="1"/>
    <x v="17"/>
    <s v="PWEGPL"/>
    <s v="MSEDCL"/>
    <n v="2.5000000000000001E-2"/>
    <n v="509"/>
    <x v="301"/>
    <s v="BD"/>
    <d v="1899-12-30T00:23:00"/>
    <d v="1899-12-30T01:00:00"/>
    <d v="1899-12-30T06:10:00"/>
    <n v="0.61666666666666659"/>
    <n v="5.1666666666666679"/>
    <n v="5.7833333333333341"/>
    <s v="Reboot &amp; Reset"/>
    <s v="Close"/>
    <n v="0.14458333333333337"/>
    <s v="G10"/>
    <n v="1036.1805555555557"/>
    <s v="None"/>
    <m/>
    <n v="4300"/>
    <n v="1036.1805555555557"/>
    <m/>
    <m/>
    <m/>
    <m/>
  </r>
  <r>
    <n v="822"/>
    <x v="88"/>
    <x v="1"/>
    <x v="0"/>
    <x v="3"/>
    <x v="1"/>
    <x v="27"/>
    <s v="PWEGPL"/>
    <s v="MSEDCL"/>
    <n v="2.5000000000000001E-2"/>
    <n v="416"/>
    <x v="334"/>
    <s v="BD"/>
    <d v="1899-12-30T07:18:00"/>
    <d v="1899-12-30T11:27:00"/>
    <d v="1899-12-30T13:58:00"/>
    <n v="4.1500000000000004"/>
    <n v="2.5166666666666684"/>
    <n v="6.6666666666666679"/>
    <s v="Troubleshooting &amp;Reset"/>
    <s v="Close"/>
    <n v="0.16666666666666671"/>
    <s v="G12"/>
    <n v="1298.8888888888891"/>
    <s v="None"/>
    <m/>
    <n v="4676"/>
    <n v="1298.8888888888891"/>
    <m/>
    <m/>
    <m/>
    <m/>
  </r>
  <r>
    <n v="823"/>
    <x v="88"/>
    <x v="1"/>
    <x v="0"/>
    <x v="3"/>
    <x v="1"/>
    <x v="30"/>
    <s v="PWEGPL"/>
    <s v="MSEDCL"/>
    <n v="2.5000000000000001E-2"/>
    <n v="800"/>
    <x v="298"/>
    <s v="BD"/>
    <d v="1899-12-30T16:00:00"/>
    <d v="1899-12-30T16:06:00"/>
    <d v="1899-12-30T18:13:00"/>
    <n v="0.10000000000000231"/>
    <n v="2.1166666666666645"/>
    <n v="2.2166666666666668"/>
    <s v="Troubleshooting &amp;Reset"/>
    <s v="Close"/>
    <n v="5.541666666666667E-2"/>
    <s v="G13"/>
    <n v="190.72569444444446"/>
    <s v="None"/>
    <m/>
    <n v="2065"/>
    <n v="190.72569444444446"/>
    <m/>
    <m/>
    <m/>
    <m/>
  </r>
  <r>
    <n v="824"/>
    <x v="88"/>
    <x v="1"/>
    <x v="0"/>
    <x v="3"/>
    <x v="1"/>
    <x v="37"/>
    <s v="PWEGPL"/>
    <s v="MSEDCL"/>
    <n v="2.5000000000000001E-2"/>
    <n v="700"/>
    <x v="329"/>
    <s v="BD"/>
    <d v="1899-12-30T00:00:00"/>
    <d v="1899-12-30T00:01:00"/>
    <d v="1899-12-30T06:40:00"/>
    <n v="1.6666666666666666E-2"/>
    <n v="6.65"/>
    <n v="6.666666666666667"/>
    <s v="CCU changed"/>
    <s v="Close"/>
    <n v="0.16666666666666669"/>
    <s v="G17"/>
    <n v="1731.1111111111113"/>
    <s v="None"/>
    <m/>
    <n v="6232"/>
    <n v="1731.1111111111113"/>
    <m/>
    <m/>
    <m/>
    <m/>
  </r>
  <r>
    <n v="825"/>
    <x v="88"/>
    <x v="1"/>
    <x v="0"/>
    <x v="3"/>
    <x v="1"/>
    <x v="35"/>
    <s v="PWEGPL"/>
    <s v="MSEDCL"/>
    <n v="2.5000000000000001E-2"/>
    <n v="907"/>
    <x v="292"/>
    <s v="BD"/>
    <d v="1899-12-30T06:30:00"/>
    <d v="1899-12-30T07:20:00"/>
    <d v="1899-12-30T10:30:00"/>
    <n v="0.83333333333333304"/>
    <n v="3.1666666666666674"/>
    <n v="4"/>
    <s v="Troubleshooting &amp;Reset"/>
    <s v="Close"/>
    <n v="0.1"/>
    <s v="G25"/>
    <n v="571.66666666666663"/>
    <s v="None"/>
    <m/>
    <n v="3430"/>
    <n v="571.66666666666663"/>
    <m/>
    <m/>
    <m/>
    <m/>
  </r>
  <r>
    <n v="826"/>
    <x v="88"/>
    <x v="1"/>
    <x v="0"/>
    <x v="3"/>
    <x v="1"/>
    <x v="14"/>
    <s v="PWEGPL"/>
    <s v="MSEDCL"/>
    <n v="2.5000000000000001E-2"/>
    <n v="205"/>
    <x v="312"/>
    <s v="BD"/>
    <d v="1899-12-30T05:47:00"/>
    <d v="1899-12-30T11:29:00"/>
    <d v="1899-12-30T12:31:00"/>
    <n v="5.6999999999999993"/>
    <n v="1.033333333333335"/>
    <n v="6.7333333333333334"/>
    <s v="Oil Topup"/>
    <s v="Close"/>
    <n v="0.16833333333333333"/>
    <s v="G34"/>
    <n v="1168.5138888888889"/>
    <s v="None"/>
    <m/>
    <n v="4165"/>
    <n v="1168.5138888888889"/>
    <m/>
    <m/>
    <m/>
    <m/>
  </r>
  <r>
    <n v="827"/>
    <x v="89"/>
    <x v="1"/>
    <x v="0"/>
    <x v="3"/>
    <x v="1"/>
    <x v="17"/>
    <s v="PWEGPL"/>
    <s v="MSEDCL"/>
    <n v="2.5000000000000001E-2"/>
    <n v="509"/>
    <x v="301"/>
    <s v="BD"/>
    <d v="1899-12-30T08:30:00"/>
    <d v="1899-12-30T10:02:00"/>
    <d v="1899-12-30T10:30:00"/>
    <n v="1.5333333333333332"/>
    <n v="0.46666666666666634"/>
    <n v="1.9999999999999996"/>
    <s v="Reboot &amp; Reset"/>
    <s v="Close"/>
    <n v="4.9999999999999989E-2"/>
    <s v="G06"/>
    <n v="209.99999999999994"/>
    <s v="None"/>
    <m/>
    <n v="2520"/>
    <n v="209.99999999999994"/>
    <m/>
    <m/>
    <m/>
    <m/>
  </r>
  <r>
    <n v="828"/>
    <x v="89"/>
    <x v="1"/>
    <x v="0"/>
    <x v="3"/>
    <x v="1"/>
    <x v="27"/>
    <s v="PWEGPL"/>
    <s v="MSEDCL"/>
    <n v="2.5000000000000001E-2"/>
    <n v="416"/>
    <x v="334"/>
    <s v="BD"/>
    <d v="1899-12-30T01:48:00"/>
    <d v="1899-12-30T02:40:00"/>
    <d v="1899-12-30T05:00:00"/>
    <n v="0.86666666666666659"/>
    <n v="2.3333333333333339"/>
    <n v="3.2000000000000006"/>
    <s v="Troubleshooting &amp;Reset"/>
    <s v="Close"/>
    <n v="8.0000000000000016E-2"/>
    <s v="G12"/>
    <n v="441.73333333333341"/>
    <s v="None"/>
    <m/>
    <n v="3313"/>
    <n v="441.73333333333341"/>
    <m/>
    <m/>
    <m/>
    <m/>
  </r>
  <r>
    <n v="829"/>
    <x v="89"/>
    <x v="1"/>
    <x v="0"/>
    <x v="3"/>
    <x v="1"/>
    <x v="29"/>
    <s v="PWEGPL"/>
    <s v="MSEDCL"/>
    <n v="2.5000000000000001E-2"/>
    <n v="523"/>
    <x v="335"/>
    <s v="BD"/>
    <d v="1899-12-30T20:14:00"/>
    <d v="1899-12-30T22:10:00"/>
    <d v="1899-12-30T22:37:00"/>
    <n v="1.9333333333333345"/>
    <n v="0.4499999999999984"/>
    <n v="2.3833333333333329"/>
    <s v="Reboot &amp; Reset"/>
    <s v="Close"/>
    <n v="5.9583333333333321E-2"/>
    <s v="G10"/>
    <n v="306.65555555555545"/>
    <s v="None"/>
    <m/>
    <n v="3088"/>
    <n v="306.65555555555545"/>
    <m/>
    <m/>
    <m/>
    <m/>
  </r>
  <r>
    <n v="830"/>
    <x v="89"/>
    <x v="1"/>
    <x v="0"/>
    <x v="3"/>
    <x v="1"/>
    <x v="35"/>
    <s v="PWEGPL"/>
    <s v="MSEDCL"/>
    <n v="2.5000000000000001E-2"/>
    <n v="412"/>
    <x v="336"/>
    <s v="BD"/>
    <d v="1899-12-30T14:08:00"/>
    <d v="1899-12-30T15:02:00"/>
    <d v="1899-12-30T23:59:00"/>
    <n v="0.89999999999999947"/>
    <n v="8.9499999999999993"/>
    <n v="9.85"/>
    <s v="material shortage- MPCB &amp; Contactor Generator cooling CKT"/>
    <s v="Open"/>
    <n v="0.24625"/>
    <s v="G25"/>
    <n v="4118.9416666666666"/>
    <s v="material shortage- MPCB &amp; Contactor Generator cooling CKT"/>
    <m/>
    <n v="10036"/>
    <n v="4118.9416666666666"/>
    <m/>
    <m/>
    <m/>
    <m/>
  </r>
  <r>
    <n v="831"/>
    <x v="90"/>
    <x v="1"/>
    <x v="0"/>
    <x v="3"/>
    <x v="1"/>
    <x v="26"/>
    <s v="PWEGPL"/>
    <s v="MSEDCL"/>
    <n v="2.5000000000000001E-2"/>
    <n v="203"/>
    <x v="290"/>
    <s v="BD"/>
    <d v="1899-12-30T21:44:00"/>
    <d v="1899-12-30T22:30:00"/>
    <d v="1899-12-30T23:59:00"/>
    <n v="0.76666666666666661"/>
    <n v="1.4833333333333334"/>
    <n v="2.25"/>
    <s v="Reboot &amp; Reset"/>
    <s v="Close"/>
    <n v="5.6250000000000001E-2"/>
    <s v="G01"/>
    <n v="270.1875"/>
    <s v="None"/>
    <m/>
    <n v="2882"/>
    <n v="270.1875"/>
    <m/>
    <m/>
    <m/>
    <m/>
  </r>
  <r>
    <n v="832"/>
    <x v="90"/>
    <x v="1"/>
    <x v="0"/>
    <x v="3"/>
    <x v="1"/>
    <x v="17"/>
    <s v="PWEGPL"/>
    <s v="MSEDCL"/>
    <n v="2.5000000000000001E-2"/>
    <n v="509"/>
    <x v="301"/>
    <s v="BD"/>
    <d v="1899-12-30T21:08:00"/>
    <d v="1899-12-30T23:59:00"/>
    <d v="1899-12-30T23:59:00"/>
    <n v="2.8500000000000005"/>
    <n v="0"/>
    <n v="2.8500000000000005"/>
    <s v="Reboot &amp; Reset"/>
    <s v="Close"/>
    <n v="7.1250000000000022E-2"/>
    <s v="G06"/>
    <n v="456.59375000000011"/>
    <s v="None"/>
    <m/>
    <n v="3845"/>
    <n v="456.59375000000011"/>
    <m/>
    <m/>
    <m/>
    <m/>
  </r>
  <r>
    <n v="833"/>
    <x v="90"/>
    <x v="1"/>
    <x v="0"/>
    <x v="3"/>
    <x v="1"/>
    <x v="35"/>
    <s v="PWEGPL"/>
    <s v="MSEDCL"/>
    <n v="2.5000000000000001E-2"/>
    <n v="412"/>
    <x v="336"/>
    <s v="BD"/>
    <d v="1899-12-30T00:00:00"/>
    <d v="1899-12-30T00:00:00"/>
    <d v="1899-12-30T23:24:00"/>
    <n v="0"/>
    <n v="23.4"/>
    <n v="23.4"/>
    <s v="MPCB and contactor changed"/>
    <s v="Close"/>
    <n v="0.58499999999999996"/>
    <s v="G22"/>
    <n v="27790.424999999999"/>
    <s v="material shortage- MPCB &amp; Contactor Generator cooling CKT"/>
    <m/>
    <n v="28503"/>
    <n v="27790.424999999999"/>
    <m/>
    <m/>
    <m/>
    <m/>
  </r>
  <r>
    <n v="834"/>
    <x v="90"/>
    <x v="1"/>
    <x v="0"/>
    <x v="3"/>
    <x v="1"/>
    <x v="15"/>
    <s v="PWEGPL"/>
    <s v="MSEDCL"/>
    <n v="2.5000000000000001E-2"/>
    <n v="2118"/>
    <x v="293"/>
    <s v="BD"/>
    <d v="1899-12-30T18:06:00"/>
    <d v="1899-12-30T23:47:00"/>
    <d v="1899-12-30T23:59:00"/>
    <n v="5.6833333333333318"/>
    <n v="0.19999999999999929"/>
    <n v="5.8833333333333311"/>
    <s v="slip ringed cleaned"/>
    <s v="Close"/>
    <n v="0.14708333333333329"/>
    <s v="G35"/>
    <n v="624.85902777777756"/>
    <s v="None"/>
    <m/>
    <n v="2549"/>
    <n v="624.85902777777756"/>
    <m/>
    <m/>
    <m/>
    <m/>
  </r>
  <r>
    <n v="835"/>
    <x v="90"/>
    <x v="1"/>
    <x v="0"/>
    <x v="3"/>
    <x v="1"/>
    <x v="27"/>
    <s v="PWEGPL"/>
    <s v="MSEDCL"/>
    <n v="2.5000000000000001E-2"/>
    <n v="416"/>
    <x v="334"/>
    <s v="BD"/>
    <d v="1899-12-30T00:46:00"/>
    <d v="1899-12-30T04:57:00"/>
    <d v="1899-12-30T11:58:00"/>
    <n v="4.1833333333333336"/>
    <n v="7.0166666666666657"/>
    <n v="11.2"/>
    <s v="PLC software update and WTG inspection"/>
    <s v="Close"/>
    <n v="0.27999999999999997"/>
    <s v="G12"/>
    <n v="5018.5333333333328"/>
    <s v="Serious fault need inspection"/>
    <m/>
    <n v="10754"/>
    <n v="5018.5333333333328"/>
    <m/>
    <m/>
    <m/>
    <m/>
  </r>
  <r>
    <n v="836"/>
    <x v="91"/>
    <x v="1"/>
    <x v="0"/>
    <x v="3"/>
    <x v="1"/>
    <x v="21"/>
    <s v="PWEGPL"/>
    <s v="MSEDCL"/>
    <n v="2.5000000000000001E-2"/>
    <n v="205"/>
    <x v="312"/>
    <s v="BD"/>
    <d v="1899-12-30T02:11:00"/>
    <d v="1899-12-30T04:13:00"/>
    <d v="1899-12-30T04:14:00"/>
    <n v="2.0333333333333337"/>
    <n v="1.6666666666666607E-2"/>
    <n v="2.0500000000000003"/>
    <s v="Reboot &amp; Reset"/>
    <s v="Close"/>
    <n v="5.1250000000000011E-2"/>
    <s v="G06"/>
    <n v="220.20416666666671"/>
    <s v="None"/>
    <m/>
    <n v="2578"/>
    <n v="220.20416666666671"/>
    <m/>
    <m/>
    <m/>
    <m/>
  </r>
  <r>
    <n v="837"/>
    <x v="91"/>
    <x v="1"/>
    <x v="0"/>
    <x v="3"/>
    <x v="1"/>
    <x v="26"/>
    <s v="PWEGPL"/>
    <s v="MSEDCL"/>
    <n v="2.5000000000000001E-2"/>
    <n v="203"/>
    <x v="290"/>
    <s v="BD"/>
    <d v="1899-12-30T09:25:00"/>
    <d v="1899-12-30T11:01:00"/>
    <d v="1899-12-30T15:06:00"/>
    <n v="1.600000000000001"/>
    <n v="4.0833333333333321"/>
    <n v="5.6833333333333336"/>
    <s v="accumulator replaced"/>
    <s v="Close"/>
    <n v="0.14208333333333334"/>
    <s v="G04"/>
    <n v="1559.601388888889"/>
    <s v="None"/>
    <m/>
    <n v="6586"/>
    <n v="1559.601388888889"/>
    <m/>
    <m/>
    <m/>
    <m/>
  </r>
  <r>
    <n v="838"/>
    <x v="91"/>
    <x v="1"/>
    <x v="0"/>
    <x v="3"/>
    <x v="1"/>
    <x v="17"/>
    <s v="PWEGPL"/>
    <s v="MSEDCL"/>
    <n v="2.5000000000000001E-2"/>
    <n v="509"/>
    <x v="301"/>
    <s v="BD"/>
    <d v="1899-12-30T10:15:00"/>
    <d v="1899-12-30T11:15:00"/>
    <d v="1899-12-30T14:15:00"/>
    <n v="1.0000000000000004"/>
    <n v="3"/>
    <n v="4"/>
    <s v="Reboot &amp; Reset"/>
    <s v="Close"/>
    <n v="0.1"/>
    <s v="G06"/>
    <n v="866.66666666666663"/>
    <s v="Material shortage- Generator cooling fan"/>
    <m/>
    <n v="5200"/>
    <n v="866.66666666666663"/>
    <m/>
    <m/>
    <m/>
    <m/>
  </r>
  <r>
    <n v="839"/>
    <x v="91"/>
    <x v="1"/>
    <x v="0"/>
    <x v="3"/>
    <x v="1"/>
    <x v="27"/>
    <s v="PWEGPL"/>
    <s v="MSEDCL"/>
    <n v="2.5000000000000001E-2"/>
    <n v="416"/>
    <x v="334"/>
    <s v="BD"/>
    <d v="1899-12-30T00:32:00"/>
    <d v="1899-12-30T00:58:00"/>
    <d v="1899-12-30T02:03:00"/>
    <n v="0.43333333333333335"/>
    <n v="1.083333333333333"/>
    <n v="1.5166666666666662"/>
    <s v="Reboot &amp; Reset"/>
    <s v="Close"/>
    <n v="3.7916666666666654E-2"/>
    <s v="G12"/>
    <n v="99.278472222222177"/>
    <s v="None"/>
    <m/>
    <n v="1571"/>
    <n v="99.278472222222177"/>
    <m/>
    <m/>
    <m/>
    <m/>
  </r>
  <r>
    <n v="840"/>
    <x v="91"/>
    <x v="1"/>
    <x v="0"/>
    <x v="3"/>
    <x v="1"/>
    <x v="28"/>
    <s v="PWEGPL"/>
    <s v="MSEDCL"/>
    <n v="2.5000000000000001E-2"/>
    <n v="205"/>
    <x v="312"/>
    <s v="BD"/>
    <d v="1899-12-30T07:55:00"/>
    <d v="1899-12-30T10:47:00"/>
    <d v="1899-12-30T11:41:00"/>
    <n v="2.8666666666666671"/>
    <n v="0.89999999999999947"/>
    <n v="3.7666666666666666"/>
    <s v="oil topup"/>
    <s v="Close"/>
    <n v="9.4166666666666676E-2"/>
    <s v="G11"/>
    <n v="694.32222222222219"/>
    <s v="None"/>
    <m/>
    <n v="4424"/>
    <n v="694.32222222222219"/>
    <m/>
    <m/>
    <m/>
    <m/>
  </r>
  <r>
    <n v="841"/>
    <x v="91"/>
    <x v="1"/>
    <x v="0"/>
    <x v="3"/>
    <x v="1"/>
    <x v="35"/>
    <s v="PWEGPL"/>
    <s v="MSEDCL"/>
    <n v="2.5000000000000001E-2"/>
    <n v="907"/>
    <x v="292"/>
    <s v="BD"/>
    <d v="1899-12-30T17:24:00"/>
    <d v="1899-12-30T18:24:00"/>
    <d v="1899-12-30T18:45:00"/>
    <n v="0.99999999999999911"/>
    <n v="0.35000000000000142"/>
    <n v="1.3500000000000005"/>
    <s v="Reboot &amp; Reset"/>
    <s v="Close"/>
    <n v="3.3750000000000016E-2"/>
    <s v="G22"/>
    <n v="98.100000000000051"/>
    <s v="None"/>
    <m/>
    <n v="1744"/>
    <n v="98.100000000000051"/>
    <m/>
    <m/>
    <m/>
    <m/>
  </r>
  <r>
    <n v="842"/>
    <x v="91"/>
    <x v="1"/>
    <x v="0"/>
    <x v="3"/>
    <x v="1"/>
    <x v="15"/>
    <s v="PWEGPL"/>
    <s v="MSEDCL"/>
    <n v="2.5000000000000001E-2"/>
    <n v="2118"/>
    <x v="293"/>
    <s v="BD"/>
    <d v="1899-12-30T00:00:00"/>
    <d v="1899-12-30T00:00:00"/>
    <d v="1899-12-30T00:52:00"/>
    <n v="0"/>
    <n v="0.8666666666666667"/>
    <n v="0.8666666666666667"/>
    <s v="slip ringed cleaned"/>
    <s v="Close"/>
    <n v="2.1666666666666667E-2"/>
    <s v="G36"/>
    <n v="20.872222222222224"/>
    <s v="None"/>
    <m/>
    <n v="578"/>
    <n v="20.872222222222224"/>
    <m/>
    <m/>
    <m/>
    <m/>
  </r>
  <r>
    <n v="843"/>
    <x v="91"/>
    <x v="1"/>
    <x v="0"/>
    <x v="3"/>
    <x v="1"/>
    <x v="21"/>
    <s v="PWEGPL"/>
    <s v="MSEDCL"/>
    <n v="2.5000000000000001E-2"/>
    <n v="102"/>
    <x v="337"/>
    <s v="BD"/>
    <d v="1899-12-30T14:34:00"/>
    <d v="1899-12-30T15:19:00"/>
    <d v="1899-12-30T19:39:00"/>
    <n v="0.75"/>
    <n v="4.3333333333333339"/>
    <n v="5.0833333333333339"/>
    <s v="cw motor replaced"/>
    <s v="Close"/>
    <n v="0.12708333333333335"/>
    <s v="G04"/>
    <n v="1224.2361111111113"/>
    <s v="None"/>
    <m/>
    <n v="5780"/>
    <n v="1224.2361111111113"/>
    <m/>
    <m/>
    <m/>
    <m/>
  </r>
  <r>
    <n v="844"/>
    <x v="91"/>
    <x v="1"/>
    <x v="0"/>
    <x v="3"/>
    <x v="1"/>
    <x v="26"/>
    <s v="PWEGPL"/>
    <s v="MSEDCL"/>
    <n v="2.5000000000000001E-2"/>
    <n v="207"/>
    <x v="309"/>
    <s v="BD"/>
    <d v="1899-12-30T21:55:00"/>
    <d v="1899-12-30T23:03:00"/>
    <d v="1899-12-30T23:13:00"/>
    <n v="1.133333333333332"/>
    <n v="0.16666666666666341"/>
    <n v="1.2999999999999954"/>
    <s v="Reboot &amp; Reset"/>
    <s v="Close"/>
    <n v="3.2499999999999883E-2"/>
    <s v="G06"/>
    <n v="75.833333333333073"/>
    <s v="None"/>
    <m/>
    <n v="1400"/>
    <n v="75.833333333333073"/>
    <m/>
    <m/>
    <m/>
    <m/>
  </r>
  <r>
    <n v="845"/>
    <x v="92"/>
    <x v="1"/>
    <x v="0"/>
    <x v="3"/>
    <x v="1"/>
    <x v="24"/>
    <s v="PWEGPL"/>
    <s v="MSEDCL"/>
    <n v="2.5000000000000001E-2"/>
    <n v="700"/>
    <x v="329"/>
    <s v="BD"/>
    <d v="1899-12-30T13:10:00"/>
    <d v="1899-12-30T14:20:00"/>
    <d v="1899-12-30T23:59:00"/>
    <n v="1.1666666666666679"/>
    <n v="9.65"/>
    <n v="10.816666666666668"/>
    <s v="Lambda power supply failuier"/>
    <s v="Open"/>
    <n v="0.27041666666666669"/>
    <s v="G22"/>
    <n v="4462.3256944444456"/>
    <s v="material shortage- pcb Lambda power supply failuier"/>
    <m/>
    <n v="9901"/>
    <n v="4462.3256944444456"/>
    <m/>
    <m/>
    <m/>
    <m/>
  </r>
  <r>
    <n v="846"/>
    <x v="92"/>
    <x v="1"/>
    <x v="0"/>
    <x v="3"/>
    <x v="1"/>
    <x v="26"/>
    <s v="PWEGPL"/>
    <s v="MSEDCL"/>
    <n v="2.5000000000000001E-2"/>
    <n v="207"/>
    <x v="309"/>
    <s v="BD"/>
    <d v="1899-12-30T08:50:00"/>
    <d v="1899-12-30T12:05:00"/>
    <d v="1899-12-30T12:30:00"/>
    <n v="3.2499999999999991"/>
    <n v="0.41666666666666785"/>
    <n v="3.666666666666667"/>
    <s v="Reboot &amp; Reset"/>
    <s v="Close"/>
    <n v="9.1666666666666674E-2"/>
    <s v="G01"/>
    <n v="565.73611111111109"/>
    <s v="None"/>
    <m/>
    <n v="3703"/>
    <n v="565.73611111111109"/>
    <m/>
    <m/>
    <m/>
    <m/>
  </r>
  <r>
    <n v="847"/>
    <x v="92"/>
    <x v="1"/>
    <x v="0"/>
    <x v="3"/>
    <x v="1"/>
    <x v="17"/>
    <s v="PWEGPL"/>
    <s v="MSEDCL"/>
    <n v="2.5000000000000001E-2"/>
    <n v="200"/>
    <x v="314"/>
    <s v="Manual stop"/>
    <d v="1899-12-30T15:00:00"/>
    <d v="1899-12-30T15:00:00"/>
    <d v="1899-12-30T15:38:00"/>
    <n v="0"/>
    <n v="0.63333333333333375"/>
    <n v="0.63333333333333375"/>
    <s v="PLC replaced"/>
    <s v="Close"/>
    <n v="1.5833333333333345E-2"/>
    <s v="G06"/>
    <n v="18.683333333333344"/>
    <s v="None"/>
    <m/>
    <n v="708"/>
    <n v="18.683333333333344"/>
    <m/>
    <m/>
    <m/>
    <m/>
  </r>
  <r>
    <n v="848"/>
    <x v="92"/>
    <x v="1"/>
    <x v="0"/>
    <x v="3"/>
    <x v="1"/>
    <x v="27"/>
    <s v="PWEGPL"/>
    <s v="MSEDCL"/>
    <n v="2.5000000000000001E-2"/>
    <n v="444"/>
    <x v="338"/>
    <s v="BD"/>
    <d v="1899-12-30T11:33:00"/>
    <d v="1899-12-30T12:10:00"/>
    <d v="1899-12-30T15:06:00"/>
    <n v="0.61666666666666581"/>
    <n v="2.9333333333333336"/>
    <n v="3.5499999999999994"/>
    <s v="Contactor replaced"/>
    <s v="Close"/>
    <n v="8.8749999999999996E-2"/>
    <s v="G10"/>
    <n v="539.15624999999989"/>
    <s v="None"/>
    <m/>
    <n v="3645"/>
    <n v="539.15624999999989"/>
    <m/>
    <m/>
    <m/>
    <m/>
  </r>
  <r>
    <n v="849"/>
    <x v="92"/>
    <x v="1"/>
    <x v="0"/>
    <x v="3"/>
    <x v="1"/>
    <x v="35"/>
    <s v="PWEGPL"/>
    <s v="MSEDCL"/>
    <n v="2.5000000000000001E-2"/>
    <n v="907"/>
    <x v="292"/>
    <s v="BD"/>
    <d v="1899-12-30T15:05:00"/>
    <d v="1899-12-30T16:10:00"/>
    <d v="1899-12-30T16:28:00"/>
    <n v="1.0833333333333348"/>
    <n v="0.29999999999999627"/>
    <n v="1.3833333333333311"/>
    <s v="Reboot &amp; Reset"/>
    <s v="Close"/>
    <n v="3.4583333333333278E-2"/>
    <s v="G22"/>
    <n v="73.950694444444323"/>
    <s v="None"/>
    <m/>
    <n v="1283"/>
    <n v="73.950694444444323"/>
    <m/>
    <m/>
    <m/>
    <m/>
  </r>
  <r>
    <n v="850"/>
    <x v="93"/>
    <x v="1"/>
    <x v="0"/>
    <x v="3"/>
    <x v="1"/>
    <x v="20"/>
    <s v="PWEGPL"/>
    <s v="MSEDCL"/>
    <n v="2.5000000000000001E-2"/>
    <n v="205"/>
    <x v="312"/>
    <s v="BD"/>
    <d v="1899-12-30T12:27:00"/>
    <d v="1899-12-30T13:10:00"/>
    <d v="1899-12-30T15:27:00"/>
    <n v="0.71666666666666679"/>
    <n v="2.2833333333333332"/>
    <n v="3"/>
    <s v="Oil top done"/>
    <s v="Close"/>
    <n v="7.5000000000000011E-2"/>
    <s v="G06"/>
    <n v="297.5"/>
    <s v="None"/>
    <m/>
    <n v="2380"/>
    <n v="297.5"/>
    <m/>
    <m/>
    <m/>
    <m/>
  </r>
  <r>
    <n v="851"/>
    <x v="93"/>
    <x v="1"/>
    <x v="0"/>
    <x v="3"/>
    <x v="1"/>
    <x v="23"/>
    <s v="PWEGPL"/>
    <s v="MSEDCL"/>
    <n v="2.5000000000000001E-2"/>
    <n v="2509"/>
    <x v="201"/>
    <s v="BD"/>
    <d v="1899-12-30T16:12:00"/>
    <d v="1899-12-30T17:20:00"/>
    <d v="1899-12-30T23:59:00"/>
    <n v="1.1333333333333346"/>
    <n v="6.65"/>
    <n v="7.783333333333335"/>
    <s v="generator motor cooling fan"/>
    <s v="Open"/>
    <n v="0.19458333333333339"/>
    <s v="G03"/>
    <n v="1655.5798611111115"/>
    <s v="Material shortage- Generator cooling fan"/>
    <m/>
    <n v="5105"/>
    <n v="1655.5798611111115"/>
    <m/>
    <m/>
    <m/>
    <m/>
  </r>
  <r>
    <n v="852"/>
    <x v="93"/>
    <x v="1"/>
    <x v="0"/>
    <x v="3"/>
    <x v="1"/>
    <x v="24"/>
    <s v="PWEGPL"/>
    <s v="MSEDCL"/>
    <n v="2.5000000000000001E-2"/>
    <n v="700"/>
    <x v="329"/>
    <s v="BD"/>
    <d v="1899-12-30T00:00:00"/>
    <d v="1899-12-30T00:00:00"/>
    <d v="1899-12-30T23:59:00"/>
    <n v="0"/>
    <n v="23.983333333333334"/>
    <n v="23.983333333333334"/>
    <s v="Lambda power supply failuier"/>
    <s v="Open"/>
    <n v="0.59958333333333336"/>
    <s v="G22"/>
    <n v="15751.054166666667"/>
    <s v="material shortage- pcb Lambda power supply failuier"/>
    <m/>
    <n v="15762"/>
    <n v="15751.054166666667"/>
    <m/>
    <m/>
    <m/>
    <m/>
  </r>
  <r>
    <n v="853"/>
    <x v="93"/>
    <x v="1"/>
    <x v="0"/>
    <x v="3"/>
    <x v="1"/>
    <x v="26"/>
    <s v="PWEGPL"/>
    <s v="MSEDCL"/>
    <n v="2.5000000000000001E-2"/>
    <n v="207"/>
    <x v="309"/>
    <s v="BD"/>
    <d v="1899-12-30T10:55:00"/>
    <d v="1899-12-30T11:34:00"/>
    <d v="1899-12-30T13:06:00"/>
    <n v="0.65000000000000036"/>
    <n v="1.5333333333333319"/>
    <n v="2.1833333333333322"/>
    <s v="bulluf sensor cable replaced"/>
    <s v="Close"/>
    <n v="5.458333333333331E-2"/>
    <s v="G01"/>
    <n v="135.27569444444438"/>
    <s v="None"/>
    <m/>
    <n v="1487"/>
    <n v="135.27569444444438"/>
    <m/>
    <m/>
    <m/>
    <m/>
  </r>
  <r>
    <n v="854"/>
    <x v="93"/>
    <x v="1"/>
    <x v="0"/>
    <x v="3"/>
    <x v="1"/>
    <x v="13"/>
    <s v="PWEGPL"/>
    <s v="MSEDCL"/>
    <n v="2.5000000000000001E-2"/>
    <n v="800"/>
    <x v="298"/>
    <s v="BD"/>
    <d v="1899-12-30T16:28:00"/>
    <d v="1899-12-30T17:30:00"/>
    <d v="1899-12-30T23:59:00"/>
    <n v="1.033333333333335"/>
    <n v="6.4833333333333343"/>
    <n v="7.5166666666666693"/>
    <s v="cable replaced solenoid valve"/>
    <s v="Close"/>
    <n v="0.18791666666666673"/>
    <s v="G34"/>
    <n v="1493.9375000000005"/>
    <s v="None"/>
    <m/>
    <n v="4770"/>
    <n v="1493.9375000000005"/>
    <m/>
    <m/>
    <m/>
    <m/>
  </r>
  <r>
    <n v="855"/>
    <x v="93"/>
    <x v="1"/>
    <x v="0"/>
    <x v="3"/>
    <x v="1"/>
    <x v="4"/>
    <s v="PWEGPL"/>
    <s v="MSEDCL"/>
    <n v="2.5000000000000001E-2"/>
    <n v="5203"/>
    <x v="294"/>
    <s v="BD"/>
    <d v="1899-12-30T18:15:00"/>
    <d v="1899-12-30T22:15:00"/>
    <d v="1899-12-30T23:55:00"/>
    <n v="4.0000000000000018"/>
    <n v="1.6666666666666661"/>
    <n v="5.6666666666666679"/>
    <s v="mpcb reset"/>
    <s v="Close"/>
    <n v="0.14166666666666669"/>
    <s v="G39"/>
    <n v="643.63888888888903"/>
    <s v="None"/>
    <m/>
    <n v="2726"/>
    <n v="643.63888888888903"/>
    <m/>
    <m/>
    <m/>
    <m/>
  </r>
  <r>
    <n v="856"/>
    <x v="94"/>
    <x v="1"/>
    <x v="0"/>
    <x v="3"/>
    <x v="1"/>
    <x v="20"/>
    <s v="PWEGPL"/>
    <s v="MSEDCL"/>
    <n v="2.5000000000000001E-2"/>
    <n v="205"/>
    <x v="312"/>
    <s v="BD"/>
    <d v="1899-12-30T15:03:00"/>
    <d v="1899-12-30T15:30:00"/>
    <d v="1899-12-30T15:49:00"/>
    <n v="0.45000000000000107"/>
    <n v="0.31666666666666554"/>
    <n v="0.76666666666666661"/>
    <s v="oil top up"/>
    <s v="Close"/>
    <n v="1.9166666666666665E-2"/>
    <s v="G06"/>
    <n v="20.348611111111111"/>
    <s v="None"/>
    <m/>
    <n v="637"/>
    <n v="20.348611111111111"/>
    <m/>
    <m/>
    <m/>
    <m/>
  </r>
  <r>
    <n v="857"/>
    <x v="94"/>
    <x v="1"/>
    <x v="0"/>
    <x v="3"/>
    <x v="1"/>
    <x v="23"/>
    <s v="PWEGPL"/>
    <s v="MSEDCL"/>
    <n v="2.5000000000000001E-2"/>
    <n v="2509"/>
    <x v="201"/>
    <s v="BD"/>
    <d v="1899-12-30T00:00:00"/>
    <d v="1899-12-30T00:00:00"/>
    <d v="1899-12-30T15:34:00"/>
    <n v="0"/>
    <n v="15.566666666666666"/>
    <n v="15.566666666666666"/>
    <s v="generator cooling motor replaced"/>
    <s v="Close"/>
    <n v="0.38916666666666666"/>
    <s v="G03"/>
    <n v="5875.7680555555553"/>
    <s v="None"/>
    <m/>
    <n v="9059"/>
    <n v="5875.7680555555553"/>
    <m/>
    <m/>
    <m/>
    <m/>
  </r>
  <r>
    <n v="858"/>
    <x v="94"/>
    <x v="1"/>
    <x v="0"/>
    <x v="3"/>
    <x v="1"/>
    <x v="24"/>
    <s v="PWEGPL"/>
    <s v="MSEDCL"/>
    <n v="2.5000000000000001E-2"/>
    <n v="700"/>
    <x v="329"/>
    <s v="BD"/>
    <d v="1899-12-30T00:00:00"/>
    <d v="1899-12-30T00:00:00"/>
    <d v="1899-12-30T12:25:00"/>
    <n v="0"/>
    <n v="12.416666666666664"/>
    <n v="12.416666666666664"/>
    <s v="Lambda power supply failuier"/>
    <s v="Close"/>
    <n v="0.31041666666666662"/>
    <s v="G22"/>
    <n v="5116.1840277777774"/>
    <s v="None"/>
    <m/>
    <n v="9889"/>
    <n v="5116.1840277777774"/>
    <m/>
    <m/>
    <m/>
    <m/>
  </r>
  <r>
    <n v="859"/>
    <x v="94"/>
    <x v="1"/>
    <x v="0"/>
    <x v="3"/>
    <x v="1"/>
    <x v="1"/>
    <s v="PWEGPL"/>
    <s v="MSEDCL"/>
    <n v="2.5000000000000001E-2"/>
    <n v="2102"/>
    <x v="320"/>
    <s v="BD"/>
    <d v="1899-12-30T14:55:00"/>
    <d v="1899-12-30T21:42:00"/>
    <d v="1899-12-30T22:50:00"/>
    <n v="6.7833333333333332"/>
    <n v="1.133333333333332"/>
    <n v="7.9166666666666652"/>
    <s v="AI module replaced"/>
    <s v="Close"/>
    <n v="0.19791666666666663"/>
    <s v="G22"/>
    <n v="2078.1249999999995"/>
    <s v="None"/>
    <m/>
    <n v="6300"/>
    <n v="2078.1249999999995"/>
    <m/>
    <m/>
    <m/>
    <m/>
  </r>
  <r>
    <n v="860"/>
    <x v="94"/>
    <x v="1"/>
    <x v="0"/>
    <x v="3"/>
    <x v="1"/>
    <x v="13"/>
    <s v="PWEGPL"/>
    <s v="MSEDCL"/>
    <n v="2.5000000000000001E-2"/>
    <n v="800"/>
    <x v="298"/>
    <s v="BD"/>
    <d v="1899-12-30T00:00:00"/>
    <d v="1899-12-30T00:00:00"/>
    <d v="1899-12-30T01:54:00"/>
    <n v="0"/>
    <n v="1.9"/>
    <n v="1.9"/>
    <s v="solenoid cacle repaired."/>
    <s v="Close"/>
    <n v="4.7500000000000001E-2"/>
    <s v="G34"/>
    <n v="114.2375"/>
    <s v="None"/>
    <m/>
    <n v="1443"/>
    <n v="114.2375"/>
    <m/>
    <m/>
    <m/>
    <m/>
  </r>
  <r>
    <n v="861"/>
    <x v="94"/>
    <x v="1"/>
    <x v="0"/>
    <x v="3"/>
    <x v="1"/>
    <x v="20"/>
    <s v="PWEGPL"/>
    <s v="MSEDCL"/>
    <n v="2.5000000000000001E-2"/>
    <n v="205"/>
    <x v="312"/>
    <s v="BD"/>
    <d v="1899-12-30T19:20:00"/>
    <d v="1899-12-30T23:30:00"/>
    <d v="1899-12-30T23:59:00"/>
    <n v="4.1666666666666679"/>
    <n v="0.48333333333333428"/>
    <n v="4.6500000000000021"/>
    <s v="Pitch cylender oil seal damaged"/>
    <s v="Open"/>
    <n v="0.11625000000000006"/>
    <s v="G06"/>
    <n v="774.22500000000036"/>
    <s v="Major activity"/>
    <m/>
    <n v="3996"/>
    <n v="774.22500000000036"/>
    <m/>
    <m/>
    <m/>
    <m/>
  </r>
  <r>
    <n v="862"/>
    <x v="95"/>
    <x v="1"/>
    <x v="0"/>
    <x v="3"/>
    <x v="1"/>
    <x v="20"/>
    <s v="PWEGPL"/>
    <s v="MSEDCL"/>
    <n v="2.5000000000000001E-2"/>
    <n v="205"/>
    <x v="312"/>
    <s v="BD"/>
    <d v="1899-12-30T00:00:00"/>
    <d v="1899-12-30T02:48:00"/>
    <d v="1899-12-30T18:05:00"/>
    <n v="2.8"/>
    <n v="15.283333333333331"/>
    <n v="18.083333333333332"/>
    <s v="Pitch cylender oil seal replaced"/>
    <s v="Close"/>
    <n v="0.45208333333333334"/>
    <s v="G07"/>
    <n v="13726.003472222221"/>
    <s v="Major activity"/>
    <m/>
    <n v="18217"/>
    <n v="13726.003472222221"/>
    <m/>
    <m/>
    <m/>
    <m/>
  </r>
  <r>
    <n v="863"/>
    <x v="95"/>
    <x v="1"/>
    <x v="0"/>
    <x v="3"/>
    <x v="1"/>
    <x v="17"/>
    <s v="PWEGPL"/>
    <s v="MSEDCL"/>
    <n v="2.5000000000000001E-2"/>
    <n v="222"/>
    <x v="323"/>
    <s v="BD"/>
    <d v="1899-12-30T09:45:00"/>
    <d v="1899-12-30T11:27:00"/>
    <d v="1899-12-30T13:21:00"/>
    <n v="1.6999999999999993"/>
    <n v="1.9000000000000012"/>
    <n v="3.6000000000000005"/>
    <s v="PRV 110 valve changed"/>
    <s v="Close"/>
    <n v="9.0000000000000024E-2"/>
    <s v="G10"/>
    <n v="544.95000000000005"/>
    <s v="None"/>
    <m/>
    <n v="3633"/>
    <n v="544.95000000000005"/>
    <m/>
    <m/>
    <m/>
    <m/>
  </r>
  <r>
    <n v="864"/>
    <x v="95"/>
    <x v="1"/>
    <x v="0"/>
    <x v="3"/>
    <x v="1"/>
    <x v="35"/>
    <s v="PWEGPL"/>
    <s v="MSEDCL"/>
    <n v="2.5000000000000001E-2"/>
    <n v="907"/>
    <x v="292"/>
    <s v="BD"/>
    <d v="1899-12-30T05:02:00"/>
    <d v="1899-12-30T05:26:00"/>
    <d v="1899-12-30T08:26:00"/>
    <n v="0.39999999999999991"/>
    <n v="3.0000000000000009"/>
    <n v="3.4000000000000004"/>
    <s v="Reboot Reset"/>
    <s v="Close"/>
    <n v="8.500000000000002E-2"/>
    <s v="G25"/>
    <n v="423.30000000000007"/>
    <s v="None"/>
    <m/>
    <n v="2988"/>
    <n v="423.30000000000007"/>
    <m/>
    <m/>
    <m/>
    <m/>
  </r>
  <r>
    <n v="865"/>
    <x v="95"/>
    <x v="1"/>
    <x v="0"/>
    <x v="3"/>
    <x v="1"/>
    <x v="6"/>
    <s v="PWEGPL"/>
    <s v="MSEDCL"/>
    <n v="2.5000000000000001E-2"/>
    <n v="800"/>
    <x v="298"/>
    <s v="BD"/>
    <d v="1899-12-30T15:24:00"/>
    <d v="1899-12-30T16:06:00"/>
    <d v="1899-12-30T17:21:00"/>
    <n v="0.70000000000000018"/>
    <n v="1.2500000000000009"/>
    <n v="1.9500000000000011"/>
    <s v="Short cable repaired"/>
    <s v="Close"/>
    <n v="4.8750000000000029E-2"/>
    <s v="G40"/>
    <n v="117.32500000000006"/>
    <s v="None"/>
    <m/>
    <n v="1444"/>
    <n v="117.32500000000006"/>
    <m/>
    <m/>
    <m/>
    <m/>
  </r>
  <r>
    <n v="866"/>
    <x v="95"/>
    <x v="1"/>
    <x v="0"/>
    <x v="3"/>
    <x v="1"/>
    <x v="6"/>
    <s v="PWEGPL"/>
    <s v="MSEDCL"/>
    <n v="2.5000000000000001E-2"/>
    <n v="800"/>
    <x v="298"/>
    <s v="BD"/>
    <d v="1899-12-30T18:32:00"/>
    <d v="1899-12-30T18:32:00"/>
    <d v="1899-12-30T23:51:00"/>
    <n v="0"/>
    <n v="5.3166666666666664"/>
    <n v="5.3166666666666664"/>
    <s v="Propotional valve changed"/>
    <s v="Close"/>
    <n v="0.13291666666666666"/>
    <s v="G40"/>
    <n v="872.59791666666661"/>
    <s v="None"/>
    <m/>
    <n v="3939"/>
    <n v="872.59791666666661"/>
    <m/>
    <m/>
    <m/>
    <m/>
  </r>
  <r>
    <n v="867"/>
    <x v="96"/>
    <x v="1"/>
    <x v="0"/>
    <x v="3"/>
    <x v="1"/>
    <x v="17"/>
    <s v="PWEGPL"/>
    <s v="MSEDCL"/>
    <n v="2.5000000000000001E-2"/>
    <n v="5217"/>
    <x v="339"/>
    <s v="BD"/>
    <d v="1899-12-30T01:40:00"/>
    <d v="1899-12-30T02:30:00"/>
    <d v="1899-12-30T03:09:00"/>
    <n v="0.8333333333333337"/>
    <n v="0.65"/>
    <n v="1.4833333333333338"/>
    <s v="Trouble shooting and reset"/>
    <s v="Close"/>
    <n v="3.708333333333335E-2"/>
    <s v="G06"/>
    <n v="79.605555555555583"/>
    <s v="None"/>
    <m/>
    <n v="1288"/>
    <n v="79.605555555555583"/>
    <m/>
    <m/>
    <m/>
    <m/>
  </r>
  <r>
    <n v="868"/>
    <x v="96"/>
    <x v="1"/>
    <x v="0"/>
    <x v="3"/>
    <x v="1"/>
    <x v="2"/>
    <s v="PWEGPL"/>
    <s v="MSEDCL"/>
    <n v="2.5000000000000001E-2"/>
    <n v="205"/>
    <x v="312"/>
    <s v="BD"/>
    <d v="1899-12-30T22:50:00"/>
    <d v="1899-12-30T23:30:00"/>
    <d v="1899-12-30T23:59:00"/>
    <n v="0.66666666666666696"/>
    <n v="0.48333333333333428"/>
    <n v="1.1500000000000012"/>
    <s v="oil top up"/>
    <s v="Close"/>
    <n v="2.8750000000000032E-2"/>
    <s v="G32"/>
    <n v="30.187500000000032"/>
    <s v="None"/>
    <m/>
    <n v="630"/>
    <n v="30.187500000000032"/>
    <m/>
    <m/>
    <m/>
    <m/>
  </r>
  <r>
    <n v="869"/>
    <x v="96"/>
    <x v="1"/>
    <x v="0"/>
    <x v="3"/>
    <x v="1"/>
    <x v="6"/>
    <s v="PWEGPL"/>
    <s v="MSEDCL"/>
    <n v="2.5000000000000001E-2"/>
    <n v="800"/>
    <x v="298"/>
    <s v="BD"/>
    <d v="1899-12-30T12:40:00"/>
    <d v="1899-12-30T13:45:00"/>
    <d v="1899-12-30T17:53:00"/>
    <n v="1.0833333333333321"/>
    <n v="4.1333333333333346"/>
    <n v="5.2166666666666668"/>
    <s v="AI module replaced"/>
    <s v="Close"/>
    <n v="0.13041666666666668"/>
    <s v="G40"/>
    <n v="665.99444444444453"/>
    <s v="None"/>
    <m/>
    <n v="3064"/>
    <n v="665.99444444444453"/>
    <m/>
    <m/>
    <m/>
    <m/>
  </r>
  <r>
    <n v="870"/>
    <x v="97"/>
    <x v="1"/>
    <x v="0"/>
    <x v="3"/>
    <x v="1"/>
    <x v="24"/>
    <s v="PWEGPL"/>
    <s v="MSEDCL"/>
    <n v="2.5000000000000001E-2"/>
    <n v="205"/>
    <x v="312"/>
    <s v="BD"/>
    <d v="1899-12-30T08:51:00"/>
    <d v="1899-12-30T10:14:00"/>
    <d v="1899-12-30T10:37:00"/>
    <n v="1.3833333333333337"/>
    <n v="0.38333333333333464"/>
    <n v="1.7666666666666684"/>
    <s v="oil topup"/>
    <s v="Close"/>
    <n v="4.4166666666666715E-2"/>
    <s v="G22"/>
    <n v="30.106944444444476"/>
    <s v="None"/>
    <m/>
    <n v="409"/>
    <n v="30.106944444444476"/>
    <m/>
    <m/>
    <m/>
    <m/>
  </r>
  <r>
    <n v="871"/>
    <x v="97"/>
    <x v="1"/>
    <x v="0"/>
    <x v="3"/>
    <x v="1"/>
    <x v="18"/>
    <s v="PWEGPL"/>
    <s v="MSEDCL"/>
    <n v="2.5000000000000001E-2"/>
    <n v="205"/>
    <x v="312"/>
    <s v="BD"/>
    <d v="1899-12-30T00:26:00"/>
    <d v="1899-12-30T01:04:00"/>
    <d v="1899-12-30T01:30:00"/>
    <n v="0.6333333333333333"/>
    <n v="0.43333333333333329"/>
    <n v="1.0666666666666664"/>
    <s v="oil top up"/>
    <s v="Close"/>
    <n v="2.6666666666666661E-2"/>
    <s v="G20"/>
    <n v="11.955555555555554"/>
    <s v="None"/>
    <m/>
    <n v="269"/>
    <n v="11.955555555555554"/>
    <m/>
    <m/>
    <m/>
    <m/>
  </r>
  <r>
    <n v="872"/>
    <x v="97"/>
    <x v="1"/>
    <x v="0"/>
    <x v="3"/>
    <x v="1"/>
    <x v="33"/>
    <s v="PWEGPL"/>
    <s v="MSEDCL"/>
    <n v="2.5000000000000001E-2"/>
    <n v="110"/>
    <x v="287"/>
    <s v="BD"/>
    <d v="1899-12-30T13:49:00"/>
    <d v="1899-12-30T14:22:00"/>
    <d v="1899-12-30T15:01:00"/>
    <n v="0.55000000000000071"/>
    <n v="0.65000000000000036"/>
    <n v="1.2000000000000011"/>
    <s v="untwist cable"/>
    <s v="Close"/>
    <n v="3.0000000000000027E-2"/>
    <s v="G20"/>
    <n v="15.100000000000014"/>
    <s v="None"/>
    <m/>
    <n v="302"/>
    <n v="15.100000000000014"/>
    <m/>
    <m/>
    <m/>
    <m/>
  </r>
  <r>
    <n v="873"/>
    <x v="97"/>
    <x v="1"/>
    <x v="0"/>
    <x v="3"/>
    <x v="1"/>
    <x v="3"/>
    <s v="PWEGPL"/>
    <s v="MSEDCL"/>
    <n v="2.5000000000000001E-2"/>
    <n v="110"/>
    <x v="287"/>
    <s v="BD"/>
    <d v="1899-12-30T21:24:00"/>
    <d v="1899-12-30T21:57:00"/>
    <d v="1899-12-30T22:40:00"/>
    <n v="0.55000000000000071"/>
    <n v="0.71666666666666945"/>
    <n v="1.2666666666666702"/>
    <s v="untwist cable"/>
    <s v="Close"/>
    <n v="3.1666666666666753E-2"/>
    <s v="G26"/>
    <n v="10.291666666666694"/>
    <s v="None"/>
    <m/>
    <n v="195"/>
    <n v="10.291666666666694"/>
    <m/>
    <m/>
    <m/>
    <m/>
  </r>
  <r>
    <n v="874"/>
    <x v="97"/>
    <x v="1"/>
    <x v="0"/>
    <x v="3"/>
    <x v="1"/>
    <x v="4"/>
    <s v="PWEGPL"/>
    <s v="MSEDCL"/>
    <n v="2.5000000000000001E-2"/>
    <n v="205"/>
    <x v="312"/>
    <s v="BD"/>
    <d v="1899-12-30T13:40:00"/>
    <d v="1899-12-30T13:40:00"/>
    <d v="1899-12-30T18:39:00"/>
    <n v="0"/>
    <n v="4.9833333333333316"/>
    <n v="4.9833333333333316"/>
    <s v="Oil hose pipe replaced"/>
    <s v="Close"/>
    <n v="0.1245833333333333"/>
    <s v="G38"/>
    <n v="164.03472222222214"/>
    <s v="None"/>
    <m/>
    <n v="790"/>
    <n v="164.03472222222214"/>
    <m/>
    <m/>
    <m/>
    <m/>
  </r>
  <r>
    <n v="875"/>
    <x v="97"/>
    <x v="1"/>
    <x v="0"/>
    <x v="3"/>
    <x v="1"/>
    <x v="6"/>
    <s v="PWEGPL"/>
    <s v="MSEDCL"/>
    <n v="2.5000000000000001E-2"/>
    <n v="800"/>
    <x v="298"/>
    <s v="BD"/>
    <d v="1899-12-30T16:50:00"/>
    <d v="1899-12-30T17:53:00"/>
    <d v="1899-12-30T18:51:00"/>
    <n v="1.0500000000000016"/>
    <n v="0.96666666666666856"/>
    <n v="2.0166666666666702"/>
    <s v="reboot reset"/>
    <s v="Close"/>
    <n v="5.0416666666666755E-2"/>
    <s v="G40"/>
    <n v="32.014583333333391"/>
    <s v="None"/>
    <m/>
    <n v="381"/>
    <n v="32.014583333333391"/>
    <m/>
    <m/>
    <m/>
    <m/>
  </r>
  <r>
    <n v="876"/>
    <x v="98"/>
    <x v="1"/>
    <x v="0"/>
    <x v="3"/>
    <x v="1"/>
    <x v="17"/>
    <s v="PWEGPL"/>
    <s v="MSEDCL"/>
    <n v="2.5000000000000001E-2"/>
    <n v="5217"/>
    <x v="339"/>
    <s v="BD"/>
    <d v="1899-12-30T03:14:00"/>
    <d v="1899-12-30T03:54:00"/>
    <d v="1899-12-30T04:06:00"/>
    <n v="0.66666666666666696"/>
    <n v="0.19999999999999929"/>
    <n v="0.86666666666666625"/>
    <s v="reboot reset"/>
    <s v="Close"/>
    <n v="2.1666666666666657E-2"/>
    <s v="G06"/>
    <n v="9.3527777777777725"/>
    <s v="None"/>
    <m/>
    <n v="259"/>
    <n v="9.3527777777777725"/>
    <m/>
    <m/>
    <m/>
    <m/>
  </r>
  <r>
    <n v="877"/>
    <x v="98"/>
    <x v="1"/>
    <x v="0"/>
    <x v="3"/>
    <x v="1"/>
    <x v="35"/>
    <s v="PWEGPL"/>
    <s v="MSEDCL"/>
    <n v="2.5000000000000001E-2"/>
    <n v="907"/>
    <x v="292"/>
    <s v="BD"/>
    <d v="1899-12-30T22:23:00"/>
    <d v="1899-12-30T23:21:00"/>
    <d v="1899-12-30T23:59:00"/>
    <n v="0.96666666666666856"/>
    <n v="0.63333333333333108"/>
    <n v="1.5999999999999996"/>
    <s v="reboot reset"/>
    <s v="Close"/>
    <n v="3.9999999999999994E-2"/>
    <s v="G25"/>
    <n v="25.599999999999994"/>
    <s v="None"/>
    <m/>
    <n v="384"/>
    <n v="25.599999999999994"/>
    <m/>
    <m/>
    <m/>
    <m/>
  </r>
  <r>
    <n v="878"/>
    <x v="98"/>
    <x v="1"/>
    <x v="0"/>
    <x v="3"/>
    <x v="1"/>
    <x v="15"/>
    <s v="PWEGPL"/>
    <s v="MSEDCL"/>
    <n v="2.5000000000000001E-2"/>
    <n v="2118"/>
    <x v="293"/>
    <s v="BD"/>
    <d v="1899-12-30T11:25:00"/>
    <d v="1899-12-30T12:47:00"/>
    <d v="1899-12-30T17:30:00"/>
    <n v="1.3666666666666671"/>
    <n v="4.7166666666666659"/>
    <n v="6.083333333333333"/>
    <s v="reboot reset"/>
    <s v="Close"/>
    <n v="0.15208333333333335"/>
    <s v="G36"/>
    <n v="396.17708333333331"/>
    <s v="Man power shortage- Team busy with G39- JACC team not available due to payment issue."/>
    <m/>
    <n v="1563"/>
    <n v="396.17708333333331"/>
    <m/>
    <m/>
    <m/>
    <m/>
  </r>
  <r>
    <n v="879"/>
    <x v="98"/>
    <x v="1"/>
    <x v="0"/>
    <x v="3"/>
    <x v="1"/>
    <x v="6"/>
    <s v="PWEGPL"/>
    <s v="MSEDCL"/>
    <n v="2.5000000000000001E-2"/>
    <n v="800"/>
    <x v="298"/>
    <s v="BD"/>
    <d v="1899-12-30T18:34:00"/>
    <d v="1899-12-30T20:02:00"/>
    <d v="1899-12-30T22:51:00"/>
    <n v="1.4666666666666668"/>
    <n v="2.8166666666666673"/>
    <n v="4.2833333333333341"/>
    <s v="reboot reset"/>
    <s v="Close"/>
    <n v="0.10708333333333336"/>
    <s v="G38"/>
    <n v="176.68750000000003"/>
    <s v="None"/>
    <m/>
    <n v="990"/>
    <n v="176.68750000000003"/>
    <m/>
    <m/>
    <m/>
    <m/>
  </r>
  <r>
    <n v="880"/>
    <x v="98"/>
    <x v="1"/>
    <x v="0"/>
    <x v="3"/>
    <x v="1"/>
    <x v="7"/>
    <s v="PWEGPL"/>
    <s v="MSEDCL"/>
    <n v="2.5000000000000001E-2"/>
    <n v="110"/>
    <x v="287"/>
    <s v="BD"/>
    <d v="1899-12-30T23:30:00"/>
    <d v="1899-12-30T23:59:00"/>
    <d v="1899-12-30T23:59:00"/>
    <n v="0.48333333333333428"/>
    <n v="0"/>
    <n v="0.48333333333333428"/>
    <s v="untwist cable"/>
    <s v="Close"/>
    <n v="1.2083333333333357E-2"/>
    <s v="G26"/>
    <n v="2.3159722222222268"/>
    <s v="None"/>
    <m/>
    <n v="115"/>
    <n v="2.3159722222222268"/>
    <m/>
    <m/>
    <m/>
    <m/>
  </r>
  <r>
    <n v="881"/>
    <x v="98"/>
    <x v="1"/>
    <x v="0"/>
    <x v="3"/>
    <x v="1"/>
    <x v="6"/>
    <s v="PWEGPL"/>
    <s v="MSEDCL"/>
    <n v="2.5000000000000001E-2"/>
    <n v="200"/>
    <x v="314"/>
    <s v="Manual stop"/>
    <d v="1899-12-30T12:25:00"/>
    <d v="1899-12-30T12:25:00"/>
    <d v="1899-12-30T17:46:00"/>
    <n v="0"/>
    <n v="5.35"/>
    <n v="5.35"/>
    <s v="accumulator replaced"/>
    <s v="Close"/>
    <n v="0.13375000000000001"/>
    <s v="G38"/>
    <n v="275.74791666666664"/>
    <s v="Major activity"/>
    <m/>
    <n v="1237"/>
    <n v="275.74791666666664"/>
    <m/>
    <m/>
    <m/>
    <m/>
  </r>
  <r>
    <n v="882"/>
    <x v="99"/>
    <x v="1"/>
    <x v="0"/>
    <x v="3"/>
    <x v="1"/>
    <x v="28"/>
    <s v="PWEGPL"/>
    <s v="MSEDCL"/>
    <n v="2.5000000000000001E-2"/>
    <n v="110"/>
    <x v="287"/>
    <s v="BD"/>
    <d v="1899-12-30T00:00:00"/>
    <d v="1899-12-30T02:36:00"/>
    <d v="1899-12-30T03:26:00"/>
    <n v="2.6"/>
    <n v="0.8333333333333337"/>
    <n v="3.4333333333333336"/>
    <s v="untwist cable"/>
    <s v="Close"/>
    <n v="8.5833333333333345E-2"/>
    <s v="G11"/>
    <n v="372.37361111111113"/>
    <s v="None"/>
    <m/>
    <n v="2603"/>
    <n v="372.37361111111113"/>
    <m/>
    <m/>
    <m/>
    <m/>
  </r>
  <r>
    <n v="883"/>
    <x v="99"/>
    <x v="1"/>
    <x v="0"/>
    <x v="3"/>
    <x v="1"/>
    <x v="3"/>
    <s v="PWEGPL"/>
    <s v="MSEDCL"/>
    <n v="2.5000000000000001E-2"/>
    <n v="205"/>
    <x v="312"/>
    <s v="BD"/>
    <d v="1899-12-30T15:03:00"/>
    <d v="1899-12-30T16:39:00"/>
    <d v="1899-12-30T17:01:00"/>
    <n v="1.5999999999999996"/>
    <n v="0.36666666666666536"/>
    <n v="1.966666666666665"/>
    <s v="oil topup hose replaced"/>
    <s v="Close"/>
    <n v="4.9166666666666629E-2"/>
    <s v="G26"/>
    <n v="75.798611111111043"/>
    <s v="None"/>
    <m/>
    <n v="925"/>
    <n v="75.798611111111043"/>
    <m/>
    <m/>
    <m/>
    <m/>
  </r>
  <r>
    <n v="884"/>
    <x v="99"/>
    <x v="1"/>
    <x v="0"/>
    <x v="3"/>
    <x v="1"/>
    <x v="15"/>
    <s v="PWEGPL"/>
    <s v="MSEDCL"/>
    <n v="2.5000000000000001E-2"/>
    <n v="700"/>
    <x v="329"/>
    <s v="BD"/>
    <d v="1899-12-30T03:12:00"/>
    <d v="1899-12-30T04:26:00"/>
    <d v="1899-12-30T04:35:00"/>
    <n v="1.2333333333333336"/>
    <n v="0.14999999999999947"/>
    <n v="1.3833333333333331"/>
    <s v="reboot reset"/>
    <s v="Close"/>
    <n v="3.4583333333333327E-2"/>
    <s v="G34"/>
    <n v="42.076388888888886"/>
    <s v="None"/>
    <m/>
    <n v="730"/>
    <n v="42.076388888888886"/>
    <m/>
    <m/>
    <m/>
    <m/>
  </r>
  <r>
    <n v="885"/>
    <x v="99"/>
    <x v="1"/>
    <x v="0"/>
    <x v="3"/>
    <x v="1"/>
    <x v="5"/>
    <s v="PWEGPL"/>
    <s v="MSEDCL"/>
    <n v="2.5000000000000001E-2"/>
    <n v="205"/>
    <x v="312"/>
    <s v="BD"/>
    <d v="1899-12-30T11:22:00"/>
    <d v="1899-12-30T12:19:00"/>
    <d v="1899-12-30T13:21:00"/>
    <n v="0.94999999999999796"/>
    <n v="1.033333333333335"/>
    <n v="1.9833333333333329"/>
    <s v="oil top up"/>
    <s v="Close"/>
    <n v="4.9583333333333326E-2"/>
    <s v="G37"/>
    <n v="77.184722222222206"/>
    <s v="None"/>
    <m/>
    <n v="934"/>
    <n v="77.184722222222206"/>
    <m/>
    <m/>
    <m/>
    <m/>
  </r>
  <r>
    <n v="886"/>
    <x v="99"/>
    <x v="1"/>
    <x v="0"/>
    <x v="3"/>
    <x v="1"/>
    <x v="6"/>
    <s v="PWEGPL"/>
    <s v="MSEDCL"/>
    <n v="2.5000000000000001E-2"/>
    <n v="200"/>
    <x v="314"/>
    <s v="Manual stop"/>
    <d v="1899-12-30T10:51:00"/>
    <d v="1899-12-30T10:51:00"/>
    <d v="1899-12-30T18:49:00"/>
    <n v="0"/>
    <n v="7.9666666666666668"/>
    <n v="7.9666666666666668"/>
    <s v="accumulator replaced"/>
    <s v="Close"/>
    <n v="0.19916666666666669"/>
    <s v="G37"/>
    <n v="1248.1111111111111"/>
    <s v="Major activity"/>
    <m/>
    <n v="3760"/>
    <n v="1248.1111111111111"/>
    <m/>
    <m/>
    <m/>
    <m/>
  </r>
  <r>
    <n v="887"/>
    <x v="99"/>
    <x v="1"/>
    <x v="0"/>
    <x v="3"/>
    <x v="1"/>
    <x v="7"/>
    <s v="PWEGPL"/>
    <s v="MSEDCL"/>
    <n v="2.5000000000000001E-2"/>
    <n v="5216"/>
    <x v="306"/>
    <s v="BD"/>
    <d v="1899-12-30T00:00:00"/>
    <d v="1899-12-30T01:10:00"/>
    <d v="1899-12-30T01:37:00"/>
    <n v="1.1666666666666667"/>
    <n v="0.4499999999999999"/>
    <n v="1.6166666666666667"/>
    <s v="untwist cable"/>
    <s v="Close"/>
    <n v="4.041666666666667E-2"/>
    <s v="G26"/>
    <n v="51.19444444444445"/>
    <s v="None"/>
    <m/>
    <n v="760"/>
    <n v="51.19444444444445"/>
    <m/>
    <m/>
    <m/>
    <m/>
  </r>
  <r>
    <n v="888"/>
    <x v="99"/>
    <x v="1"/>
    <x v="0"/>
    <x v="3"/>
    <x v="1"/>
    <x v="15"/>
    <s v="PWEGPL"/>
    <s v="MSEDCL"/>
    <n v="2.5000000000000001E-2"/>
    <n v="700"/>
    <x v="329"/>
    <s v="BD"/>
    <d v="1899-12-30T11:12:00"/>
    <d v="1899-12-30T11:22:00"/>
    <d v="1899-12-30T14:38:00"/>
    <n v="0.16666666666666874"/>
    <n v="3.2666666666666644"/>
    <n v="3.4333333333333331"/>
    <s v="reboot reset"/>
    <s v="Close"/>
    <n v="8.5833333333333331E-2"/>
    <s v="G34"/>
    <n v="259.50277777777774"/>
    <s v="None"/>
    <m/>
    <n v="1814"/>
    <n v="259.50277777777774"/>
    <m/>
    <m/>
    <m/>
    <m/>
  </r>
  <r>
    <n v="889"/>
    <x v="100"/>
    <x v="1"/>
    <x v="0"/>
    <x v="3"/>
    <x v="1"/>
    <x v="38"/>
    <s v="PWEGPL"/>
    <s v="MSEDCL"/>
    <n v="2.5000000000000001E-2"/>
    <n v="203"/>
    <x v="290"/>
    <s v="BD"/>
    <d v="1899-12-30T16:09:00"/>
    <d v="1899-12-30T16:39:00"/>
    <d v="1899-12-30T18:54:00"/>
    <n v="0.50000000000000089"/>
    <n v="2.25"/>
    <n v="2.7500000000000009"/>
    <s v="oil top up done"/>
    <s v="Close"/>
    <n v="6.8750000000000019E-2"/>
    <s v="G19"/>
    <n v="340.08333333333343"/>
    <s v="None"/>
    <m/>
    <n v="2968"/>
    <n v="340.08333333333343"/>
    <m/>
    <m/>
    <m/>
    <m/>
  </r>
  <r>
    <n v="890"/>
    <x v="101"/>
    <x v="1"/>
    <x v="0"/>
    <x v="3"/>
    <x v="1"/>
    <x v="29"/>
    <s v="PWEGPL"/>
    <s v="MSEDCL"/>
    <n v="2.5000000000000001E-2"/>
    <n v="523"/>
    <x v="335"/>
    <s v="BD"/>
    <d v="1899-12-30T12:05:00"/>
    <d v="1899-12-30T12:28:00"/>
    <d v="1899-12-30T15:16:00"/>
    <n v="0.38333333333333464"/>
    <n v="2.8000000000000007"/>
    <n v="3.1833333333333353"/>
    <s v="Radiator cleaned"/>
    <s v="Close"/>
    <n v="7.9583333333333395E-2"/>
    <s v="G-10"/>
    <n v="420.46527777777806"/>
    <s v="None"/>
    <m/>
    <n v="3170"/>
    <n v="420.46527777777806"/>
    <m/>
    <m/>
    <m/>
    <m/>
  </r>
  <r>
    <n v="891"/>
    <x v="101"/>
    <x v="1"/>
    <x v="0"/>
    <x v="3"/>
    <x v="1"/>
    <x v="38"/>
    <s v="PWEGPL"/>
    <s v="MSEDCL"/>
    <n v="2.5000000000000001E-2"/>
    <n v="203"/>
    <x v="290"/>
    <s v="Manual stop"/>
    <d v="1899-12-30T14:06:00"/>
    <d v="1899-12-30T14:06:00"/>
    <d v="1899-12-30T16:54:00"/>
    <n v="0"/>
    <n v="2.799999999999998"/>
    <n v="2.799999999999998"/>
    <s v="Hydraulic pump replaced"/>
    <s v="Close"/>
    <n v="6.9999999999999951E-2"/>
    <s v="G-19"/>
    <n v="320.94999999999976"/>
    <s v="None"/>
    <m/>
    <n v="2751"/>
    <n v="320.94999999999976"/>
    <m/>
    <m/>
    <m/>
    <m/>
  </r>
  <r>
    <n v="892"/>
    <x v="102"/>
    <x v="1"/>
    <x v="0"/>
    <x v="3"/>
    <x v="1"/>
    <x v="19"/>
    <s v="PWEGPL"/>
    <s v="MSEDCL"/>
    <n v="2.5000000000000001E-2"/>
    <n v="5227"/>
    <x v="340"/>
    <s v="BD"/>
    <d v="1899-12-30T17:43:00"/>
    <d v="1899-12-30T18:01:00"/>
    <d v="1899-12-30T18:20:00"/>
    <n v="0.3000000000000016"/>
    <n v="0.31666666666666554"/>
    <n v="0.61666666666666714"/>
    <s v="Mpcb reset"/>
    <s v="Close"/>
    <n v="1.5416666666666679E-2"/>
    <s v="G19"/>
    <n v="15.108333333333345"/>
    <s v="None"/>
    <m/>
    <n v="588"/>
    <n v="15.108333333333345"/>
    <m/>
    <m/>
    <m/>
    <m/>
  </r>
  <r>
    <n v="893"/>
    <x v="102"/>
    <x v="1"/>
    <x v="0"/>
    <x v="3"/>
    <x v="1"/>
    <x v="35"/>
    <s v="PWEGPL"/>
    <s v="MSEDCL"/>
    <n v="2.5000000000000001E-2"/>
    <n v="100"/>
    <x v="303"/>
    <s v="BD"/>
    <d v="1899-12-30T09:31:00"/>
    <d v="1899-12-30T15:15:00"/>
    <d v="1899-12-30T16:59:00"/>
    <n v="5.7333333333333316"/>
    <n v="1.7333333333333352"/>
    <n v="7.4666666666666668"/>
    <s v="cable twist sensor setting done."/>
    <s v="Close"/>
    <n v="0.18666666666666668"/>
    <s v="G25"/>
    <n v="1854.8444444444444"/>
    <s v="Delay to attend WTG due to Vehicle owner strike due to payment issue and man power shortage. Only two SGRE employee present at site."/>
    <m/>
    <n v="5962"/>
    <n v="1854.8444444444444"/>
    <m/>
    <m/>
    <m/>
    <m/>
  </r>
  <r>
    <n v="894"/>
    <x v="102"/>
    <x v="1"/>
    <x v="0"/>
    <x v="3"/>
    <x v="1"/>
    <x v="3"/>
    <s v="PWEGPL"/>
    <s v="MSEDCL"/>
    <n v="2.5000000000000001E-2"/>
    <n v="700"/>
    <x v="329"/>
    <s v="BD"/>
    <d v="1899-12-30T07:26:00"/>
    <d v="1899-12-30T11:35:00"/>
    <d v="1899-12-30T11:43:00"/>
    <n v="4.1500000000000004"/>
    <n v="0.13333333333333286"/>
    <n v="4.2833333333333332"/>
    <s v="reboot or reset"/>
    <s v="Close"/>
    <n v="0.10708333333333334"/>
    <s v="G26"/>
    <n v="500.97152777777774"/>
    <s v="Delay to attend WTG due to Vehicle owner strike due to payment issue and man power shortage. Only two SGRE employee present at site."/>
    <m/>
    <n v="2807"/>
    <n v="500.97152777777774"/>
    <m/>
    <m/>
    <m/>
    <m/>
  </r>
  <r>
    <n v="895"/>
    <x v="102"/>
    <x v="1"/>
    <x v="0"/>
    <x v="3"/>
    <x v="1"/>
    <x v="15"/>
    <s v="PWEGPL"/>
    <s v="MSEDCL"/>
    <n v="2.5000000000000001E-2"/>
    <n v="5224"/>
    <x v="341"/>
    <s v="BD"/>
    <d v="1899-12-30T08:44:00"/>
    <d v="1899-12-30T11:55:00"/>
    <d v="1899-12-30T15:24:00"/>
    <n v="3.1833333333333327"/>
    <n v="3.4833333333333356"/>
    <n v="6.6666666666666679"/>
    <s v="Slipring changed"/>
    <s v="Close"/>
    <n v="0.16666666666666671"/>
    <s v="G36"/>
    <n v="1084.166666666667"/>
    <s v="Delay to attend WTG due to Vehicle owner strike due to payment issue and man power shortage. Only two SGRE employee present at site."/>
    <m/>
    <n v="3903"/>
    <n v="1084.166666666667"/>
    <m/>
    <m/>
    <m/>
    <m/>
  </r>
  <r>
    <n v="896"/>
    <x v="103"/>
    <x v="1"/>
    <x v="0"/>
    <x v="3"/>
    <x v="1"/>
    <x v="17"/>
    <s v="PWEGPL"/>
    <s v="MSEDCL"/>
    <n v="2.5000000000000001E-2"/>
    <n v="5268"/>
    <x v="342"/>
    <s v="BD"/>
    <d v="1899-12-30T08:17:00"/>
    <d v="1899-12-30T10:10:00"/>
    <d v="1899-12-30T10:17:00"/>
    <n v="1.8833333333333333"/>
    <n v="0.11666666666666625"/>
    <n v="1.9999999999999996"/>
    <s v="reboot or reset"/>
    <s v="Close"/>
    <n v="4.9999999999999989E-2"/>
    <s v="G06"/>
    <n v="168.49999999999997"/>
    <s v="None"/>
    <m/>
    <n v="2022"/>
    <n v="168.49999999999997"/>
    <m/>
    <m/>
    <m/>
    <m/>
  </r>
  <r>
    <n v="897"/>
    <x v="103"/>
    <x v="1"/>
    <x v="0"/>
    <x v="3"/>
    <x v="1"/>
    <x v="30"/>
    <s v="PWEGPL"/>
    <s v="MSEDCL"/>
    <n v="2.5000000000000001E-2"/>
    <n v="203"/>
    <x v="290"/>
    <s v="BD"/>
    <d v="1899-12-30T06:30:00"/>
    <d v="1899-12-30T06:55:00"/>
    <d v="1899-12-30T07:03:00"/>
    <n v="0.41666666666666785"/>
    <n v="0.13333333333333286"/>
    <n v="0.55000000000000071"/>
    <s v="reboot or reset"/>
    <s v="Close"/>
    <n v="1.3750000000000019E-2"/>
    <s v="G13"/>
    <n v="10.289583333333345"/>
    <s v="None"/>
    <m/>
    <n v="449"/>
    <n v="10.289583333333345"/>
    <m/>
    <m/>
    <m/>
    <m/>
  </r>
  <r>
    <n v="898"/>
    <x v="103"/>
    <x v="1"/>
    <x v="0"/>
    <x v="3"/>
    <x v="1"/>
    <x v="0"/>
    <s v="PWEGPL"/>
    <s v="MSEDCL"/>
    <n v="2.5000000000000001E-2"/>
    <s v="CE100010"/>
    <x v="296"/>
    <s v="PM"/>
    <d v="1899-12-30T10:21:00"/>
    <d v="1899-12-30T10:21:00"/>
    <d v="1899-12-30T17:25:00"/>
    <n v="0"/>
    <n v="7.06666666666667"/>
    <n v="7.06666666666667"/>
    <s v="102 month PM done"/>
    <s v="Close"/>
    <n v="0.17666666666666675"/>
    <s v="G16"/>
    <n v="1466.0388888888897"/>
    <s v="None"/>
    <m/>
    <n v="4979"/>
    <n v="1466.0388888888897"/>
    <m/>
    <m/>
    <m/>
    <m/>
  </r>
  <r>
    <n v="899"/>
    <x v="103"/>
    <x v="1"/>
    <x v="0"/>
    <x v="3"/>
    <x v="1"/>
    <x v="3"/>
    <s v="PWEGPL"/>
    <s v="MSEDCL"/>
    <n v="2.5000000000000001E-2"/>
    <n v="205"/>
    <x v="312"/>
    <s v="BD"/>
    <d v="1899-12-30T11:41:00"/>
    <d v="1899-12-30T12:35:00"/>
    <d v="1899-12-30T14:17:00"/>
    <n v="0.9000000000000008"/>
    <n v="1.6999999999999993"/>
    <n v="2.6"/>
    <s v="oil topup"/>
    <s v="Close"/>
    <n v="6.5000000000000002E-2"/>
    <s v="G26"/>
    <n v="181.24166666666667"/>
    <s v="None"/>
    <m/>
    <n v="1673"/>
    <n v="181.24166666666667"/>
    <m/>
    <m/>
    <m/>
    <m/>
  </r>
  <r>
    <n v="900"/>
    <x v="104"/>
    <x v="1"/>
    <x v="0"/>
    <x v="3"/>
    <x v="1"/>
    <x v="20"/>
    <s v="PWEGPL"/>
    <s v="MSEDCL"/>
    <n v="2.5000000000000001E-2"/>
    <n v="125"/>
    <x v="343"/>
    <s v="BD"/>
    <d v="1899-12-30T16:43:00"/>
    <d v="1899-12-30T16:44:00"/>
    <d v="1899-12-30T17:38:00"/>
    <n v="1.6666666666669272E-2"/>
    <n v="0.8999999999999968"/>
    <n v="0.91666666666666607"/>
    <s v="reboot or reset"/>
    <s v="Close"/>
    <n v="2.2916666666666655E-2"/>
    <s v="G06"/>
    <n v="20.013888888888875"/>
    <s v="None"/>
    <m/>
    <n v="524"/>
    <n v="20.013888888888875"/>
    <m/>
    <m/>
    <m/>
    <m/>
  </r>
  <r>
    <n v="901"/>
    <x v="104"/>
    <x v="1"/>
    <x v="0"/>
    <x v="3"/>
    <x v="1"/>
    <x v="24"/>
    <s v="PWEGPL"/>
    <s v="MSEDCL"/>
    <n v="2.5000000000000001E-2"/>
    <n v="205"/>
    <x v="312"/>
    <s v="BD"/>
    <d v="1899-12-30T09:04:00"/>
    <d v="1899-12-30T10:29:00"/>
    <d v="1899-12-30T14:31:00"/>
    <n v="1.4166666666666656"/>
    <n v="4.0333333333333368"/>
    <n v="5.450000000000002"/>
    <s v="oil top up done"/>
    <s v="Close"/>
    <n v="0.13625000000000007"/>
    <s v="G22"/>
    <n v="574.06666666666683"/>
    <s v="None"/>
    <m/>
    <n v="2528"/>
    <n v="574.06666666666683"/>
    <m/>
    <m/>
    <m/>
    <m/>
  </r>
  <r>
    <n v="902"/>
    <x v="104"/>
    <x v="1"/>
    <x v="0"/>
    <x v="3"/>
    <x v="1"/>
    <x v="30"/>
    <s v="PWEGPL"/>
    <s v="MSEDCL"/>
    <n v="2.5000000000000001E-2"/>
    <n v="103"/>
    <x v="307"/>
    <s v="BD"/>
    <d v="1899-12-30T21:41:00"/>
    <d v="1899-12-30T22:17:00"/>
    <d v="1899-12-30T22:47:00"/>
    <n v="0.60000000000000053"/>
    <n v="0.50000000000000089"/>
    <n v="1.1000000000000014"/>
    <s v="reboot or reset"/>
    <s v="Close"/>
    <n v="2.7500000000000038E-2"/>
    <s v="G13"/>
    <n v="21.862500000000029"/>
    <s v="None"/>
    <m/>
    <n v="477"/>
    <n v="21.862500000000029"/>
    <m/>
    <m/>
    <m/>
    <m/>
  </r>
  <r>
    <n v="903"/>
    <x v="104"/>
    <x v="1"/>
    <x v="0"/>
    <x v="3"/>
    <x v="1"/>
    <x v="37"/>
    <s v="PWEGPL"/>
    <s v="MSEDCL"/>
    <n v="2.5000000000000001E-2"/>
    <n v="2102"/>
    <x v="320"/>
    <s v="BD"/>
    <d v="1899-12-30T23:12:00"/>
    <d v="1899-12-30T23:41:00"/>
    <d v="1899-12-30T23:48:00"/>
    <n v="0.48333333333333428"/>
    <n v="0.11666666666666625"/>
    <n v="0.60000000000000053"/>
    <s v="reboot or reset"/>
    <s v="Close"/>
    <n v="1.5000000000000013E-2"/>
    <s v="G17"/>
    <n v="7.6250000000000071"/>
    <s v="None"/>
    <m/>
    <n v="305"/>
    <n v="7.6250000000000071"/>
    <m/>
    <m/>
    <m/>
    <m/>
  </r>
  <r>
    <n v="904"/>
    <x v="104"/>
    <x v="1"/>
    <x v="0"/>
    <x v="3"/>
    <x v="1"/>
    <x v="38"/>
    <s v="PWEGPL"/>
    <s v="MSEDCL"/>
    <n v="2.5000000000000001E-2"/>
    <s v="CE100010"/>
    <x v="296"/>
    <s v="PM"/>
    <d v="1899-12-30T09:07:00"/>
    <d v="1899-12-30T09:07:00"/>
    <d v="1899-12-30T17:39:00"/>
    <n v="0"/>
    <n v="8.5333333333333314"/>
    <n v="8.5333333333333314"/>
    <s v="102 month PM done"/>
    <s v="Close"/>
    <n v="0.21333333333333329"/>
    <s v="G20"/>
    <n v="1877.6888888888884"/>
    <s v="None"/>
    <m/>
    <n v="5281"/>
    <n v="1877.6888888888884"/>
    <m/>
    <m/>
    <m/>
    <m/>
  </r>
  <r>
    <n v="905"/>
    <x v="104"/>
    <x v="1"/>
    <x v="0"/>
    <x v="3"/>
    <x v="1"/>
    <x v="18"/>
    <s v="PWEGPL"/>
    <s v="MSEDCL"/>
    <n v="2.5000000000000001E-2"/>
    <s v="CE100010"/>
    <x v="296"/>
    <s v="PM"/>
    <d v="1899-12-30T07:37:00"/>
    <d v="1899-12-30T07:37:00"/>
    <d v="1899-12-30T17:54:00"/>
    <n v="0"/>
    <n v="10.28333333333333"/>
    <n v="10.28333333333333"/>
    <s v="102 month PM done"/>
    <s v="Close"/>
    <n v="0.25708333333333327"/>
    <s v="G20"/>
    <n v="2726.7972222222215"/>
    <s v="None"/>
    <m/>
    <n v="6364"/>
    <n v="2726.7972222222215"/>
    <m/>
    <m/>
    <m/>
    <m/>
  </r>
  <r>
    <n v="906"/>
    <x v="104"/>
    <x v="1"/>
    <x v="0"/>
    <x v="3"/>
    <x v="1"/>
    <x v="34"/>
    <s v="PWEGPL"/>
    <s v="MSEDCL"/>
    <n v="2.5000000000000001E-2"/>
    <n v="205"/>
    <x v="312"/>
    <s v="BD"/>
    <d v="1899-12-30T08:51:00"/>
    <d v="1899-12-30T10:37:00"/>
    <d v="1899-12-30T11:05:00"/>
    <n v="1.7666666666666684"/>
    <n v="0.46666666666666634"/>
    <n v="2.2333333333333347"/>
    <s v="oil top up done"/>
    <s v="Close"/>
    <n v="5.5833333333333374E-2"/>
    <s v="G21"/>
    <n v="90.915277777777845"/>
    <s v="None"/>
    <m/>
    <n v="977"/>
    <n v="90.915277777777845"/>
    <m/>
    <m/>
    <m/>
    <m/>
  </r>
  <r>
    <n v="907"/>
    <x v="104"/>
    <x v="1"/>
    <x v="0"/>
    <x v="3"/>
    <x v="1"/>
    <x v="1"/>
    <s v="PWEGPL"/>
    <s v="MSEDCL"/>
    <n v="2.5000000000000001E-2"/>
    <n v="205"/>
    <x v="312"/>
    <s v="BD"/>
    <d v="1899-12-30T09:11:00"/>
    <d v="1899-12-30T11:18:00"/>
    <d v="1899-12-30T12:37:00"/>
    <n v="2.1166666666666671"/>
    <n v="1.316666666666666"/>
    <n v="3.4333333333333331"/>
    <s v="oil top up done"/>
    <s v="Close"/>
    <n v="8.5833333333333331E-2"/>
    <s v="G21"/>
    <n v="215.01249999999999"/>
    <s v="None"/>
    <m/>
    <n v="1503"/>
    <n v="215.01249999999999"/>
    <m/>
    <m/>
    <m/>
    <m/>
  </r>
  <r>
    <n v="908"/>
    <x v="104"/>
    <x v="1"/>
    <x v="0"/>
    <x v="3"/>
    <x v="1"/>
    <x v="35"/>
    <s v="PWEGPL"/>
    <s v="MSEDCL"/>
    <n v="2.5000000000000001E-2"/>
    <n v="118"/>
    <x v="313"/>
    <s v="BD"/>
    <d v="1899-12-30T11:43:00"/>
    <d v="1899-12-30T15:29:00"/>
    <d v="1899-12-30T15:49:00"/>
    <n v="3.7666666666666653"/>
    <n v="0.33333333333333481"/>
    <n v="4.0999999999999996"/>
    <s v="trouble shooting &amp; reboot or reset"/>
    <s v="Close"/>
    <n v="0.10249999999999999"/>
    <s v="G25"/>
    <n v="318.60416666666663"/>
    <s v="None"/>
    <m/>
    <n v="1865"/>
    <n v="318.60416666666663"/>
    <m/>
    <m/>
    <m/>
    <m/>
  </r>
  <r>
    <n v="909"/>
    <x v="105"/>
    <x v="1"/>
    <x v="0"/>
    <x v="3"/>
    <x v="1"/>
    <x v="20"/>
    <s v="PWEGPL"/>
    <s v="MSEDCL"/>
    <n v="2.5000000000000001E-2"/>
    <n v="700"/>
    <x v="329"/>
    <s v="BD"/>
    <d v="1899-12-30T15:22:00"/>
    <d v="1899-12-30T15:46:00"/>
    <d v="1899-12-30T17:19:00"/>
    <n v="0.39999999999999858"/>
    <n v="1.5499999999999998"/>
    <n v="1.9499999999999984"/>
    <s v="slipring cleaned"/>
    <s v="Close"/>
    <n v="4.874999999999996E-2"/>
    <s v="G06"/>
    <n v="53.543749999999953"/>
    <s v="None"/>
    <m/>
    <n v="659"/>
    <n v="53.543749999999953"/>
    <m/>
    <m/>
    <m/>
    <m/>
  </r>
  <r>
    <n v="910"/>
    <x v="105"/>
    <x v="1"/>
    <x v="0"/>
    <x v="3"/>
    <x v="1"/>
    <x v="30"/>
    <s v="PWEGPL"/>
    <s v="MSEDCL"/>
    <n v="2.5000000000000001E-2"/>
    <n v="119"/>
    <x v="344"/>
    <s v="BD"/>
    <d v="1899-12-30T13:07:00"/>
    <d v="1899-12-30T13:37:00"/>
    <d v="1899-12-30T15:08:00"/>
    <n v="0.49999999999999822"/>
    <n v="1.5166666666666666"/>
    <n v="2.0166666666666648"/>
    <s v="contactor replaced yaw"/>
    <s v="Close"/>
    <n v="5.0416666666666624E-2"/>
    <s v="G13"/>
    <n v="39.156944444444413"/>
    <s v="None"/>
    <m/>
    <n v="466"/>
    <n v="39.156944444444413"/>
    <m/>
    <m/>
    <m/>
    <m/>
  </r>
  <r>
    <n v="911"/>
    <x v="105"/>
    <x v="1"/>
    <x v="0"/>
    <x v="3"/>
    <x v="1"/>
    <x v="32"/>
    <s v="PWEGPL"/>
    <s v="MSEDCL"/>
    <n v="2.5000000000000001E-2"/>
    <s v="CE100010"/>
    <x v="296"/>
    <s v="PM"/>
    <d v="1899-12-30T10:46:00"/>
    <d v="1899-12-30T10:46:00"/>
    <d v="1899-12-30T17:29:00"/>
    <n v="0"/>
    <n v="6.7166666666666686"/>
    <n v="6.7166666666666686"/>
    <s v="102 month PM done"/>
    <s v="Close"/>
    <n v="0.16791666666666671"/>
    <s v="G15"/>
    <n v="430.14652777777792"/>
    <s v="None"/>
    <m/>
    <n v="1537"/>
    <n v="430.14652777777792"/>
    <m/>
    <m/>
    <m/>
    <m/>
  </r>
  <r>
    <n v="912"/>
    <x v="105"/>
    <x v="1"/>
    <x v="0"/>
    <x v="3"/>
    <x v="1"/>
    <x v="19"/>
    <s v="PWEGPL"/>
    <s v="MSEDCL"/>
    <n v="2.5000000000000001E-2"/>
    <s v="CE100010"/>
    <x v="296"/>
    <s v="PM"/>
    <d v="1899-12-30T10:27:00"/>
    <d v="1899-12-30T10:27:00"/>
    <d v="1899-12-30T17:45:00"/>
    <n v="0"/>
    <n v="7.3000000000000025"/>
    <n v="7.3000000000000025"/>
    <s v="102 month PM done"/>
    <s v="Close"/>
    <n v="0.18250000000000008"/>
    <s v="G19"/>
    <n v="699.88750000000027"/>
    <s v="None"/>
    <m/>
    <n v="2301"/>
    <n v="699.88750000000027"/>
    <m/>
    <m/>
    <m/>
    <m/>
  </r>
  <r>
    <n v="913"/>
    <x v="105"/>
    <x v="1"/>
    <x v="0"/>
    <x v="3"/>
    <x v="1"/>
    <x v="35"/>
    <s v="PWEGPL"/>
    <s v="MSEDCL"/>
    <n v="2.5000000000000001E-2"/>
    <n v="108"/>
    <x v="310"/>
    <s v="BD"/>
    <d v="1899-12-30T20:42:00"/>
    <d v="1899-12-30T22:30:00"/>
    <d v="1899-12-30T23:29:00"/>
    <n v="1.8000000000000016"/>
    <n v="0.98333333333333517"/>
    <n v="2.7833333333333368"/>
    <s v="untwist cable and reset"/>
    <s v="Close"/>
    <n v="6.9583333333333428E-2"/>
    <s v="G25"/>
    <n v="89.646527777777891"/>
    <s v="None"/>
    <m/>
    <n v="773"/>
    <n v="89.646527777777891"/>
    <m/>
    <m/>
    <m/>
    <m/>
  </r>
  <r>
    <n v="914"/>
    <x v="105"/>
    <x v="1"/>
    <x v="0"/>
    <x v="3"/>
    <x v="1"/>
    <x v="7"/>
    <s v="PWEGPL"/>
    <s v="MSEDCL"/>
    <n v="2.5000000000000001E-2"/>
    <n v="1894"/>
    <x v="325"/>
    <s v="BD"/>
    <d v="1899-12-30T09:43:00"/>
    <d v="1899-12-30T11:25:00"/>
    <d v="1899-12-30T12:01:00"/>
    <n v="1.6999999999999993"/>
    <n v="0.60000000000000053"/>
    <n v="2.2999999999999998"/>
    <s v="MCB RESET"/>
    <s v="Close"/>
    <n v="5.7499999999999996E-2"/>
    <s v="G39"/>
    <n v="23.287499999999998"/>
    <s v="None"/>
    <m/>
    <n v="243"/>
    <n v="23.287499999999998"/>
    <m/>
    <m/>
    <m/>
    <m/>
  </r>
  <r>
    <n v="915"/>
    <x v="106"/>
    <x v="1"/>
    <x v="0"/>
    <x v="3"/>
    <x v="1"/>
    <x v="25"/>
    <s v="PWEGPL"/>
    <s v="MSEDCL"/>
    <n v="2.5000000000000001E-2"/>
    <n v="205"/>
    <x v="312"/>
    <s v="BD"/>
    <d v="1899-12-30T18:48:00"/>
    <d v="1899-12-30T21:39:00"/>
    <d v="1899-12-30T22:41:00"/>
    <n v="2.8499999999999979"/>
    <n v="1.033333333333335"/>
    <n v="3.8833333333333329"/>
    <s v="Oil Topup"/>
    <s v="Close"/>
    <n v="9.7083333333333327E-2"/>
    <s v="G03"/>
    <n v="114.07291666666666"/>
    <s v="None"/>
    <m/>
    <n v="705"/>
    <n v="114.07291666666666"/>
    <m/>
    <m/>
    <m/>
    <m/>
  </r>
  <r>
    <n v="916"/>
    <x v="106"/>
    <x v="1"/>
    <x v="0"/>
    <x v="3"/>
    <x v="1"/>
    <x v="17"/>
    <s v="PWEGPL"/>
    <s v="MSEDCL"/>
    <n v="2.5000000000000001E-2"/>
    <n v="5254"/>
    <x v="333"/>
    <s v="BD"/>
    <d v="1899-12-30T16:16:00"/>
    <d v="1899-12-30T16:38:00"/>
    <d v="1899-12-30T16:49:00"/>
    <n v="0.36666666666666803"/>
    <n v="0.18333333333333268"/>
    <n v="0.55000000000000071"/>
    <s v="Rebot &amp; Reset"/>
    <s v="Close"/>
    <n v="1.3750000000000019E-2"/>
    <s v="G03"/>
    <n v="2.0625000000000027"/>
    <s v="None"/>
    <m/>
    <n v="90"/>
    <n v="2.0625000000000027"/>
    <m/>
    <m/>
    <m/>
    <m/>
  </r>
  <r>
    <n v="917"/>
    <x v="106"/>
    <x v="1"/>
    <x v="0"/>
    <x v="3"/>
    <x v="1"/>
    <x v="30"/>
    <s v="PWEGPL"/>
    <s v="MSEDCL"/>
    <n v="2.5000000000000001E-2"/>
    <s v="CE100010"/>
    <x v="296"/>
    <s v="PM"/>
    <d v="1899-12-30T10:26:00"/>
    <d v="1899-12-30T10:26:00"/>
    <d v="1899-12-30T17:16:00"/>
    <n v="0"/>
    <n v="6.833333333333333"/>
    <n v="6.833333333333333"/>
    <s v="102 month PM done"/>
    <s v="Close"/>
    <n v="0.17083333333333334"/>
    <s v="G14"/>
    <n v="341.66666666666663"/>
    <s v="None"/>
    <m/>
    <n v="1200"/>
    <n v="341.66666666666663"/>
    <m/>
    <m/>
    <m/>
    <m/>
  </r>
  <r>
    <n v="918"/>
    <x v="106"/>
    <x v="1"/>
    <x v="0"/>
    <x v="3"/>
    <x v="1"/>
    <x v="31"/>
    <s v="PWEGPL"/>
    <s v="MSEDCL"/>
    <n v="2.5000000000000001E-2"/>
    <s v="CE100010"/>
    <x v="296"/>
    <s v="PM"/>
    <d v="1899-12-30T10:23:00"/>
    <d v="1899-12-30T10:23:00"/>
    <d v="1899-12-30T17:29:00"/>
    <n v="0"/>
    <n v="7.1000000000000032"/>
    <n v="7.1000000000000032"/>
    <s v="102 month PM done"/>
    <s v="Close"/>
    <n v="0.1775000000000001"/>
    <s v="G14"/>
    <n v="360.32500000000016"/>
    <s v="None"/>
    <m/>
    <n v="1218"/>
    <n v="360.32500000000016"/>
    <m/>
    <m/>
    <m/>
    <m/>
  </r>
  <r>
    <n v="919"/>
    <x v="106"/>
    <x v="1"/>
    <x v="0"/>
    <x v="3"/>
    <x v="1"/>
    <x v="18"/>
    <s v="PWEGPL"/>
    <s v="MSEDCL"/>
    <n v="2.5000000000000001E-2"/>
    <n v="916"/>
    <x v="345"/>
    <s v="BD"/>
    <d v="1899-12-30T10:25:00"/>
    <d v="1899-12-30T15:23:00"/>
    <d v="1899-12-30T15:35:00"/>
    <n v="4.9666666666666668"/>
    <n v="0.20000000000000195"/>
    <n v="5.1666666666666679"/>
    <s v="Rebot &amp; Reset"/>
    <s v="Close"/>
    <n v="0.12916666666666671"/>
    <s v="G20"/>
    <n v="331.52777777777789"/>
    <s v="None"/>
    <m/>
    <n v="1540"/>
    <n v="331.52777777777789"/>
    <m/>
    <m/>
    <m/>
    <m/>
  </r>
  <r>
    <n v="920"/>
    <x v="106"/>
    <x v="1"/>
    <x v="0"/>
    <x v="3"/>
    <x v="1"/>
    <x v="1"/>
    <s v="PWEGPL"/>
    <s v="MSEDCL"/>
    <n v="2.5000000000000001E-2"/>
    <n v="222"/>
    <x v="323"/>
    <s v="BD"/>
    <d v="1899-12-30T11:21:00"/>
    <d v="1899-12-30T14:23:00"/>
    <d v="1899-12-30T15:34:00"/>
    <n v="3.0333333333333332"/>
    <n v="1.1833333333333345"/>
    <n v="4.2166666666666677"/>
    <s v="Rebot &amp; Reset"/>
    <s v="Close"/>
    <n v="0.1054166666666667"/>
    <s v="G22"/>
    <n v="175.34305555555559"/>
    <s v="None"/>
    <m/>
    <n v="998"/>
    <n v="175.34305555555559"/>
    <m/>
    <m/>
    <m/>
    <m/>
  </r>
  <r>
    <n v="921"/>
    <x v="106"/>
    <x v="1"/>
    <x v="0"/>
    <x v="3"/>
    <x v="1"/>
    <x v="9"/>
    <s v="PWEGPL"/>
    <s v="MSEDCL"/>
    <n v="2.5000000000000001E-2"/>
    <n v="115"/>
    <x v="308"/>
    <s v="BD"/>
    <d v="1899-12-30T13:11:00"/>
    <d v="1899-12-30T14:23:00"/>
    <d v="1899-12-30T14:59:00"/>
    <n v="1.1999999999999984"/>
    <n v="0.60000000000000053"/>
    <n v="1.7999999999999989"/>
    <s v="hydraulic relay changed"/>
    <s v="Close"/>
    <n v="4.4999999999999978E-2"/>
    <s v="G29"/>
    <n v="31.72499999999998"/>
    <s v="None"/>
    <m/>
    <n v="423"/>
    <n v="31.72499999999998"/>
    <m/>
    <m/>
    <m/>
    <m/>
  </r>
  <r>
    <n v="922"/>
    <x v="106"/>
    <x v="1"/>
    <x v="0"/>
    <x v="3"/>
    <x v="1"/>
    <x v="12"/>
    <s v="PWEGPL"/>
    <s v="MSEDCL"/>
    <n v="2.5000000000000001E-2"/>
    <n v="1894"/>
    <x v="325"/>
    <s v="BD"/>
    <s v="05:59"/>
    <d v="1899-12-30T07:19:00"/>
    <d v="1899-12-30T07:53:00"/>
    <n v="1.3333333333333326"/>
    <n v="0.56666666666666732"/>
    <n v="1.9"/>
    <s v="Rebot &amp; Reset"/>
    <s v="Close"/>
    <n v="4.7500000000000001E-2"/>
    <s v="G29"/>
    <n v="31.74583333333333"/>
    <s v="None"/>
    <m/>
    <n v="401"/>
    <n v="31.74583333333333"/>
    <m/>
    <m/>
    <m/>
    <m/>
  </r>
  <r>
    <n v="923"/>
    <x v="106"/>
    <x v="1"/>
    <x v="0"/>
    <x v="3"/>
    <x v="1"/>
    <x v="35"/>
    <s v="PWEGPL"/>
    <s v="MSEDCL"/>
    <n v="2.5000000000000001E-2"/>
    <s v="CE100001"/>
    <x v="288"/>
    <s v="Manual stop"/>
    <d v="1899-12-30T10:47:00"/>
    <d v="1899-12-30T10:47:00"/>
    <d v="1899-12-30T13:33:00"/>
    <n v="0"/>
    <n v="2.7666666666666662"/>
    <n v="2.7666666666666662"/>
    <s v="Troubleshooting work"/>
    <s v="Close"/>
    <n v="6.9166666666666654E-2"/>
    <s v="G25"/>
    <n v="76.774999999999991"/>
    <s v="None"/>
    <m/>
    <n v="666"/>
    <n v="76.774999999999991"/>
    <m/>
    <m/>
    <m/>
    <m/>
  </r>
  <r>
    <n v="924"/>
    <x v="107"/>
    <x v="1"/>
    <x v="0"/>
    <x v="4"/>
    <x v="1"/>
    <x v="24"/>
    <s v="PWEGPL"/>
    <s v="MSEDCL"/>
    <n v="2.5000000000000001E-2"/>
    <n v="205"/>
    <x v="312"/>
    <s v="BD"/>
    <d v="1899-12-30T09:42:00"/>
    <d v="1899-12-30T10:00:00"/>
    <d v="1899-12-30T14:23:00"/>
    <n v="0.3000000000000016"/>
    <n v="4.3833333333333329"/>
    <n v="4.6833333333333336"/>
    <s v="oil topup &amp; generator slipring fan changed"/>
    <s v="Close"/>
    <n v="0.11708333333333334"/>
    <s v="G22"/>
    <n v="404.13263888888895"/>
    <s v="None"/>
    <s v="WTG Breakdown Maintenance"/>
    <n v="2071"/>
    <n v="404.13263888888895"/>
    <m/>
    <m/>
    <m/>
    <m/>
  </r>
  <r>
    <n v="925"/>
    <x v="107"/>
    <x v="1"/>
    <x v="0"/>
    <x v="4"/>
    <x v="1"/>
    <x v="17"/>
    <s v="PWEGPL"/>
    <s v="MSEDCL"/>
    <n v="2.5000000000000001E-2"/>
    <s v="CE100010"/>
    <x v="296"/>
    <s v="PM"/>
    <d v="1899-12-30T10:41:00"/>
    <d v="1899-12-30T10:41:00"/>
    <d v="1899-12-30T18:11:00"/>
    <n v="0"/>
    <n v="7.4999999999999982"/>
    <n v="7.4999999999999982"/>
    <s v="102 month PM done"/>
    <s v="Close"/>
    <n v="0.18749999999999997"/>
    <s v="G06"/>
    <n v="837.81249999999977"/>
    <s v="None"/>
    <s v="WTG Scheduled Maintenance"/>
    <n v="2681"/>
    <n v="837.81249999999977"/>
    <m/>
    <m/>
    <m/>
    <m/>
  </r>
  <r>
    <n v="926"/>
    <x v="107"/>
    <x v="1"/>
    <x v="0"/>
    <x v="4"/>
    <x v="1"/>
    <x v="27"/>
    <s v="PWEGPL"/>
    <s v="MSEDCL"/>
    <n v="2.5000000000000001E-2"/>
    <s v="CE100010"/>
    <x v="296"/>
    <s v="PM"/>
    <d v="1899-12-30T07:43:00"/>
    <d v="1899-12-30T07:43:00"/>
    <d v="1899-12-30T15:04:00"/>
    <n v="0"/>
    <n v="7.35"/>
    <n v="7.35"/>
    <s v="102 month PM done"/>
    <s v="Close"/>
    <n v="0.18375"/>
    <s v="G12"/>
    <n v="725.8125"/>
    <s v="None"/>
    <s v="WTG Scheduled Maintenance"/>
    <n v="2370"/>
    <n v="725.8125"/>
    <m/>
    <m/>
    <m/>
    <m/>
  </r>
  <r>
    <n v="927"/>
    <x v="107"/>
    <x v="1"/>
    <x v="0"/>
    <x v="4"/>
    <x v="1"/>
    <x v="3"/>
    <s v="PWEGPL"/>
    <s v="MSEDCL"/>
    <n v="2.5000000000000001E-2"/>
    <n v="700"/>
    <x v="329"/>
    <s v="BD"/>
    <d v="1899-12-30T21:04:00"/>
    <d v="1899-12-30T22:30:00"/>
    <d v="1899-12-30T22:53:00"/>
    <n v="1.4333333333333336"/>
    <n v="0.38333333333333197"/>
    <n v="1.8166666666666655"/>
    <s v="Reboot &amp; Reset"/>
    <s v="Close"/>
    <n v="4.541666666666664E-2"/>
    <s v="G26"/>
    <n v="62.599305555555524"/>
    <s v="None"/>
    <s v="WTG Breakdown Maintenance"/>
    <n v="827"/>
    <n v="62.599305555555524"/>
    <m/>
    <m/>
    <m/>
    <m/>
  </r>
  <r>
    <n v="928"/>
    <x v="107"/>
    <x v="1"/>
    <x v="0"/>
    <x v="4"/>
    <x v="1"/>
    <x v="17"/>
    <s v="PWEGPL"/>
    <s v="MSEDCL"/>
    <n v="2.5000000000000001E-2"/>
    <n v="5228"/>
    <x v="346"/>
    <s v="BD"/>
    <d v="1899-12-30T20:30:00"/>
    <d v="1899-12-30T21:22:00"/>
    <d v="1899-12-30T23:59:00"/>
    <n v="0.86666666666666892"/>
    <n v="2.6166666666666654"/>
    <n v="3.4833333333333343"/>
    <s v="Troubleshooting work"/>
    <s v="Close"/>
    <n v="8.708333333333336E-2"/>
    <s v="G06"/>
    <n v="180.55277777777783"/>
    <s v="None"/>
    <s v="WTG Breakdown Maintenance"/>
    <n v="1244"/>
    <n v="180.55277777777783"/>
    <m/>
    <m/>
    <m/>
    <m/>
  </r>
  <r>
    <n v="929"/>
    <x v="107"/>
    <x v="1"/>
    <x v="0"/>
    <x v="4"/>
    <x v="1"/>
    <x v="27"/>
    <s v="PWEGPL"/>
    <s v="MSEDCL"/>
    <n v="2.5000000000000001E-2"/>
    <n v="502"/>
    <x v="347"/>
    <s v="BD"/>
    <d v="1899-12-30T23:18:00"/>
    <d v="1899-12-30T23:24:00"/>
    <d v="1899-12-30T23:30:00"/>
    <n v="9.9999999999999645E-2"/>
    <n v="9.9999999999999645E-2"/>
    <n v="0.19999999999999929"/>
    <s v="Reboot &amp; Reset"/>
    <s v="Close"/>
    <n v="4.9999999999999828E-3"/>
    <s v="G12"/>
    <n v="0.53333333333333144"/>
    <s v="None"/>
    <s v="WTG Breakdown Maintenance"/>
    <n v="64"/>
    <n v="0.53333333333333144"/>
    <m/>
    <m/>
    <m/>
    <m/>
  </r>
  <r>
    <n v="930"/>
    <x v="108"/>
    <x v="1"/>
    <x v="0"/>
    <x v="4"/>
    <x v="1"/>
    <x v="17"/>
    <s v="PWEGPL"/>
    <s v="MSEDCL"/>
    <n v="2.5000000000000001E-2"/>
    <n v="5228"/>
    <x v="346"/>
    <s v="BD"/>
    <d v="1899-12-30T00:00:00"/>
    <d v="1899-12-30T00:00:00"/>
    <d v="1899-12-30T00:46:00"/>
    <n v="0"/>
    <n v="0.76666666666666683"/>
    <n v="0.76666666666666683"/>
    <s v="Troubleshooting work"/>
    <s v="Close"/>
    <n v="1.9166666666666672E-2"/>
    <s v="G06"/>
    <n v="27.025000000000006"/>
    <s v="None"/>
    <s v="WTG Breakdown Maintenance"/>
    <n v="846"/>
    <n v="27.025000000000006"/>
    <m/>
    <m/>
    <m/>
    <m/>
  </r>
  <r>
    <n v="931"/>
    <x v="108"/>
    <x v="1"/>
    <x v="0"/>
    <x v="4"/>
    <x v="1"/>
    <x v="27"/>
    <s v="PWEGPL"/>
    <s v="MSEDCL"/>
    <n v="2.5000000000000001E-2"/>
    <n v="502"/>
    <x v="347"/>
    <s v="BD"/>
    <d v="1899-12-30T01:12:00"/>
    <d v="1899-12-30T04:00:00"/>
    <d v="1899-12-30T04:10:00"/>
    <n v="2.8"/>
    <n v="0.16666666666666741"/>
    <n v="2.9666666666666677"/>
    <s v="reboot &amp;reset"/>
    <s v="Close"/>
    <n v="7.41666666666667E-2"/>
    <s v="G12"/>
    <n v="278.86666666666679"/>
    <s v="None"/>
    <s v="WTG Breakdown Maintenance"/>
    <n v="2256"/>
    <n v="278.86666666666679"/>
    <m/>
    <m/>
    <m/>
    <m/>
  </r>
  <r>
    <n v="932"/>
    <x v="108"/>
    <x v="1"/>
    <x v="0"/>
    <x v="4"/>
    <x v="1"/>
    <x v="28"/>
    <s v="PWEGPL"/>
    <s v="MSEDCL"/>
    <n v="2.5000000000000001E-2"/>
    <s v="CE100010"/>
    <x v="296"/>
    <s v="PM"/>
    <d v="1899-12-30T07:56:00"/>
    <d v="1899-12-30T07:56:00"/>
    <d v="1899-12-30T15:20:00"/>
    <n v="0"/>
    <n v="7.4000000000000021"/>
    <n v="7.4000000000000021"/>
    <s v="102 month PM done"/>
    <s v="Close"/>
    <n v="0.18500000000000005"/>
    <s v="G12"/>
    <n v="1733.1416666666673"/>
    <s v="None"/>
    <s v="WTG Scheduled Maintenance"/>
    <n v="5621"/>
    <n v="1733.1416666666673"/>
    <m/>
    <m/>
    <m/>
    <m/>
  </r>
  <r>
    <n v="933"/>
    <x v="108"/>
    <x v="1"/>
    <x v="0"/>
    <x v="4"/>
    <x v="1"/>
    <x v="29"/>
    <s v="PWEGPL"/>
    <s v="MSEDCL"/>
    <n v="2.5000000000000001E-2"/>
    <s v="CE100010"/>
    <x v="296"/>
    <s v="PM"/>
    <d v="1899-12-30T10:37:00"/>
    <d v="1899-12-30T10:37:00"/>
    <d v="1899-12-30T17:33:00"/>
    <n v="0"/>
    <n v="6.9333333333333336"/>
    <n v="6.9333333333333336"/>
    <s v="102 month PM done"/>
    <s v="Close"/>
    <n v="0.17333333333333334"/>
    <s v="G12"/>
    <n v="1520.7111111111112"/>
    <s v="None"/>
    <s v="WTG Scheduled Maintenance"/>
    <n v="5264"/>
    <n v="1520.7111111111112"/>
    <m/>
    <m/>
    <m/>
    <m/>
  </r>
  <r>
    <n v="934"/>
    <x v="108"/>
    <x v="1"/>
    <x v="0"/>
    <x v="4"/>
    <x v="1"/>
    <x v="0"/>
    <s v="PWEGPL"/>
    <s v="MSEDCL"/>
    <n v="2.5000000000000001E-2"/>
    <n v="502"/>
    <x v="347"/>
    <s v="BD"/>
    <d v="1899-12-30T04:35:00"/>
    <d v="1899-12-30T05:30:00"/>
    <d v="1899-12-30T05:48:00"/>
    <n v="0.91666666666666674"/>
    <n v="0.30000000000000027"/>
    <n v="1.216666666666667"/>
    <s v="Rebot &amp; Reset"/>
    <s v="Close"/>
    <n v="3.0416666666666675E-2"/>
    <s v="G18"/>
    <n v="76.041666666666686"/>
    <s v="None"/>
    <s v="WTG Breakdown Maintenance"/>
    <n v="1500"/>
    <n v="76.041666666666686"/>
    <m/>
    <m/>
    <m/>
    <m/>
  </r>
  <r>
    <n v="935"/>
    <x v="108"/>
    <x v="1"/>
    <x v="0"/>
    <x v="4"/>
    <x v="1"/>
    <x v="18"/>
    <s v="PWEGPL"/>
    <s v="MSEDCL"/>
    <n v="2.5000000000000001E-2"/>
    <n v="502"/>
    <x v="347"/>
    <s v="BD"/>
    <d v="1899-12-30T03:00:00"/>
    <d v="1899-12-30T03:15:00"/>
    <d v="1899-12-30T03:23:00"/>
    <n v="0.24999999999999978"/>
    <n v="0.13333333333333353"/>
    <n v="0.3833333333333333"/>
    <s v="Rebot &amp; Reset"/>
    <s v="Close"/>
    <n v="9.5833333333333326E-3"/>
    <s v="G20"/>
    <n v="6.9798611111111102"/>
    <s v="None"/>
    <s v="WTG Breakdown Maintenance"/>
    <n v="437"/>
    <n v="6.9798611111111102"/>
    <m/>
    <m/>
    <m/>
    <m/>
  </r>
  <r>
    <n v="936"/>
    <x v="108"/>
    <x v="1"/>
    <x v="0"/>
    <x v="4"/>
    <x v="1"/>
    <x v="1"/>
    <s v="PWEGPL"/>
    <s v="MSEDCL"/>
    <n v="2.5000000000000001E-2"/>
    <n v="812"/>
    <x v="327"/>
    <s v="BD"/>
    <d v="1899-12-30T13:17:00"/>
    <d v="1899-12-30T14:00:00"/>
    <d v="1899-12-30T15:46:00"/>
    <n v="0.71666666666666679"/>
    <n v="1.7666666666666657"/>
    <n v="2.4833333333333325"/>
    <s v="bulluf sensor cable replaced"/>
    <s v="Close"/>
    <n v="6.2083333333333317E-2"/>
    <s v="G22"/>
    <n v="283.61736111111099"/>
    <s v="None"/>
    <s v="WTG Breakdown Maintenance"/>
    <n v="2741"/>
    <n v="283.61736111111099"/>
    <m/>
    <m/>
    <m/>
    <m/>
  </r>
  <r>
    <n v="937"/>
    <x v="109"/>
    <x v="1"/>
    <x v="0"/>
    <x v="4"/>
    <x v="1"/>
    <x v="22"/>
    <s v="PWEGPL"/>
    <s v="MSEDCL"/>
    <n v="2.5000000000000001E-2"/>
    <s v="CE100010"/>
    <x v="296"/>
    <s v="PM"/>
    <d v="1899-12-30T10:48:00"/>
    <d v="1899-12-30T10:48:00"/>
    <d v="1899-12-30T18:05:00"/>
    <n v="0"/>
    <n v="7.2833333333333332"/>
    <n v="7.2833333333333332"/>
    <s v="102 month PM done"/>
    <s v="Close"/>
    <n v="0.18208333333333335"/>
    <s v="G04"/>
    <n v="1516.7541666666666"/>
    <s v="None"/>
    <s v="WTG Scheduled Maintenance"/>
    <n v="4998"/>
    <n v="1516.7541666666666"/>
    <m/>
    <m/>
    <m/>
    <m/>
  </r>
  <r>
    <n v="938"/>
    <x v="109"/>
    <x v="1"/>
    <x v="0"/>
    <x v="4"/>
    <x v="1"/>
    <x v="25"/>
    <s v="PWEGPL"/>
    <s v="MSEDCL"/>
    <n v="2.5000000000000001E-2"/>
    <s v="CE100010"/>
    <x v="296"/>
    <s v="PM"/>
    <d v="1899-12-30T07:30:00"/>
    <d v="1899-12-30T07:30:00"/>
    <d v="1899-12-30T15:30:00"/>
    <n v="0"/>
    <n v="8"/>
    <n v="8"/>
    <s v="102 month PM done"/>
    <s v="Close"/>
    <n v="0.2"/>
    <s v="G04"/>
    <n v="1877.3333333333333"/>
    <s v="None"/>
    <s v="WTG Scheduled Maintenance"/>
    <n v="5632"/>
    <n v="1877.3333333333333"/>
    <m/>
    <m/>
    <m/>
    <m/>
  </r>
  <r>
    <n v="939"/>
    <x v="109"/>
    <x v="1"/>
    <x v="0"/>
    <x v="4"/>
    <x v="1"/>
    <x v="32"/>
    <s v="PWEGPL"/>
    <s v="MSEDCL"/>
    <n v="2.5000000000000001E-2"/>
    <n v="205"/>
    <x v="312"/>
    <s v="BD"/>
    <d v="1899-12-30T05:10:00"/>
    <d v="1899-12-30T06:23:00"/>
    <d v="1899-12-30T11:59:00"/>
    <n v="1.2166666666666663"/>
    <n v="5.5999999999999988"/>
    <n v="6.8166666666666647"/>
    <s v="Oil Topup"/>
    <s v="Close"/>
    <n v="0.17041666666666663"/>
    <s v="G15"/>
    <n v="1388.3277777777773"/>
    <s v="None"/>
    <s v="WTG Breakdown Maintenance"/>
    <n v="4888"/>
    <n v="1388.3277777777773"/>
    <m/>
    <m/>
    <m/>
    <m/>
  </r>
  <r>
    <n v="940"/>
    <x v="109"/>
    <x v="1"/>
    <x v="0"/>
    <x v="4"/>
    <x v="1"/>
    <x v="12"/>
    <s v="PWEGPL"/>
    <s v="MSEDCL"/>
    <n v="2.5000000000000001E-2"/>
    <n v="205"/>
    <x v="312"/>
    <s v="BD"/>
    <d v="1899-12-30T00:16:00"/>
    <d v="1899-12-30T00:16:00"/>
    <d v="1899-12-30T03:35:00"/>
    <n v="0"/>
    <n v="3.3166666666666669"/>
    <n v="3.3166666666666669"/>
    <s v="Oil Topup"/>
    <s v="Close"/>
    <n v="8.291666666666668E-2"/>
    <s v="G30"/>
    <n v="238.8"/>
    <s v="None"/>
    <s v="WTG Breakdown Maintenance"/>
    <n v="1728"/>
    <n v="238.8"/>
    <m/>
    <m/>
    <m/>
    <m/>
  </r>
  <r>
    <n v="941"/>
    <x v="109"/>
    <x v="1"/>
    <x v="0"/>
    <x v="4"/>
    <x v="1"/>
    <x v="3"/>
    <s v="PWEGPL"/>
    <s v="MSEDCL"/>
    <n v="2.5000000000000001E-2"/>
    <n v="700"/>
    <x v="329"/>
    <s v="BD"/>
    <d v="1899-12-30T03:48:00"/>
    <d v="1899-12-30T04:43:00"/>
    <d v="1899-12-30T04:58:00"/>
    <n v="0.91666666666666674"/>
    <n v="0.25000000000000044"/>
    <n v="1.1666666666666672"/>
    <s v="Rebot &amp; Reset"/>
    <s v="Close"/>
    <n v="2.9166666666666681E-2"/>
    <s v="G26"/>
    <n v="28.097222222222232"/>
    <s v="None"/>
    <s v="WTG Breakdown Maintenance"/>
    <n v="578"/>
    <n v="28.097222222222232"/>
    <m/>
    <m/>
    <m/>
    <m/>
  </r>
  <r>
    <n v="942"/>
    <x v="109"/>
    <x v="1"/>
    <x v="0"/>
    <x v="4"/>
    <x v="1"/>
    <x v="4"/>
    <s v="PWEGPL"/>
    <s v="MSEDCL"/>
    <n v="2.5000000000000001E-2"/>
    <n v="205"/>
    <x v="312"/>
    <s v="BD"/>
    <d v="1899-12-30T01:24:00"/>
    <d v="1899-12-30T02:15:00"/>
    <d v="1899-12-30T02:34:00"/>
    <n v="0.85000000000000009"/>
    <n v="0.31666666666666654"/>
    <n v="1.1666666666666667"/>
    <s v="Rebot &amp; Reset"/>
    <s v="Close"/>
    <n v="2.9166666666666671E-2"/>
    <s v="G36"/>
    <n v="26.979166666666668"/>
    <s v="None"/>
    <s v="WTG Breakdown Maintenance"/>
    <n v="555"/>
    <n v="26.979166666666668"/>
    <m/>
    <m/>
    <m/>
    <m/>
  </r>
  <r>
    <n v="943"/>
    <x v="109"/>
    <x v="1"/>
    <x v="0"/>
    <x v="4"/>
    <x v="1"/>
    <x v="3"/>
    <s v="PWEGPL"/>
    <s v="MSEDCL"/>
    <n v="2.5000000000000001E-2"/>
    <n v="700"/>
    <x v="329"/>
    <s v="BD"/>
    <d v="1899-12-30T11:57:00"/>
    <d v="1899-12-30T12:22:00"/>
    <d v="1899-12-30T12:30:00"/>
    <n v="0.41666666666666918"/>
    <n v="0.13333333333333286"/>
    <n v="0.55000000000000204"/>
    <s v="Rebot &amp; Reset"/>
    <s v="Close"/>
    <n v="1.3750000000000052E-2"/>
    <s v="G26"/>
    <n v="7.2187500000000266"/>
    <s v="None"/>
    <s v="WTG Breakdown Maintenance"/>
    <n v="315"/>
    <n v="7.2187500000000266"/>
    <m/>
    <m/>
    <m/>
    <m/>
  </r>
  <r>
    <n v="944"/>
    <x v="109"/>
    <x v="1"/>
    <x v="0"/>
    <x v="4"/>
    <x v="1"/>
    <x v="4"/>
    <s v="PWEGPL"/>
    <s v="MSEDCL"/>
    <n v="2.5000000000000001E-2"/>
    <n v="205"/>
    <x v="312"/>
    <s v="BD"/>
    <d v="1899-12-30T20:01:00"/>
    <d v="1899-12-30T21:35:00"/>
    <d v="1899-12-30T21:41:00"/>
    <n v="1.5666666666666664"/>
    <n v="0.10000000000000231"/>
    <n v="1.6666666666666687"/>
    <s v="Oil Topup"/>
    <s v="Close"/>
    <n v="4.166666666666672E-2"/>
    <s v="G36"/>
    <n v="52.569444444444514"/>
    <s v="None"/>
    <s v="WTG Breakdown Maintenance"/>
    <n v="757"/>
    <n v="52.569444444444514"/>
    <m/>
    <m/>
    <m/>
    <m/>
  </r>
  <r>
    <n v="945"/>
    <x v="110"/>
    <x v="1"/>
    <x v="0"/>
    <x v="4"/>
    <x v="1"/>
    <x v="20"/>
    <s v="PWEGPL"/>
    <s v="MSEDCL"/>
    <n v="2.5000000000000001E-2"/>
    <s v="CE100010"/>
    <x v="296"/>
    <s v="PM"/>
    <d v="1899-12-30T11:13:00"/>
    <d v="1899-12-30T11:13:00"/>
    <d v="1899-12-30T17:38:00"/>
    <n v="0"/>
    <n v="6.4166666666666652"/>
    <n v="6.4166666666666652"/>
    <s v="102 month PM done"/>
    <s v="Close"/>
    <n v="0.16041666666666665"/>
    <s v="G06"/>
    <n v="1223.7118055555554"/>
    <s v="None"/>
    <s v="WTG Scheduled Maintenance"/>
    <n v="4577"/>
    <n v="1223.7118055555554"/>
    <m/>
    <m/>
    <m/>
    <m/>
  </r>
  <r>
    <n v="946"/>
    <x v="110"/>
    <x v="1"/>
    <x v="0"/>
    <x v="4"/>
    <x v="1"/>
    <x v="23"/>
    <s v="PWEGPL"/>
    <s v="MSEDCL"/>
    <n v="2.5000000000000001E-2"/>
    <s v="CE100010"/>
    <x v="296"/>
    <s v="PM"/>
    <d v="1899-12-30T08:09:00"/>
    <d v="1899-12-30T08:09:00"/>
    <d v="1899-12-30T15:53:00"/>
    <n v="0"/>
    <n v="7.7333333333333325"/>
    <n v="7.7333333333333325"/>
    <s v="102 month PM done"/>
    <s v="Close"/>
    <n v="0.19333333333333333"/>
    <s v="G03"/>
    <n v="1268.5888888888887"/>
    <s v="None"/>
    <s v="WTG Scheduled Maintenance"/>
    <n v="3937"/>
    <n v="1268.5888888888887"/>
    <m/>
    <m/>
    <m/>
    <m/>
  </r>
  <r>
    <n v="947"/>
    <x v="110"/>
    <x v="1"/>
    <x v="0"/>
    <x v="4"/>
    <x v="1"/>
    <x v="35"/>
    <s v="PWEGPL"/>
    <s v="MSEDCL"/>
    <n v="2.5000000000000001E-2"/>
    <n v="812"/>
    <x v="327"/>
    <s v="BD"/>
    <d v="1899-12-30T15:15:00"/>
    <d v="1899-12-30T15:46:00"/>
    <d v="1899-12-30T15:48:00"/>
    <n v="0.5166666666666675"/>
    <n v="3.3333333333333215E-2"/>
    <n v="0.55000000000000071"/>
    <s v="Rebot &amp; Reset"/>
    <s v="Close"/>
    <n v="1.3750000000000019E-2"/>
    <s v="G25"/>
    <n v="7.9520833333333441"/>
    <s v="None"/>
    <s v="WTG Breakdown Maintenance"/>
    <n v="347"/>
    <n v="7.9520833333333441"/>
    <m/>
    <m/>
    <m/>
    <m/>
  </r>
  <r>
    <n v="948"/>
    <x v="110"/>
    <x v="1"/>
    <x v="0"/>
    <x v="4"/>
    <x v="1"/>
    <x v="8"/>
    <s v="PWEGPL"/>
    <s v="MSEDCL"/>
    <n v="2.5000000000000001E-2"/>
    <n v="5207"/>
    <x v="348"/>
    <s v="BD"/>
    <d v="1899-12-30T15:17:00"/>
    <d v="1899-12-30T15:29:00"/>
    <d v="1899-12-30T15:39:00"/>
    <n v="0.19999999999999929"/>
    <n v="0.16666666666666874"/>
    <n v="0.36666666666666803"/>
    <s v="Rebot &amp; Reset"/>
    <s v="Close"/>
    <n v="9.1666666666667014E-3"/>
    <s v="G25"/>
    <n v="3.5750000000000135"/>
    <s v="None"/>
    <s v="WTG Breakdown Maintenance"/>
    <n v="234"/>
    <n v="3.5750000000000135"/>
    <m/>
    <m/>
    <m/>
    <m/>
  </r>
  <r>
    <n v="949"/>
    <x v="110"/>
    <x v="1"/>
    <x v="0"/>
    <x v="4"/>
    <x v="1"/>
    <x v="9"/>
    <s v="PWEGPL"/>
    <s v="MSEDCL"/>
    <n v="2.5000000000000001E-2"/>
    <n v="900"/>
    <x v="330"/>
    <s v="BD"/>
    <d v="1899-12-30T14:51:00"/>
    <d v="1899-12-30T16:00:00"/>
    <d v="1899-12-30T16:01:00"/>
    <n v="1.1499999999999986"/>
    <n v="1.6666666666666607E-2"/>
    <n v="1.1666666666666652"/>
    <s v="Rebot &amp; Reset"/>
    <s v="Close"/>
    <n v="2.9166666666666632E-2"/>
    <s v="G29"/>
    <n v="32.131944444444407"/>
    <s v="None"/>
    <s v="WTG Breakdown Maintenance"/>
    <n v="661"/>
    <n v="32.131944444444407"/>
    <m/>
    <m/>
    <m/>
    <m/>
  </r>
  <r>
    <n v="950"/>
    <x v="110"/>
    <x v="1"/>
    <x v="0"/>
    <x v="4"/>
    <x v="1"/>
    <x v="3"/>
    <s v="PWEGPL"/>
    <s v="MSEDCL"/>
    <n v="2.5000000000000001E-2"/>
    <n v="700"/>
    <x v="329"/>
    <s v="BD"/>
    <d v="1899-12-30T07:29:00"/>
    <d v="1899-12-30T12:07:00"/>
    <d v="1899-12-30T12:15:00"/>
    <n v="4.6333333333333329"/>
    <n v="0.13333333333333286"/>
    <n v="4.7666666666666657"/>
    <s v="Rebot &amp; Reset"/>
    <s v="Close"/>
    <n v="0.11916666666666664"/>
    <s v="G26"/>
    <n v="551.94027777777774"/>
    <s v="None"/>
    <s v="WTG Breakdown Maintenance"/>
    <n v="2779"/>
    <n v="551.94027777777774"/>
    <m/>
    <m/>
    <m/>
    <m/>
  </r>
  <r>
    <n v="951"/>
    <x v="110"/>
    <x v="1"/>
    <x v="0"/>
    <x v="4"/>
    <x v="1"/>
    <x v="4"/>
    <s v="PWEGPL"/>
    <s v="MSEDCL"/>
    <n v="2.5000000000000001E-2"/>
    <n v="205"/>
    <x v="312"/>
    <s v="BD"/>
    <d v="1899-12-30T21:56:00"/>
    <d v="1899-12-30T23:59:00"/>
    <d v="1899-12-30T23:59:00"/>
    <n v="2.0500000000000007"/>
    <n v="0"/>
    <n v="2.0500000000000007"/>
    <s v="Oil Topup"/>
    <s v="Close"/>
    <n v="5.1250000000000018E-2"/>
    <s v="G36"/>
    <n v="229.25833333333341"/>
    <s v="None"/>
    <s v="WTG Breakdown Maintenance"/>
    <n v="2684"/>
    <n v="229.25833333333341"/>
    <m/>
    <m/>
    <m/>
    <m/>
  </r>
  <r>
    <n v="952"/>
    <x v="110"/>
    <x v="1"/>
    <x v="0"/>
    <x v="4"/>
    <x v="1"/>
    <x v="5"/>
    <s v="PWEGPL"/>
    <s v="MSEDCL"/>
    <n v="2.5000000000000001E-2"/>
    <n v="205"/>
    <x v="312"/>
    <s v="BD"/>
    <d v="1899-12-30T15:21:00"/>
    <d v="1899-12-30T17:01:00"/>
    <d v="1899-12-30T23:59:00"/>
    <n v="1.6666666666666661"/>
    <n v="6.9666666666666686"/>
    <n v="8.6333333333333346"/>
    <s v="oil topup"/>
    <s v="Close"/>
    <n v="0.21583333333333338"/>
    <s v="G39"/>
    <n v="1767.6750000000002"/>
    <s v="None"/>
    <s v="WTG Breakdown Maintenance"/>
    <n v="4914"/>
    <n v="1767.6750000000002"/>
    <m/>
    <m/>
    <m/>
    <m/>
  </r>
  <r>
    <n v="953"/>
    <x v="110"/>
    <x v="1"/>
    <x v="0"/>
    <x v="4"/>
    <x v="1"/>
    <x v="3"/>
    <s v="PWEGPL"/>
    <s v="MSEDCL"/>
    <n v="2.5000000000000001E-2"/>
    <n v="700"/>
    <x v="329"/>
    <s v="BD"/>
    <d v="1899-12-30T12:47:00"/>
    <d v="1899-12-30T14:13:00"/>
    <d v="1899-12-30T14:49:00"/>
    <n v="1.4333333333333336"/>
    <n v="0.60000000000000053"/>
    <n v="2.0333333333333341"/>
    <s v="Rebot &amp; Reset"/>
    <s v="Close"/>
    <n v="5.0833333333333355E-2"/>
    <s v="G26"/>
    <n v="100.14166666666671"/>
    <s v="None"/>
    <s v="WTG Breakdown Maintenance"/>
    <n v="1182"/>
    <n v="100.14166666666671"/>
    <m/>
    <m/>
    <m/>
    <m/>
  </r>
  <r>
    <n v="954"/>
    <x v="110"/>
    <x v="1"/>
    <x v="0"/>
    <x v="4"/>
    <x v="1"/>
    <x v="4"/>
    <s v="PWEGPL"/>
    <s v="MSEDCL"/>
    <n v="2.5000000000000001E-2"/>
    <n v="205"/>
    <x v="312"/>
    <s v="BD"/>
    <d v="1899-12-30T00:00:00"/>
    <d v="1899-12-30T01:06:00"/>
    <d v="1899-12-30T02:12:00"/>
    <n v="1.1000000000000001"/>
    <n v="1.1000000000000001"/>
    <n v="2.2000000000000002"/>
    <s v="Rebot &amp; Reset"/>
    <s v="Close"/>
    <n v="5.5000000000000007E-2"/>
    <s v="G36"/>
    <n v="107.15833333333335"/>
    <s v="None"/>
    <s v="WTG Breakdown Maintenance"/>
    <n v="1169"/>
    <n v="107.15833333333335"/>
    <m/>
    <m/>
    <m/>
    <m/>
  </r>
  <r>
    <n v="955"/>
    <x v="111"/>
    <x v="1"/>
    <x v="0"/>
    <x v="4"/>
    <x v="1"/>
    <x v="21"/>
    <s v="PWEGPL"/>
    <s v="MSEDCL"/>
    <n v="2.5000000000000001E-2"/>
    <s v="CE100010"/>
    <x v="296"/>
    <s v="PM"/>
    <d v="1899-12-30T10:09:00"/>
    <d v="1899-12-30T10:09:00"/>
    <d v="1899-12-30T18:47:00"/>
    <n v="0"/>
    <n v="8.6333333333333364"/>
    <n v="8.6333333333333364"/>
    <s v="102 month PM done"/>
    <s v="Close"/>
    <n v="0.21583333333333343"/>
    <s v="G04"/>
    <n v="2177.3986111111121"/>
    <s v="None"/>
    <s v="WTG Scheduled Maintenance"/>
    <n v="6053"/>
    <n v="2177.3986111111121"/>
    <m/>
    <m/>
    <m/>
    <m/>
  </r>
  <r>
    <n v="956"/>
    <x v="111"/>
    <x v="1"/>
    <x v="0"/>
    <x v="4"/>
    <x v="1"/>
    <x v="26"/>
    <s v="PWEGPL"/>
    <s v="MSEDCL"/>
    <n v="2.5000000000000001E-2"/>
    <s v="CE100010"/>
    <x v="296"/>
    <s v="PM"/>
    <d v="1899-12-30T07:38:00"/>
    <d v="1899-12-30T07:38:00"/>
    <d v="1899-12-30T15:01:00"/>
    <n v="0"/>
    <n v="7.3833333333333337"/>
    <n v="7.3833333333333337"/>
    <s v="102 month PM done"/>
    <s v="Close"/>
    <n v="0.18458333333333335"/>
    <s v="G01"/>
    <n v="1727.0847222222224"/>
    <s v="None"/>
    <s v="WTG Scheduled Maintenance"/>
    <n v="5614"/>
    <n v="1727.0847222222224"/>
    <m/>
    <m/>
    <m/>
    <m/>
  </r>
  <r>
    <n v="957"/>
    <x v="111"/>
    <x v="1"/>
    <x v="0"/>
    <x v="4"/>
    <x v="1"/>
    <x v="18"/>
    <s v="PWEGPL"/>
    <s v="MSEDCL"/>
    <n v="2.5000000000000001E-2"/>
    <n v="1813"/>
    <x v="332"/>
    <s v="BD"/>
    <d v="1899-12-30T00:56:00"/>
    <d v="1899-12-30T01:00:00"/>
    <d v="1899-12-30T01:10:00"/>
    <n v="6.6666666666666596E-2"/>
    <n v="0.16666666666666674"/>
    <n v="0.23333333333333334"/>
    <s v="Rebot &amp; Reset"/>
    <s v="Close"/>
    <n v="5.8333333333333336E-3"/>
    <s v="G18"/>
    <n v="1.7986111111111112"/>
    <s v="None"/>
    <s v="WTG Breakdown Maintenance"/>
    <n v="185"/>
    <n v="1.7986111111111112"/>
    <m/>
    <m/>
    <m/>
    <m/>
  </r>
  <r>
    <n v="958"/>
    <x v="111"/>
    <x v="1"/>
    <x v="0"/>
    <x v="4"/>
    <x v="1"/>
    <x v="19"/>
    <s v="PWEGPL"/>
    <s v="MSEDCL"/>
    <n v="2.5000000000000001E-2"/>
    <n v="5238"/>
    <x v="349"/>
    <s v="BD"/>
    <d v="1899-12-30T17:43:00"/>
    <d v="1899-12-30T18:07:00"/>
    <d v="1899-12-30T18:13:00"/>
    <n v="0.40000000000000124"/>
    <n v="9.9999999999999645E-2"/>
    <n v="0.50000000000000089"/>
    <s v="Rebot &amp; Reset"/>
    <s v="Close"/>
    <n v="1.2500000000000023E-2"/>
    <s v="G19"/>
    <n v="8.1666666666666803"/>
    <s v="None"/>
    <s v="WTG Breakdown Maintenance"/>
    <n v="392"/>
    <n v="8.1666666666666803"/>
    <m/>
    <m/>
    <m/>
    <m/>
  </r>
  <r>
    <n v="959"/>
    <x v="111"/>
    <x v="1"/>
    <x v="0"/>
    <x v="4"/>
    <x v="1"/>
    <x v="3"/>
    <s v="PWEGPL"/>
    <s v="MSEDCL"/>
    <n v="2.5000000000000001E-2"/>
    <n v="700"/>
    <x v="329"/>
    <s v="BD"/>
    <d v="1899-12-30T20:01:00"/>
    <d v="1899-12-30T21:48:00"/>
    <d v="1899-12-30T22:09:00"/>
    <n v="1.783333333333335"/>
    <n v="0.34999999999999876"/>
    <n v="2.1333333333333337"/>
    <s v="Rebot &amp; Reset"/>
    <s v="Close"/>
    <n v="5.3333333333333344E-2"/>
    <s v="G26"/>
    <n v="115.55555555555557"/>
    <s v="None"/>
    <s v="WTG Breakdown Maintenance"/>
    <n v="1300"/>
    <n v="115.55555555555557"/>
    <m/>
    <m/>
    <m/>
    <m/>
  </r>
  <r>
    <n v="960"/>
    <x v="111"/>
    <x v="1"/>
    <x v="0"/>
    <x v="4"/>
    <x v="1"/>
    <x v="4"/>
    <s v="PWEGPL"/>
    <s v="MSEDCL"/>
    <n v="2.5000000000000001E-2"/>
    <n v="205"/>
    <x v="312"/>
    <s v="BD"/>
    <d v="1899-12-30T21:26:00"/>
    <d v="1899-12-30T22:25:00"/>
    <d v="1899-12-30T23:00:00"/>
    <n v="0.9833333333333325"/>
    <n v="0.58333333333333393"/>
    <n v="1.5666666666666664"/>
    <s v="Oil Topup"/>
    <s v="Close"/>
    <n v="3.9166666666666662E-2"/>
    <s v="G36"/>
    <n v="55.943055555555553"/>
    <s v="None"/>
    <s v="WTG Breakdown Maintenance"/>
    <n v="857"/>
    <n v="55.943055555555553"/>
    <m/>
    <m/>
    <m/>
    <m/>
  </r>
  <r>
    <n v="961"/>
    <x v="111"/>
    <x v="1"/>
    <x v="0"/>
    <x v="4"/>
    <x v="1"/>
    <x v="5"/>
    <s v="PWEGPL"/>
    <s v="MSEDCL"/>
    <n v="2.5000000000000001E-2"/>
    <n v="205"/>
    <x v="312"/>
    <s v="BD"/>
    <d v="1899-12-30T00:00:00"/>
    <d v="1899-12-30T01:35:00"/>
    <d v="1899-12-30T02:44:00"/>
    <n v="1.5833333333333335"/>
    <n v="1.1499999999999999"/>
    <n v="2.7333333333333334"/>
    <s v="Oil Topup"/>
    <s v="Close"/>
    <n v="6.8333333333333343E-2"/>
    <s v="G39"/>
    <n v="174.93333333333334"/>
    <s v="None"/>
    <s v="WTG Breakdown Maintenance"/>
    <n v="1536"/>
    <n v="174.93333333333334"/>
    <m/>
    <m/>
    <m/>
    <m/>
  </r>
  <r>
    <n v="962"/>
    <x v="111"/>
    <x v="1"/>
    <x v="0"/>
    <x v="4"/>
    <x v="1"/>
    <x v="4"/>
    <s v="PWEGPL"/>
    <s v="MSEDCL"/>
    <n v="2.5000000000000001E-2"/>
    <n v="205"/>
    <x v="312"/>
    <s v="BD"/>
    <d v="1899-12-30T00:00:00"/>
    <d v="1899-12-30T03:16:00"/>
    <d v="1899-12-30T03:33:00"/>
    <n v="3.2666666666666666"/>
    <n v="0.28333333333333366"/>
    <n v="3.55"/>
    <s v="Rebot &amp; Reset"/>
    <s v="Close"/>
    <n v="8.8749999999999996E-2"/>
    <s v="G36"/>
    <n v="286.66249999999997"/>
    <s v="None"/>
    <s v="WTG Breakdown Maintenance"/>
    <n v="1938"/>
    <n v="286.66249999999997"/>
    <m/>
    <m/>
    <m/>
    <m/>
  </r>
  <r>
    <n v="963"/>
    <x v="112"/>
    <x v="1"/>
    <x v="0"/>
    <x v="4"/>
    <x v="1"/>
    <x v="17"/>
    <s v="PWEGPL"/>
    <s v="MSEDCL"/>
    <n v="2.5000000000000001E-2"/>
    <n v="5201"/>
    <x v="299"/>
    <s v="BD"/>
    <d v="1899-12-30T06:59:00"/>
    <d v="1899-12-30T09:41:00"/>
    <d v="1899-12-30T09:47:00"/>
    <n v="2.6999999999999997"/>
    <n v="9.9999999999999645E-2"/>
    <n v="2.7999999999999994"/>
    <s v="Rebot &amp; Reset"/>
    <s v="Close"/>
    <n v="6.9999999999999993E-2"/>
    <s v="G06"/>
    <n v="264.01666666666659"/>
    <s v="None"/>
    <s v="WTG Breakdown Maintenance"/>
    <n v="2263"/>
    <n v="264.01666666666659"/>
    <m/>
    <m/>
    <m/>
    <m/>
  </r>
  <r>
    <n v="964"/>
    <x v="112"/>
    <x v="1"/>
    <x v="0"/>
    <x v="4"/>
    <x v="1"/>
    <x v="37"/>
    <s v="PWEGPL"/>
    <s v="MSEDCL"/>
    <n v="2.5000000000000001E-2"/>
    <n v="125"/>
    <x v="343"/>
    <s v="BD"/>
    <d v="1899-12-30T06:39:00"/>
    <d v="1899-12-30T06:56:00"/>
    <d v="1899-12-30T10:53:00"/>
    <n v="0.28333333333333366"/>
    <n v="3.9499999999999993"/>
    <n v="4.2333333333333325"/>
    <s v="contactor malfunction trouble shooting"/>
    <s v="Close"/>
    <n v="0.10583333333333332"/>
    <s v="G17"/>
    <n v="441.67777777777769"/>
    <s v="None"/>
    <s v="WTG Breakdown Maintenance"/>
    <n v="2504"/>
    <n v="441.67777777777769"/>
    <m/>
    <m/>
    <m/>
    <m/>
  </r>
  <r>
    <n v="965"/>
    <x v="112"/>
    <x v="1"/>
    <x v="0"/>
    <x v="4"/>
    <x v="1"/>
    <x v="34"/>
    <s v="PWEGPL"/>
    <s v="MSEDCL"/>
    <n v="2.5000000000000001E-2"/>
    <n v="2118"/>
    <x v="293"/>
    <s v="BD"/>
    <d v="1899-12-30T11:07:00"/>
    <d v="1899-12-30T11:27:00"/>
    <d v="1899-12-30T12:30:00"/>
    <n v="0.33333333333333215"/>
    <n v="1.0500000000000016"/>
    <n v="1.3833333333333337"/>
    <s v="slipring cleaned"/>
    <s v="Close"/>
    <n v="3.4583333333333348E-2"/>
    <s v="G21"/>
    <n v="53.719444444444463"/>
    <s v="None"/>
    <s v="WTG Breakdown Maintenance"/>
    <n v="932"/>
    <n v="53.719444444444463"/>
    <m/>
    <m/>
    <m/>
    <m/>
  </r>
  <r>
    <n v="966"/>
    <x v="112"/>
    <x v="1"/>
    <x v="0"/>
    <x v="4"/>
    <x v="1"/>
    <x v="3"/>
    <s v="PWEGPL"/>
    <s v="MSEDCL"/>
    <n v="2.5000000000000001E-2"/>
    <n v="700"/>
    <x v="329"/>
    <s v="BD"/>
    <d v="1899-12-30T02:56:00"/>
    <d v="1899-12-30T03:40:00"/>
    <d v="1899-12-30T03:51:00"/>
    <n v="0.73333333333333273"/>
    <n v="0.18333333333333401"/>
    <n v="0.91666666666666674"/>
    <s v="Rebot &amp; Reset"/>
    <s v="Close"/>
    <n v="2.2916666666666669E-2"/>
    <s v="G26"/>
    <n v="19.326388888888889"/>
    <s v="None"/>
    <s v="WTG Breakdown Maintenance"/>
    <n v="506"/>
    <n v="19.326388888888889"/>
    <m/>
    <m/>
    <m/>
    <m/>
  </r>
  <r>
    <n v="967"/>
    <x v="112"/>
    <x v="1"/>
    <x v="0"/>
    <x v="4"/>
    <x v="1"/>
    <x v="4"/>
    <s v="PWEGPL"/>
    <s v="MSEDCL"/>
    <n v="2.5000000000000001E-2"/>
    <n v="205"/>
    <x v="312"/>
    <s v="Manual stop"/>
    <d v="1899-12-30T15:06:00"/>
    <d v="1899-12-30T15:06:00"/>
    <d v="1899-12-30T15:46:00"/>
    <n v="0"/>
    <n v="0.66666666666666696"/>
    <n v="0.66666666666666696"/>
    <s v="oil top up"/>
    <s v="Close"/>
    <n v="1.6666666666666673E-2"/>
    <s v="G36"/>
    <n v="8.0555555555555589"/>
    <s v="None"/>
    <s v="WTG Unscheduled Maintenance"/>
    <n v="290"/>
    <n v="8.0555555555555589"/>
    <m/>
    <m/>
    <m/>
    <m/>
  </r>
  <r>
    <n v="968"/>
    <x v="112"/>
    <x v="1"/>
    <x v="0"/>
    <x v="4"/>
    <x v="1"/>
    <x v="5"/>
    <s v="PWEGPL"/>
    <s v="MSEDCL"/>
    <n v="2.5000000000000001E-2"/>
    <n v="1894"/>
    <x v="325"/>
    <s v="BD"/>
    <d v="1899-12-30T08:28:00"/>
    <d v="1899-12-30T10:29:00"/>
    <d v="1899-12-30T10:57:00"/>
    <n v="2.0166666666666648"/>
    <n v="0.46666666666666767"/>
    <n v="2.4833333333333325"/>
    <s v="mcb reset"/>
    <s v="Close"/>
    <n v="6.2083333333333317E-2"/>
    <s v="G36"/>
    <n v="111.23263888888884"/>
    <s v="None"/>
    <s v="WTG Breakdown Maintenance"/>
    <n v="1075"/>
    <n v="111.23263888888884"/>
    <m/>
    <m/>
    <m/>
    <m/>
  </r>
  <r>
    <n v="969"/>
    <x v="112"/>
    <x v="1"/>
    <x v="0"/>
    <x v="4"/>
    <x v="1"/>
    <x v="3"/>
    <s v="PWEGPL"/>
    <s v="MSEDCL"/>
    <n v="2.5000000000000001E-2"/>
    <n v="700"/>
    <x v="329"/>
    <s v="BD"/>
    <d v="1899-12-30T11:09:00"/>
    <d v="1899-12-30T11:09:00"/>
    <d v="1899-12-30T11:21:00"/>
    <n v="0"/>
    <n v="0.19999999999999929"/>
    <n v="0.19999999999999929"/>
    <s v="Rebot &amp; Reset"/>
    <s v="Close"/>
    <n v="4.9999999999999828E-3"/>
    <s v="G26"/>
    <n v="0.9166666666666633"/>
    <s v="None"/>
    <s v="WTG Breakdown Maintenance"/>
    <n v="110"/>
    <n v="0.9166666666666633"/>
    <m/>
    <m/>
    <m/>
    <m/>
  </r>
  <r>
    <n v="970"/>
    <x v="112"/>
    <x v="1"/>
    <x v="0"/>
    <x v="4"/>
    <x v="1"/>
    <x v="3"/>
    <s v="PWEGPL"/>
    <s v="MSEDCL"/>
    <n v="2.5000000000000001E-2"/>
    <n v="700"/>
    <x v="329"/>
    <s v="BD"/>
    <d v="1899-12-30T07:09:00"/>
    <d v="1899-12-30T07:49:00"/>
    <d v="1899-12-30T08:02:00"/>
    <n v="0.66666666666666696"/>
    <n v="0.2166666666666659"/>
    <n v="0.88333333333333286"/>
    <s v="Rebot &amp; Reset"/>
    <s v="Close"/>
    <n v="2.2083333333333323E-2"/>
    <s v="G26"/>
    <n v="17.813888888888879"/>
    <s v="None"/>
    <s v="WTG Breakdown Maintenance"/>
    <n v="484"/>
    <n v="17.813888888888879"/>
    <m/>
    <m/>
    <m/>
    <m/>
  </r>
  <r>
    <n v="971"/>
    <x v="112"/>
    <x v="1"/>
    <x v="0"/>
    <x v="4"/>
    <x v="1"/>
    <x v="37"/>
    <s v="PWEGPL"/>
    <s v="MSEDCL"/>
    <n v="2.5000000000000001E-2"/>
    <n v="125"/>
    <x v="343"/>
    <s v="BD"/>
    <d v="1899-12-30T05:28:00"/>
    <d v="1899-12-30T06:02:00"/>
    <d v="1899-12-30T06:13:00"/>
    <n v="0.56666666666666665"/>
    <n v="0.18333333333333401"/>
    <n v="0.75000000000000067"/>
    <s v="Rebot &amp; Reset"/>
    <s v="Close"/>
    <n v="1.8750000000000017E-2"/>
    <s v="G17"/>
    <n v="9.6875000000000089"/>
    <s v="None"/>
    <s v="WTG Breakdown Maintenance"/>
    <n v="310"/>
    <n v="9.6875000000000089"/>
    <m/>
    <m/>
    <m/>
    <m/>
  </r>
  <r>
    <n v="972"/>
    <x v="113"/>
    <x v="1"/>
    <x v="0"/>
    <x v="4"/>
    <x v="1"/>
    <x v="17"/>
    <s v="PWEGPL"/>
    <s v="MSEDCL"/>
    <n v="2.5000000000000001E-2"/>
    <n v="222"/>
    <x v="323"/>
    <s v="BD"/>
    <d v="1899-12-30T22:58:00"/>
    <d v="1899-12-30T23:59:00"/>
    <d v="1899-12-30T23:59:00"/>
    <n v="1.0166666666666684"/>
    <n v="0"/>
    <n v="1.0166666666666684"/>
    <s v="reset"/>
    <s v="Close"/>
    <n v="2.5416666666666712E-2"/>
    <s v="G06"/>
    <n v="31.851731288580353"/>
    <s v="None"/>
    <s v="WTG Breakdown Maintenance"/>
    <n v="751.90972222222354"/>
    <n v="31.851731288580353"/>
    <m/>
    <m/>
    <m/>
    <m/>
  </r>
  <r>
    <n v="973"/>
    <x v="113"/>
    <x v="1"/>
    <x v="0"/>
    <x v="4"/>
    <x v="1"/>
    <x v="37"/>
    <s v="PWEGPL"/>
    <s v="MSEDCL"/>
    <n v="2.5000000000000001E-2"/>
    <n v="102"/>
    <x v="337"/>
    <s v="BD"/>
    <d v="1899-12-30T14:32:00"/>
    <d v="1899-12-30T16:06:00"/>
    <d v="1899-12-30T16:23:00"/>
    <n v="1.5666666666666691"/>
    <n v="0.28333333333333233"/>
    <n v="1.8500000000000014"/>
    <s v="reset"/>
    <s v="Close"/>
    <n v="4.6250000000000041E-2"/>
    <s v="G17"/>
    <n v="81.533932291666787"/>
    <s v="None"/>
    <s v="WTG Breakdown Maintenance"/>
    <n v="1057.7375000000009"/>
    <n v="81.533932291666787"/>
    <m/>
    <m/>
    <m/>
    <m/>
  </r>
  <r>
    <n v="974"/>
    <x v="113"/>
    <x v="1"/>
    <x v="0"/>
    <x v="4"/>
    <x v="1"/>
    <x v="15"/>
    <s v="PWEGPL"/>
    <s v="MSEDCL"/>
    <n v="2.5000000000000001E-2"/>
    <n v="102"/>
    <x v="337"/>
    <s v="BD"/>
    <d v="1899-12-30T11:31:00"/>
    <d v="1899-12-30T11:31:00"/>
    <d v="1899-12-30T12:00:00"/>
    <n v="0"/>
    <n v="0.48333333333333295"/>
    <n v="0.48333333333333295"/>
    <s v="Trouble shotting WIP"/>
    <s v="Close"/>
    <n v="1.2083333333333324E-2"/>
    <s v="G36"/>
    <n v="4.1319965277777708"/>
    <s v="None"/>
    <s v="WTG Breakdown Maintenance"/>
    <n v="205.17499999999984"/>
    <n v="4.1319965277777708"/>
    <m/>
    <m/>
    <m/>
    <m/>
  </r>
  <r>
    <n v="975"/>
    <x v="113"/>
    <x v="1"/>
    <x v="0"/>
    <x v="4"/>
    <x v="1"/>
    <x v="4"/>
    <s v="PWEGPL"/>
    <s v="MSEDCL"/>
    <n v="2.5000000000000001E-2"/>
    <n v="402"/>
    <x v="300"/>
    <s v="Manual stop"/>
    <d v="1899-12-30T11:41:00"/>
    <d v="1899-12-30T11:41:00"/>
    <d v="1899-12-30T16:46:00"/>
    <n v="0"/>
    <n v="5.0833333333333321"/>
    <n v="5.0833333333333321"/>
    <s v="oil leakage arresing work"/>
    <s v="Close"/>
    <n v="0.1270833333333333"/>
    <s v="G36"/>
    <n v="457.04991319444423"/>
    <s v="None"/>
    <s v="WTG Unscheduled Maintenance"/>
    <n v="2157.8749999999995"/>
    <n v="457.04991319444423"/>
    <m/>
    <m/>
    <m/>
    <m/>
  </r>
  <r>
    <n v="976"/>
    <x v="113"/>
    <x v="1"/>
    <x v="0"/>
    <x v="4"/>
    <x v="1"/>
    <x v="7"/>
    <s v="PWEGPL"/>
    <s v="MSEDCL"/>
    <n v="2.5000000000000001E-2"/>
    <n v="905"/>
    <x v="350"/>
    <s v="BD"/>
    <d v="1899-12-30T13:54:00"/>
    <d v="1899-12-30T14:32:00"/>
    <d v="1899-12-30T15:07:00"/>
    <n v="0.63333333333333108"/>
    <n v="0.58333333333333393"/>
    <n v="1.216666666666665"/>
    <s v="break power supply replaced."/>
    <s v="Close"/>
    <n v="3.0416666666666627E-2"/>
    <s v="G39"/>
    <n v="26.768356481481408"/>
    <s v="None"/>
    <s v="WTG Breakdown Maintenance"/>
    <n v="528.03333333333262"/>
    <n v="26.768356481481408"/>
    <m/>
    <m/>
    <m/>
    <m/>
  </r>
  <r>
    <n v="977"/>
    <x v="113"/>
    <x v="1"/>
    <x v="0"/>
    <x v="4"/>
    <x v="1"/>
    <x v="3"/>
    <s v="PWEGPL"/>
    <s v="MSEDCL"/>
    <n v="2.5000000000000001E-2"/>
    <n v="700"/>
    <x v="329"/>
    <s v="BD"/>
    <d v="1899-12-30T22:24:00"/>
    <d v="1899-12-30T23:59:00"/>
    <d v="1899-12-30T23:59:00"/>
    <n v="1.5833333333333357"/>
    <n v="0"/>
    <n v="1.5833333333333357"/>
    <s v="reset"/>
    <s v="Close"/>
    <n v="3.9583333333333394E-2"/>
    <s v="G26"/>
    <n v="52.843750000000078"/>
    <s v="None"/>
    <s v="WTG Breakdown Maintenance"/>
    <n v="801"/>
    <n v="52.843750000000078"/>
    <m/>
    <m/>
    <m/>
    <m/>
  </r>
  <r>
    <n v="978"/>
    <x v="114"/>
    <x v="1"/>
    <x v="0"/>
    <x v="4"/>
    <x v="1"/>
    <x v="17"/>
    <s v="PWEGPL"/>
    <s v="MSEDCL"/>
    <n v="2.5000000000000001E-2"/>
    <n v="222"/>
    <x v="323"/>
    <s v="BD"/>
    <d v="1899-12-30T00:00:00"/>
    <d v="1899-12-30T00:03:00"/>
    <d v="1899-12-30T00:05:00"/>
    <n v="0.05"/>
    <n v="3.3333333333333326E-2"/>
    <n v="8.3333333333333329E-2"/>
    <s v="reset"/>
    <s v="Close"/>
    <n v="2.0833333333333333E-3"/>
    <s v="G06"/>
    <n v="0.15453800154320985"/>
    <s v="None"/>
    <s v="WTG Breakdown Maintenance"/>
    <n v="44.506944444444443"/>
    <n v="0.15453800154320985"/>
    <m/>
    <m/>
    <m/>
    <m/>
  </r>
  <r>
    <n v="979"/>
    <x v="114"/>
    <x v="1"/>
    <x v="0"/>
    <x v="4"/>
    <x v="1"/>
    <x v="37"/>
    <s v="PWEGPL"/>
    <s v="MSEDCL"/>
    <n v="2.5000000000000001E-2"/>
    <s v="CE100001"/>
    <x v="288"/>
    <s v="Manual stop"/>
    <d v="1899-12-30T10:44:00"/>
    <d v="1899-12-30T10:44:00"/>
    <d v="1899-12-30T12:17:00"/>
    <n v="0"/>
    <n v="1.5499999999999998"/>
    <n v="1.5499999999999998"/>
    <s v="Motor contactor replaced"/>
    <s v="Close"/>
    <n v="3.875E-2"/>
    <s v="G17"/>
    <n v="44.429565972222214"/>
    <s v="None"/>
    <s v="WTG Unscheduled Maintenance"/>
    <n v="687.94166666666661"/>
    <n v="44.429565972222214"/>
    <m/>
    <m/>
    <m/>
    <m/>
  </r>
  <r>
    <n v="980"/>
    <x v="114"/>
    <x v="1"/>
    <x v="0"/>
    <x v="4"/>
    <x v="1"/>
    <x v="12"/>
    <s v="PWEGPL"/>
    <s v="MSEDCL"/>
    <n v="2.5000000000000001E-2"/>
    <n v="205"/>
    <x v="312"/>
    <s v="BD"/>
    <d v="1899-12-30T04:34:00"/>
    <d v="1899-12-30T05:45:00"/>
    <d v="1899-12-30T07:06:00"/>
    <n v="1.1833333333333338"/>
    <n v="1.3499999999999999"/>
    <n v="2.5333333333333337"/>
    <s v="Oil top up"/>
    <s v="Close"/>
    <n v="6.3333333333333339E-2"/>
    <s v="G30"/>
    <n v="115.02975308641977"/>
    <s v="None"/>
    <s v="WTG Breakdown Maintenance"/>
    <n v="1089.7555555555557"/>
    <n v="115.02975308641977"/>
    <m/>
    <m/>
    <m/>
    <m/>
  </r>
  <r>
    <n v="981"/>
    <x v="114"/>
    <x v="1"/>
    <x v="0"/>
    <x v="4"/>
    <x v="1"/>
    <x v="3"/>
    <s v="PWEGPL"/>
    <s v="MSEDCL"/>
    <n v="2.5000000000000001E-2"/>
    <n v="700"/>
    <x v="329"/>
    <s v="BD"/>
    <d v="1899-12-30T00:00:00"/>
    <d v="1899-12-30T01:39:00"/>
    <d v="1899-12-30T01:40:00"/>
    <n v="1.65"/>
    <n v="1.6666666666666607E-2"/>
    <n v="1.6666666666666665"/>
    <s v="reset"/>
    <s v="Close"/>
    <n v="4.1666666666666664E-2"/>
    <s v="G26"/>
    <n v="44.502314814814802"/>
    <s v="None"/>
    <s v="WTG Breakdown Maintenance"/>
    <n v="640.83333333333326"/>
    <n v="44.502314814814802"/>
    <m/>
    <m/>
    <m/>
    <m/>
  </r>
  <r>
    <n v="982"/>
    <x v="114"/>
    <x v="1"/>
    <x v="0"/>
    <x v="4"/>
    <x v="1"/>
    <x v="16"/>
    <s v="PWEGPL"/>
    <s v="MSEDCL"/>
    <n v="2.5000000000000001E-2"/>
    <n v="1894"/>
    <x v="325"/>
    <s v="BD"/>
    <d v="1899-12-30T06:24:00"/>
    <d v="1899-12-30T07:22:00"/>
    <d v="1899-12-30T07:25:00"/>
    <n v="0.9666666666666659"/>
    <n v="5.0000000000001155E-2"/>
    <n v="1.0166666666666671"/>
    <s v="reset"/>
    <s v="Close"/>
    <n v="2.5416666666666678E-2"/>
    <s v="G35"/>
    <n v="18.526043595679027"/>
    <s v="None"/>
    <s v="WTG Breakdown Maintenance"/>
    <n v="437.33611111111128"/>
    <n v="18.526043595679027"/>
    <m/>
    <m/>
    <m/>
    <m/>
  </r>
  <r>
    <n v="983"/>
    <x v="114"/>
    <x v="1"/>
    <x v="0"/>
    <x v="4"/>
    <x v="1"/>
    <x v="3"/>
    <s v="PWEGPL"/>
    <s v="MSEDCL"/>
    <n v="2.5000000000000001E-2"/>
    <s v="CE100001"/>
    <x v="288"/>
    <s v="Manual stop"/>
    <d v="1899-12-30T14:27:00"/>
    <d v="1899-12-30T14:27:00"/>
    <d v="1899-12-30T15:44:00"/>
    <n v="0"/>
    <n v="1.2833333333333341"/>
    <n v="1.2833333333333341"/>
    <s v="slipring changed"/>
    <s v="Close"/>
    <n v="3.2083333333333353E-2"/>
    <s v="G26"/>
    <n v="28.135300925925961"/>
    <s v="None"/>
    <s v="WTG Unscheduled Maintenance"/>
    <n v="526.16666666666697"/>
    <n v="28.135300925925961"/>
    <m/>
    <m/>
    <m/>
    <m/>
  </r>
  <r>
    <n v="984"/>
    <x v="114"/>
    <x v="1"/>
    <x v="0"/>
    <x v="4"/>
    <x v="1"/>
    <x v="24"/>
    <s v="PWEGPL"/>
    <s v="MSEDCL"/>
    <n v="2.5000000000000001E-2"/>
    <n v="205"/>
    <x v="312"/>
    <s v="BD"/>
    <d v="1899-12-30T16:12:00"/>
    <d v="1899-12-30T16:15:00"/>
    <d v="1899-12-30T17:04:00"/>
    <n v="5.0000000000002487E-2"/>
    <n v="0.81666666666666643"/>
    <n v="0.86666666666666892"/>
    <s v="oil top up"/>
    <s v="Close"/>
    <n v="2.1666666666666723E-2"/>
    <s v="G22"/>
    <n v="15.648148148148231"/>
    <s v="None"/>
    <s v="WTG Breakdown Maintenance"/>
    <n v="433.33333333333445"/>
    <n v="15.648148148148231"/>
    <m/>
    <m/>
    <m/>
    <m/>
  </r>
  <r>
    <n v="985"/>
    <x v="115"/>
    <x v="1"/>
    <x v="0"/>
    <x v="4"/>
    <x v="1"/>
    <x v="21"/>
    <s v="PWEGPL"/>
    <s v="MSEDCL"/>
    <n v="2.5000000000000001E-2"/>
    <n v="5234"/>
    <x v="351"/>
    <s v="BD"/>
    <d v="1899-12-30T17:29:00"/>
    <d v="1899-12-30T17:29:00"/>
    <d v="1899-12-30T18:15:00"/>
    <n v="0"/>
    <n v="0.76666666666666394"/>
    <n v="0.76666666666666394"/>
    <s v="reset"/>
    <s v="Close"/>
    <n v="1.9166666666666599E-2"/>
    <s v="G07"/>
    <n v="34.837058256172696"/>
    <s v="None"/>
    <s v="WTG Breakdown Maintenance"/>
    <n v="1090.5513888888884"/>
    <n v="34.837058256172696"/>
    <m/>
    <m/>
    <m/>
    <m/>
  </r>
  <r>
    <n v="986"/>
    <x v="115"/>
    <x v="1"/>
    <x v="0"/>
    <x v="4"/>
    <x v="1"/>
    <x v="38"/>
    <s v="PWEGPL"/>
    <s v="MSEDCL"/>
    <n v="2.5000000000000001E-2"/>
    <n v="5268"/>
    <x v="342"/>
    <s v="BD"/>
    <d v="1899-12-30T14:09:00"/>
    <d v="1899-12-30T14:30:00"/>
    <d v="1899-12-30T14:46:00"/>
    <n v="0.34999999999999876"/>
    <n v="0.26666666666666838"/>
    <n v="0.61666666666666714"/>
    <s v="reset"/>
    <s v="Close"/>
    <n v="1.5416666666666679E-2"/>
    <s v="G19"/>
    <n v="7.3758043981481594"/>
    <s v="None"/>
    <s v="WTG Breakdown Maintenance"/>
    <n v="287.05833333333356"/>
    <n v="7.3758043981481594"/>
    <m/>
    <m/>
    <m/>
    <m/>
  </r>
  <r>
    <n v="987"/>
    <x v="115"/>
    <x v="1"/>
    <x v="0"/>
    <x v="4"/>
    <x v="1"/>
    <x v="18"/>
    <s v="PWEGPL"/>
    <s v="MSEDCL"/>
    <n v="2.5000000000000001E-2"/>
    <n v="404"/>
    <x v="352"/>
    <s v="Manual stop"/>
    <d v="1899-12-30T10:46:00"/>
    <d v="1899-12-30T10:46:00"/>
    <d v="1899-12-30T17:55:00"/>
    <n v="0"/>
    <n v="7.15"/>
    <n v="7.15"/>
    <s v="Gear box damper replaced"/>
    <s v="Close"/>
    <n v="0.17875000000000002"/>
    <s v="G20"/>
    <n v="1286.9379340277778"/>
    <s v="None"/>
    <s v="WTG Unscheduled Maintenance"/>
    <n v="4319.791666666667"/>
    <n v="1286.9379340277778"/>
    <m/>
    <m/>
    <m/>
    <m/>
  </r>
  <r>
    <n v="988"/>
    <x v="115"/>
    <x v="1"/>
    <x v="0"/>
    <x v="4"/>
    <x v="1"/>
    <x v="16"/>
    <s v="PWEGPL"/>
    <s v="MSEDCL"/>
    <n v="2.5000000000000001E-2"/>
    <n v="118"/>
    <x v="313"/>
    <s v="BD"/>
    <d v="1899-12-30T16:30:00"/>
    <d v="1899-12-30T16:53:00"/>
    <d v="1899-12-30T23:58:00"/>
    <n v="0.38333333333333197"/>
    <n v="7.0833333333333321"/>
    <n v="7.4666666666666641"/>
    <s v="Yaw encoder replaced"/>
    <s v="Close"/>
    <n v="0.18666666666666662"/>
    <s v="G35"/>
    <n v="881.3708641975303"/>
    <s v="None"/>
    <s v="WTG Breakdown Maintenance"/>
    <n v="2832.9777777777767"/>
    <n v="881.3708641975303"/>
    <m/>
    <m/>
    <m/>
    <m/>
  </r>
  <r>
    <n v="989"/>
    <x v="116"/>
    <x v="1"/>
    <x v="0"/>
    <x v="4"/>
    <x v="1"/>
    <x v="22"/>
    <s v="PWEGPL"/>
    <s v="MSEDCL"/>
    <n v="2.5000000000000001E-2"/>
    <n v="426"/>
    <x v="353"/>
    <s v="BD"/>
    <d v="1899-12-30T16:41:00"/>
    <d v="1899-12-30T17:40:00"/>
    <d v="1899-12-30T18:17:00"/>
    <n v="0.98333333333333517"/>
    <n v="0.61666666666666714"/>
    <n v="1.6000000000000023"/>
    <s v="Sensor replaced"/>
    <s v="Close"/>
    <n v="4.0000000000000063E-2"/>
    <s v="G04"/>
    <n v="72.466666666666768"/>
    <s v="None"/>
    <s v="WTG Breakdown Maintenance"/>
    <n v="1087"/>
    <n v="72.466666666666768"/>
    <m/>
    <m/>
    <m/>
    <m/>
  </r>
  <r>
    <n v="990"/>
    <x v="116"/>
    <x v="1"/>
    <x v="0"/>
    <x v="4"/>
    <x v="1"/>
    <x v="26"/>
    <s v="PWEGPL"/>
    <s v="MSEDCL"/>
    <n v="2.5000000000000001E-2"/>
    <n v="2118"/>
    <x v="293"/>
    <s v="BD"/>
    <d v="1899-12-30T17:42:00"/>
    <d v="1899-12-30T18:29:00"/>
    <d v="1899-12-30T18:33:00"/>
    <n v="0.78333333333333588"/>
    <n v="6.666666666666643E-2"/>
    <n v="0.85000000000000231"/>
    <s v="Rebot &amp; Reset"/>
    <s v="Close"/>
    <n v="2.1250000000000061E-2"/>
    <s v="G04"/>
    <n v="20.435416666666722"/>
    <s v="None"/>
    <s v="WTG Breakdown Maintenance"/>
    <n v="577"/>
    <n v="20.435416666666722"/>
    <m/>
    <m/>
    <m/>
    <m/>
  </r>
  <r>
    <n v="991"/>
    <x v="116"/>
    <x v="1"/>
    <x v="0"/>
    <x v="4"/>
    <x v="1"/>
    <x v="29"/>
    <s v="PWEGPL"/>
    <s v="MSEDCL"/>
    <n v="2.5000000000000001E-2"/>
    <n v="700"/>
    <x v="329"/>
    <s v="BD"/>
    <d v="1899-12-30T17:15:00"/>
    <d v="1899-12-30T17:19:00"/>
    <d v="1899-12-30T17:52:00"/>
    <n v="6.666666666666643E-2"/>
    <n v="0.55000000000000071"/>
    <n v="0.61666666666666714"/>
    <s v="Rebot &amp; Reset"/>
    <s v="Close"/>
    <n v="1.5416666666666679E-2"/>
    <s v="G10"/>
    <n v="11.922222222222231"/>
    <s v="None"/>
    <s v="WTG Breakdown Maintenance"/>
    <n v="464"/>
    <n v="11.922222222222231"/>
    <m/>
    <m/>
    <m/>
    <m/>
  </r>
  <r>
    <n v="992"/>
    <x v="116"/>
    <x v="1"/>
    <x v="0"/>
    <x v="4"/>
    <x v="1"/>
    <x v="29"/>
    <s v="PWEGPL"/>
    <s v="MSEDCL"/>
    <n v="2.5000000000000001E-2"/>
    <n v="2118"/>
    <x v="293"/>
    <s v="BD"/>
    <d v="1899-12-30T19:57:00"/>
    <d v="1899-12-30T23:59:00"/>
    <d v="1899-12-30T23:59:00"/>
    <n v="4.033333333333335"/>
    <n v="0"/>
    <n v="4.033333333333335"/>
    <s v="Rebot &amp; Reset"/>
    <s v="Open"/>
    <n v="0.10083333333333339"/>
    <s v="G10"/>
    <n v="510.38472222222248"/>
    <s v="None"/>
    <s v="WTG Breakdown Maintenance"/>
    <n v="3037"/>
    <n v="510.38472222222248"/>
    <m/>
    <m/>
    <m/>
    <m/>
  </r>
  <r>
    <n v="993"/>
    <x v="116"/>
    <x v="1"/>
    <x v="0"/>
    <x v="4"/>
    <x v="1"/>
    <x v="37"/>
    <s v="PWEGPL"/>
    <s v="MSEDCL"/>
    <n v="2.5000000000000001E-2"/>
    <n v="5201"/>
    <x v="299"/>
    <s v="BD"/>
    <d v="1899-12-30T19:53:00"/>
    <d v="1899-12-30T21:05:00"/>
    <d v="1899-12-30T21:38:00"/>
    <n v="1.2000000000000011"/>
    <n v="0.55000000000000071"/>
    <n v="1.7500000000000018"/>
    <s v="Rebot &amp; Reset"/>
    <s v="Close"/>
    <n v="4.3750000000000046E-2"/>
    <s v="G15"/>
    <n v="94.208333333333428"/>
    <s v="None"/>
    <s v="WTG Breakdown Maintenance"/>
    <n v="1292"/>
    <n v="94.208333333333428"/>
    <m/>
    <m/>
    <m/>
    <m/>
  </r>
  <r>
    <n v="994"/>
    <x v="116"/>
    <x v="1"/>
    <x v="0"/>
    <x v="4"/>
    <x v="1"/>
    <x v="0"/>
    <s v="PWEGPL"/>
    <s v="MSEDCL"/>
    <n v="2.5000000000000001E-2"/>
    <n v="5201"/>
    <x v="299"/>
    <s v="BD"/>
    <d v="1899-12-30T20:26:00"/>
    <d v="1899-12-30T21:22:00"/>
    <d v="1899-12-30T21:32:00"/>
    <n v="0.93333333333333535"/>
    <n v="0.16666666666666607"/>
    <n v="1.1000000000000014"/>
    <s v="Rebot &amp; Reset"/>
    <s v="Close"/>
    <n v="2.7500000000000038E-2"/>
    <s v="G15"/>
    <n v="37.216666666666718"/>
    <s v="None"/>
    <s v="WTG Breakdown Maintenance"/>
    <n v="812"/>
    <n v="37.216666666666718"/>
    <m/>
    <m/>
    <m/>
    <m/>
  </r>
  <r>
    <n v="995"/>
    <x v="116"/>
    <x v="1"/>
    <x v="0"/>
    <x v="4"/>
    <x v="1"/>
    <x v="18"/>
    <s v="PWEGPL"/>
    <s v="MSEDCL"/>
    <n v="2.5000000000000001E-2"/>
    <s v="CE100001"/>
    <x v="288"/>
    <s v="Manual stop"/>
    <d v="1899-12-30T12:45:00"/>
    <d v="1899-12-30T12:45:00"/>
    <d v="1899-12-30T15:49:00"/>
    <n v="0"/>
    <n v="3.0666666666666664"/>
    <n v="3.0666666666666664"/>
    <s v="Hose replaced"/>
    <s v="Close"/>
    <n v="7.6666666666666661E-2"/>
    <s v="G20"/>
    <n v="320.84999999999997"/>
    <s v="None"/>
    <s v="WTG Unscheduled Maintenance"/>
    <n v="2511"/>
    <n v="320.84999999999997"/>
    <m/>
    <m/>
    <m/>
    <m/>
  </r>
  <r>
    <n v="996"/>
    <x v="116"/>
    <x v="1"/>
    <x v="0"/>
    <x v="4"/>
    <x v="1"/>
    <x v="15"/>
    <s v="PWEGPL"/>
    <s v="MSEDCL"/>
    <n v="2.5000000000000001E-2"/>
    <n v="107"/>
    <x v="354"/>
    <s v="BD"/>
    <d v="1899-12-30T16:08:00"/>
    <d v="1899-12-30T17:45:00"/>
    <d v="1899-12-30T18:30:00"/>
    <n v="1.6166666666666689"/>
    <n v="0.75"/>
    <n v="2.3666666666666689"/>
    <s v="Rebot &amp; Reset"/>
    <s v="Close"/>
    <n v="5.9166666666666728E-2"/>
    <s v="G34"/>
    <n v="109.16250000000011"/>
    <s v="None"/>
    <s v="WTG Breakdown Maintenance"/>
    <n v="1107"/>
    <n v="109.16250000000011"/>
    <m/>
    <m/>
    <m/>
    <m/>
  </r>
  <r>
    <n v="997"/>
    <x v="116"/>
    <x v="1"/>
    <x v="0"/>
    <x v="4"/>
    <x v="1"/>
    <x v="16"/>
    <s v="PWEGPL"/>
    <s v="MSEDCL"/>
    <n v="2.5000000000000001E-2"/>
    <n v="118"/>
    <x v="313"/>
    <s v="BD"/>
    <d v="1899-12-30T00:00:00"/>
    <d v="1899-12-30T00:01:00"/>
    <d v="1899-12-30T01:07:00"/>
    <n v="1.6666666666666666E-2"/>
    <n v="1.1000000000000001"/>
    <n v="1.1166666666666667"/>
    <s v="Software updated"/>
    <s v="Close"/>
    <n v="2.7916666666666669E-2"/>
    <s v="G34"/>
    <n v="24.287500000000001"/>
    <s v="None"/>
    <s v="WTG Breakdown Maintenance"/>
    <n v="522"/>
    <n v="24.287500000000001"/>
    <m/>
    <m/>
    <m/>
    <m/>
  </r>
  <r>
    <n v="998"/>
    <x v="117"/>
    <x v="1"/>
    <x v="0"/>
    <x v="4"/>
    <x v="1"/>
    <x v="21"/>
    <s v="PWEGPL"/>
    <s v="MSEDCL"/>
    <n v="2.5000000000000001E-2"/>
    <n v="200"/>
    <x v="314"/>
    <s v="Manual stop"/>
    <d v="1899-12-30T13:47:00"/>
    <d v="1899-12-30T13:47:00"/>
    <d v="1899-12-30T14:47:00"/>
    <n v="0"/>
    <n v="1.0000000000000018"/>
    <n v="1.0000000000000018"/>
    <s v=" hyd pump spider replacement work"/>
    <s v="Close"/>
    <n v="2.5000000000000046E-2"/>
    <s v="G03"/>
    <n v="24.611111111111196"/>
    <s v="None"/>
    <s v="WTG Unscheduled Maintenance"/>
    <n v="590.66666666666765"/>
    <n v="24.611111111111196"/>
    <m/>
    <m/>
    <m/>
    <m/>
  </r>
  <r>
    <n v="999"/>
    <x v="117"/>
    <x v="1"/>
    <x v="0"/>
    <x v="4"/>
    <x v="1"/>
    <x v="24"/>
    <s v="PWEGPL"/>
    <s v="MSEDCL"/>
    <n v="2.5000000000000001E-2"/>
    <n v="200"/>
    <x v="314"/>
    <s v="Manual stop"/>
    <d v="1899-12-30T10:47:00"/>
    <d v="1899-12-30T10:47:00"/>
    <d v="1899-12-30T12:19:00"/>
    <n v="0"/>
    <n v="1.5333333333333319"/>
    <n v="1.5333333333333319"/>
    <s v=" hyd pump spider replacement work"/>
    <s v="Close"/>
    <n v="3.8333333333333303E-2"/>
    <s v="G22"/>
    <n v="52.630601851851743"/>
    <s v="None"/>
    <s v="WTG Unscheduled Maintenance"/>
    <n v="823.78333333333251"/>
    <n v="52.630601851851743"/>
    <m/>
    <m/>
    <m/>
    <m/>
  </r>
  <r>
    <n v="1000"/>
    <x v="117"/>
    <x v="1"/>
    <x v="0"/>
    <x v="4"/>
    <x v="1"/>
    <x v="29"/>
    <s v="PWEGPL"/>
    <s v="MSEDCL"/>
    <n v="2.5000000000000001E-2"/>
    <n v="2118"/>
    <x v="293"/>
    <s v="BD"/>
    <d v="1899-12-30T00:00:00"/>
    <d v="1899-12-30T01:28:00"/>
    <d v="1899-12-30T01:45:00"/>
    <n v="1.4666666666666668"/>
    <n v="0.28333333333333333"/>
    <n v="1.75"/>
    <s v="Rebot &amp; Reset"/>
    <s v="Close"/>
    <n v="4.3750000000000004E-2"/>
    <s v="G10"/>
    <n v="79.773871527777757"/>
    <s v="None"/>
    <s v="WTG Breakdown Maintenance"/>
    <n v="1094.0416666666665"/>
    <n v="79.773871527777757"/>
    <m/>
    <m/>
    <m/>
    <m/>
  </r>
  <r>
    <n v="1001"/>
    <x v="117"/>
    <x v="1"/>
    <x v="0"/>
    <x v="4"/>
    <x v="1"/>
    <x v="0"/>
    <s v="PWEGPL"/>
    <s v="MSEDCL"/>
    <n v="2.5000000000000001E-2"/>
    <n v="205"/>
    <x v="312"/>
    <s v="BD"/>
    <d v="1899-12-30T05:08:00"/>
    <d v="1899-12-30T05:59:00"/>
    <d v="1899-12-30T06:23:00"/>
    <n v="0.84999999999999964"/>
    <n v="0.39999999999999991"/>
    <n v="1.2499999999999996"/>
    <s v="oil top up"/>
    <s v="Close"/>
    <n v="3.124999999999999E-2"/>
    <s v="G16"/>
    <n v="40.066189236111086"/>
    <s v="None"/>
    <s v="WTG Breakdown Maintenance"/>
    <n v="769.27083333333303"/>
    <n v="40.066189236111086"/>
    <m/>
    <m/>
    <m/>
    <m/>
  </r>
  <r>
    <n v="1002"/>
    <x v="117"/>
    <x v="1"/>
    <x v="0"/>
    <x v="4"/>
    <x v="1"/>
    <x v="33"/>
    <s v="PWEGPL"/>
    <s v="MSEDCL"/>
    <n v="2.5000000000000001E-2"/>
    <n v="404"/>
    <x v="352"/>
    <s v="Manual stop"/>
    <d v="1899-12-30T10:47:00"/>
    <d v="1899-12-30T10:47:00"/>
    <d v="1899-12-30T14:41:00"/>
    <n v="0"/>
    <n v="3.9000000000000008"/>
    <n v="3.9000000000000008"/>
    <s v="Gear box hose replacment"/>
    <s v="Close"/>
    <n v="9.7500000000000031E-2"/>
    <s v="G23"/>
    <n v="308.5306250000001"/>
    <s v="None"/>
    <s v="WTG Unscheduled Maintenance"/>
    <n v="1898.6500000000003"/>
    <n v="308.5306250000001"/>
    <m/>
    <m/>
    <m/>
    <m/>
  </r>
  <r>
    <n v="1003"/>
    <x v="117"/>
    <x v="1"/>
    <x v="0"/>
    <x v="4"/>
    <x v="1"/>
    <x v="2"/>
    <s v="PWEGPL"/>
    <s v="MSEDCL"/>
    <n v="2.5000000000000001E-2"/>
    <n v="110"/>
    <x v="287"/>
    <s v="BD"/>
    <d v="1899-12-30T01:17:00"/>
    <d v="1899-12-30T02:42:00"/>
    <d v="1899-12-30T03:22:00"/>
    <n v="1.4166666666666667"/>
    <n v="0.66666666666666663"/>
    <n v="2.083333333333333"/>
    <s v="untwist cable and reset"/>
    <s v="Close"/>
    <n v="5.2083333333333329E-2"/>
    <s v="G32"/>
    <n v="77.19816984953701"/>
    <s v="None"/>
    <s v="WTG Breakdown Maintenance"/>
    <n v="889.32291666666652"/>
    <n v="77.19816984953701"/>
    <m/>
    <m/>
    <m/>
    <m/>
  </r>
  <r>
    <n v="1004"/>
    <x v="117"/>
    <x v="1"/>
    <x v="0"/>
    <x v="4"/>
    <x v="1"/>
    <x v="29"/>
    <s v="PWEGPL"/>
    <s v="MSEDCL"/>
    <n v="2.5000000000000001E-2"/>
    <n v="2118"/>
    <x v="293"/>
    <s v="BD"/>
    <d v="1899-12-30T20:36:00"/>
    <d v="1899-12-30T22:18:00"/>
    <d v="1899-12-30T22:26:00"/>
    <n v="1.6999999999999993"/>
    <n v="0.13333333333333286"/>
    <n v="1.8333333333333321"/>
    <s v="Rebot &amp; Reset"/>
    <s v="Close"/>
    <n v="4.5833333333333309E-2"/>
    <s v="G10"/>
    <n v="87.552276234567785"/>
    <s v="None"/>
    <s v="WTG Breakdown Maintenance"/>
    <n v="1146.138888888888"/>
    <n v="87.552276234567785"/>
    <m/>
    <m/>
    <m/>
    <m/>
  </r>
  <r>
    <n v="1005"/>
    <x v="118"/>
    <x v="1"/>
    <x v="0"/>
    <x v="4"/>
    <x v="1"/>
    <x v="17"/>
    <s v="PWEGPL"/>
    <s v="MSEDCL"/>
    <n v="2.5000000000000001E-2"/>
    <n v="5268"/>
    <x v="342"/>
    <s v="BD"/>
    <d v="1899-12-30T13:32:00"/>
    <d v="1899-12-30T14:04:00"/>
    <d v="1899-12-30T14:28:00"/>
    <n v="0.5333333333333341"/>
    <n v="0.39999999999999858"/>
    <n v="0.93333333333333268"/>
    <s v="Rebot &amp; Reset"/>
    <s v="Close"/>
    <n v="2.3333333333333317E-2"/>
    <s v="G06"/>
    <n v="22.617129629629598"/>
    <s v="None"/>
    <s v="WTG Breakdown Maintenance"/>
    <n v="581.58333333333292"/>
    <n v="22.617129629629598"/>
    <m/>
    <m/>
    <m/>
    <m/>
  </r>
  <r>
    <n v="1006"/>
    <x v="118"/>
    <x v="1"/>
    <x v="0"/>
    <x v="4"/>
    <x v="1"/>
    <x v="29"/>
    <s v="PWEGPL"/>
    <s v="MSEDCL"/>
    <n v="2.5000000000000001E-2"/>
    <n v="2118"/>
    <x v="293"/>
    <s v="BD"/>
    <d v="1899-12-30T03:21:00"/>
    <d v="1899-12-30T04:14:00"/>
    <d v="1899-12-30T04:25:00"/>
    <n v="0.88333333333333353"/>
    <n v="0.18333333333333335"/>
    <n v="1.0666666666666669"/>
    <s v="Rebot &amp; Reset"/>
    <s v="Close"/>
    <n v="2.6666666666666672E-2"/>
    <s v="G10"/>
    <n v="38.127407407407418"/>
    <s v="None"/>
    <s v="WTG Breakdown Maintenance"/>
    <n v="857.86666666666679"/>
    <n v="38.127407407407418"/>
    <m/>
    <m/>
    <m/>
    <m/>
  </r>
  <r>
    <n v="1007"/>
    <x v="118"/>
    <x v="1"/>
    <x v="0"/>
    <x v="4"/>
    <x v="1"/>
    <x v="30"/>
    <s v="PWEGPL"/>
    <s v="MSEDCL"/>
    <n v="2.5000000000000001E-2"/>
    <n v="5216"/>
    <x v="306"/>
    <s v="BD"/>
    <d v="1899-12-30T14:53:00"/>
    <d v="1899-12-30T15:07:00"/>
    <d v="1899-12-30T15:14:00"/>
    <n v="0.2333333333333325"/>
    <n v="0.11666666666666625"/>
    <n v="0.34999999999999876"/>
    <s v="Rebot &amp; Reset"/>
    <s v="Close"/>
    <n v="8.7499999999999696E-3"/>
    <s v="G13"/>
    <n v="4.5122960069444122"/>
    <s v="None"/>
    <s v="WTG Breakdown Maintenance"/>
    <n v="309.41458333333225"/>
    <n v="4.5122960069444122"/>
    <m/>
    <m/>
    <m/>
    <m/>
  </r>
  <r>
    <n v="1008"/>
    <x v="118"/>
    <x v="1"/>
    <x v="0"/>
    <x v="4"/>
    <x v="1"/>
    <x v="35"/>
    <s v="PWEGPL"/>
    <s v="MSEDCL"/>
    <n v="2.5000000000000001E-2"/>
    <n v="509"/>
    <x v="301"/>
    <s v="BD"/>
    <d v="1899-12-30T18:11:00"/>
    <d v="1899-12-30T18:46:00"/>
    <d v="1899-12-30T19:32:00"/>
    <n v="0.58333333333333393"/>
    <n v="0.76666666666666927"/>
    <n v="1.3500000000000032"/>
    <s v="generator earthing brush replaced"/>
    <s v="Close"/>
    <n v="3.3750000000000079E-2"/>
    <s v="G25"/>
    <n v="48.024140625000229"/>
    <s v="None"/>
    <s v="WTG Breakdown Maintenance"/>
    <n v="853.76250000000198"/>
    <n v="48.024140625000229"/>
    <m/>
    <m/>
    <m/>
    <m/>
  </r>
  <r>
    <n v="1009"/>
    <x v="118"/>
    <x v="1"/>
    <x v="0"/>
    <x v="4"/>
    <x v="1"/>
    <x v="7"/>
    <s v="PWEGPL"/>
    <s v="MSEDCL"/>
    <n v="2.5000000000000001E-2"/>
    <n v="404"/>
    <x v="352"/>
    <s v="Manual stop"/>
    <d v="1899-12-30T11:59:00"/>
    <d v="1899-12-30T11:59:00"/>
    <d v="1899-12-30T13:25:00"/>
    <n v="0"/>
    <n v="1.4333333333333349"/>
    <n v="1.4333333333333349"/>
    <s v="Gear box oil topup done."/>
    <s v="Close"/>
    <n v="3.5833333333333377E-2"/>
    <s v="G39"/>
    <n v="41.802237654321075"/>
    <s v="None"/>
    <s v="WTG Unscheduled Maintenance"/>
    <n v="699.94444444444514"/>
    <n v="41.802237654321075"/>
    <m/>
    <m/>
    <m/>
    <m/>
  </r>
  <r>
    <n v="1010"/>
    <x v="118"/>
    <x v="1"/>
    <x v="0"/>
    <x v="4"/>
    <x v="1"/>
    <x v="29"/>
    <s v="PWEGPL"/>
    <s v="MSEDCL"/>
    <n v="2.5000000000000001E-2"/>
    <n v="2118"/>
    <x v="293"/>
    <s v="BD"/>
    <d v="1899-12-30T07:33:00"/>
    <d v="1899-12-30T10:30:00"/>
    <d v="1899-12-30T12:41:00"/>
    <n v="2.95"/>
    <n v="2.1833333333333336"/>
    <n v="5.1333333333333337"/>
    <s v="gear box slipring changed"/>
    <s v="Close"/>
    <n v="0.12833333333333335"/>
    <s v="G10"/>
    <n v="883.03671296296318"/>
    <s v="None"/>
    <s v="WTG Breakdown Maintenance"/>
    <n v="4128.4833333333336"/>
    <n v="883.03671296296318"/>
    <m/>
    <m/>
    <m/>
    <m/>
  </r>
  <r>
    <n v="1011"/>
    <x v="119"/>
    <x v="1"/>
    <x v="0"/>
    <x v="4"/>
    <x v="1"/>
    <x v="17"/>
    <s v="PWEGPL"/>
    <s v="MSEDCL"/>
    <n v="2.5000000000000001E-2"/>
    <n v="203"/>
    <x v="290"/>
    <s v="BD"/>
    <d v="1899-12-30T13:39:00"/>
    <d v="1899-12-30T15:04:00"/>
    <d v="1899-12-30T15:25:00"/>
    <n v="1.416666666666667"/>
    <n v="0.34999999999999876"/>
    <n v="1.7666666666666657"/>
    <s v="Rebot &amp; Reset"/>
    <s v="Close"/>
    <n v="4.4166666666666646E-2"/>
    <s v="G10"/>
    <n v="127.49444444444438"/>
    <s v="None"/>
    <s v="WTG Breakdown Maintenance"/>
    <n v="1732"/>
    <n v="127.49444444444438"/>
    <m/>
    <m/>
    <m/>
    <m/>
  </r>
  <r>
    <n v="1012"/>
    <x v="119"/>
    <x v="1"/>
    <x v="0"/>
    <x v="4"/>
    <x v="1"/>
    <x v="0"/>
    <s v="PWEGPL"/>
    <s v="MSEDCL"/>
    <n v="2.5000000000000001E-2"/>
    <n v="5234"/>
    <x v="351"/>
    <s v="BD"/>
    <d v="1899-12-30T19:47:00"/>
    <d v="1899-12-30T21:43:00"/>
    <d v="1899-12-30T23:59:00"/>
    <n v="1.9333333333333291"/>
    <n v="2.2666666666666693"/>
    <n v="4.1999999999999984"/>
    <s v="PLC software updated"/>
    <s v="Open"/>
    <n v="0.10499999999999997"/>
    <s v="G18"/>
    <n v="702.79999999999973"/>
    <s v="None"/>
    <s v="WTG Breakdown Maintenance"/>
    <n v="4016"/>
    <n v="702.79999999999973"/>
    <m/>
    <m/>
    <m/>
    <m/>
  </r>
  <r>
    <n v="1013"/>
    <x v="119"/>
    <x v="1"/>
    <x v="0"/>
    <x v="4"/>
    <x v="1"/>
    <x v="18"/>
    <s v="PWEGPL"/>
    <s v="MSEDCL"/>
    <n v="2.5000000000000001E-2"/>
    <s v="CE100001"/>
    <x v="288"/>
    <s v="Manual stop"/>
    <d v="1899-12-30T14:04:00"/>
    <d v="1899-12-30T14:04:00"/>
    <d v="1899-12-30T14:55:00"/>
    <n v="0"/>
    <n v="0.84999999999999964"/>
    <n v="0.84999999999999964"/>
    <s v="Slipring cleaned"/>
    <s v="Close"/>
    <n v="2.1249999999999991E-2"/>
    <s v="G18"/>
    <n v="28.758333333333322"/>
    <s v="None"/>
    <s v="WTG Unscheduled Maintenance"/>
    <n v="812"/>
    <n v="28.758333333333322"/>
    <m/>
    <m/>
    <m/>
    <m/>
  </r>
  <r>
    <n v="1014"/>
    <x v="119"/>
    <x v="1"/>
    <x v="0"/>
    <x v="4"/>
    <x v="1"/>
    <x v="33"/>
    <s v="PWEGPL"/>
    <s v="MSEDCL"/>
    <n v="2.5000000000000001E-2"/>
    <n v="509"/>
    <x v="301"/>
    <s v="BD"/>
    <d v="1899-12-30T17:26:00"/>
    <d v="1899-12-30T17:55:00"/>
    <d v="1899-12-30T19:45:00"/>
    <n v="0.48333333333333428"/>
    <n v="1.8333333333333321"/>
    <n v="2.3166666666666664"/>
    <s v="Slipring brush changed"/>
    <s v="Close"/>
    <n v="5.7916666666666665E-2"/>
    <s v="G22"/>
    <n v="208.21041666666665"/>
    <s v="None"/>
    <s v="WTG Breakdown Maintenance"/>
    <n v="2157"/>
    <n v="208.21041666666665"/>
    <m/>
    <m/>
    <m/>
    <m/>
  </r>
  <r>
    <n v="1015"/>
    <x v="120"/>
    <x v="1"/>
    <x v="0"/>
    <x v="4"/>
    <x v="1"/>
    <x v="21"/>
    <s v="PWEGPL"/>
    <s v="MSEDCL"/>
    <n v="2.5000000000000001E-2"/>
    <n v="2509"/>
    <x v="201"/>
    <s v="BD"/>
    <d v="1899-12-30T15:18:00"/>
    <d v="1899-12-30T16:10:00"/>
    <d v="1899-12-30T22:01:00"/>
    <n v="0.86666666666666625"/>
    <n v="5.8499999999999979"/>
    <n v="6.7166666666666641"/>
    <s v="Relay replaced nutrual"/>
    <s v="Close"/>
    <n v="0.1679166666666666"/>
    <s v="G04"/>
    <n v="1925.3173408564801"/>
    <s v="None"/>
    <s v="WTG Breakdown Maintenance"/>
    <n v="6879.5458333333308"/>
    <n v="1925.3173408564801"/>
    <m/>
    <m/>
    <m/>
    <m/>
  </r>
  <r>
    <n v="1016"/>
    <x v="120"/>
    <x v="1"/>
    <x v="0"/>
    <x v="4"/>
    <x v="1"/>
    <x v="17"/>
    <s v="PWEGPL"/>
    <s v="MSEDCL"/>
    <n v="2.5000000000000001E-2"/>
    <n v="538"/>
    <x v="355"/>
    <s v="BD"/>
    <d v="1899-12-30T20:38:00"/>
    <d v="1899-12-30T20:50:00"/>
    <d v="1899-12-30T21:03:00"/>
    <n v="0.19999999999999929"/>
    <n v="0.21666666666666856"/>
    <n v="0.41666666666666785"/>
    <s v="reset from scada"/>
    <s v="Close"/>
    <n v="1.0416666666666697E-2"/>
    <s v="G06"/>
    <n v="6.0136959876543168"/>
    <s v="None"/>
    <s v="WTG Breakdown Maintenance"/>
    <n v="346.38888888888766"/>
    <n v="6.0136959876543168"/>
    <m/>
    <m/>
    <m/>
    <m/>
  </r>
  <r>
    <n v="1017"/>
    <x v="120"/>
    <x v="1"/>
    <x v="0"/>
    <x v="4"/>
    <x v="1"/>
    <x v="32"/>
    <s v="PWEGPL"/>
    <s v="MSEDCL"/>
    <n v="2.5000000000000001E-2"/>
    <n v="700"/>
    <x v="329"/>
    <s v="BD"/>
    <d v="1899-12-30T12:13:00"/>
    <d v="1899-12-30T12:17:00"/>
    <d v="1899-12-30T13:22:00"/>
    <n v="6.666666666666643E-2"/>
    <n v="1.0833333333333348"/>
    <n v="1.1500000000000012"/>
    <s v="gear box slipring cleaned"/>
    <s v="Close"/>
    <n v="2.8750000000000032E-2"/>
    <s v="G15"/>
    <n v="62.855486111111254"/>
    <s v="None"/>
    <s v="WTG Breakdown Maintenance"/>
    <n v="1311.7666666666682"/>
    <n v="62.855486111111254"/>
    <m/>
    <m/>
    <m/>
    <m/>
  </r>
  <r>
    <n v="1018"/>
    <x v="120"/>
    <x v="1"/>
    <x v="0"/>
    <x v="4"/>
    <x v="1"/>
    <x v="0"/>
    <s v="PWEGPL"/>
    <s v="MSEDCL"/>
    <n v="2.5000000000000001E-2"/>
    <n v="5254"/>
    <x v="333"/>
    <s v="BD"/>
    <d v="1899-12-30T10:19:00"/>
    <d v="1899-12-30T10:26:00"/>
    <d v="1899-12-30T11:49:00"/>
    <n v="0.11666666666666758"/>
    <n v="1.3833333333333324"/>
    <n v="1.5"/>
    <s v="reset"/>
    <s v="Close"/>
    <n v="3.7500000000000006E-2"/>
    <s v="G18"/>
    <n v="86.9609375"/>
    <s v="None"/>
    <s v="WTG Breakdown Maintenance"/>
    <n v="1391.375"/>
    <n v="86.9609375"/>
    <m/>
    <m/>
    <m/>
    <m/>
  </r>
  <r>
    <n v="1019"/>
    <x v="120"/>
    <x v="1"/>
    <x v="0"/>
    <x v="4"/>
    <x v="1"/>
    <x v="19"/>
    <s v="PWEGPL"/>
    <s v="MSEDCL"/>
    <n v="2.5000000000000001E-2"/>
    <s v="CE100001"/>
    <x v="288"/>
    <s v="Manual stop"/>
    <d v="1899-12-30T15:00:00"/>
    <d v="1899-12-30T15:00:00"/>
    <d v="1899-12-30T15:55:00"/>
    <n v="0"/>
    <n v="0.91666666666666607"/>
    <n v="0.91666666666666607"/>
    <s v="Bearing greasing done and wiring changed.."/>
    <s v="Close"/>
    <n v="2.2916666666666655E-2"/>
    <s v="G19"/>
    <n v="38.94745852623452"/>
    <s v="None"/>
    <s v="WTG Unscheduled Maintenance"/>
    <n v="1019.7152777777771"/>
    <n v="38.94745852623452"/>
    <m/>
    <m/>
    <m/>
    <m/>
  </r>
  <r>
    <n v="1020"/>
    <x v="120"/>
    <x v="1"/>
    <x v="0"/>
    <x v="4"/>
    <x v="1"/>
    <x v="19"/>
    <s v="PWEGPL"/>
    <s v="MSEDCL"/>
    <n v="2.5000000000000001E-2"/>
    <s v="CE100001"/>
    <x v="288"/>
    <s v="Manual stop"/>
    <d v="1899-12-30T16:49:00"/>
    <d v="1899-12-30T16:49:00"/>
    <d v="1899-12-30T18:03:00"/>
    <n v="0"/>
    <n v="1.2333333333333343"/>
    <n v="1.2333333333333343"/>
    <s v="Bearing greasing done and wiring changed.."/>
    <s v="Close"/>
    <n v="3.0833333333333358E-2"/>
    <s v="G19"/>
    <n v="70.504556327160614"/>
    <s v="None"/>
    <s v="WTG Unscheduled Maintenance"/>
    <n v="1371.9805555555567"/>
    <n v="70.504556327160614"/>
    <m/>
    <m/>
    <m/>
    <m/>
  </r>
  <r>
    <n v="1021"/>
    <x v="121"/>
    <x v="1"/>
    <x v="0"/>
    <x v="4"/>
    <x v="1"/>
    <x v="37"/>
    <s v="PWEGPL"/>
    <s v="MSEDCL"/>
    <n v="2.5000000000000001E-2"/>
    <n v="5248"/>
    <x v="356"/>
    <s v="BD"/>
    <d v="1899-12-30T00:05:00"/>
    <d v="1899-12-30T00:25:00"/>
    <d v="1899-12-30T04:35:00"/>
    <n v="0.33333333333333337"/>
    <n v="4.1666666666666661"/>
    <n v="4.5"/>
    <s v="Generator brush replaced"/>
    <s v="Close"/>
    <n v="0.1125"/>
    <s v="G15"/>
    <n v="887.8125"/>
    <s v="None"/>
    <s v="WTG Breakdown Maintenance"/>
    <n v="4735"/>
    <n v="887.8125"/>
    <m/>
    <m/>
    <m/>
    <m/>
  </r>
  <r>
    <n v="1022"/>
    <x v="121"/>
    <x v="1"/>
    <x v="0"/>
    <x v="4"/>
    <x v="1"/>
    <x v="0"/>
    <s v="PWEGPL"/>
    <s v="MSEDCL"/>
    <n v="2.5000000000000001E-2"/>
    <n v="507"/>
    <x v="318"/>
    <s v="Manual stop"/>
    <d v="1899-12-30T13:00:00"/>
    <d v="1899-12-30T13:00:00"/>
    <d v="1899-12-30T16:42:00"/>
    <n v="0"/>
    <n v="3.7"/>
    <n v="3.7"/>
    <s v="Generator damper replaced"/>
    <s v="Close"/>
    <n v="9.2500000000000013E-2"/>
    <s v="G15"/>
    <n v="600.17083333333335"/>
    <s v="None"/>
    <s v="WTG Unscheduled Maintenance"/>
    <n v="3893"/>
    <n v="600.17083333333335"/>
    <m/>
    <m/>
    <m/>
    <m/>
  </r>
  <r>
    <n v="1023"/>
    <x v="121"/>
    <x v="1"/>
    <x v="0"/>
    <x v="4"/>
    <x v="1"/>
    <x v="1"/>
    <s v="PWEGPL"/>
    <s v="MSEDCL"/>
    <n v="2.5000000000000001E-2"/>
    <n v="5203"/>
    <x v="294"/>
    <s v="BD"/>
    <d v="1899-12-30T13:17:00"/>
    <d v="1899-12-30T13:50:00"/>
    <d v="1899-12-30T15:46:00"/>
    <n v="0.55000000000000071"/>
    <n v="1.9333333333333318"/>
    <n v="2.4833333333333325"/>
    <s v="MCB charged"/>
    <s v="Close"/>
    <n v="6.2083333333333317E-2"/>
    <s v="G22"/>
    <n v="179.11041666666659"/>
    <s v="None"/>
    <s v="WTG Breakdown Maintenance"/>
    <n v="1731"/>
    <n v="179.11041666666659"/>
    <m/>
    <m/>
    <m/>
    <m/>
  </r>
  <r>
    <n v="1024"/>
    <x v="121"/>
    <x v="1"/>
    <x v="0"/>
    <x v="4"/>
    <x v="1"/>
    <x v="36"/>
    <s v="PWEGPL"/>
    <s v="MSEDCL"/>
    <n v="2.5000000000000001E-2"/>
    <n v="5243"/>
    <x v="357"/>
    <s v="BD"/>
    <d v="1899-12-30T13:37:00"/>
    <d v="1899-12-30T13:41:00"/>
    <d v="1899-12-30T15:08:00"/>
    <n v="6.666666666666643E-2"/>
    <n v="1.4500000000000002"/>
    <n v="1.5166666666666666"/>
    <s v="Generator brush replaced"/>
    <s v="Close"/>
    <n v="3.7916666666666668E-2"/>
    <s v="G27"/>
    <n v="77.539583333333326"/>
    <s v="None"/>
    <s v="WTG Breakdown Maintenance"/>
    <n v="1227"/>
    <n v="77.539583333333326"/>
    <m/>
    <m/>
    <m/>
    <m/>
  </r>
  <r>
    <n v="1025"/>
    <x v="121"/>
    <x v="1"/>
    <x v="0"/>
    <x v="4"/>
    <x v="1"/>
    <x v="11"/>
    <s v="PWEGPL"/>
    <s v="MSEDCL"/>
    <n v="2.5000000000000001E-2"/>
    <n v="523"/>
    <x v="335"/>
    <s v="BD"/>
    <d v="1899-12-30T14:43:00"/>
    <d v="1899-12-30T15:04:00"/>
    <d v="1899-12-30T15:04:00"/>
    <n v="0.34999999999999876"/>
    <n v="0"/>
    <n v="0.34999999999999876"/>
    <s v="Autoreset"/>
    <s v="Close"/>
    <n v="8.7499999999999696E-3"/>
    <s v="G31"/>
    <n v="3.8208333333333195"/>
    <s v="None"/>
    <s v="WTG Breakdown Maintenance"/>
    <n v="262"/>
    <n v="3.8208333333333195"/>
    <m/>
    <m/>
    <m/>
    <m/>
  </r>
  <r>
    <n v="1026"/>
    <x v="121"/>
    <x v="1"/>
    <x v="0"/>
    <x v="4"/>
    <x v="1"/>
    <x v="3"/>
    <s v="PWEGPL"/>
    <s v="MSEDCL"/>
    <n v="2.5000000000000001E-2"/>
    <n v="203"/>
    <x v="290"/>
    <s v="BD"/>
    <d v="1899-12-30T20:27:00"/>
    <d v="1899-12-30T21:56:00"/>
    <d v="1899-12-30T22:03:00"/>
    <n v="1.4833333333333334"/>
    <n v="0.11666666666666892"/>
    <n v="1.6000000000000023"/>
    <s v="Rebot &amp; Reset"/>
    <s v="Close"/>
    <n v="4.0000000000000063E-2"/>
    <s v="G26"/>
    <n v="86.400000000000119"/>
    <s v="None"/>
    <s v="WTG Breakdown Maintenance"/>
    <n v="1296"/>
    <n v="86.400000000000119"/>
    <m/>
    <m/>
    <m/>
    <m/>
  </r>
  <r>
    <n v="1027"/>
    <x v="122"/>
    <x v="1"/>
    <x v="0"/>
    <x v="4"/>
    <x v="1"/>
    <x v="28"/>
    <s v="PWEGPL"/>
    <s v="MSEDCL"/>
    <n v="2.5000000000000001E-2"/>
    <n v="205"/>
    <x v="312"/>
    <s v="BD"/>
    <d v="1899-12-30T16:09:00"/>
    <d v="1899-12-30T17:00:00"/>
    <d v="1899-12-30T18:42:00"/>
    <n v="0.85000000000000231"/>
    <n v="1.6999999999999993"/>
    <n v="2.5500000000000016"/>
    <s v="Oil topup"/>
    <s v="Close"/>
    <n v="6.3750000000000043E-2"/>
    <s v="G11"/>
    <n v="323.10625000000022"/>
    <s v="None"/>
    <s v="WTG Breakdown Maintenance"/>
    <n v="3041"/>
    <n v="323.10625000000022"/>
    <m/>
    <m/>
    <m/>
    <m/>
  </r>
  <r>
    <n v="1028"/>
    <x v="122"/>
    <x v="1"/>
    <x v="0"/>
    <x v="4"/>
    <x v="1"/>
    <x v="0"/>
    <s v="PWEGPL"/>
    <s v="MSEDCL"/>
    <n v="2.5000000000000001E-2"/>
    <n v="222"/>
    <x v="323"/>
    <s v="BD"/>
    <d v="1899-12-30T06:09:00"/>
    <d v="1899-12-30T06:39:00"/>
    <d v="1899-12-30T06:49:00"/>
    <n v="0.49999999999999956"/>
    <n v="0.16666666666666607"/>
    <n v="0.66666666666666563"/>
    <s v="Rebot &amp; Reset"/>
    <s v="Close"/>
    <n v="1.6666666666666642E-2"/>
    <s v="G16"/>
    <n v="26.916666666666625"/>
    <s v="Material shotrage of PLC"/>
    <s v="WTG Breakdown Maintenance"/>
    <n v="969"/>
    <n v="26.916666666666625"/>
    <m/>
    <m/>
    <m/>
    <m/>
  </r>
  <r>
    <n v="1029"/>
    <x v="122"/>
    <x v="1"/>
    <x v="0"/>
    <x v="4"/>
    <x v="1"/>
    <x v="35"/>
    <s v="PWEGPL"/>
    <s v="MSEDCL"/>
    <n v="2.5000000000000001E-2"/>
    <n v="523"/>
    <x v="335"/>
    <s v="BD"/>
    <d v="1899-12-30T17:47:00"/>
    <d v="1899-12-30T21:51:00"/>
    <d v="1899-12-30T21:52:00"/>
    <n v="4.0666666666666682"/>
    <n v="1.6666666666663943E-2"/>
    <n v="4.0833333333333321"/>
    <s v="Auto reset"/>
    <s v="Close"/>
    <n v="0.1020833333333333"/>
    <s v="G25"/>
    <n v="806.11805555555532"/>
    <s v="None"/>
    <s v="WTG Breakdown Maintenance"/>
    <n v="4738"/>
    <n v="806.11805555555532"/>
    <m/>
    <m/>
    <m/>
    <m/>
  </r>
  <r>
    <n v="1030"/>
    <x v="122"/>
    <x v="1"/>
    <x v="0"/>
    <x v="4"/>
    <x v="1"/>
    <x v="11"/>
    <s v="PWEGPL"/>
    <s v="MSEDCL"/>
    <n v="2.5000000000000001E-2"/>
    <n v="5222"/>
    <x v="315"/>
    <s v="BD"/>
    <d v="1899-12-30T12:42:00"/>
    <d v="1899-12-30T13:10:00"/>
    <d v="1899-12-30T14:10:00"/>
    <n v="0.46666666666666501"/>
    <n v="1.0000000000000018"/>
    <n v="1.4666666666666668"/>
    <s v="rotor speed sensor replaced"/>
    <s v="Close"/>
    <n v="3.6666666666666674E-2"/>
    <s v="G31"/>
    <n v="113.97222222222223"/>
    <s v="None"/>
    <s v="WTG Breakdown Maintenance"/>
    <n v="1865"/>
    <n v="113.97222222222223"/>
    <m/>
    <m/>
    <m/>
    <m/>
  </r>
  <r>
    <n v="1031"/>
    <x v="122"/>
    <x v="1"/>
    <x v="0"/>
    <x v="4"/>
    <x v="1"/>
    <x v="3"/>
    <s v="PWEGPL"/>
    <s v="MSEDCL"/>
    <n v="2.5000000000000001E-2"/>
    <n v="203"/>
    <x v="290"/>
    <s v="BD"/>
    <d v="1899-12-30T19:26:00"/>
    <d v="1899-12-30T22:20:00"/>
    <d v="1899-12-30T22:26:00"/>
    <n v="2.8999999999999977"/>
    <n v="0.10000000000000231"/>
    <n v="3"/>
    <s v="Rebot &amp;Reset"/>
    <s v="Close"/>
    <n v="7.5000000000000011E-2"/>
    <s v="G26"/>
    <n v="492.25"/>
    <s v="None"/>
    <s v="WTG Breakdown Maintenance"/>
    <n v="3938"/>
    <n v="492.25"/>
    <m/>
    <m/>
    <m/>
    <m/>
  </r>
  <r>
    <n v="1032"/>
    <x v="122"/>
    <x v="1"/>
    <x v="0"/>
    <x v="4"/>
    <x v="1"/>
    <x v="6"/>
    <s v="PWEGPL"/>
    <s v="MSEDCL"/>
    <n v="2.5000000000000001E-2"/>
    <n v="5219"/>
    <x v="358"/>
    <s v="BD"/>
    <d v="1899-12-30T11:54:00"/>
    <d v="1899-12-30T11:55:00"/>
    <d v="1899-12-30T11:59:00"/>
    <n v="1.6666666666665275E-2"/>
    <n v="6.666666666666643E-2"/>
    <n v="8.3333333333331705E-2"/>
    <s v="Control level sensor replaced"/>
    <s v="Close"/>
    <n v="2.0833333333332925E-3"/>
    <s v="G40"/>
    <n v="0.37499999999999267"/>
    <s v="None"/>
    <s v="WTG Breakdown Maintenance"/>
    <n v="108"/>
    <n v="0.37499999999999267"/>
    <m/>
    <m/>
    <m/>
    <m/>
  </r>
  <r>
    <n v="1033"/>
    <x v="122"/>
    <x v="1"/>
    <x v="0"/>
    <x v="4"/>
    <x v="1"/>
    <x v="0"/>
    <s v="PWEGPL"/>
    <s v="MSEDCL"/>
    <n v="2.5000000000000001E-2"/>
    <n v="5251"/>
    <x v="359"/>
    <s v="BD"/>
    <d v="1899-12-30T16:12:00"/>
    <d v="1899-12-30T16:10:00"/>
    <d v="1899-12-30T16:25:00"/>
    <n v="-3.333333333333055E-2"/>
    <n v="0.24999999999999911"/>
    <n v="0.21666666666666856"/>
    <s v="Rebot &amp;Reset"/>
    <s v="Close"/>
    <n v="5.4166666666667146E-3"/>
    <s v="G16"/>
    <n v="2.8437500000000249"/>
    <s v="None"/>
    <s v="WTG Breakdown Maintenance"/>
    <n v="315"/>
    <n v="2.8437500000000249"/>
    <m/>
    <m/>
    <m/>
    <m/>
  </r>
  <r>
    <n v="1034"/>
    <x v="122"/>
    <x v="1"/>
    <x v="0"/>
    <x v="4"/>
    <x v="1"/>
    <x v="0"/>
    <s v="PWEGPL"/>
    <s v="MSEDCL"/>
    <n v="2.5000000000000001E-2"/>
    <n v="406"/>
    <x v="360"/>
    <s v="BD"/>
    <d v="1899-12-30T13:19:00"/>
    <d v="1899-12-30T13:40:00"/>
    <d v="1899-12-30T13:47:00"/>
    <n v="0.34999999999999876"/>
    <n v="0.11666666666666625"/>
    <n v="0.46666666666666501"/>
    <s v="Rebot &amp;Reset"/>
    <s v="Close"/>
    <n v="1.1666666666666626E-2"/>
    <s v="G16"/>
    <n v="13.183333333333287"/>
    <s v="None"/>
    <s v="WTG Breakdown Maintenance"/>
    <n v="678"/>
    <n v="13.183333333333287"/>
    <m/>
    <m/>
    <m/>
    <m/>
  </r>
  <r>
    <n v="1035"/>
    <x v="122"/>
    <x v="1"/>
    <x v="0"/>
    <x v="4"/>
    <x v="1"/>
    <x v="6"/>
    <s v="PWEGPL"/>
    <s v="MSEDCL"/>
    <n v="2.5000000000000001E-2"/>
    <s v="CE100001"/>
    <x v="288"/>
    <s v="Manual stop"/>
    <d v="1899-12-30T12:15:00"/>
    <d v="1899-12-30T12:15:00"/>
    <d v="1899-12-30T13:08:00"/>
    <n v="0"/>
    <n v="0.88333333333333286"/>
    <n v="0.88333333333333286"/>
    <s v="Control level sensor replaced"/>
    <s v="Close"/>
    <n v="2.2083333333333323E-2"/>
    <s v="G40"/>
    <n v="42.215972222222199"/>
    <s v="None"/>
    <s v="WTG Unscheduled Maintenance"/>
    <n v="1147"/>
    <n v="42.215972222222199"/>
    <m/>
    <m/>
    <m/>
    <m/>
  </r>
  <r>
    <n v="1036"/>
    <x v="122"/>
    <x v="1"/>
    <x v="0"/>
    <x v="4"/>
    <x v="1"/>
    <x v="6"/>
    <s v="PWEGPL"/>
    <s v="MSEDCL"/>
    <n v="2.5000000000000001E-2"/>
    <s v="CE100001"/>
    <x v="288"/>
    <s v="Manual stop"/>
    <d v="1899-12-30T14:25:00"/>
    <d v="1899-12-30T14:25:00"/>
    <d v="1899-12-30T14:54:00"/>
    <n v="0"/>
    <n v="0.48333333333333428"/>
    <n v="0.48333333333333428"/>
    <s v="Control level sensor replaced"/>
    <s v="Close"/>
    <n v="1.2083333333333357E-2"/>
    <s v="G40"/>
    <n v="12.647222222222247"/>
    <s v="None"/>
    <s v="WTG Unscheduled Maintenance"/>
    <n v="628"/>
    <n v="12.647222222222247"/>
    <m/>
    <m/>
    <m/>
    <m/>
  </r>
  <r>
    <n v="1037"/>
    <x v="122"/>
    <x v="1"/>
    <x v="0"/>
    <x v="4"/>
    <x v="1"/>
    <x v="3"/>
    <s v="PWEGPL"/>
    <s v="MSEDCL"/>
    <n v="2.5000000000000001E-2"/>
    <n v="203"/>
    <x v="290"/>
    <s v="BD"/>
    <d v="1899-12-30T13:08:00"/>
    <d v="1899-12-30T13:52:00"/>
    <d v="1899-12-30T13:58:00"/>
    <n v="0.73333333333333606"/>
    <n v="9.9999999999999645E-2"/>
    <n v="0.8333333333333357"/>
    <s v="Rebot &amp;Reset"/>
    <s v="Close"/>
    <n v="2.0833333333333395E-2"/>
    <s v="G26"/>
    <n v="37.986111111111221"/>
    <s v="None"/>
    <s v="WTG Breakdown Maintenance"/>
    <n v="1094"/>
    <n v="37.986111111111221"/>
    <m/>
    <m/>
    <m/>
    <m/>
  </r>
  <r>
    <n v="1038"/>
    <x v="122"/>
    <x v="1"/>
    <x v="0"/>
    <x v="4"/>
    <x v="1"/>
    <x v="6"/>
    <s v="PWEGPL"/>
    <s v="MSEDCL"/>
    <n v="2.5000000000000001E-2"/>
    <n v="5219"/>
    <x v="358"/>
    <s v="BD"/>
    <d v="1899-12-30T11:10:00"/>
    <d v="1899-12-30T11:15:00"/>
    <d v="1899-12-30T11:25:00"/>
    <n v="8.333333333333437E-2"/>
    <n v="0.16666666666666607"/>
    <n v="0.25000000000000044"/>
    <s v="Control level sensor replaced"/>
    <s v="Close"/>
    <n v="6.2500000000000116E-3"/>
    <s v="G40"/>
    <n v="3.3750000000000062"/>
    <s v="None"/>
    <s v="WTG Breakdown Maintenance"/>
    <n v="324"/>
    <n v="3.3750000000000062"/>
    <m/>
    <m/>
    <m/>
    <m/>
  </r>
  <r>
    <n v="1039"/>
    <x v="123"/>
    <x v="1"/>
    <x v="0"/>
    <x v="4"/>
    <x v="1"/>
    <x v="0"/>
    <s v="PWEGPL"/>
    <s v="MSEDCL"/>
    <n v="2.5000000000000001E-2"/>
    <n v="222"/>
    <x v="323"/>
    <s v="BD"/>
    <d v="1899-12-30T21:25:00"/>
    <d v="1899-12-30T23:59:00"/>
    <d v="1899-12-30T23:59:00"/>
    <n v="2.5666666666666655"/>
    <n v="0"/>
    <n v="2.5666666666666655"/>
    <s v="PLC software updated"/>
    <s v="Open"/>
    <n v="6.4166666666666636E-2"/>
    <s v="G16"/>
    <n v="198.27499999999992"/>
    <s v="Material shotrage of PLC"/>
    <s v="WTG Breakdown Maintenance"/>
    <n v="1854"/>
    <n v="198.27499999999992"/>
    <m/>
    <m/>
    <m/>
    <m/>
  </r>
  <r>
    <n v="1040"/>
    <x v="123"/>
    <x v="1"/>
    <x v="0"/>
    <x v="4"/>
    <x v="1"/>
    <x v="0"/>
    <s v="PWEGPL"/>
    <s v="MSEDCL"/>
    <n v="2.5000000000000001E-2"/>
    <n v="5216"/>
    <x v="306"/>
    <s v="BD"/>
    <d v="1899-12-30T04:47:00"/>
    <d v="1899-12-30T05:02:00"/>
    <d v="1899-12-30T05:02:00"/>
    <n v="0.25000000000000044"/>
    <n v="0"/>
    <n v="0.25000000000000044"/>
    <s v="Reset"/>
    <s v="Close"/>
    <n v="6.2500000000000116E-3"/>
    <s v="G16"/>
    <n v="1.9375000000000036"/>
    <s v="None"/>
    <s v="WTG Breakdown Maintenance"/>
    <n v="186"/>
    <n v="1.9375000000000036"/>
    <m/>
    <m/>
    <m/>
    <m/>
  </r>
  <r>
    <n v="1041"/>
    <x v="123"/>
    <x v="1"/>
    <x v="0"/>
    <x v="4"/>
    <x v="1"/>
    <x v="35"/>
    <s v="PWEGPL"/>
    <s v="MSEDCL"/>
    <n v="2.5000000000000001E-2"/>
    <s v="CE100001"/>
    <x v="288"/>
    <s v="Manual stop"/>
    <d v="1899-12-30T12:10:00"/>
    <d v="1899-12-30T12:10:00"/>
    <d v="1899-12-30T13:47:00"/>
    <n v="0"/>
    <n v="1.6166666666666663"/>
    <n v="1.6166666666666663"/>
    <s v="Repeated error troubleshooting work"/>
    <s v="Close"/>
    <n v="4.0416666666666656E-2"/>
    <s v="G27"/>
    <n v="106.02638888888886"/>
    <s v="None"/>
    <s v="WTG Unscheduled Maintenance"/>
    <n v="1574"/>
    <n v="106.02638888888886"/>
    <m/>
    <m/>
    <m/>
    <m/>
  </r>
  <r>
    <n v="1042"/>
    <x v="123"/>
    <x v="1"/>
    <x v="0"/>
    <x v="4"/>
    <x v="1"/>
    <x v="36"/>
    <s v="PWEGPL"/>
    <s v="MSEDCL"/>
    <n v="2.5000000000000001E-2"/>
    <n v="523"/>
    <x v="335"/>
    <s v="BD"/>
    <d v="1899-12-30T11:52:00"/>
    <d v="1899-12-30T12:10:00"/>
    <d v="1899-12-30T12:18:00"/>
    <n v="0.29999999999999893"/>
    <n v="0.13333333333333552"/>
    <n v="0.43333333333333446"/>
    <s v="AutoReset"/>
    <s v="Close"/>
    <n v="1.0833333333333361E-2"/>
    <s v="G27"/>
    <n v="7.6013888888889092"/>
    <s v="None"/>
    <s v="WTG Breakdown Maintenance"/>
    <n v="421"/>
    <n v="7.6013888888889092"/>
    <m/>
    <m/>
    <m/>
    <m/>
  </r>
  <r>
    <n v="1043"/>
    <x v="123"/>
    <x v="1"/>
    <x v="0"/>
    <x v="4"/>
    <x v="1"/>
    <x v="6"/>
    <s v="PWEGPL"/>
    <s v="MSEDCL"/>
    <n v="2.5000000000000001E-2"/>
    <n v="116"/>
    <x v="361"/>
    <s v="BD"/>
    <d v="1899-12-30T12:19:00"/>
    <d v="1899-12-30T12:22:00"/>
    <d v="1899-12-30T23:59:00"/>
    <n v="5.0000000000002487E-2"/>
    <n v="11.616666666666665"/>
    <n v="11.666666666666668"/>
    <s v="PLC software updation work in progress"/>
    <s v="Open"/>
    <n v="0.29166666666666669"/>
    <s v="G40"/>
    <n v="4035.6944444444453"/>
    <s v="None"/>
    <s v="WTG Breakdown Maintenance"/>
    <n v="8302"/>
    <n v="4035.6944444444453"/>
    <m/>
    <m/>
    <m/>
    <m/>
  </r>
  <r>
    <n v="1044"/>
    <x v="124"/>
    <x v="1"/>
    <x v="0"/>
    <x v="4"/>
    <x v="1"/>
    <x v="21"/>
    <s v="PWEGPL"/>
    <s v="MSEDCL"/>
    <n v="2.5000000000000001E-2"/>
    <s v="CE100001"/>
    <x v="288"/>
    <s v="Manual stop"/>
    <d v="1899-12-30T10:56:00"/>
    <d v="1899-12-30T10:56:00"/>
    <d v="1899-12-30T13:17:00"/>
    <n v="0"/>
    <n v="2.350000000000001"/>
    <n v="2.350000000000001"/>
    <s v="KM004 contactor replacement work"/>
    <s v="Close"/>
    <n v="5.8750000000000024E-2"/>
    <s v="G04"/>
    <n v="235.53078993055578"/>
    <s v="None"/>
    <s v="WTG Unscheduled Maintenance"/>
    <n v="2405.4208333333345"/>
    <n v="235.53078993055578"/>
    <m/>
    <m/>
    <m/>
    <m/>
  </r>
  <r>
    <n v="1045"/>
    <x v="124"/>
    <x v="1"/>
    <x v="0"/>
    <x v="4"/>
    <x v="1"/>
    <x v="30"/>
    <s v="PWEGPL"/>
    <s v="MSEDCL"/>
    <n v="2.5000000000000001E-2"/>
    <s v="CE100001"/>
    <x v="288"/>
    <s v="Manual stop"/>
    <d v="1899-12-30T14:40:00"/>
    <d v="1899-12-30T14:40:00"/>
    <d v="1899-12-30T15:52:00"/>
    <n v="0"/>
    <n v="1.2000000000000011"/>
    <n v="1.2000000000000011"/>
    <s v="KM004 contactor replacement work"/>
    <s v="Close"/>
    <n v="3.0000000000000027E-2"/>
    <s v="G11"/>
    <n v="64.055000000000106"/>
    <s v="None"/>
    <s v="WTG Unscheduled Maintenance"/>
    <n v="1281.100000000001"/>
    <n v="64.055000000000106"/>
    <m/>
    <m/>
    <m/>
    <m/>
  </r>
  <r>
    <n v="1046"/>
    <x v="124"/>
    <x v="1"/>
    <x v="0"/>
    <x v="4"/>
    <x v="1"/>
    <x v="0"/>
    <s v="PWEGPL"/>
    <s v="MSEDCL"/>
    <n v="2.5000000000000001E-2"/>
    <n v="700"/>
    <x v="329"/>
    <s v="BD"/>
    <d v="1899-12-30T05:25:00"/>
    <d v="1899-12-30T05:41:00"/>
    <d v="1899-12-30T05:48:00"/>
    <n v="0.26666666666666705"/>
    <n v="0.11666666666666625"/>
    <n v="0.3833333333333333"/>
    <s v="Rebot &amp;Reset"/>
    <s v="Close"/>
    <n v="9.5833333333333326E-3"/>
    <s v="G16"/>
    <n v="6.2573842592592577"/>
    <s v="Material shotrage of PLC"/>
    <s v="WTG Breakdown Maintenance"/>
    <n v="391.76666666666665"/>
    <n v="6.2573842592592577"/>
    <m/>
    <m/>
    <m/>
    <m/>
  </r>
  <r>
    <n v="1047"/>
    <x v="124"/>
    <x v="1"/>
    <x v="0"/>
    <x v="4"/>
    <x v="1"/>
    <x v="0"/>
    <s v="PWEGPL"/>
    <s v="MSEDCL"/>
    <n v="2.5000000000000001E-2"/>
    <n v="203"/>
    <x v="290"/>
    <s v="BD"/>
    <d v="1899-12-30T07:45:00"/>
    <d v="1899-12-30T08:04:00"/>
    <d v="1899-12-30T08:10:00"/>
    <n v="0.31666666666666554"/>
    <n v="9.9999999999999645E-2"/>
    <n v="0.41666666666666519"/>
    <s v="Rebot &amp;Reset"/>
    <s v="Close"/>
    <n v="1.041666666666663E-2"/>
    <s v="G16"/>
    <n v="7.3929398148147625"/>
    <s v="Material shotrage of PLC"/>
    <s v="WTG Breakdown Maintenance"/>
    <n v="425.83333333333184"/>
    <n v="7.3929398148147625"/>
    <m/>
    <m/>
    <m/>
    <m/>
  </r>
  <r>
    <n v="1048"/>
    <x v="124"/>
    <x v="1"/>
    <x v="0"/>
    <x v="4"/>
    <x v="1"/>
    <x v="0"/>
    <s v="PWEGPL"/>
    <s v="MSEDCL"/>
    <n v="2.5000000000000001E-2"/>
    <n v="203"/>
    <x v="290"/>
    <s v="BD"/>
    <d v="1899-12-30T15:30:00"/>
    <d v="1899-12-30T15:42:00"/>
    <d v="1899-12-30T15:52:00"/>
    <n v="0.19999999999999929"/>
    <n v="0.16666666666666607"/>
    <n v="0.36666666666666536"/>
    <s v="Rebot &amp;Reset"/>
    <s v="Close"/>
    <n v="9.1666666666666338E-3"/>
    <s v="G16"/>
    <n v="5.7250925925925511"/>
    <s v="Material shotrage of PLC"/>
    <s v="WTG Breakdown Maintenance"/>
    <n v="374.73333333333198"/>
    <n v="5.7250925925925511"/>
    <m/>
    <m/>
    <m/>
    <m/>
  </r>
  <r>
    <n v="1049"/>
    <x v="124"/>
    <x v="1"/>
    <x v="0"/>
    <x v="4"/>
    <x v="1"/>
    <x v="0"/>
    <s v="PWEGPL"/>
    <s v="MSEDCL"/>
    <n v="2.5000000000000001E-2"/>
    <n v="203"/>
    <x v="290"/>
    <s v="BD"/>
    <d v="1899-12-30T22:36:00"/>
    <d v="1899-12-30T23:29:00"/>
    <d v="1899-12-30T23:41:00"/>
    <n v="0.88333333333333286"/>
    <n v="0.19999999999999929"/>
    <n v="1.0833333333333321"/>
    <s v="Rebot &amp;Reset"/>
    <s v="Close"/>
    <n v="2.7083333333333307E-2"/>
    <s v="G16"/>
    <n v="49.976273148148039"/>
    <s v="Material shotrage of PLC"/>
    <s v="WTG Breakdown Maintenance"/>
    <n v="1107.1666666666654"/>
    <n v="49.976273148148039"/>
    <m/>
    <m/>
    <m/>
    <m/>
  </r>
  <r>
    <n v="1050"/>
    <x v="125"/>
    <x v="1"/>
    <x v="0"/>
    <x v="4"/>
    <x v="1"/>
    <x v="20"/>
    <s v="PWEGPL"/>
    <s v="MSEDCL"/>
    <n v="2.5000000000000001E-2"/>
    <s v="CE100001"/>
    <x v="288"/>
    <s v="Manual stop"/>
    <d v="1899-12-30T11:06:00"/>
    <d v="1899-12-30T11:06:00"/>
    <d v="1899-12-30T12:09:00"/>
    <n v="0"/>
    <n v="1.0500000000000003"/>
    <n v="1.0500000000000003"/>
    <s v="KM004 contactor replacement work"/>
    <s v="Close"/>
    <n v="2.6250000000000009E-2"/>
    <s v="G06"/>
    <n v="37.716601562500024"/>
    <s v="None"/>
    <s v="WTG Unscheduled Maintenance"/>
    <n v="862.09375000000023"/>
    <n v="37.716601562500024"/>
    <m/>
    <m/>
    <m/>
    <m/>
  </r>
  <r>
    <n v="1051"/>
    <x v="125"/>
    <x v="1"/>
    <x v="0"/>
    <x v="4"/>
    <x v="1"/>
    <x v="26"/>
    <s v="PWEGPL"/>
    <s v="MSEDCL"/>
    <n v="2.5000000000000001E-2"/>
    <s v="CE100001"/>
    <x v="288"/>
    <s v="Manual stop"/>
    <d v="1899-12-30T12:17:00"/>
    <d v="1899-12-30T12:17:00"/>
    <d v="1899-12-30T13:43:00"/>
    <n v="0"/>
    <n v="1.4333333333333336"/>
    <n v="1.4333333333333336"/>
    <s v="KM004 contactor replacement work"/>
    <s v="Close"/>
    <n v="3.5833333333333342E-2"/>
    <s v="G08"/>
    <n v="63.002962962962975"/>
    <s v="None"/>
    <s v="WTG Unscheduled Maintenance"/>
    <n v="1054.9333333333334"/>
    <n v="63.002962962962975"/>
    <m/>
    <m/>
    <m/>
    <m/>
  </r>
  <r>
    <n v="1052"/>
    <x v="125"/>
    <x v="1"/>
    <x v="0"/>
    <x v="4"/>
    <x v="1"/>
    <x v="0"/>
    <s v="PWEGPL"/>
    <s v="MSEDCL"/>
    <n v="2.5000000000000001E-2"/>
    <n v="700"/>
    <x v="329"/>
    <s v="BD"/>
    <d v="1899-12-30T17:32:00"/>
    <d v="1899-12-30T17:40:00"/>
    <d v="1899-12-30T18:38:00"/>
    <n v="0.13333333333333286"/>
    <n v="0.9666666666666659"/>
    <n v="1.0999999999999988"/>
    <s v="Reset"/>
    <s v="Close"/>
    <n v="2.7499999999999969E-2"/>
    <s v="G18"/>
    <n v="46.484166666666567"/>
    <s v="None"/>
    <s v="WTG Breakdown Maintenance"/>
    <n v="1014.1999999999989"/>
    <n v="46.484166666666567"/>
    <m/>
    <m/>
    <m/>
    <m/>
  </r>
  <r>
    <n v="1053"/>
    <x v="125"/>
    <x v="1"/>
    <x v="0"/>
    <x v="4"/>
    <x v="1"/>
    <x v="36"/>
    <s v="PWEGPL"/>
    <s v="MSEDCL"/>
    <n v="2.5000000000000001E-2"/>
    <n v="429"/>
    <x v="316"/>
    <s v="Manual stop"/>
    <d v="1899-12-30T11:37:00"/>
    <d v="1899-12-30T11:37:00"/>
    <d v="1899-12-30T13:00:00"/>
    <n v="0"/>
    <n v="1.3833333333333324"/>
    <n v="1.3833333333333324"/>
    <s v="Radiator cleaning done"/>
    <s v="Close"/>
    <n v="3.4583333333333313E-2"/>
    <s v="G27"/>
    <n v="49.97980131172833"/>
    <s v="None"/>
    <s v="WTG Unscheduled Maintenance"/>
    <n v="867.11944444444396"/>
    <n v="49.97980131172833"/>
    <m/>
    <m/>
    <m/>
    <m/>
  </r>
  <r>
    <n v="1054"/>
    <x v="125"/>
    <x v="1"/>
    <x v="0"/>
    <x v="4"/>
    <x v="1"/>
    <x v="8"/>
    <s v="PWEGPL"/>
    <s v="MSEDCL"/>
    <n v="2.5000000000000001E-2"/>
    <n v="429"/>
    <x v="316"/>
    <s v="Manual stop"/>
    <d v="1899-12-30T13:37:00"/>
    <d v="1899-12-30T13:37:00"/>
    <d v="1899-12-30T15:26:00"/>
    <n v="0"/>
    <n v="1.8166666666666682"/>
    <n v="1.8166666666666682"/>
    <s v="Radiator cleaning done"/>
    <s v="Close"/>
    <n v="4.5416666666666709E-2"/>
    <s v="G28"/>
    <n v="104.24523244598784"/>
    <s v="None"/>
    <s v="WTG Unscheduled Maintenance"/>
    <n v="1377.1847222222234"/>
    <n v="104.24523244598784"/>
    <m/>
    <m/>
    <m/>
    <m/>
  </r>
  <r>
    <n v="1055"/>
    <x v="126"/>
    <x v="1"/>
    <x v="0"/>
    <x v="4"/>
    <x v="1"/>
    <x v="0"/>
    <s v="PWEGPL"/>
    <s v="MSEDCL"/>
    <n v="2.5000000000000001E-2"/>
    <n v="2509"/>
    <x v="201"/>
    <s v="BD"/>
    <d v="1899-12-30T07:25:00"/>
    <d v="1899-12-30T10:00:00"/>
    <d v="1899-12-30T10:18:00"/>
    <n v="2.5833333333333335"/>
    <n v="0.30000000000000027"/>
    <n v="2.8833333333333337"/>
    <s v="Reset"/>
    <s v="Close"/>
    <n v="7.2083333333333346E-2"/>
    <s v="G18"/>
    <n v="307.8345447530865"/>
    <s v="Material shotrage of PLC"/>
    <s v="WTG Breakdown Maintenance"/>
    <n v="2562.3222222222225"/>
    <n v="307.8345447530865"/>
    <m/>
    <m/>
    <m/>
    <m/>
  </r>
  <r>
    <n v="1056"/>
    <x v="126"/>
    <x v="1"/>
    <x v="0"/>
    <x v="4"/>
    <x v="1"/>
    <x v="6"/>
    <s v="PWEGPL"/>
    <s v="MSEDCL"/>
    <n v="2.5000000000000001E-2"/>
    <s v="CE100001"/>
    <x v="288"/>
    <s v="Manual stop"/>
    <d v="1899-12-30T11:25:00"/>
    <d v="1899-12-30T11:25:00"/>
    <d v="1899-12-30T18:05:00"/>
    <n v="0"/>
    <n v="6.666666666666667"/>
    <n v="6.666666666666667"/>
    <s v="Hub accumulator blader replacement"/>
    <s v="Close"/>
    <n v="0.16666666666666669"/>
    <s v="G40"/>
    <n v="1108.179012345679"/>
    <s v="None"/>
    <s v="WTG Unscheduled Maintenance"/>
    <n v="3989.4444444444443"/>
    <n v="1108.179012345679"/>
    <m/>
    <m/>
    <m/>
    <m/>
  </r>
  <r>
    <n v="1057"/>
    <x v="126"/>
    <x v="1"/>
    <x v="0"/>
    <x v="4"/>
    <x v="1"/>
    <x v="0"/>
    <s v="PWEGPL"/>
    <s v="MSEDCL"/>
    <n v="2.5000000000000001E-2"/>
    <n v="2509"/>
    <x v="201"/>
    <s v="BD"/>
    <d v="1899-12-30T18:33:00"/>
    <d v="1899-12-30T18:40:00"/>
    <d v="1899-12-30T23:59:00"/>
    <n v="0.11666666666666625"/>
    <n v="5.3166666666666664"/>
    <n v="5.4333333333333327"/>
    <s v="Material shortage - PLC failed"/>
    <s v="Open"/>
    <n v="0.13583333333333333"/>
    <s v="G18"/>
    <n v="1093.1011419753083"/>
    <s v="Material shotrage of PLC"/>
    <s v="WTG Breakdown Maintenance"/>
    <n v="4828.4222222222215"/>
    <n v="1093.1011419753083"/>
    <m/>
    <m/>
    <m/>
    <m/>
  </r>
  <r>
    <n v="1058"/>
    <x v="127"/>
    <x v="1"/>
    <x v="0"/>
    <x v="4"/>
    <x v="1"/>
    <x v="0"/>
    <s v="PWEGPL"/>
    <s v="MSEDCL"/>
    <n v="2.5000000000000001E-2"/>
    <n v="2509"/>
    <x v="201"/>
    <s v="BD"/>
    <d v="1899-12-30T00:00:00"/>
    <d v="1899-12-30T23:59:00"/>
    <d v="1899-12-30T23:59:00"/>
    <n v="23.983333333333334"/>
    <n v="0"/>
    <n v="23.983333333333334"/>
    <s v="Material shortage - PLC failed"/>
    <s v="Open"/>
    <n v="0.59958333333333336"/>
    <s v="G16"/>
    <n v="16592.469444444447"/>
    <s v="Material shotrage of PLC"/>
    <s v="WTG Breakdown Maintenance"/>
    <n v="16604"/>
    <n v="16592.469444444447"/>
    <m/>
    <m/>
    <m/>
    <m/>
  </r>
  <r>
    <n v="1059"/>
    <x v="127"/>
    <x v="1"/>
    <x v="0"/>
    <x v="4"/>
    <x v="1"/>
    <x v="2"/>
    <s v="PWEGPL"/>
    <s v="MSEDCL"/>
    <n v="2.5000000000000001E-2"/>
    <n v="205"/>
    <x v="312"/>
    <s v="BD"/>
    <d v="1899-12-30T12:30:00"/>
    <d v="1899-12-30T12:30:00"/>
    <d v="1899-12-30T13:00:00"/>
    <n v="0"/>
    <n v="0.49999999999999822"/>
    <n v="0.49999999999999822"/>
    <s v="Oil topup"/>
    <s v="Close"/>
    <n v="1.2499999999999956E-2"/>
    <s v="G32"/>
    <n v="4.9999999999999822"/>
    <s v="None"/>
    <s v="WTG Breakdown Maintenance"/>
    <n v="240"/>
    <n v="4.9999999999999822"/>
    <m/>
    <m/>
    <m/>
    <m/>
  </r>
  <r>
    <n v="1060"/>
    <x v="127"/>
    <x v="1"/>
    <x v="0"/>
    <x v="4"/>
    <x v="1"/>
    <x v="9"/>
    <s v="PWEGPL"/>
    <s v="MSEDCL"/>
    <n v="2.5000000000000001E-2"/>
    <n v="205"/>
    <x v="312"/>
    <s v="BD"/>
    <d v="1899-12-30T14:00:00"/>
    <d v="1899-12-30T14:00:00"/>
    <d v="1899-12-30T14:30:00"/>
    <n v="0"/>
    <n v="0.49999999999999822"/>
    <n v="0.49999999999999822"/>
    <s v="Oil topup"/>
    <s v="Close"/>
    <n v="1.2499999999999956E-2"/>
    <s v="G29"/>
    <n v="5.5833333333333135"/>
    <s v="None"/>
    <s v="WTG Breakdown Maintenance"/>
    <n v="268"/>
    <n v="5.5833333333333135"/>
    <m/>
    <m/>
    <m/>
    <m/>
  </r>
  <r>
    <n v="1061"/>
    <x v="127"/>
    <x v="1"/>
    <x v="0"/>
    <x v="4"/>
    <x v="1"/>
    <x v="7"/>
    <s v="PWEGPL"/>
    <s v="MSEDCL"/>
    <n v="2.5000000000000001E-2"/>
    <n v="205"/>
    <x v="312"/>
    <s v="BD"/>
    <d v="1899-12-30T11:45:00"/>
    <d v="1899-12-30T11:45:00"/>
    <d v="1899-12-30T12:15:00"/>
    <n v="0"/>
    <n v="0.49999999999999956"/>
    <n v="0.49999999999999956"/>
    <s v="Oil topup"/>
    <s v="Close"/>
    <n v="1.249999999999999E-2"/>
    <s v="G39"/>
    <n v="4.7083333333333286"/>
    <s v="None"/>
    <s v="WTG Breakdown Maintenance"/>
    <n v="226"/>
    <n v="4.7083333333333286"/>
    <m/>
    <m/>
    <m/>
    <m/>
  </r>
  <r>
    <n v="1062"/>
    <x v="128"/>
    <x v="1"/>
    <x v="0"/>
    <x v="4"/>
    <x v="1"/>
    <x v="28"/>
    <s v="PWEGPL"/>
    <s v="MSEDCL"/>
    <n v="2.5000000000000001E-2"/>
    <n v="429"/>
    <x v="316"/>
    <s v="Manual stop"/>
    <d v="1899-12-30T13:32:00"/>
    <d v="1899-12-30T15:37:00"/>
    <d v="1899-12-30T15:37:00"/>
    <n v="2.0833333333333339"/>
    <n v="0"/>
    <n v="2.0833333333333339"/>
    <s v="Radiator cleaning done"/>
    <s v="Close"/>
    <n v="5.208333333333335E-2"/>
    <s v="G08"/>
    <n v="117.97116126543217"/>
    <s v="None"/>
    <s v="WTG Unscheduled Maintenance"/>
    <n v="1359.0277777777783"/>
    <n v="117.97116126543217"/>
    <m/>
    <m/>
    <m/>
    <m/>
  </r>
  <r>
    <n v="1063"/>
    <x v="128"/>
    <x v="1"/>
    <x v="0"/>
    <x v="4"/>
    <x v="1"/>
    <x v="29"/>
    <s v="PWEGPL"/>
    <s v="MSEDCL"/>
    <n v="2.5000000000000001E-2"/>
    <n v="429"/>
    <x v="316"/>
    <s v="Manual stop"/>
    <d v="1899-12-30T10:59:00"/>
    <d v="1899-12-30T10:59:00"/>
    <d v="1899-12-30T12:46:00"/>
    <n v="0"/>
    <n v="1.7833333333333337"/>
    <n v="1.7833333333333337"/>
    <s v="Radiator cleaning done"/>
    <s v="Close"/>
    <n v="4.4583333333333343E-2"/>
    <s v="G09"/>
    <n v="92.051373456790145"/>
    <s v="None"/>
    <s v="WTG Unscheduled Maintenance"/>
    <n v="1238.8222222222223"/>
    <n v="92.051373456790145"/>
    <m/>
    <m/>
    <m/>
    <m/>
  </r>
  <r>
    <n v="1064"/>
    <x v="128"/>
    <x v="1"/>
    <x v="0"/>
    <x v="4"/>
    <x v="1"/>
    <x v="0"/>
    <s v="PWEGPL"/>
    <s v="MSEDCL"/>
    <n v="2.5000000000000001E-2"/>
    <n v="2509"/>
    <x v="201"/>
    <s v="BD"/>
    <d v="1899-12-30T00:00:00"/>
    <d v="1899-12-30T00:00:00"/>
    <d v="1899-12-30T03:12:00"/>
    <n v="0"/>
    <n v="3.2"/>
    <n v="3.2"/>
    <s v="PLC replaced"/>
    <s v="Close"/>
    <n v="8.0000000000000016E-2"/>
    <s v="G18"/>
    <n v="388.26666666666665"/>
    <s v="Material shotrage of PLC"/>
    <s v="WTG Breakdown Maintenance"/>
    <n v="2912"/>
    <n v="388.26666666666665"/>
    <m/>
    <m/>
    <m/>
    <m/>
  </r>
  <r>
    <n v="1065"/>
    <x v="128"/>
    <x v="1"/>
    <x v="0"/>
    <x v="4"/>
    <x v="1"/>
    <x v="6"/>
    <s v="PWEGPL"/>
    <s v="MSEDCL"/>
    <n v="2.5000000000000001E-2"/>
    <n v="2102"/>
    <x v="320"/>
    <s v="Manual stop"/>
    <d v="1899-12-30T17:10:00"/>
    <d v="1899-12-30T17:10:00"/>
    <d v="1899-12-30T17:48:00"/>
    <n v="0"/>
    <n v="0.63333333333333375"/>
    <n v="0.63333333333333375"/>
    <s v="PLC replaced"/>
    <s v="Close"/>
    <n v="1.5833333333333345E-2"/>
    <s v="G40"/>
    <n v="10.6336226851852"/>
    <s v="None"/>
    <s v="WTG Unscheduled Maintenance"/>
    <n v="402.9583333333336"/>
    <n v="10.6336226851852"/>
    <m/>
    <m/>
    <m/>
    <m/>
  </r>
  <r>
    <n v="1066"/>
    <x v="128"/>
    <x v="1"/>
    <x v="0"/>
    <x v="4"/>
    <x v="1"/>
    <x v="0"/>
    <s v="PWEGPL"/>
    <s v="MSEDCL"/>
    <n v="2.5000000000000001E-2"/>
    <n v="2509"/>
    <x v="201"/>
    <s v="BD"/>
    <d v="1899-12-30T16:24:00"/>
    <d v="1899-12-30T16:35:00"/>
    <d v="1899-12-30T16:38:00"/>
    <n v="0.18333333333333535"/>
    <n v="4.9999999999999822E-2"/>
    <n v="0.23333333333333517"/>
    <s v="reset"/>
    <s v="Close"/>
    <n v="5.8333333333333796E-3"/>
    <s v="G18"/>
    <n v="2.0416666666666829"/>
    <s v="None"/>
    <s v="WTG Breakdown Maintenance"/>
    <n v="210"/>
    <n v="2.0416666666666829"/>
    <m/>
    <m/>
    <m/>
    <m/>
  </r>
  <r>
    <n v="1067"/>
    <x v="129"/>
    <x v="1"/>
    <x v="0"/>
    <x v="4"/>
    <x v="1"/>
    <x v="28"/>
    <s v="PWEGPL"/>
    <s v="MSEDCL"/>
    <n v="2.5000000000000001E-2"/>
    <n v="203"/>
    <x v="290"/>
    <s v="BD"/>
    <d v="1899-12-30T14:14:00"/>
    <d v="1899-12-30T15:01:00"/>
    <d v="1899-12-30T15:33:00"/>
    <n v="0.78333333333333321"/>
    <n v="0.5333333333333341"/>
    <n v="1.3166666666666673"/>
    <s v="oil top up done."/>
    <s v="Close"/>
    <n v="3.2916666666666684E-2"/>
    <s v="G11"/>
    <n v="33.347935956790153"/>
    <s v="None"/>
    <s v="WTG Breakdown Maintenance"/>
    <n v="607.86111111111143"/>
    <n v="33.347935956790153"/>
    <m/>
    <m/>
    <m/>
    <m/>
  </r>
  <r>
    <n v="1068"/>
    <x v="129"/>
    <x v="1"/>
    <x v="0"/>
    <x v="4"/>
    <x v="1"/>
    <x v="19"/>
    <s v="PWEGPL"/>
    <s v="MSEDCL"/>
    <n v="2.5000000000000001E-2"/>
    <n v="1893"/>
    <x v="362"/>
    <s v="BD"/>
    <d v="1899-12-30T02:55:00"/>
    <d v="1899-12-30T05:14:00"/>
    <d v="1899-12-30T05:47:00"/>
    <n v="2.3166666666666669"/>
    <n v="0.55000000000000004"/>
    <n v="2.8666666666666667"/>
    <s v="oil top up done."/>
    <s v="Close"/>
    <n v="7.166666666666667E-2"/>
    <s v="G19"/>
    <n v="157.87834876543209"/>
    <s v="None"/>
    <s v="WTG Breakdown Maintenance"/>
    <n v="1321.7722222222221"/>
    <n v="157.87834876543209"/>
    <m/>
    <m/>
    <m/>
    <m/>
  </r>
  <r>
    <n v="1069"/>
    <x v="129"/>
    <x v="1"/>
    <x v="0"/>
    <x v="4"/>
    <x v="1"/>
    <x v="11"/>
    <s v="PWEGPL"/>
    <s v="MSEDCL"/>
    <n v="2.5000000000000001E-2"/>
    <n v="429"/>
    <x v="316"/>
    <s v="Manual stop"/>
    <d v="1899-12-30T11:11:00"/>
    <d v="1899-12-30T11:11:00"/>
    <d v="1899-12-30T15:27:00"/>
    <n v="0"/>
    <n v="4.2666666666666648"/>
    <n v="4.2666666666666648"/>
    <s v="Gear box damper replaced and radiator cleaning done."/>
    <s v="Close"/>
    <n v="0.10666666666666663"/>
    <s v="G31"/>
    <n v="366.68049382716021"/>
    <s v="None"/>
    <s v="WTG Unscheduled Maintenance"/>
    <n v="2062.5777777777771"/>
    <n v="366.68049382716021"/>
    <m/>
    <m/>
    <m/>
    <m/>
  </r>
  <r>
    <n v="1070"/>
    <x v="130"/>
    <x v="1"/>
    <x v="0"/>
    <x v="4"/>
    <x v="1"/>
    <x v="28"/>
    <s v="PWEGPL"/>
    <s v="MSEDCL"/>
    <n v="2.5000000000000001E-2"/>
    <n v="402"/>
    <x v="300"/>
    <s v="Manual stop"/>
    <d v="1899-12-30T10:23:00"/>
    <d v="1899-12-30T10:23:00"/>
    <d v="1899-12-30T17:02:00"/>
    <n v="0"/>
    <n v="6.6500000000000021"/>
    <n v="6.6500000000000021"/>
    <s v="Gear box damper pad replaced"/>
    <s v="Close"/>
    <n v="0.16625000000000006"/>
    <s v="G11"/>
    <n v="811.3000000000003"/>
    <s v="None"/>
    <s v="WTG Unscheduled Maintenance"/>
    <n v="2928"/>
    <n v="811.3000000000003"/>
    <m/>
    <m/>
    <m/>
    <m/>
  </r>
  <r>
    <n v="1071"/>
    <x v="130"/>
    <x v="1"/>
    <x v="0"/>
    <x v="4"/>
    <x v="1"/>
    <x v="35"/>
    <s v="PWEGPL"/>
    <s v="MSEDCL"/>
    <n v="2.5000000000000001E-2"/>
    <n v="907"/>
    <x v="292"/>
    <s v="BD"/>
    <d v="1899-12-30T21:29:00"/>
    <d v="1899-12-30T22:00:00"/>
    <d v="1899-12-30T22:07:00"/>
    <n v="0.51666666666666483"/>
    <n v="0.11666666666666892"/>
    <n v="0.63333333333333375"/>
    <s v="Reset"/>
    <s v="Close"/>
    <n v="1.5833333333333345E-2"/>
    <s v="G25"/>
    <n v="6.3333333333333375"/>
    <s v="None"/>
    <s v="WTG Breakdown Maintenance"/>
    <n v="240"/>
    <n v="6.3333333333333375"/>
    <m/>
    <m/>
    <m/>
    <m/>
  </r>
  <r>
    <n v="1072"/>
    <x v="130"/>
    <x v="1"/>
    <x v="0"/>
    <x v="4"/>
    <x v="1"/>
    <x v="10"/>
    <s v="PWEGPL"/>
    <s v="MSEDCL"/>
    <n v="2.5000000000000001E-2"/>
    <n v="205"/>
    <x v="312"/>
    <s v="BD"/>
    <d v="1899-12-30T04:19:00"/>
    <d v="1899-12-30T04:40:00"/>
    <d v="1899-12-30T04:45:00"/>
    <n v="0.35000000000000009"/>
    <n v="8.3333333333333037E-2"/>
    <n v="0.43333333333333313"/>
    <s v="Reset"/>
    <s v="Close"/>
    <n v="1.0833333333333328E-2"/>
    <s v="G30"/>
    <n v="3.1416666666666653"/>
    <s v="None"/>
    <s v="WTG Breakdown Maintenance"/>
    <n v="174"/>
    <n v="3.1416666666666653"/>
    <m/>
    <m/>
    <m/>
    <m/>
  </r>
  <r>
    <n v="1073"/>
    <x v="130"/>
    <x v="1"/>
    <x v="0"/>
    <x v="4"/>
    <x v="1"/>
    <x v="12"/>
    <s v="PWEGPL"/>
    <s v="MSEDCL"/>
    <n v="2.5000000000000001E-2"/>
    <n v="205"/>
    <x v="312"/>
    <s v="BD"/>
    <d v="1899-12-30T04:06:00"/>
    <d v="1899-12-30T04:20:00"/>
    <d v="1899-12-30T04:34:00"/>
    <n v="0.23333333333333384"/>
    <n v="0.23333333333333317"/>
    <n v="0.46666666666666701"/>
    <s v="Reset"/>
    <s v="Close"/>
    <n v="1.1666666666666676E-2"/>
    <s v="G30"/>
    <n v="3.6361111111111137"/>
    <s v="None"/>
    <s v="WTG Breakdown Maintenance"/>
    <n v="187"/>
    <n v="3.6361111111111137"/>
    <m/>
    <m/>
    <m/>
    <m/>
  </r>
  <r>
    <n v="1074"/>
    <x v="130"/>
    <x v="1"/>
    <x v="0"/>
    <x v="4"/>
    <x v="1"/>
    <x v="16"/>
    <s v="PWEGPL"/>
    <s v="MSEDCL"/>
    <n v="2.5000000000000001E-2"/>
    <n v="1813"/>
    <x v="332"/>
    <s v="BD"/>
    <d v="1899-12-30T06:16:00"/>
    <d v="1899-12-30T10:43:00"/>
    <d v="1899-12-30T10:55:00"/>
    <n v="4.45"/>
    <n v="0.19999999999999929"/>
    <n v="4.6499999999999995"/>
    <s v="Reset"/>
    <s v="Close"/>
    <n v="0.11624999999999999"/>
    <s v="G35"/>
    <n v="348.55624999999992"/>
    <s v="None"/>
    <s v="WTG Breakdown Maintenance"/>
    <n v="1799"/>
    <n v="348.55624999999992"/>
    <m/>
    <m/>
    <m/>
    <m/>
  </r>
  <r>
    <n v="1075"/>
    <x v="130"/>
    <x v="1"/>
    <x v="0"/>
    <x v="4"/>
    <x v="1"/>
    <x v="4"/>
    <s v="PWEGPL"/>
    <s v="MSEDCL"/>
    <n v="2.5000000000000001E-2"/>
    <n v="110"/>
    <x v="287"/>
    <s v="BD"/>
    <d v="1899-12-30T04:44:00"/>
    <d v="1899-12-30T08:30:00"/>
    <d v="1899-12-30T10:36:00"/>
    <n v="3.7666666666666675"/>
    <n v="2.0999999999999992"/>
    <n v="5.8666666666666663"/>
    <s v="Untwisted the cable"/>
    <s v="Close"/>
    <n v="0.14666666666666667"/>
    <s v="G35"/>
    <n v="554.8888888888888"/>
    <s v="None"/>
    <s v="WTG Breakdown Maintenance"/>
    <n v="2270"/>
    <n v="554.8888888888888"/>
    <m/>
    <m/>
    <m/>
    <m/>
  </r>
  <r>
    <n v="1076"/>
    <x v="130"/>
    <x v="1"/>
    <x v="0"/>
    <x v="4"/>
    <x v="1"/>
    <x v="6"/>
    <s v="PWEGPL"/>
    <s v="MSEDCL"/>
    <n v="2.5000000000000001E-2"/>
    <n v="2102"/>
    <x v="320"/>
    <s v="BD"/>
    <d v="1899-12-30T22:11:00"/>
    <d v="1899-12-30T22:45:00"/>
    <d v="1899-12-30T22:50:00"/>
    <n v="0.56666666666666465"/>
    <n v="8.3333333333333037E-2"/>
    <n v="0.64999999999999769"/>
    <s v="Reset"/>
    <s v="Close"/>
    <n v="1.6249999999999942E-2"/>
    <s v="G40"/>
    <n v="6.7979166666666426"/>
    <s v="None"/>
    <s v="WTG Breakdown Maintenance"/>
    <n v="251"/>
    <n v="6.7979166666666426"/>
    <m/>
    <m/>
    <m/>
    <m/>
  </r>
  <r>
    <n v="1077"/>
    <x v="130"/>
    <x v="1"/>
    <x v="0"/>
    <x v="4"/>
    <x v="1"/>
    <x v="10"/>
    <s v="PWEGPL"/>
    <s v="MSEDCL"/>
    <n v="2.5000000000000001E-2"/>
    <n v="205"/>
    <x v="312"/>
    <s v="BD"/>
    <d v="1899-12-30T05:48:00"/>
    <d v="1899-12-30T05:48:00"/>
    <d v="1899-12-30T07:10:00"/>
    <n v="0"/>
    <n v="1.3666666666666665"/>
    <n v="1.3666666666666665"/>
    <s v="Oil Topup"/>
    <s v="Close"/>
    <n v="3.4166666666666665E-2"/>
    <s v="G30"/>
    <n v="31.319444444444443"/>
    <s v="None"/>
    <s v="WTG Breakdown Maintenance"/>
    <n v="550"/>
    <n v="31.319444444444443"/>
    <m/>
    <m/>
    <m/>
    <m/>
  </r>
  <r>
    <n v="1078"/>
    <x v="130"/>
    <x v="1"/>
    <x v="0"/>
    <x v="4"/>
    <x v="1"/>
    <x v="12"/>
    <s v="PWEGPL"/>
    <s v="MSEDCL"/>
    <n v="2.5000000000000001E-2"/>
    <n v="205"/>
    <x v="312"/>
    <s v="BD"/>
    <d v="1899-12-30T04:59:00"/>
    <d v="1899-12-30T04:59:00"/>
    <d v="1899-12-30T05:40:00"/>
    <n v="0"/>
    <n v="0.68333333333333357"/>
    <n v="0.68333333333333357"/>
    <s v="Oil Topup"/>
    <s v="Close"/>
    <n v="1.7083333333333339E-2"/>
    <s v="G30"/>
    <n v="7.8298611111111143"/>
    <s v="None"/>
    <s v="WTG Breakdown Maintenance"/>
    <n v="275"/>
    <n v="7.8298611111111143"/>
    <m/>
    <m/>
    <m/>
    <m/>
  </r>
  <r>
    <n v="1079"/>
    <x v="131"/>
    <x v="1"/>
    <x v="0"/>
    <x v="4"/>
    <x v="1"/>
    <x v="25"/>
    <s v="PWEGPL"/>
    <s v="MSEDCL"/>
    <n v="2.5000000000000001E-2"/>
    <n v="205"/>
    <x v="312"/>
    <s v="BD"/>
    <d v="1899-12-30T10:10:00"/>
    <d v="1899-12-30T10:51:00"/>
    <d v="1899-12-30T11:52:00"/>
    <n v="0.68333333333333357"/>
    <n v="1.0166666666666671"/>
    <n v="1.7000000000000006"/>
    <s v="Oil Topup"/>
    <s v="Close"/>
    <n v="4.2500000000000017E-2"/>
    <s v="G08"/>
    <n v="83.117604166666723"/>
    <s v="None"/>
    <s v="WTG Breakdown Maintenance"/>
    <n v="1173.4250000000004"/>
    <n v="83.117604166666723"/>
    <m/>
    <m/>
    <m/>
    <m/>
  </r>
  <r>
    <n v="1080"/>
    <x v="131"/>
    <x v="1"/>
    <x v="0"/>
    <x v="4"/>
    <x v="1"/>
    <x v="0"/>
    <s v="PWEGPL"/>
    <s v="MSEDCL"/>
    <n v="2.5000000000000001E-2"/>
    <n v="2509"/>
    <x v="201"/>
    <s v="BD"/>
    <d v="1899-12-30T21:08:00"/>
    <d v="1899-12-30T21:08:00"/>
    <d v="1899-12-30T23:42:00"/>
    <n v="0"/>
    <n v="2.5666666666666655"/>
    <n v="2.5666666666666655"/>
    <s v="PLC Module replaced"/>
    <s v="Close"/>
    <n v="6.4166666666666636E-2"/>
    <s v="G18"/>
    <n v="194.38519290123438"/>
    <s v="None"/>
    <s v="WTG Breakdown Maintenance"/>
    <n v="1817.6277777777768"/>
    <n v="194.38519290123438"/>
    <m/>
    <m/>
    <m/>
    <m/>
  </r>
  <r>
    <n v="1081"/>
    <x v="131"/>
    <x v="1"/>
    <x v="0"/>
    <x v="4"/>
    <x v="1"/>
    <x v="33"/>
    <s v="PWEGPL"/>
    <s v="MSEDCL"/>
    <n v="2.5000000000000001E-2"/>
    <n v="5236"/>
    <x v="363"/>
    <s v="BD"/>
    <d v="1899-12-30T22:53:00"/>
    <d v="1899-12-30T23:59:00"/>
    <d v="1899-12-30T23:59:00"/>
    <n v="1.1000000000000014"/>
    <n v="0"/>
    <n v="1.1000000000000014"/>
    <s v="slipring carbon brush replaced"/>
    <s v="Open"/>
    <n v="2.7500000000000038E-2"/>
    <s v="G22"/>
    <n v="33.25399305555564"/>
    <s v="None"/>
    <s v="WTG Breakdown Maintenance"/>
    <n v="725.54166666666765"/>
    <n v="33.25399305555564"/>
    <m/>
    <m/>
    <m/>
    <m/>
  </r>
  <r>
    <n v="1082"/>
    <x v="131"/>
    <x v="1"/>
    <x v="0"/>
    <x v="4"/>
    <x v="1"/>
    <x v="12"/>
    <s v="PWEGPL"/>
    <s v="MSEDCL"/>
    <n v="2.5000000000000001E-2"/>
    <n v="2102"/>
    <x v="320"/>
    <s v="BD"/>
    <d v="1899-12-30T15:40:00"/>
    <d v="1899-12-30T16:35:00"/>
    <d v="1899-12-30T19:15:00"/>
    <n v="0.91666666666666607"/>
    <n v="2.6666666666666679"/>
    <n v="3.5833333333333339"/>
    <s v="Module replaced"/>
    <s v="Close"/>
    <n v="8.9583333333333348E-2"/>
    <s v="G30"/>
    <n v="308.34500385802477"/>
    <s v="None"/>
    <s v="WTG Breakdown Maintenance"/>
    <n v="2065.1944444444448"/>
    <n v="308.34500385802477"/>
    <m/>
    <m/>
    <m/>
    <m/>
  </r>
  <r>
    <n v="1083"/>
    <x v="131"/>
    <x v="1"/>
    <x v="0"/>
    <x v="4"/>
    <x v="1"/>
    <x v="16"/>
    <s v="PWEGPL"/>
    <s v="MSEDCL"/>
    <n v="2.5000000000000001E-2"/>
    <n v="421"/>
    <x v="364"/>
    <s v="BD"/>
    <d v="1899-12-30T10:22:00"/>
    <d v="1899-12-30T10:22:00"/>
    <d v="1899-12-30T11:37:00"/>
    <n v="0"/>
    <n v="1.2499999999999996"/>
    <n v="1.2499999999999996"/>
    <s v="Gearbox pump treplaced"/>
    <s v="Close"/>
    <n v="3.124999999999999E-2"/>
    <s v="G35"/>
    <n v="33.555772569444414"/>
    <s v="None"/>
    <s v="WTG Unscheduled Maintenance"/>
    <n v="644.27083333333303"/>
    <n v="33.555772569444414"/>
    <m/>
    <m/>
    <m/>
    <m/>
  </r>
  <r>
    <n v="1084"/>
    <x v="132"/>
    <x v="1"/>
    <x v="0"/>
    <x v="4"/>
    <x v="1"/>
    <x v="23"/>
    <s v="PWEGPL"/>
    <s v="MSEDCL"/>
    <n v="2.5000000000000001E-2"/>
    <n v="205"/>
    <x v="312"/>
    <s v="BD"/>
    <d v="1899-12-30T20:00:00"/>
    <d v="1899-12-30T21:47:00"/>
    <d v="1899-12-30T22:41:00"/>
    <n v="1.783333333333335"/>
    <n v="0.8999999999999968"/>
    <n v="2.6833333333333318"/>
    <s v="Oil Topup"/>
    <s v="Close"/>
    <n v="6.70833333333333E-2"/>
    <s v="G03"/>
    <n v="161.13121624228378"/>
    <s v="None"/>
    <s v="WTG Breakdown Maintenance"/>
    <n v="1441.1736111111104"/>
    <n v="161.13121624228378"/>
    <m/>
    <m/>
    <m/>
    <m/>
  </r>
  <r>
    <n v="1085"/>
    <x v="132"/>
    <x v="1"/>
    <x v="0"/>
    <x v="4"/>
    <x v="1"/>
    <x v="0"/>
    <s v="PWEGPL"/>
    <s v="MSEDCL"/>
    <n v="2.5000000000000001E-2"/>
    <n v="110"/>
    <x v="287"/>
    <s v="BD"/>
    <d v="1899-12-30T15:29:00"/>
    <d v="1899-12-30T16:01:00"/>
    <d v="1899-12-30T16:41:00"/>
    <n v="0.5333333333333341"/>
    <n v="0.66666666666666696"/>
    <n v="1.2000000000000011"/>
    <s v="Cable twist removed."/>
    <s v="Close"/>
    <n v="3.0000000000000027E-2"/>
    <s v="G18"/>
    <n v="45.605000000000082"/>
    <s v="None"/>
    <s v="WTG Breakdown Maintenance"/>
    <n v="912.10000000000082"/>
    <n v="45.605000000000082"/>
    <m/>
    <m/>
    <m/>
    <m/>
  </r>
  <r>
    <n v="1086"/>
    <x v="132"/>
    <x v="1"/>
    <x v="0"/>
    <x v="4"/>
    <x v="1"/>
    <x v="33"/>
    <s v="PWEGPL"/>
    <s v="MSEDCL"/>
    <n v="2.5000000000000001E-2"/>
    <n v="5236"/>
    <x v="363"/>
    <s v="BD"/>
    <d v="1899-12-30T00:00:00"/>
    <d v="1899-12-30T00:48:00"/>
    <d v="1899-12-30T05:06:00"/>
    <n v="0.8"/>
    <n v="4.3"/>
    <n v="5.0999999999999996"/>
    <s v="slipring carbon brush replaced"/>
    <s v="Close"/>
    <n v="0.1275"/>
    <s v="G22"/>
    <n v="751.4"/>
    <s v="None"/>
    <s v="WTG Breakdown Maintenance"/>
    <n v="3536"/>
    <n v="751.4"/>
    <m/>
    <m/>
    <m/>
    <m/>
  </r>
  <r>
    <n v="1087"/>
    <x v="133"/>
    <x v="1"/>
    <x v="0"/>
    <x v="4"/>
    <x v="1"/>
    <x v="36"/>
    <s v="PWEGPL"/>
    <s v="MSEDCL"/>
    <n v="2.5000000000000001E-2"/>
    <n v="403"/>
    <x v="365"/>
    <s v="BD"/>
    <d v="1899-12-30T22:14:00"/>
    <d v="1899-12-30T23:28:00"/>
    <d v="1899-12-30T23:55:00"/>
    <n v="1.2333333333333316"/>
    <n v="0.45000000000000107"/>
    <n v="1.6833333333333327"/>
    <s v="MPCB charged"/>
    <s v="Close"/>
    <n v="4.208333333333332E-2"/>
    <s v="G27"/>
    <n v="201.5090277777777"/>
    <s v="None"/>
    <s v="WTG Breakdown Maintenance"/>
    <n v="2873"/>
    <n v="201.5090277777777"/>
    <m/>
    <m/>
    <m/>
    <m/>
  </r>
  <r>
    <n v="1088"/>
    <x v="134"/>
    <x v="1"/>
    <x v="0"/>
    <x v="4"/>
    <x v="1"/>
    <x v="16"/>
    <s v="PWEGPL"/>
    <s v="MSEDCL"/>
    <n v="2.5000000000000001E-2"/>
    <n v="404"/>
    <x v="352"/>
    <s v="Manual stop"/>
    <d v="1899-12-30T11:14:00"/>
    <d v="1899-12-30T11:14:00"/>
    <d v="1899-12-30T12:12:00"/>
    <n v="0"/>
    <n v="0.96666666666666723"/>
    <n v="0.96666666666666723"/>
    <s v="Gear box damper pad replacement WIP"/>
    <s v="Close"/>
    <n v="2.4166666666666684E-2"/>
    <s v="G35"/>
    <n v="20.1388888888889"/>
    <s v="None"/>
    <s v="WTG Unscheduled Maintenance"/>
    <n v="500"/>
    <n v="20.1388888888889"/>
    <m/>
    <m/>
    <m/>
    <m/>
  </r>
  <r>
    <n v="1089"/>
    <x v="134"/>
    <x v="1"/>
    <x v="0"/>
    <x v="4"/>
    <x v="1"/>
    <x v="16"/>
    <s v="PWEGPL"/>
    <s v="MSEDCL"/>
    <n v="2.5000000000000001E-2"/>
    <n v="404"/>
    <x v="352"/>
    <s v="Manual stop"/>
    <d v="1899-12-30T15:05:00"/>
    <d v="1899-12-30T15:05:00"/>
    <d v="1899-12-30T16:23:00"/>
    <n v="0"/>
    <n v="1.3000000000000007"/>
    <n v="1.3000000000000007"/>
    <s v="Gear box damper pad replacement WIP"/>
    <s v="Close"/>
    <n v="3.2500000000000022E-2"/>
    <s v="G35"/>
    <n v="36.454166666666687"/>
    <s v="None"/>
    <s v="WTG Unscheduled Maintenance"/>
    <n v="673"/>
    <n v="36.454166666666687"/>
    <m/>
    <m/>
    <m/>
    <m/>
  </r>
  <r>
    <n v="1090"/>
    <x v="135"/>
    <x v="1"/>
    <x v="0"/>
    <x v="4"/>
    <x v="1"/>
    <x v="30"/>
    <s v="PWEGPL"/>
    <s v="MSEDCL"/>
    <n v="2.5000000000000001E-2"/>
    <n v="404"/>
    <x v="352"/>
    <s v="Manual stop"/>
    <d v="1899-12-30T11:30:00"/>
    <d v="1899-12-30T11:30:00"/>
    <d v="1899-12-30T15:35:00"/>
    <n v="0"/>
    <n v="4.0833333333333339"/>
    <n v="4.0833333333333339"/>
    <s v="Gear box damper pad replacement "/>
    <s v="Close"/>
    <n v="0.10208333333333336"/>
    <s v="G11"/>
    <n v="714.53370949074099"/>
    <s v="None"/>
    <s v="WTG Unscheduled Maintenance"/>
    <n v="4199.7083333333339"/>
    <n v="714.53370949074099"/>
    <m/>
    <m/>
    <m/>
    <m/>
  </r>
  <r>
    <n v="1091"/>
    <x v="135"/>
    <x v="1"/>
    <x v="0"/>
    <x v="4"/>
    <x v="1"/>
    <x v="11"/>
    <s v="PWEGPL"/>
    <s v="MSEDCL"/>
    <n v="2.5000000000000001E-2"/>
    <n v="907"/>
    <x v="292"/>
    <s v="BD"/>
    <d v="1899-12-30T08:20:00"/>
    <d v="1899-12-30T10:33:00"/>
    <d v="1899-12-30T14:23:00"/>
    <n v="2.2166666666666668"/>
    <n v="3.8333333333333317"/>
    <n v="6.0499999999999989"/>
    <s v="Gear box oil hose pipe replaced and oil top up done."/>
    <s v="Close"/>
    <n v="0.15125"/>
    <s v="G31"/>
    <n v="1330.3992013888885"/>
    <s v="None"/>
    <s v="WTG Breakdown Maintenance"/>
    <n v="5277.6166666666659"/>
    <n v="1330.3992013888885"/>
    <m/>
    <m/>
    <m/>
    <m/>
  </r>
  <r>
    <n v="1092"/>
    <x v="135"/>
    <x v="1"/>
    <x v="0"/>
    <x v="4"/>
    <x v="1"/>
    <x v="15"/>
    <s v="PWEGPL"/>
    <s v="MSEDCL"/>
    <n v="2.5000000000000001E-2"/>
    <n v="2118"/>
    <x v="293"/>
    <s v="BD"/>
    <d v="1899-12-30T05:20:00"/>
    <d v="1899-12-30T06:18:00"/>
    <d v="1899-12-30T08:18:00"/>
    <n v="0.96666666666666723"/>
    <n v="2.0000000000000009"/>
    <n v="2.9666666666666681"/>
    <s v="gear box rotating joint replaced"/>
    <s v="Close"/>
    <n v="7.41666666666667E-2"/>
    <s v="G36"/>
    <n v="333.9838310185188"/>
    <s v="None"/>
    <s v="WTG Breakdown Maintenance"/>
    <n v="2701.8916666666678"/>
    <n v="333.9838310185188"/>
    <m/>
    <m/>
    <m/>
    <m/>
  </r>
  <r>
    <n v="1093"/>
    <x v="136"/>
    <x v="1"/>
    <x v="0"/>
    <x v="4"/>
    <x v="1"/>
    <x v="29"/>
    <s v="PWEGPL"/>
    <s v="MSEDCL"/>
    <n v="2.5000000000000001E-2"/>
    <s v="CE100001"/>
    <x v="288"/>
    <s v="BD"/>
    <d v="1899-12-30T15:59:00"/>
    <d v="1899-12-30T15:59:00"/>
    <d v="1899-12-30T17:51:00"/>
    <n v="0"/>
    <n v="1.866666666666668"/>
    <n v="1.866666666666668"/>
    <s v="cooling fan replaced"/>
    <s v="Close"/>
    <n v="4.6666666666666703E-2"/>
    <s v="G10"/>
    <n v="240.39037037037073"/>
    <s v="None"/>
    <s v="WTG Breakdown Maintenance"/>
    <n v="3090.7333333333354"/>
    <n v="240.39037037037073"/>
    <m/>
    <m/>
    <m/>
    <m/>
  </r>
  <r>
    <n v="1094"/>
    <x v="136"/>
    <x v="1"/>
    <x v="0"/>
    <x v="4"/>
    <x v="1"/>
    <x v="32"/>
    <s v="PWEGPL"/>
    <s v="MSEDCL"/>
    <n v="2.5000000000000001E-2"/>
    <n v="700"/>
    <x v="329"/>
    <s v="BD"/>
    <d v="1899-12-30T03:46:00"/>
    <d v="1899-12-30T04:00:00"/>
    <d v="1899-12-30T04:02:00"/>
    <n v="0.23333333333333317"/>
    <n v="3.3333333333333215E-2"/>
    <n v="0.26666666666666639"/>
    <s v="Rebot &amp;Reset"/>
    <s v="Close"/>
    <n v="6.6666666666666602E-3"/>
    <s v="G15"/>
    <n v="4.8012345679012247"/>
    <s v="None"/>
    <s v="WTG Breakdown Maintenance"/>
    <n v="432.11111111111069"/>
    <n v="4.8012345679012247"/>
    <m/>
    <m/>
    <m/>
    <m/>
  </r>
  <r>
    <n v="1095"/>
    <x v="136"/>
    <x v="1"/>
    <x v="0"/>
    <x v="4"/>
    <x v="1"/>
    <x v="37"/>
    <s v="PWEGPL"/>
    <s v="MSEDCL"/>
    <n v="2.5000000000000001E-2"/>
    <n v="1893"/>
    <x v="362"/>
    <s v="BD"/>
    <d v="1899-12-30T02:44:00"/>
    <d v="1899-12-30T03:21:00"/>
    <d v="1899-12-30T03:31:00"/>
    <n v="0.61666666666666681"/>
    <n v="0.16666666666666674"/>
    <n v="0.78333333333333355"/>
    <s v="Rebot &amp;Reset"/>
    <s v="Close"/>
    <n v="1.9583333333333341E-2"/>
    <s v="G18"/>
    <n v="39.741972415123485"/>
    <s v="None"/>
    <s v="WTG Breakdown Maintenance"/>
    <n v="1217.6263888888893"/>
    <n v="39.741972415123485"/>
    <m/>
    <m/>
    <m/>
    <m/>
  </r>
  <r>
    <n v="1096"/>
    <x v="136"/>
    <x v="1"/>
    <x v="0"/>
    <x v="4"/>
    <x v="1"/>
    <x v="0"/>
    <s v="PWEGPL"/>
    <s v="MSEDCL"/>
    <n v="2.5000000000000001E-2"/>
    <n v="421"/>
    <x v="364"/>
    <s v="BD"/>
    <d v="1899-12-30T10:34:00"/>
    <d v="1899-12-30T10:34:00"/>
    <d v="1899-12-30T12:43:00"/>
    <n v="0"/>
    <n v="2.1500000000000004"/>
    <n v="2.1500000000000004"/>
    <s v="Repeated error attend and gearbox hose pipe replaced and bearing greasing done"/>
    <s v="Close"/>
    <n v="5.3750000000000013E-2"/>
    <s v="G18"/>
    <n v="299.38712673611121"/>
    <s v="None"/>
    <s v="WTG Unscheduled Maintenance"/>
    <n v="3341.9958333333338"/>
    <n v="299.38712673611121"/>
    <m/>
    <m/>
    <m/>
    <m/>
  </r>
  <r>
    <n v="1097"/>
    <x v="137"/>
    <x v="1"/>
    <x v="0"/>
    <x v="5"/>
    <x v="1"/>
    <x v="10"/>
    <s v="PWEGPL"/>
    <s v="MSEDCL"/>
    <n v="2.5000000000000001E-2"/>
    <n v="429"/>
    <x v="316"/>
    <s v="Manual stop"/>
    <d v="1899-12-30T11:24:00"/>
    <d v="1899-12-30T11:24:00"/>
    <d v="1899-12-30T15:35:00"/>
    <n v="0"/>
    <n v="4.1833333333333336"/>
    <n v="4.1833333333333336"/>
    <s v="GB radiator motor replaced"/>
    <s v="Close"/>
    <n v="0.10458333333333335"/>
    <s v="G30"/>
    <n v="927.15013310185202"/>
    <s v="None"/>
    <s v="WTG Unscheduled Maintenance"/>
    <n v="5319.1083333333336"/>
    <n v="927.15013310185202"/>
    <m/>
    <m/>
    <m/>
    <m/>
  </r>
  <r>
    <n v="1098"/>
    <x v="137"/>
    <x v="1"/>
    <x v="0"/>
    <x v="5"/>
    <x v="1"/>
    <x v="12"/>
    <s v="PWEGPL"/>
    <s v="MSEDCL"/>
    <n v="2.5000000000000001E-2"/>
    <n v="5222"/>
    <x v="315"/>
    <s v="BD"/>
    <d v="1899-12-30T12:44:00"/>
    <d v="1899-12-30T13:02:00"/>
    <d v="1899-12-30T13:11:00"/>
    <n v="0.29999999999999893"/>
    <n v="0.15000000000000213"/>
    <n v="0.45000000000000107"/>
    <s v="Reset"/>
    <s v="Close"/>
    <n v="1.1250000000000027E-2"/>
    <s v="G30"/>
    <n v="10.72828125000005"/>
    <s v="None"/>
    <s v="WTG Breakdown Maintenance"/>
    <n v="572.17500000000132"/>
    <n v="10.72828125000005"/>
    <m/>
    <m/>
    <m/>
    <m/>
  </r>
  <r>
    <n v="1099"/>
    <x v="137"/>
    <x v="1"/>
    <x v="0"/>
    <x v="5"/>
    <x v="1"/>
    <x v="15"/>
    <s v="PWEGPL"/>
    <s v="MSEDCL"/>
    <n v="2.5000000000000001E-2"/>
    <n v="203"/>
    <x v="290"/>
    <s v="BD"/>
    <d v="1899-12-30T15:30:00"/>
    <d v="1899-12-30T16:28:00"/>
    <d v="1899-12-30T16:38:00"/>
    <n v="0.96666666666666323"/>
    <n v="0.16666666666666874"/>
    <n v="1.133333333333332"/>
    <s v="Reset"/>
    <s v="Close"/>
    <n v="2.8333333333333301E-2"/>
    <s v="G36"/>
    <n v="67.923919753086267"/>
    <s v="None"/>
    <s v="WTG Breakdown Maintenance"/>
    <n v="1438.3888888888873"/>
    <n v="67.923919753086267"/>
    <m/>
    <m/>
    <m/>
    <m/>
  </r>
  <r>
    <n v="1100"/>
    <x v="137"/>
    <x v="1"/>
    <x v="0"/>
    <x v="5"/>
    <x v="1"/>
    <x v="12"/>
    <s v="PWEGPL"/>
    <s v="MSEDCL"/>
    <n v="2.5000000000000001E-2"/>
    <n v="429"/>
    <x v="316"/>
    <s v="Manual stop"/>
    <d v="1899-12-30T15:41:00"/>
    <d v="1899-12-30T15:41:00"/>
    <d v="1899-12-30T16:43:00"/>
    <n v="0"/>
    <n v="1.0333333333333323"/>
    <n v="1.0333333333333323"/>
    <s v="CCU radiator cleaned"/>
    <s v="Close"/>
    <n v="2.5833333333333309E-2"/>
    <s v="G30"/>
    <n v="56.569976851851742"/>
    <s v="None"/>
    <s v="WTG Unscheduled Maintenance"/>
    <n v="1313.8833333333321"/>
    <n v="56.569976851851742"/>
    <m/>
    <m/>
    <m/>
    <m/>
  </r>
  <r>
    <n v="1101"/>
    <x v="138"/>
    <x v="1"/>
    <x v="0"/>
    <x v="5"/>
    <x v="1"/>
    <x v="20"/>
    <s v="PWEGPL"/>
    <s v="MSEDCL"/>
    <n v="2.5000000000000001E-2"/>
    <n v="429"/>
    <x v="316"/>
    <s v="Manual stop"/>
    <d v="1899-12-30T10:52:00"/>
    <d v="1899-12-30T10:52:00"/>
    <d v="1899-12-30T11:44:00"/>
    <n v="0"/>
    <n v="0.86666666666666625"/>
    <n v="0.86666666666666625"/>
    <s v="coolant radiator cleaning work done."/>
    <s v="Close"/>
    <n v="2.1666666666666657E-2"/>
    <s v="G03"/>
    <n v="18.803858024691344"/>
    <s v="None"/>
    <s v="WTG Unscheduled Maintenance"/>
    <n v="520.72222222222206"/>
    <n v="18.803858024691344"/>
    <m/>
    <m/>
    <m/>
    <m/>
  </r>
  <r>
    <n v="1102"/>
    <x v="138"/>
    <x v="1"/>
    <x v="0"/>
    <x v="5"/>
    <x v="1"/>
    <x v="21"/>
    <s v="PWEGPL"/>
    <s v="MSEDCL"/>
    <n v="2.5000000000000001E-2"/>
    <n v="429"/>
    <x v="316"/>
    <s v="Manual stop"/>
    <d v="1899-12-30T12:04:00"/>
    <d v="1899-12-30T12:04:00"/>
    <d v="1899-12-30T12:54:00"/>
    <n v="0"/>
    <n v="0.83333333333333304"/>
    <n v="0.83333333333333304"/>
    <s v="coolant radiator cleaning work done."/>
    <s v="Close"/>
    <n v="2.0833333333333329E-2"/>
    <s v="G04"/>
    <n v="17.614293981481467"/>
    <s v="None"/>
    <s v="WTG Unscheduled Maintenance"/>
    <n v="507.29166666666646"/>
    <n v="17.614293981481467"/>
    <m/>
    <m/>
    <m/>
    <m/>
  </r>
  <r>
    <n v="1103"/>
    <x v="139"/>
    <x v="1"/>
    <x v="0"/>
    <x v="5"/>
    <x v="1"/>
    <x v="25"/>
    <s v="PWEGPL"/>
    <s v="MSEDCL"/>
    <n v="2.5000000000000001E-2"/>
    <n v="429"/>
    <x v="316"/>
    <s v="Manual stop"/>
    <d v="1899-12-30T11:02:00"/>
    <d v="1899-12-30T11:02:00"/>
    <d v="1899-12-30T12:08:00"/>
    <n v="0"/>
    <n v="1.1000000000000001"/>
    <n v="1.1000000000000001"/>
    <s v="Radiator cleaned"/>
    <s v="Close"/>
    <n v="2.7500000000000004E-2"/>
    <s v="G08"/>
    <n v="18.070173611111112"/>
    <s v="None"/>
    <s v="WTG Unscheduled Maintenance"/>
    <n v="394.25833333333338"/>
    <n v="18.070173611111112"/>
    <m/>
    <m/>
    <m/>
    <m/>
  </r>
  <r>
    <n v="1104"/>
    <x v="139"/>
    <x v="1"/>
    <x v="0"/>
    <x v="5"/>
    <x v="1"/>
    <x v="32"/>
    <s v="PWEGPL"/>
    <s v="MSEDCL"/>
    <n v="2.5000000000000001E-2"/>
    <n v="700"/>
    <x v="329"/>
    <s v="BD"/>
    <d v="1899-12-30T09:01:00"/>
    <m/>
    <d v="1899-12-30T11:06:00"/>
    <s v=""/>
    <n v="11.1"/>
    <n v="2.0833333333333313"/>
    <s v="Slipring cleaned"/>
    <s v="Close"/>
    <n v="5.2083333333333287E-2"/>
    <s v="G15"/>
    <n v="69.489655671296163"/>
    <s v="None"/>
    <s v="WTG Breakdown Maintenance"/>
    <n v="800.52083333333258"/>
    <n v="69.489655671296163"/>
    <m/>
    <m/>
    <m/>
    <m/>
  </r>
  <r>
    <n v="1105"/>
    <x v="139"/>
    <x v="1"/>
    <x v="0"/>
    <x v="5"/>
    <x v="1"/>
    <x v="19"/>
    <s v="PWEGPL"/>
    <s v="MSEDCL"/>
    <n v="2.5000000000000001E-2"/>
    <n v="429"/>
    <x v="316"/>
    <s v="Manual stop"/>
    <d v="1899-12-30T14:08:00"/>
    <d v="1899-12-30T14:08:00"/>
    <d v="1899-12-30T15:03:00"/>
    <n v="0"/>
    <n v="0.91666666666666607"/>
    <n v="0.91666666666666607"/>
    <s v="Radiator cleaned"/>
    <s v="Close"/>
    <n v="2.2916666666666655E-2"/>
    <s v="G19"/>
    <n v="16.058641975308621"/>
    <s v="None"/>
    <s v="WTG Unscheduled Maintenance"/>
    <n v="420.44444444444417"/>
    <n v="16.058641975308621"/>
    <m/>
    <m/>
    <m/>
    <m/>
  </r>
  <r>
    <n v="1106"/>
    <x v="139"/>
    <x v="1"/>
    <x v="0"/>
    <x v="5"/>
    <x v="1"/>
    <x v="16"/>
    <s v="PWEGPL"/>
    <s v="MSEDCL"/>
    <n v="2.5000000000000001E-2"/>
    <n v="1813"/>
    <x v="332"/>
    <s v="BD"/>
    <d v="1899-12-30T17:49:00"/>
    <m/>
    <d v="1899-12-30T17:59:00"/>
    <s v=""/>
    <n v="17.983333333333334"/>
    <n v="0.16666666666666607"/>
    <s v="AutoReset"/>
    <s v="Close"/>
    <n v="4.1666666666666519E-3"/>
    <s v="G35"/>
    <n v="0.31664737654320763"/>
    <s v="None"/>
    <s v="WTG Breakdown Maintenance"/>
    <n v="45.597222222222058"/>
    <n v="0.31664737654320763"/>
    <m/>
    <m/>
    <m/>
    <m/>
  </r>
  <r>
    <n v="1107"/>
    <x v="139"/>
    <x v="1"/>
    <x v="0"/>
    <x v="5"/>
    <x v="1"/>
    <x v="6"/>
    <s v="PWEGPL"/>
    <s v="MSEDCL"/>
    <n v="2.5000000000000001E-2"/>
    <n v="1813"/>
    <x v="332"/>
    <s v="BD"/>
    <d v="1899-12-30T18:10:00"/>
    <m/>
    <d v="1899-12-30T18:48:00"/>
    <s v=""/>
    <n v="18.8"/>
    <n v="0.63333333333333108"/>
    <s v="Autoreset"/>
    <s v="Close"/>
    <n v="1.5833333333333279E-2"/>
    <s v="G40"/>
    <n v="4.1615277777777484"/>
    <s v="None"/>
    <s v="WTG Breakdown Maintenance"/>
    <n v="157.69999999999945"/>
    <n v="4.1615277777777484"/>
    <m/>
    <m/>
    <m/>
    <m/>
  </r>
  <r>
    <n v="1108"/>
    <x v="140"/>
    <x v="1"/>
    <x v="0"/>
    <x v="5"/>
    <x v="1"/>
    <x v="21"/>
    <s v="PWEGPL"/>
    <s v="MSEDCL"/>
    <n v="2.5000000000000001E-2"/>
    <n v="208"/>
    <x v="366"/>
    <s v="BD"/>
    <d v="1899-12-30T07:00:00"/>
    <d v="1899-12-30T10:10:00"/>
    <d v="1899-12-30T11:09:00"/>
    <n v="3.1666666666666661"/>
    <n v="0.98333333333333384"/>
    <n v="4.1500000000000004"/>
    <s v="Contactor feedback replaced"/>
    <s v="Close"/>
    <n v="0.10375000000000001"/>
    <s v="G04"/>
    <n v="193.87272569444448"/>
    <s v="None"/>
    <s v="WTG Breakdown Maintenance"/>
    <n v="1121.1916666666668"/>
    <n v="193.87272569444448"/>
    <m/>
    <m/>
    <m/>
    <m/>
  </r>
  <r>
    <n v="1109"/>
    <x v="140"/>
    <x v="1"/>
    <x v="0"/>
    <x v="5"/>
    <x v="1"/>
    <x v="22"/>
    <s v="PWEGPL"/>
    <s v="MSEDCL"/>
    <n v="2.5000000000000001E-2"/>
    <n v="205"/>
    <x v="312"/>
    <s v="BD"/>
    <d v="1899-12-30T20:19:00"/>
    <d v="1899-12-30T21:44:00"/>
    <d v="1899-12-30T23:59:00"/>
    <n v="1.416666666666667"/>
    <n v="2.25"/>
    <n v="3.666666666666667"/>
    <s v="WIP"/>
    <s v="Open"/>
    <n v="9.1666666666666674E-2"/>
    <s v="G04"/>
    <n v="151.34336419753089"/>
    <s v="None"/>
    <s v="WTG Breakdown Maintenance"/>
    <n v="990.61111111111131"/>
    <n v="151.34336419753089"/>
    <m/>
    <m/>
    <m/>
    <m/>
  </r>
  <r>
    <n v="1110"/>
    <x v="140"/>
    <x v="1"/>
    <x v="0"/>
    <x v="5"/>
    <x v="1"/>
    <x v="17"/>
    <s v="PWEGPL"/>
    <s v="MSEDCL"/>
    <n v="2.5000000000000001E-2"/>
    <s v="CE100001"/>
    <x v="288"/>
    <s v="Manual stop"/>
    <d v="1899-12-30T16:28:00"/>
    <d v="1899-12-30T16:28:00"/>
    <d v="1899-12-30T17:25:00"/>
    <n v="0"/>
    <n v="0.95000000000000462"/>
    <n v="0.95000000000000462"/>
    <s v="Greaceing done"/>
    <s v="Close"/>
    <n v="2.3750000000000118E-2"/>
    <s v="G10"/>
    <n v="9.7661154513889841"/>
    <s v="None"/>
    <s v="WTG Unscheduled Maintenance"/>
    <n v="246.72291666666786"/>
    <n v="9.7661154513889841"/>
    <m/>
    <m/>
    <m/>
    <m/>
  </r>
  <r>
    <n v="1111"/>
    <x v="140"/>
    <x v="1"/>
    <x v="0"/>
    <x v="5"/>
    <x v="1"/>
    <x v="29"/>
    <s v="PWEGPL"/>
    <s v="MSEDCL"/>
    <n v="2.5000000000000001E-2"/>
    <n v="2118"/>
    <x v="293"/>
    <s v="BD"/>
    <d v="1899-12-30T23:29:00"/>
    <d v="1899-12-30T23:50:00"/>
    <d v="1899-12-30T23:59:00"/>
    <n v="0.34999999999999609"/>
    <n v="0.15000000000000213"/>
    <n v="0.49999999999999822"/>
    <s v="Reset"/>
    <s v="Open"/>
    <n v="1.2499999999999956E-2"/>
    <s v="G10"/>
    <n v="2.7052951388888693"/>
    <s v="None"/>
    <s v="WTG Breakdown Maintenance"/>
    <n v="129.8541666666662"/>
    <n v="2.7052951388888693"/>
    <m/>
    <m/>
    <m/>
    <m/>
  </r>
  <r>
    <n v="1112"/>
    <x v="140"/>
    <x v="1"/>
    <x v="0"/>
    <x v="5"/>
    <x v="1"/>
    <x v="32"/>
    <s v="PWEGPL"/>
    <s v="MSEDCL"/>
    <n v="2.5000000000000001E-2"/>
    <n v="5203"/>
    <x v="294"/>
    <s v="BD"/>
    <d v="1899-12-30T21:35:00"/>
    <d v="1899-12-30T21:40:00"/>
    <d v="1899-12-30T21:44:00"/>
    <n v="8.3333333333335702E-2"/>
    <n v="6.666666666666643E-2"/>
    <n v="0.15000000000000213"/>
    <s v="MCB charged"/>
    <s v="Close"/>
    <n v="3.7500000000000536E-3"/>
    <s v="G13"/>
    <n v="0.26804687500000768"/>
    <s v="None"/>
    <s v="WTG Breakdown Maintenance"/>
    <n v="42.887500000000614"/>
    <n v="0.26804687500000768"/>
    <m/>
    <m/>
    <m/>
    <m/>
  </r>
  <r>
    <n v="1113"/>
    <x v="140"/>
    <x v="1"/>
    <x v="0"/>
    <x v="5"/>
    <x v="1"/>
    <x v="19"/>
    <s v="PWEGPL"/>
    <s v="MSEDCL"/>
    <n v="2.5000000000000001E-2"/>
    <n v="5201"/>
    <x v="299"/>
    <s v="BD"/>
    <d v="1899-12-30T21:49:00"/>
    <d v="1899-12-30T23:59:00"/>
    <d v="1899-12-30T23:59:00"/>
    <n v="2.166666666666667"/>
    <n v="0"/>
    <n v="2.166666666666667"/>
    <s v="Reset from WTG"/>
    <s v="Open"/>
    <n v="5.4166666666666675E-2"/>
    <s v="G19"/>
    <n v="47.050395447530882"/>
    <s v="None"/>
    <s v="WTG Breakdown Maintenance"/>
    <n v="521.1736111111112"/>
    <n v="47.050395447530882"/>
    <m/>
    <m/>
    <m/>
    <m/>
  </r>
  <r>
    <n v="1114"/>
    <x v="140"/>
    <x v="1"/>
    <x v="0"/>
    <x v="5"/>
    <x v="1"/>
    <x v="2"/>
    <s v="PWEGPL"/>
    <s v="MSEDCL"/>
    <n v="2.5000000000000001E-2"/>
    <n v="205"/>
    <x v="312"/>
    <s v="BD"/>
    <d v="1899-12-30T11:42:00"/>
    <d v="1899-12-30T12:22:00"/>
    <d v="1899-12-30T14:19:00"/>
    <n v="0.66666666666666829"/>
    <n v="1.9499999999999984"/>
    <n v="2.6166666666666667"/>
    <s v="Oil topup"/>
    <s v="Close"/>
    <n v="6.5416666666666665E-2"/>
    <s v="G32"/>
    <n v="76.933028549382726"/>
    <s v="None"/>
    <s v="WTG Breakdown Maintenance"/>
    <n v="705.62777777777785"/>
    <n v="76.933028549382726"/>
    <m/>
    <m/>
    <m/>
    <m/>
  </r>
  <r>
    <n v="1115"/>
    <x v="140"/>
    <x v="1"/>
    <x v="0"/>
    <x v="5"/>
    <x v="1"/>
    <x v="8"/>
    <s v="PWEGPL"/>
    <s v="MSEDCL"/>
    <n v="2.5000000000000001E-2"/>
    <n v="205"/>
    <x v="312"/>
    <s v="BD"/>
    <d v="1899-12-30T20:41:00"/>
    <d v="1899-12-30T20:45:00"/>
    <d v="1899-12-30T23:59:00"/>
    <n v="6.666666666666643E-2"/>
    <n v="3.2333333333333325"/>
    <n v="3.2999999999999989"/>
    <s v="Oil topup"/>
    <s v="Open"/>
    <n v="8.2499999999999976E-2"/>
    <s v="G28"/>
    <n v="79.444062499999959"/>
    <s v="None"/>
    <s v="WTG Breakdown Maintenance"/>
    <n v="577.77499999999986"/>
    <n v="79.444062499999959"/>
    <m/>
    <m/>
    <m/>
    <m/>
  </r>
  <r>
    <n v="1116"/>
    <x v="140"/>
    <x v="1"/>
    <x v="0"/>
    <x v="5"/>
    <x v="1"/>
    <x v="9"/>
    <s v="PWEGPL"/>
    <s v="MSEDCL"/>
    <n v="2.5000000000000001E-2"/>
    <n v="205"/>
    <x v="312"/>
    <s v="BD"/>
    <d v="1899-12-30T12:52:00"/>
    <d v="1899-12-30T15:32:00"/>
    <d v="1899-12-30T16:02:00"/>
    <n v="2.6666666666666679"/>
    <n v="0.50000000000000089"/>
    <n v="3.1666666666666687"/>
    <s v="Oil topup"/>
    <s v="Close"/>
    <n v="7.9166666666666718E-2"/>
    <s v="G29"/>
    <n v="88.369791666666785"/>
    <s v="None"/>
    <s v="WTG Breakdown Maintenance"/>
    <n v="669.75000000000045"/>
    <n v="88.369791666666785"/>
    <m/>
    <m/>
    <m/>
    <m/>
  </r>
  <r>
    <n v="1117"/>
    <x v="140"/>
    <x v="1"/>
    <x v="0"/>
    <x v="5"/>
    <x v="1"/>
    <x v="5"/>
    <s v="PWEGPL"/>
    <s v="MSEDCL"/>
    <n v="2.5000000000000001E-2"/>
    <n v="205"/>
    <x v="312"/>
    <s v="BD"/>
    <d v="1899-12-30T11:55:00"/>
    <d v="1899-12-30T13:30:00"/>
    <d v="1899-12-30T14:25:00"/>
    <n v="1.5833333333333344"/>
    <n v="0.91666666666666607"/>
    <n v="2.5000000000000004"/>
    <s v="Oil topup"/>
    <s v="Close"/>
    <n v="6.2500000000000014E-2"/>
    <s v="g37"/>
    <n v="51.323784722222243"/>
    <s v="None"/>
    <s v="WTG Breakdown Maintenance"/>
    <n v="492.70833333333343"/>
    <n v="51.323784722222243"/>
    <m/>
    <m/>
    <m/>
    <m/>
  </r>
  <r>
    <n v="1118"/>
    <x v="140"/>
    <x v="1"/>
    <x v="0"/>
    <x v="5"/>
    <x v="1"/>
    <x v="6"/>
    <s v="PWEGPL"/>
    <s v="MSEDCL"/>
    <n v="2.5000000000000001E-2"/>
    <s v="CE100001"/>
    <x v="288"/>
    <s v="Manual stop"/>
    <d v="1899-12-30T10:21:00"/>
    <d v="1899-12-30T10:21:00"/>
    <d v="1899-12-30T14:53:00"/>
    <n v="0"/>
    <n v="4.533333333333335"/>
    <n v="4.533333333333335"/>
    <s v="Damper replaced"/>
    <s v="Close"/>
    <n v="0.11333333333333338"/>
    <s v="G40"/>
    <n v="196.73407407407421"/>
    <s v="None"/>
    <s v="WTG Unscheduled Maintenance"/>
    <n v="1041.5333333333338"/>
    <n v="196.73407407407421"/>
    <m/>
    <m/>
    <m/>
    <m/>
  </r>
  <r>
    <n v="1119"/>
    <x v="140"/>
    <x v="1"/>
    <x v="0"/>
    <x v="5"/>
    <x v="1"/>
    <x v="32"/>
    <s v="PWEGPL"/>
    <s v="MSEDCL"/>
    <n v="2.5000000000000001E-2"/>
    <n v="5203"/>
    <x v="294"/>
    <s v="BD"/>
    <d v="1899-12-30T21:48:00"/>
    <d v="1899-12-30T22:57:00"/>
    <d v="1899-12-30T23:21:00"/>
    <n v="1.1499999999999986"/>
    <n v="0.40000000000000391"/>
    <n v="1.5500000000000025"/>
    <s v="MCB charged"/>
    <s v="Close"/>
    <n v="3.8750000000000062E-2"/>
    <s v="G13"/>
    <n v="20.775785590277842"/>
    <s v="None"/>
    <s v="WTG Breakdown Maintenance"/>
    <n v="321.68958333333381"/>
    <n v="20.775785590277842"/>
    <m/>
    <m/>
    <m/>
    <m/>
  </r>
  <r>
    <n v="1120"/>
    <x v="141"/>
    <x v="1"/>
    <x v="0"/>
    <x v="5"/>
    <x v="1"/>
    <x v="22"/>
    <s v="PWEGPL"/>
    <s v="MSEDCL"/>
    <n v="2.5000000000000001E-2"/>
    <n v="205"/>
    <x v="312"/>
    <s v="BD"/>
    <d v="1899-12-30T00:00:00"/>
    <d v="1899-12-30T00:00:00"/>
    <d v="1899-12-30T18:26:00"/>
    <n v="0"/>
    <n v="18.433333333333334"/>
    <n v="18.433333333333334"/>
    <s v="Hydraulic hose pipe &amp; proportional valve replaced"/>
    <s v="Close"/>
    <n v="0.46083333333333337"/>
    <s v="G04"/>
    <n v="2011.5908371913583"/>
    <s v="None"/>
    <s v="WTG Breakdown Maintenance"/>
    <n v="2619.0694444444448"/>
    <n v="2011.5908371913583"/>
    <m/>
    <m/>
    <m/>
    <m/>
  </r>
  <r>
    <n v="1121"/>
    <x v="141"/>
    <x v="1"/>
    <x v="0"/>
    <x v="5"/>
    <x v="1"/>
    <x v="25"/>
    <s v="PWEGPL"/>
    <s v="MSEDCL"/>
    <n v="2.5000000000000001E-2"/>
    <n v="313"/>
    <x v="367"/>
    <s v="BD"/>
    <d v="1899-12-30T17:26:00"/>
    <d v="1899-12-30T17:38:00"/>
    <d v="1899-12-30T23:06:00"/>
    <n v="0.19999999999999929"/>
    <n v="5.4666666666666686"/>
    <n v="5.6666666666666679"/>
    <s v="breaker charged"/>
    <s v="Close"/>
    <n v="0.14166666666666669"/>
    <s v="G08"/>
    <n v="168.24884259259267"/>
    <s v="None"/>
    <s v="WTG Breakdown Maintenance"/>
    <n v="712.58333333333348"/>
    <n v="168.24884259259267"/>
    <m/>
    <m/>
    <m/>
    <m/>
  </r>
  <r>
    <n v="1122"/>
    <x v="141"/>
    <x v="1"/>
    <x v="0"/>
    <x v="5"/>
    <x v="1"/>
    <x v="29"/>
    <s v="PWEGPL"/>
    <s v="MSEDCL"/>
    <n v="2.5000000000000001E-2"/>
    <n v="2118"/>
    <x v="293"/>
    <s v="BD"/>
    <d v="1899-12-30T00:00:00"/>
    <d v="1899-12-30T00:00:00"/>
    <d v="1899-12-30T05:13:00"/>
    <n v="0"/>
    <n v="5.2166666666666668"/>
    <n v="5.2166666666666668"/>
    <s v="Reset "/>
    <s v="Close"/>
    <n v="0.13041666666666668"/>
    <s v="G10"/>
    <n v="187.37705150462963"/>
    <s v="None"/>
    <s v="WTG Breakdown Maintenance"/>
    <n v="862.05416666666667"/>
    <n v="187.37705150462963"/>
    <m/>
    <m/>
    <m/>
    <m/>
  </r>
  <r>
    <n v="1123"/>
    <x v="141"/>
    <x v="1"/>
    <x v="0"/>
    <x v="5"/>
    <x v="1"/>
    <x v="31"/>
    <s v="PWEGPL"/>
    <s v="MSEDCL"/>
    <n v="2.5000000000000001E-2"/>
    <n v="5203"/>
    <x v="294"/>
    <s v="BD"/>
    <d v="1899-12-30T07:41:00"/>
    <d v="1899-12-30T09:59:00"/>
    <d v="1899-12-30T10:15:00"/>
    <n v="2.2999999999999985"/>
    <n v="0.26666666666666705"/>
    <n v="2.5666666666666655"/>
    <s v="MCB tripped, charged"/>
    <s v="Close"/>
    <n v="6.4166666666666636E-2"/>
    <s v="G12"/>
    <n v="34.036851851851821"/>
    <s v="None"/>
    <s v="WTG Breakdown Maintenance"/>
    <n v="318.26666666666654"/>
    <n v="34.036851851851821"/>
    <m/>
    <m/>
    <m/>
    <m/>
  </r>
  <r>
    <n v="1124"/>
    <x v="141"/>
    <x v="1"/>
    <x v="0"/>
    <x v="5"/>
    <x v="1"/>
    <x v="39"/>
    <s v="PWEGPL"/>
    <s v="MSEDCL"/>
    <n v="2.5000000000000001E-2"/>
    <n v="722"/>
    <x v="368"/>
    <s v="BD"/>
    <d v="1899-12-30T16:23:00"/>
    <d v="1899-12-30T19:09:00"/>
    <d v="1899-12-30T19:33:00"/>
    <n v="2.7666666666666648"/>
    <n v="0.40000000000000124"/>
    <n v="3.1666666666666661"/>
    <s v="reset"/>
    <s v="Close"/>
    <n v="7.9166666666666663E-2"/>
    <s v="G14"/>
    <n v="60.932677469135783"/>
    <s v="None"/>
    <s v="WTG Breakdown Maintenance"/>
    <n v="461.80555555555549"/>
    <n v="60.932677469135783"/>
    <m/>
    <m/>
    <m/>
    <m/>
  </r>
  <r>
    <n v="1125"/>
    <x v="141"/>
    <x v="1"/>
    <x v="0"/>
    <x v="5"/>
    <x v="1"/>
    <x v="16"/>
    <s v="PWEGPL"/>
    <s v="MSEDCL"/>
    <n v="2.5000000000000001E-2"/>
    <n v="1813"/>
    <x v="332"/>
    <s v="BD"/>
    <d v="1899-12-30T05:39:00"/>
    <d v="1899-12-30T06:49:00"/>
    <d v="1899-12-30T06:52:00"/>
    <n v="1.1666666666666659"/>
    <n v="5.0000000000001155E-2"/>
    <n v="1.216666666666667"/>
    <s v="reset"/>
    <s v="Close"/>
    <n v="3.0416666666666675E-2"/>
    <s v="G35"/>
    <n v="6.5533130787037077"/>
    <s v="None"/>
    <s v="WTG Breakdown Maintenance"/>
    <n v="129.27083333333337"/>
    <n v="6.5533130787037077"/>
    <m/>
    <m/>
    <m/>
    <m/>
  </r>
  <r>
    <n v="1126"/>
    <x v="141"/>
    <x v="1"/>
    <x v="0"/>
    <x v="5"/>
    <x v="1"/>
    <x v="4"/>
    <s v="PWEGPL"/>
    <s v="MSEDCL"/>
    <n v="2.5000000000000001E-2"/>
    <n v="110"/>
    <x v="287"/>
    <s v="BD"/>
    <d v="1899-12-30T18:32:00"/>
    <d v="1899-12-30T19:38:00"/>
    <d v="1899-12-30T20:02:00"/>
    <n v="1.0999999999999988"/>
    <n v="0.40000000000000124"/>
    <n v="1.5"/>
    <s v="untwisting done"/>
    <s v="Close"/>
    <n v="3.7500000000000006E-2"/>
    <s v="G38"/>
    <n v="8.2421875"/>
    <s v="None"/>
    <s v="WTG Breakdown Maintenance"/>
    <n v="131.875"/>
    <n v="8.2421875"/>
    <m/>
    <m/>
    <m/>
    <m/>
  </r>
  <r>
    <n v="1127"/>
    <x v="141"/>
    <x v="1"/>
    <x v="0"/>
    <x v="5"/>
    <x v="1"/>
    <x v="31"/>
    <s v="PWEGPL"/>
    <s v="MSEDCL"/>
    <n v="2.5000000000000001E-2"/>
    <n v="222"/>
    <x v="323"/>
    <s v="BD"/>
    <d v="1899-12-30T16:28:00"/>
    <d v="1899-12-30T18:17:00"/>
    <d v="1899-12-30T19:17:00"/>
    <n v="1.8166666666666709"/>
    <n v="0.99999999999999911"/>
    <n v="2.81666666666667"/>
    <s v="reset"/>
    <s v="Close"/>
    <n v="7.0416666666666752E-2"/>
    <s v="G12"/>
    <n v="40.990324074074174"/>
    <s v="None"/>
    <s v="WTG Breakdown Maintenance"/>
    <n v="349.26666666666711"/>
    <n v="40.990324074074174"/>
    <m/>
    <m/>
    <m/>
    <m/>
  </r>
  <r>
    <n v="1128"/>
    <x v="141"/>
    <x v="1"/>
    <x v="0"/>
    <x v="5"/>
    <x v="1"/>
    <x v="16"/>
    <s v="PWEGPL"/>
    <s v="MSEDCL"/>
    <n v="2.5000000000000001E-2"/>
    <n v="421"/>
    <x v="364"/>
    <s v="BD"/>
    <d v="1899-12-30T15:12:00"/>
    <d v="1899-12-30T15:12:00"/>
    <d v="1899-12-30T19:20:00"/>
    <n v="0"/>
    <n v="4.133333333333332"/>
    <n v="4.133333333333332"/>
    <s v="gearbox damper replaced"/>
    <s v="Close"/>
    <n v="0.1033333333333333"/>
    <s v="G35"/>
    <n v="75.63425925925921"/>
    <s v="None"/>
    <s v="WTG Unscheduled Maintenance"/>
    <n v="439.16666666666652"/>
    <n v="75.63425925925921"/>
    <m/>
    <m/>
    <m/>
    <m/>
  </r>
  <r>
    <n v="1129"/>
    <x v="141"/>
    <x v="1"/>
    <x v="0"/>
    <x v="5"/>
    <x v="1"/>
    <x v="16"/>
    <s v="PWEGPL"/>
    <s v="MSEDCL"/>
    <n v="2.5000000000000001E-2"/>
    <n v="5204"/>
    <x v="369"/>
    <s v="BD"/>
    <d v="1899-12-30T22:44:00"/>
    <d v="1899-12-30T23:59:00"/>
    <d v="1899-12-30T23:59:00"/>
    <n v="1.2499999999999982"/>
    <n v="0"/>
    <n v="1.2499999999999982"/>
    <s v="Reset"/>
    <s v="Close"/>
    <n v="3.1249999999999958E-2"/>
    <s v="G35"/>
    <n v="6.9173177083333126"/>
    <s v="None"/>
    <s v="WTG Breakdown Maintenance"/>
    <n v="132.8124999999998"/>
    <n v="6.9173177083333126"/>
    <m/>
    <m/>
    <m/>
    <m/>
  </r>
  <r>
    <n v="1130"/>
    <x v="142"/>
    <x v="1"/>
    <x v="0"/>
    <x v="5"/>
    <x v="1"/>
    <x v="21"/>
    <s v="PWEGPL"/>
    <s v="MSEDCL"/>
    <n v="2.5000000000000001E-2"/>
    <n v="5203"/>
    <x v="294"/>
    <s v="BD"/>
    <d v="1899-12-30T02:57:00"/>
    <d v="1899-12-30T03:58:00"/>
    <d v="1899-12-30T04:21:00"/>
    <n v="1.0166666666666664"/>
    <n v="0.3833333333333333"/>
    <n v="1.3999999999999997"/>
    <s v="Reset"/>
    <s v="Close"/>
    <n v="3.4999999999999996E-2"/>
    <s v="G02"/>
    <n v="55.070555555555529"/>
    <s v="None"/>
    <s v="WTG Breakdown Maintenance"/>
    <n v="944.06666666666649"/>
    <n v="55.070555555555529"/>
    <m/>
    <m/>
    <m/>
    <m/>
  </r>
  <r>
    <n v="1131"/>
    <x v="142"/>
    <x v="1"/>
    <x v="0"/>
    <x v="5"/>
    <x v="1"/>
    <x v="22"/>
    <s v="PWEGPL"/>
    <s v="MSEDCL"/>
    <n v="2.5000000000000001E-2"/>
    <n v="405"/>
    <x v="370"/>
    <s v="BD"/>
    <d v="1899-12-30T22:39:00"/>
    <d v="1899-12-30T23:18:00"/>
    <d v="1899-12-30T23:59:00"/>
    <n v="0.65000000000000036"/>
    <n v="0.68333333333333357"/>
    <n v="1.3333333333333339"/>
    <s v="Reset"/>
    <s v="Close"/>
    <n v="3.3333333333333347E-2"/>
    <s v="G03"/>
    <n v="49.950617283950663"/>
    <s v="None"/>
    <s v="WTG Breakdown Maintenance"/>
    <n v="899.11111111111154"/>
    <n v="49.950617283950663"/>
    <m/>
    <m/>
    <m/>
    <m/>
  </r>
  <r>
    <n v="1132"/>
    <x v="142"/>
    <x v="1"/>
    <x v="0"/>
    <x v="5"/>
    <x v="1"/>
    <x v="24"/>
    <s v="PWEGPL"/>
    <s v="MSEDCL"/>
    <n v="2.5000000000000001E-2"/>
    <n v="5210"/>
    <x v="371"/>
    <s v="BD"/>
    <d v="1899-12-30T05:55:00"/>
    <d v="1899-12-30T05:55:00"/>
    <d v="1899-12-30T06:05:00"/>
    <n v="0"/>
    <n v="0.16666666666666607"/>
    <n v="0.16666666666666607"/>
    <s v="Reset"/>
    <s v="Close"/>
    <n v="4.1666666666666519E-3"/>
    <s v="G05"/>
    <n v="0.7804783950617229"/>
    <s v="None"/>
    <s v="WTG Breakdown Maintenance"/>
    <n v="112.3888888888885"/>
    <n v="0.7804783950617229"/>
    <m/>
    <m/>
    <m/>
    <m/>
  </r>
  <r>
    <n v="1133"/>
    <x v="142"/>
    <x v="1"/>
    <x v="0"/>
    <x v="5"/>
    <x v="1"/>
    <x v="33"/>
    <s v="PWEGPL"/>
    <s v="MSEDCL"/>
    <n v="2.5000000000000001E-2"/>
    <n v="5210"/>
    <x v="371"/>
    <s v="BD"/>
    <d v="1899-12-30T05:55:00"/>
    <d v="1899-12-30T05:55:00"/>
    <d v="1899-12-30T06:05:00"/>
    <n v="0"/>
    <n v="0.16666666666666607"/>
    <n v="0.16666666666666607"/>
    <s v="Reset"/>
    <s v="Close"/>
    <n v="4.1666666666666519E-3"/>
    <s v="G21"/>
    <n v="0.7804783950617229"/>
    <s v="None"/>
    <s v="WTG Breakdown Maintenance"/>
    <n v="112.3888888888885"/>
    <n v="0.7804783950617229"/>
    <m/>
    <m/>
    <m/>
    <m/>
  </r>
  <r>
    <n v="1134"/>
    <x v="142"/>
    <x v="1"/>
    <x v="0"/>
    <x v="5"/>
    <x v="1"/>
    <x v="34"/>
    <s v="PWEGPL"/>
    <s v="MSEDCL"/>
    <n v="2.5000000000000001E-2"/>
    <n v="5210"/>
    <x v="371"/>
    <s v="BD"/>
    <d v="1899-12-30T05:55:00"/>
    <d v="1899-12-30T05:55:00"/>
    <d v="1899-12-30T06:05:00"/>
    <n v="0"/>
    <n v="0.16666666666666607"/>
    <n v="0.16666666666666607"/>
    <s v="Reset"/>
    <s v="Close"/>
    <n v="4.1666666666666519E-3"/>
    <s v="G22"/>
    <n v="0.7804783950617229"/>
    <s v="None"/>
    <s v="WTG Breakdown Maintenance"/>
    <n v="112.3888888888885"/>
    <n v="0.7804783950617229"/>
    <m/>
    <m/>
    <m/>
    <m/>
  </r>
  <r>
    <n v="1135"/>
    <x v="142"/>
    <x v="1"/>
    <x v="0"/>
    <x v="5"/>
    <x v="1"/>
    <x v="1"/>
    <s v="PWEGPL"/>
    <s v="MSEDCL"/>
    <n v="2.5000000000000001E-2"/>
    <n v="5210"/>
    <x v="371"/>
    <s v="BD"/>
    <d v="1899-12-30T05:55:00"/>
    <d v="1899-12-30T05:55:00"/>
    <d v="1899-12-30T06:05:00"/>
    <n v="0"/>
    <n v="0.16666666666666607"/>
    <n v="0.16666666666666607"/>
    <s v="Reset"/>
    <s v="Close"/>
    <n v="4.1666666666666519E-3"/>
    <s v="G23"/>
    <n v="0.7804783950617229"/>
    <s v="None"/>
    <s v="WTG Breakdown Maintenance"/>
    <n v="112.3888888888885"/>
    <n v="0.7804783950617229"/>
    <m/>
    <m/>
    <m/>
    <m/>
  </r>
  <r>
    <n v="1136"/>
    <x v="142"/>
    <x v="1"/>
    <x v="0"/>
    <x v="5"/>
    <x v="1"/>
    <x v="35"/>
    <s v="PWEGPL"/>
    <s v="MSEDCL"/>
    <n v="2.5000000000000001E-2"/>
    <n v="5210"/>
    <x v="371"/>
    <s v="BD"/>
    <d v="1899-12-30T05:55:00"/>
    <d v="1899-12-30T05:55:00"/>
    <d v="1899-12-30T06:05:00"/>
    <n v="0"/>
    <n v="0.16666666666666607"/>
    <n v="0.16666666666666607"/>
    <s v="Reset"/>
    <s v="Close"/>
    <n v="4.1666666666666519E-3"/>
    <s v="G24"/>
    <n v="0.7804783950617229"/>
    <s v="None"/>
    <s v="WTG Breakdown Maintenance"/>
    <n v="112.3888888888885"/>
    <n v="0.7804783950617229"/>
    <m/>
    <m/>
    <m/>
    <m/>
  </r>
  <r>
    <n v="1137"/>
    <x v="142"/>
    <x v="1"/>
    <x v="0"/>
    <x v="5"/>
    <x v="1"/>
    <x v="36"/>
    <s v="PWEGPL"/>
    <s v="MSEDCL"/>
    <n v="2.5000000000000001E-2"/>
    <n v="5210"/>
    <x v="371"/>
    <s v="BD"/>
    <d v="1899-12-30T05:55:00"/>
    <d v="1899-12-30T05:55:00"/>
    <d v="1899-12-30T06:05:00"/>
    <n v="0"/>
    <n v="0.16666666666666607"/>
    <n v="0.16666666666666607"/>
    <s v="Reset"/>
    <s v="Close"/>
    <n v="4.1666666666666519E-3"/>
    <s v="G25"/>
    <n v="0.7804783950617229"/>
    <s v="None"/>
    <s v="WTG Breakdown Maintenance"/>
    <n v="112.3888888888885"/>
    <n v="0.7804783950617229"/>
    <m/>
    <m/>
    <m/>
    <m/>
  </r>
  <r>
    <n v="1138"/>
    <x v="142"/>
    <x v="1"/>
    <x v="0"/>
    <x v="5"/>
    <x v="1"/>
    <x v="2"/>
    <s v="PWEGPL"/>
    <s v="MSEDCL"/>
    <n v="2.5000000000000001E-2"/>
    <n v="5210"/>
    <x v="371"/>
    <s v="BD"/>
    <d v="1899-12-30T05:55:00"/>
    <d v="1899-12-30T05:55:00"/>
    <d v="1899-12-30T06:05:00"/>
    <n v="0"/>
    <n v="0.16666666666666607"/>
    <n v="0.16666666666666607"/>
    <s v="Reset"/>
    <s v="Close"/>
    <n v="4.1666666666666519E-3"/>
    <s v="G26"/>
    <n v="0.7804783950617229"/>
    <s v="None"/>
    <s v="WTG Breakdown Maintenance"/>
    <n v="112.3888888888885"/>
    <n v="0.7804783950617229"/>
    <m/>
    <m/>
    <m/>
    <m/>
  </r>
  <r>
    <n v="1139"/>
    <x v="142"/>
    <x v="1"/>
    <x v="0"/>
    <x v="5"/>
    <x v="1"/>
    <x v="8"/>
    <s v="PWEGPL"/>
    <s v="MSEDCL"/>
    <n v="2.5000000000000001E-2"/>
    <n v="5210"/>
    <x v="371"/>
    <s v="BD"/>
    <d v="1899-12-30T05:55:00"/>
    <d v="1899-12-30T05:55:00"/>
    <d v="1899-12-30T06:05:00"/>
    <n v="0"/>
    <n v="0.16666666666666607"/>
    <n v="0.16666666666666607"/>
    <s v="Reset"/>
    <s v="Close"/>
    <n v="4.1666666666666519E-3"/>
    <s v="G27"/>
    <n v="0.7804783950617229"/>
    <s v="None"/>
    <s v="WTG Breakdown Maintenance"/>
    <n v="112.3888888888885"/>
    <n v="0.7804783950617229"/>
    <m/>
    <m/>
    <m/>
    <m/>
  </r>
  <r>
    <n v="1140"/>
    <x v="142"/>
    <x v="1"/>
    <x v="0"/>
    <x v="5"/>
    <x v="1"/>
    <x v="9"/>
    <s v="PWEGPL"/>
    <s v="MSEDCL"/>
    <n v="2.5000000000000001E-2"/>
    <n v="5210"/>
    <x v="371"/>
    <s v="BD"/>
    <d v="1899-12-30T08:27:00"/>
    <d v="1899-12-30T10:07:00"/>
    <d v="1899-12-30T10:19:00"/>
    <n v="1.6666666666666674"/>
    <n v="0.19999999999999929"/>
    <n v="1.8666666666666667"/>
    <s v="Reset"/>
    <s v="Close"/>
    <n v="4.6666666666666669E-2"/>
    <s v="G28"/>
    <n v="97.903209876543229"/>
    <s v="None"/>
    <s v="WTG Breakdown Maintenance"/>
    <n v="1258.7555555555557"/>
    <n v="97.903209876543229"/>
    <m/>
    <m/>
    <m/>
    <m/>
  </r>
  <r>
    <n v="1141"/>
    <x v="142"/>
    <x v="1"/>
    <x v="0"/>
    <x v="5"/>
    <x v="1"/>
    <x v="11"/>
    <s v="PWEGPL"/>
    <s v="MSEDCL"/>
    <n v="2.5000000000000001E-2"/>
    <n v="5210"/>
    <x v="371"/>
    <s v="BD"/>
    <d v="1899-12-30T08:27:00"/>
    <d v="1899-12-30T08:27:00"/>
    <d v="1899-12-30T08:42:00"/>
    <n v="0"/>
    <n v="0.25000000000000044"/>
    <n v="0.25000000000000044"/>
    <s v="Reset"/>
    <s v="Close"/>
    <n v="6.2500000000000116E-3"/>
    <s v="G30"/>
    <n v="1.7560763888888953"/>
    <s v="None"/>
    <s v="WTG Breakdown Maintenance"/>
    <n v="168.58333333333366"/>
    <n v="1.7560763888888953"/>
    <m/>
    <m/>
    <m/>
    <m/>
  </r>
  <r>
    <n v="1142"/>
    <x v="142"/>
    <x v="1"/>
    <x v="0"/>
    <x v="5"/>
    <x v="1"/>
    <x v="12"/>
    <s v="PWEGPL"/>
    <s v="MSEDCL"/>
    <n v="2.5000000000000001E-2"/>
    <n v="5210"/>
    <x v="371"/>
    <s v="BD"/>
    <d v="1899-12-30T08:27:00"/>
    <d v="1899-12-30T10:07:00"/>
    <d v="1899-12-30T10:19:00"/>
    <n v="1.6666666666666674"/>
    <n v="0.19999999999999929"/>
    <n v="1.8666666666666667"/>
    <s v="Reset"/>
    <s v="Close"/>
    <n v="4.6666666666666669E-2"/>
    <s v="G31"/>
    <n v="97.903209876543229"/>
    <s v="None"/>
    <s v="WTG Breakdown Maintenance"/>
    <n v="1258.7555555555557"/>
    <n v="97.903209876543229"/>
    <m/>
    <m/>
    <m/>
    <m/>
  </r>
  <r>
    <n v="1143"/>
    <x v="142"/>
    <x v="1"/>
    <x v="0"/>
    <x v="5"/>
    <x v="1"/>
    <x v="3"/>
    <s v="PWEGPL"/>
    <s v="MSEDCL"/>
    <n v="2.5000000000000001E-2"/>
    <n v="5210"/>
    <x v="371"/>
    <s v="BD"/>
    <d v="1899-12-30T08:27:00"/>
    <d v="1899-12-30T10:07:00"/>
    <d v="1899-12-30T10:19:00"/>
    <n v="1.6666666666666674"/>
    <n v="0.19999999999999929"/>
    <n v="1.8666666666666667"/>
    <s v="Reset"/>
    <s v="Close"/>
    <n v="4.6666666666666669E-2"/>
    <s v="G32"/>
    <n v="97.903209876543229"/>
    <s v="None"/>
    <s v="WTG Breakdown Maintenance"/>
    <n v="1258.7555555555557"/>
    <n v="97.903209876543229"/>
    <m/>
    <m/>
    <m/>
    <m/>
  </r>
  <r>
    <n v="1144"/>
    <x v="142"/>
    <x v="1"/>
    <x v="0"/>
    <x v="5"/>
    <x v="1"/>
    <x v="14"/>
    <s v="PWEGPL"/>
    <s v="MSEDCL"/>
    <n v="2.5000000000000001E-2"/>
    <n v="5210"/>
    <x v="371"/>
    <s v="BD"/>
    <d v="1899-12-30T08:27:00"/>
    <d v="1899-12-30T10:07:00"/>
    <d v="1899-12-30T10:19:00"/>
    <n v="1.6666666666666674"/>
    <n v="0.19999999999999929"/>
    <n v="1.8666666666666667"/>
    <s v="Reset"/>
    <s v="Close"/>
    <n v="4.6666666666666669E-2"/>
    <s v="G34"/>
    <n v="97.903209876543229"/>
    <s v="None"/>
    <s v="WTG Breakdown Maintenance"/>
    <n v="1258.7555555555557"/>
    <n v="97.903209876543229"/>
    <m/>
    <m/>
    <m/>
    <m/>
  </r>
  <r>
    <n v="1145"/>
    <x v="142"/>
    <x v="1"/>
    <x v="0"/>
    <x v="5"/>
    <x v="1"/>
    <x v="15"/>
    <s v="PWEGPL"/>
    <s v="MSEDCL"/>
    <n v="2.5000000000000001E-2"/>
    <n v="5210"/>
    <x v="371"/>
    <s v="BD"/>
    <d v="1899-12-30T05:55:00"/>
    <d v="1899-12-30T05:55:00"/>
    <d v="1899-12-30T06:05:00"/>
    <n v="0"/>
    <n v="0.16666666666666607"/>
    <n v="0.16666666666666607"/>
    <s v="Reset"/>
    <s v="Close"/>
    <n v="4.1666666666666519E-3"/>
    <s v="G35"/>
    <n v="0.7804783950617229"/>
    <s v="None"/>
    <s v="WTG Breakdown Maintenance"/>
    <n v="112.3888888888885"/>
    <n v="0.7804783950617229"/>
    <m/>
    <m/>
    <m/>
    <m/>
  </r>
  <r>
    <n v="1146"/>
    <x v="142"/>
    <x v="1"/>
    <x v="0"/>
    <x v="5"/>
    <x v="1"/>
    <x v="16"/>
    <s v="PWEGPL"/>
    <s v="MSEDCL"/>
    <n v="2.5000000000000001E-2"/>
    <n v="5204"/>
    <x v="369"/>
    <s v="BD"/>
    <d v="1899-12-30T00:00:00"/>
    <d v="1899-12-30T00:30:00"/>
    <d v="1899-12-30T00:39:00"/>
    <n v="0.5"/>
    <n v="0.15000000000000005"/>
    <n v="0.65"/>
    <s v="Reset"/>
    <s v="Close"/>
    <n v="1.6250000000000001E-2"/>
    <s v="G36"/>
    <n v="11.871076388888891"/>
    <s v="None"/>
    <s v="WTG Breakdown Maintenance"/>
    <n v="438.31666666666672"/>
    <n v="11.871076388888891"/>
    <m/>
    <m/>
    <m/>
    <m/>
  </r>
  <r>
    <n v="1147"/>
    <x v="142"/>
    <x v="1"/>
    <x v="0"/>
    <x v="5"/>
    <x v="1"/>
    <x v="4"/>
    <s v="PWEGPL"/>
    <s v="MSEDCL"/>
    <n v="2.5000000000000001E-2"/>
    <n v="5210"/>
    <x v="371"/>
    <s v="BD"/>
    <d v="1899-12-30T08:27:00"/>
    <d v="1899-12-30T08:27:00"/>
    <d v="1899-12-30T08:42:00"/>
    <n v="0"/>
    <n v="0.25000000000000044"/>
    <n v="0.25000000000000044"/>
    <s v="Reset"/>
    <s v="Close"/>
    <n v="6.2500000000000116E-3"/>
    <s v="G37"/>
    <n v="1.7560763888888953"/>
    <s v="None"/>
    <s v="WTG Breakdown Maintenance"/>
    <n v="168.58333333333366"/>
    <n v="1.7560763888888953"/>
    <m/>
    <m/>
    <m/>
    <m/>
  </r>
  <r>
    <n v="1148"/>
    <x v="142"/>
    <x v="1"/>
    <x v="0"/>
    <x v="5"/>
    <x v="1"/>
    <x v="5"/>
    <s v="PWEGPL"/>
    <s v="MSEDCL"/>
    <n v="2.5000000000000001E-2"/>
    <n v="5210"/>
    <x v="371"/>
    <s v="BD"/>
    <d v="1899-12-30T05:55:00"/>
    <d v="1899-12-30T05:55:00"/>
    <d v="1899-12-30T06:05:00"/>
    <n v="0"/>
    <n v="0.16666666666666607"/>
    <n v="0.16666666666666607"/>
    <s v="Reset"/>
    <s v="Close"/>
    <n v="4.1666666666666519E-3"/>
    <s v="G38"/>
    <n v="0.7804783950617229"/>
    <s v="None"/>
    <s v="WTG Breakdown Maintenance"/>
    <n v="112.3888888888885"/>
    <n v="0.7804783950617229"/>
    <m/>
    <m/>
    <m/>
    <m/>
  </r>
  <r>
    <n v="1149"/>
    <x v="142"/>
    <x v="1"/>
    <x v="0"/>
    <x v="5"/>
    <x v="1"/>
    <x v="6"/>
    <s v="PWEGPL"/>
    <s v="MSEDCL"/>
    <n v="2.5000000000000001E-2"/>
    <n v="5210"/>
    <x v="371"/>
    <s v="BD"/>
    <d v="1899-12-30T05:55:00"/>
    <d v="1899-12-30T05:55:00"/>
    <d v="1899-12-30T06:05:00"/>
    <n v="0"/>
    <n v="0.16666666666666607"/>
    <n v="0.16666666666666607"/>
    <s v="Reset"/>
    <s v="Close"/>
    <n v="4.1666666666666519E-3"/>
    <s v="G39"/>
    <n v="0.7804783950617229"/>
    <s v="None"/>
    <s v="WTG Breakdown Maintenance"/>
    <n v="112.3888888888885"/>
    <n v="0.7804783950617229"/>
    <m/>
    <m/>
    <m/>
    <m/>
  </r>
  <r>
    <n v="1150"/>
    <x v="142"/>
    <x v="1"/>
    <x v="0"/>
    <x v="5"/>
    <x v="1"/>
    <x v="7"/>
    <s v="PWEGPL"/>
    <s v="MSEDCL"/>
    <n v="2.5000000000000001E-2"/>
    <n v="5210"/>
    <x v="371"/>
    <s v="BD"/>
    <d v="1899-12-30T08:27:00"/>
    <d v="1899-12-30T08:27:00"/>
    <d v="1899-12-30T08:42:00"/>
    <n v="0"/>
    <n v="0.25000000000000044"/>
    <n v="0.25000000000000044"/>
    <s v="Reset"/>
    <s v="Close"/>
    <n v="6.2500000000000116E-3"/>
    <s v="G40"/>
    <n v="1.7560763888888953"/>
    <s v="None"/>
    <s v="WTG Breakdown Maintenance"/>
    <n v="168.58333333333366"/>
    <n v="1.7560763888888953"/>
    <m/>
    <m/>
    <m/>
    <m/>
  </r>
  <r>
    <n v="1151"/>
    <x v="142"/>
    <x v="1"/>
    <x v="0"/>
    <x v="5"/>
    <x v="1"/>
    <x v="24"/>
    <s v="PWEGPL"/>
    <s v="MSEDCL"/>
    <n v="2.5000000000000001E-2"/>
    <n v="5201"/>
    <x v="299"/>
    <s v="BD"/>
    <d v="1899-12-30T08:27:00"/>
    <d v="1899-12-30T10:07:00"/>
    <d v="1899-12-30T10:09:00"/>
    <n v="1.6666666666666674"/>
    <n v="3.3333333333333215E-2"/>
    <n v="1.7000000000000006"/>
    <s v="Reset"/>
    <s v="Close"/>
    <n v="4.2500000000000017E-2"/>
    <s v="G05"/>
    <n v="81.20097222222229"/>
    <s v="None"/>
    <s v="WTG Breakdown Maintenance"/>
    <n v="1146.3666666666672"/>
    <n v="81.20097222222229"/>
    <m/>
    <m/>
    <m/>
    <m/>
  </r>
  <r>
    <n v="1152"/>
    <x v="142"/>
    <x v="1"/>
    <x v="0"/>
    <x v="5"/>
    <x v="1"/>
    <x v="33"/>
    <s v="PWEGPL"/>
    <s v="MSEDCL"/>
    <n v="2.5000000000000001E-2"/>
    <n v="5201"/>
    <x v="299"/>
    <s v="BD"/>
    <d v="1899-12-30T08:27:00"/>
    <d v="1899-12-30T10:07:00"/>
    <d v="1899-12-30T10:09:00"/>
    <n v="1.6666666666666674"/>
    <n v="3.3333333333333215E-2"/>
    <n v="1.7000000000000006"/>
    <s v="Reset"/>
    <s v="Close"/>
    <n v="4.2500000000000017E-2"/>
    <s v="G21"/>
    <n v="81.20097222222229"/>
    <s v="None"/>
    <s v="WTG Breakdown Maintenance"/>
    <n v="1146.3666666666672"/>
    <n v="81.20097222222229"/>
    <m/>
    <m/>
    <m/>
    <m/>
  </r>
  <r>
    <n v="1153"/>
    <x v="142"/>
    <x v="1"/>
    <x v="0"/>
    <x v="5"/>
    <x v="1"/>
    <x v="34"/>
    <s v="PWEGPL"/>
    <s v="MSEDCL"/>
    <n v="2.5000000000000001E-2"/>
    <n v="5201"/>
    <x v="299"/>
    <s v="BD"/>
    <d v="1899-12-30T08:27:00"/>
    <d v="1899-12-30T10:07:00"/>
    <d v="1899-12-30T10:19:00"/>
    <n v="1.6666666666666674"/>
    <n v="0.19999999999999929"/>
    <n v="1.8666666666666667"/>
    <s v="Reset"/>
    <s v="Close"/>
    <n v="4.6666666666666669E-2"/>
    <s v="G22"/>
    <n v="97.903209876543229"/>
    <s v="None"/>
    <s v="WTG Breakdown Maintenance"/>
    <n v="1258.7555555555557"/>
    <n v="97.903209876543229"/>
    <m/>
    <m/>
    <m/>
    <m/>
  </r>
  <r>
    <n v="1154"/>
    <x v="142"/>
    <x v="1"/>
    <x v="0"/>
    <x v="5"/>
    <x v="1"/>
    <x v="1"/>
    <s v="PWEGPL"/>
    <s v="MSEDCL"/>
    <n v="2.5000000000000001E-2"/>
    <n v="5201"/>
    <x v="299"/>
    <s v="BD"/>
    <d v="1899-12-30T08:27:00"/>
    <d v="1899-12-30T10:07:00"/>
    <d v="1899-12-30T10:09:00"/>
    <n v="1.6666666666666674"/>
    <n v="3.3333333333333215E-2"/>
    <n v="1.7000000000000006"/>
    <s v="Reset"/>
    <s v="Close"/>
    <n v="4.2500000000000017E-2"/>
    <s v="G23"/>
    <n v="81.20097222222229"/>
    <s v="None"/>
    <s v="WTG Breakdown Maintenance"/>
    <n v="1146.3666666666672"/>
    <n v="81.20097222222229"/>
    <m/>
    <m/>
    <m/>
    <m/>
  </r>
  <r>
    <n v="1155"/>
    <x v="142"/>
    <x v="1"/>
    <x v="0"/>
    <x v="5"/>
    <x v="1"/>
    <x v="35"/>
    <s v="PWEGPL"/>
    <s v="MSEDCL"/>
    <n v="2.5000000000000001E-2"/>
    <n v="5201"/>
    <x v="299"/>
    <s v="BD"/>
    <d v="1899-12-30T08:27:00"/>
    <d v="1899-12-30T10:07:00"/>
    <d v="1899-12-30T10:09:00"/>
    <n v="1.6666666666666674"/>
    <n v="3.3333333333333215E-2"/>
    <n v="1.7000000000000006"/>
    <s v="Reset"/>
    <s v="Close"/>
    <n v="4.2500000000000017E-2"/>
    <s v="G24"/>
    <n v="81.20097222222229"/>
    <s v="None"/>
    <s v="WTG Breakdown Maintenance"/>
    <n v="1146.3666666666672"/>
    <n v="81.20097222222229"/>
    <m/>
    <m/>
    <m/>
    <m/>
  </r>
  <r>
    <n v="1156"/>
    <x v="142"/>
    <x v="1"/>
    <x v="0"/>
    <x v="5"/>
    <x v="1"/>
    <x v="36"/>
    <s v="PWEGPL"/>
    <s v="MSEDCL"/>
    <n v="2.5000000000000001E-2"/>
    <n v="5201"/>
    <x v="299"/>
    <s v="BD"/>
    <d v="1899-12-30T08:27:00"/>
    <d v="1899-12-30T10:07:00"/>
    <d v="1899-12-30T10:19:00"/>
    <n v="1.6666666666666674"/>
    <n v="0.19999999999999929"/>
    <n v="1.8666666666666667"/>
    <s v="Reset"/>
    <s v="Close"/>
    <n v="4.6666666666666669E-2"/>
    <s v="G25"/>
    <n v="97.903209876543229"/>
    <s v="None"/>
    <s v="WTG Breakdown Maintenance"/>
    <n v="1258.7555555555557"/>
    <n v="97.903209876543229"/>
    <m/>
    <m/>
    <m/>
    <m/>
  </r>
  <r>
    <n v="1157"/>
    <x v="142"/>
    <x v="1"/>
    <x v="0"/>
    <x v="5"/>
    <x v="1"/>
    <x v="2"/>
    <s v="PWEGPL"/>
    <s v="MSEDCL"/>
    <n v="2.5000000000000001E-2"/>
    <n v="5201"/>
    <x v="299"/>
    <s v="BD"/>
    <d v="1899-12-30T08:27:00"/>
    <d v="1899-12-30T10:07:00"/>
    <d v="1899-12-30T10:09:00"/>
    <n v="1.6666666666666674"/>
    <n v="3.3333333333333215E-2"/>
    <n v="1.7000000000000006"/>
    <s v="Reset"/>
    <s v="Close"/>
    <n v="4.2500000000000017E-2"/>
    <s v="G26"/>
    <n v="81.20097222222229"/>
    <s v="None"/>
    <s v="WTG Breakdown Maintenance"/>
    <n v="1146.3666666666672"/>
    <n v="81.20097222222229"/>
    <m/>
    <m/>
    <m/>
    <m/>
  </r>
  <r>
    <n v="1158"/>
    <x v="142"/>
    <x v="1"/>
    <x v="0"/>
    <x v="5"/>
    <x v="1"/>
    <x v="8"/>
    <s v="PWEGPL"/>
    <s v="MSEDCL"/>
    <n v="2.5000000000000001E-2"/>
    <n v="5201"/>
    <x v="299"/>
    <s v="BD"/>
    <d v="1899-12-30T08:27:00"/>
    <d v="1899-12-30T10:07:00"/>
    <d v="1899-12-30T10:09:00"/>
    <n v="1.6666666666666674"/>
    <n v="3.3333333333333215E-2"/>
    <n v="1.7000000000000006"/>
    <s v="Reset"/>
    <s v="Close"/>
    <n v="4.2500000000000017E-2"/>
    <s v="G27"/>
    <n v="81.20097222222229"/>
    <s v="None"/>
    <s v="WTG Breakdown Maintenance"/>
    <n v="1146.3666666666672"/>
    <n v="81.20097222222229"/>
    <m/>
    <m/>
    <m/>
    <m/>
  </r>
  <r>
    <n v="1159"/>
    <x v="142"/>
    <x v="1"/>
    <x v="0"/>
    <x v="5"/>
    <x v="1"/>
    <x v="14"/>
    <s v="PWEGPL"/>
    <s v="MSEDCL"/>
    <n v="2.5000000000000001E-2"/>
    <n v="205"/>
    <x v="312"/>
    <s v="BD"/>
    <d v="1899-12-30T11:00:00"/>
    <d v="1899-12-30T11:27:00"/>
    <d v="1899-12-30T11:33:00"/>
    <n v="0.44999999999999973"/>
    <n v="0.10000000000000098"/>
    <n v="0.55000000000000071"/>
    <s v="Reset"/>
    <s v="Close"/>
    <n v="1.3750000000000019E-2"/>
    <s v="G34"/>
    <n v="-10.559872685185205"/>
    <s v="None"/>
    <s v="WTG Breakdown Maintenance"/>
    <n v="-460.79444444444465"/>
    <n v="-10.559872685185205"/>
    <m/>
    <m/>
    <m/>
    <m/>
  </r>
  <r>
    <n v="1160"/>
    <x v="142"/>
    <x v="1"/>
    <x v="0"/>
    <x v="5"/>
    <x v="1"/>
    <x v="15"/>
    <s v="PWEGPL"/>
    <s v="MSEDCL"/>
    <n v="2.5000000000000001E-2"/>
    <n v="5201"/>
    <x v="299"/>
    <s v="BD"/>
    <d v="1899-12-30T08:27:00"/>
    <d v="1899-12-30T10:07:00"/>
    <d v="1899-12-30T10:09:00"/>
    <n v="1.6666666666666674"/>
    <n v="3.3333333333333215E-2"/>
    <n v="1.7000000000000006"/>
    <s v="Reset"/>
    <s v="Close"/>
    <n v="4.2500000000000017E-2"/>
    <s v="G35"/>
    <n v="81.20097222222229"/>
    <s v="None"/>
    <s v="WTG Breakdown Maintenance"/>
    <n v="1146.3666666666672"/>
    <n v="81.20097222222229"/>
    <m/>
    <m/>
    <m/>
    <m/>
  </r>
  <r>
    <n v="1161"/>
    <x v="142"/>
    <x v="1"/>
    <x v="0"/>
    <x v="5"/>
    <x v="1"/>
    <x v="16"/>
    <s v="PWEGPL"/>
    <s v="MSEDCL"/>
    <n v="2.5000000000000001E-2"/>
    <n v="5201"/>
    <x v="299"/>
    <s v="BD"/>
    <d v="1899-12-30T08:27:00"/>
    <d v="1899-12-30T10:07:00"/>
    <d v="1899-12-30T10:09:00"/>
    <n v="1.6666666666666674"/>
    <n v="3.3333333333333215E-2"/>
    <n v="1.7000000000000006"/>
    <s v="Reset"/>
    <s v="Close"/>
    <n v="4.2500000000000017E-2"/>
    <s v="G36"/>
    <n v="81.20097222222229"/>
    <s v="None"/>
    <s v="WTG Breakdown Maintenance"/>
    <n v="1146.3666666666672"/>
    <n v="81.20097222222229"/>
    <m/>
    <m/>
    <m/>
    <m/>
  </r>
  <r>
    <n v="1162"/>
    <x v="142"/>
    <x v="1"/>
    <x v="0"/>
    <x v="5"/>
    <x v="1"/>
    <x v="7"/>
    <s v="PWEGPL"/>
    <s v="MSEDCL"/>
    <n v="2.5000000000000001E-2"/>
    <n v="205"/>
    <x v="312"/>
    <s v="BD"/>
    <d v="1899-12-30T10:13:00"/>
    <d v="1899-12-30T10:47:00"/>
    <d v="1899-12-30T11:31:00"/>
    <n v="0.56666666666666732"/>
    <n v="0.73333333333333339"/>
    <n v="1.3000000000000007"/>
    <s v="Reset"/>
    <s v="Close"/>
    <n v="3.2500000000000022E-2"/>
    <s v="G40"/>
    <n v="47.484305555555608"/>
    <s v="None"/>
    <s v="WTG Breakdown Maintenance"/>
    <n v="876.63333333333389"/>
    <n v="47.484305555555608"/>
    <m/>
    <m/>
    <m/>
    <m/>
  </r>
  <r>
    <n v="1163"/>
    <x v="142"/>
    <x v="1"/>
    <x v="0"/>
    <x v="5"/>
    <x v="1"/>
    <x v="5"/>
    <s v="PWEGPL"/>
    <s v="MSEDCL"/>
    <n v="2.5000000000000001E-2"/>
    <n v="5201"/>
    <x v="299"/>
    <s v="BD"/>
    <d v="1899-12-30T08:27:00"/>
    <d v="1899-12-30T10:07:00"/>
    <d v="1899-12-30T10:09:00"/>
    <n v="1.6666666666666674"/>
    <n v="3.3333333333333215E-2"/>
    <n v="1.7000000000000006"/>
    <s v="Reset"/>
    <s v="Close"/>
    <n v="4.2500000000000017E-2"/>
    <s v="G38"/>
    <n v="81.20097222222229"/>
    <s v="None"/>
    <s v="WTG Breakdown Maintenance"/>
    <n v="1146.3666666666672"/>
    <n v="81.20097222222229"/>
    <m/>
    <m/>
    <m/>
    <m/>
  </r>
  <r>
    <n v="1164"/>
    <x v="142"/>
    <x v="1"/>
    <x v="0"/>
    <x v="5"/>
    <x v="1"/>
    <x v="6"/>
    <s v="PWEGPL"/>
    <s v="MSEDCL"/>
    <n v="2.5000000000000001E-2"/>
    <n v="5201"/>
    <x v="299"/>
    <s v="BD"/>
    <d v="1899-12-30T08:27:00"/>
    <d v="1899-12-30T10:07:00"/>
    <d v="1899-12-30T10:09:00"/>
    <n v="1.6666666666666674"/>
    <n v="3.3333333333333215E-2"/>
    <n v="1.7000000000000006"/>
    <s v="Reset"/>
    <s v="Close"/>
    <n v="4.2500000000000017E-2"/>
    <s v="G39"/>
    <n v="81.20097222222229"/>
    <s v="None"/>
    <s v="WTG Breakdown Maintenance"/>
    <n v="1146.3666666666672"/>
    <n v="81.20097222222229"/>
    <m/>
    <m/>
    <m/>
    <m/>
  </r>
  <r>
    <n v="1165"/>
    <x v="142"/>
    <x v="1"/>
    <x v="0"/>
    <x v="5"/>
    <x v="1"/>
    <x v="33"/>
    <s v="PWEGPL"/>
    <s v="MSEDCL"/>
    <n v="2.5000000000000001E-2"/>
    <n v="205"/>
    <x v="312"/>
    <s v="BD"/>
    <d v="1899-12-30T10:20:00"/>
    <d v="1899-12-30T12:37:00"/>
    <d v="1899-12-30T13:27:00"/>
    <n v="2.2833333333333332"/>
    <n v="0.83333333333333304"/>
    <n v="3.1166666666666663"/>
    <s v="Reset"/>
    <s v="Close"/>
    <n v="7.7916666666666662E-2"/>
    <s v="G21"/>
    <n v="272.92548996913575"/>
    <s v="None"/>
    <s v="WTG Breakdown Maintenance"/>
    <n v="2101.672222222222"/>
    <n v="272.92548996913575"/>
    <m/>
    <m/>
    <m/>
    <m/>
  </r>
  <r>
    <n v="1166"/>
    <x v="142"/>
    <x v="1"/>
    <x v="0"/>
    <x v="5"/>
    <x v="1"/>
    <x v="1"/>
    <s v="PWEGPL"/>
    <s v="MSEDCL"/>
    <n v="2.5000000000000001E-2"/>
    <n v="205"/>
    <x v="312"/>
    <s v="BD"/>
    <d v="1899-12-30T12:16:00"/>
    <d v="1899-12-30T12:31:00"/>
    <d v="1899-12-30T13:46:00"/>
    <n v="0.24999999999999911"/>
    <n v="1.2500000000000009"/>
    <n v="1.5"/>
    <s v="Reset"/>
    <s v="Close"/>
    <n v="3.7500000000000006E-2"/>
    <s v="G23"/>
    <n v="63.21875"/>
    <s v="None"/>
    <s v="WTG Breakdown Maintenance"/>
    <n v="1011.5"/>
    <n v="63.21875"/>
    <m/>
    <m/>
    <m/>
    <m/>
  </r>
  <r>
    <n v="1167"/>
    <x v="143"/>
    <x v="1"/>
    <x v="0"/>
    <x v="5"/>
    <x v="1"/>
    <x v="22"/>
    <s v="PWEGPL"/>
    <s v="MSEDCL"/>
    <n v="2.5000000000000001E-2"/>
    <n v="405"/>
    <x v="370"/>
    <s v="BD"/>
    <d v="1899-12-30T00:00:00"/>
    <d v="1899-12-30T00:00:00"/>
    <d v="1899-12-30T05:15:00"/>
    <n v="0"/>
    <n v="5.25"/>
    <n v="5.25"/>
    <s v="Lambda power supply and relay changed."/>
    <s v="Close"/>
    <n v="0.13125000000000001"/>
    <s v="G04"/>
    <n v="1075.990234375"/>
    <s v="None"/>
    <s v="WTG Breakdown Maintenance"/>
    <n v="4918.8125"/>
    <n v="1075.990234375"/>
    <m/>
    <m/>
    <m/>
    <m/>
  </r>
  <r>
    <n v="1168"/>
    <x v="143"/>
    <x v="1"/>
    <x v="0"/>
    <x v="5"/>
    <x v="1"/>
    <x v="26"/>
    <s v="PWEGPL"/>
    <s v="MSEDCL"/>
    <n v="2.5000000000000001E-2"/>
    <n v="500"/>
    <x v="302"/>
    <s v="BD"/>
    <d v="1899-12-30T18:28:00"/>
    <d v="1899-12-30T18:30:00"/>
    <d v="1899-12-30T19:19:00"/>
    <n v="3.3333333333335879E-2"/>
    <n v="0.81666666666666643"/>
    <n v="0.85000000000000231"/>
    <s v="reset"/>
    <s v="Close"/>
    <n v="2.1250000000000061E-2"/>
    <s v="G06"/>
    <n v="25.747842881944582"/>
    <s v="None"/>
    <s v="WTG Breakdown Maintenance"/>
    <n v="726.99791666666863"/>
    <n v="25.747842881944582"/>
    <m/>
    <m/>
    <m/>
    <m/>
  </r>
  <r>
    <n v="1169"/>
    <x v="143"/>
    <x v="1"/>
    <x v="0"/>
    <x v="5"/>
    <x v="1"/>
    <x v="27"/>
    <s v="PWEGPL"/>
    <s v="MSEDCL"/>
    <n v="2.5000000000000001E-2"/>
    <s v="CE100001"/>
    <x v="288"/>
    <s v="Manual stop"/>
    <d v="1899-12-30T18:17:00"/>
    <d v="1899-12-30T18:17:00"/>
    <d v="1899-12-30T18:57:00"/>
    <n v="0"/>
    <n v="0.6666666666666643"/>
    <n v="0.6666666666666643"/>
    <s v="Bearing greasing done."/>
    <s v="Close"/>
    <n v="1.6666666666666607E-2"/>
    <s v="G12"/>
    <n v="22.600308641975147"/>
    <s v="None"/>
    <s v="WTG Unscheduled Maintenance"/>
    <n v="813.61111111110824"/>
    <n v="22.600308641975147"/>
    <m/>
    <m/>
    <m/>
    <m/>
  </r>
  <r>
    <n v="1170"/>
    <x v="143"/>
    <x v="1"/>
    <x v="0"/>
    <x v="5"/>
    <x v="1"/>
    <x v="3"/>
    <s v="PWEGPL"/>
    <s v="MSEDCL"/>
    <n v="2.5000000000000001E-2"/>
    <s v="CE100001"/>
    <x v="288"/>
    <s v="Manual stop"/>
    <d v="1899-12-30T16:05:00"/>
    <d v="1899-12-30T16:05:00"/>
    <d v="1899-12-30T16:40:00"/>
    <n v="0"/>
    <n v="0.58333333333333659"/>
    <n v="0.58333333333333659"/>
    <s v="Bearing greasing done."/>
    <s v="Close"/>
    <n v="1.4583333333333415E-2"/>
    <s v="G26"/>
    <n v="12.229914158950754"/>
    <s v="None"/>
    <s v="WTG Unscheduled Maintenance"/>
    <n v="503.17361111111393"/>
    <n v="12.229914158950754"/>
    <m/>
    <m/>
    <m/>
    <m/>
  </r>
  <r>
    <n v="1171"/>
    <x v="144"/>
    <x v="1"/>
    <x v="0"/>
    <x v="5"/>
    <x v="1"/>
    <x v="26"/>
    <s v="PWEGPL"/>
    <s v="MSEDCL"/>
    <n v="2.5000000000000001E-2"/>
    <n v="500"/>
    <x v="302"/>
    <s v="BD"/>
    <d v="1899-12-30T14:02:00"/>
    <d v="1899-12-30T14:13:00"/>
    <d v="1899-12-30T17:27:00"/>
    <n v="0.18333333333333268"/>
    <n v="3.2333333333333325"/>
    <n v="3.4166666666666652"/>
    <s v="Generator cooliing motor replaced"/>
    <s v="Close"/>
    <n v="8.5416666666666641E-2"/>
    <s v="G01"/>
    <n v="557.49599729938234"/>
    <s v="None"/>
    <s v="WTG Breakdown Maintenance"/>
    <n v="3916.069444444443"/>
    <n v="557.49599729938234"/>
    <m/>
    <m/>
    <m/>
    <m/>
  </r>
  <r>
    <n v="1172"/>
    <x v="144"/>
    <x v="1"/>
    <x v="0"/>
    <x v="5"/>
    <x v="1"/>
    <x v="27"/>
    <s v="PWEGPL"/>
    <s v="MSEDCL"/>
    <n v="2.5000000000000001E-2"/>
    <n v="502"/>
    <x v="347"/>
    <s v="BD"/>
    <d v="1899-12-30T14:04:00"/>
    <d v="1899-12-30T15:06:00"/>
    <d v="1899-12-30T15:17:00"/>
    <n v="1.0333333333333323"/>
    <n v="0.18333333333333268"/>
    <n v="1.216666666666665"/>
    <s v="Autoreset"/>
    <s v="Close"/>
    <n v="3.0416666666666627E-2"/>
    <s v="G12"/>
    <n v="83.378701774691123"/>
    <s v="None"/>
    <s v="WTG Breakdown Maintenance"/>
    <n v="1644.7305555555531"/>
    <n v="83.378701774691123"/>
    <m/>
    <m/>
    <m/>
    <m/>
  </r>
  <r>
    <n v="1173"/>
    <x v="144"/>
    <x v="1"/>
    <x v="0"/>
    <x v="5"/>
    <x v="1"/>
    <x v="8"/>
    <s v="PWEGPL"/>
    <s v="MSEDCL"/>
    <n v="2.5000000000000001E-2"/>
    <n v="500"/>
    <x v="302"/>
    <s v="BD"/>
    <d v="1899-12-30T17:17:00"/>
    <d v="1899-12-30T18:30:00"/>
    <d v="1899-12-30T21:49:00"/>
    <n v="1.216666666666665"/>
    <n v="3.3166666666666655"/>
    <n v="4.5333333333333306"/>
    <s v="MCB chrged"/>
    <s v="Close"/>
    <n v="0.11333333333333327"/>
    <s v="G25"/>
    <n v="1008.8597530864186"/>
    <s v="None"/>
    <s v="WTG Breakdown Maintenance"/>
    <n v="5341.0222222222192"/>
    <n v="1008.8597530864186"/>
    <m/>
    <m/>
    <m/>
    <m/>
  </r>
  <r>
    <n v="1174"/>
    <x v="144"/>
    <x v="1"/>
    <x v="0"/>
    <x v="5"/>
    <x v="1"/>
    <x v="3"/>
    <s v="PWEGPL"/>
    <s v="MSEDCL"/>
    <n v="2.5000000000000001E-2"/>
    <n v="502"/>
    <x v="347"/>
    <s v="BD"/>
    <d v="1899-12-30T13:19:00"/>
    <d v="1899-12-30T13:25:00"/>
    <d v="1899-12-30T13:30:00"/>
    <n v="9.9999999999999645E-2"/>
    <n v="8.3333333333333037E-2"/>
    <n v="0.18333333333333268"/>
    <s v="Autoreset"/>
    <s v="Close"/>
    <n v="4.5833333333333169E-3"/>
    <s v="G26"/>
    <n v="1.2907600308641882"/>
    <s v="None"/>
    <s v="WTG Breakdown Maintenance"/>
    <n v="168.9722222222216"/>
    <n v="1.2907600308641882"/>
    <m/>
    <m/>
    <m/>
    <m/>
  </r>
  <r>
    <n v="1175"/>
    <x v="144"/>
    <x v="1"/>
    <x v="0"/>
    <x v="5"/>
    <x v="1"/>
    <x v="7"/>
    <s v="PWEGPL"/>
    <s v="MSEDCL"/>
    <n v="2.5000000000000001E-2"/>
    <n v="205"/>
    <x v="312"/>
    <s v="BD"/>
    <d v="1899-12-30T02:40:00"/>
    <d v="1899-12-30T03:21:00"/>
    <d v="1899-12-30T04:58:00"/>
    <n v="0.68333333333333357"/>
    <n v="1.6166666666666669"/>
    <n v="2.3000000000000007"/>
    <s v="Oil Topup"/>
    <s v="Close"/>
    <n v="5.7500000000000023E-2"/>
    <s v="G39"/>
    <n v="196.44635416666679"/>
    <s v="None"/>
    <s v="WTG Breakdown Maintenance"/>
    <n v="2049.8750000000005"/>
    <n v="196.44635416666679"/>
    <m/>
    <m/>
    <m/>
    <m/>
  </r>
  <r>
    <n v="1176"/>
    <x v="145"/>
    <x v="1"/>
    <x v="0"/>
    <x v="5"/>
    <x v="1"/>
    <x v="22"/>
    <s v="PWEGPL"/>
    <s v="MSEDCL"/>
    <n v="2.5000000000000001E-2"/>
    <n v="700"/>
    <x v="329"/>
    <s v="BD"/>
    <d v="1899-12-30T02:40:00"/>
    <d v="1899-12-30T03:10:00"/>
    <d v="1899-12-30T07:33:00"/>
    <n v="0.50000000000000022"/>
    <n v="4.3833333333333329"/>
    <n v="4.8833333333333329"/>
    <s v="Lamda power supply replaced"/>
    <s v="Close"/>
    <n v="0.12208333333333332"/>
    <s v="G04"/>
    <n v="1045.2910648148147"/>
    <s v="None"/>
    <s v="WTG Breakdown Maintenance"/>
    <n v="5137.2666666666664"/>
    <n v="1045.2910648148147"/>
    <m/>
    <m/>
    <m/>
    <m/>
  </r>
  <r>
    <n v="1177"/>
    <x v="145"/>
    <x v="1"/>
    <x v="0"/>
    <x v="5"/>
    <x v="1"/>
    <x v="27"/>
    <s v="PWEGPL"/>
    <s v="MSEDCL"/>
    <n v="2.5000000000000001E-2"/>
    <s v="CE100001"/>
    <x v="288"/>
    <s v="Manual stop"/>
    <d v="1899-12-30T10:38:00"/>
    <d v="1899-12-30T10:38:00"/>
    <d v="1899-12-30T12:47:00"/>
    <n v="0"/>
    <n v="2.1500000000000004"/>
    <n v="2.1500000000000004"/>
    <s v="PT 100 sensor replaced"/>
    <s v="Close"/>
    <n v="5.3750000000000013E-2"/>
    <s v="G12"/>
    <n v="232.24852430555563"/>
    <s v="None"/>
    <s v="IG Unscheduled Maintenance"/>
    <n v="2592.541666666667"/>
    <n v="232.24852430555563"/>
    <m/>
    <m/>
    <m/>
    <m/>
  </r>
  <r>
    <n v="1178"/>
    <x v="145"/>
    <x v="1"/>
    <x v="0"/>
    <x v="5"/>
    <x v="1"/>
    <x v="22"/>
    <s v="PWEGPL"/>
    <s v="MSEDCL"/>
    <n v="2.5000000000000001E-2"/>
    <n v="5236"/>
    <x v="363"/>
    <s v="BD"/>
    <d v="1899-12-30T14:19:00"/>
    <d v="1899-12-30T14:59:00"/>
    <d v="1899-12-30T15:23:00"/>
    <n v="0.66666666666666696"/>
    <n v="0.39999999999999858"/>
    <n v="1.0666666666666655"/>
    <s v="Lamda power supply replaced"/>
    <s v="Close"/>
    <n v="2.6666666666666641E-2"/>
    <s v="G12"/>
    <n v="49.872592592592483"/>
    <s v="None"/>
    <s v="WTG Breakdown Maintenance"/>
    <n v="1122.1333333333321"/>
    <n v="49.872592592592483"/>
    <m/>
    <m/>
    <m/>
    <m/>
  </r>
  <r>
    <n v="1179"/>
    <x v="145"/>
    <x v="1"/>
    <x v="0"/>
    <x v="5"/>
    <x v="1"/>
    <x v="22"/>
    <s v="PWEGPL"/>
    <s v="MSEDCL"/>
    <n v="2.5000000000000001E-2"/>
    <n v="5216"/>
    <x v="306"/>
    <s v="BD"/>
    <d v="1899-12-30T16:42:00"/>
    <d v="1899-12-30T16:59:00"/>
    <d v="1899-12-30T18:50:00"/>
    <n v="0.28333333333333499"/>
    <n v="1.8499999999999988"/>
    <n v="2.1333333333333337"/>
    <s v="Lamda power supply replaced"/>
    <s v="Close"/>
    <n v="5.3333333333333344E-2"/>
    <s v="G12"/>
    <n v="199.49037037037041"/>
    <s v="None"/>
    <s v="WTG Breakdown Maintenance"/>
    <n v="2244.2666666666669"/>
    <n v="199.49037037037041"/>
    <m/>
    <m/>
    <m/>
    <m/>
  </r>
  <r>
    <n v="1180"/>
    <x v="145"/>
    <x v="1"/>
    <x v="0"/>
    <x v="5"/>
    <x v="1"/>
    <x v="22"/>
    <s v="PWEGPL"/>
    <s v="MSEDCL"/>
    <n v="2.5000000000000001E-2"/>
    <n v="700"/>
    <x v="329"/>
    <s v="BD"/>
    <d v="1899-12-30T22:30:00"/>
    <d v="1899-12-30T23:47:00"/>
    <d v="1899-12-30T23:59:00"/>
    <n v="1.2833333333333341"/>
    <n v="0.19999999999999929"/>
    <n v="1.4833333333333334"/>
    <s v="Lamda power supply replaced"/>
    <s v="Close"/>
    <n v="3.7083333333333336E-2"/>
    <s v="G12"/>
    <n v="96.445509259259268"/>
    <s v="None"/>
    <s v="WTG Breakdown Maintenance"/>
    <n v="1560.4666666666667"/>
    <n v="96.445509259259268"/>
    <m/>
    <m/>
    <m/>
    <m/>
  </r>
  <r>
    <n v="1181"/>
    <x v="146"/>
    <x v="1"/>
    <x v="0"/>
    <x v="5"/>
    <x v="1"/>
    <x v="22"/>
    <s v="PWEGPL"/>
    <s v="MSEDCL"/>
    <n v="2.5000000000000001E-2"/>
    <n v="700"/>
    <x v="329"/>
    <s v="BD"/>
    <d v="1899-12-30T00:01:00"/>
    <d v="1899-12-30T00:01:00"/>
    <d v="1899-12-30T00:30:00"/>
    <n v="0"/>
    <n v="0.48333333333333328"/>
    <n v="0.48333333333333328"/>
    <s v="Reset"/>
    <s v="Close"/>
    <n v="1.2083333333333333E-2"/>
    <s v="G04"/>
    <n v="9.8806143904320969"/>
    <s v="None"/>
    <s v="WTG Breakdown Maintenance"/>
    <n v="490.62361111111107"/>
    <n v="9.8806143904320969"/>
    <m/>
    <m/>
    <m/>
    <m/>
  </r>
  <r>
    <n v="1182"/>
    <x v="146"/>
    <x v="1"/>
    <x v="0"/>
    <x v="5"/>
    <x v="1"/>
    <x v="24"/>
    <s v="PWEGPL"/>
    <s v="MSEDCL"/>
    <n v="2.5000000000000001E-2"/>
    <n v="5201"/>
    <x v="299"/>
    <s v="BD"/>
    <d v="1899-12-30T12:13:00"/>
    <d v="1899-12-30T13:49:00"/>
    <d v="1899-12-30T14:04:00"/>
    <n v="1.5999999999999996"/>
    <n v="0.25000000000000178"/>
    <n v="1.8500000000000014"/>
    <s v="reset"/>
    <s v="Close"/>
    <n v="4.6250000000000041E-2"/>
    <s v="G22"/>
    <n v="138.42111111111132"/>
    <s v="None"/>
    <s v="WTG Breakdown Maintenance"/>
    <n v="1795.7333333333347"/>
    <n v="138.42111111111132"/>
    <m/>
    <m/>
    <m/>
    <m/>
  </r>
  <r>
    <n v="1183"/>
    <x v="146"/>
    <x v="1"/>
    <x v="0"/>
    <x v="5"/>
    <x v="1"/>
    <x v="33"/>
    <s v="PWEGPL"/>
    <s v="MSEDCL"/>
    <n v="2.5000000000000001E-2"/>
    <n v="205"/>
    <x v="312"/>
    <s v="BD"/>
    <d v="1899-12-30T12:15:00"/>
    <d v="1899-12-30T14:13:00"/>
    <d v="1899-12-30T14:16:00"/>
    <n v="1.9666666666666677"/>
    <n v="4.9999999999999822E-2"/>
    <n v="2.0166666666666675"/>
    <s v="reset"/>
    <s v="Close"/>
    <n v="5.0416666666666693E-2"/>
    <s v="G29"/>
    <n v="150.89148148148166"/>
    <s v="None"/>
    <s v="WTG Breakdown Maintenance"/>
    <n v="1795.7333333333347"/>
    <n v="150.89148148148166"/>
    <m/>
    <m/>
    <m/>
    <m/>
  </r>
  <r>
    <n v="1184"/>
    <x v="146"/>
    <x v="1"/>
    <x v="0"/>
    <x v="5"/>
    <x v="1"/>
    <x v="10"/>
    <s v="PWEGPL"/>
    <s v="MSEDCL"/>
    <n v="2.5000000000000001E-2"/>
    <n v="507"/>
    <x v="318"/>
    <s v="Manual stop"/>
    <d v="1899-12-30T10:39:00"/>
    <d v="1899-12-30T10:39:00"/>
    <d v="1899-12-30T13:38:00"/>
    <n v="0"/>
    <n v="2.9833333333333321"/>
    <n v="2.9833333333333321"/>
    <s v="generator cooling fan replaced."/>
    <s v="Close"/>
    <n v="7.4583333333333307E-2"/>
    <s v="G32"/>
    <n v="227.51559510030864"/>
    <s v="None"/>
    <s v="IG Unscheduled Maintenance"/>
    <n v="1830.2930555555563"/>
    <n v="227.51559510030864"/>
    <m/>
    <m/>
    <m/>
    <m/>
  </r>
  <r>
    <n v="1185"/>
    <x v="146"/>
    <x v="1"/>
    <x v="0"/>
    <x v="5"/>
    <x v="1"/>
    <x v="12"/>
    <s v="PWEGPL"/>
    <s v="MSEDCL"/>
    <n v="2.5000000000000001E-2"/>
    <n v="5201"/>
    <x v="299"/>
    <s v="BD"/>
    <d v="1899-12-30T17:54:00"/>
    <d v="1899-12-30T19:02:00"/>
    <d v="1899-12-30T19:18:00"/>
    <n v="1.1333333333333373"/>
    <n v="0.26666666666666572"/>
    <n v="1.400000000000003"/>
    <s v="TU reset"/>
    <s v="Close"/>
    <n v="3.500000000000008E-2"/>
    <s v="G30"/>
    <n v="130.14377314814837"/>
    <s v="None"/>
    <s v="WTG Breakdown Maintenance"/>
    <n v="2231.0361111111101"/>
    <n v="130.14377314814837"/>
    <m/>
    <m/>
    <m/>
    <m/>
  </r>
  <r>
    <n v="1186"/>
    <x v="146"/>
    <x v="1"/>
    <x v="0"/>
    <x v="5"/>
    <x v="1"/>
    <x v="7"/>
    <s v="PWEGPL"/>
    <s v="MSEDCL"/>
    <n v="2.5000000000000001E-2"/>
    <n v="205"/>
    <x v="312"/>
    <s v="BD"/>
    <d v="1899-12-30T15:06:00"/>
    <d v="1899-12-30T16:32:00"/>
    <d v="1899-12-30T18:08:00"/>
    <n v="1.4333333333333362"/>
    <n v="1.599999999999997"/>
    <n v="3.0333333333333332"/>
    <s v="Oil topup"/>
    <s v="Close"/>
    <n v="7.5833333333333336E-2"/>
    <s v="G39"/>
    <n v="134.00592592592619"/>
    <s v="None"/>
    <s v="WTG Breakdown Maintenance"/>
    <n v="1060.2666666666689"/>
    <n v="134.00592592592619"/>
    <m/>
    <m/>
    <m/>
    <m/>
  </r>
  <r>
    <n v="1187"/>
    <x v="147"/>
    <x v="1"/>
    <x v="0"/>
    <x v="5"/>
    <x v="1"/>
    <x v="26"/>
    <s v="PWEGPL"/>
    <s v="MSEDCL"/>
    <n v="2.5000000000000001E-2"/>
    <s v="CE100001"/>
    <x v="288"/>
    <s v="Manual stop"/>
    <d v="1899-12-30T11:42:00"/>
    <d v="1899-12-30T11:42:00"/>
    <d v="1899-12-30T12:37:00"/>
    <n v="0"/>
    <n v="0.91666666666666741"/>
    <n v="0.91666666666666741"/>
    <s v="contactor replaced"/>
    <s v="Close"/>
    <n v="2.2916666666666686E-2"/>
    <s v="G01"/>
    <n v="22.290702160493861"/>
    <s v="None"/>
    <s v="WTG Unscheduled Maintenance"/>
    <n v="583.61111111111154"/>
    <n v="22.290702160493861"/>
    <m/>
    <m/>
    <m/>
    <m/>
  </r>
  <r>
    <n v="1188"/>
    <x v="147"/>
    <x v="1"/>
    <x v="0"/>
    <x v="5"/>
    <x v="1"/>
    <x v="37"/>
    <s v="PWEGPL"/>
    <s v="MSEDCL"/>
    <n v="2.5000000000000001E-2"/>
    <n v="800"/>
    <x v="298"/>
    <s v="BD"/>
    <d v="1899-12-30T17:42:00"/>
    <d v="1899-12-30T18:01:00"/>
    <d v="1899-12-30T23:59:00"/>
    <n v="0.31666666666666821"/>
    <n v="5.9666666666666668"/>
    <n v="6.283333333333335"/>
    <s v="Pitch proporsnal valve replaced"/>
    <s v="Open"/>
    <n v="0.15708333333333338"/>
    <s v="G17"/>
    <n v="1240.3387268518527"/>
    <s v="None"/>
    <s v="WTG Breakdown Maintenance"/>
    <n v="4737.633333333335"/>
    <n v="1240.3387268518527"/>
    <m/>
    <m/>
    <m/>
    <m/>
  </r>
  <r>
    <n v="1189"/>
    <x v="147"/>
    <x v="1"/>
    <x v="0"/>
    <x v="5"/>
    <x v="1"/>
    <x v="33"/>
    <s v="PWEGPL"/>
    <s v="MSEDCL"/>
    <n v="2.5000000000000001E-2"/>
    <n v="205"/>
    <x v="312"/>
    <s v="BD"/>
    <d v="1899-12-30T20:19:00"/>
    <d v="1899-12-30T21:55:00"/>
    <d v="1899-12-30T22:30:00"/>
    <n v="1.6000000000000023"/>
    <n v="0.58333333333333126"/>
    <n v="2.1833333333333336"/>
    <s v="oil topup done."/>
    <s v="Close"/>
    <n v="5.4583333333333345E-2"/>
    <s v="G22"/>
    <n v="128.62474054783954"/>
    <s v="None"/>
    <s v="WTG Breakdown Maintenance"/>
    <n v="1413.890277777778"/>
    <n v="128.62474054783954"/>
    <m/>
    <m/>
    <m/>
    <m/>
  </r>
  <r>
    <n v="1190"/>
    <x v="147"/>
    <x v="1"/>
    <x v="0"/>
    <x v="5"/>
    <x v="1"/>
    <x v="7"/>
    <s v="PWEGPL"/>
    <s v="MSEDCL"/>
    <n v="2.5000000000000001E-2"/>
    <s v="CE100001"/>
    <x v="288"/>
    <s v="Manual stop"/>
    <d v="1899-12-30T10:54:00"/>
    <d v="1899-12-30T10:54:00"/>
    <d v="1899-12-30T17:18:00"/>
    <n v="0"/>
    <n v="6.4"/>
    <n v="6.4"/>
    <s v="Pitch cylinder oil seal replaced"/>
    <s v="Close"/>
    <n v="0.16000000000000003"/>
    <s v="G39"/>
    <n v="728.74666666666678"/>
    <s v="None"/>
    <s v="WTG Unscheduled Maintenance"/>
    <n v="2732.8"/>
    <n v="728.74666666666678"/>
    <m/>
    <m/>
    <m/>
    <m/>
  </r>
  <r>
    <n v="1191"/>
    <x v="148"/>
    <x v="1"/>
    <x v="0"/>
    <x v="5"/>
    <x v="1"/>
    <x v="37"/>
    <s v="PWEGPL"/>
    <s v="MSEDCL"/>
    <n v="2.5000000000000001E-2"/>
    <n v="5237"/>
    <x v="372"/>
    <s v="BD"/>
    <d v="1899-12-30T00:00:00"/>
    <d v="1899-12-30T00:47:00"/>
    <d v="1899-12-30T11:56:00"/>
    <n v="0.78333333333333344"/>
    <n v="11.15"/>
    <n v="11.933333333333334"/>
    <s v="Doide card replaced"/>
    <s v="Close"/>
    <n v="0.29833333333333334"/>
    <s v="G17"/>
    <n v="3773.7177777777779"/>
    <s v="None"/>
    <s v="WTG Breakdown Maintenance"/>
    <n v="7589.6"/>
    <n v="3773.7177777777779"/>
    <m/>
    <m/>
    <m/>
    <m/>
  </r>
  <r>
    <n v="1192"/>
    <x v="148"/>
    <x v="1"/>
    <x v="0"/>
    <x v="5"/>
    <x v="1"/>
    <x v="7"/>
    <s v="PWEGPL"/>
    <s v="MSEDCL"/>
    <n v="2.5000000000000001E-2"/>
    <n v="5260"/>
    <x v="373"/>
    <s v="BD"/>
    <d v="1899-12-30T21:11:00"/>
    <d v="1899-12-30T22:02:00"/>
    <d v="1899-12-30T23:02:00"/>
    <n v="0.85000000000000231"/>
    <n v="0.99999999999999911"/>
    <n v="1.8500000000000014"/>
    <s v="Cable loose connection tightened"/>
    <s v="Close"/>
    <n v="4.6250000000000041E-2"/>
    <s v="G39"/>
    <n v="65.835590277777882"/>
    <s v="None"/>
    <s v="WTG Breakdown Maintenance"/>
    <n v="854.08333333333405"/>
    <n v="65.835590277777882"/>
    <m/>
    <m/>
    <m/>
    <m/>
  </r>
  <r>
    <n v="1193"/>
    <x v="148"/>
    <x v="1"/>
    <x v="0"/>
    <x v="5"/>
    <x v="1"/>
    <x v="37"/>
    <s v="PWEGPL"/>
    <s v="MSEDCL"/>
    <n v="2.5000000000000001E-2"/>
    <n v="5237"/>
    <x v="372"/>
    <s v="BD"/>
    <d v="1899-12-30T12:22:00"/>
    <d v="1899-12-30T13:03:00"/>
    <d v="1899-12-30T13:56:00"/>
    <n v="0.68333333333333357"/>
    <n v="0.88333333333333286"/>
    <n v="1.5666666666666664"/>
    <s v="IGBT card replaced"/>
    <s v="Close"/>
    <n v="3.9166666666666662E-2"/>
    <s v="G17"/>
    <n v="65.042777777777758"/>
    <s v="None"/>
    <s v="WTG Breakdown Maintenance"/>
    <n v="996.39999999999986"/>
    <n v="65.042777777777758"/>
    <m/>
    <m/>
    <m/>
    <m/>
  </r>
  <r>
    <n v="1194"/>
    <x v="149"/>
    <x v="1"/>
    <x v="0"/>
    <x v="5"/>
    <x v="1"/>
    <x v="22"/>
    <s v="PWEGPL"/>
    <s v="MSEDCL"/>
    <n v="2.5000000000000001E-2"/>
    <n v="405"/>
    <x v="370"/>
    <s v="BD"/>
    <d v="1899-12-30T10:34:00"/>
    <d v="1899-12-30T11:22:00"/>
    <d v="1899-12-30T13:08:00"/>
    <n v="0.80000000000000115"/>
    <n v="1.7666666666666644"/>
    <n v="2.5666666666666655"/>
    <s v="CCU &amp; lambda power supply replaced"/>
    <s v="Close"/>
    <n v="6.4166666666666636E-2"/>
    <s v="G04"/>
    <n v="124.916161265432"/>
    <s v="None"/>
    <s v="WTG Breakdown Maintenance"/>
    <n v="1168.0472222222218"/>
    <n v="124.916161265432"/>
    <m/>
    <m/>
    <m/>
    <m/>
  </r>
  <r>
    <n v="1195"/>
    <x v="149"/>
    <x v="1"/>
    <x v="0"/>
    <x v="5"/>
    <x v="1"/>
    <x v="25"/>
    <s v="PWEGPL"/>
    <s v="MSEDCL"/>
    <n v="2.5000000000000001E-2"/>
    <s v="CE100007"/>
    <x v="295"/>
    <s v="BD"/>
    <d v="1899-12-30T17:56:00"/>
    <d v="1899-12-30T20:22:00"/>
    <d v="1899-12-30T22:50:00"/>
    <n v="2.4333333333333327"/>
    <n v="2.4666666666666659"/>
    <n v="4.8999999999999986"/>
    <s v="breaker charged"/>
    <s v="Close"/>
    <n v="0.12249999999999997"/>
    <s v="G08"/>
    <n v="325.05204861111093"/>
    <s v="None"/>
    <s v="WTG Breakdown Maintenance"/>
    <n v="1592.0916666666662"/>
    <n v="325.05204861111093"/>
    <m/>
    <m/>
    <m/>
    <m/>
  </r>
  <r>
    <n v="1196"/>
    <x v="149"/>
    <x v="1"/>
    <x v="0"/>
    <x v="5"/>
    <x v="1"/>
    <x v="17"/>
    <s v="PWEGPL"/>
    <s v="MSEDCL"/>
    <n v="2.5000000000000001E-2"/>
    <s v="CE100001"/>
    <x v="288"/>
    <s v="Manual stop"/>
    <d v="1899-12-30T22:59:00"/>
    <d v="1899-12-30T22:59:00"/>
    <d v="1899-12-30T23:56:00"/>
    <n v="0"/>
    <n v="0.94999999999999929"/>
    <n v="0.94999999999999929"/>
    <s v="slipring cleaned"/>
    <s v="Close"/>
    <n v="2.3749999999999983E-2"/>
    <s v="G10"/>
    <n v="17.062890624999973"/>
    <s v="None"/>
    <s v="WTG Unscheduled Maintenance"/>
    <n v="431.06249999999966"/>
    <n v="17.062890624999973"/>
    <m/>
    <m/>
    <m/>
    <m/>
  </r>
  <r>
    <n v="1197"/>
    <x v="149"/>
    <x v="1"/>
    <x v="0"/>
    <x v="5"/>
    <x v="1"/>
    <x v="37"/>
    <s v="PWEGPL"/>
    <s v="MSEDCL"/>
    <n v="2.5000000000000001E-2"/>
    <n v="118"/>
    <x v="313"/>
    <s v="Manual stop"/>
    <d v="1899-12-30T14:40:00"/>
    <d v="1899-12-30T14:40:00"/>
    <d v="1899-12-30T16:05:00"/>
    <n v="0"/>
    <n v="1.416666666666667"/>
    <n v="1.416666666666667"/>
    <s v="Yaw motor replaced"/>
    <s v="Close"/>
    <n v="3.5416666666666673E-2"/>
    <s v="G15"/>
    <n v="39.581404320987673"/>
    <s v="None"/>
    <s v="WTG Unscheduled Maintenance"/>
    <n v="670.55555555555566"/>
    <n v="39.581404320987673"/>
    <m/>
    <m/>
    <m/>
    <m/>
  </r>
  <r>
    <n v="1198"/>
    <x v="149"/>
    <x v="1"/>
    <x v="0"/>
    <x v="5"/>
    <x v="1"/>
    <x v="14"/>
    <s v="PWEGPL"/>
    <s v="MSEDCL"/>
    <n v="2.5000000000000001E-2"/>
    <n v="205"/>
    <x v="312"/>
    <s v="BD"/>
    <d v="1899-12-30T19:27:00"/>
    <d v="1899-12-30T20:28:00"/>
    <d v="1899-12-30T23:59:00"/>
    <n v="1.0166666666666657"/>
    <n v="3.5166666666666675"/>
    <n v="4.5333333333333332"/>
    <s v="WIP"/>
    <s v="Open"/>
    <n v="0.11333333333333334"/>
    <s v="G33"/>
    <n v="294.10209876543206"/>
    <s v="None"/>
    <s v="WTG Breakdown Maintenance"/>
    <n v="1557.0111111111109"/>
    <n v="294.10209876543206"/>
    <m/>
    <m/>
    <m/>
    <m/>
  </r>
  <r>
    <n v="1199"/>
    <x v="149"/>
    <x v="1"/>
    <x v="0"/>
    <x v="5"/>
    <x v="1"/>
    <x v="6"/>
    <s v="PWEGPL"/>
    <s v="MSEDCL"/>
    <n v="2.5000000000000001E-2"/>
    <n v="5263"/>
    <x v="311"/>
    <s v="BD"/>
    <d v="1899-12-30T07:37:00"/>
    <d v="1899-12-30T10:05:00"/>
    <d v="1899-12-30T10:16:00"/>
    <n v="2.4666666666666659"/>
    <n v="0.18333333333333401"/>
    <n v="2.65"/>
    <s v="reset &amp; Rebot"/>
    <s v="Close"/>
    <n v="6.6250000000000003E-2"/>
    <s v="G40"/>
    <n v="98.022395833333334"/>
    <s v="None"/>
    <s v="WTG Breakdown Maintenance"/>
    <n v="887.75"/>
    <n v="98.022395833333334"/>
    <m/>
    <m/>
    <m/>
    <m/>
  </r>
  <r>
    <n v="1200"/>
    <x v="149"/>
    <x v="1"/>
    <x v="0"/>
    <x v="5"/>
    <x v="1"/>
    <x v="6"/>
    <s v="PWEGPL"/>
    <s v="MSEDCL"/>
    <n v="2.5000000000000001E-2"/>
    <s v="CE100001"/>
    <x v="288"/>
    <s v="Manual stop"/>
    <d v="1899-12-30T14:54:00"/>
    <d v="1899-12-30T14:54:00"/>
    <d v="1899-12-30T16:01:00"/>
    <n v="0"/>
    <n v="1.1166666666666654"/>
    <n v="1.1166666666666654"/>
    <s v="slipring cleaned"/>
    <s v="Close"/>
    <n v="2.7916666666666635E-2"/>
    <s v="G40"/>
    <n v="17.405266203703665"/>
    <s v="None"/>
    <s v="WTG Unscheduled Maintenance"/>
    <n v="374.08333333333292"/>
    <n v="17.405266203703665"/>
    <m/>
    <m/>
    <m/>
    <m/>
  </r>
  <r>
    <n v="1201"/>
    <x v="150"/>
    <x v="1"/>
    <x v="0"/>
    <x v="5"/>
    <x v="1"/>
    <x v="24"/>
    <s v="PWEGPL"/>
    <s v="MSEDCL"/>
    <n v="2.5000000000000001E-2"/>
    <n v="205"/>
    <x v="312"/>
    <s v="BD"/>
    <d v="1899-12-30T13:25:00"/>
    <d v="1899-12-30T14:13:00"/>
    <d v="1899-12-30T14:35:00"/>
    <n v="0.79999999999999982"/>
    <n v="0.36666666666666803"/>
    <n v="1.1666666666666679"/>
    <s v="Oil Topup"/>
    <s v="Close"/>
    <n v="2.9166666666666698E-2"/>
    <s v="G22"/>
    <n v="30.780960648148209"/>
    <s v="None"/>
    <s v="WTG Breakdown Maintenance"/>
    <n v="633.20833333333394"/>
    <n v="30.780960648148209"/>
    <m/>
    <m/>
    <m/>
    <m/>
  </r>
  <r>
    <n v="1202"/>
    <x v="150"/>
    <x v="1"/>
    <x v="0"/>
    <x v="5"/>
    <x v="1"/>
    <x v="13"/>
    <s v="PWEGPL"/>
    <s v="MSEDCL"/>
    <n v="2.5000000000000001E-2"/>
    <n v="205"/>
    <x v="312"/>
    <s v="BD"/>
    <d v="1899-12-30T13:15:00"/>
    <d v="1899-12-30T13:20:00"/>
    <d v="1899-12-30T13:28:00"/>
    <n v="8.3333333333333037E-2"/>
    <n v="0.13333333333333286"/>
    <n v="0.2166666666666659"/>
    <s v="Oil Topup"/>
    <s v="Close"/>
    <n v="5.4166666666666478E-3"/>
    <s v="G35"/>
    <n v="0.8722212577160432"/>
    <s v="None"/>
    <s v="WTG Breakdown Maintenance"/>
    <n v="96.615277777777436"/>
    <n v="0.8722212577160432"/>
    <m/>
    <m/>
    <m/>
    <m/>
  </r>
  <r>
    <n v="1203"/>
    <x v="150"/>
    <x v="1"/>
    <x v="0"/>
    <x v="5"/>
    <x v="1"/>
    <x v="14"/>
    <s v="PWEGPL"/>
    <s v="MSEDCL"/>
    <n v="2.5000000000000001E-2"/>
    <n v="205"/>
    <x v="312"/>
    <s v="BD"/>
    <d v="1899-12-30T00:00:00"/>
    <d v="1899-12-30T00:00:00"/>
    <d v="1899-12-30T19:15:00"/>
    <n v="0"/>
    <n v="19.25"/>
    <n v="19.25"/>
    <s v="Accumulator fixed &amp; its accessories replaced"/>
    <s v="Close"/>
    <n v="0.48125000000000001"/>
    <s v="G35"/>
    <n v="6884.9997829861113"/>
    <s v="None"/>
    <s v="WTG Breakdown Maintenance"/>
    <n v="8583.8958333333339"/>
    <n v="6884.9997829861113"/>
    <m/>
    <m/>
    <m/>
    <m/>
  </r>
  <r>
    <n v="1204"/>
    <x v="150"/>
    <x v="1"/>
    <x v="0"/>
    <x v="5"/>
    <x v="1"/>
    <x v="13"/>
    <s v="PWEGPL"/>
    <s v="MSEDCL"/>
    <n v="2.5000000000000001E-2"/>
    <n v="205"/>
    <x v="312"/>
    <s v="BD"/>
    <d v="1899-12-30T16:52:00"/>
    <d v="1899-12-30T17:00:00"/>
    <d v="1899-12-30T17:09:00"/>
    <n v="0.13333333333333286"/>
    <n v="0.1499999999999968"/>
    <n v="0.28333333333332966"/>
    <s v="Oil Topup"/>
    <s v="Close"/>
    <n v="7.0833333333332419E-3"/>
    <s v="G35"/>
    <n v="1.4915499614197143"/>
    <s v="None"/>
    <s v="WTG Breakdown Maintenance"/>
    <n v="126.34305555555392"/>
    <n v="1.4915499614197143"/>
    <m/>
    <m/>
    <m/>
    <m/>
  </r>
  <r>
    <n v="1205"/>
    <x v="151"/>
    <x v="1"/>
    <x v="0"/>
    <x v="5"/>
    <x v="1"/>
    <x v="32"/>
    <s v="PWEGPL"/>
    <s v="MSEDCL"/>
    <n v="2.5000000000000001E-2"/>
    <n v="1893"/>
    <x v="362"/>
    <s v="BD"/>
    <d v="1899-12-30T01:28:00"/>
    <d v="1899-12-30T01:48:00"/>
    <d v="1899-12-30T01:52:00"/>
    <n v="0.33333333333333315"/>
    <n v="6.6666666666666763E-2"/>
    <n v="0.39999999999999991"/>
    <s v="Reset"/>
    <s v="Close"/>
    <n v="9.9999999999999985E-3"/>
    <s v="G15"/>
    <n v="4.6011111111111092"/>
    <s v="None"/>
    <s v="WTG Breakdown Maintenance"/>
    <n v="276.06666666666661"/>
    <n v="4.6011111111111092"/>
    <m/>
    <m/>
    <m/>
    <m/>
  </r>
  <r>
    <n v="1206"/>
    <x v="151"/>
    <x v="1"/>
    <x v="0"/>
    <x v="5"/>
    <x v="1"/>
    <x v="19"/>
    <s v="PWEGPL"/>
    <s v="MSEDCL"/>
    <n v="2.5000000000000001E-2"/>
    <n v="5215"/>
    <x v="374"/>
    <s v="BD"/>
    <d v="1899-12-30T19:14:00"/>
    <d v="1899-12-30T21:43:00"/>
    <d v="1899-12-30T22:50:00"/>
    <n v="2.4833333333333298"/>
    <n v="1.116666666666668"/>
    <n v="3.5999999999999979"/>
    <s v="Reset"/>
    <s v="Close"/>
    <n v="8.9999999999999955E-2"/>
    <s v="G19"/>
    <n v="350.09999999999957"/>
    <s v="None"/>
    <s v="WTG Breakdown Maintenance"/>
    <n v="2333.9999999999986"/>
    <n v="350.09999999999957"/>
    <m/>
    <m/>
    <m/>
    <m/>
  </r>
  <r>
    <n v="1207"/>
    <x v="151"/>
    <x v="1"/>
    <x v="0"/>
    <x v="5"/>
    <x v="1"/>
    <x v="33"/>
    <s v="PWEGPL"/>
    <s v="MSEDCL"/>
    <n v="2.5000000000000001E-2"/>
    <n v="203"/>
    <x v="290"/>
    <s v="BD"/>
    <d v="1899-12-30T08:11:00"/>
    <d v="1899-12-30T10:42:00"/>
    <d v="1899-12-30T11:07:00"/>
    <n v="2.5166666666666657"/>
    <n v="0.41666666666666785"/>
    <n v="2.9333333333333336"/>
    <s v="Reset"/>
    <s v="Close"/>
    <n v="7.3333333333333348E-2"/>
    <s v="G22"/>
    <n v="202.92148148148155"/>
    <s v="None"/>
    <s v="WTG Breakdown Maintenance"/>
    <n v="1660.2666666666669"/>
    <n v="202.92148148148155"/>
    <m/>
    <m/>
    <m/>
    <m/>
  </r>
  <r>
    <n v="1208"/>
    <x v="151"/>
    <x v="1"/>
    <x v="0"/>
    <x v="5"/>
    <x v="1"/>
    <x v="14"/>
    <s v="PWEGPL"/>
    <s v="MSEDCL"/>
    <n v="2.5000000000000001E-2"/>
    <n v="205"/>
    <x v="312"/>
    <s v="BD"/>
    <d v="1899-12-30T20:41:00"/>
    <d v="1899-12-30T23:55:00"/>
    <d v="1899-12-30T23:59:00"/>
    <n v="3.2333333333333325"/>
    <n v="6.666666666666643E-2"/>
    <n v="3.2999999999999989"/>
    <s v="Oil Topup"/>
    <s v="Open"/>
    <n v="8.2499999999999976E-2"/>
    <s v="G33"/>
    <n v="145.35124999999991"/>
    <s v="None"/>
    <s v="WTG Breakdown Maintenance"/>
    <n v="1057.0999999999997"/>
    <n v="145.35124999999991"/>
    <m/>
    <m/>
    <m/>
    <m/>
  </r>
  <r>
    <n v="1209"/>
    <x v="151"/>
    <x v="1"/>
    <x v="0"/>
    <x v="5"/>
    <x v="1"/>
    <x v="33"/>
    <s v="PWEGPL"/>
    <s v="MSEDCL"/>
    <n v="2.5000000000000001E-2"/>
    <n v="202"/>
    <x v="291"/>
    <s v="Manual stop"/>
    <d v="1899-12-30T14:01:00"/>
    <d v="1899-12-30T14:01:00"/>
    <d v="1899-12-30T16:22:00"/>
    <n v="0"/>
    <n v="2.3499999999999996"/>
    <n v="2.3499999999999996"/>
    <s v="Nitrogen gas filled"/>
    <s v="Close"/>
    <n v="5.8749999999999997E-2"/>
    <s v="G22"/>
    <n v="130.2389583333333"/>
    <s v="None"/>
    <s v="WTG Unscheduled Maintenance"/>
    <n v="1330.1"/>
    <n v="130.2389583333333"/>
    <m/>
    <m/>
    <m/>
    <m/>
  </r>
  <r>
    <n v="1210"/>
    <x v="152"/>
    <x v="1"/>
    <x v="0"/>
    <x v="5"/>
    <x v="1"/>
    <x v="14"/>
    <s v="PWEGPL"/>
    <s v="MSEDCL"/>
    <n v="2.5000000000000001E-2"/>
    <n v="205"/>
    <x v="312"/>
    <s v="BD"/>
    <d v="1899-12-30T00:00:00"/>
    <d v="1899-12-30T00:00:00"/>
    <d v="1899-12-30T01:17:00"/>
    <n v="0"/>
    <n v="1.2833333333333332"/>
    <n v="1.2833333333333332"/>
    <s v="Oil Topup"/>
    <s v="Close"/>
    <n v="3.2083333333333332E-2"/>
    <s v="G35"/>
    <n v="14.044776234567898"/>
    <s v="None"/>
    <s v="WTG Breakdown Maintenance"/>
    <n v="262.65555555555551"/>
    <n v="14.044776234567898"/>
    <m/>
    <m/>
    <m/>
    <m/>
  </r>
  <r>
    <n v="1211"/>
    <x v="152"/>
    <x v="1"/>
    <x v="0"/>
    <x v="5"/>
    <x v="1"/>
    <x v="14"/>
    <s v="PWEGPL"/>
    <s v="MSEDCL"/>
    <n v="2.5000000000000001E-2"/>
    <s v="CE100001"/>
    <x v="288"/>
    <s v="Manual stop"/>
    <d v="1899-12-30T10:56:00"/>
    <d v="1899-12-30T10:56:00"/>
    <d v="1899-12-30T16:03:00"/>
    <n v="0"/>
    <n v="5.1166666666666689"/>
    <n v="5.1166666666666689"/>
    <s v="Hose replaced"/>
    <s v="Close"/>
    <n v="0.12791666666666673"/>
    <s v="G35"/>
    <n v="223.25959104938289"/>
    <s v="None"/>
    <s v="WTG Unscheduled Maintenance"/>
    <n v="1047.2111111111114"/>
    <n v="223.25959104938289"/>
    <m/>
    <m/>
    <m/>
    <m/>
  </r>
  <r>
    <n v="1212"/>
    <x v="153"/>
    <x v="1"/>
    <x v="0"/>
    <x v="5"/>
    <x v="1"/>
    <x v="33"/>
    <s v="PWEGPL"/>
    <s v="MSEDCL"/>
    <n v="2.5000000000000001E-2"/>
    <n v="117"/>
    <x v="375"/>
    <s v="BD"/>
    <d v="1899-12-30T07:16:00"/>
    <d v="1899-12-30T07:55:00"/>
    <d v="1899-12-30T12:15:00"/>
    <n v="0.65000000000000036"/>
    <n v="4.3333333333333321"/>
    <n v="4.9833333333333325"/>
    <s v="Hydraulic valve replaced &amp; SW update"/>
    <s v="Close"/>
    <n v="0.12458333333333332"/>
    <s v="G22"/>
    <n v="786.57014081790089"/>
    <s v="None"/>
    <s v="WTG Breakdown Maintenance"/>
    <n v="3788.1638888888879"/>
    <n v="786.57014081790089"/>
    <m/>
    <m/>
    <m/>
    <m/>
  </r>
  <r>
    <n v="1213"/>
    <x v="153"/>
    <x v="1"/>
    <x v="0"/>
    <x v="5"/>
    <x v="1"/>
    <x v="8"/>
    <s v="PWEGPL"/>
    <s v="MSEDCL"/>
    <n v="2.5000000000000001E-2"/>
    <n v="550"/>
    <x v="297"/>
    <s v="BD"/>
    <d v="1899-12-30T16:03:00"/>
    <d v="1899-12-30T16:37:00"/>
    <d v="1899-12-30T16:46:00"/>
    <n v="0.56666666666666465"/>
    <n v="0.14999999999999947"/>
    <n v="0.71666666666666412"/>
    <s v="Reboot &amp; Reset"/>
    <s v="Close"/>
    <n v="1.7916666666666605E-2"/>
    <s v="G27"/>
    <n v="17.616147762345552"/>
    <s v="None"/>
    <s v="WTG Breakdown Maintenance"/>
    <n v="589.93611111110897"/>
    <n v="17.616147762345552"/>
    <m/>
    <m/>
    <m/>
    <m/>
  </r>
  <r>
    <n v="1214"/>
    <x v="154"/>
    <x v="1"/>
    <x v="0"/>
    <x v="5"/>
    <x v="1"/>
    <x v="21"/>
    <s v="PWEGPL"/>
    <s v="MSEDCL"/>
    <n v="2.5000000000000001E-2"/>
    <n v="205"/>
    <x v="312"/>
    <s v="BD"/>
    <d v="1899-12-30T10:41:00"/>
    <d v="1899-12-30T11:42:00"/>
    <d v="1899-12-30T13:04:00"/>
    <n v="1.0166666666666657"/>
    <n v="1.3666666666666658"/>
    <n v="2.3833333333333315"/>
    <s v="oil topup"/>
    <s v="Close"/>
    <n v="5.9583333333333294E-2"/>
    <s v="G07"/>
    <n v="179.42182966820963"/>
    <s v="None"/>
    <s v="WTG Breakdown Maintenance"/>
    <n v="1806.7652777777764"/>
    <n v="179.42182966820963"/>
    <m/>
    <m/>
    <m/>
    <m/>
  </r>
  <r>
    <n v="1215"/>
    <x v="154"/>
    <x v="1"/>
    <x v="0"/>
    <x v="5"/>
    <x v="1"/>
    <x v="27"/>
    <s v="PWEGPL"/>
    <s v="MSEDCL"/>
    <n v="2.5000000000000001E-2"/>
    <n v="205"/>
    <x v="312"/>
    <s v="BD"/>
    <d v="1899-12-30T22:12:00"/>
    <d v="1899-12-30T22:38:00"/>
    <d v="1899-12-30T23:23:00"/>
    <n v="0.43333333333333446"/>
    <n v="0.75"/>
    <n v="1.1833333333333345"/>
    <s v="oil topup"/>
    <s v="Close"/>
    <n v="2.9583333333333364E-2"/>
    <s v="G10"/>
    <n v="47.551099537037125"/>
    <s v="None"/>
    <s v="WTG Breakdown Maintenance"/>
    <n v="964.41666666666754"/>
    <n v="47.551099537037125"/>
    <m/>
    <m/>
    <m/>
    <m/>
  </r>
  <r>
    <n v="1216"/>
    <x v="154"/>
    <x v="1"/>
    <x v="0"/>
    <x v="5"/>
    <x v="1"/>
    <x v="35"/>
    <s v="PWEGPL"/>
    <s v="MSEDCL"/>
    <n v="2.5000000000000001E-2"/>
    <n v="1893"/>
    <x v="362"/>
    <s v="BD"/>
    <d v="1899-12-30T20:29:00"/>
    <d v="1899-12-30T21:32:00"/>
    <d v="1899-12-30T21:43:00"/>
    <n v="1.0499999999999989"/>
    <n v="0.18333333333333002"/>
    <n v="1.233333333333329"/>
    <s v="Reboot &amp; Reset"/>
    <s v="Close"/>
    <n v="3.0833333333333227E-2"/>
    <s v="G25"/>
    <n v="48.865694444444088"/>
    <s v="None"/>
    <s v="WTG Breakdown Maintenance"/>
    <n v="950.89999999999657"/>
    <n v="48.865694444444088"/>
    <m/>
    <m/>
    <m/>
    <m/>
  </r>
  <r>
    <n v="1217"/>
    <x v="155"/>
    <x v="1"/>
    <x v="0"/>
    <x v="5"/>
    <x v="1"/>
    <x v="18"/>
    <s v="PWEGPL"/>
    <s v="MSEDCL"/>
    <n v="2.5000000000000001E-2"/>
    <s v="CE100001"/>
    <x v="288"/>
    <s v="BD"/>
    <d v="1899-12-30T12:02:00"/>
    <d v="1899-12-30T12:02:00"/>
    <d v="1899-12-30T12:42:00"/>
    <n v="0"/>
    <n v="0.66666666666666696"/>
    <n v="0.66666666666666696"/>
    <s v="Bearind greasing done and sensor checked"/>
    <s v="Close"/>
    <n v="1.6666666666666673E-2"/>
    <s v="G20"/>
    <n v="21.657407407407423"/>
    <s v="None"/>
    <s v="WTG Unscheduled Maintenance"/>
    <n v="779.66666666666697"/>
    <n v="21.657407407407423"/>
    <m/>
    <m/>
    <m/>
    <m/>
  </r>
  <r>
    <n v="1218"/>
    <x v="156"/>
    <x v="1"/>
    <x v="0"/>
    <x v="5"/>
    <x v="1"/>
    <x v="17"/>
    <s v="PWEGPL"/>
    <s v="MSEDCL"/>
    <n v="2.5000000000000001E-2"/>
    <n v="410"/>
    <x v="322"/>
    <s v="BD"/>
    <d v="1899-12-30T19:22:00"/>
    <d v="1899-12-30T21:21:00"/>
    <d v="1899-12-30T21:28:00"/>
    <n v="1.9833333333333343"/>
    <n v="0.11666666666666359"/>
    <n v="2.0999999999999979"/>
    <s v="slipring cleaned &amp; cab module replaced"/>
    <s v="Close"/>
    <n v="5.2499999999999949E-2"/>
    <s v="G06"/>
    <n v="167.28140624999966"/>
    <s v="None"/>
    <s v="WTG Breakdown Maintenance"/>
    <n v="1911.7874999999981"/>
    <n v="167.28140624999966"/>
    <m/>
    <m/>
    <m/>
    <m/>
  </r>
  <r>
    <n v="1219"/>
    <x v="156"/>
    <x v="1"/>
    <x v="0"/>
    <x v="5"/>
    <x v="1"/>
    <x v="33"/>
    <s v="PWEGPL"/>
    <s v="MSEDCL"/>
    <n v="2.5000000000000001E-2"/>
    <n v="1894"/>
    <x v="325"/>
    <s v="BD"/>
    <d v="1899-12-30T01:59:00"/>
    <d v="1899-12-30T02:47:00"/>
    <d v="1899-12-30T02:51:00"/>
    <n v="0.79999999999999982"/>
    <n v="6.6666666666667096E-2"/>
    <n v="0.86666666666666692"/>
    <s v="reboot reset"/>
    <s v="Close"/>
    <n v="2.1666666666666674E-2"/>
    <s v="G22"/>
    <n v="30.11225308641977"/>
    <s v="None"/>
    <s v="WTG Breakdown Maintenance"/>
    <n v="833.87777777777796"/>
    <n v="30.11225308641977"/>
    <m/>
    <m/>
    <m/>
    <m/>
  </r>
  <r>
    <n v="1220"/>
    <x v="156"/>
    <x v="1"/>
    <x v="0"/>
    <x v="5"/>
    <x v="1"/>
    <x v="8"/>
    <s v="PWEGPL"/>
    <s v="MSEDCL"/>
    <n v="2.5000000000000001E-2"/>
    <n v="550"/>
    <x v="297"/>
    <s v="BD"/>
    <d v="1899-12-30T06:18:00"/>
    <d v="1899-12-30T06:47:00"/>
    <d v="1899-12-30T06:51:00"/>
    <n v="0.48333333333333295"/>
    <n v="6.666666666666643E-2"/>
    <n v="0.54999999999999938"/>
    <s v="reboot reset"/>
    <s v="Close"/>
    <n v="1.3749999999999984E-2"/>
    <s v="G25"/>
    <n v="9.5056423611110876"/>
    <s v="None"/>
    <s v="WTG Breakdown Maintenance"/>
    <n v="414.79166666666617"/>
    <n v="9.5056423611110876"/>
    <m/>
    <m/>
    <m/>
    <m/>
  </r>
  <r>
    <n v="1221"/>
    <x v="156"/>
    <x v="1"/>
    <x v="0"/>
    <x v="5"/>
    <x v="1"/>
    <x v="6"/>
    <s v="PWEGPL"/>
    <s v="MSEDCL"/>
    <n v="2.5000000000000001E-2"/>
    <n v="5263"/>
    <x v="311"/>
    <s v="Manual stop"/>
    <d v="1899-12-30T16:26:00"/>
    <d v="1899-12-30T16:26:00"/>
    <d v="1899-12-30T18:42:00"/>
    <n v="0"/>
    <n v="2.2666666666666666"/>
    <n v="2.2666666666666666"/>
    <s v="slipring cleaned &amp; software update"/>
    <s v="Close"/>
    <n v="5.6666666666666671E-2"/>
    <s v="G40"/>
    <n v="143.92913580246912"/>
    <s v="None"/>
    <s v="WTG Breakdown Maintenance"/>
    <n v="1523.9555555555555"/>
    <n v="143.92913580246912"/>
    <m/>
    <m/>
    <m/>
    <m/>
  </r>
  <r>
    <n v="1222"/>
    <x v="156"/>
    <x v="1"/>
    <x v="0"/>
    <x v="5"/>
    <x v="1"/>
    <x v="17"/>
    <s v="PWEGPL"/>
    <s v="MSEDCL"/>
    <n v="2.5000000000000001E-2"/>
    <n v="2118"/>
    <x v="293"/>
    <s v="BD"/>
    <d v="1899-12-30T21:48:00"/>
    <d v="1899-12-30T21:54:00"/>
    <d v="1899-12-30T23:11:00"/>
    <n v="9.9999999999999645E-2"/>
    <n v="1.2833333333333341"/>
    <n v="1.3833333333333337"/>
    <s v="trouble shootind and inspection."/>
    <s v="Open"/>
    <n v="3.4583333333333348E-2"/>
    <s v="G06"/>
    <n v="72.587654803240781"/>
    <s v="None"/>
    <s v="WTG Breakdown Maintenance"/>
    <n v="1259.3520833333337"/>
    <n v="72.587654803240781"/>
    <m/>
    <m/>
    <m/>
    <m/>
  </r>
  <r>
    <n v="1223"/>
    <x v="157"/>
    <x v="1"/>
    <x v="0"/>
    <x v="5"/>
    <x v="1"/>
    <x v="17"/>
    <s v="PWEGPL"/>
    <s v="MSEDCL"/>
    <n v="2.5000000000000001E-2"/>
    <n v="2118"/>
    <x v="293"/>
    <s v="BD"/>
    <d v="1899-12-30T01:41:00"/>
    <d v="1899-12-30T23:59:00"/>
    <d v="1899-12-30T23:59:00"/>
    <n v="22.3"/>
    <n v="0"/>
    <n v="22.3"/>
    <s v="WIP"/>
    <s v="Open"/>
    <n v="0.5575"/>
    <s v="G10"/>
    <n v="19164.658715277776"/>
    <s v="Due to Material &amp;Tools shortage"/>
    <s v="WTG Breakdown Maintenance"/>
    <n v="20625.641666666666"/>
    <n v="19164.658715277776"/>
    <m/>
    <m/>
    <m/>
    <m/>
  </r>
  <r>
    <n v="1224"/>
    <x v="157"/>
    <x v="1"/>
    <x v="0"/>
    <x v="5"/>
    <x v="1"/>
    <x v="37"/>
    <s v="PWEGPL"/>
    <s v="MSEDCL"/>
    <n v="2.5000000000000001E-2"/>
    <n v="1893"/>
    <x v="362"/>
    <s v="BD"/>
    <d v="1899-12-30T04:34:00"/>
    <d v="1899-12-30T04:49:00"/>
    <d v="1899-12-30T04:49:00"/>
    <n v="0.24999999999999978"/>
    <n v="0"/>
    <n v="0.24999999999999978"/>
    <s v="Rebot &amp; Reset"/>
    <s v="Close"/>
    <n v="6.2499999999999951E-3"/>
    <s v="G17"/>
    <n v="2.6241319444444398"/>
    <s v="None"/>
    <s v="WTG Breakdown Maintenance"/>
    <n v="251.91666666666643"/>
    <n v="2.6241319444444398"/>
    <m/>
    <m/>
    <m/>
    <m/>
  </r>
  <r>
    <n v="1225"/>
    <x v="158"/>
    <x v="1"/>
    <x v="0"/>
    <x v="5"/>
    <x v="1"/>
    <x v="17"/>
    <s v="PWEGPL"/>
    <s v="MSEDCL"/>
    <n v="2.5000000000000001E-2"/>
    <n v="2118"/>
    <x v="293"/>
    <s v="BD"/>
    <d v="1899-12-30T00:00:00"/>
    <d v="1899-12-30T09:30:00"/>
    <d v="1899-12-30T16:52:00"/>
    <n v="9.5"/>
    <n v="7.3666666666666689"/>
    <n v="16.866666666666667"/>
    <s v="Nose cone hardware replaced"/>
    <s v="Close"/>
    <n v="0.42166666666666669"/>
    <s v="G06"/>
    <n v="9118.8130169753094"/>
    <s v="Due to Material &amp;Tools shortage"/>
    <s v="WTG Breakdown Maintenance"/>
    <n v="12975.386111111111"/>
    <n v="9118.8130169753094"/>
    <m/>
    <m/>
    <m/>
    <m/>
  </r>
  <r>
    <n v="1226"/>
    <x v="158"/>
    <x v="1"/>
    <x v="0"/>
    <x v="5"/>
    <x v="1"/>
    <x v="32"/>
    <s v="PWEGPL"/>
    <s v="MSEDCL"/>
    <n v="2.5000000000000001E-2"/>
    <n v="1893"/>
    <x v="362"/>
    <s v="BD"/>
    <d v="1899-12-30T08:51:00"/>
    <d v="1899-12-30T09:33:00"/>
    <d v="1899-12-30T09:39:00"/>
    <n v="0.70000000000000151"/>
    <n v="9.9999999999999645E-2"/>
    <n v="0.80000000000000115"/>
    <s v="Reset"/>
    <s v="Close"/>
    <n v="2.0000000000000032E-2"/>
    <s v="G15"/>
    <n v="30.806666666666757"/>
    <s v="None"/>
    <s v="WTG Breakdown Maintenance"/>
    <n v="924.2000000000013"/>
    <n v="30.806666666666757"/>
    <m/>
    <m/>
    <m/>
    <m/>
  </r>
  <r>
    <n v="1227"/>
    <x v="158"/>
    <x v="1"/>
    <x v="0"/>
    <x v="5"/>
    <x v="1"/>
    <x v="6"/>
    <s v="PWEGPL"/>
    <s v="MSEDCL"/>
    <n v="2.5000000000000001E-2"/>
    <n v="5263"/>
    <x v="311"/>
    <s v="BD"/>
    <d v="1899-12-30T12:09:00"/>
    <d v="1899-12-30T12:53:00"/>
    <d v="1899-12-30T13:00:00"/>
    <n v="0.73333333333333339"/>
    <n v="0.11666666666666625"/>
    <n v="0.84999999999999964"/>
    <s v="trouble shootind and inspection."/>
    <s v="Close"/>
    <n v="2.1249999999999991E-2"/>
    <s v="G40"/>
    <n v="23.527660590277758"/>
    <s v="None"/>
    <s v="WTG Breakdown Maintenance"/>
    <n v="664.31041666666636"/>
    <n v="23.527660590277758"/>
    <m/>
    <m/>
    <m/>
    <m/>
  </r>
  <r>
    <n v="1228"/>
    <x v="158"/>
    <x v="1"/>
    <x v="0"/>
    <x v="5"/>
    <x v="1"/>
    <x v="6"/>
    <s v="PWEGPL"/>
    <s v="MSEDCL"/>
    <n v="2.5000000000000001E-2"/>
    <n v="2118"/>
    <x v="293"/>
    <s v="BD"/>
    <d v="1899-12-30T21:59:00"/>
    <d v="1899-12-30T22:41:00"/>
    <d v="1899-12-30T23:59:00"/>
    <n v="0.69999999999999751"/>
    <n v="1.3000000000000007"/>
    <n v="1.9999999999999982"/>
    <s v="Slipring cleaned."/>
    <s v="Open"/>
    <n v="4.9999999999999961E-2"/>
    <s v="G40"/>
    <n v="130.2569444444442"/>
    <s v="None"/>
    <s v="WTG Breakdown Maintenance"/>
    <n v="1563.0833333333319"/>
    <n v="130.2569444444442"/>
    <m/>
    <m/>
    <m/>
    <m/>
  </r>
  <r>
    <n v="1229"/>
    <x v="159"/>
    <x v="1"/>
    <x v="0"/>
    <x v="5"/>
    <x v="1"/>
    <x v="24"/>
    <s v="PWEGPL"/>
    <s v="MSEDCL"/>
    <n v="2.5000000000000001E-2"/>
    <n v="125"/>
    <x v="343"/>
    <s v="BD"/>
    <d v="1899-12-30T09:47:00"/>
    <d v="1899-12-30T10:58:00"/>
    <d v="1899-12-30T13:22:00"/>
    <n v="1.1833333333333331"/>
    <n v="2.4000000000000008"/>
    <n v="3.5833333333333339"/>
    <s v="yaw motor replaced"/>
    <s v="Close"/>
    <n v="8.9583333333333348E-2"/>
    <s v="G22"/>
    <n v="322.74573206018528"/>
    <s v="None"/>
    <s v="WTG Breakdown Maintenance"/>
    <n v="2161.6458333333335"/>
    <n v="322.74573206018528"/>
    <m/>
    <m/>
    <m/>
    <m/>
  </r>
  <r>
    <n v="1230"/>
    <x v="159"/>
    <x v="1"/>
    <x v="0"/>
    <x v="5"/>
    <x v="1"/>
    <x v="18"/>
    <s v="PWEGPL"/>
    <s v="MSEDCL"/>
    <n v="2.5000000000000001E-2"/>
    <n v="205"/>
    <x v="312"/>
    <s v="BD"/>
    <d v="1899-12-30T15:48:00"/>
    <d v="1899-12-30T16:30:00"/>
    <d v="1899-12-30T23:59:00"/>
    <n v="0.70000000000000018"/>
    <n v="7.4833333333333334"/>
    <n v="8.1833333333333336"/>
    <s v="yaw caliper oil seal replacment WIP"/>
    <s v="Open"/>
    <n v="0.20458333333333334"/>
    <s v="G20"/>
    <n v="1727.5378949652779"/>
    <s v="Manpower shortage in night shift."/>
    <s v="WTG Breakdown Maintenance"/>
    <n v="5066.5062500000004"/>
    <n v="1727.5378949652779"/>
    <m/>
    <m/>
    <m/>
    <m/>
  </r>
  <r>
    <n v="1231"/>
    <x v="159"/>
    <x v="1"/>
    <x v="0"/>
    <x v="5"/>
    <x v="1"/>
    <x v="33"/>
    <s v="PWEGPL"/>
    <s v="MSEDCL"/>
    <n v="2.5000000000000001E-2"/>
    <n v="1894"/>
    <x v="325"/>
    <s v="BD"/>
    <d v="1899-12-30T16:34:00"/>
    <d v="1899-12-30T17:37:00"/>
    <d v="1899-12-30T17:42:00"/>
    <n v="1.0500000000000016"/>
    <n v="8.3333333333330373E-2"/>
    <n v="1.133333333333332"/>
    <s v="reset"/>
    <s v="Close"/>
    <n v="2.8333333333333301E-2"/>
    <s v="G22"/>
    <n v="32.285046296296215"/>
    <s v="None"/>
    <s v="WTG Breakdown Maintenance"/>
    <n v="683.68333333333248"/>
    <n v="32.285046296296215"/>
    <m/>
    <m/>
    <m/>
    <m/>
  </r>
  <r>
    <n v="1232"/>
    <x v="159"/>
    <x v="1"/>
    <x v="0"/>
    <x v="5"/>
    <x v="1"/>
    <x v="8"/>
    <s v="PWEGPL"/>
    <s v="MSEDCL"/>
    <n v="2.5000000000000001E-2"/>
    <n v="550"/>
    <x v="297"/>
    <s v="BD"/>
    <d v="1899-12-30T20:25:00"/>
    <d v="1899-12-30T21:36:00"/>
    <d v="1899-12-30T21:39:00"/>
    <n v="1.1833333333333318"/>
    <n v="4.9999999999997158E-2"/>
    <n v="1.233333333333329"/>
    <s v="reset"/>
    <s v="Close"/>
    <n v="3.0833333333333227E-2"/>
    <s v="G25"/>
    <n v="34.161620370370123"/>
    <s v="None"/>
    <s v="WTG Breakdown Maintenance"/>
    <n v="664.76666666666426"/>
    <n v="34.161620370370123"/>
    <m/>
    <m/>
    <m/>
    <m/>
  </r>
  <r>
    <n v="1233"/>
    <x v="159"/>
    <x v="1"/>
    <x v="0"/>
    <x v="5"/>
    <x v="1"/>
    <x v="6"/>
    <s v="PWEGPL"/>
    <s v="MSEDCL"/>
    <n v="2.5000000000000001E-2"/>
    <n v="2118"/>
    <x v="293"/>
    <s v="BD"/>
    <d v="1899-12-30T00:00:00"/>
    <d v="1899-12-30T00:00:00"/>
    <d v="1899-12-30T00:24:00"/>
    <n v="0"/>
    <n v="0.4"/>
    <n v="0.4"/>
    <s v="Slipring cleaned."/>
    <s v="Close"/>
    <n v="1.0000000000000002E-2"/>
    <s v="G40"/>
    <n v="3.4466666666666672"/>
    <s v="None"/>
    <s v="WTG Breakdown Maintenance"/>
    <n v="206.8"/>
    <n v="3.4466666666666672"/>
    <m/>
    <m/>
    <m/>
    <m/>
  </r>
  <r>
    <n v="1234"/>
    <x v="160"/>
    <x v="1"/>
    <x v="0"/>
    <x v="5"/>
    <x v="1"/>
    <x v="23"/>
    <s v="PWEGPL"/>
    <s v="MSEDCL"/>
    <n v="2.5000000000000001E-2"/>
    <n v="813"/>
    <x v="376"/>
    <s v="BD"/>
    <d v="1899-12-30T17:34:00"/>
    <d v="1899-12-30T17:34:00"/>
    <d v="1899-12-30T17:39:00"/>
    <n v="0"/>
    <n v="8.3333333333333037E-2"/>
    <n v="8.3333333333333037E-2"/>
    <s v="Reset"/>
    <s v="Close"/>
    <n v="2.0833333333333259E-3"/>
    <s v="G03"/>
    <n v="0.15649112654320876"/>
    <s v="None"/>
    <s v="WTG Breakdown Maintenance"/>
    <n v="45.069444444444287"/>
    <n v="0.15649112654320876"/>
    <m/>
    <m/>
    <m/>
    <m/>
  </r>
  <r>
    <n v="1235"/>
    <x v="160"/>
    <x v="1"/>
    <x v="0"/>
    <x v="5"/>
    <x v="1"/>
    <x v="29"/>
    <s v="PWEGPL"/>
    <s v="MSEDCL"/>
    <n v="2.5000000000000001E-2"/>
    <n v="2118"/>
    <x v="293"/>
    <s v="BD"/>
    <d v="1899-12-30T20:31:00"/>
    <d v="1899-12-30T20:31:00"/>
    <d v="1899-12-30T20:36:00"/>
    <n v="0"/>
    <n v="8.3333333333335702E-2"/>
    <n v="8.3333333333335702E-2"/>
    <s v="Reset"/>
    <s v="Close"/>
    <n v="2.0833333333333927E-3"/>
    <s v="G10"/>
    <n v="0.18518518518519572"/>
    <s v="None"/>
    <s v="WTG Breakdown Maintenance"/>
    <n v="53.333333333334849"/>
    <n v="0.18518518518519572"/>
    <m/>
    <m/>
    <m/>
    <m/>
  </r>
  <r>
    <n v="1236"/>
    <x v="160"/>
    <x v="1"/>
    <x v="0"/>
    <x v="5"/>
    <x v="1"/>
    <x v="18"/>
    <s v="PWEGPL"/>
    <s v="MSEDCL"/>
    <n v="2.5000000000000001E-2"/>
    <n v="205"/>
    <x v="312"/>
    <s v="BD"/>
    <d v="1899-12-30T00:00:00"/>
    <d v="1899-12-30T09:30:00"/>
    <d v="1899-12-30T16:21:00"/>
    <n v="9.5"/>
    <n v="6.8500000000000014"/>
    <n v="16.350000000000001"/>
    <s v="Yaw caliper oil seal replaced."/>
    <s v="Close"/>
    <n v="0.40875000000000006"/>
    <s v="G18"/>
    <n v="7785.767812500002"/>
    <s v="Manpower shortage in night shift, not attended."/>
    <s v="WTG Breakdown Maintenance"/>
    <n v="11428.650000000001"/>
    <n v="7785.767812500002"/>
    <m/>
    <m/>
    <m/>
    <m/>
  </r>
  <r>
    <n v="1237"/>
    <x v="160"/>
    <x v="1"/>
    <x v="0"/>
    <x v="5"/>
    <x v="1"/>
    <x v="19"/>
    <s v="PWEGPL"/>
    <s v="MSEDCL"/>
    <n v="2.5000000000000001E-2"/>
    <n v="1893"/>
    <x v="362"/>
    <s v="BD"/>
    <d v="1899-12-30T10:17:00"/>
    <d v="1899-12-30T10:45:00"/>
    <d v="1899-12-30T10:50:00"/>
    <n v="0.46666666666666767"/>
    <n v="8.3333333333333037E-2"/>
    <n v="0.55000000000000071"/>
    <s v="Reboot &amp; reset"/>
    <s v="Close"/>
    <n v="1.3750000000000019E-2"/>
    <s v="G18"/>
    <n v="8.8103125000000233"/>
    <s v="None"/>
    <s v="WTG Breakdown Maintenance"/>
    <n v="384.4500000000005"/>
    <n v="8.8103125000000233"/>
    <m/>
    <m/>
    <m/>
    <m/>
  </r>
  <r>
    <n v="1238"/>
    <x v="161"/>
    <x v="1"/>
    <x v="0"/>
    <x v="5"/>
    <x v="1"/>
    <x v="24"/>
    <s v="PWEGPL"/>
    <s v="MSEDCL"/>
    <n v="2.5000000000000001E-2"/>
    <n v="2509"/>
    <x v="201"/>
    <s v="BD"/>
    <d v="1899-12-30T08:50:00"/>
    <d v="1899-12-30T11:40:00"/>
    <d v="1899-12-30T12:40:00"/>
    <n v="2.8333333333333326"/>
    <n v="1.0000000000000004"/>
    <n v="3.833333333333333"/>
    <s v="SF6 breaker tripped."/>
    <s v="Close"/>
    <n v="9.5833333333333326E-2"/>
    <s v="G22"/>
    <n v="444.35387731481478"/>
    <s v="Delay due to shift change over - manpower shortage."/>
    <s v="WTG Breakdown Maintenance"/>
    <n v="2782.0416666666665"/>
    <n v="444.35387731481478"/>
    <m/>
    <m/>
    <m/>
    <m/>
  </r>
  <r>
    <n v="1239"/>
    <x v="161"/>
    <x v="1"/>
    <x v="0"/>
    <x v="5"/>
    <x v="1"/>
    <x v="1"/>
    <s v="PWEGPL"/>
    <s v="MSEDCL"/>
    <n v="2.5000000000000001E-2"/>
    <n v="900"/>
    <x v="330"/>
    <s v="BD"/>
    <d v="1899-12-30T08:50:00"/>
    <d v="1899-12-30T09:25:00"/>
    <d v="1899-12-30T09:39:00"/>
    <n v="0.58333333333333259"/>
    <n v="0.23333333333333384"/>
    <n v="0.81666666666666643"/>
    <s v="Reset"/>
    <s v="Close"/>
    <n v="2.0416666666666663E-2"/>
    <s v="G24"/>
    <n v="17.662448881172832"/>
    <s v="Delay due to shift change over - manpower shortage."/>
    <s v="WTG Breakdown Maintenance"/>
    <n v="519.05972222222215"/>
    <n v="17.662448881172832"/>
    <m/>
    <m/>
    <m/>
    <m/>
  </r>
  <r>
    <n v="1240"/>
    <x v="161"/>
    <x v="1"/>
    <x v="0"/>
    <x v="5"/>
    <x v="1"/>
    <x v="12"/>
    <s v="PWEGPL"/>
    <s v="MSEDCL"/>
    <n v="2.5000000000000001E-2"/>
    <n v="700"/>
    <x v="329"/>
    <s v="BD"/>
    <d v="1899-12-30T08:50:00"/>
    <d v="1899-12-30T10:45:00"/>
    <d v="1899-12-30T11:09:00"/>
    <n v="1.9166666666666665"/>
    <n v="0.39999999999999991"/>
    <n v="2.3166666666666664"/>
    <s v="PLC reset"/>
    <s v="Close"/>
    <n v="5.7916666666666665E-2"/>
    <s v="G30"/>
    <n v="134.95629050925922"/>
    <s v="Delay due to shift change over - manpower shortage."/>
    <s v="WTG Breakdown Maintenance"/>
    <n v="1398.1083333333331"/>
    <n v="134.95629050925922"/>
    <m/>
    <m/>
    <m/>
    <m/>
  </r>
  <r>
    <n v="1241"/>
    <x v="161"/>
    <x v="1"/>
    <x v="0"/>
    <x v="5"/>
    <x v="1"/>
    <x v="14"/>
    <s v="PWEGPL"/>
    <s v="MSEDCL"/>
    <n v="2.5000000000000001E-2"/>
    <n v="5222"/>
    <x v="315"/>
    <s v="BD"/>
    <d v="1899-12-30T16:38:00"/>
    <d v="1899-12-30T17:30:00"/>
    <d v="1899-12-30T18:29:00"/>
    <n v="0.86666666666666625"/>
    <n v="0.98333333333333517"/>
    <n v="1.8500000000000014"/>
    <s v="Speed sensor replaced"/>
    <s v="Close"/>
    <n v="4.6250000000000041E-2"/>
    <s v="G35"/>
    <n v="82.413324652777916"/>
    <s v="None"/>
    <s v="WTG Breakdown Maintenance"/>
    <n v="1069.1458333333342"/>
    <n v="82.413324652777916"/>
    <m/>
    <m/>
    <m/>
    <m/>
  </r>
  <r>
    <n v="1242"/>
    <x v="162"/>
    <x v="1"/>
    <x v="0"/>
    <x v="5"/>
    <x v="1"/>
    <x v="18"/>
    <s v="PWEGPL"/>
    <s v="MSEDCL"/>
    <n v="2.5000000000000001E-2"/>
    <n v="502"/>
    <x v="347"/>
    <s v="BD"/>
    <d v="1899-12-30T18:24:00"/>
    <d v="1899-12-30T18:35:00"/>
    <d v="1899-12-30T18:44:00"/>
    <n v="0.18333333333333268"/>
    <n v="0.15000000000000213"/>
    <n v="0.33333333333333481"/>
    <s v="Reset"/>
    <s v="Close"/>
    <n v="8.3333333333333714E-3"/>
    <s v="G20"/>
    <n v="5.1963734567901696"/>
    <s v="None"/>
    <s v="WTG Breakdown Maintenance"/>
    <n v="374.13888888889056"/>
    <n v="5.1963734567901696"/>
    <m/>
    <m/>
    <m/>
    <m/>
  </r>
  <r>
    <n v="1243"/>
    <x v="162"/>
    <x v="1"/>
    <x v="0"/>
    <x v="5"/>
    <x v="1"/>
    <x v="8"/>
    <s v="PWEGPL"/>
    <s v="MSEDCL"/>
    <n v="2.5000000000000001E-2"/>
    <n v="203"/>
    <x v="290"/>
    <s v="BD"/>
    <d v="1899-12-30T19:10:00"/>
    <d v="1899-12-30T21:26:00"/>
    <d v="1899-12-30T21:35:00"/>
    <n v="2.2666666666666666"/>
    <n v="0.1499999999999968"/>
    <n v="2.4166666666666634"/>
    <s v="reset"/>
    <s v="Close"/>
    <n v="6.0416666666666591E-2"/>
    <s v="G25"/>
    <n v="202.78742283950564"/>
    <s v="None"/>
    <s v="WTG Breakdown Maintenance"/>
    <n v="2013.8888888888862"/>
    <n v="202.78742283950564"/>
    <m/>
    <m/>
    <m/>
    <m/>
  </r>
  <r>
    <n v="1244"/>
    <x v="162"/>
    <x v="1"/>
    <x v="0"/>
    <x v="5"/>
    <x v="1"/>
    <x v="16"/>
    <s v="PWEGPL"/>
    <s v="MSEDCL"/>
    <n v="2.5000000000000001E-2"/>
    <n v="402"/>
    <x v="300"/>
    <s v="BD"/>
    <d v="1899-12-30T13:46:00"/>
    <d v="1899-12-30T13:46:00"/>
    <d v="1899-12-30T16:01:00"/>
    <n v="0"/>
    <n v="2.2499999999999973"/>
    <n v="2.2499999999999973"/>
    <s v="Gearbox hose replacment"/>
    <s v="Close"/>
    <n v="5.6249999999999939E-2"/>
    <s v="G35"/>
    <n v="157.95703124999966"/>
    <s v="None"/>
    <s v="WTG Unscheduled Maintenance"/>
    <n v="1684.8749999999982"/>
    <n v="157.95703124999966"/>
    <m/>
    <m/>
    <m/>
    <m/>
  </r>
  <r>
    <n v="1245"/>
    <x v="162"/>
    <x v="1"/>
    <x v="0"/>
    <x v="5"/>
    <x v="1"/>
    <x v="6"/>
    <s v="PWEGPL"/>
    <s v="MSEDCL"/>
    <n v="2.5000000000000001E-2"/>
    <n v="402"/>
    <x v="300"/>
    <s v="BD"/>
    <d v="1899-12-30T12:07:00"/>
    <d v="1899-12-30T12:07:00"/>
    <d v="1899-12-30T13:00:00"/>
    <n v="0"/>
    <n v="0.88333333333333286"/>
    <n v="0.88333333333333286"/>
    <s v="Gearbox hose replacment"/>
    <s v="Close"/>
    <n v="2.2083333333333323E-2"/>
    <s v="G40"/>
    <n v="24.635645254629605"/>
    <s v="None"/>
    <s v="WTG Unscheduled Maintenance"/>
    <n v="669.34583333333296"/>
    <n v="24.635645254629605"/>
    <m/>
    <m/>
    <m/>
    <m/>
  </r>
  <r>
    <n v="1246"/>
    <x v="162"/>
    <x v="1"/>
    <x v="0"/>
    <x v="5"/>
    <x v="1"/>
    <x v="18"/>
    <s v="PWEGPL"/>
    <s v="MSEDCL"/>
    <n v="2.5000000000000001E-2"/>
    <n v="502"/>
    <x v="347"/>
    <s v="BD"/>
    <d v="1899-12-30T20:52:00"/>
    <d v="1899-12-30T21:12:00"/>
    <d v="1899-12-30T21:27:00"/>
    <n v="0.33333333333333215"/>
    <n v="0.24999999999999911"/>
    <n v="0.58333333333333126"/>
    <s v="reset"/>
    <s v="Close"/>
    <n v="1.4583333333333282E-2"/>
    <s v="G20"/>
    <n v="15.913893711419641"/>
    <s v="None"/>
    <s v="WTG Breakdown Maintenance"/>
    <n v="654.74305555555327"/>
    <n v="15.913893711419641"/>
    <m/>
    <m/>
    <m/>
    <m/>
  </r>
  <r>
    <n v="1247"/>
    <x v="163"/>
    <x v="1"/>
    <x v="0"/>
    <x v="5"/>
    <x v="1"/>
    <x v="29"/>
    <s v="PWEGPL"/>
    <s v="MSEDCL"/>
    <n v="2.5000000000000001E-2"/>
    <n v="2118"/>
    <x v="293"/>
    <s v="BD"/>
    <d v="1899-12-30T11:04:00"/>
    <d v="1899-12-30T12:12:00"/>
    <d v="1899-12-30T12:21:00"/>
    <n v="1.1333333333333333"/>
    <n v="0.14999999999999947"/>
    <n v="1.2833333333333328"/>
    <s v="Silpring cleaned"/>
    <s v="Close"/>
    <n v="3.2083333333333318E-2"/>
    <s v="G10"/>
    <n v="66.941429398148088"/>
    <s v="None"/>
    <s v="WTG Breakdown Maintenance"/>
    <n v="1251.8916666666662"/>
    <n v="66.941429398148088"/>
    <m/>
    <m/>
    <m/>
    <m/>
  </r>
  <r>
    <n v="1248"/>
    <x v="163"/>
    <x v="1"/>
    <x v="0"/>
    <x v="5"/>
    <x v="1"/>
    <x v="33"/>
    <s v="PWEGPL"/>
    <s v="MSEDCL"/>
    <n v="2.5000000000000001E-2"/>
    <n v="404"/>
    <x v="352"/>
    <s v="Manual stop"/>
    <d v="1899-12-30T10:30:00"/>
    <d v="1899-12-30T10:30:00"/>
    <d v="1899-12-30T13:44:00"/>
    <n v="0"/>
    <n v="3.2333333333333325"/>
    <n v="3.2333333333333325"/>
    <s v="Gear box cooling fan motor replaced"/>
    <s v="Close"/>
    <n v="8.0833333333333313E-2"/>
    <s v="G22"/>
    <n v="375.05319444444422"/>
    <s v="None"/>
    <s v="WTG Unscheduled Maintenance"/>
    <n v="2783.8999999999992"/>
    <n v="375.05319444444422"/>
    <m/>
    <m/>
    <m/>
    <m/>
  </r>
  <r>
    <n v="1249"/>
    <x v="164"/>
    <x v="1"/>
    <x v="0"/>
    <x v="5"/>
    <x v="1"/>
    <x v="27"/>
    <s v="PWEGPL"/>
    <s v="MSEDCL"/>
    <n v="2.5000000000000001E-2"/>
    <n v="205"/>
    <x v="312"/>
    <s v="BD"/>
    <d v="1899-12-30T16:45:00"/>
    <d v="1899-12-30T17:12:00"/>
    <d v="1899-12-30T17:45:00"/>
    <n v="0.45000000000000107"/>
    <n v="0.55000000000000071"/>
    <n v="1.0000000000000018"/>
    <s v="oil topup"/>
    <s v="Close"/>
    <n v="2.5000000000000046E-2"/>
    <s v="G12"/>
    <n v="33.718750000000121"/>
    <s v="None"/>
    <s v="WTG Breakdown Maintenance"/>
    <n v="809.25000000000148"/>
    <n v="33.718750000000121"/>
    <m/>
    <m/>
    <m/>
    <m/>
  </r>
  <r>
    <n v="1250"/>
    <x v="164"/>
    <x v="1"/>
    <x v="0"/>
    <x v="5"/>
    <x v="1"/>
    <x v="8"/>
    <s v="PWEGPL"/>
    <s v="MSEDCL"/>
    <n v="2.5000000000000001E-2"/>
    <n v="507"/>
    <x v="318"/>
    <s v="BD"/>
    <d v="1899-12-30T10:49:00"/>
    <d v="1899-12-30T10:49:00"/>
    <d v="1899-12-30T15:25:00"/>
    <n v="0"/>
    <n v="4.5999999999999979"/>
    <n v="4.5999999999999979"/>
    <s v="generator cooling fan replaced."/>
    <s v="Close"/>
    <n v="0.11499999999999995"/>
    <s v="G25"/>
    <n v="626.57111111111044"/>
    <s v="None"/>
    <s v="WTG Breakdown Maintenance"/>
    <n v="3269.0666666666648"/>
    <n v="626.57111111111044"/>
    <m/>
    <m/>
    <m/>
    <m/>
  </r>
  <r>
    <n v="1251"/>
    <x v="165"/>
    <x v="1"/>
    <x v="0"/>
    <x v="5"/>
    <x v="1"/>
    <x v="32"/>
    <s v="PWEGPL"/>
    <s v="MSEDCL"/>
    <n v="2.5000000000000001E-2"/>
    <n v="1893"/>
    <x v="362"/>
    <s v="BD"/>
    <d v="1899-12-30T16:54:00"/>
    <d v="1899-12-30T17:03:00"/>
    <d v="1899-12-30T17:08:00"/>
    <n v="0.15000000000000213"/>
    <n v="8.3333333333333037E-2"/>
    <n v="0.23333333333333517"/>
    <s v="reset"/>
    <s v="Close"/>
    <n v="5.8333333333333796E-3"/>
    <s v="G15"/>
    <n v="1.790428240740769"/>
    <s v="None"/>
    <s v="WTG Breakdown Maintenance"/>
    <n v="184.15833333333478"/>
    <n v="1.790428240740769"/>
    <m/>
    <m/>
    <m/>
    <m/>
  </r>
  <r>
    <n v="1252"/>
    <x v="165"/>
    <x v="1"/>
    <x v="0"/>
    <x v="5"/>
    <x v="1"/>
    <x v="6"/>
    <s v="PWEGPL"/>
    <s v="MSEDCL"/>
    <n v="2.5000000000000001E-2"/>
    <n v="2118"/>
    <x v="293"/>
    <s v="BD"/>
    <d v="1899-12-30T07:31:00"/>
    <d v="1899-12-30T09:31:00"/>
    <d v="1899-12-30T13:17:00"/>
    <n v="2.0000000000000009"/>
    <n v="3.7666666666666666"/>
    <n v="5.7666666666666675"/>
    <s v="slipring replaced"/>
    <s v="Close"/>
    <n v="0.14416666666666669"/>
    <s v="G40"/>
    <n v="840.59845679012369"/>
    <s v="Delay due to shift change over - manpower shortage."/>
    <s v="WTG Breakdown Maintenance"/>
    <n v="3498.4444444444448"/>
    <n v="840.59845679012369"/>
    <m/>
    <m/>
    <m/>
    <m/>
  </r>
  <r>
    <n v="1253"/>
    <x v="166"/>
    <x v="1"/>
    <x v="0"/>
    <x v="6"/>
    <x v="1"/>
    <x v="27"/>
    <s v="PWEGPL"/>
    <s v="MSEDCL"/>
    <n v="2.5000000000000001E-2"/>
    <n v="507"/>
    <x v="318"/>
    <s v="BD"/>
    <d v="1899-12-30T17:11:00"/>
    <d v="1899-12-30T17:11:00"/>
    <d v="1899-12-30T18:07:00"/>
    <n v="0"/>
    <n v="0.93333333333333268"/>
    <n v="0.93333333333333268"/>
    <s v="trouble shooting for error retification work of Generator NDE bearing high temperature- greasing done."/>
    <s v="Close"/>
    <n v="2.3333333333333317E-2"/>
    <s v="G12"/>
    <n v="34.995679012345633"/>
    <s v="None"/>
    <s v="WTG Breakdown Maintenance"/>
    <n v="899.88888888888823"/>
    <n v="34.995679012345633"/>
    <m/>
    <m/>
    <m/>
    <m/>
  </r>
  <r>
    <n v="1254"/>
    <x v="167"/>
    <x v="1"/>
    <x v="0"/>
    <x v="6"/>
    <x v="1"/>
    <x v="27"/>
    <s v="PWEGPL"/>
    <s v="MSEDCL"/>
    <n v="2.5000000000000001E-2"/>
    <n v="205"/>
    <x v="312"/>
    <s v="BD"/>
    <d v="1899-12-30T13:05:00"/>
    <d v="1899-12-30T13:28:00"/>
    <d v="1899-12-30T16:41:00"/>
    <n v="0.38333333333333197"/>
    <n v="3.2166666666666659"/>
    <n v="3.5999999999999979"/>
    <s v="Leakage arrested"/>
    <s v="Close"/>
    <n v="8.9999999999999955E-2"/>
    <s v="G12"/>
    <n v="555.43499999999926"/>
    <s v="None"/>
    <s v="WTG Breakdown Maintenance"/>
    <n v="3702.8999999999974"/>
    <n v="555.43499999999926"/>
    <m/>
    <m/>
    <m/>
    <m/>
  </r>
  <r>
    <n v="1255"/>
    <x v="167"/>
    <x v="1"/>
    <x v="0"/>
    <x v="6"/>
    <x v="1"/>
    <x v="30"/>
    <s v="PWEGPL"/>
    <s v="MSEDCL"/>
    <n v="2.5000000000000001E-2"/>
    <n v="205"/>
    <x v="312"/>
    <s v="BD"/>
    <d v="1899-12-30T13:55:00"/>
    <d v="1899-12-30T14:48:00"/>
    <d v="1899-12-30T15:29:00"/>
    <n v="0.88333333333333552"/>
    <n v="0.68333333333333091"/>
    <n v="1.5666666666666664"/>
    <s v="Oil topup"/>
    <s v="Close"/>
    <n v="3.9166666666666662E-2"/>
    <s v="G13"/>
    <n v="117.11449845679009"/>
    <s v="None"/>
    <s v="WTG Breakdown Maintenance"/>
    <n v="1794.0944444444442"/>
    <n v="117.11449845679009"/>
    <m/>
    <m/>
    <m/>
    <m/>
  </r>
  <r>
    <n v="1256"/>
    <x v="167"/>
    <x v="1"/>
    <x v="0"/>
    <x v="6"/>
    <x v="1"/>
    <x v="34"/>
    <s v="PWEGPL"/>
    <s v="MSEDCL"/>
    <n v="2.5000000000000001E-2"/>
    <n v="205"/>
    <x v="312"/>
    <s v="BD"/>
    <d v="1899-12-30T14:45:00"/>
    <d v="1899-12-30T16:06:00"/>
    <d v="1899-12-30T16:28:00"/>
    <n v="1.3500000000000005"/>
    <n v="0.3666666666666627"/>
    <n v="1.7166666666666632"/>
    <s v="Oil topup"/>
    <s v="Close"/>
    <n v="4.2916666666666582E-2"/>
    <s v="G21"/>
    <n v="120.04705632716002"/>
    <s v="None"/>
    <s v="WTG Breakdown Maintenance"/>
    <n v="1678.3277777777744"/>
    <n v="120.04705632716002"/>
    <m/>
    <m/>
    <m/>
    <m/>
  </r>
  <r>
    <n v="1257"/>
    <x v="167"/>
    <x v="1"/>
    <x v="0"/>
    <x v="6"/>
    <x v="1"/>
    <x v="34"/>
    <s v="PWEGPL"/>
    <s v="MSEDCL"/>
    <n v="2.5000000000000001E-2"/>
    <n v="412"/>
    <x v="336"/>
    <s v="BD"/>
    <d v="1899-12-30T16:28:00"/>
    <d v="1899-12-30T17:58:00"/>
    <d v="1899-12-30T18:29:00"/>
    <n v="1.5"/>
    <n v="0.51666666666667016"/>
    <n v="2.0166666666666702"/>
    <s v=" MCB charged"/>
    <s v="Close"/>
    <n v="5.0416666666666755E-2"/>
    <s v="G21"/>
    <n v="165.67150077160551"/>
    <s v="None"/>
    <s v="WTG Breakdown Maintenance"/>
    <n v="1971.6277777777811"/>
    <n v="165.67150077160551"/>
    <m/>
    <m/>
    <m/>
    <m/>
  </r>
  <r>
    <n v="1258"/>
    <x v="168"/>
    <x v="1"/>
    <x v="0"/>
    <x v="6"/>
    <x v="1"/>
    <x v="22"/>
    <s v="PWEGPL"/>
    <s v="MSEDCL"/>
    <n v="2.5000000000000001E-2"/>
    <n v="552"/>
    <x v="304"/>
    <s v="BD"/>
    <d v="1899-12-30T00:00:00"/>
    <d v="1899-12-30T00:45:00"/>
    <d v="1899-12-30T01:43:00"/>
    <n v="0.75"/>
    <n v="0.9666666666666669"/>
    <n v="1.7166666666666668"/>
    <s v="earthing bus changed"/>
    <s v="Close"/>
    <n v="4.2916666666666672E-2"/>
    <s v="G04"/>
    <n v="99.766348379629648"/>
    <s v="None"/>
    <s v="WTG Breakdown Maintenance"/>
    <n v="1394.7916666666667"/>
    <n v="99.766348379629648"/>
    <m/>
    <m/>
    <m/>
    <m/>
  </r>
  <r>
    <n v="1259"/>
    <x v="168"/>
    <x v="1"/>
    <x v="0"/>
    <x v="6"/>
    <x v="1"/>
    <x v="18"/>
    <s v="PWEGPL"/>
    <s v="MSEDCL"/>
    <n v="2.5000000000000001E-2"/>
    <n v="115"/>
    <x v="308"/>
    <s v="Manual stop"/>
    <d v="1899-12-30T10:52:00"/>
    <d v="1899-12-30T10:52:00"/>
    <d v="1899-12-30T16:24:00"/>
    <n v="0"/>
    <n v="5.5333333333333314"/>
    <n v="5.5333333333333314"/>
    <s v="Yaw caliper seal replaced"/>
    <s v="Close"/>
    <n v="0.13833333333333328"/>
    <s v="G18"/>
    <n v="1125.2033333333327"/>
    <s v="None"/>
    <s v="WTG Unscheduled Maintenance"/>
    <n v="4880.3999999999987"/>
    <n v="1125.2033333333327"/>
    <m/>
    <m/>
    <m/>
    <m/>
  </r>
  <r>
    <n v="1260"/>
    <x v="168"/>
    <x v="1"/>
    <x v="0"/>
    <x v="6"/>
    <x v="1"/>
    <x v="19"/>
    <s v="PWEGPL"/>
    <s v="MSEDCL"/>
    <n v="2.5000000000000001E-2"/>
    <n v="205"/>
    <x v="312"/>
    <s v="BD"/>
    <d v="1899-12-30T08:18:00"/>
    <d v="1899-12-30T09:57:00"/>
    <d v="1899-12-30T10:18:00"/>
    <n v="1.6499999999999981"/>
    <n v="0.35000000000000142"/>
    <n v="1.9999999999999996"/>
    <s v="oil topup done."/>
    <s v="Close"/>
    <n v="4.9999999999999989E-2"/>
    <s v="G18"/>
    <n v="146.99999999999994"/>
    <s v="None"/>
    <s v="WTG Breakdown Maintenance"/>
    <n v="1763.9999999999995"/>
    <n v="146.99999999999994"/>
    <m/>
    <m/>
    <m/>
    <m/>
  </r>
  <r>
    <n v="1261"/>
    <x v="168"/>
    <x v="1"/>
    <x v="0"/>
    <x v="6"/>
    <x v="1"/>
    <x v="5"/>
    <s v="PWEGPL"/>
    <s v="MSEDCL"/>
    <n v="2.5000000000000001E-2"/>
    <n v="507"/>
    <x v="318"/>
    <s v="Manual stop"/>
    <d v="1899-12-30T11:36:00"/>
    <d v="1899-12-30T11:36:00"/>
    <d v="1899-12-30T11:56:00"/>
    <n v="0"/>
    <n v="0.33333333333333348"/>
    <n v="0.33333333333333348"/>
    <s v="Warning attend generator thermal relay fan."/>
    <s v="Close"/>
    <n v="8.3333333333333367E-3"/>
    <s v="G39"/>
    <n v="3.0073302469135834"/>
    <s v="None"/>
    <s v="WTG Unscheduled Maintenance"/>
    <n v="216.52777777777789"/>
    <n v="3.0073302469135834"/>
    <m/>
    <m/>
    <m/>
    <m/>
  </r>
  <r>
    <n v="1262"/>
    <x v="168"/>
    <x v="1"/>
    <x v="0"/>
    <x v="6"/>
    <x v="1"/>
    <x v="19"/>
    <s v="PWEGPL"/>
    <s v="MSEDCL"/>
    <n v="2.5000000000000001E-2"/>
    <n v="1893"/>
    <x v="362"/>
    <s v="BD"/>
    <d v="1899-12-30T22:52:00"/>
    <d v="1899-12-30T23:15:00"/>
    <d v="1899-12-30T23:22:00"/>
    <n v="0.38333333333333197"/>
    <n v="0.11666666666666625"/>
    <n v="0.49999999999999822"/>
    <s v="reset"/>
    <s v="Close"/>
    <n v="1.2499999999999956E-2"/>
    <s v="G18"/>
    <n v="9.1874999999999343"/>
    <s v="None"/>
    <s v="WTG Breakdown Maintenance"/>
    <n v="440.99999999999841"/>
    <n v="9.1874999999999343"/>
    <m/>
    <m/>
    <m/>
    <m/>
  </r>
  <r>
    <n v="1263"/>
    <x v="169"/>
    <x v="1"/>
    <x v="0"/>
    <x v="6"/>
    <x v="1"/>
    <x v="25"/>
    <s v="PWEGPL"/>
    <s v="MSEDCL"/>
    <n v="2.5000000000000001E-2"/>
    <n v="115"/>
    <x v="308"/>
    <s v="BD"/>
    <d v="1899-12-30T10:54:00"/>
    <d v="1899-12-30T10:54:00"/>
    <d v="1899-12-30T15:28:00"/>
    <n v="0"/>
    <n v="4.5666666666666682"/>
    <n v="4.5666666666666682"/>
    <s v="Yaw caliper seal replaced"/>
    <s v="Close"/>
    <n v="0.11416666666666671"/>
    <s v="G08"/>
    <n v="919.11619212963024"/>
    <s v="None"/>
    <s v="WTG Breakdown Maintenance"/>
    <n v="4830.3916666666682"/>
    <n v="919.11619212963024"/>
    <m/>
    <m/>
    <m/>
    <m/>
  </r>
  <r>
    <n v="1264"/>
    <x v="169"/>
    <x v="1"/>
    <x v="0"/>
    <x v="6"/>
    <x v="1"/>
    <x v="19"/>
    <s v="PWEGPL"/>
    <s v="MSEDCL"/>
    <n v="2.5000000000000001E-2"/>
    <n v="5201"/>
    <x v="299"/>
    <s v="BD"/>
    <d v="1899-12-30T18:57:00"/>
    <m/>
    <d v="1899-12-30T21:13:00"/>
    <s v=""/>
    <n v="21.216666666666665"/>
    <n v="2.2666666666666666"/>
    <s v="Reset &amp; Rebot"/>
    <s v="Close"/>
    <n v="5.6666666666666671E-2"/>
    <s v="G19"/>
    <n v="226.27629629629629"/>
    <s v="None"/>
    <s v="WTG Breakdown Maintenance"/>
    <n v="2395.8666666666668"/>
    <n v="226.27629629629629"/>
    <m/>
    <m/>
    <m/>
    <m/>
  </r>
  <r>
    <n v="1265"/>
    <x v="169"/>
    <x v="1"/>
    <x v="0"/>
    <x v="6"/>
    <x v="1"/>
    <x v="16"/>
    <s v="PWEGPL"/>
    <s v="MSEDCL"/>
    <n v="2.5000000000000001E-2"/>
    <n v="426"/>
    <x v="353"/>
    <s v="BD"/>
    <d v="1899-12-30T08:49:00"/>
    <m/>
    <d v="1899-12-30T08:54:00"/>
    <s v=""/>
    <n v="8.9"/>
    <n v="8.333333333333437E-2"/>
    <s v="Reset"/>
    <s v="Close"/>
    <n v="2.0833333333333593E-3"/>
    <s v="G35"/>
    <n v="0.20601851851852365"/>
    <s v="None"/>
    <s v="WTG Breakdown Maintenance"/>
    <n v="59.333333333334068"/>
    <n v="0.20601851851852365"/>
    <m/>
    <m/>
    <m/>
    <m/>
  </r>
  <r>
    <n v="1266"/>
    <x v="169"/>
    <x v="1"/>
    <x v="0"/>
    <x v="6"/>
    <x v="1"/>
    <x v="16"/>
    <s v="PWEGPL"/>
    <s v="MSEDCL"/>
    <n v="2.5000000000000001E-2"/>
    <n v="426"/>
    <x v="353"/>
    <s v="BD"/>
    <d v="1899-12-30T12:12:00"/>
    <m/>
    <d v="1899-12-30T12:17:00"/>
    <s v=""/>
    <n v="12.283333333333331"/>
    <n v="8.3333333333333037E-2"/>
    <s v="Reset"/>
    <s v="Close"/>
    <n v="2.0833333333333259E-3"/>
    <s v="G35"/>
    <n v="0.20601851851851705"/>
    <s v="None"/>
    <s v="WTG Breakdown Maintenance"/>
    <n v="59.333333333333123"/>
    <n v="0.20601851851851705"/>
    <m/>
    <m/>
    <m/>
    <m/>
  </r>
  <r>
    <n v="1267"/>
    <x v="169"/>
    <x v="1"/>
    <x v="0"/>
    <x v="6"/>
    <x v="1"/>
    <x v="16"/>
    <s v="PWEGPL"/>
    <s v="MSEDCL"/>
    <n v="2.5000000000000001E-2"/>
    <s v="CE100001"/>
    <x v="288"/>
    <s v="Manual stop"/>
    <d v="1899-12-30T15:07:00"/>
    <d v="1899-12-30T15:07:00"/>
    <d v="1899-12-30T16:05:00"/>
    <n v="0"/>
    <n v="0.9666666666666659"/>
    <n v="0.9666666666666659"/>
    <s v="S-reading sensor replaced"/>
    <s v="Close"/>
    <n v="2.4166666666666649E-2"/>
    <s v="G35"/>
    <n v="27.721851851851806"/>
    <s v="None"/>
    <s v="IG Unscheduled Maintenance"/>
    <n v="688.26666666666608"/>
    <n v="27.721851851851806"/>
    <m/>
    <m/>
    <m/>
    <m/>
  </r>
  <r>
    <n v="1268"/>
    <x v="169"/>
    <x v="1"/>
    <x v="0"/>
    <x v="6"/>
    <x v="1"/>
    <x v="6"/>
    <s v="PWEGPL"/>
    <s v="MSEDCL"/>
    <n v="2.5000000000000001E-2"/>
    <n v="5210"/>
    <x v="371"/>
    <s v="BD"/>
    <d v="1899-12-30T02:20:00"/>
    <m/>
    <d v="1899-12-30T05:21:00"/>
    <s v=""/>
    <n v="5.35"/>
    <n v="3.0166666666666666"/>
    <s v="MPCB replaced"/>
    <s v="Close"/>
    <n v="7.5416666666666674E-2"/>
    <s v="G40"/>
    <n v="290.75071518132717"/>
    <s v="None"/>
    <s v="WTG Breakdown Maintenance"/>
    <n v="2313.1548611111111"/>
    <n v="290.75071518132717"/>
    <m/>
    <m/>
    <m/>
    <m/>
  </r>
  <r>
    <n v="1269"/>
    <x v="170"/>
    <x v="1"/>
    <x v="0"/>
    <x v="6"/>
    <x v="1"/>
    <x v="19"/>
    <s v="PWEGPL"/>
    <s v="MSEDCL"/>
    <n v="2.5000000000000001E-2"/>
    <n v="118"/>
    <x v="313"/>
    <s v="BD"/>
    <d v="1899-12-30T13:02:00"/>
    <m/>
    <d v="1899-12-30T13:12:00"/>
    <s v=""/>
    <n v="13.2"/>
    <n v="0.16666666666666607"/>
    <s v="Yaw motor replaced"/>
    <s v="Close"/>
    <n v="4.1666666666666519E-3"/>
    <s v="G19"/>
    <n v="1.2810570987654228"/>
    <s v="None"/>
    <s v="WTG Breakdown Maintenance"/>
    <n v="184.47222222222155"/>
    <n v="1.2810570987654228"/>
    <m/>
    <m/>
    <m/>
    <m/>
  </r>
  <r>
    <n v="1270"/>
    <x v="170"/>
    <x v="1"/>
    <x v="0"/>
    <x v="6"/>
    <x v="1"/>
    <x v="19"/>
    <s v="PWEGPL"/>
    <s v="MSEDCL"/>
    <n v="2.5000000000000001E-2"/>
    <n v="118"/>
    <x v="313"/>
    <s v="BD"/>
    <d v="1899-12-30T13:57:00"/>
    <m/>
    <d v="1899-12-30T14:02:00"/>
    <s v=""/>
    <n v="14.033333333333335"/>
    <n v="8.3333333333335702E-2"/>
    <s v="Reset &amp; Rebot"/>
    <s v="Close"/>
    <n v="2.0833333333333927E-3"/>
    <s v="G19"/>
    <n v="0.32026427469137625"/>
    <s v="None"/>
    <s v="WTG Breakdown Maintenance"/>
    <n v="92.236111111113729"/>
    <n v="0.32026427469137625"/>
    <m/>
    <m/>
    <m/>
    <m/>
  </r>
  <r>
    <n v="1271"/>
    <x v="170"/>
    <x v="1"/>
    <x v="0"/>
    <x v="6"/>
    <x v="1"/>
    <x v="19"/>
    <s v="PWEGPL"/>
    <s v="MSEDCL"/>
    <n v="2.5000000000000001E-2"/>
    <s v="CE100001"/>
    <x v="288"/>
    <s v="Manual stop"/>
    <d v="1899-12-30T14:13:00"/>
    <d v="1899-12-30T14:13:00"/>
    <d v="1899-12-30T15:52:00"/>
    <n v="0"/>
    <n v="1.6499999999999995"/>
    <n v="1.6499999999999995"/>
    <s v="Reset &amp; Rebot"/>
    <s v="Close"/>
    <n v="4.1249999999999988E-2"/>
    <s v="G19"/>
    <n v="125.55640624999991"/>
    <s v="None"/>
    <s v="WTG Unscheduled Maintenance"/>
    <n v="1826.2749999999992"/>
    <n v="125.55640624999991"/>
    <m/>
    <m/>
    <m/>
    <m/>
  </r>
  <r>
    <n v="1272"/>
    <x v="170"/>
    <x v="1"/>
    <x v="0"/>
    <x v="6"/>
    <x v="1"/>
    <x v="10"/>
    <s v="PWEGPL"/>
    <s v="MSEDCL"/>
    <n v="2.5000000000000001E-2"/>
    <n v="5216"/>
    <x v="306"/>
    <s v="FM"/>
    <d v="1899-12-30T01:17:00"/>
    <d v="1899-12-30T02:00:00"/>
    <d v="1899-12-30T04:39:00"/>
    <n v="0.71666666666666656"/>
    <n v="2.6500000000000004"/>
    <n v="3.3666666666666667"/>
    <s v="FM- unkwon person opened isolator &amp; theft the eathing cable"/>
    <s v="Close"/>
    <n v="8.4166666666666667E-2"/>
    <s v="G30"/>
    <n v="415.55694058641973"/>
    <s v="FM- unkwon person opened isolator &amp; theft the eathing cable - closed isolator and start WTG"/>
    <s v="WTG Force Majeaure"/>
    <n v="2962.3861111111109"/>
    <n v="415.55694058641973"/>
    <m/>
    <m/>
    <m/>
    <m/>
  </r>
  <r>
    <n v="1273"/>
    <x v="171"/>
    <x v="1"/>
    <x v="0"/>
    <x v="6"/>
    <x v="1"/>
    <x v="37"/>
    <s v="PWEGPL"/>
    <s v="MSEDCL"/>
    <n v="2.5000000000000001E-2"/>
    <n v="125"/>
    <x v="343"/>
    <s v="BD"/>
    <d v="1899-12-30T16:48:00"/>
    <m/>
    <d v="1899-12-30T18:24:00"/>
    <s v=""/>
    <n v="18.399999999999999"/>
    <n v="1.599999999999997"/>
    <s v="Reset"/>
    <s v="Close"/>
    <n v="3.9999999999999925E-2"/>
    <s v="G17"/>
    <n v="129.06666666666618"/>
    <s v="None"/>
    <s v="WTG Breakdown Maintenance"/>
    <n v="1935.9999999999964"/>
    <n v="129.06666666666618"/>
    <m/>
    <m/>
    <m/>
    <m/>
  </r>
  <r>
    <n v="1274"/>
    <x v="172"/>
    <x v="1"/>
    <x v="0"/>
    <x v="6"/>
    <x v="1"/>
    <x v="23"/>
    <s v="PWEGPL"/>
    <s v="MSEDCL"/>
    <n v="2.5000000000000001E-2"/>
    <s v="CE100001"/>
    <x v="288"/>
    <s v="Manual stop"/>
    <d v="1899-12-30T10:00:00"/>
    <d v="1899-12-30T10:00:00"/>
    <d v="1899-12-30T10:07:00"/>
    <n v="0"/>
    <n v="0.11666666666666625"/>
    <n v="0.11666666666666625"/>
    <s v="Cable theft checking"/>
    <s v="Close"/>
    <n v="2.9166666666666564E-3"/>
    <s v="G03"/>
    <n v="0.61869116512345246"/>
    <s v="None"/>
    <s v="WTG Unscheduled Maintenance"/>
    <n v="127.27361111111067"/>
    <n v="0.61869116512345246"/>
    <m/>
    <m/>
    <m/>
    <m/>
  </r>
  <r>
    <n v="1275"/>
    <x v="172"/>
    <x v="1"/>
    <x v="0"/>
    <x v="6"/>
    <x v="1"/>
    <x v="26"/>
    <s v="PWEGPL"/>
    <s v="MSEDCL"/>
    <n v="2.5000000000000001E-2"/>
    <s v="CE100001"/>
    <x v="288"/>
    <s v="Manual stop"/>
    <d v="1899-12-30T12:03:00"/>
    <d v="1899-12-30T12:03:00"/>
    <d v="1899-12-30T12:28:00"/>
    <n v="0"/>
    <n v="0.41666666666666785"/>
    <n v="0.41666666666666785"/>
    <s v="Cable theft checking"/>
    <s v="Close"/>
    <n v="1.0416666666666697E-2"/>
    <s v="G06"/>
    <n v="6.6204306520062106"/>
    <s v="None"/>
    <s v="WTG Unscheduled Maintenance"/>
    <n v="381.33680555555668"/>
    <n v="6.6204306520062106"/>
    <m/>
    <m/>
    <m/>
    <m/>
  </r>
  <r>
    <n v="1276"/>
    <x v="172"/>
    <x v="1"/>
    <x v="0"/>
    <x v="6"/>
    <x v="1"/>
    <x v="37"/>
    <s v="PWEGPL"/>
    <s v="MSEDCL"/>
    <n v="2.5000000000000001E-2"/>
    <n v="118"/>
    <x v="313"/>
    <s v="Manual stop"/>
    <d v="1899-12-30T11:30:00"/>
    <d v="1899-12-30T11:30:00"/>
    <d v="1899-12-30T13:03:00"/>
    <n v="0"/>
    <n v="1.5500000000000012"/>
    <n v="1.5500000000000012"/>
    <s v="Yaw motor replaced"/>
    <s v="Close"/>
    <n v="3.8750000000000034E-2"/>
    <s v="G15"/>
    <n v="126.52332465277796"/>
    <s v="None"/>
    <s v="WTG Unscheduled Maintenance"/>
    <n v="1959.0708333333348"/>
    <n v="126.52332465277796"/>
    <m/>
    <m/>
    <m/>
    <m/>
  </r>
  <r>
    <n v="1277"/>
    <x v="172"/>
    <x v="1"/>
    <x v="0"/>
    <x v="6"/>
    <x v="1"/>
    <x v="37"/>
    <s v="PWEGPL"/>
    <s v="MSEDCL"/>
    <n v="2.5000000000000001E-2"/>
    <n v="102"/>
    <x v="337"/>
    <s v="BD"/>
    <d v="1899-12-30T13:52:00"/>
    <m/>
    <d v="1899-12-30T16:26:00"/>
    <s v=""/>
    <n v="16.433333333333334"/>
    <n v="2.5666666666666655"/>
    <s v="Yaw motor replaced"/>
    <s v="Close"/>
    <n v="6.4166666666666636E-2"/>
    <s v="G15"/>
    <n v="346.93342206790095"/>
    <s v="None"/>
    <s v="WTG Breakdown Maintenance"/>
    <n v="3244.0527777777766"/>
    <n v="346.93342206790095"/>
    <m/>
    <m/>
    <m/>
    <m/>
  </r>
  <r>
    <n v="1278"/>
    <x v="173"/>
    <x v="1"/>
    <x v="0"/>
    <x v="6"/>
    <x v="1"/>
    <x v="38"/>
    <s v="PWEGPL"/>
    <s v="MSEDCL"/>
    <n v="2.5000000000000001E-2"/>
    <n v="421"/>
    <x v="364"/>
    <s v="BD"/>
    <d v="1899-12-30T13:56:00"/>
    <d v="1899-12-30T13:56:00"/>
    <d v="1899-12-30T14:14:00"/>
    <n v="0"/>
    <n v="0.29999999999999893"/>
    <n v="0.29999999999999893"/>
    <s v="Gearbox valve replaced"/>
    <s v="Close"/>
    <n v="7.4999999999999737E-3"/>
    <s v="G19"/>
    <n v="3.5290624999999753"/>
    <s v="None"/>
    <s v="WTG Unscheduled Maintenance"/>
    <n v="282.32499999999902"/>
    <n v="3.5290624999999753"/>
    <m/>
    <m/>
    <m/>
    <m/>
  </r>
  <r>
    <n v="1279"/>
    <x v="173"/>
    <x v="1"/>
    <x v="0"/>
    <x v="6"/>
    <x v="1"/>
    <x v="5"/>
    <s v="PWEGPL"/>
    <s v="MSEDCL"/>
    <n v="2.5000000000000001E-2"/>
    <n v="507"/>
    <x v="318"/>
    <s v="Manual stop"/>
    <d v="1899-12-30T10:35:00"/>
    <d v="1899-12-30T10:35:00"/>
    <d v="1899-12-30T12:27:00"/>
    <n v="0"/>
    <n v="1.866666666666664"/>
    <n v="1.866666666666664"/>
    <s v="generator cooling motor replaced"/>
    <s v="Close"/>
    <n v="4.6666666666666606E-2"/>
    <s v="G39"/>
    <n v="74.492098765431891"/>
    <s v="None"/>
    <s v="WTG Unscheduled Maintenance"/>
    <n v="957.75555555555422"/>
    <n v="74.492098765431891"/>
    <m/>
    <m/>
    <m/>
    <m/>
  </r>
  <r>
    <n v="1280"/>
    <x v="174"/>
    <x v="1"/>
    <x v="0"/>
    <x v="6"/>
    <x v="1"/>
    <x v="15"/>
    <s v="PWEGPL"/>
    <s v="MSEDCL"/>
    <n v="2.5000000000000001E-2"/>
    <n v="5263"/>
    <x v="311"/>
    <s v="BD"/>
    <d v="1899-12-30T08:20:00"/>
    <m/>
    <d v="1899-12-30T14:00:00"/>
    <s v=""/>
    <n v="14"/>
    <n v="5.6666666666666661"/>
    <s v="Slipring cleaned"/>
    <s v="Close"/>
    <n v="0.14166666666666666"/>
    <s v="G36"/>
    <n v="638.71006944444423"/>
    <s v="None"/>
    <s v="WTG Breakdown Maintenance"/>
    <n v="2705.1249999999995"/>
    <n v="638.71006944444423"/>
    <m/>
    <m/>
    <m/>
    <m/>
  </r>
  <r>
    <n v="1281"/>
    <x v="174"/>
    <x v="1"/>
    <x v="0"/>
    <x v="6"/>
    <x v="1"/>
    <x v="5"/>
    <s v="PWEGPL"/>
    <s v="MSEDCL"/>
    <n v="2.5000000000000001E-2"/>
    <n v="119"/>
    <x v="344"/>
    <s v="Manual stop"/>
    <d v="1899-12-30T10:58:00"/>
    <d v="1899-12-30T10:58:00"/>
    <d v="1899-12-30T15:50:00"/>
    <n v="0"/>
    <n v="4.8666666666666671"/>
    <n v="4.8666666666666671"/>
    <s v="Yaw caliper seal replacement"/>
    <s v="Close"/>
    <n v="0.12166666666666669"/>
    <s v="G39"/>
    <n v="358.22722222222228"/>
    <s v="None"/>
    <s v="WTG Unscheduled Maintenance"/>
    <n v="1766.6000000000001"/>
    <n v="358.22722222222228"/>
    <m/>
    <m/>
    <m/>
    <m/>
  </r>
  <r>
    <n v="1282"/>
    <x v="175"/>
    <x v="1"/>
    <x v="0"/>
    <x v="6"/>
    <x v="1"/>
    <x v="31"/>
    <s v="PWEGPL"/>
    <s v="MSEDCL"/>
    <n v="2.5000000000000001E-2"/>
    <n v="2509"/>
    <x v="201"/>
    <s v="BD"/>
    <d v="1899-12-30T07:27:00"/>
    <m/>
    <d v="1899-12-30T10:00:00"/>
    <s v=""/>
    <n v="10"/>
    <n v="2.5500000000000003"/>
    <s v="SF6 Breaker charged"/>
    <s v="Close"/>
    <n v="6.3750000000000015E-2"/>
    <s v="G14"/>
    <n v="82.737539062500019"/>
    <s v="None"/>
    <s v="WTG Breakdown Maintenance"/>
    <n v="778.70625000000007"/>
    <n v="82.737539062500019"/>
    <m/>
    <m/>
    <m/>
    <m/>
  </r>
  <r>
    <n v="1283"/>
    <x v="175"/>
    <x v="1"/>
    <x v="0"/>
    <x v="6"/>
    <x v="1"/>
    <x v="18"/>
    <s v="PWEGPL"/>
    <s v="MSEDCL"/>
    <n v="2.5000000000000001E-2"/>
    <n v="2509"/>
    <x v="201"/>
    <s v="BD"/>
    <d v="1899-12-30T07:27:00"/>
    <m/>
    <d v="1899-12-30T23:59:00"/>
    <s v=""/>
    <n v="23.983333333333334"/>
    <n v="16.533333333333331"/>
    <s v="SF6 breaker failed- material shortage"/>
    <s v="Open"/>
    <n v="0.41333333333333333"/>
    <s v="G18"/>
    <n v="3446.786666666666"/>
    <s v="Material shortage SF6 breaker"/>
    <s v="WTG Breakdown Maintenance"/>
    <n v="5003.3999999999996"/>
    <n v="3446.786666666666"/>
    <m/>
    <m/>
    <m/>
    <m/>
  </r>
  <r>
    <n v="1284"/>
    <x v="175"/>
    <x v="1"/>
    <x v="0"/>
    <x v="6"/>
    <x v="1"/>
    <x v="8"/>
    <s v="PWEGPL"/>
    <s v="MSEDCL"/>
    <n v="2.5000000000000001E-2"/>
    <n v="1894"/>
    <x v="325"/>
    <s v="BD"/>
    <d v="1899-12-30T06:40:00"/>
    <m/>
    <d v="1899-12-30T07:42:00"/>
    <s v=""/>
    <n v="7.7000000000000011"/>
    <n v="1.0333333333333337"/>
    <s v="MCB charged"/>
    <s v="Close"/>
    <n v="2.5833333333333344E-2"/>
    <s v="G25"/>
    <n v="14.626331018518528"/>
    <s v="None"/>
    <s v="WTG Breakdown Maintenance"/>
    <n v="339.70833333333343"/>
    <n v="14.626331018518528"/>
    <m/>
    <m/>
    <m/>
    <m/>
  </r>
  <r>
    <n v="1285"/>
    <x v="175"/>
    <x v="1"/>
    <x v="0"/>
    <x v="6"/>
    <x v="1"/>
    <x v="5"/>
    <s v="PWEGPL"/>
    <s v="MSEDCL"/>
    <n v="2.5000000000000001E-2"/>
    <n v="5202"/>
    <x v="377"/>
    <s v="BD"/>
    <d v="1899-12-30T10:36:00"/>
    <m/>
    <d v="1899-12-30T15:30:00"/>
    <s v=""/>
    <n v="15.5"/>
    <n v="4.9000000000000012"/>
    <s v="Relay loose contact tightened"/>
    <s v="Close"/>
    <n v="0.12250000000000004"/>
    <s v="G39"/>
    <n v="249.68732638888901"/>
    <s v="None"/>
    <s v="WTG Breakdown Maintenance"/>
    <n v="1222.9583333333337"/>
    <n v="249.68732638888901"/>
    <m/>
    <m/>
    <m/>
    <m/>
  </r>
  <r>
    <n v="1286"/>
    <x v="176"/>
    <x v="1"/>
    <x v="0"/>
    <x v="6"/>
    <x v="1"/>
    <x v="21"/>
    <s v="PWEGPL"/>
    <s v="MSEDCL"/>
    <n v="2.5000000000000001E-2"/>
    <n v="119"/>
    <x v="344"/>
    <s v="BD"/>
    <d v="1899-12-30T17:00:00"/>
    <m/>
    <d v="1899-12-30T18:30:00"/>
    <s v=""/>
    <n v="18.5"/>
    <n v="1.5"/>
    <m/>
    <s v="Close"/>
    <n v="3.7500000000000006E-2"/>
    <s v="G01"/>
    <n v="377.4375"/>
    <s v="None"/>
    <s v="WTG Breakdown Maintenance"/>
    <n v="6039"/>
    <n v="377.4375"/>
    <m/>
    <m/>
    <m/>
    <m/>
  </r>
  <r>
    <n v="1287"/>
    <x v="176"/>
    <x v="1"/>
    <x v="0"/>
    <x v="6"/>
    <x v="1"/>
    <x v="23"/>
    <s v="PWEGPL"/>
    <s v="MSEDCL"/>
    <n v="2.5000000000000001E-2"/>
    <n v="204"/>
    <x v="378"/>
    <s v="BD"/>
    <d v="1899-12-30T12:25:00"/>
    <m/>
    <d v="1899-12-30T14:00:00"/>
    <s v=""/>
    <n v="14"/>
    <n v="1.5833333333333357"/>
    <m/>
    <s v="Close"/>
    <n v="3.9583333333333394E-2"/>
    <s v="G03"/>
    <n v="410.67708333333394"/>
    <s v="None"/>
    <s v="WTG Breakdown Maintenance"/>
    <n v="6225"/>
    <n v="410.67708333333394"/>
    <m/>
    <m/>
    <m/>
    <m/>
  </r>
  <r>
    <n v="1288"/>
    <x v="176"/>
    <x v="1"/>
    <x v="0"/>
    <x v="6"/>
    <x v="1"/>
    <x v="39"/>
    <s v="PWEGPL"/>
    <s v="MSEDCL"/>
    <n v="2.5000000000000001E-2"/>
    <s v="CE100014"/>
    <x v="305"/>
    <s v="Manual stop"/>
    <d v="1899-12-30T11:00:00"/>
    <d v="1899-12-30T11:00:00"/>
    <d v="1899-12-30T19:50:00"/>
    <n v="0"/>
    <n v="8.8333333333333321"/>
    <n v="8.8333333333333321"/>
    <s v="TCA audit done"/>
    <s v="Close"/>
    <n v="0.22083333333333333"/>
    <s v="G06"/>
    <n v="3192.5138888888887"/>
    <s v="None"/>
    <s v="WTG Unscheduled Maintenance"/>
    <n v="8674"/>
    <n v="3192.5138888888887"/>
    <m/>
    <m/>
    <m/>
    <m/>
  </r>
  <r>
    <n v="1289"/>
    <x v="176"/>
    <x v="1"/>
    <x v="0"/>
    <x v="6"/>
    <x v="1"/>
    <x v="37"/>
    <s v="PWEGPL"/>
    <s v="MSEDCL"/>
    <n v="2.5000000000000001E-2"/>
    <s v="CE100014"/>
    <x v="305"/>
    <s v="Manual stop"/>
    <d v="1899-12-30T10:58:00"/>
    <d v="1899-12-30T10:58:00"/>
    <d v="1899-12-30T18:40:00"/>
    <n v="0"/>
    <n v="7.7000000000000011"/>
    <n v="7.7000000000000011"/>
    <s v="TCA audit done"/>
    <s v="Close"/>
    <n v="0.19250000000000003"/>
    <s v="G17"/>
    <n v="2778.416666666667"/>
    <s v="None"/>
    <s v="WTG Unscheduled Maintenance"/>
    <n v="8660"/>
    <n v="2778.416666666667"/>
    <m/>
    <m/>
    <m/>
    <m/>
  </r>
  <r>
    <n v="1290"/>
    <x v="176"/>
    <x v="1"/>
    <x v="0"/>
    <x v="6"/>
    <x v="1"/>
    <x v="38"/>
    <s v="PWEGPL"/>
    <s v="MSEDCL"/>
    <n v="2.5000000000000001E-2"/>
    <n v="412"/>
    <x v="336"/>
    <s v="BD"/>
    <d v="1899-12-30T00:30:00"/>
    <m/>
    <d v="1899-12-30T02:05:00"/>
    <s v=""/>
    <n v="2.0833333333333335"/>
    <n v="1.5833333333333337"/>
    <s v="Reset"/>
    <s v="Close"/>
    <n v="3.9583333333333345E-2"/>
    <s v="G18"/>
    <n v="547.23958333333348"/>
    <s v="None"/>
    <s v="WTG Breakdown Maintenance"/>
    <n v="8295"/>
    <n v="547.23958333333348"/>
    <m/>
    <m/>
    <m/>
    <m/>
  </r>
  <r>
    <n v="1291"/>
    <x v="176"/>
    <x v="1"/>
    <x v="0"/>
    <x v="6"/>
    <x v="1"/>
    <x v="18"/>
    <s v="PWEGPL"/>
    <s v="MSEDCL"/>
    <n v="2.5000000000000001E-2"/>
    <n v="2509"/>
    <x v="201"/>
    <s v="BD"/>
    <d v="1899-12-30T00:00:00"/>
    <m/>
    <d v="1899-12-30T23:59:00"/>
    <s v=""/>
    <n v="23.983333333333334"/>
    <n v="23.983333333333334"/>
    <s v="SF6 breaker failed- material shortage"/>
    <s v="Open"/>
    <n v="0.59958333333333336"/>
    <s v="G20"/>
    <n v="6965.1597222222226"/>
    <s v="Material shortage SF6 breaker"/>
    <s v="WTG Breakdown Maintenance"/>
    <n v="6970"/>
    <n v="6965.1597222222226"/>
    <m/>
    <m/>
    <m/>
    <m/>
  </r>
  <r>
    <n v="1292"/>
    <x v="177"/>
    <x v="1"/>
    <x v="0"/>
    <x v="6"/>
    <x v="1"/>
    <x v="21"/>
    <s v="PWEGPL"/>
    <s v="MSEDCL"/>
    <n v="2.5000000000000001E-2"/>
    <n v="102"/>
    <x v="337"/>
    <s v="BD"/>
    <d v="1899-12-30T16:05:00"/>
    <m/>
    <d v="1899-12-30T17:15:00"/>
    <s v=""/>
    <n v="17.25"/>
    <n v="1.1666666666666679"/>
    <s v="Feedback changed"/>
    <s v="Close"/>
    <n v="2.9166666666666698E-2"/>
    <s v="G01"/>
    <n v="33.200713734567969"/>
    <s v="None"/>
    <s v="WTG Breakdown Maintenance"/>
    <n v="682.98611111111177"/>
    <n v="33.200713734567969"/>
    <m/>
    <m/>
    <m/>
    <m/>
  </r>
  <r>
    <n v="1293"/>
    <x v="177"/>
    <x v="1"/>
    <x v="0"/>
    <x v="6"/>
    <x v="1"/>
    <x v="23"/>
    <s v="PWEGPL"/>
    <s v="MSEDCL"/>
    <n v="2.5000000000000001E-2"/>
    <n v="203"/>
    <x v="290"/>
    <s v="BD"/>
    <d v="1899-12-30T10:26:00"/>
    <m/>
    <d v="1899-12-30T18:30:00"/>
    <s v=""/>
    <n v="18.5"/>
    <n v="8.0666666666666664"/>
    <s v="hydraulic valve changed"/>
    <s v="Close"/>
    <n v="0.20166666666666666"/>
    <s v="G03"/>
    <n v="1596.6146064814814"/>
    <s v="None"/>
    <s v="WTG Breakdown Maintenance"/>
    <n v="4750.2583333333332"/>
    <n v="1596.6146064814814"/>
    <m/>
    <m/>
    <m/>
    <m/>
  </r>
  <r>
    <n v="1294"/>
    <x v="177"/>
    <x v="1"/>
    <x v="0"/>
    <x v="6"/>
    <x v="1"/>
    <x v="0"/>
    <s v="PWEGPL"/>
    <s v="MSEDCL"/>
    <n v="2.5000000000000001E-2"/>
    <s v="CE100014"/>
    <x v="305"/>
    <s v="Manual stop"/>
    <d v="1899-12-30T10:45:00"/>
    <d v="1899-12-30T10:45:00"/>
    <d v="1899-12-30T18:30:00"/>
    <n v="0"/>
    <n v="7.75"/>
    <n v="7.75"/>
    <s v="TCA audit done"/>
    <s v="Close"/>
    <n v="0.19375000000000001"/>
    <s v="G15"/>
    <n v="1689.4663628472224"/>
    <s v="None"/>
    <s v="WTG Unscheduled Maintenance"/>
    <n v="5231.8958333333339"/>
    <n v="1689.4663628472224"/>
    <m/>
    <m/>
    <m/>
    <m/>
  </r>
  <r>
    <n v="1295"/>
    <x v="177"/>
    <x v="1"/>
    <x v="0"/>
    <x v="6"/>
    <x v="1"/>
    <x v="38"/>
    <s v="PWEGPL"/>
    <s v="MSEDCL"/>
    <n v="2.5000000000000001E-2"/>
    <s v="CE100014"/>
    <x v="305"/>
    <s v="Manual stop"/>
    <d v="1899-12-30T10:30:00"/>
    <d v="1899-12-30T10:30:00"/>
    <d v="1899-12-30T17:32:00"/>
    <n v="0"/>
    <n v="7.033333333333335"/>
    <n v="7.033333333333335"/>
    <s v="TCA audit done"/>
    <s v="Close"/>
    <n v="0.1758333333333334"/>
    <s v="G16"/>
    <n v="838.63342013888916"/>
    <s v="None"/>
    <s v="WTG Unscheduled Maintenance"/>
    <n v="2861.6875000000005"/>
    <n v="838.63342013888916"/>
    <m/>
    <m/>
    <m/>
    <m/>
  </r>
  <r>
    <n v="1296"/>
    <x v="177"/>
    <x v="1"/>
    <x v="0"/>
    <x v="6"/>
    <x v="1"/>
    <x v="18"/>
    <s v="PWEGPL"/>
    <s v="MSEDCL"/>
    <n v="2.5000000000000001E-2"/>
    <n v="2509"/>
    <x v="201"/>
    <s v="BD"/>
    <d v="1899-12-30T00:00:00"/>
    <m/>
    <d v="1899-12-30T23:59:00"/>
    <s v=""/>
    <n v="23.983333333333334"/>
    <n v="23.983333333333334"/>
    <s v="SF6 breaker replacement WIP"/>
    <s v="Open"/>
    <n v="0.59958333333333336"/>
    <s v="G20"/>
    <n v="13401.367582947531"/>
    <s v="Material shortage SF6 breaker"/>
    <s v="WTG Breakdown Maintenance"/>
    <n v="13410.680555555555"/>
    <n v="13401.367582947531"/>
    <m/>
    <m/>
    <m/>
    <m/>
  </r>
  <r>
    <n v="1297"/>
    <x v="177"/>
    <x v="1"/>
    <x v="0"/>
    <x v="6"/>
    <x v="1"/>
    <x v="2"/>
    <s v="PWEGPL"/>
    <s v="MSEDCL"/>
    <n v="2.5000000000000001E-2"/>
    <n v="205"/>
    <x v="312"/>
    <s v="BD"/>
    <d v="1899-12-30T16:35:00"/>
    <m/>
    <d v="1899-12-30T18:07:00"/>
    <s v=""/>
    <n v="18.116666666666667"/>
    <n v="1.5333333333333332"/>
    <s v="Oil Topup"/>
    <s v="Close"/>
    <n v="3.833333333333333E-2"/>
    <s v="G32"/>
    <n v="49.728449074074064"/>
    <s v="None"/>
    <s v="WTG Breakdown Maintenance"/>
    <n v="778.35833333333323"/>
    <n v="49.728449074074064"/>
    <m/>
    <m/>
    <m/>
    <m/>
  </r>
  <r>
    <n v="1298"/>
    <x v="178"/>
    <x v="1"/>
    <x v="0"/>
    <x v="6"/>
    <x v="1"/>
    <x v="21"/>
    <s v="PWEGPL"/>
    <s v="MSEDCL"/>
    <n v="2.5000000000000001E-2"/>
    <n v="102"/>
    <x v="337"/>
    <s v="BD"/>
    <d v="1899-12-30T16:00:00"/>
    <m/>
    <d v="1899-12-30T19:25:00"/>
    <s v=""/>
    <n v="19.416666666666668"/>
    <n v="3.4166666666666679"/>
    <s v="reset"/>
    <s v="Close"/>
    <n v="8.5416666666666696E-2"/>
    <s v="G01"/>
    <n v="361.84141107253112"/>
    <s v="None"/>
    <s v="WTG Breakdown Maintenance"/>
    <n v="2541.7152777777787"/>
    <n v="361.84141107253112"/>
    <m/>
    <m/>
    <m/>
    <m/>
  </r>
  <r>
    <n v="1299"/>
    <x v="178"/>
    <x v="1"/>
    <x v="0"/>
    <x v="6"/>
    <x v="1"/>
    <x v="24"/>
    <s v="PWEGPL"/>
    <s v="MSEDCL"/>
    <n v="2.5000000000000001E-2"/>
    <s v="CE100014"/>
    <x v="305"/>
    <s v="Manual stop"/>
    <d v="1899-12-30T14:30:00"/>
    <d v="1899-12-30T14:30:00"/>
    <d v="1899-12-30T17:15:00"/>
    <n v="0"/>
    <n v="2.7500000000000009"/>
    <n v="2.7500000000000009"/>
    <s v="TCA audit done"/>
    <s v="Close"/>
    <n v="6.8750000000000019E-2"/>
    <s v="G18"/>
    <n v="256.59982638888908"/>
    <s v="None"/>
    <s v="WTG Unscheduled Maintenance"/>
    <n v="2239.4166666666674"/>
    <n v="256.59982638888908"/>
    <m/>
    <m/>
    <m/>
    <m/>
  </r>
  <r>
    <n v="1300"/>
    <x v="178"/>
    <x v="1"/>
    <x v="0"/>
    <x v="6"/>
    <x v="1"/>
    <x v="18"/>
    <s v="PWEGPL"/>
    <s v="MSEDCL"/>
    <n v="2.5000000000000001E-2"/>
    <n v="2509"/>
    <x v="201"/>
    <s v="BD"/>
    <d v="1899-12-30T00:00:00"/>
    <m/>
    <d v="1899-12-30T18:00:00"/>
    <s v=""/>
    <n v="18"/>
    <n v="18"/>
    <s v="SF6 breaker changed"/>
    <s v="Close"/>
    <n v="0.45"/>
    <s v="G18"/>
    <n v="10993.5"/>
    <s v="Material shortage SF6 breaker"/>
    <s v="WTG Breakdown Maintenance"/>
    <n v="14658"/>
    <n v="10993.5"/>
    <m/>
    <m/>
    <m/>
    <m/>
  </r>
  <r>
    <n v="1301"/>
    <x v="178"/>
    <x v="1"/>
    <x v="0"/>
    <x v="6"/>
    <x v="1"/>
    <x v="33"/>
    <s v="PWEGPL"/>
    <s v="MSEDCL"/>
    <n v="2.5000000000000001E-2"/>
    <s v="CE100014"/>
    <x v="305"/>
    <s v="Manual stop"/>
    <d v="1899-12-30T10:41:00"/>
    <d v="1899-12-30T10:41:00"/>
    <d v="1899-12-30T13:44:00"/>
    <n v="0"/>
    <n v="3.0499999999999985"/>
    <n v="3.0499999999999985"/>
    <s v="TCA audit done"/>
    <s v="Close"/>
    <n v="7.6249999999999971E-2"/>
    <s v="G18"/>
    <n v="315.6389930555552"/>
    <s v="None"/>
    <s v="WTG Unscheduled Maintenance"/>
    <n v="2483.7166666666653"/>
    <n v="315.6389930555552"/>
    <m/>
    <m/>
    <m/>
    <m/>
  </r>
  <r>
    <n v="1302"/>
    <x v="178"/>
    <x v="1"/>
    <x v="0"/>
    <x v="6"/>
    <x v="1"/>
    <x v="34"/>
    <s v="PWEGPL"/>
    <s v="MSEDCL"/>
    <n v="2.5000000000000001E-2"/>
    <s v="CE100014"/>
    <x v="305"/>
    <s v="Manual stop"/>
    <d v="1899-12-30T10:40:00"/>
    <d v="1899-12-30T10:40:00"/>
    <d v="1899-12-30T14:15:00"/>
    <n v="0"/>
    <n v="3.5833333333333339"/>
    <n v="3.5833333333333339"/>
    <s v="TCA audit done"/>
    <s v="Close"/>
    <n v="8.9583333333333348E-2"/>
    <s v="G18"/>
    <n v="435.67775848765444"/>
    <s v="None"/>
    <s v="WTG Unscheduled Maintenance"/>
    <n v="2918.0277777777783"/>
    <n v="435.67775848765444"/>
    <m/>
    <m/>
    <m/>
    <m/>
  </r>
  <r>
    <n v="1303"/>
    <x v="178"/>
    <x v="1"/>
    <x v="0"/>
    <x v="6"/>
    <x v="1"/>
    <x v="1"/>
    <s v="PWEGPL"/>
    <s v="MSEDCL"/>
    <n v="2.5000000000000001E-2"/>
    <s v="CE100014"/>
    <x v="305"/>
    <s v="Manual stop"/>
    <d v="1899-12-30T15:15:00"/>
    <d v="1899-12-30T15:15:00"/>
    <d v="1899-12-30T18:20:00"/>
    <n v="0"/>
    <n v="3.083333333333333"/>
    <n v="3.083333333333333"/>
    <s v="TCA audit done"/>
    <s v="Close"/>
    <n v="7.7083333333333337E-2"/>
    <s v="G18"/>
    <n v="322.57590663580237"/>
    <s v="None"/>
    <s v="WTG Unscheduled Maintenance"/>
    <n v="2510.8611111111109"/>
    <n v="322.57590663580237"/>
    <m/>
    <m/>
    <m/>
    <m/>
  </r>
  <r>
    <n v="1304"/>
    <x v="178"/>
    <x v="1"/>
    <x v="0"/>
    <x v="6"/>
    <x v="1"/>
    <x v="8"/>
    <s v="PWEGPL"/>
    <s v="MSEDCL"/>
    <n v="2.5000000000000001E-2"/>
    <n v="203"/>
    <x v="290"/>
    <s v="BD"/>
    <d v="1899-12-30T21:39:00"/>
    <m/>
    <d v="1899-12-30T22:49:00"/>
    <s v=""/>
    <n v="22.816666666666666"/>
    <n v="1.1666666666666679"/>
    <s v="Reset"/>
    <s v="Close"/>
    <n v="2.9166666666666698E-2"/>
    <s v="G25"/>
    <n v="33.439380787037102"/>
    <s v="None"/>
    <s v="WTG Breakdown Maintenance"/>
    <n v="687.89583333333405"/>
    <n v="33.439380787037102"/>
    <m/>
    <m/>
    <m/>
    <m/>
  </r>
  <r>
    <n v="1305"/>
    <x v="178"/>
    <x v="1"/>
    <x v="0"/>
    <x v="6"/>
    <x v="1"/>
    <x v="12"/>
    <s v="PWEGPL"/>
    <s v="MSEDCL"/>
    <n v="2.5000000000000001E-2"/>
    <n v="205"/>
    <x v="312"/>
    <s v="BD"/>
    <d v="1899-12-30T10:00:00"/>
    <m/>
    <d v="1899-12-30T13:30:00"/>
    <s v=""/>
    <n v="13.5"/>
    <n v="3.4999999999999996"/>
    <s v="Oil Topup"/>
    <s v="Close"/>
    <n v="8.7499999999999994E-2"/>
    <s v="G31"/>
    <n v="237.30121527777771"/>
    <s v="None"/>
    <s v="WTG Breakdown Maintenance"/>
    <n v="1627.2083333333333"/>
    <n v="237.30121527777771"/>
    <m/>
    <m/>
    <m/>
    <m/>
  </r>
  <r>
    <n v="1306"/>
    <x v="179"/>
    <x v="1"/>
    <x v="0"/>
    <x v="6"/>
    <x v="1"/>
    <x v="21"/>
    <s v="PWEGPL"/>
    <s v="MSEDCL"/>
    <n v="2.5000000000000001E-2"/>
    <n v="102"/>
    <x v="337"/>
    <s v="BD"/>
    <d v="1899-12-30T12:00:00"/>
    <m/>
    <d v="1899-12-30T13:25:00"/>
    <s v=""/>
    <n v="13.416666666666668"/>
    <n v="1.416666666666667"/>
    <s v="Rebbot &amp; reset"/>
    <s v="Close"/>
    <n v="3.5416666666666673E-2"/>
    <s v="G04"/>
    <n v="52.751977237654344"/>
    <s v="None"/>
    <s v="WTG Breakdown Maintenance"/>
    <n v="893.68055555555577"/>
    <n v="52.751977237654344"/>
    <m/>
    <m/>
    <m/>
    <m/>
  </r>
  <r>
    <n v="1307"/>
    <x v="179"/>
    <x v="1"/>
    <x v="0"/>
    <x v="6"/>
    <x v="1"/>
    <x v="24"/>
    <s v="PWEGPL"/>
    <s v="MSEDCL"/>
    <n v="2.5000000000000001E-2"/>
    <n v="5201"/>
    <x v="299"/>
    <s v="BD"/>
    <d v="1899-12-30T09:30:00"/>
    <m/>
    <d v="1899-12-30T10:30:00"/>
    <s v=""/>
    <n v="10.5"/>
    <n v="1.0000000000000004"/>
    <s v="reset"/>
    <s v="Close"/>
    <n v="2.5000000000000012E-2"/>
    <s v="G22"/>
    <n v="15.545138888888902"/>
    <s v="None"/>
    <s v="WTG Breakdown Maintenance"/>
    <n v="373.08333333333348"/>
    <n v="15.545138888888902"/>
    <m/>
    <m/>
    <m/>
    <m/>
  </r>
  <r>
    <n v="1308"/>
    <x v="179"/>
    <x v="1"/>
    <x v="0"/>
    <x v="6"/>
    <x v="1"/>
    <x v="30"/>
    <s v="PWEGPL"/>
    <s v="MSEDCL"/>
    <n v="2.5000000000000001E-2"/>
    <n v="200"/>
    <x v="314"/>
    <s v="Manual stop"/>
    <d v="1899-12-30T21:00:00"/>
    <d v="1899-12-30T21:00:00"/>
    <d v="1899-12-30T23:59:59"/>
    <n v="0"/>
    <n v="2.9997222222222204"/>
    <n v="2.9997222222222204"/>
    <s v="hydraulic oil leakage from pitch cylender"/>
    <s v="Open"/>
    <n v="7.4993055555555521E-2"/>
    <s v="G13"/>
    <n v="288.899617639344"/>
    <s v="manpower shortage could not attend in night shift"/>
    <s v="WTG Unscheduled Maintenance"/>
    <n v="2311.4109606481466"/>
    <n v="288.899617639344"/>
    <m/>
    <m/>
    <m/>
    <m/>
  </r>
  <r>
    <n v="1309"/>
    <x v="179"/>
    <x v="1"/>
    <x v="0"/>
    <x v="6"/>
    <x v="1"/>
    <x v="18"/>
    <s v="PWEGPL"/>
    <s v="MSEDCL"/>
    <n v="2.5000000000000001E-2"/>
    <n v="203"/>
    <x v="290"/>
    <s v="BD"/>
    <d v="1899-12-30T01:00:00"/>
    <m/>
    <d v="1899-12-30T04:12:00"/>
    <s v=""/>
    <n v="4.2"/>
    <n v="3.2000000000000006"/>
    <s v="reset"/>
    <s v="Close"/>
    <n v="8.0000000000000016E-2"/>
    <s v="G20"/>
    <n v="325.15555555555574"/>
    <s v="None"/>
    <s v="WTG Breakdown Maintenance"/>
    <n v="2438.6666666666674"/>
    <n v="325.15555555555574"/>
    <m/>
    <m/>
    <m/>
    <m/>
  </r>
  <r>
    <n v="1310"/>
    <x v="179"/>
    <x v="1"/>
    <x v="0"/>
    <x v="6"/>
    <x v="1"/>
    <x v="34"/>
    <s v="PWEGPL"/>
    <s v="MSEDCL"/>
    <n v="2.5000000000000001E-2"/>
    <n v="5201"/>
    <x v="299"/>
    <s v="BD"/>
    <d v="1899-12-30T09:30:00"/>
    <m/>
    <d v="1899-12-30T10:00:00"/>
    <s v=""/>
    <n v="10"/>
    <n v="0.50000000000000089"/>
    <s v="reset"/>
    <s v="Close"/>
    <n v="1.2500000000000023E-2"/>
    <s v="G23"/>
    <n v="6.0269097222222436"/>
    <s v="None"/>
    <s v="WTG Breakdown Maintenance"/>
    <n v="289.2916666666672"/>
    <n v="6.0269097222222436"/>
    <m/>
    <m/>
    <m/>
    <m/>
  </r>
  <r>
    <n v="1311"/>
    <x v="179"/>
    <x v="1"/>
    <x v="0"/>
    <x v="6"/>
    <x v="1"/>
    <x v="34"/>
    <s v="PWEGPL"/>
    <s v="MSEDCL"/>
    <n v="2.5000000000000001E-2"/>
    <n v="412"/>
    <x v="336"/>
    <s v="BD"/>
    <d v="1899-12-30T14:00:00"/>
    <m/>
    <d v="1899-12-30T18:00:00"/>
    <s v=""/>
    <n v="18"/>
    <n v="3.9999999999999991"/>
    <s v="MPCB reset"/>
    <s v="Close"/>
    <n v="9.9999999999999978E-2"/>
    <s v="G23"/>
    <n v="385.72222222222206"/>
    <s v="None"/>
    <s v="WTG Breakdown Maintenance"/>
    <n v="2314.333333333333"/>
    <n v="385.72222222222206"/>
    <m/>
    <m/>
    <m/>
    <m/>
  </r>
  <r>
    <n v="1312"/>
    <x v="179"/>
    <x v="1"/>
    <x v="0"/>
    <x v="6"/>
    <x v="1"/>
    <x v="2"/>
    <s v="PWEGPL"/>
    <s v="MSEDCL"/>
    <n v="2.5000000000000001E-2"/>
    <s v="CE100014"/>
    <x v="305"/>
    <s v="Manual stop"/>
    <d v="1899-12-30T11:33:00"/>
    <d v="1899-12-30T11:33:00"/>
    <d v="1899-12-30T14:48:00"/>
    <n v="0"/>
    <n v="3.2500000000000004"/>
    <n v="3.2500000000000004"/>
    <s v="TCA audit done"/>
    <s v="Close"/>
    <n v="8.1250000000000017E-2"/>
    <s v="G32"/>
    <n v="138.77951388888891"/>
    <s v="None"/>
    <s v="WTG Unscheduled Maintenance"/>
    <n v="1024.8333333333335"/>
    <n v="138.77951388888891"/>
    <m/>
    <m/>
    <m/>
    <m/>
  </r>
  <r>
    <n v="1313"/>
    <x v="179"/>
    <x v="1"/>
    <x v="0"/>
    <x v="6"/>
    <x v="1"/>
    <x v="12"/>
    <s v="PWEGPL"/>
    <s v="MSEDCL"/>
    <n v="2.5000000000000001E-2"/>
    <n v="205"/>
    <x v="312"/>
    <s v="BD"/>
    <d v="1899-12-30T05:00:00"/>
    <m/>
    <d v="1899-12-30T08:07:00"/>
    <s v=""/>
    <n v="8.1166666666666671"/>
    <n v="3.1166666666666671"/>
    <s v="Oil topup"/>
    <s v="Close"/>
    <n v="7.791666666666669E-2"/>
    <s v="G30"/>
    <n v="255.30270592206799"/>
    <s v="None"/>
    <s v="WTG Breakdown Maintenance"/>
    <n v="1965.9673611111114"/>
    <n v="255.30270592206799"/>
    <m/>
    <m/>
    <m/>
    <m/>
  </r>
  <r>
    <n v="1314"/>
    <x v="179"/>
    <x v="1"/>
    <x v="0"/>
    <x v="6"/>
    <x v="1"/>
    <x v="3"/>
    <s v="PWEGPL"/>
    <s v="MSEDCL"/>
    <n v="2.5000000000000001E-2"/>
    <s v="CE100014"/>
    <x v="305"/>
    <s v="Manual stop"/>
    <d v="1899-12-30T11:25:00"/>
    <d v="1899-12-30T11:25:00"/>
    <d v="1899-12-30T14:30:00"/>
    <n v="0"/>
    <n v="3.083333333333333"/>
    <n v="3.083333333333333"/>
    <s v="TCA audit done"/>
    <s v="Close"/>
    <n v="7.7083333333333337E-2"/>
    <s v="G26"/>
    <n v="165.81035397376539"/>
    <s v="None"/>
    <s v="WTG Unscheduled Maintenance"/>
    <n v="1290.6319444444443"/>
    <n v="165.81035397376539"/>
    <m/>
    <m/>
    <m/>
    <m/>
  </r>
  <r>
    <n v="1315"/>
    <x v="179"/>
    <x v="1"/>
    <x v="0"/>
    <x v="6"/>
    <x v="1"/>
    <x v="4"/>
    <s v="PWEGPL"/>
    <s v="MSEDCL"/>
    <n v="2.5000000000000001E-2"/>
    <n v="205"/>
    <x v="312"/>
    <s v="BD"/>
    <d v="1899-12-30T09:43:00"/>
    <m/>
    <d v="1899-12-30T12:00:00"/>
    <s v=""/>
    <n v="12"/>
    <n v="2.2833333333333332"/>
    <s v="oil topup"/>
    <s v="Close"/>
    <n v="5.7083333333333333E-2"/>
    <s v="G38"/>
    <n v="94.605318287037036"/>
    <s v="None"/>
    <s v="WTG Breakdown Maintenance"/>
    <n v="994.39166666666665"/>
    <n v="94.605318287037036"/>
    <m/>
    <m/>
    <m/>
    <m/>
  </r>
  <r>
    <n v="1316"/>
    <x v="179"/>
    <x v="1"/>
    <x v="0"/>
    <x v="6"/>
    <x v="1"/>
    <x v="6"/>
    <s v="PWEGPL"/>
    <s v="MSEDCL"/>
    <n v="2.5000000000000001E-2"/>
    <s v="CE100014"/>
    <x v="305"/>
    <s v="Manual stop"/>
    <d v="1899-12-30T14:40:00"/>
    <d v="1899-12-30T14:40:00"/>
    <d v="1899-12-30T18:00:00"/>
    <n v="0"/>
    <n v="3.3333333333333348"/>
    <n v="3.3333333333333348"/>
    <s v="TCA audit done"/>
    <s v="Close"/>
    <n v="8.333333333333337E-2"/>
    <s v="G40"/>
    <n v="227.83564814814835"/>
    <s v="None"/>
    <s v="WTG Unscheduled Maintenance"/>
    <n v="1640.4166666666674"/>
    <n v="227.83564814814835"/>
    <m/>
    <m/>
    <m/>
    <m/>
  </r>
  <r>
    <n v="1317"/>
    <x v="179"/>
    <x v="1"/>
    <x v="0"/>
    <x v="6"/>
    <x v="1"/>
    <x v="12"/>
    <s v="PWEGPL"/>
    <s v="MSEDCL"/>
    <n v="2.5000000000000001E-2"/>
    <n v="205"/>
    <x v="312"/>
    <s v="BD"/>
    <d v="1899-12-30T09:43:00"/>
    <m/>
    <d v="1899-12-30T16:18:00"/>
    <s v=""/>
    <n v="16.3"/>
    <n v="6.5833333333333339"/>
    <s v="Yaw caliper seal replaced"/>
    <s v="Close"/>
    <n v="0.16458333333333336"/>
    <s v="G30"/>
    <n v="1139.1119188850309"/>
    <s v="None"/>
    <s v="WTG Breakdown Maintenance"/>
    <n v="4152.7118055555557"/>
    <n v="1139.1119188850309"/>
    <m/>
    <m/>
    <m/>
    <m/>
  </r>
  <r>
    <n v="1318"/>
    <x v="180"/>
    <x v="1"/>
    <x v="0"/>
    <x v="6"/>
    <x v="1"/>
    <x v="21"/>
    <s v="PWEGPL"/>
    <s v="MSEDCL"/>
    <n v="2.5000000000000001E-2"/>
    <n v="115"/>
    <x v="308"/>
    <s v="Manual stop"/>
    <d v="1899-12-30T11:26:00"/>
    <d v="1899-12-30T11:26:00"/>
    <d v="1899-12-30T12:30:00"/>
    <n v="0"/>
    <n v="1.0666666666666669"/>
    <n v="1.0666666666666669"/>
    <s v="Yaw contactor replaced"/>
    <s v="Close"/>
    <n v="2.6666666666666672E-2"/>
    <s v="G01"/>
    <n v="18.690370370370378"/>
    <s v="None"/>
    <s v="WTG Unscheduled Maintenance"/>
    <n v="420.53333333333342"/>
    <n v="18.690370370370378"/>
    <m/>
    <m/>
    <m/>
    <m/>
  </r>
  <r>
    <n v="1319"/>
    <x v="180"/>
    <x v="1"/>
    <x v="0"/>
    <x v="6"/>
    <x v="1"/>
    <x v="23"/>
    <s v="PWEGPL"/>
    <s v="MSEDCL"/>
    <n v="2.5000000000000001E-2"/>
    <n v="5263"/>
    <x v="311"/>
    <s v="BD"/>
    <d v="1899-12-30T05:55:00"/>
    <m/>
    <d v="1899-12-30T06:53:00"/>
    <s v=""/>
    <n v="6.8833333333333329"/>
    <n v="0.9666666666666659"/>
    <s v="Reboot reset"/>
    <s v="Close"/>
    <n v="2.4166666666666649E-2"/>
    <s v="G03"/>
    <n v="16.161346450617255"/>
    <s v="None"/>
    <s v="WTG Breakdown Maintenance"/>
    <n v="401.24722222222186"/>
    <n v="16.161346450617255"/>
    <m/>
    <m/>
    <m/>
    <m/>
  </r>
  <r>
    <n v="1320"/>
    <x v="180"/>
    <x v="1"/>
    <x v="0"/>
    <x v="6"/>
    <x v="1"/>
    <x v="30"/>
    <s v="PWEGPL"/>
    <s v="MSEDCL"/>
    <n v="2.5000000000000001E-2"/>
    <s v="CE100001"/>
    <x v="288"/>
    <s v="Manual stop"/>
    <d v="1899-12-30T00:00:00"/>
    <d v="1899-12-30T00:00:00"/>
    <d v="1899-12-30T06:53:00"/>
    <n v="0"/>
    <n v="6.8833333333333329"/>
    <n v="6.8833333333333329"/>
    <s v="Pitch cylender oil seal replaced."/>
    <s v="Close"/>
    <n v="0.17208333333333334"/>
    <s v="G13"/>
    <n v="849.96599006558631"/>
    <s v="manpower shortage could not attend in night shift"/>
    <s v="WTG Unscheduled Maintenance"/>
    <n v="2963.5618055555556"/>
    <n v="849.96599006558631"/>
    <m/>
    <m/>
    <m/>
    <m/>
  </r>
  <r>
    <n v="1321"/>
    <x v="181"/>
    <x v="1"/>
    <x v="0"/>
    <x v="6"/>
    <x v="1"/>
    <x v="23"/>
    <s v="PWEGPL"/>
    <s v="MSEDCL"/>
    <n v="2.5000000000000001E-2"/>
    <n v="5263"/>
    <x v="311"/>
    <s v="BD"/>
    <d v="1899-12-30T15:00:00"/>
    <m/>
    <d v="1899-12-30T15:29:00"/>
    <s v=""/>
    <n v="15.483333333333331"/>
    <n v="0.48333333333333162"/>
    <s v="Reboot and reset"/>
    <s v="Close"/>
    <n v="1.2083333333333291E-2"/>
    <s v="G03"/>
    <n v="3.8850014467592318"/>
    <s v="None"/>
    <s v="WTG Breakdown Maintenance"/>
    <n v="192.91041666666598"/>
    <n v="3.8850014467592318"/>
    <m/>
    <m/>
    <m/>
    <m/>
  </r>
  <r>
    <n v="1322"/>
    <x v="181"/>
    <x v="1"/>
    <x v="0"/>
    <x v="6"/>
    <x v="1"/>
    <x v="25"/>
    <s v="PWEGPL"/>
    <s v="MSEDCL"/>
    <n v="2.5000000000000001E-2"/>
    <s v="CE100014"/>
    <x v="305"/>
    <s v="Manual stop"/>
    <d v="1899-12-30T15:30:00"/>
    <d v="1899-12-30T15:30:00"/>
    <d v="1899-12-30T19:08:00"/>
    <n v="0"/>
    <n v="3.6333333333333311"/>
    <n v="3.6333333333333311"/>
    <s v="TCA audit done"/>
    <s v="Close"/>
    <n v="9.083333333333328E-2"/>
    <s v="G07"/>
    <n v="225.31271412037009"/>
    <s v="None"/>
    <s v="WTG Unscheduled Maintenance"/>
    <n v="1488.3041666666657"/>
    <n v="225.31271412037009"/>
    <m/>
    <m/>
    <m/>
    <m/>
  </r>
  <r>
    <n v="1323"/>
    <x v="181"/>
    <x v="1"/>
    <x v="0"/>
    <x v="6"/>
    <x v="1"/>
    <x v="17"/>
    <s v="PWEGPL"/>
    <s v="MSEDCL"/>
    <n v="2.5000000000000001E-2"/>
    <s v="CE100014"/>
    <x v="305"/>
    <s v="Manual stop"/>
    <d v="1899-12-30T15:19:00"/>
    <d v="1899-12-30T15:19:00"/>
    <d v="1899-12-30T19:00:00"/>
    <n v="0"/>
    <n v="3.6833333333333336"/>
    <n v="3.6833333333333336"/>
    <s v="TCA audit done"/>
    <s v="Close"/>
    <n v="9.208333333333335E-2"/>
    <s v="G12"/>
    <n v="202.82110869984572"/>
    <s v="None"/>
    <s v="WTG Unscheduled Maintenance"/>
    <n v="1321.5493055555557"/>
    <n v="202.82110869984572"/>
    <m/>
    <m/>
    <m/>
    <m/>
  </r>
  <r>
    <n v="1324"/>
    <x v="181"/>
    <x v="1"/>
    <x v="0"/>
    <x v="6"/>
    <x v="1"/>
    <x v="27"/>
    <s v="PWEGPL"/>
    <s v="MSEDCL"/>
    <n v="2.5000000000000001E-2"/>
    <s v="CE100001"/>
    <x v="288"/>
    <s v="Manual stop"/>
    <d v="1899-12-30T14:25:00"/>
    <d v="1899-12-30T14:25:00"/>
    <d v="1899-12-30T16:38:00"/>
    <n v="0"/>
    <n v="2.2166666666666668"/>
    <n v="2.2166666666666668"/>
    <s v="Winch repair work"/>
    <s v="Close"/>
    <n v="5.541666666666667E-2"/>
    <s v="G12"/>
    <n v="73.456779996141989"/>
    <s v="None"/>
    <s v="WTG Unscheduled Maintenance"/>
    <n v="795.32152777777787"/>
    <n v="73.456779996141989"/>
    <m/>
    <m/>
    <m/>
    <m/>
  </r>
  <r>
    <n v="1325"/>
    <x v="181"/>
    <x v="1"/>
    <x v="0"/>
    <x v="6"/>
    <x v="1"/>
    <x v="28"/>
    <s v="PWEGPL"/>
    <s v="MSEDCL"/>
    <n v="2.5000000000000001E-2"/>
    <s v="CE100014"/>
    <x v="305"/>
    <s v="Manual stop"/>
    <d v="1899-12-30T10:40:00"/>
    <d v="1899-12-30T10:40:00"/>
    <d v="1899-12-30T15:00:00"/>
    <n v="0"/>
    <n v="4.3333333333333339"/>
    <n v="4.3333333333333339"/>
    <s v="TCA audit done"/>
    <s v="Close"/>
    <n v="0.10833333333333335"/>
    <s v="G12"/>
    <n v="280.72125771604942"/>
    <s v="None"/>
    <s v="WTG Unscheduled Maintenance"/>
    <n v="1554.7638888888891"/>
    <n v="280.72125771604942"/>
    <m/>
    <m/>
    <m/>
    <m/>
  </r>
  <r>
    <n v="1326"/>
    <x v="181"/>
    <x v="1"/>
    <x v="0"/>
    <x v="6"/>
    <x v="1"/>
    <x v="29"/>
    <s v="PWEGPL"/>
    <s v="MSEDCL"/>
    <n v="2.5000000000000001E-2"/>
    <s v="CE100014"/>
    <x v="305"/>
    <s v="Manual stop"/>
    <d v="1899-12-30T10:14:00"/>
    <d v="1899-12-30T10:14:00"/>
    <d v="1899-12-30T15:16:00"/>
    <n v="0"/>
    <n v="5.033333333333335"/>
    <n v="5.033333333333335"/>
    <s v="TCA audit done"/>
    <s v="Close"/>
    <n v="0.12583333333333338"/>
    <s v="G12"/>
    <n v="378.74114776234597"/>
    <s v="None"/>
    <s v="WTG Unscheduled Maintenance"/>
    <n v="1805.9180555555563"/>
    <n v="378.74114776234597"/>
    <m/>
    <m/>
    <m/>
    <m/>
  </r>
  <r>
    <n v="1327"/>
    <x v="181"/>
    <x v="1"/>
    <x v="0"/>
    <x v="6"/>
    <x v="1"/>
    <x v="38"/>
    <s v="PWEGPL"/>
    <s v="MSEDCL"/>
    <n v="2.5000000000000001E-2"/>
    <n v="403"/>
    <x v="365"/>
    <s v="BD"/>
    <d v="1899-12-30T18:30:00"/>
    <m/>
    <d v="1899-12-30T20:42:00"/>
    <s v=""/>
    <n v="20.7"/>
    <n v="2.1999999999999975"/>
    <s v="MPCB reset"/>
    <s v="Close"/>
    <n v="5.4999999999999938E-2"/>
    <s v="G19"/>
    <n v="96.799999999999784"/>
    <s v="None"/>
    <s v="WTG Breakdown Maintenance"/>
    <n v="1055.9999999999989"/>
    <n v="96.799999999999784"/>
    <m/>
    <m/>
    <m/>
    <m/>
  </r>
  <r>
    <n v="1328"/>
    <x v="181"/>
    <x v="1"/>
    <x v="0"/>
    <x v="6"/>
    <x v="1"/>
    <x v="1"/>
    <s v="PWEGPL"/>
    <s v="MSEDCL"/>
    <n v="2.5000000000000001E-2"/>
    <s v="CE100014"/>
    <x v="305"/>
    <s v="Manual stop"/>
    <d v="1899-12-30T09:00:00"/>
    <d v="1899-12-30T09:00:00"/>
    <d v="1899-12-30T09:30:00"/>
    <n v="0"/>
    <n v="0.49999999999999956"/>
    <n v="0.49999999999999956"/>
    <s v="TCA audit done"/>
    <s v="Close"/>
    <n v="1.249999999999999E-2"/>
    <s v="G22"/>
    <n v="4.6992187499999911"/>
    <s v="None"/>
    <s v="WTG Unscheduled Maintenance"/>
    <n v="225.5624999999998"/>
    <n v="4.6992187499999911"/>
    <m/>
    <m/>
    <m/>
    <m/>
  </r>
  <r>
    <n v="1329"/>
    <x v="181"/>
    <x v="1"/>
    <x v="0"/>
    <x v="6"/>
    <x v="1"/>
    <x v="17"/>
    <s v="PWEGPL"/>
    <s v="MSEDCL"/>
    <n v="2.5000000000000001E-2"/>
    <n v="577"/>
    <x v="379"/>
    <s v="BD"/>
    <d v="1899-12-30T19:00:00"/>
    <m/>
    <d v="1899-12-30T21:30:00"/>
    <s v=""/>
    <n v="21.5"/>
    <n v="2.5000000000000018"/>
    <s v="Relay replaced"/>
    <s v="Close"/>
    <n v="6.2500000000000042E-2"/>
    <s v="G12"/>
    <n v="93.435329861111242"/>
    <s v="None"/>
    <s v="WTG Breakdown Maintenance"/>
    <n v="896.97916666666731"/>
    <n v="93.435329861111242"/>
    <m/>
    <m/>
    <m/>
    <m/>
  </r>
  <r>
    <n v="1330"/>
    <x v="182"/>
    <x v="1"/>
    <x v="0"/>
    <x v="6"/>
    <x v="1"/>
    <x v="9"/>
    <s v="PWEGPL"/>
    <s v="MSEDCL"/>
    <n v="2.5000000000000001E-2"/>
    <n v="115"/>
    <x v="308"/>
    <s v="Manual stop"/>
    <d v="1899-12-30T11:30:00"/>
    <d v="1899-12-30T11:30:00"/>
    <d v="1899-12-30T16:32:00"/>
    <n v="0"/>
    <n v="5.033333333333335"/>
    <n v="5.033333333333335"/>
    <s v="Yaw caliper oil seal replaced."/>
    <s v="Close"/>
    <n v="0.12583333333333338"/>
    <s v="G29"/>
    <n v="588.71794945987699"/>
    <s v="None"/>
    <s v="WTG Unscheduled Maintenance"/>
    <n v="2807.1319444444457"/>
    <n v="588.71794945987699"/>
    <m/>
    <m/>
    <m/>
    <m/>
  </r>
  <r>
    <n v="1331"/>
    <x v="182"/>
    <x v="1"/>
    <x v="0"/>
    <x v="6"/>
    <x v="1"/>
    <x v="3"/>
    <s v="PWEGPL"/>
    <s v="MSEDCL"/>
    <n v="2.5000000000000001E-2"/>
    <n v="205"/>
    <x v="312"/>
    <s v="BD"/>
    <d v="1899-12-30T01:10:00"/>
    <m/>
    <d v="1899-12-30T04:24:00"/>
    <s v=""/>
    <n v="4.4000000000000004"/>
    <n v="3.2333333333333338"/>
    <s v="oil topup"/>
    <s v="Close"/>
    <n v="8.0833333333333354E-2"/>
    <s v="G34"/>
    <n v="246.82289930555564"/>
    <s v="None"/>
    <s v="WTG Breakdown Maintenance"/>
    <n v="1832.0875000000003"/>
    <n v="246.82289930555564"/>
    <m/>
    <m/>
    <m/>
    <m/>
  </r>
  <r>
    <n v="1332"/>
    <x v="182"/>
    <x v="1"/>
    <x v="0"/>
    <x v="6"/>
    <x v="1"/>
    <x v="15"/>
    <s v="PWEGPL"/>
    <s v="MSEDCL"/>
    <n v="2.5000000000000001E-2"/>
    <s v="CE100014"/>
    <x v="305"/>
    <s v="Manual stop"/>
    <d v="1899-12-30T14:20:00"/>
    <d v="1899-12-30T14:20:00"/>
    <d v="1899-12-30T17:02:00"/>
    <n v="0"/>
    <n v="2.7000000000000011"/>
    <n v="2.7000000000000011"/>
    <s v="TCA audit done"/>
    <s v="Close"/>
    <n v="6.7500000000000032E-2"/>
    <s v="G40"/>
    <n v="162.40500000000009"/>
    <s v="None"/>
    <s v="WTG Unscheduled Maintenance"/>
    <n v="1443.6000000000004"/>
    <n v="162.40500000000009"/>
    <m/>
    <m/>
    <m/>
    <m/>
  </r>
  <r>
    <n v="1333"/>
    <x v="182"/>
    <x v="1"/>
    <x v="0"/>
    <x v="6"/>
    <x v="1"/>
    <x v="16"/>
    <s v="PWEGPL"/>
    <s v="MSEDCL"/>
    <n v="2.5000000000000001E-2"/>
    <s v="CE100014"/>
    <x v="305"/>
    <s v="Manual stop"/>
    <d v="1899-12-30T14:15:00"/>
    <d v="1899-12-30T14:15:00"/>
    <d v="1899-12-30T16:40:00"/>
    <n v="0"/>
    <n v="2.4166666666666687"/>
    <n v="2.4166666666666687"/>
    <s v="TCA audit done"/>
    <s v="Close"/>
    <n v="6.0416666666666723E-2"/>
    <s v="G40"/>
    <n v="130.10841049382739"/>
    <s v="None"/>
    <s v="WTG Unscheduled Maintenance"/>
    <n v="1292.1111111111122"/>
    <n v="130.10841049382739"/>
    <m/>
    <m/>
    <m/>
    <m/>
  </r>
  <r>
    <n v="1334"/>
    <x v="182"/>
    <x v="1"/>
    <x v="0"/>
    <x v="6"/>
    <x v="1"/>
    <x v="4"/>
    <s v="PWEGPL"/>
    <s v="MSEDCL"/>
    <n v="2.5000000000000001E-2"/>
    <s v="CE100014"/>
    <x v="305"/>
    <s v="Manual stop"/>
    <d v="1899-12-30T10:10:00"/>
    <d v="1899-12-30T10:10:00"/>
    <d v="1899-12-30T13:50:00"/>
    <n v="0"/>
    <n v="3.6666666666666683"/>
    <n v="3.6666666666666683"/>
    <s v="TCA audit done"/>
    <s v="Close"/>
    <n v="9.1666666666666716E-2"/>
    <s v="G40"/>
    <n v="299.51234567901258"/>
    <s v="None"/>
    <s v="WTG Unscheduled Maintenance"/>
    <n v="1960.4444444444453"/>
    <n v="299.51234567901258"/>
    <m/>
    <m/>
    <m/>
    <m/>
  </r>
  <r>
    <n v="1335"/>
    <x v="182"/>
    <x v="1"/>
    <x v="0"/>
    <x v="6"/>
    <x v="1"/>
    <x v="5"/>
    <s v="PWEGPL"/>
    <s v="MSEDCL"/>
    <n v="2.5000000000000001E-2"/>
    <s v="CE100014"/>
    <x v="305"/>
    <s v="Manual stop"/>
    <d v="1899-12-30T10:40:00"/>
    <d v="1899-12-30T10:40:00"/>
    <d v="1899-12-30T13:50:00"/>
    <n v="0"/>
    <n v="3.1666666666666687"/>
    <n v="3.1666666666666687"/>
    <s v="TCA audit done"/>
    <s v="Close"/>
    <n v="7.9166666666666718E-2"/>
    <s v="G40"/>
    <n v="223.39660493827188"/>
    <s v="None"/>
    <s v="WTG Unscheduled Maintenance"/>
    <n v="1693.111111111112"/>
    <n v="223.39660493827188"/>
    <m/>
    <m/>
    <m/>
    <m/>
  </r>
  <r>
    <n v="1336"/>
    <x v="183"/>
    <x v="1"/>
    <x v="0"/>
    <x v="6"/>
    <x v="1"/>
    <x v="27"/>
    <s v="PWEGPL"/>
    <s v="MSEDCL"/>
    <n v="2.5000000000000001E-2"/>
    <s v="CE100014"/>
    <x v="305"/>
    <s v="Manual stop"/>
    <d v="1899-12-30T16:30:00"/>
    <d v="1899-12-30T16:30:00"/>
    <d v="1899-12-30T17:02:00"/>
    <n v="0"/>
    <n v="0.5333333333333341"/>
    <n v="0.5333333333333341"/>
    <s v="TCA audit done"/>
    <s v="Close"/>
    <n v="1.3333333333333353E-2"/>
    <s v="G10"/>
    <n v="8.7772839506173099"/>
    <s v="None"/>
    <s v="WTG Unscheduled Maintenance"/>
    <n v="394.97777777777839"/>
    <n v="8.7772839506173099"/>
    <m/>
    <m/>
    <m/>
    <m/>
  </r>
  <r>
    <n v="1337"/>
    <x v="183"/>
    <x v="1"/>
    <x v="0"/>
    <x v="6"/>
    <x v="1"/>
    <x v="10"/>
    <s v="PWEGPL"/>
    <s v="MSEDCL"/>
    <n v="2.5000000000000001E-2"/>
    <s v="CE100014"/>
    <x v="305"/>
    <s v="Manual stop"/>
    <d v="1899-12-30T14:48:00"/>
    <d v="1899-12-30T14:48:00"/>
    <d v="1899-12-30T17:30:00"/>
    <n v="0"/>
    <n v="2.6999999999999984"/>
    <n v="2.6999999999999984"/>
    <s v="TCA audit done"/>
    <s v="Close"/>
    <n v="6.7499999999999963E-2"/>
    <s v="G28"/>
    <n v="129.61265624999984"/>
    <s v="None"/>
    <s v="WTG Unscheduled Maintenance"/>
    <n v="1152.1124999999993"/>
    <n v="129.61265624999984"/>
    <m/>
    <m/>
    <m/>
    <m/>
  </r>
  <r>
    <n v="1338"/>
    <x v="183"/>
    <x v="1"/>
    <x v="0"/>
    <x v="6"/>
    <x v="1"/>
    <x v="11"/>
    <s v="PWEGPL"/>
    <s v="MSEDCL"/>
    <n v="2.5000000000000001E-2"/>
    <s v="CE100014"/>
    <x v="305"/>
    <s v="Manual stop"/>
    <d v="1899-12-30T11:04:00"/>
    <d v="1899-12-30T11:04:00"/>
    <d v="1899-12-30T14:24:00"/>
    <n v="0"/>
    <n v="3.3333333333333335"/>
    <n v="3.3333333333333335"/>
    <s v="TCA audit done"/>
    <s v="Close"/>
    <n v="8.3333333333333343E-2"/>
    <s v="G28"/>
    <n v="197.55015432098767"/>
    <s v="None"/>
    <s v="WTG Unscheduled Maintenance"/>
    <n v="1422.3611111111111"/>
    <n v="197.55015432098767"/>
    <m/>
    <m/>
    <m/>
    <m/>
  </r>
  <r>
    <n v="1339"/>
    <x v="183"/>
    <x v="1"/>
    <x v="0"/>
    <x v="6"/>
    <x v="1"/>
    <x v="12"/>
    <s v="PWEGPL"/>
    <s v="MSEDCL"/>
    <n v="2.5000000000000001E-2"/>
    <s v="CE100014"/>
    <x v="305"/>
    <s v="Manual stop"/>
    <d v="1899-12-30T10:59:00"/>
    <d v="1899-12-30T10:59:00"/>
    <d v="1899-12-30T14:10:00"/>
    <n v="0"/>
    <n v="3.183333333333334"/>
    <n v="3.183333333333334"/>
    <s v="TCA audit done"/>
    <s v="Close"/>
    <n v="7.9583333333333353E-2"/>
    <s v="G28"/>
    <n v="180.17067949459886"/>
    <s v="None"/>
    <s v="WTG Unscheduled Maintenance"/>
    <n v="1358.3548611111114"/>
    <n v="180.17067949459886"/>
    <m/>
    <m/>
    <m/>
    <m/>
  </r>
  <r>
    <n v="1340"/>
    <x v="183"/>
    <x v="1"/>
    <x v="0"/>
    <x v="6"/>
    <x v="1"/>
    <x v="4"/>
    <s v="PWEGPL"/>
    <s v="MSEDCL"/>
    <n v="2.5000000000000001E-2"/>
    <s v="CE100014"/>
    <x v="305"/>
    <s v="Manual stop"/>
    <d v="1899-12-30T11:50:00"/>
    <d v="1899-12-30T11:50:00"/>
    <d v="1899-12-30T16:10:00"/>
    <n v="0"/>
    <n v="4.3333333333333339"/>
    <n v="4.3333333333333339"/>
    <s v="TCA audit done"/>
    <s v="Close"/>
    <n v="0.10833333333333335"/>
    <s v="G38"/>
    <n v="314.49517746913585"/>
    <s v="None"/>
    <s v="WTG Unscheduled Maintenance"/>
    <n v="1741.8194444444446"/>
    <n v="314.49517746913585"/>
    <m/>
    <m/>
    <m/>
    <m/>
  </r>
  <r>
    <n v="1341"/>
    <x v="183"/>
    <x v="1"/>
    <x v="0"/>
    <x v="6"/>
    <x v="1"/>
    <x v="11"/>
    <s v="PWEGPL"/>
    <s v="MSEDCL"/>
    <n v="2.5000000000000001E-2"/>
    <n v="907"/>
    <x v="292"/>
    <s v="BD"/>
    <d v="1899-12-30T14:25:00"/>
    <m/>
    <d v="1899-12-30T20:30:00"/>
    <s v=""/>
    <n v="20.5"/>
    <n v="6.083333333333333"/>
    <s v="3A power supply changed"/>
    <s v="Close"/>
    <n v="0.15208333333333335"/>
    <s v="G28"/>
    <n v="657.96548273533938"/>
    <s v="None"/>
    <s v="WTG Breakdown Maintenance"/>
    <n v="2595.8090277777774"/>
    <n v="657.96548273533938"/>
    <m/>
    <m/>
    <m/>
    <m/>
  </r>
  <r>
    <n v="1342"/>
    <x v="184"/>
    <x v="1"/>
    <x v="0"/>
    <x v="6"/>
    <x v="1"/>
    <x v="31"/>
    <s v="PWEGPL"/>
    <s v="MSEDCL"/>
    <n v="2.5000000000000001E-2"/>
    <s v="CE100014"/>
    <x v="305"/>
    <s v="Manual stop"/>
    <d v="1899-12-30T11:46:00"/>
    <d v="1899-12-30T11:46:00"/>
    <d v="1899-12-30T14:59:00"/>
    <n v="0"/>
    <n v="3.2166666666666659"/>
    <n v="3.2166666666666659"/>
    <s v="TCA audit done"/>
    <s v="Close"/>
    <n v="8.041666666666665E-2"/>
    <s v="G12"/>
    <n v="248.21888599537024"/>
    <s v="None"/>
    <s v="WTG Unscheduled Maintenance"/>
    <n v="1851.9958333333329"/>
    <n v="248.21888599537024"/>
    <m/>
    <m/>
    <m/>
    <m/>
  </r>
  <r>
    <n v="1343"/>
    <x v="184"/>
    <x v="1"/>
    <x v="0"/>
    <x v="6"/>
    <x v="1"/>
    <x v="32"/>
    <s v="PWEGPL"/>
    <s v="MSEDCL"/>
    <n v="2.5000000000000001E-2"/>
    <s v="CE100014"/>
    <x v="305"/>
    <s v="Manual stop"/>
    <d v="1899-12-30T15:05:00"/>
    <d v="1899-12-30T15:05:00"/>
    <d v="1899-12-30T17:25:00"/>
    <n v="0"/>
    <n v="2.3333333333333357"/>
    <n v="2.3333333333333357"/>
    <s v="TCA audit done"/>
    <s v="Close"/>
    <n v="5.8333333333333397E-2"/>
    <s v="G15"/>
    <n v="172.93672839506209"/>
    <s v="None"/>
    <s v="WTG Unscheduled Maintenance"/>
    <n v="1778.7777777777796"/>
    <n v="172.93672839506209"/>
    <m/>
    <m/>
    <m/>
    <m/>
  </r>
  <r>
    <n v="1344"/>
    <x v="184"/>
    <x v="1"/>
    <x v="0"/>
    <x v="6"/>
    <x v="1"/>
    <x v="12"/>
    <s v="PWEGPL"/>
    <s v="MSEDCL"/>
    <n v="2.5000000000000001E-2"/>
    <n v="5201"/>
    <x v="299"/>
    <s v="BD"/>
    <d v="1899-12-30T06:55:00"/>
    <m/>
    <d v="1899-12-30T11:06:00"/>
    <s v=""/>
    <n v="11.1"/>
    <n v="4.1833333333333318"/>
    <s v="ACB loose connection tightened"/>
    <s v="Close"/>
    <n v="0.10458333333333331"/>
    <s v="G30"/>
    <n v="419.2471059992281"/>
    <s v="None"/>
    <s v="WTG Breakdown Maintenance"/>
    <n v="2405.2423611111103"/>
    <n v="419.2471059992281"/>
    <m/>
    <m/>
    <m/>
    <m/>
  </r>
  <r>
    <n v="1345"/>
    <x v="184"/>
    <x v="1"/>
    <x v="0"/>
    <x v="6"/>
    <x v="1"/>
    <x v="3"/>
    <s v="PWEGPL"/>
    <s v="MSEDCL"/>
    <n v="2.5000000000000001E-2"/>
    <n v="205"/>
    <x v="312"/>
    <s v="BD"/>
    <d v="1899-12-30T08:25:00"/>
    <m/>
    <d v="1899-12-30T11:35:00"/>
    <s v=""/>
    <n v="11.583333333333334"/>
    <n v="3.1666666666666674"/>
    <s v="Oil Topup"/>
    <s v="Close"/>
    <n v="7.9166666666666691E-2"/>
    <s v="G26"/>
    <n v="227.41816165123467"/>
    <s v="None"/>
    <s v="WTG Breakdown Maintenance"/>
    <n v="1723.5902777777781"/>
    <n v="227.41816165123467"/>
    <m/>
    <m/>
    <m/>
    <m/>
  </r>
  <r>
    <n v="1346"/>
    <x v="184"/>
    <x v="1"/>
    <x v="0"/>
    <x v="6"/>
    <x v="1"/>
    <x v="13"/>
    <s v="PWEGPL"/>
    <s v="MSEDCL"/>
    <n v="2.5000000000000001E-2"/>
    <s v="CE100014"/>
    <x v="305"/>
    <s v="Manual stop"/>
    <d v="1899-12-30T11:21:00"/>
    <d v="1899-12-30T11:21:00"/>
    <d v="1899-12-30T15:06:00"/>
    <n v="0"/>
    <n v="3.75"/>
    <n v="3.75"/>
    <s v="TCA audit done"/>
    <s v="Close"/>
    <n v="9.375E-2"/>
    <s v="G35"/>
    <n v="338.5009765625"/>
    <s v="None"/>
    <s v="WTG Unscheduled Maintenance"/>
    <n v="2166.40625"/>
    <n v="338.5009765625"/>
    <m/>
    <m/>
    <m/>
    <m/>
  </r>
  <r>
    <n v="1347"/>
    <x v="184"/>
    <x v="1"/>
    <x v="0"/>
    <x v="6"/>
    <x v="1"/>
    <x v="14"/>
    <s v="PWEGPL"/>
    <s v="MSEDCL"/>
    <n v="2.5000000000000001E-2"/>
    <s v="CE100014"/>
    <x v="305"/>
    <s v="Manual stop"/>
    <d v="1899-12-30T15:16:00"/>
    <d v="1899-12-30T15:16:00"/>
    <d v="1899-12-30T17:20:00"/>
    <n v="0"/>
    <n v="2.0666666666666647"/>
    <n v="2.0666666666666647"/>
    <s v="TCA audit done"/>
    <s v="Close"/>
    <n v="5.1666666666666618E-2"/>
    <s v="G35"/>
    <n v="102.81068672839487"/>
    <s v="None"/>
    <s v="WTG Unscheduled Maintenance"/>
    <n v="1193.9305555555545"/>
    <n v="102.81068672839487"/>
    <m/>
    <m/>
    <m/>
    <m/>
  </r>
  <r>
    <n v="1348"/>
    <x v="184"/>
    <x v="1"/>
    <x v="0"/>
    <x v="6"/>
    <x v="1"/>
    <x v="5"/>
    <s v="PWEGPL"/>
    <s v="MSEDCL"/>
    <n v="2.5000000000000001E-2"/>
    <n v="800"/>
    <x v="298"/>
    <s v="BD"/>
    <d v="1899-12-30T00:55:00"/>
    <m/>
    <d v="1899-12-30T20:10:00"/>
    <s v=""/>
    <n v="20.166666666666668"/>
    <n v="19.25"/>
    <s v="Solenoid valve cable Bulmm sensor cable changed"/>
    <s v="Close"/>
    <n v="0.48125000000000001"/>
    <s v="G39"/>
    <n v="8642.5983072916661"/>
    <s v="None"/>
    <s v="WTG Breakdown Maintenance"/>
    <n v="10775.1875"/>
    <n v="8642.5983072916661"/>
    <m/>
    <m/>
    <m/>
    <m/>
  </r>
  <r>
    <n v="1349"/>
    <x v="185"/>
    <x v="1"/>
    <x v="0"/>
    <x v="6"/>
    <x v="1"/>
    <x v="29"/>
    <s v="PWEGPL"/>
    <s v="MSEDCL"/>
    <n v="2.5000000000000001E-2"/>
    <n v="2118"/>
    <x v="293"/>
    <s v="BD"/>
    <d v="1899-12-30T09:48:00"/>
    <m/>
    <d v="1899-12-30T11:20:00"/>
    <s v=""/>
    <n v="11.333333333333334"/>
    <n v="1.5333333333333332"/>
    <s v="Trouble shooting and reset"/>
    <s v="Close"/>
    <n v="3.833333333333333E-2"/>
    <s v="G10"/>
    <n v="71.312955246913575"/>
    <s v="None"/>
    <s v="WTG Breakdown Maintenance"/>
    <n v="1116.2027777777778"/>
    <n v="71.312955246913575"/>
    <m/>
    <m/>
    <m/>
    <m/>
  </r>
  <r>
    <n v="1350"/>
    <x v="186"/>
    <x v="1"/>
    <x v="0"/>
    <x v="6"/>
    <x v="1"/>
    <x v="29"/>
    <s v="PWEGPL"/>
    <s v="MSEDCL"/>
    <n v="2.5000000000000001E-2"/>
    <n v="2118"/>
    <x v="293"/>
    <s v="BD"/>
    <d v="1899-12-30T13:12:00"/>
    <m/>
    <d v="1899-12-30T15:54:00"/>
    <s v=""/>
    <n v="15.899999999999999"/>
    <n v="2.7000000000000011"/>
    <s v="slipring cleaned"/>
    <s v="Close"/>
    <n v="6.7500000000000032E-2"/>
    <s v="G10"/>
    <n v="197.34890625000017"/>
    <s v="None"/>
    <s v="WTG Breakdown Maintenance"/>
    <n v="1754.2125000000008"/>
    <n v="197.34890625000017"/>
    <m/>
    <m/>
    <m/>
    <m/>
  </r>
  <r>
    <n v="1351"/>
    <x v="186"/>
    <x v="1"/>
    <x v="0"/>
    <x v="6"/>
    <x v="1"/>
    <x v="1"/>
    <s v="PWEGPL"/>
    <s v="MSEDCL"/>
    <n v="2.5000000000000001E-2"/>
    <n v="203"/>
    <x v="290"/>
    <s v="BD"/>
    <d v="1899-12-30T09:58:00"/>
    <m/>
    <d v="1899-12-30T14:29:00"/>
    <s v=""/>
    <n v="14.483333333333333"/>
    <n v="4.5166666666666657"/>
    <s v="oil topup done."/>
    <s v="Close"/>
    <n v="0.11291666666666665"/>
    <s v="G22"/>
    <n v="470.83557773919733"/>
    <s v="None"/>
    <s v="WTG Breakdown Maintenance"/>
    <n v="2501.8569444444438"/>
    <n v="470.83557773919733"/>
    <m/>
    <m/>
    <m/>
    <m/>
  </r>
  <r>
    <n v="1352"/>
    <x v="186"/>
    <x v="1"/>
    <x v="0"/>
    <x v="6"/>
    <x v="1"/>
    <x v="35"/>
    <s v="PWEGPL"/>
    <s v="MSEDCL"/>
    <n v="2.5000000000000001E-2"/>
    <s v="CE100014"/>
    <x v="305"/>
    <s v="Manual stop"/>
    <d v="1899-12-30T14:54:00"/>
    <d v="1899-12-30T14:54:00"/>
    <d v="1899-12-30T16:15:00"/>
    <n v="0"/>
    <n v="1.3500000000000005"/>
    <n v="1.3500000000000005"/>
    <s v="TCA audit done"/>
    <s v="Close"/>
    <n v="3.3750000000000016E-2"/>
    <s v="G22"/>
    <n v="42.063046875000026"/>
    <s v="None"/>
    <s v="WTG Unscheduled Maintenance"/>
    <n v="747.78750000000025"/>
    <n v="42.063046875000026"/>
    <m/>
    <m/>
    <m/>
    <m/>
  </r>
  <r>
    <n v="1353"/>
    <x v="186"/>
    <x v="1"/>
    <x v="0"/>
    <x v="6"/>
    <x v="1"/>
    <x v="36"/>
    <s v="PWEGPL"/>
    <s v="MSEDCL"/>
    <n v="2.5000000000000001E-2"/>
    <s v="CE100014"/>
    <x v="305"/>
    <s v="Manual stop"/>
    <d v="1899-12-30T14:10:00"/>
    <d v="1899-12-30T14:10:00"/>
    <d v="1899-12-30T16:50:00"/>
    <n v="0"/>
    <n v="2.6666666666666652"/>
    <n v="2.6666666666666652"/>
    <s v="TCA audit done"/>
    <s v="Close"/>
    <n v="6.6666666666666638E-2"/>
    <s v="G22"/>
    <n v="164.12345679012324"/>
    <s v="None"/>
    <s v="WTG Unscheduled Maintenance"/>
    <n v="1477.1111111111102"/>
    <n v="164.12345679012324"/>
    <m/>
    <m/>
    <m/>
    <m/>
  </r>
  <r>
    <n v="1354"/>
    <x v="186"/>
    <x v="1"/>
    <x v="0"/>
    <x v="6"/>
    <x v="1"/>
    <x v="8"/>
    <s v="PWEGPL"/>
    <s v="MSEDCL"/>
    <n v="2.5000000000000001E-2"/>
    <s v="CE100014"/>
    <x v="305"/>
    <s v="Manual stop"/>
    <d v="1899-12-30T10:30:00"/>
    <d v="1899-12-30T10:30:00"/>
    <d v="1899-12-30T16:42:00"/>
    <n v="0"/>
    <n v="6.1999999999999993"/>
    <n v="6.1999999999999993"/>
    <s v="TCA audit done"/>
    <s v="Close"/>
    <n v="0.155"/>
    <s v="G22"/>
    <n v="887.18986111111087"/>
    <s v="None"/>
    <s v="WTG Unscheduled Maintenance"/>
    <n v="3434.2833333333328"/>
    <n v="887.18986111111087"/>
    <m/>
    <m/>
    <m/>
    <m/>
  </r>
  <r>
    <n v="1355"/>
    <x v="186"/>
    <x v="1"/>
    <x v="0"/>
    <x v="6"/>
    <x v="1"/>
    <x v="9"/>
    <s v="PWEGPL"/>
    <s v="MSEDCL"/>
    <n v="2.5000000000000001E-2"/>
    <s v="CE100014"/>
    <x v="305"/>
    <s v="Manual stop"/>
    <d v="1899-12-30T11:00:00"/>
    <d v="1899-12-30T11:00:00"/>
    <d v="1899-12-30T13:50:00"/>
    <n v="0"/>
    <n v="2.8333333333333353"/>
    <n v="2.8333333333333353"/>
    <s v="TCA audit done"/>
    <s v="Close"/>
    <n v="7.0833333333333387E-2"/>
    <s v="G22"/>
    <n v="185.27999614197554"/>
    <s v="None"/>
    <s v="WTG Unscheduled Maintenance"/>
    <n v="1569.4305555555566"/>
    <n v="185.27999614197554"/>
    <m/>
    <m/>
    <m/>
    <m/>
  </r>
  <r>
    <n v="1356"/>
    <x v="186"/>
    <x v="1"/>
    <x v="0"/>
    <x v="6"/>
    <x v="1"/>
    <x v="29"/>
    <s v="PWEGPL"/>
    <s v="MSEDCL"/>
    <n v="2.5000000000000001E-2"/>
    <n v="2118"/>
    <x v="293"/>
    <s v="BD"/>
    <d v="1899-12-30T16:11:00"/>
    <d v="1899-12-30T16:11:00"/>
    <d v="1899-12-30T18:00:00"/>
    <n v="0"/>
    <n v="1.8166666666666655"/>
    <n v="1.8166666666666655"/>
    <s v="reset"/>
    <s v="Close"/>
    <n v="4.541666666666664E-2"/>
    <s v="G10"/>
    <n v="89.342415605709775"/>
    <s v="None"/>
    <s v="WTG Breakdown Maintenance"/>
    <n v="1180.3034722222217"/>
    <n v="89.342415605709775"/>
    <m/>
    <m/>
    <m/>
    <m/>
  </r>
  <r>
    <n v="1357"/>
    <x v="187"/>
    <x v="1"/>
    <x v="0"/>
    <x v="6"/>
    <x v="1"/>
    <x v="20"/>
    <s v="PWEGPL"/>
    <s v="MSEDCL"/>
    <n v="2.5000000000000001E-2"/>
    <s v="CE100014"/>
    <x v="305"/>
    <s v="Manual stop"/>
    <d v="1899-12-30T14:04:00"/>
    <d v="1899-12-30T14:04:00"/>
    <d v="1899-12-30T16:31:00"/>
    <n v="0"/>
    <n v="2.4499999999999993"/>
    <n v="2.4499999999999993"/>
    <s v="TCA audit done"/>
    <s v="Close"/>
    <n v="6.1249999999999985E-2"/>
    <s v="G03"/>
    <n v="106.37763888888882"/>
    <s v="None"/>
    <s v="WTG Unscheduled Maintenance"/>
    <n v="1042.0666666666664"/>
    <n v="106.37763888888882"/>
    <m/>
    <m/>
    <m/>
    <m/>
  </r>
  <r>
    <n v="1358"/>
    <x v="187"/>
    <x v="1"/>
    <x v="0"/>
    <x v="6"/>
    <x v="1"/>
    <x v="21"/>
    <s v="PWEGPL"/>
    <s v="MSEDCL"/>
    <n v="2.5000000000000001E-2"/>
    <s v="CE100014"/>
    <x v="305"/>
    <s v="Manual stop"/>
    <d v="1899-12-30T10:39:00"/>
    <d v="1899-12-30T10:39:00"/>
    <d v="1899-12-30T14:15:00"/>
    <n v="0"/>
    <n v="3.5999999999999992"/>
    <n v="3.5999999999999992"/>
    <s v="TCA audit done"/>
    <s v="Close"/>
    <n v="8.9999999999999983E-2"/>
    <s v="G03"/>
    <n v="229.67999999999989"/>
    <s v="None"/>
    <s v="WTG Unscheduled Maintenance"/>
    <n v="1531.1999999999996"/>
    <n v="229.67999999999989"/>
    <m/>
    <m/>
    <m/>
    <m/>
  </r>
  <r>
    <n v="1359"/>
    <x v="187"/>
    <x v="1"/>
    <x v="0"/>
    <x v="6"/>
    <x v="1"/>
    <x v="23"/>
    <s v="PWEGPL"/>
    <s v="MSEDCL"/>
    <n v="2.5000000000000001E-2"/>
    <s v="CE100014"/>
    <x v="305"/>
    <s v="Manual stop"/>
    <d v="1899-12-30T10:22:00"/>
    <d v="1899-12-30T10:22:00"/>
    <d v="1899-12-30T13:50:00"/>
    <n v="0"/>
    <n v="3.4666666666666677"/>
    <n v="3.4666666666666677"/>
    <s v="TCA audit done"/>
    <s v="Close"/>
    <n v="8.6666666666666697E-2"/>
    <s v="G03"/>
    <n v="212.98172839506185"/>
    <s v="None"/>
    <s v="WTG Unscheduled Maintenance"/>
    <n v="1474.4888888888893"/>
    <n v="212.98172839506185"/>
    <m/>
    <m/>
    <m/>
    <m/>
  </r>
  <r>
    <n v="1360"/>
    <x v="187"/>
    <x v="1"/>
    <x v="0"/>
    <x v="6"/>
    <x v="1"/>
    <x v="26"/>
    <s v="PWEGPL"/>
    <s v="MSEDCL"/>
    <n v="2.5000000000000001E-2"/>
    <s v="CE100014"/>
    <x v="305"/>
    <s v="Manual stop"/>
    <d v="1899-12-30T14:30:00"/>
    <d v="1899-12-30T14:30:00"/>
    <d v="1899-12-30T17:25:00"/>
    <n v="0"/>
    <n v="2.9166666666666696"/>
    <n v="2.9166666666666696"/>
    <s v="TCA audit done"/>
    <s v="Close"/>
    <n v="7.2916666666666741E-2"/>
    <s v="G03"/>
    <n v="150.7619598765435"/>
    <s v="None"/>
    <s v="WTG Unscheduled Maintenance"/>
    <n v="1240.5555555555568"/>
    <n v="150.7619598765435"/>
    <m/>
    <m/>
    <m/>
    <m/>
  </r>
  <r>
    <n v="1361"/>
    <x v="187"/>
    <x v="1"/>
    <x v="0"/>
    <x v="6"/>
    <x v="1"/>
    <x v="5"/>
    <s v="PWEGPL"/>
    <s v="MSEDCL"/>
    <n v="2.5000000000000001E-2"/>
    <n v="5203"/>
    <x v="294"/>
    <s v="BD"/>
    <d v="1899-12-30T16:34:00"/>
    <m/>
    <d v="1899-12-30T17:38:00"/>
    <s v=""/>
    <n v="17.633333333333333"/>
    <n v="1.0666666666666655"/>
    <s v="Reset from WTG"/>
    <s v="Close"/>
    <n v="2.6666666666666641E-2"/>
    <s v="G39"/>
    <n v="15.57728395061725"/>
    <s v="None"/>
    <s v="WTG Breakdown Maintenance"/>
    <n v="350.48888888888848"/>
    <n v="15.57728395061725"/>
    <m/>
    <m/>
    <m/>
    <m/>
  </r>
  <r>
    <n v="1362"/>
    <x v="188"/>
    <x v="1"/>
    <x v="0"/>
    <x v="6"/>
    <x v="1"/>
    <x v="27"/>
    <s v="PWEGPL"/>
    <s v="MSEDCL"/>
    <n v="2.5000000000000001E-2"/>
    <s v="CE100014"/>
    <x v="305"/>
    <s v="Manual stop"/>
    <d v="1899-12-30T10:30:00"/>
    <d v="1899-12-30T10:30:00"/>
    <d v="1899-12-30T13:00:00"/>
    <n v="0"/>
    <n v="2.4999999999999991"/>
    <n v="2.4999999999999991"/>
    <s v="TCA audit done"/>
    <s v="Close"/>
    <n v="6.2499999999999979E-2"/>
    <s v="G13"/>
    <n v="126.23697916666659"/>
    <s v="None"/>
    <s v="WTG Unscheduled Maintenance"/>
    <n v="1211.8749999999995"/>
    <n v="126.23697916666659"/>
    <m/>
    <m/>
    <m/>
    <m/>
  </r>
  <r>
    <n v="1363"/>
    <x v="188"/>
    <x v="1"/>
    <x v="0"/>
    <x v="6"/>
    <x v="1"/>
    <x v="30"/>
    <s v="PWEGPL"/>
    <s v="MSEDCL"/>
    <n v="2.5000000000000001E-2"/>
    <s v="CE100014"/>
    <x v="305"/>
    <s v="Manual stop"/>
    <d v="1899-12-30T10:08:00"/>
    <d v="1899-12-30T10:08:00"/>
    <d v="1899-12-30T13:00:00"/>
    <n v="0"/>
    <n v="2.8666666666666658"/>
    <n v="2.8666666666666658"/>
    <s v="TCA audit done"/>
    <s v="Close"/>
    <n v="7.1666666666666642E-2"/>
    <s v="G13"/>
    <n v="165.98199074074066"/>
    <s v="None"/>
    <s v="WTG Unscheduled Maintenance"/>
    <n v="1389.6166666666663"/>
    <n v="165.98199074074066"/>
    <m/>
    <m/>
    <m/>
    <m/>
  </r>
  <r>
    <n v="1364"/>
    <x v="188"/>
    <x v="1"/>
    <x v="0"/>
    <x v="6"/>
    <x v="1"/>
    <x v="18"/>
    <s v="PWEGPL"/>
    <s v="MSEDCL"/>
    <n v="2.5000000000000001E-2"/>
    <s v="CE100014"/>
    <x v="305"/>
    <s v="Manual stop"/>
    <d v="1899-12-30T13:21:00"/>
    <d v="1899-12-30T13:21:00"/>
    <d v="1899-12-30T17:00:00"/>
    <n v="0"/>
    <n v="3.6500000000000004"/>
    <n v="3.6500000000000004"/>
    <s v="TCA audit done"/>
    <s v="Close"/>
    <n v="9.1250000000000012E-2"/>
    <s v="G18"/>
    <n v="304.08143663194443"/>
    <s v="None"/>
    <s v="WTG Unscheduled Maintenance"/>
    <n v="1999.4395833333333"/>
    <n v="304.08143663194443"/>
    <m/>
    <m/>
    <m/>
    <m/>
  </r>
  <r>
    <n v="1365"/>
    <x v="188"/>
    <x v="1"/>
    <x v="0"/>
    <x v="6"/>
    <x v="1"/>
    <x v="19"/>
    <s v="PWEGPL"/>
    <s v="MSEDCL"/>
    <n v="2.5000000000000001E-2"/>
    <s v="CE100014"/>
    <x v="305"/>
    <s v="Manual stop"/>
    <d v="1899-12-30T14:00:00"/>
    <d v="1899-12-30T14:00:00"/>
    <d v="1899-12-30T17:00:00"/>
    <n v="0"/>
    <n v="3"/>
    <n v="3"/>
    <s v="TCA audit done"/>
    <s v="Close"/>
    <n v="7.5000000000000011E-2"/>
    <s v="G18"/>
    <n v="205.421875"/>
    <s v="None"/>
    <s v="WTG Unscheduled Maintenance"/>
    <n v="1643.375"/>
    <n v="205.421875"/>
    <m/>
    <m/>
    <m/>
    <m/>
  </r>
  <r>
    <n v="1366"/>
    <x v="188"/>
    <x v="1"/>
    <x v="0"/>
    <x v="6"/>
    <x v="1"/>
    <x v="8"/>
    <s v="PWEGPL"/>
    <s v="MSEDCL"/>
    <n v="2.5000000000000001E-2"/>
    <n v="203"/>
    <x v="290"/>
    <s v="BD"/>
    <d v="1899-12-30T09:27:00"/>
    <m/>
    <d v="1899-12-30T11:40:00"/>
    <s v=""/>
    <n v="11.666666666666666"/>
    <n v="2.2166666666666668"/>
    <s v=" Nacelle needel valve tightened"/>
    <s v="Close"/>
    <n v="5.541666666666667E-2"/>
    <s v="G25"/>
    <n v="91.251559124228393"/>
    <s v="None"/>
    <s v="WTG Breakdown Maintenance"/>
    <n v="987.98680555555552"/>
    <n v="91.251559124228393"/>
    <m/>
    <m/>
    <m/>
    <m/>
  </r>
  <r>
    <n v="1367"/>
    <x v="188"/>
    <x v="1"/>
    <x v="0"/>
    <x v="6"/>
    <x v="1"/>
    <x v="3"/>
    <s v="PWEGPL"/>
    <s v="MSEDCL"/>
    <n v="2.5000000000000001E-2"/>
    <n v="205"/>
    <x v="312"/>
    <s v="BD"/>
    <d v="1899-12-30T10:40:00"/>
    <m/>
    <d v="1899-12-30T11:35:00"/>
    <s v=""/>
    <n v="11.583333333333334"/>
    <n v="0.91666666666666741"/>
    <s v="Oil topup"/>
    <s v="Close"/>
    <n v="2.2916666666666686E-2"/>
    <s v="G26"/>
    <n v="13.113293306327183"/>
    <s v="None"/>
    <s v="WTG Breakdown Maintenance"/>
    <n v="343.32986111111143"/>
    <n v="13.113293306327183"/>
    <m/>
    <m/>
    <m/>
    <m/>
  </r>
  <r>
    <n v="1368"/>
    <x v="188"/>
    <x v="1"/>
    <x v="0"/>
    <x v="6"/>
    <x v="1"/>
    <x v="19"/>
    <s v="PWEGPL"/>
    <s v="MSEDCL"/>
    <n v="2.5000000000000001E-2"/>
    <s v="CE100003"/>
    <x v="380"/>
    <s v="BD/TCA"/>
    <d v="1899-12-30T17:00:00"/>
    <d v="1899-12-30T17:00:00"/>
    <d v="1899-12-30T23:59:00"/>
    <n v="0"/>
    <n v="6.9833333333333325"/>
    <n v="6.9833333333333325"/>
    <s v="Transformer mounting structure bolt broken waiting for material and technical team guidence."/>
    <s v="Open"/>
    <n v="0.17458333333333331"/>
    <s v="G18"/>
    <n v="1113.0885739776231"/>
    <s v="Material shortage-Transformer mounting M20x40 bolt found broken 04 pc."/>
    <s v="WTG Breakdown Maintenance"/>
    <n v="3825.411805555555"/>
    <n v="1113.0885739776231"/>
    <m/>
    <m/>
    <m/>
    <m/>
  </r>
  <r>
    <n v="1369"/>
    <x v="189"/>
    <x v="1"/>
    <x v="0"/>
    <x v="6"/>
    <x v="1"/>
    <x v="22"/>
    <s v="PWEGPL"/>
    <s v="MSEDCL"/>
    <n v="2.5000000000000001E-2"/>
    <s v="CE100014"/>
    <x v="305"/>
    <s v="Manual stop"/>
    <d v="1899-12-30T10:48:00"/>
    <d v="1899-12-30T10:48:00"/>
    <d v="1899-12-30T13:15:00"/>
    <n v="0"/>
    <n v="2.4500000000000006"/>
    <n v="2.4500000000000006"/>
    <s v="TCA audit done"/>
    <s v="Close"/>
    <n v="6.125000000000002E-2"/>
    <s v="G01"/>
    <n v="127.06333767361119"/>
    <s v="None"/>
    <s v="WTG Unscheduled Maintenance"/>
    <n v="1244.7020833333338"/>
    <n v="127.06333767361119"/>
    <m/>
    <m/>
    <m/>
    <m/>
  </r>
  <r>
    <n v="1370"/>
    <x v="189"/>
    <x v="1"/>
    <x v="0"/>
    <x v="6"/>
    <x v="1"/>
    <x v="23"/>
    <s v="PWEGPL"/>
    <s v="MSEDCL"/>
    <n v="2.5000000000000001E-2"/>
    <n v="2118"/>
    <x v="293"/>
    <s v="BD"/>
    <d v="1899-12-30T16:30:00"/>
    <m/>
    <d v="1899-12-30T18:10:00"/>
    <s v=""/>
    <n v="18.166666666666668"/>
    <n v="1.6666666666666687"/>
    <s v="OFC cable replacement-CCU to Gateway"/>
    <s v="Close"/>
    <n v="4.166666666666672E-2"/>
    <s v="G07"/>
    <n v="64.790702160493979"/>
    <s v="None"/>
    <s v="WTG Breakdown Maintenance"/>
    <n v="932.98611111111222"/>
    <n v="64.790702160493979"/>
    <m/>
    <m/>
    <m/>
    <m/>
  </r>
  <r>
    <n v="1371"/>
    <x v="189"/>
    <x v="1"/>
    <x v="0"/>
    <x v="6"/>
    <x v="1"/>
    <x v="0"/>
    <s v="PWEGPL"/>
    <s v="MSEDCL"/>
    <n v="2.5000000000000001E-2"/>
    <n v="5205"/>
    <x v="326"/>
    <s v="BD"/>
    <d v="1899-12-30T04:19:00"/>
    <m/>
    <d v="1899-12-30T07:49:00"/>
    <s v=""/>
    <n v="7.8166666666666664"/>
    <n v="3.5"/>
    <s v="ACB charged"/>
    <s v="Close"/>
    <n v="8.7500000000000008E-2"/>
    <s v="G16"/>
    <n v="341.0008680555556"/>
    <s v="None"/>
    <s v="WTG Breakdown Maintenance"/>
    <n v="2338.291666666667"/>
    <n v="341.0008680555556"/>
    <m/>
    <m/>
    <m/>
    <m/>
  </r>
  <r>
    <n v="1372"/>
    <x v="189"/>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4654.6251326196"/>
    <s v="Material shortage-Transformer mounting M20x40 bolt found broken 04 pc."/>
    <s v="WTG Breakdown Maintenance"/>
    <n v="14664.809027777779"/>
    <n v="14654.6251326196"/>
    <m/>
    <m/>
    <m/>
    <m/>
  </r>
  <r>
    <n v="1373"/>
    <x v="189"/>
    <x v="1"/>
    <x v="0"/>
    <x v="6"/>
    <x v="1"/>
    <x v="5"/>
    <s v="PWEGPL"/>
    <s v="MSEDCL"/>
    <n v="2.5000000000000001E-2"/>
    <s v="CE100001"/>
    <x v="288"/>
    <s v="Manual stop"/>
    <d v="1899-12-30T15:00:00"/>
    <d v="1899-12-30T15:00:00"/>
    <d v="1899-12-30T16:16:00"/>
    <n v="0"/>
    <n v="1.2666666666666648"/>
    <n v="1.2666666666666648"/>
    <s v="Relay replaced"/>
    <s v="Close"/>
    <n v="3.1666666666666621E-2"/>
    <s v="G39"/>
    <n v="26.283919753086344"/>
    <s v="None"/>
    <s v="WTG Unscheduled Maintenance"/>
    <n v="498.01111111111044"/>
    <n v="26.283919753086344"/>
    <m/>
    <m/>
    <m/>
    <m/>
  </r>
  <r>
    <n v="1374"/>
    <x v="189"/>
    <x v="1"/>
    <x v="0"/>
    <x v="6"/>
    <x v="1"/>
    <x v="7"/>
    <s v="PWEGPL"/>
    <s v="MSEDCL"/>
    <n v="2.5000000000000001E-2"/>
    <s v="CE100014"/>
    <x v="305"/>
    <s v="Manual stop"/>
    <d v="1899-12-30T14:02:00"/>
    <d v="1899-12-30T14:02:00"/>
    <d v="1899-12-30T16:40:00"/>
    <n v="0"/>
    <n v="2.6333333333333346"/>
    <n v="2.6333333333333346"/>
    <s v="TCA audit done"/>
    <s v="Close"/>
    <n v="6.5833333333333369E-2"/>
    <s v="G39"/>
    <n v="113.59968364197542"/>
    <s v="None"/>
    <s v="WTG Unscheduled Maintenance"/>
    <n v="1035.3388888888894"/>
    <n v="113.59968364197542"/>
    <m/>
    <m/>
    <m/>
    <m/>
  </r>
  <r>
    <n v="1375"/>
    <x v="190"/>
    <x v="1"/>
    <x v="0"/>
    <x v="6"/>
    <x v="1"/>
    <x v="21"/>
    <s v="PWEGPL"/>
    <s v="MSEDCL"/>
    <n v="2.5000000000000001E-2"/>
    <n v="5205"/>
    <x v="326"/>
    <s v="BD"/>
    <d v="1899-12-30T21:30:00"/>
    <m/>
    <d v="1899-12-30T22:28:00"/>
    <s v=""/>
    <n v="22.466666666666665"/>
    <n v="0.96666666666666323"/>
    <s v="reset"/>
    <s v="Close"/>
    <n v="2.4166666666666583E-2"/>
    <s v="G04"/>
    <n v="23.825088734567732"/>
    <s v="None"/>
    <s v="WTG Unscheduled Maintenance"/>
    <n v="591.51944444444234"/>
    <n v="23.825088734567732"/>
    <m/>
    <m/>
    <m/>
    <m/>
  </r>
  <r>
    <n v="1376"/>
    <x v="190"/>
    <x v="1"/>
    <x v="0"/>
    <x v="6"/>
    <x v="1"/>
    <x v="27"/>
    <s v="PWEGPL"/>
    <s v="MSEDCL"/>
    <n v="2.5000000000000001E-2"/>
    <s v="CE100014"/>
    <x v="305"/>
    <s v="Manual stop"/>
    <d v="1899-12-30T11:42:00"/>
    <d v="1899-12-30T11:42:00"/>
    <d v="1899-12-30T15:26:00"/>
    <n v="0"/>
    <n v="3.7333333333333347"/>
    <n v="3.7333333333333347"/>
    <s v="TCA-Gear box inspection"/>
    <s v="Close"/>
    <n v="9.3333333333333379E-2"/>
    <s v="G12"/>
    <n v="376.53777777777805"/>
    <s v="None"/>
    <s v="WTG Unscheduled Maintenance"/>
    <n v="2420.6000000000008"/>
    <n v="376.53777777777805"/>
    <m/>
    <m/>
    <m/>
    <m/>
  </r>
  <r>
    <n v="1377"/>
    <x v="190"/>
    <x v="1"/>
    <x v="0"/>
    <x v="6"/>
    <x v="1"/>
    <x v="31"/>
    <s v="PWEGPL"/>
    <s v="MSEDCL"/>
    <n v="2.5000000000000001E-2"/>
    <s v="CE100014"/>
    <x v="305"/>
    <s v="Manual stop"/>
    <d v="1899-12-30T02:33:00"/>
    <d v="1899-12-30T02:33:00"/>
    <d v="1899-12-30T07:22:00"/>
    <n v="0"/>
    <n v="4.8166666666666655"/>
    <n v="4.8166666666666655"/>
    <s v="TCA-Gear box inspection"/>
    <s v="Close"/>
    <n v="0.12041666666666664"/>
    <s v="G14"/>
    <n v="681.06509886188235"/>
    <s v="None"/>
    <s v="WTG Breakdown Maintenance"/>
    <n v="3393.54236111111"/>
    <n v="681.06509886188235"/>
    <m/>
    <m/>
    <m/>
    <m/>
  </r>
  <r>
    <n v="1378"/>
    <x v="190"/>
    <x v="1"/>
    <x v="0"/>
    <x v="6"/>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21278.50743340607"/>
    <s v="Material shortage-Transformer mounting M20x40 bolt found broken 04 pc."/>
    <s v="WTG Breakdown Maintenance"/>
    <n v="21278.753715277777"/>
    <n v="21278.50743340607"/>
    <m/>
    <m/>
    <m/>
    <m/>
  </r>
  <r>
    <n v="1379"/>
    <x v="190"/>
    <x v="1"/>
    <x v="0"/>
    <x v="6"/>
    <x v="1"/>
    <x v="34"/>
    <s v="PWEGPL"/>
    <s v="MSEDCL"/>
    <n v="2.5000000000000001E-2"/>
    <n v="429"/>
    <x v="316"/>
    <s v="BD"/>
    <d v="1899-12-30T17:30:00"/>
    <m/>
    <d v="1899-12-30T18:30:00"/>
    <s v=""/>
    <n v="18.5"/>
    <n v="1.0000000000000018"/>
    <s v="reset"/>
    <s v="Close"/>
    <n v="2.5000000000000046E-2"/>
    <s v="G23"/>
    <n v="21.935763888888967"/>
    <s v="None"/>
    <s v="WTG Breakdown Maintenance"/>
    <n v="526.45833333333428"/>
    <n v="21.935763888888967"/>
    <m/>
    <m/>
    <m/>
    <m/>
  </r>
  <r>
    <n v="1380"/>
    <x v="191"/>
    <x v="1"/>
    <x v="0"/>
    <x v="6"/>
    <x v="1"/>
    <x v="28"/>
    <s v="PWEGPL"/>
    <s v="MSEDCL"/>
    <n v="2.5000000000000001E-2"/>
    <s v="CE100014"/>
    <x v="305"/>
    <s v="Manual stop"/>
    <d v="1899-12-30T10:21:00"/>
    <d v="1899-12-30T10:21:00"/>
    <d v="1899-12-30T17:21:00"/>
    <n v="0"/>
    <n v="7.0000000000000036"/>
    <n v="7.0000000000000036"/>
    <s v="TCA-Gear box inspection"/>
    <s v="Close"/>
    <n v="0.1750000000000001"/>
    <s v="G08"/>
    <n v="1373.0208333333348"/>
    <s v="None"/>
    <s v="WTG Unscheduled Maintenance"/>
    <n v="4707.5000000000027"/>
    <n v="1373.0208333333348"/>
    <m/>
    <m/>
    <m/>
    <m/>
  </r>
  <r>
    <n v="1381"/>
    <x v="191"/>
    <x v="1"/>
    <x v="0"/>
    <x v="6"/>
    <x v="1"/>
    <x v="29"/>
    <s v="PWEGPL"/>
    <s v="MSEDCL"/>
    <n v="2.5000000000000001E-2"/>
    <s v="CE100014"/>
    <x v="305"/>
    <s v="Manual stop"/>
    <d v="1899-12-30T10:40:00"/>
    <d v="1899-12-30T10:40:00"/>
    <d v="1899-12-30T16:55:00"/>
    <n v="0"/>
    <n v="6.2500000000000018"/>
    <n v="6.2500000000000018"/>
    <s v="TCA-Gear box inspection"/>
    <s v="Close"/>
    <n v="0.15625000000000006"/>
    <s v="G09"/>
    <n v="1034.0033637152783"/>
    <s v="None"/>
    <s v="WTG Unscheduled Maintenance"/>
    <n v="3970.5729166666674"/>
    <n v="1034.0033637152783"/>
    <m/>
    <m/>
    <m/>
    <m/>
  </r>
  <r>
    <n v="1382"/>
    <x v="191"/>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21569.011805073307"/>
    <s v="Material shortage-Transformer mounting M20x40 bolt found broken 04 pc."/>
    <s v="WTG Breakdown Maintenance"/>
    <n v="21584.000694444447"/>
    <n v="21569.011805073307"/>
    <m/>
    <m/>
    <m/>
    <m/>
  </r>
  <r>
    <n v="1383"/>
    <x v="191"/>
    <x v="1"/>
    <x v="0"/>
    <x v="6"/>
    <x v="1"/>
    <x v="1"/>
    <s v="PWEGPL"/>
    <s v="MSEDCL"/>
    <n v="2.5000000000000001E-2"/>
    <s v="CE100002"/>
    <x v="381"/>
    <s v="Manual stop"/>
    <d v="1899-12-30T10:00:00"/>
    <d v="1899-12-30T10:00:00"/>
    <d v="1899-12-30T11:00:00"/>
    <n v="0"/>
    <n v="0.99999999999999911"/>
    <n v="0.99999999999999911"/>
    <s v="Blade inspection work"/>
    <s v="Close"/>
    <n v="2.4999999999999981E-2"/>
    <s v="G22"/>
    <n v="27.791666666666618"/>
    <s v="None"/>
    <s v="WTG Unscheduled Maintenance"/>
    <n v="666.99999999999943"/>
    <n v="27.791666666666618"/>
    <m/>
    <m/>
    <m/>
    <m/>
  </r>
  <r>
    <n v="1384"/>
    <x v="192"/>
    <x v="1"/>
    <x v="0"/>
    <x v="6"/>
    <x v="1"/>
    <x v="28"/>
    <s v="PWEGPL"/>
    <s v="MSEDCL"/>
    <n v="2.5000000000000001E-2"/>
    <n v="2509"/>
    <x v="201"/>
    <s v="BD"/>
    <d v="1899-12-30T17:45:00"/>
    <m/>
    <d v="1899-12-30T23:59:00"/>
    <s v=""/>
    <n v="23.983333333333334"/>
    <n v="6.2333333333333325"/>
    <s v="SF6 breaker WIP"/>
    <s v="Open"/>
    <n v="0.15583333333333332"/>
    <s v="G11"/>
    <n v="979.1859645061727"/>
    <s v="None"/>
    <s v="WTG Breakdown Maintenance"/>
    <n v="3770.1277777777777"/>
    <n v="979.1859645061727"/>
    <m/>
    <m/>
    <m/>
    <m/>
  </r>
  <r>
    <n v="1385"/>
    <x v="192"/>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8758.918781346452"/>
    <s v="Material shortage-Transformer mounting M20x40 bolt found broken 04 pc."/>
    <s v="WTG Unscheduled Maintenance"/>
    <n v="18771.954861111113"/>
    <n v="18758.918781346452"/>
    <m/>
    <m/>
    <m/>
    <m/>
  </r>
  <r>
    <n v="1386"/>
    <x v="192"/>
    <x v="1"/>
    <x v="0"/>
    <x v="6"/>
    <x v="1"/>
    <x v="2"/>
    <s v="PWEGPL"/>
    <s v="MSEDCL"/>
    <n v="2.5000000000000001E-2"/>
    <n v="205"/>
    <x v="312"/>
    <s v="BD"/>
    <d v="1899-12-30T16:43:00"/>
    <m/>
    <d v="1899-12-30T18:05:00"/>
    <s v=""/>
    <n v="18.083333333333332"/>
    <n v="1.3666666666666671"/>
    <s v="Oil topup"/>
    <s v="Close"/>
    <n v="3.4166666666666679E-2"/>
    <s v="G40"/>
    <n v="39.959419367283985"/>
    <s v="None"/>
    <s v="WTG Breakdown Maintenance"/>
    <n v="701.72638888888923"/>
    <n v="39.959419367283985"/>
    <m/>
    <m/>
    <m/>
    <m/>
  </r>
  <r>
    <n v="1387"/>
    <x v="193"/>
    <x v="1"/>
    <x v="0"/>
    <x v="6"/>
    <x v="1"/>
    <x v="28"/>
    <s v="PWEGPL"/>
    <s v="MSEDCL"/>
    <n v="2.5000000000000001E-2"/>
    <n v="2509"/>
    <x v="201"/>
    <s v="BD"/>
    <d v="1899-12-30T00:00:00"/>
    <d v="1899-12-30T10:30:00"/>
    <d v="1899-12-30T16:00:00"/>
    <n v="10.5"/>
    <n v="5.4999999999999991"/>
    <n v="16"/>
    <s v="SF6 breaker T-connector replaced"/>
    <s v="Close"/>
    <n v="0.4"/>
    <s v="G11"/>
    <n v="6976"/>
    <s v="None"/>
    <s v="WTG Breakdown Maintenance"/>
    <n v="10464"/>
    <n v="6976"/>
    <m/>
    <m/>
    <m/>
    <m/>
  </r>
  <r>
    <n v="1388"/>
    <x v="193"/>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2975.959044174382"/>
    <s v="Material shortage-Transformer mounting M20x40 bolt found broken 04 pc."/>
    <s v="WTG Breakdown Maintenance"/>
    <n v="12984.976388888888"/>
    <n v="12975.959044174382"/>
    <m/>
    <m/>
    <m/>
    <m/>
  </r>
  <r>
    <n v="1389"/>
    <x v="193"/>
    <x v="1"/>
    <x v="0"/>
    <x v="6"/>
    <x v="1"/>
    <x v="1"/>
    <s v="PWEGPL"/>
    <s v="MSEDCL"/>
    <n v="2.5000000000000001E-2"/>
    <n v="905"/>
    <x v="350"/>
    <s v="BD"/>
    <d v="1899-12-30T17:00:00"/>
    <m/>
    <d v="1899-12-30T18:46:00"/>
    <s v=""/>
    <n v="18.766666666666666"/>
    <n v="1.7666666666666657"/>
    <s v="Emergency circuit loose connection Tightened"/>
    <s v="Close"/>
    <n v="4.4166666666666646E-2"/>
    <s v="G22"/>
    <n v="66.572866512345598"/>
    <s v="None"/>
    <s v="WTG Breakdown Maintenance"/>
    <n v="904.38611111111061"/>
    <n v="66.572866512345598"/>
    <m/>
    <m/>
    <m/>
    <m/>
  </r>
  <r>
    <n v="1390"/>
    <x v="193"/>
    <x v="1"/>
    <x v="0"/>
    <x v="6"/>
    <x v="1"/>
    <x v="9"/>
    <s v="PWEGPL"/>
    <s v="MSEDCL"/>
    <n v="2.5000000000000001E-2"/>
    <s v="CE100014"/>
    <x v="305"/>
    <s v="Manual stop"/>
    <d v="1899-12-30T10:50:00"/>
    <d v="1899-12-30T10:50:00"/>
    <d v="1899-12-30T17:02:00"/>
    <n v="0"/>
    <n v="6.2000000000000011"/>
    <n v="6.2000000000000011"/>
    <s v="TCA-Gear box inspection"/>
    <s v="Close"/>
    <n v="0.15500000000000003"/>
    <s v="G30"/>
    <n v="711.67388888888922"/>
    <s v="None"/>
    <s v="WTG Unscheduled Maintenance"/>
    <n v="2754.8666666666672"/>
    <n v="711.67388888888922"/>
    <m/>
    <m/>
    <m/>
    <m/>
  </r>
  <r>
    <n v="1391"/>
    <x v="193"/>
    <x v="1"/>
    <x v="0"/>
    <x v="6"/>
    <x v="1"/>
    <x v="10"/>
    <s v="PWEGPL"/>
    <s v="MSEDCL"/>
    <n v="2.5000000000000001E-2"/>
    <s v="CE100014"/>
    <x v="305"/>
    <s v="Manual stop"/>
    <d v="1899-12-30T10:58:00"/>
    <d v="1899-12-30T10:58:00"/>
    <d v="1899-12-30T14:41:00"/>
    <n v="0"/>
    <n v="3.7166666666666681"/>
    <n v="3.7166666666666681"/>
    <s v="TCA-Gear box inspection"/>
    <s v="Close"/>
    <n v="9.2916666666666703E-2"/>
    <s v="G31`"/>
    <n v="268.33419222608046"/>
    <s v="None"/>
    <s v="WTG Unscheduled Maintenance"/>
    <n v="1732.7409722222228"/>
    <n v="268.33419222608046"/>
    <m/>
    <m/>
    <m/>
    <m/>
  </r>
  <r>
    <n v="1392"/>
    <x v="194"/>
    <x v="1"/>
    <x v="0"/>
    <x v="6"/>
    <x v="1"/>
    <x v="25"/>
    <s v="PWEGPL"/>
    <s v="MSEDCL"/>
    <n v="2.5000000000000001E-2"/>
    <s v="CE100014"/>
    <x v="305"/>
    <s v="Manual stop"/>
    <d v="1899-12-30T10:44:00"/>
    <d v="1899-12-30T10:44:00"/>
    <d v="1899-12-30T15:14:00"/>
    <n v="0"/>
    <n v="4.5"/>
    <n v="4.5"/>
    <s v="TCA-Gear box inspection"/>
    <s v="Close"/>
    <n v="0.1125"/>
    <s v="G01"/>
    <n v="162.421875"/>
    <s v="None"/>
    <s v="WTG Unscheduled Maintenance"/>
    <n v="866.25"/>
    <n v="162.421875"/>
    <m/>
    <m/>
    <m/>
    <m/>
  </r>
  <r>
    <n v="1393"/>
    <x v="194"/>
    <x v="1"/>
    <x v="0"/>
    <x v="6"/>
    <x v="1"/>
    <x v="17"/>
    <s v="PWEGPL"/>
    <s v="MSEDCL"/>
    <n v="2.5000000000000001E-2"/>
    <s v="CE100014"/>
    <x v="305"/>
    <s v="Manual stop"/>
    <d v="1899-12-30T10:41:00"/>
    <d v="1899-12-30T10:41:00"/>
    <d v="1899-12-30T17:18:00"/>
    <n v="0"/>
    <n v="6.6166666666666654"/>
    <n v="6.6166666666666654"/>
    <s v="TCA-Gear box inspection"/>
    <s v="Close"/>
    <n v="0.16541666666666666"/>
    <s v="G09"/>
    <n v="293.08463734567891"/>
    <s v="None"/>
    <s v="WTG Unscheduled Maintenance"/>
    <n v="1063.0777777777776"/>
    <n v="293.08463734567891"/>
    <m/>
    <m/>
    <m/>
    <m/>
  </r>
  <r>
    <n v="1394"/>
    <x v="194"/>
    <x v="1"/>
    <x v="0"/>
    <x v="6"/>
    <x v="1"/>
    <x v="0"/>
    <s v="PWEGPL"/>
    <s v="MSEDCL"/>
    <n v="2.5000000000000001E-2"/>
    <n v="804"/>
    <x v="382"/>
    <s v="BD"/>
    <d v="1899-12-30T02:00:00"/>
    <m/>
    <d v="1899-12-30T12:56:00"/>
    <s v=""/>
    <n v="12.933333333333334"/>
    <n v="10.933333333333334"/>
    <s v="proportional valve changed"/>
    <s v="Close"/>
    <n v="0.27333333333333337"/>
    <s v="G18"/>
    <n v="982.24358024691367"/>
    <s v="None"/>
    <s v="WTG Breakdown Maintenance"/>
    <n v="2156.1444444444446"/>
    <n v="982.24358024691367"/>
    <m/>
    <m/>
    <m/>
    <m/>
  </r>
  <r>
    <n v="1395"/>
    <x v="194"/>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5022.0177030285495"/>
    <s v="Material shortage-Transformer mounting M20x40 bolt found broken 04 pc."/>
    <s v="WTG Breakdown Maintenance"/>
    <n v="5025.5076388888892"/>
    <n v="5022.0177030285495"/>
    <m/>
    <m/>
    <m/>
    <m/>
  </r>
  <r>
    <n v="1396"/>
    <x v="194"/>
    <x v="1"/>
    <x v="0"/>
    <x v="6"/>
    <x v="1"/>
    <x v="6"/>
    <s v="PWEGPL"/>
    <s v="MSEDCL"/>
    <n v="2.5000000000000001E-2"/>
    <n v="203"/>
    <x v="290"/>
    <s v="BD"/>
    <d v="1899-12-30T02:39:00"/>
    <m/>
    <d v="1899-12-30T12:00:00"/>
    <s v=""/>
    <n v="12"/>
    <n v="9.35"/>
    <s v="solinoid valve replaced"/>
    <s v="Close"/>
    <n v="0.23375000000000001"/>
    <s v="G40"/>
    <n v="450.62049045138889"/>
    <s v="None"/>
    <s v="WTG Breakdown Maintenance"/>
    <n v="1156.6729166666667"/>
    <n v="450.62049045138889"/>
    <m/>
    <m/>
    <m/>
    <m/>
  </r>
  <r>
    <n v="1397"/>
    <x v="195"/>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6731.6407508680559"/>
    <s v="Material shortage-Transformer mounting M20x40 bolt found broken 04 pc."/>
    <s v="WTG Breakdown Maintenance"/>
    <n v="6736.3187500000004"/>
    <n v="6731.6407508680559"/>
    <m/>
    <m/>
    <m/>
    <m/>
  </r>
  <r>
    <n v="1398"/>
    <x v="195"/>
    <x v="1"/>
    <x v="0"/>
    <x v="6"/>
    <x v="1"/>
    <x v="34"/>
    <s v="PWEGPL"/>
    <s v="MSEDCL"/>
    <n v="2.5000000000000001E-2"/>
    <n v="110"/>
    <x v="287"/>
    <s v="BD"/>
    <d v="1899-12-30T13:05:00"/>
    <m/>
    <d v="1899-12-30T14:10:00"/>
    <s v=""/>
    <n v="14.166666666666668"/>
    <n v="1.0833333333333321"/>
    <s v="Cable twist removed"/>
    <s v="Close"/>
    <n v="2.7083333333333307E-2"/>
    <s v="G23"/>
    <n v="8.9976851851851656"/>
    <s v="None"/>
    <s v="WTG Breakdown Maintenance"/>
    <n v="199.33333333333312"/>
    <n v="8.9976851851851656"/>
    <m/>
    <m/>
    <m/>
    <m/>
  </r>
  <r>
    <n v="1399"/>
    <x v="195"/>
    <x v="1"/>
    <x v="0"/>
    <x v="6"/>
    <x v="1"/>
    <x v="9"/>
    <s v="PWEGPL"/>
    <s v="MSEDCL"/>
    <n v="2.5000000000000001E-2"/>
    <n v="110"/>
    <x v="287"/>
    <s v="BD"/>
    <d v="1899-12-30T09:40:00"/>
    <m/>
    <d v="1899-12-30T12:35:00"/>
    <s v=""/>
    <n v="12.583333333333334"/>
    <n v="2.9166666666666683"/>
    <s v="Cable twist removed"/>
    <s v="Close"/>
    <n v="7.2916666666666713E-2"/>
    <s v="G29"/>
    <n v="73.150860821759338"/>
    <s v="None"/>
    <s v="WTG Breakdown Maintenance"/>
    <n v="601.92708333333371"/>
    <n v="73.150860821759338"/>
    <m/>
    <m/>
    <m/>
    <m/>
  </r>
  <r>
    <n v="1400"/>
    <x v="195"/>
    <x v="1"/>
    <x v="0"/>
    <x v="6"/>
    <x v="1"/>
    <x v="13"/>
    <s v="PWEGPL"/>
    <s v="MSEDCL"/>
    <n v="2.5000000000000001E-2"/>
    <s v="CE100014"/>
    <x v="305"/>
    <s v="Manual stop"/>
    <d v="1899-12-30T10:41:00"/>
    <d v="1899-12-30T10:41:00"/>
    <d v="1899-12-30T15:05:00"/>
    <n v="0"/>
    <n v="4.3999999999999986"/>
    <n v="4.3999999999999986"/>
    <s v="TCA-Gear box inspection"/>
    <s v="Close"/>
    <n v="0.10999999999999997"/>
    <s v="G34"/>
    <n v="163.41722222222214"/>
    <s v="None"/>
    <s v="WTG Unscheduled Maintenance"/>
    <n v="891.36666666666645"/>
    <n v="163.41722222222214"/>
    <m/>
    <m/>
    <m/>
    <m/>
  </r>
  <r>
    <n v="1401"/>
    <x v="195"/>
    <x v="1"/>
    <x v="0"/>
    <x v="6"/>
    <x v="1"/>
    <x v="15"/>
    <s v="PWEGPL"/>
    <s v="MSEDCL"/>
    <n v="2.5000000000000001E-2"/>
    <s v="CE100014"/>
    <x v="305"/>
    <s v="Manual stop"/>
    <d v="1899-12-30T11:09:00"/>
    <d v="1899-12-30T11:09:00"/>
    <d v="1899-12-30T14:45:00"/>
    <n v="0"/>
    <n v="3.6000000000000005"/>
    <n v="3.6000000000000005"/>
    <s v="TCA-Gear box inspection"/>
    <s v="Close"/>
    <n v="9.0000000000000024E-2"/>
    <s v="G36"/>
    <n v="108.51750000000004"/>
    <s v="None"/>
    <s v="WTG Unscheduled Maintenance"/>
    <n v="723.45000000000016"/>
    <n v="108.51750000000004"/>
    <m/>
    <m/>
    <m/>
    <m/>
  </r>
  <r>
    <n v="1402"/>
    <x v="196"/>
    <x v="1"/>
    <x v="0"/>
    <x v="6"/>
    <x v="1"/>
    <x v="20"/>
    <s v="PWEGPL"/>
    <s v="MSEDCL"/>
    <n v="2.5000000000000001E-2"/>
    <s v="CE100014"/>
    <x v="305"/>
    <s v="Manual stop"/>
    <d v="1899-12-30T10:50:00"/>
    <d v="1899-12-30T10:50:00"/>
    <d v="1899-12-30T15:00:00"/>
    <n v="0"/>
    <n v="4.1666666666666661"/>
    <n v="4.1666666666666661"/>
    <s v="TCA-Gear box inspection"/>
    <s v="Close"/>
    <n v="0.10416666666666666"/>
    <s v="G04"/>
    <n v="115.86130401234564"/>
    <s v="None"/>
    <s v="WTG Unscheduled Maintenance"/>
    <n v="667.36111111111097"/>
    <n v="115.86130401234564"/>
    <m/>
    <m/>
    <m/>
    <m/>
  </r>
  <r>
    <n v="1403"/>
    <x v="196"/>
    <x v="1"/>
    <x v="0"/>
    <x v="6"/>
    <x v="1"/>
    <x v="21"/>
    <s v="PWEGPL"/>
    <s v="MSEDCL"/>
    <n v="2.5000000000000001E-2"/>
    <s v="CE100001"/>
    <x v="288"/>
    <s v="Manual stop"/>
    <d v="1899-12-30T15:30:00"/>
    <d v="1899-12-30T15:30:00"/>
    <d v="1899-12-30T16:05:00"/>
    <n v="0"/>
    <n v="0.58333333333333126"/>
    <n v="0.58333333333333126"/>
    <s v="Tower door lock repair"/>
    <s v="Close"/>
    <n v="1.4583333333333282E-2"/>
    <s v="G04"/>
    <n v="2.2708815586419591"/>
    <s v="None"/>
    <s v="WTG Unscheduled Maintenance"/>
    <n v="93.430555555555216"/>
    <n v="2.2708815586419591"/>
    <m/>
    <m/>
    <m/>
    <m/>
  </r>
  <r>
    <n v="1404"/>
    <x v="196"/>
    <x v="1"/>
    <x v="0"/>
    <x v="6"/>
    <x v="1"/>
    <x v="26"/>
    <s v="PWEGPL"/>
    <s v="MSEDCL"/>
    <n v="2.5000000000000001E-2"/>
    <s v="CE100014"/>
    <x v="305"/>
    <s v="Manual stop"/>
    <d v="1899-12-30T10:52:00"/>
    <d v="1899-12-30T10:52:00"/>
    <d v="1899-12-30T15:14:00"/>
    <n v="0"/>
    <n v="4.3666666666666654"/>
    <n v="4.3666666666666654"/>
    <s v="TCA-Gear box inspection"/>
    <s v="Close"/>
    <n v="0.10916666666666663"/>
    <s v="G04"/>
    <n v="127.25093364197522"/>
    <s v="None"/>
    <s v="WTG Unscheduled Maintenance"/>
    <n v="699.39444444444416"/>
    <n v="127.25093364197522"/>
    <m/>
    <m/>
    <m/>
    <m/>
  </r>
  <r>
    <n v="1405"/>
    <x v="196"/>
    <x v="1"/>
    <x v="0"/>
    <x v="6"/>
    <x v="1"/>
    <x v="30"/>
    <s v="PWEGPL"/>
    <s v="MSEDCL"/>
    <n v="2.5000000000000001E-2"/>
    <n v="5247"/>
    <x v="383"/>
    <s v="BD"/>
    <d v="1899-12-30T04:45:00"/>
    <m/>
    <d v="1899-12-30T16:50:00"/>
    <s v=""/>
    <n v="16.833333333333332"/>
    <n v="12.083333333333332"/>
    <s v="IGBT 06 pc &amp; crowbar card 01 pc replaced"/>
    <s v="Close"/>
    <n v="0.30208333333333331"/>
    <s v="G13"/>
    <n v="1028.6392023533949"/>
    <s v="None"/>
    <s v="WTG Breakdown Maintenance"/>
    <n v="2043.0902777777776"/>
    <n v="1028.6392023533949"/>
    <m/>
    <m/>
    <m/>
    <m/>
  </r>
  <r>
    <n v="1406"/>
    <x v="196"/>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4385.9021180555555"/>
    <s v="Material shortage-Transformer mounting M20x40 bolt found broken 04 pc."/>
    <s v="WTG Breakdown Maintenance"/>
    <n v="4388.95"/>
    <n v="4385.9021180555555"/>
    <m/>
    <m/>
    <m/>
    <m/>
  </r>
  <r>
    <n v="1407"/>
    <x v="196"/>
    <x v="1"/>
    <x v="0"/>
    <x v="6"/>
    <x v="1"/>
    <x v="10"/>
    <s v="PWEGPL"/>
    <s v="MSEDCL"/>
    <n v="2.5000000000000001E-2"/>
    <s v="CE100001"/>
    <x v="288"/>
    <s v="Manual stop"/>
    <d v="1899-12-30T12:40:00"/>
    <d v="1899-12-30T12:40:00"/>
    <d v="1899-12-30T14:00:00"/>
    <n v="0"/>
    <n v="1.3333333333333339"/>
    <n v="1.3333333333333339"/>
    <s v="Tower door lock repair"/>
    <s v="Close"/>
    <n v="3.3333333333333347E-2"/>
    <s v="G30"/>
    <n v="14.604938271604951"/>
    <s v="None"/>
    <s v="WTG Unscheduled Maintenance"/>
    <n v="262.88888888888897"/>
    <n v="14.604938271604951"/>
    <m/>
    <m/>
    <m/>
    <m/>
  </r>
  <r>
    <n v="1408"/>
    <x v="196"/>
    <x v="1"/>
    <x v="0"/>
    <x v="6"/>
    <x v="1"/>
    <x v="16"/>
    <s v="PWEGPL"/>
    <s v="MSEDCL"/>
    <n v="2.5000000000000001E-2"/>
    <n v="2118"/>
    <x v="293"/>
    <s v="BD"/>
    <d v="1899-12-30T02:21:00"/>
    <m/>
    <d v="1899-12-30T12:55:00"/>
    <s v=""/>
    <n v="12.916666666666666"/>
    <n v="10.566666666666666"/>
    <s v="slipring cleaned"/>
    <s v="Close"/>
    <n v="0.26416666666666666"/>
    <s v="G35"/>
    <n v="813.17776813271587"/>
    <s v="None"/>
    <s v="WTG Breakdown Maintenance"/>
    <n v="1846.9652777777776"/>
    <n v="813.17776813271587"/>
    <m/>
    <m/>
    <m/>
    <m/>
  </r>
  <r>
    <n v="1409"/>
    <x v="196"/>
    <x v="1"/>
    <x v="0"/>
    <x v="6"/>
    <x v="1"/>
    <x v="26"/>
    <s v="PWEGPL"/>
    <s v="MSEDCL"/>
    <n v="2.5000000000000001E-2"/>
    <s v="CE100001"/>
    <x v="288"/>
    <s v="Manual stop"/>
    <d v="1899-12-30T16:15:00"/>
    <d v="1899-12-30T16:15:00"/>
    <d v="1899-12-30T17:00:00"/>
    <n v="0"/>
    <n v="0.75"/>
    <n v="0.75"/>
    <s v="Tower door lock repair"/>
    <s v="Close"/>
    <n v="1.8750000000000003E-2"/>
    <s v="G04"/>
    <n v="4.1025390625"/>
    <s v="None"/>
    <s v="WTG Unscheduled Maintenance"/>
    <n v="131.28125"/>
    <n v="4.1025390625"/>
    <m/>
    <m/>
    <m/>
    <m/>
  </r>
  <r>
    <n v="1410"/>
    <x v="197"/>
    <x v="1"/>
    <x v="0"/>
    <x v="7"/>
    <x v="1"/>
    <x v="20"/>
    <s v="PWEGPL"/>
    <s v="MSEDCL"/>
    <n v="2.5000000000000001E-2"/>
    <n v="911"/>
    <x v="384"/>
    <s v="BD"/>
    <d v="1899-12-30T09:00:00"/>
    <m/>
    <d v="1899-12-30T16:31:00"/>
    <s v=""/>
    <n v="16.516666666666666"/>
    <n v="7.5166666666666666"/>
    <s v="Change Emergency Local Reset "/>
    <s v="Close"/>
    <n v="0.18791666666666668"/>
    <s v="G07"/>
    <n v="1088.663888888889"/>
    <s v="None"/>
    <s v="WTG Breakdown Maintenance"/>
    <n v="3476"/>
    <n v="1088.663888888889"/>
    <m/>
    <m/>
    <m/>
    <m/>
  </r>
  <r>
    <n v="1411"/>
    <x v="197"/>
    <x v="1"/>
    <x v="0"/>
    <x v="7"/>
    <x v="1"/>
    <x v="22"/>
    <s v="PWEGPL"/>
    <s v="MSEDCL"/>
    <n v="2.5000000000000001E-2"/>
    <n v="5205"/>
    <x v="326"/>
    <s v="BD"/>
    <d v="1899-12-30T10:09:00"/>
    <m/>
    <d v="1899-12-30T17:23:00"/>
    <s v=""/>
    <n v="17.383333333333333"/>
    <n v="7.2333333333333325"/>
    <s v="Magnetothermic Tigger of Stator Protection"/>
    <s v="Close"/>
    <n v="0.18083333333333332"/>
    <s v="G04"/>
    <n v="820.38055555555547"/>
    <s v="None"/>
    <s v="WTG Breakdown Maintenance"/>
    <n v="2722"/>
    <n v="820.38055555555547"/>
    <m/>
    <m/>
    <m/>
    <m/>
  </r>
  <r>
    <n v="1412"/>
    <x v="197"/>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2734.9683449074073"/>
    <s v="Material shortage-Transformer mounting M20x40 bolt found broken 04 pc."/>
    <s v="WTG Breakdown Maintenance"/>
    <n v="2735"/>
    <n v="2734.9683449074073"/>
    <m/>
    <m/>
    <m/>
    <m/>
  </r>
  <r>
    <n v="1413"/>
    <x v="197"/>
    <x v="1"/>
    <x v="0"/>
    <x v="7"/>
    <x v="1"/>
    <x v="1"/>
    <s v="PWEGPL"/>
    <s v="MSEDCL"/>
    <n v="2.5000000000000001E-2"/>
    <n v="205"/>
    <x v="312"/>
    <s v="BD"/>
    <d v="1899-12-30T07:38:00"/>
    <m/>
    <d v="1899-12-30T16:32:00"/>
    <s v=""/>
    <n v="16.533333333333335"/>
    <n v="8.9000000000000021"/>
    <s v="Low Level Hydrulic Group Refrigation "/>
    <s v="Close"/>
    <n v="0.22250000000000006"/>
    <s v="G22"/>
    <n v="891.85416666666686"/>
    <s v="None"/>
    <s v="WTG Breakdown Maintenance"/>
    <n v="2405"/>
    <n v="891.85416666666686"/>
    <m/>
    <m/>
    <m/>
    <m/>
  </r>
  <r>
    <n v="1414"/>
    <x v="197"/>
    <x v="1"/>
    <x v="0"/>
    <x v="7"/>
    <x v="1"/>
    <x v="3"/>
    <s v="PWEGPL"/>
    <s v="MSEDCL"/>
    <n v="2.5000000000000001E-2"/>
    <n v="205"/>
    <x v="312"/>
    <s v="BD"/>
    <d v="1899-12-30T08:29:00"/>
    <m/>
    <d v="1899-12-30T18:15:00"/>
    <s v=""/>
    <n v="18.25"/>
    <n v="9.7666666666666657"/>
    <s v="Low Level Hydrulic Group Refrigation "/>
    <s v="Close"/>
    <n v="0.24416666666666664"/>
    <s v="G26"/>
    <n v="854.99027777777769"/>
    <s v="None"/>
    <s v="WTG Breakdown Maintenance"/>
    <n v="2101"/>
    <n v="854.99027777777769"/>
    <m/>
    <m/>
    <m/>
    <m/>
  </r>
  <r>
    <n v="1415"/>
    <x v="197"/>
    <x v="1"/>
    <x v="0"/>
    <x v="7"/>
    <x v="1"/>
    <x v="14"/>
    <s v="PWEGPL"/>
    <s v="MSEDCL"/>
    <n v="2.5000000000000001E-2"/>
    <n v="1828"/>
    <x v="385"/>
    <s v="BD"/>
    <d v="1899-12-30T08:17:00"/>
    <m/>
    <d v="1899-12-30T16:20:00"/>
    <s v=""/>
    <n v="16.333333333333332"/>
    <n v="8.0499999999999972"/>
    <s v="Tigger Over Voltage"/>
    <s v="Close"/>
    <n v="0.20124999999999993"/>
    <s v="G35"/>
    <n v="744.96041666666645"/>
    <s v="None"/>
    <s v="WTG Breakdown Maintenance"/>
    <n v="2221"/>
    <n v="744.96041666666645"/>
    <m/>
    <m/>
    <m/>
    <m/>
  </r>
  <r>
    <n v="1416"/>
    <x v="197"/>
    <x v="1"/>
    <x v="0"/>
    <x v="7"/>
    <x v="1"/>
    <x v="7"/>
    <s v="PWEGPL"/>
    <s v="MSEDCL"/>
    <n v="2.5000000000000001E-2"/>
    <n v="900"/>
    <x v="330"/>
    <s v="BD"/>
    <d v="1899-12-30T15:44:00"/>
    <m/>
    <d v="1899-12-30T16:10:00"/>
    <s v=""/>
    <n v="16.166666666666668"/>
    <n v="0.43333333333333446"/>
    <s v="Top Emergency"/>
    <s v="Close"/>
    <n v="1.0833333333333361E-2"/>
    <s v="G39"/>
    <n v="32.084722222222311"/>
    <s v="None"/>
    <s v="WTG Breakdown Maintenance"/>
    <n v="1777"/>
    <n v="32.084722222222311"/>
    <m/>
    <m/>
    <m/>
    <m/>
  </r>
  <r>
    <n v="1417"/>
    <x v="198"/>
    <x v="1"/>
    <x v="0"/>
    <x v="7"/>
    <x v="1"/>
    <x v="20"/>
    <s v="PWEGPL"/>
    <s v="MSEDCL"/>
    <n v="2.5000000000000001E-2"/>
    <n v="2118"/>
    <x v="293"/>
    <s v="BD"/>
    <d v="1899-12-30T12:29:00"/>
    <m/>
    <d v="1899-12-30T15:45:00"/>
    <s v=""/>
    <n v="15.75"/>
    <n v="3.2666666666666684"/>
    <m/>
    <s v="Close"/>
    <n v="8.1666666666666721E-2"/>
    <s v="G07"/>
    <n v="864.7138888888893"/>
    <s v="None"/>
    <s v="WTG Breakdown Maintenance"/>
    <n v="6353"/>
    <n v="864.7138888888893"/>
    <m/>
    <m/>
    <m/>
    <m/>
  </r>
  <r>
    <n v="1418"/>
    <x v="198"/>
    <x v="1"/>
    <x v="0"/>
    <x v="7"/>
    <x v="1"/>
    <x v="34"/>
    <s v="PWEGPL"/>
    <s v="MSEDCL"/>
    <n v="2.5000000000000001E-2"/>
    <s v="CE100014"/>
    <x v="305"/>
    <s v="Manual stop"/>
    <d v="1899-12-30T11:30:00"/>
    <d v="1899-12-30T11:30:00"/>
    <d v="1899-12-30T16:00:00"/>
    <n v="0"/>
    <n v="4.4999999999999982"/>
    <n v="4.4999999999999982"/>
    <s v="TCA-Gear box inspection"/>
    <s v="Close"/>
    <n v="0.11249999999999996"/>
    <s v="G21"/>
    <n v="744.56249999999977"/>
    <s v="None"/>
    <s v="WTG Scheduled Maintenance"/>
    <n v="3971"/>
    <n v="744.56249999999977"/>
    <m/>
    <m/>
    <m/>
    <m/>
  </r>
  <r>
    <n v="1419"/>
    <x v="198"/>
    <x v="1"/>
    <x v="0"/>
    <x v="7"/>
    <x v="1"/>
    <x v="1"/>
    <s v="PWEGPL"/>
    <s v="MSEDCL"/>
    <n v="2.5000000000000001E-2"/>
    <n v="5201"/>
    <x v="299"/>
    <s v="BD"/>
    <d v="1899-12-30T08:48:00"/>
    <m/>
    <d v="1899-12-30T16:22:00"/>
    <s v=""/>
    <n v="16.366666666666667"/>
    <n v="7.5666666666666664"/>
    <m/>
    <s v="Close"/>
    <n v="0.18916666666666668"/>
    <s v="G24"/>
    <n v="1187.9666666666667"/>
    <s v="None"/>
    <s v="WTG Breakdown Maintenance"/>
    <n v="3768"/>
    <n v="1187.9666666666667"/>
    <m/>
    <m/>
    <m/>
    <m/>
  </r>
  <r>
    <n v="1420"/>
    <x v="198"/>
    <x v="1"/>
    <x v="0"/>
    <x v="7"/>
    <x v="1"/>
    <x v="3"/>
    <s v="PWEGPL"/>
    <s v="MSEDCL"/>
    <n v="2.5000000000000001E-2"/>
    <s v="CE100014"/>
    <x v="305"/>
    <s v="Manual stop"/>
    <d v="1899-12-30T11:43:00"/>
    <d v="1899-12-30T11:43:00"/>
    <d v="1899-12-30T14:48:00"/>
    <n v="0"/>
    <n v="3.0833333333333344"/>
    <n v="3.0833333333333344"/>
    <s v="TCA closing work"/>
    <s v="Close"/>
    <n v="7.7083333333333365E-2"/>
    <s v="G26"/>
    <n v="401.98958333333348"/>
    <s v="None"/>
    <s v="WTG Unscheduled Maintenance"/>
    <n v="3129"/>
    <n v="401.98958333333348"/>
    <m/>
    <m/>
    <m/>
    <m/>
  </r>
  <r>
    <n v="1421"/>
    <x v="198"/>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4208.9512847222222"/>
    <s v="Material shortage-Transformer mounting M20x40 bolt found broken 04 pc."/>
    <m/>
    <n v="4209"/>
    <n v="4208.9512847222222"/>
    <m/>
    <m/>
    <m/>
    <m/>
  </r>
  <r>
    <n v="1422"/>
    <x v="199"/>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8347.903379629628"/>
    <s v="Material shortage-Transformer mounting M20x40 bolt found broken 04 pc."/>
    <m/>
    <n v="8348"/>
    <n v="8347.903379629628"/>
    <m/>
    <m/>
    <m/>
    <m/>
  </r>
  <r>
    <n v="1423"/>
    <x v="199"/>
    <x v="1"/>
    <x v="0"/>
    <x v="7"/>
    <x v="1"/>
    <x v="33"/>
    <s v="PWEGPL"/>
    <s v="MSEDCL"/>
    <n v="2.5000000000000001E-2"/>
    <s v="CE100014"/>
    <x v="305"/>
    <s v="Manual stop"/>
    <d v="1899-12-30T11:10:00"/>
    <d v="1899-12-30T11:10:00"/>
    <d v="1899-12-30T15:27:00"/>
    <n v="0"/>
    <n v="4.2833333333333332"/>
    <n v="4.2833333333333332"/>
    <s v="TCA-Gear box inspection"/>
    <s v="Close"/>
    <n v="0.10708333333333334"/>
    <s v="G22"/>
    <n v="1323.3715277777776"/>
    <s v="None"/>
    <s v="WTG Scheduled Maintenance"/>
    <n v="7415"/>
    <n v="1323.3715277777776"/>
    <m/>
    <m/>
    <m/>
    <m/>
  </r>
  <r>
    <n v="1424"/>
    <x v="199"/>
    <x v="1"/>
    <x v="0"/>
    <x v="7"/>
    <x v="1"/>
    <x v="1"/>
    <s v="PWEGPL"/>
    <s v="MSEDCL"/>
    <n v="2.5000000000000001E-2"/>
    <n v="222"/>
    <x v="323"/>
    <s v="BD"/>
    <d v="1899-12-30T10:43:00"/>
    <m/>
    <d v="1899-12-30T11:09:00"/>
    <s v=""/>
    <n v="11.15"/>
    <n v="0.43333333333333313"/>
    <s v="Reset and start"/>
    <s v="Close"/>
    <n v="1.0833333333333328E-2"/>
    <s v="G24"/>
    <n v="131.55277777777772"/>
    <s v="None"/>
    <s v="WTG Breakdown Maintenance"/>
    <n v="7286"/>
    <n v="131.55277777777772"/>
    <m/>
    <m/>
    <m/>
    <m/>
  </r>
  <r>
    <n v="1425"/>
    <x v="199"/>
    <x v="1"/>
    <x v="0"/>
    <x v="7"/>
    <x v="1"/>
    <x v="24"/>
    <s v="PWEGPL"/>
    <s v="MSEDCL"/>
    <n v="2.5000000000000001E-2"/>
    <s v="CE100014"/>
    <x v="305"/>
    <s v="Manual stop"/>
    <d v="1899-12-30T11:45:00"/>
    <d v="1899-12-30T11:45:00"/>
    <d v="1899-12-30T16:07:00"/>
    <n v="0"/>
    <n v="4.3666666666666689"/>
    <n v="4.3666666666666689"/>
    <s v="TCA-Gear box inspection"/>
    <s v="Close"/>
    <n v="0.10916666666666673"/>
    <s v="G24"/>
    <n v="1325.6472222222228"/>
    <s v="None"/>
    <s v="WTG Scheduled Maintenance"/>
    <n v="7286"/>
    <n v="1325.6472222222228"/>
    <m/>
    <m/>
    <m/>
    <m/>
  </r>
  <r>
    <n v="1426"/>
    <x v="200"/>
    <x v="1"/>
    <x v="0"/>
    <x v="7"/>
    <x v="1"/>
    <x v="1"/>
    <s v="PWEGPL"/>
    <s v="MSEDCL"/>
    <n v="2.5000000000000001E-2"/>
    <n v="205"/>
    <x v="312"/>
    <s v="BD"/>
    <d v="1899-12-30T07:57:00"/>
    <m/>
    <d v="1899-12-30T16:10:00"/>
    <s v=""/>
    <n v="16.166666666666668"/>
    <n v="8.2166666666666686"/>
    <s v="Oil top up done."/>
    <s v="Close"/>
    <n v="0.20541666666666672"/>
    <s v="G22"/>
    <n v="5844.446527777779"/>
    <s v="None"/>
    <s v="WTG Breakdown Maintenance"/>
    <n v="17071"/>
    <n v="5844.446527777779"/>
    <m/>
    <m/>
    <m/>
    <m/>
  </r>
  <r>
    <n v="1427"/>
    <x v="200"/>
    <x v="1"/>
    <x v="0"/>
    <x v="7"/>
    <x v="1"/>
    <x v="35"/>
    <s v="PWEGPL"/>
    <s v="MSEDCL"/>
    <n v="2.5000000000000001E-2"/>
    <s v="CE100014"/>
    <x v="305"/>
    <s v="Manual stop"/>
    <d v="1899-12-30T10:54:00"/>
    <d v="1899-12-30T10:54:00"/>
    <d v="1899-12-30T17:26:00"/>
    <n v="0"/>
    <n v="6.5333333333333332"/>
    <n v="6.5333333333333332"/>
    <s v="Gear Box Inspection (TCA)"/>
    <s v="Close"/>
    <n v="0.16333333333333333"/>
    <s v="G25"/>
    <n v="4032.1555555555551"/>
    <s v="None"/>
    <s v="WTG Scheduled Maintenance"/>
    <n v="14812"/>
    <n v="4032.1555555555551"/>
    <m/>
    <m/>
    <m/>
    <m/>
  </r>
  <r>
    <n v="1428"/>
    <x v="200"/>
    <x v="1"/>
    <x v="0"/>
    <x v="7"/>
    <x v="1"/>
    <x v="40"/>
    <s v="PWEGPL"/>
    <s v="MSEDCL"/>
    <n v="2.5000000000000001E-2"/>
    <s v="CE100014"/>
    <x v="305"/>
    <s v="Manual stop"/>
    <d v="1899-12-30T10:00:00"/>
    <d v="1899-12-30T10:00:00"/>
    <d v="1899-12-30T16:00:00"/>
    <n v="0"/>
    <n v="5.9999999999999982"/>
    <n v="5.9999999999999982"/>
    <s v="Gear Box Inspection (TCA)"/>
    <s v="Close"/>
    <n v="0.14999999999999997"/>
    <s v="G27"/>
    <n v="3891.7499999999986"/>
    <s v="None"/>
    <s v="WTG Scheduled Maintenance"/>
    <n v="15567"/>
    <n v="3891.7499999999986"/>
    <m/>
    <m/>
    <m/>
    <m/>
  </r>
  <r>
    <n v="1429"/>
    <x v="200"/>
    <x v="1"/>
    <x v="0"/>
    <x v="7"/>
    <x v="1"/>
    <x v="41"/>
    <s v="PWEGPL"/>
    <s v="MSEDCL"/>
    <n v="2.5000000000000001E-2"/>
    <n v="110"/>
    <x v="287"/>
    <s v="BD"/>
    <d v="1899-12-30T11:03:00"/>
    <m/>
    <d v="1899-12-30T12:28:00"/>
    <s v=""/>
    <n v="12.466666666666669"/>
    <n v="1.416666666666667"/>
    <s v="Yaw sensor wiring "/>
    <s v="Close"/>
    <n v="3.5416666666666673E-2"/>
    <s v="G31"/>
    <n v="1004.6527777777779"/>
    <s v="None"/>
    <s v="WTG Breakdown Maintenance"/>
    <n v="17020"/>
    <n v="1004.6527777777779"/>
    <m/>
    <m/>
    <m/>
    <m/>
  </r>
  <r>
    <n v="1430"/>
    <x v="200"/>
    <x v="1"/>
    <x v="0"/>
    <x v="7"/>
    <x v="1"/>
    <x v="42"/>
    <s v="PWEGPL"/>
    <s v="MSEDCL"/>
    <n v="2.5000000000000001E-2"/>
    <s v="CE100001"/>
    <x v="288"/>
    <s v="Manual stop"/>
    <d v="1899-12-30T11:30:00"/>
    <d v="1899-12-30T11:30:00"/>
    <d v="1899-12-30T23:59:00"/>
    <n v="0"/>
    <n v="12.483333333333334"/>
    <n v="12.483333333333334"/>
    <s v="Pitch Cylinder oil leak repaired"/>
    <s v="Close"/>
    <n v="0.31208333333333338"/>
    <s v="G18 "/>
    <n v="10144.268750000001"/>
    <s v="None"/>
    <s v="WTG Unscheduled Maintenance"/>
    <n v="19503"/>
    <n v="10144.268750000001"/>
    <m/>
    <m/>
    <m/>
    <m/>
  </r>
  <r>
    <n v="1431"/>
    <x v="200"/>
    <x v="1"/>
    <x v="0"/>
    <x v="7"/>
    <x v="1"/>
    <x v="4"/>
    <s v="PWEGPL"/>
    <s v="MSEDCL"/>
    <n v="2.5000000000000001E-2"/>
    <n v="110"/>
    <x v="287"/>
    <s v="BD"/>
    <d v="1899-12-30T12:36:00"/>
    <m/>
    <d v="1899-12-30T17:53:00"/>
    <s v=""/>
    <n v="17.883333333333333"/>
    <n v="5.2833333333333332"/>
    <s v="Yaw sensor wiring "/>
    <s v="Close"/>
    <n v="0.13208333333333333"/>
    <s v="G38"/>
    <n v="2660.598611111111"/>
    <s v="None"/>
    <s v="WTG Breakdown Maintenance"/>
    <n v="12086"/>
    <n v="2660.598611111111"/>
    <m/>
    <m/>
    <m/>
    <m/>
  </r>
  <r>
    <n v="1432"/>
    <x v="200"/>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8"/>
    <n v="19502.774270833332"/>
    <s v="None"/>
    <s v="WTG Breakdown Maintenance"/>
    <n v="19503"/>
    <n v="19502.774270833332"/>
    <m/>
    <m/>
    <m/>
    <m/>
  </r>
  <r>
    <n v="1433"/>
    <x v="201"/>
    <x v="1"/>
    <x v="0"/>
    <x v="7"/>
    <x v="1"/>
    <x v="0"/>
    <s v="PWEGPL"/>
    <s v="MSEDCL"/>
    <n v="2.5000000000000001E-2"/>
    <s v="CE100001"/>
    <x v="288"/>
    <s v="Manual stop"/>
    <d v="1899-12-30T00:00:00"/>
    <d v="1899-12-30T00:00:00"/>
    <d v="1899-12-30T15:40:00"/>
    <n v="0"/>
    <n v="15.666666666666668"/>
    <n v="15.666666666666668"/>
    <s v="Pitch cylender oil leakage arrested."/>
    <s v="Close"/>
    <n v="0.39166666666666672"/>
    <s v="G18"/>
    <n v="21125.847222222223"/>
    <s v="None"/>
    <s v="WTG Unscheduled Maintenance"/>
    <n v="32363"/>
    <n v="21125.847222222223"/>
    <m/>
    <m/>
    <m/>
    <m/>
  </r>
  <r>
    <n v="1434"/>
    <x v="201"/>
    <x v="1"/>
    <x v="0"/>
    <x v="7"/>
    <x v="1"/>
    <x v="35"/>
    <s v="PWEGPL"/>
    <s v="MSEDCL"/>
    <n v="2.5000000000000001E-2"/>
    <s v="CE100014"/>
    <x v="305"/>
    <s v="Manual stop"/>
    <d v="1899-12-30T11:40:00"/>
    <d v="1899-12-30T11:40:00"/>
    <d v="1899-12-30T15:10:00"/>
    <n v="0"/>
    <n v="3.4999999999999996"/>
    <n v="3.4999999999999996"/>
    <s v="Gear Box Inspection (TCA)"/>
    <s v="Close"/>
    <n v="8.7499999999999994E-2"/>
    <s v="G25"/>
    <n v="3344.8333333333326"/>
    <s v="None"/>
    <s v="WTG Scheduled Maintenance"/>
    <n v="22936"/>
    <n v="3344.8333333333326"/>
    <m/>
    <m/>
    <m/>
    <m/>
  </r>
  <r>
    <n v="1435"/>
    <x v="201"/>
    <x v="1"/>
    <x v="0"/>
    <x v="7"/>
    <x v="1"/>
    <x v="27"/>
    <s v="PWEGPL"/>
    <s v="MSEDCL"/>
    <n v="2.5000000000000001E-2"/>
    <n v="509"/>
    <x v="301"/>
    <s v="BD"/>
    <d v="1899-12-30T07:57:00"/>
    <d v="1899-12-30T10:10:00"/>
    <d v="1899-12-30T10:37:00"/>
    <n v="2.2166666666666668"/>
    <n v="0.45000000000000107"/>
    <n v="2.6666666666666679"/>
    <s v="Checked &amp; Reset"/>
    <s v="Close"/>
    <n v="6.6666666666666693E-2"/>
    <s v="G12"/>
    <n v="2314.3333333333344"/>
    <s v="None"/>
    <s v="WTG Breakdown Maintenance"/>
    <n v="20829"/>
    <n v="2314.3333333333344"/>
    <m/>
    <m/>
    <m/>
    <m/>
  </r>
  <r>
    <n v="1436"/>
    <x v="201"/>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Close"/>
    <n v="0.5999930555555556"/>
    <s v="G19"/>
    <n v="28881.665717592594"/>
    <s v="Material shortage-Transformer mounting M20x40 bolt found broken 04 pc."/>
    <m/>
    <n v="28882"/>
    <n v="28881.665717592594"/>
    <m/>
    <m/>
    <m/>
    <m/>
  </r>
  <r>
    <n v="1437"/>
    <x v="202"/>
    <x v="1"/>
    <x v="0"/>
    <x v="7"/>
    <x v="1"/>
    <x v="21"/>
    <s v="PWEGPL"/>
    <s v="MSEDCL"/>
    <n v="2.5000000000000001E-2"/>
    <s v="CE100014"/>
    <x v="305"/>
    <s v="Manual stop"/>
    <d v="1899-12-30T11:26:00"/>
    <d v="1899-12-30T11:26:00"/>
    <d v="1899-12-30T14:30:00"/>
    <n v="0"/>
    <n v="3.0666666666666651"/>
    <n v="3.0666666666666651"/>
    <s v="Gear Box Inspection (TCA)"/>
    <s v="Close"/>
    <n v="7.6666666666666633E-2"/>
    <s v="G03"/>
    <n v="3540.4666666666649"/>
    <s v="None"/>
    <s v="WTG Scheduled Maintenance"/>
    <n v="27708"/>
    <n v="3540.4666666666649"/>
    <m/>
    <m/>
    <m/>
    <m/>
  </r>
  <r>
    <n v="1438"/>
    <x v="202"/>
    <x v="1"/>
    <x v="0"/>
    <x v="7"/>
    <x v="1"/>
    <x v="23"/>
    <s v="PWEGPL"/>
    <s v="MSEDCL"/>
    <n v="2.5000000000000001E-2"/>
    <s v="CE100014"/>
    <x v="305"/>
    <s v="Manual stop"/>
    <d v="1899-12-30T11:26:00"/>
    <d v="1899-12-30T11:26:00"/>
    <d v="1899-12-30T14:30:00"/>
    <n v="0"/>
    <n v="3.0666666666666651"/>
    <n v="3.0666666666666651"/>
    <s v="Gear Box Inspection (TCA)"/>
    <s v="Close"/>
    <n v="7.6666666666666633E-2"/>
    <s v="G06"/>
    <n v="4161.7222222222199"/>
    <s v="None"/>
    <s v="WTG Scheduled Maintenance"/>
    <n v="32570"/>
    <n v="4161.7222222222199"/>
    <m/>
    <m/>
    <m/>
    <m/>
  </r>
  <r>
    <n v="1439"/>
    <x v="202"/>
    <x v="1"/>
    <x v="0"/>
    <x v="7"/>
    <x v="1"/>
    <x v="39"/>
    <s v="PWEGPL"/>
    <s v="MSEDCL"/>
    <n v="2.5000000000000001E-2"/>
    <s v="CE100001"/>
    <x v="288"/>
    <s v="Manual stop"/>
    <d v="1899-12-30T15:10:00"/>
    <d v="1899-12-30T15:10:00"/>
    <d v="1899-12-30T15:20:00"/>
    <n v="0"/>
    <n v="0.16666666666666874"/>
    <n v="0.16666666666666874"/>
    <s v="Manual stop to check connections "/>
    <s v="Close"/>
    <n v="4.1666666666667187E-3"/>
    <s v="G14"/>
    <n v="210.24305555555816"/>
    <s v="None"/>
    <s v="WTG Unscheduled Maintenance"/>
    <n v="30275"/>
    <n v="210.24305555555816"/>
    <m/>
    <m/>
    <m/>
    <m/>
  </r>
  <r>
    <n v="1440"/>
    <x v="202"/>
    <x v="1"/>
    <x v="0"/>
    <x v="7"/>
    <x v="1"/>
    <x v="37"/>
    <s v="PWEGPL"/>
    <s v="MSEDCL"/>
    <n v="2.5000000000000001E-2"/>
    <s v="CE100014"/>
    <x v="305"/>
    <s v="Manual stop"/>
    <d v="1899-12-30T19:30:00"/>
    <d v="1899-12-30T19:30:00"/>
    <d v="1899-12-30T23:59:00"/>
    <n v="0"/>
    <n v="4.4833333333333334"/>
    <n v="4.4833333333333334"/>
    <s v="Checked &amp; disconnected broken yaw gear unit connection to avoid run with broken gears 19:30 to 23:59 hrs (TCA Pending work)"/>
    <s v="Close"/>
    <n v="0.11208333333333334"/>
    <s v="G17"/>
    <n v="5602.1118055555562"/>
    <s v="None"/>
    <s v="WTG Unscheduled Maintenance"/>
    <n v="29989"/>
    <n v="5602.1118055555562"/>
    <m/>
    <m/>
    <m/>
    <m/>
  </r>
  <r>
    <n v="1441"/>
    <x v="202"/>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2607.340277777777"/>
    <s v="Material shortage-Transformer mounting M20x40 bolt found broken 04 pc."/>
    <m/>
    <n v="32630"/>
    <n v="32607.340277777777"/>
    <m/>
    <m/>
    <m/>
    <m/>
  </r>
  <r>
    <n v="1442"/>
    <x v="202"/>
    <x v="1"/>
    <x v="0"/>
    <x v="7"/>
    <x v="1"/>
    <x v="12"/>
    <s v="PWEGPL"/>
    <s v="MSEDCL"/>
    <n v="2.5000000000000001E-2"/>
    <n v="5222"/>
    <x v="315"/>
    <s v="BD"/>
    <d v="1899-12-30T11:04:00"/>
    <m/>
    <d v="1899-12-30T13:27:00"/>
    <s v=""/>
    <n v="13.45"/>
    <n v="2.3833333333333342"/>
    <s v="Checked encoder , motor sensor &amp; CCU connections , reset"/>
    <s v="Close"/>
    <n v="5.9583333333333356E-2"/>
    <s v="G30"/>
    <n v="2625.9368055555565"/>
    <s v="None"/>
    <s v="WTG Breakdown Maintenance"/>
    <n v="26443"/>
    <n v="2625.9368055555565"/>
    <m/>
    <m/>
    <m/>
    <m/>
  </r>
  <r>
    <n v="1443"/>
    <x v="202"/>
    <x v="1"/>
    <x v="0"/>
    <x v="7"/>
    <x v="1"/>
    <x v="16"/>
    <s v="PWEGPL"/>
    <s v="MSEDCL"/>
    <n v="2.5000000000000001E-2"/>
    <n v="2107"/>
    <x v="386"/>
    <s v="BD"/>
    <d v="1899-12-30T12:05:00"/>
    <m/>
    <d v="1899-12-30T15:45:00"/>
    <s v=""/>
    <n v="15.75"/>
    <n v="3.666666666666667"/>
    <s v="Reboot and reset the turbine "/>
    <s v="Close"/>
    <n v="9.1666666666666674E-2"/>
    <s v="G35"/>
    <n v="4206.7361111111113"/>
    <s v="None"/>
    <s v="WTG Breakdown Maintenance"/>
    <n v="27535"/>
    <n v="4206.7361111111113"/>
    <m/>
    <m/>
    <m/>
    <m/>
  </r>
  <r>
    <n v="1444"/>
    <x v="203"/>
    <x v="1"/>
    <x v="0"/>
    <x v="7"/>
    <x v="1"/>
    <x v="30"/>
    <s v="PWEGPL"/>
    <s v="MSEDCL"/>
    <n v="2.5000000000000001E-2"/>
    <s v="CE100014"/>
    <x v="305"/>
    <s v="Manual stop"/>
    <d v="1899-12-30T09:46:00"/>
    <d v="1899-12-30T09:46:00"/>
    <d v="1899-12-30T12:06:00"/>
    <n v="0"/>
    <n v="2.3333333333333317"/>
    <n v="2.3333333333333317"/>
    <s v="GB inspection work TCA work"/>
    <s v="Close"/>
    <n v="5.8333333333333293E-2"/>
    <s v="G13"/>
    <n v="2413.152777777776"/>
    <s v="None"/>
    <s v="WTG Scheduled Maintenance"/>
    <n v="24821"/>
    <n v="2413.152777777776"/>
    <m/>
    <m/>
    <m/>
    <m/>
  </r>
  <r>
    <n v="1445"/>
    <x v="203"/>
    <x v="1"/>
    <x v="0"/>
    <x v="7"/>
    <x v="1"/>
    <x v="32"/>
    <s v="PWEGPL"/>
    <s v="MSEDCL"/>
    <n v="2.5000000000000001E-2"/>
    <n v="205"/>
    <x v="312"/>
    <s v="BD"/>
    <d v="1899-12-30T04:41:00"/>
    <m/>
    <d v="1899-12-30T11:24:00"/>
    <s v=""/>
    <n v="11.4"/>
    <n v="6.7166666666666668"/>
    <s v="Top up Hyd Oil 10 Ltrs"/>
    <s v="Close"/>
    <n v="0.16791666666666669"/>
    <s v="G15"/>
    <n v="9153.1375000000007"/>
    <s v="None"/>
    <s v="WTG Breakdown Maintenance"/>
    <n v="32706"/>
    <n v="9153.1375000000007"/>
    <m/>
    <m/>
    <m/>
    <m/>
  </r>
  <r>
    <n v="1446"/>
    <x v="203"/>
    <x v="1"/>
    <x v="0"/>
    <x v="7"/>
    <x v="1"/>
    <x v="1"/>
    <s v="PWEGPL"/>
    <s v="MSEDCL"/>
    <n v="2.5000000000000001E-2"/>
    <n v="115"/>
    <x v="308"/>
    <s v="BD"/>
    <d v="1899-12-30T16:26:00"/>
    <m/>
    <d v="1899-12-30T19:42:00"/>
    <s v=""/>
    <n v="19.7"/>
    <n v="3.2666666666666657"/>
    <s v="Checked the valves and reset"/>
    <s v="Close"/>
    <n v="8.1666666666666651E-2"/>
    <s v="G22"/>
    <n v="3243.6638888888879"/>
    <s v="None"/>
    <s v="WTG Breakdown Maintenance"/>
    <n v="23831"/>
    <n v="3243.6638888888879"/>
    <m/>
    <m/>
    <m/>
    <m/>
  </r>
  <r>
    <n v="1447"/>
    <x v="203"/>
    <x v="1"/>
    <x v="0"/>
    <x v="7"/>
    <x v="1"/>
    <x v="12"/>
    <s v="PWEGPL"/>
    <s v="MSEDCL"/>
    <n v="2.5000000000000001E-2"/>
    <n v="5222"/>
    <x v="315"/>
    <s v="BD"/>
    <d v="1899-12-30T14:38:00"/>
    <m/>
    <d v="1899-12-30T15:35:00"/>
    <s v=""/>
    <n v="15.583333333333334"/>
    <n v="0.95000000000000195"/>
    <s v="Checked encoder , motor sensor &amp; CCU connections , reset"/>
    <m/>
    <n v="2.3750000000000049E-2"/>
    <s v="G30"/>
    <n v="883.34166666666852"/>
    <s v="None"/>
    <s v="WTG Breakdown Maintenance"/>
    <n v="22316"/>
    <n v="883.34166666666852"/>
    <m/>
    <m/>
    <m/>
    <m/>
  </r>
  <r>
    <n v="1448"/>
    <x v="203"/>
    <x v="1"/>
    <x v="0"/>
    <x v="7"/>
    <x v="1"/>
    <x v="16"/>
    <s v="PWEGPL"/>
    <s v="MSEDCL"/>
    <n v="2.5000000000000001E-2"/>
    <n v="2107"/>
    <x v="386"/>
    <s v="BD"/>
    <d v="1899-12-30T08:36:00"/>
    <m/>
    <d v="1899-12-30T23:59:00"/>
    <s v=""/>
    <n v="23.983333333333334"/>
    <n v="15.383333333333335"/>
    <s v="Inspecting going on"/>
    <s v="Open"/>
    <n v="0.38458333333333339"/>
    <s v="G35"/>
    <n v="12631.639583333334"/>
    <s v="Material shortage Generator speed sensor failed."/>
    <s v="WTG Breakdown Maintenance"/>
    <n v="19707"/>
    <n v="12631.639583333334"/>
    <m/>
    <m/>
    <m/>
    <m/>
  </r>
  <r>
    <n v="1449"/>
    <x v="203"/>
    <x v="1"/>
    <x v="0"/>
    <x v="7"/>
    <x v="1"/>
    <x v="5"/>
    <s v="PWEGPL"/>
    <s v="MSEDCL"/>
    <n v="2.5000000000000001E-2"/>
    <s v="CE100014"/>
    <x v="305"/>
    <s v="Manual stop"/>
    <d v="1899-12-30T12:35:00"/>
    <d v="1899-12-30T12:35:00"/>
    <d v="1899-12-30T16:23:00"/>
    <n v="0"/>
    <n v="3.8"/>
    <n v="3.8"/>
    <s v="GB inspection work TCA work"/>
    <s v="Close"/>
    <n v="9.5000000000000001E-2"/>
    <s v="G37"/>
    <n v="3336.875"/>
    <s v="None"/>
    <s v="WTG Scheduled Maintenance"/>
    <n v="21075"/>
    <n v="3336.875"/>
    <m/>
    <m/>
    <m/>
    <m/>
  </r>
  <r>
    <n v="1450"/>
    <x v="203"/>
    <x v="1"/>
    <x v="0"/>
    <x v="7"/>
    <x v="1"/>
    <x v="6"/>
    <s v="PWEGPL"/>
    <s v="MSEDCL"/>
    <n v="2.5000000000000001E-2"/>
    <s v="CE100014"/>
    <x v="305"/>
    <s v="Manual stop"/>
    <d v="1899-12-30T14:56:00"/>
    <d v="1899-12-30T14:56:00"/>
    <d v="1899-12-30T19:18:00"/>
    <n v="0"/>
    <n v="4.3666666666666671"/>
    <n v="4.3666666666666671"/>
    <s v="GB inspection work TCA work"/>
    <s v="Close"/>
    <n v="0.10916666666666669"/>
    <s v="G40"/>
    <n v="2454.6125000000002"/>
    <s v="None"/>
    <s v="WTG Scheduled Maintenance"/>
    <n v="13491"/>
    <n v="2454.6125000000002"/>
    <m/>
    <m/>
    <m/>
    <m/>
  </r>
  <r>
    <n v="1451"/>
    <x v="203"/>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28000.541666666668"/>
    <s v="Material shortage-Transformer mounting M20x40 bolt found broken 04 pc."/>
    <s v="WTG Breakdown Maintenance"/>
    <n v="28020"/>
    <n v="28000.541666666668"/>
    <m/>
    <m/>
    <m/>
    <m/>
  </r>
  <r>
    <n v="1452"/>
    <x v="204"/>
    <x v="1"/>
    <x v="0"/>
    <x v="7"/>
    <x v="1"/>
    <x v="28"/>
    <s v="PWEGPL"/>
    <s v="MSEDCL"/>
    <n v="2.5000000000000001E-2"/>
    <n v="1821"/>
    <x v="289"/>
    <s v="BD"/>
    <d v="1899-12-30T21:50:00"/>
    <d v="1899-12-30T22:59:00"/>
    <d v="1899-12-30T23:59:00"/>
    <n v="1.1500000000000012"/>
    <n v="0.99999999999999911"/>
    <n v="2.1500000000000004"/>
    <s v="Earth bresh failed /Reset "/>
    <s v="Open"/>
    <n v="5.3750000000000013E-2"/>
    <s v="G09"/>
    <n v="1937.5083333333337"/>
    <s v="None"/>
    <s v="WTG Breakdown Maintenance"/>
    <n v="21628"/>
    <n v="1937.5083333333337"/>
    <m/>
    <m/>
    <m/>
    <m/>
  </r>
  <r>
    <n v="1453"/>
    <x v="204"/>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0342.913888888892"/>
    <s v="Material shortage-Transformer mounting M20x40 bolt found broken 04 pc."/>
    <s v="WTG Breakdown Maintenance"/>
    <n v="30364"/>
    <n v="30342.913888888892"/>
    <m/>
    <m/>
    <m/>
    <m/>
  </r>
  <r>
    <n v="1454"/>
    <x v="204"/>
    <x v="1"/>
    <x v="0"/>
    <x v="7"/>
    <x v="1"/>
    <x v="2"/>
    <s v="PWEGPL"/>
    <s v="MSEDCL"/>
    <n v="2.5000000000000001E-2"/>
    <n v="205"/>
    <x v="312"/>
    <s v="BD"/>
    <d v="1899-12-30T12:36:00"/>
    <m/>
    <d v="1899-12-30T15:20:00"/>
    <s v=""/>
    <n v="15.333333333333336"/>
    <n v="2.7333333333333343"/>
    <s v="Hyd Oil top up"/>
    <s v="Close"/>
    <n v="6.8333333333333357E-2"/>
    <s v="G32"/>
    <n v="1582.8277777777785"/>
    <s v="None"/>
    <s v="WTG Breakdown Maintenance"/>
    <n v="13898"/>
    <n v="1582.8277777777785"/>
    <m/>
    <m/>
    <m/>
    <m/>
  </r>
  <r>
    <n v="1455"/>
    <x v="204"/>
    <x v="1"/>
    <x v="0"/>
    <x v="7"/>
    <x v="1"/>
    <x v="16"/>
    <s v="PWEGPL"/>
    <s v="MSEDCL"/>
    <n v="2.5000000000000001E-2"/>
    <n v="5222"/>
    <x v="315"/>
    <s v="BD"/>
    <d v="1899-12-30T00:00:00"/>
    <m/>
    <d v="1899-12-30T17:41:00"/>
    <s v=""/>
    <n v="17.683333333333334"/>
    <n v="17.683333333333334"/>
    <s v="wiring was damaged, rectified and resumed"/>
    <s v="Close"/>
    <n v="0.44208333333333338"/>
    <s v="G40"/>
    <n v="12021.719444444445"/>
    <s v="None"/>
    <s v="WTG Breakdown Maintenance"/>
    <n v="16316"/>
    <n v="12021.719444444445"/>
    <m/>
    <m/>
    <m/>
    <m/>
  </r>
  <r>
    <n v="1456"/>
    <x v="205"/>
    <x v="1"/>
    <x v="0"/>
    <x v="7"/>
    <x v="1"/>
    <x v="28"/>
    <s v="PWEGPL"/>
    <s v="MSEDCL"/>
    <n v="2.5000000000000001E-2"/>
    <n v="1821"/>
    <x v="289"/>
    <s v="BD"/>
    <d v="1899-12-30T00:00:00"/>
    <m/>
    <d v="1899-12-30T01:29:00"/>
    <s v=""/>
    <n v="1.4833333333333334"/>
    <n v="1.4833333333333334"/>
    <s v="Cooling fan connection loose found then corrected"/>
    <s v="Close"/>
    <n v="3.7083333333333336E-2"/>
    <s v="G09"/>
    <n v="1476.9673611111111"/>
    <s v="None"/>
    <s v="WTG Breakdown Maintenance"/>
    <n v="23897"/>
    <n v="1476.9673611111111"/>
    <m/>
    <m/>
    <m/>
    <m/>
  </r>
  <r>
    <n v="1457"/>
    <x v="205"/>
    <x v="1"/>
    <x v="0"/>
    <x v="7"/>
    <x v="1"/>
    <x v="7"/>
    <s v="PWEGPL"/>
    <s v="MSEDCL"/>
    <n v="2.5000000000000001E-2"/>
    <n v="203"/>
    <x v="290"/>
    <s v="BD"/>
    <d v="1899-12-30T04:31:00"/>
    <d v="1899-12-30T05:15:00"/>
    <d v="1899-12-30T07:25:00"/>
    <n v="0.73333333333333339"/>
    <n v="2.166666666666667"/>
    <n v="2.9000000000000004"/>
    <s v="Baluff sensor cable connector found loosen and then properly tightned"/>
    <s v="Close"/>
    <n v="7.2500000000000009E-2"/>
    <s v="G39"/>
    <n v="2145.8791666666671"/>
    <s v="None"/>
    <s v="WTG Breakdown Maintenance"/>
    <n v="17759"/>
    <n v="2145.8791666666671"/>
    <m/>
    <m/>
    <m/>
    <m/>
  </r>
  <r>
    <n v="1458"/>
    <x v="205"/>
    <x v="1"/>
    <x v="0"/>
    <x v="7"/>
    <x v="1"/>
    <x v="35"/>
    <s v="PWEGPL"/>
    <s v="MSEDCL"/>
    <n v="2.5000000000000001E-2"/>
    <n v="1894"/>
    <x v="325"/>
    <s v="BD"/>
    <d v="1899-12-30T06:54:00"/>
    <d v="1899-12-30T08:41:00"/>
    <d v="1899-12-30T08:55:00"/>
    <n v="1.7833333333333323"/>
    <n v="0.2333333333333325"/>
    <n v="2.0166666666666648"/>
    <s v="Hard rebooted and restored"/>
    <s v="Close"/>
    <n v="5.0416666666666624E-2"/>
    <s v="G25"/>
    <n v="1823.2347222222206"/>
    <s v="None"/>
    <s v="WTG Breakdown Maintenance"/>
    <n v="21698"/>
    <n v="1823.2347222222206"/>
    <m/>
    <m/>
    <m/>
    <m/>
  </r>
  <r>
    <n v="1459"/>
    <x v="205"/>
    <x v="1"/>
    <x v="0"/>
    <x v="7"/>
    <x v="1"/>
    <x v="12"/>
    <s v="PWEGPL"/>
    <s v="MSEDCL"/>
    <n v="2.5000000000000001E-2"/>
    <n v="5222"/>
    <x v="315"/>
    <s v="BD/TCA"/>
    <d v="1899-12-30T05:22:00"/>
    <m/>
    <d v="1899-12-30T17:50:00"/>
    <s v=""/>
    <n v="17.833333333333332"/>
    <n v="12.466666666666665"/>
    <s v="As per our observartions TCA point Gearbox both arm dampers replaced and restored"/>
    <s v="Close"/>
    <n v="0.31166666666666665"/>
    <s v="G30"/>
    <n v="11014.3"/>
    <s v="None"/>
    <s v="WTG Scheduled Maintenance"/>
    <n v="21204"/>
    <n v="11014.3"/>
    <m/>
    <m/>
    <m/>
    <m/>
  </r>
  <r>
    <n v="1460"/>
    <x v="205"/>
    <x v="1"/>
    <x v="0"/>
    <x v="7"/>
    <x v="1"/>
    <x v="2"/>
    <s v="PWEGPL"/>
    <s v="MSEDCL"/>
    <n v="2.5000000000000001E-2"/>
    <s v="CE100014"/>
    <x v="305"/>
    <s v="Manual stop"/>
    <d v="1899-12-30T12:03:00"/>
    <d v="1899-12-30T12:03:00"/>
    <d v="1899-12-30T14:38:00"/>
    <n v="0"/>
    <n v="2.5833333333333321"/>
    <n v="2.5833333333333321"/>
    <s v="GB inspection work TCA work"/>
    <s v="Close"/>
    <n v="6.4583333333333312E-2"/>
    <s v="G39"/>
    <n v="1911.5590277777769"/>
    <s v="None"/>
    <s v="WTG Scheduled Maintenance"/>
    <n v="17759"/>
    <n v="1911.5590277777769"/>
    <m/>
    <m/>
    <m/>
    <m/>
  </r>
  <r>
    <n v="1461"/>
    <x v="205"/>
    <x v="1"/>
    <x v="0"/>
    <x v="7"/>
    <x v="1"/>
    <x v="3"/>
    <s v="PWEGPL"/>
    <s v="MSEDCL"/>
    <n v="2.5000000000000001E-2"/>
    <s v="CE100014"/>
    <x v="305"/>
    <s v="Manual stop"/>
    <d v="1899-12-30T12:06:00"/>
    <d v="1899-12-30T12:06:00"/>
    <d v="1899-12-30T16:21:00"/>
    <n v="0"/>
    <n v="4.2500000000000009"/>
    <n v="4.2500000000000009"/>
    <s v="GB inspection work TCA work"/>
    <s v="Close"/>
    <n v="0.10625000000000002"/>
    <s v="G39"/>
    <n v="3144.8229166666674"/>
    <s v="None"/>
    <s v="WTG Scheduled Maintenance"/>
    <n v="17759"/>
    <n v="3144.8229166666674"/>
    <m/>
    <m/>
    <m/>
    <m/>
  </r>
  <r>
    <n v="1462"/>
    <x v="205"/>
    <x v="1"/>
    <x v="0"/>
    <x v="7"/>
    <x v="1"/>
    <x v="7"/>
    <s v="PWEGPL"/>
    <s v="MSEDCL"/>
    <n v="2.5000000000000001E-2"/>
    <s v="CE100014"/>
    <x v="305"/>
    <s v="Manual stop"/>
    <d v="1899-12-30T15:17:00"/>
    <d v="1899-12-30T15:17:00"/>
    <d v="1899-12-30T17:35:00"/>
    <n v="0"/>
    <n v="2.2999999999999998"/>
    <n v="2.2999999999999998"/>
    <s v="GB inspection work TCA work"/>
    <s v="Close"/>
    <n v="5.7499999999999996E-2"/>
    <s v="G37"/>
    <n v="1887.5333333333331"/>
    <s v="None"/>
    <s v="WTG Scheduled Maintenance"/>
    <n v="19696"/>
    <n v="1887.5333333333331"/>
    <m/>
    <m/>
    <m/>
    <m/>
  </r>
  <r>
    <n v="1463"/>
    <x v="205"/>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28761.013194444444"/>
    <s v="Material shortage-Transformer mounting M20x40 bolt found broken 04 pc."/>
    <s v="WTG Breakdown Maintenance"/>
    <n v="28781"/>
    <n v="28761.013194444444"/>
    <m/>
    <m/>
    <m/>
    <m/>
  </r>
  <r>
    <n v="1464"/>
    <x v="206"/>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9896.173611111113"/>
    <s v="Material shortage-Transformer mounting M20x40 bolt found broken 04 pc."/>
    <s v="WTG Breakdown Maintenance"/>
    <n v="19910"/>
    <n v="19896.173611111113"/>
    <m/>
    <m/>
    <m/>
    <m/>
  </r>
  <r>
    <n v="1465"/>
    <x v="206"/>
    <x v="1"/>
    <x v="0"/>
    <x v="7"/>
    <x v="1"/>
    <x v="12"/>
    <s v="PWEGPL"/>
    <s v="MSEDCL"/>
    <n v="2.5000000000000001E-2"/>
    <n v="700"/>
    <x v="329"/>
    <s v="BD/TCA"/>
    <d v="1899-12-30T08:32:00"/>
    <d v="1899-12-30T09:10:00"/>
    <d v="1899-12-30T11:12:00"/>
    <n v="0.63333333333333242"/>
    <n v="2.0333333333333328"/>
    <n v="2.6666666666666652"/>
    <s v="Replaced LAMADA power supply and restored"/>
    <s v="Close"/>
    <n v="6.6666666666666638E-2"/>
    <s v="G30"/>
    <n v="1577.1111111111102"/>
    <s v="None"/>
    <s v="WTG Breakdown Maintenance"/>
    <n v="14194"/>
    <n v="1577.1111111111102"/>
    <m/>
    <m/>
    <m/>
    <m/>
  </r>
  <r>
    <n v="1466"/>
    <x v="206"/>
    <x v="1"/>
    <x v="0"/>
    <x v="7"/>
    <x v="1"/>
    <x v="12"/>
    <s v="PWEGPL"/>
    <s v="MSEDCL"/>
    <n v="2.5000000000000001E-2"/>
    <s v="CE100014"/>
    <x v="305"/>
    <s v="Manual stop"/>
    <d v="1899-12-30T11:12:00"/>
    <d v="1899-12-30T11:12:00"/>
    <d v="1899-12-30T16:10:00"/>
    <n v="0"/>
    <n v="4.9666666666666686"/>
    <n v="4.9666666666666686"/>
    <s v="GB inspection work TCA work"/>
    <s v="Close"/>
    <n v="0.12416666666666672"/>
    <s v="G30"/>
    <n v="2937.3694444444454"/>
    <s v="None"/>
    <s v="WTG Scheduled Maintenance"/>
    <n v="14194"/>
    <n v="2937.3694444444454"/>
    <m/>
    <m/>
    <m/>
    <m/>
  </r>
  <r>
    <n v="1467"/>
    <x v="206"/>
    <x v="1"/>
    <x v="0"/>
    <x v="7"/>
    <x v="1"/>
    <x v="11"/>
    <s v="PWEGPL"/>
    <s v="MSEDCL"/>
    <n v="2.5000000000000001E-2"/>
    <s v="CE100014"/>
    <x v="305"/>
    <s v="Manual stop"/>
    <d v="1899-12-30T10:12:00"/>
    <d v="1899-12-30T10:12:00"/>
    <d v="1899-12-30T13:41:00"/>
    <n v="0"/>
    <n v="3.4833333333333329"/>
    <n v="3.4833333333333329"/>
    <s v="GB inspection work TCA work"/>
    <s v="Close"/>
    <n v="8.7083333333333332E-2"/>
    <s v="G29"/>
    <n v="2132.5256944444445"/>
    <s v="None"/>
    <s v="WTG Scheduled Maintenance"/>
    <n v="14693"/>
    <n v="2132.5256944444445"/>
    <m/>
    <m/>
    <m/>
    <m/>
  </r>
  <r>
    <n v="1468"/>
    <x v="206"/>
    <x v="1"/>
    <x v="0"/>
    <x v="7"/>
    <x v="1"/>
    <x v="16"/>
    <s v="PWEGPL"/>
    <s v="MSEDCL"/>
    <n v="2.5000000000000001E-2"/>
    <s v="CE100014"/>
    <x v="305"/>
    <s v="Manual stop"/>
    <d v="1899-12-30T14:50:00"/>
    <d v="1899-12-30T14:50:00"/>
    <d v="1899-12-30T17:46:00"/>
    <n v="0"/>
    <n v="2.9333333333333309"/>
    <n v="2.9333333333333309"/>
    <s v="GB inspection work TCA work"/>
    <s v="Close"/>
    <n v="7.3333333333333278E-2"/>
    <s v="G35"/>
    <n v="1849.9555555555539"/>
    <s v="None"/>
    <s v="WTG Scheduled Maintenance"/>
    <n v="15136"/>
    <n v="1849.9555555555539"/>
    <m/>
    <m/>
    <m/>
    <m/>
  </r>
  <r>
    <n v="1469"/>
    <x v="206"/>
    <x v="1"/>
    <x v="0"/>
    <x v="7"/>
    <x v="1"/>
    <x v="4"/>
    <s v="PWEGPL"/>
    <s v="MSEDCL"/>
    <n v="2.5000000000000001E-2"/>
    <s v="CE100014"/>
    <x v="305"/>
    <s v="Manual stop"/>
    <d v="1899-12-30T14:57:00"/>
    <d v="1899-12-30T14:57:00"/>
    <d v="1899-12-30T17:30:00"/>
    <n v="0"/>
    <n v="2.5499999999999989"/>
    <n v="2.5499999999999989"/>
    <s v="GB inspection work TCA work"/>
    <s v="Close"/>
    <n v="6.3749999999999973E-2"/>
    <s v="G35"/>
    <n v="1608.1999999999991"/>
    <s v="None"/>
    <s v="WTG Scheduled Maintenance"/>
    <n v="15136"/>
    <n v="1608.1999999999991"/>
    <m/>
    <m/>
    <m/>
    <m/>
  </r>
  <r>
    <n v="1470"/>
    <x v="207"/>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2692.179861111112"/>
    <s v="Material shortage-Transformer mounting M20x40 bolt found broken 04 pc."/>
    <s v="WTG Breakdown Maintenance"/>
    <n v="12701"/>
    <n v="12692.179861111112"/>
    <m/>
    <m/>
    <m/>
    <m/>
  </r>
  <r>
    <n v="1471"/>
    <x v="207"/>
    <x v="1"/>
    <x v="0"/>
    <x v="7"/>
    <x v="1"/>
    <x v="18"/>
    <s v="PWEGPL"/>
    <s v="MSEDCL"/>
    <n v="2.5000000000000001E-2"/>
    <s v="CE100014"/>
    <x v="305"/>
    <s v="Manual stop"/>
    <d v="1899-12-30T10:40:00"/>
    <d v="1899-12-30T10:40:00"/>
    <d v="1899-12-30T16:20:00"/>
    <n v="0"/>
    <n v="5.6666666666666652"/>
    <n v="5.6666666666666652"/>
    <s v="GB inspection work TCA work"/>
    <s v="Close"/>
    <n v="0.14166666666666664"/>
    <s v="G17"/>
    <n v="3684.5138888888882"/>
    <s v="None"/>
    <s v="WTG Scheduled Maintenance"/>
    <n v="15605"/>
    <n v="3684.5138888888882"/>
    <m/>
    <m/>
    <m/>
    <m/>
  </r>
  <r>
    <n v="1472"/>
    <x v="207"/>
    <x v="1"/>
    <x v="0"/>
    <x v="7"/>
    <x v="1"/>
    <x v="22"/>
    <s v="PWEGPL"/>
    <s v="MSEDCL"/>
    <n v="2.5000000000000001E-2"/>
    <s v="CE100014"/>
    <x v="305"/>
    <s v="Manual stop"/>
    <d v="1899-12-30T10:36:00"/>
    <d v="1899-12-30T10:36:00"/>
    <d v="1899-12-30T13:15:00"/>
    <n v="0"/>
    <n v="2.6500000000000012"/>
    <n v="2.6500000000000012"/>
    <s v="GB inspection work TCA work"/>
    <s v="Close"/>
    <n v="6.6250000000000031E-2"/>
    <s v="G02"/>
    <n v="1657.0229166666672"/>
    <s v="None"/>
    <s v="WTG Scheduled Maintenance"/>
    <n v="15007"/>
    <n v="1657.0229166666672"/>
    <m/>
    <m/>
    <m/>
    <m/>
  </r>
  <r>
    <n v="1473"/>
    <x v="207"/>
    <x v="1"/>
    <x v="0"/>
    <x v="7"/>
    <x v="1"/>
    <x v="14"/>
    <s v="PWEGPL"/>
    <s v="MSEDCL"/>
    <n v="2.5000000000000001E-2"/>
    <n v="433"/>
    <x v="387"/>
    <s v="BD"/>
    <d v="1899-12-30T11:22:00"/>
    <d v="1899-12-30T11:22:00"/>
    <d v="1899-12-30T15:43:00"/>
    <n v="0"/>
    <n v="4.3499999999999996"/>
    <n v="4.3499999999999996"/>
    <s v="As per our observartions TCA point Gearbox both arm dampers replaced and restored"/>
    <s v="Close"/>
    <n v="0.10875"/>
    <s v="G32"/>
    <n v="1658.4374999999998"/>
    <s v="None"/>
    <s v="WTG Scheduled Maintenance"/>
    <n v="9150"/>
    <n v="1658.4374999999998"/>
    <m/>
    <m/>
    <m/>
    <m/>
  </r>
  <r>
    <n v="1474"/>
    <x v="207"/>
    <x v="1"/>
    <x v="0"/>
    <x v="7"/>
    <x v="1"/>
    <x v="38"/>
    <s v="PWEGPL"/>
    <s v="MSEDCL"/>
    <n v="2.5000000000000001E-2"/>
    <n v="412"/>
    <x v="336"/>
    <s v="BD"/>
    <d v="1899-12-30T15:28:00"/>
    <d v="1899-12-30T15:45:00"/>
    <d v="1899-12-30T16:29:00"/>
    <n v="0.28333333333333233"/>
    <n v="0.73333333333333339"/>
    <n v="1.0166666666666657"/>
    <s v="Rebooted and restored"/>
    <s v="Close"/>
    <n v="2.5416666666666643E-2"/>
    <s v="G17"/>
    <n v="661.04513888888835"/>
    <s v="None"/>
    <s v="WTG Breakdown Maintenance"/>
    <n v="15605"/>
    <n v="661.04513888888835"/>
    <m/>
    <m/>
    <m/>
    <m/>
  </r>
  <r>
    <n v="1475"/>
    <x v="207"/>
    <x v="1"/>
    <x v="0"/>
    <x v="7"/>
    <x v="1"/>
    <x v="20"/>
    <s v="PWEGPL"/>
    <s v="MSEDCL"/>
    <n v="2.5000000000000001E-2"/>
    <n v="2118"/>
    <x v="293"/>
    <s v="BD"/>
    <d v="1899-12-30T14:27:00"/>
    <d v="1899-12-30T15:01:00"/>
    <d v="1899-12-30T17:20:00"/>
    <n v="0.56666666666666732"/>
    <n v="2.3166666666666664"/>
    <n v="2.8833333333333337"/>
    <s v="Found slipring dust accumulated then cleaned and restored"/>
    <s v="Close"/>
    <n v="7.2083333333333346E-2"/>
    <s v="G02"/>
    <n v="1802.9243055555557"/>
    <s v="None"/>
    <s v="WTG Breakdown Maintenance"/>
    <n v="15007"/>
    <n v="1802.9243055555557"/>
    <m/>
    <m/>
    <m/>
    <m/>
  </r>
  <r>
    <n v="1476"/>
    <x v="207"/>
    <x v="1"/>
    <x v="0"/>
    <x v="7"/>
    <x v="1"/>
    <x v="38"/>
    <s v="PWEGPL"/>
    <s v="MSEDCL"/>
    <n v="2.5000000000000001E-2"/>
    <n v="412"/>
    <x v="336"/>
    <s v="BD"/>
    <d v="1899-12-30T17:40:00"/>
    <d v="1899-12-30T17:54:00"/>
    <d v="1899-12-30T19:56:00"/>
    <n v="0.23333333333332984"/>
    <n v="2.0333333333333368"/>
    <n v="2.2666666666666666"/>
    <s v="Checked all related cooling motors and contactors while checking found KM004 contactor spark marks on contacting points then serviced contactor properly and restored"/>
    <s v="Close"/>
    <n v="5.6666666666666671E-2"/>
    <s v="G17"/>
    <n v="1473.8055555555557"/>
    <s v="None"/>
    <s v="WTG Breakdown Maintenance"/>
    <n v="15605"/>
    <n v="1473.8055555555557"/>
    <m/>
    <m/>
    <m/>
    <m/>
  </r>
  <r>
    <n v="1477"/>
    <x v="208"/>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5815.009722222221"/>
    <s v="Material shortage-Transformer mounting M20x40 bolt found broken 04 pc."/>
    <s v="WTG Breakdown Maintenance"/>
    <n v="15826"/>
    <n v="15815.009722222221"/>
    <m/>
    <m/>
    <m/>
    <m/>
  </r>
  <r>
    <n v="1478"/>
    <x v="208"/>
    <x v="1"/>
    <x v="0"/>
    <x v="7"/>
    <x v="1"/>
    <x v="14"/>
    <s v="PWEGPL"/>
    <s v="MSEDCL"/>
    <n v="2.5000000000000001E-2"/>
    <s v="CE100014"/>
    <x v="305"/>
    <s v="Manual stop"/>
    <d v="1899-12-30T10:29:00"/>
    <d v="1899-12-30T10:29:00"/>
    <d v="1899-12-30T14:18:00"/>
    <n v="0"/>
    <n v="3.8166666666666678"/>
    <n v="3.8166666666666678"/>
    <s v="GB inspection work TCA work"/>
    <s v="Close"/>
    <n v="9.5416666666666705E-2"/>
    <s v="G37"/>
    <n v="1842.8138888888893"/>
    <s v="None"/>
    <s v="WTG Scheduled Maintenance"/>
    <n v="11588"/>
    <n v="1842.8138888888893"/>
    <m/>
    <m/>
    <m/>
    <m/>
  </r>
  <r>
    <n v="1479"/>
    <x v="209"/>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4269.084027777779"/>
    <s v="Material shortage-Transformer mounting M20x40 bolt found broken 04 pc."/>
    <s v="WTG Breakdown Maintenance"/>
    <n v="14279"/>
    <n v="14269.084027777779"/>
    <m/>
    <m/>
    <m/>
    <m/>
  </r>
  <r>
    <n v="1480"/>
    <x v="209"/>
    <x v="1"/>
    <x v="0"/>
    <x v="7"/>
    <x v="1"/>
    <x v="22"/>
    <s v="PWEGPL"/>
    <s v="MSEDCL"/>
    <n v="2.5000000000000001E-2"/>
    <n v="402"/>
    <x v="300"/>
    <s v="BD/TCA"/>
    <d v="1899-12-30T08:41:00"/>
    <d v="1899-12-30T10:50:00"/>
    <d v="1899-12-30T19:24:00"/>
    <n v="2.1500000000000004"/>
    <n v="8.5666666666666647"/>
    <n v="10.716666666666665"/>
    <s v="Checked gearbox oil and found leakages then arrested and oil top up"/>
    <s v="Close"/>
    <n v="0.26791666666666664"/>
    <s v="G02"/>
    <n v="5958.9131944444434"/>
    <s v="Material shortage gearbox oil"/>
    <s v="WTG Breakdown Maintenance"/>
    <n v="13345"/>
    <n v="5958.9131944444434"/>
    <m/>
    <m/>
    <m/>
    <m/>
  </r>
  <r>
    <n v="1481"/>
    <x v="209"/>
    <x v="1"/>
    <x v="0"/>
    <x v="7"/>
    <x v="1"/>
    <x v="37"/>
    <s v="PWEGPL"/>
    <s v="MSEDCL"/>
    <n v="2.5000000000000001E-2"/>
    <s v="CE100014"/>
    <x v="305"/>
    <s v="Manual stop/TCA"/>
    <d v="1899-12-30T10:25:00"/>
    <d v="1899-12-30T10:25:00"/>
    <d v="1899-12-30T15:30:00"/>
    <n v="0"/>
    <n v="5.0833333333333357"/>
    <n v="5.0833333333333357"/>
    <s v="As per our observartions TCA point Gearbox both arm dampers replaced and restored"/>
    <s v="Close"/>
    <n v="0.12708333333333341"/>
    <s v="G17"/>
    <n v="2927.3645833333348"/>
    <s v="None"/>
    <s v="WTG Scheduled Maintenance"/>
    <n v="13821"/>
    <n v="2927.3645833333348"/>
    <m/>
    <m/>
    <m/>
    <m/>
  </r>
  <r>
    <n v="1482"/>
    <x v="210"/>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2068.613194444444"/>
    <s v="Material shortage-Transformer mounting M20x40 bolt found broken 04 pc."/>
    <s v="WTG Breakdown Maintenance"/>
    <n v="12077"/>
    <n v="12068.613194444444"/>
    <m/>
    <m/>
    <m/>
    <m/>
  </r>
  <r>
    <n v="1483"/>
    <x v="210"/>
    <x v="1"/>
    <x v="0"/>
    <x v="7"/>
    <x v="1"/>
    <x v="1"/>
    <s v="PWEGPL"/>
    <s v="MSEDCL"/>
    <n v="2.5000000000000001E-2"/>
    <n v="203"/>
    <x v="290"/>
    <s v="BD"/>
    <d v="1899-12-30T15:36:00"/>
    <d v="1899-12-30T15:55:00"/>
    <d v="1899-12-30T18:05:00"/>
    <n v="0.31666666666666554"/>
    <n v="2.166666666666667"/>
    <n v="2.4833333333333325"/>
    <s v="Checked all hydraulic values setting and pressure setting found all normal then reboot and resetted"/>
    <s v="Close"/>
    <n v="6.2083333333333317E-2"/>
    <s v="G21"/>
    <n v="1169.9604166666663"/>
    <s v="None"/>
    <s v="WTG Breakdown Maintenance"/>
    <n v="11307"/>
    <n v="1169.9604166666663"/>
    <m/>
    <m/>
    <m/>
    <m/>
  </r>
  <r>
    <n v="1484"/>
    <x v="210"/>
    <x v="1"/>
    <x v="0"/>
    <x v="7"/>
    <x v="1"/>
    <x v="8"/>
    <s v="PWEGPL"/>
    <s v="MSEDCL"/>
    <n v="2.5000000000000001E-2"/>
    <n v="205"/>
    <x v="312"/>
    <s v="BD"/>
    <d v="1899-12-30T20:24:00"/>
    <d v="1899-12-30T23:07:00"/>
    <d v="1899-12-30T23:59:00"/>
    <n v="2.7166666666666677"/>
    <n v="0.86666666666666625"/>
    <n v="3.5833333333333339"/>
    <s v="Work under progress"/>
    <s v="Open"/>
    <n v="8.9583333333333348E-2"/>
    <s v="G28"/>
    <n v="1294.0312500000002"/>
    <s v="Material shortage-Hydraulic oil"/>
    <s v="WTG Breakdown Maintenance"/>
    <n v="8667"/>
    <n v="1294.0312500000002"/>
    <m/>
    <m/>
    <m/>
    <m/>
  </r>
  <r>
    <n v="1485"/>
    <x v="210"/>
    <x v="1"/>
    <x v="0"/>
    <x v="7"/>
    <x v="1"/>
    <x v="34"/>
    <s v="PWEGPL"/>
    <s v="MSEDCL"/>
    <n v="2.5000000000000001E-2"/>
    <n v="205"/>
    <x v="312"/>
    <s v="BD"/>
    <d v="1899-12-30T18:36:00"/>
    <d v="1899-12-30T23:59:00"/>
    <d v="1899-12-30T23:59:00"/>
    <n v="5.3833333333333329"/>
    <n v="0"/>
    <n v="5.3833333333333329"/>
    <s v="Work under progress"/>
    <s v="Open"/>
    <n v="0.13458333333333333"/>
    <s v="G21"/>
    <n v="2536.2229166666666"/>
    <s v="Material shortage-Hydraulic oil"/>
    <s v="WTG Breakdown Maintenance"/>
    <n v="11307"/>
    <n v="2536.2229166666666"/>
    <m/>
    <m/>
    <m/>
    <m/>
  </r>
  <r>
    <n v="1486"/>
    <x v="210"/>
    <x v="1"/>
    <x v="0"/>
    <x v="7"/>
    <x v="1"/>
    <x v="10"/>
    <s v="PWEGPL"/>
    <s v="MSEDCL"/>
    <n v="2.5000000000000001E-2"/>
    <n v="205"/>
    <x v="312"/>
    <s v="BD"/>
    <d v="1899-12-30T20:24:00"/>
    <d v="1899-12-30T20:55:00"/>
    <d v="1899-12-30T21:26:00"/>
    <n v="0.5166666666666675"/>
    <n v="0.5166666666666675"/>
    <n v="1.033333333333335"/>
    <s v="Rebooted and restored"/>
    <s v="Close"/>
    <n v="2.5833333333333375E-2"/>
    <s v="G30"/>
    <n v="381.08472222222287"/>
    <s v="None"/>
    <s v="WTG Breakdown Maintenance"/>
    <n v="8851"/>
    <n v="381.08472222222287"/>
    <m/>
    <m/>
    <m/>
    <m/>
  </r>
  <r>
    <n v="1487"/>
    <x v="211"/>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8478.15902777778"/>
    <s v="Material shortage-Transformer mounting M20x40 bolt found broken 04 pc."/>
    <s v="WTG Breakdown Maintenance"/>
    <n v="18491"/>
    <n v="18478.15902777778"/>
    <m/>
    <m/>
    <m/>
    <m/>
  </r>
  <r>
    <n v="1488"/>
    <x v="211"/>
    <x v="1"/>
    <x v="0"/>
    <x v="7"/>
    <x v="1"/>
    <x v="8"/>
    <s v="PWEGPL"/>
    <s v="MSEDCL"/>
    <n v="2.5000000000000001E-2"/>
    <n v="205"/>
    <x v="312"/>
    <s v="BD"/>
    <d v="1899-12-30T00:00:00"/>
    <d v="1899-12-30T00:00:00"/>
    <d v="1899-12-30T03:29:00"/>
    <n v="0"/>
    <n v="3.4833333333333334"/>
    <n v="3.4833333333333334"/>
    <s v="Oil top up and restored the WTG"/>
    <s v="Close"/>
    <n v="8.7083333333333346E-2"/>
    <s v="G28"/>
    <n v="1711.4777777777776"/>
    <s v="Material shortage-Hydraulic oil"/>
    <s v="WTG Breakdown Maintenance"/>
    <n v="11792"/>
    <n v="1711.4777777777776"/>
    <m/>
    <m/>
    <m/>
    <m/>
  </r>
  <r>
    <n v="1489"/>
    <x v="211"/>
    <x v="1"/>
    <x v="0"/>
    <x v="7"/>
    <x v="1"/>
    <x v="34"/>
    <s v="PWEGPL"/>
    <s v="MSEDCL"/>
    <n v="2.5000000000000001E-2"/>
    <n v="205"/>
    <x v="312"/>
    <s v="BD"/>
    <d v="1899-12-30T00:00:00"/>
    <d v="1899-12-30T08:55:00"/>
    <d v="1899-12-30T16:50:00"/>
    <n v="8.9166666666666661"/>
    <n v="7.9166666666666661"/>
    <n v="16.833333333333332"/>
    <s v="Oil top up and restored the WTG"/>
    <s v="Close"/>
    <n v="0.42083333333333334"/>
    <s v="G21"/>
    <n v="10451.395833333332"/>
    <s v="Main tower entrance door lock mechanism issue"/>
    <s v="WTG Breakdown Maintenance"/>
    <n v="14901"/>
    <n v="10451.395833333332"/>
    <m/>
    <m/>
    <m/>
    <m/>
  </r>
  <r>
    <n v="1490"/>
    <x v="211"/>
    <x v="1"/>
    <x v="0"/>
    <x v="7"/>
    <x v="1"/>
    <x v="32"/>
    <s v="PWEGPL"/>
    <s v="MSEDCL"/>
    <n v="2.5000000000000001E-2"/>
    <n v="1894"/>
    <x v="325"/>
    <s v="BD"/>
    <d v="1899-12-30T01:05:00"/>
    <d v="1899-12-30T01:20:00"/>
    <d v="1899-12-30T01:27:00"/>
    <n v="0.24999999999999994"/>
    <n v="0.11666666666666675"/>
    <n v="0.3666666666666667"/>
    <s v="Rebooted and restored"/>
    <s v="Close"/>
    <n v="9.1666666666666684E-3"/>
    <s v="G15"/>
    <n v="240.9"/>
    <s v="None"/>
    <s v="WTG Breakdown Maintenance"/>
    <n v="15768"/>
    <n v="240.9"/>
    <m/>
    <m/>
    <m/>
    <m/>
  </r>
  <r>
    <n v="1491"/>
    <x v="211"/>
    <x v="1"/>
    <x v="0"/>
    <x v="7"/>
    <x v="1"/>
    <x v="20"/>
    <s v="PWEGPL"/>
    <s v="MSEDCL"/>
    <n v="2.5000000000000001E-2"/>
    <n v="2118"/>
    <x v="293"/>
    <s v="BD"/>
    <d v="1899-12-30T06:24:00"/>
    <d v="1899-12-30T06:55:00"/>
    <d v="1899-12-30T09:23:00"/>
    <n v="0.5166666666666675"/>
    <n v="2.4666666666666659"/>
    <n v="2.9833333333333334"/>
    <s v="Sliprng cleaned and restored the turbine"/>
    <s v="Close"/>
    <n v="7.4583333333333335E-2"/>
    <s v="G02"/>
    <n v="1890.190277777778"/>
    <s v="None"/>
    <s v="WTG Breakdown Maintenance"/>
    <n v="15206"/>
    <n v="1890.190277777778"/>
    <m/>
    <m/>
    <m/>
    <m/>
  </r>
  <r>
    <n v="1492"/>
    <x v="211"/>
    <x v="1"/>
    <x v="0"/>
    <x v="7"/>
    <x v="1"/>
    <x v="37"/>
    <s v="PWEGPL"/>
    <s v="MSEDCL"/>
    <n v="2.5000000000000001E-2"/>
    <s v="CE100014"/>
    <x v="305"/>
    <s v="Manual stop/TCA"/>
    <d v="1899-12-30T13:36:00"/>
    <d v="1899-12-30T13:36:00"/>
    <d v="1899-12-30T16:13:00"/>
    <n v="0"/>
    <n v="2.6166666666666654"/>
    <n v="2.6166666666666654"/>
    <s v="As per TCA point Yaw drive failure dismentle work done"/>
    <s v="Close"/>
    <n v="6.5416666666666637E-2"/>
    <s v="G17"/>
    <n v="1680.1180555555547"/>
    <s v="None"/>
    <s v="WTG Scheduled Maintenance"/>
    <n v="15410"/>
    <n v="1680.1180555555547"/>
    <m/>
    <m/>
    <m/>
    <m/>
  </r>
  <r>
    <n v="1493"/>
    <x v="212"/>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2600.345138888893"/>
    <s v="Material shortage-Transformer mounting M20x40 bolt found broken 04 pc."/>
    <s v="WTG Breakdown Maintenance"/>
    <n v="32623"/>
    <n v="32600.345138888893"/>
    <m/>
    <m/>
    <m/>
    <m/>
  </r>
  <r>
    <n v="1494"/>
    <x v="212"/>
    <x v="1"/>
    <x v="0"/>
    <x v="7"/>
    <x v="1"/>
    <x v="34"/>
    <s v="PWEGPL"/>
    <s v="MSEDCL"/>
    <n v="2.5000000000000001E-2"/>
    <n v="1894"/>
    <x v="325"/>
    <s v="BD"/>
    <d v="1899-12-30T08:36:00"/>
    <d v="1899-12-30T09:45:00"/>
    <d v="1899-12-30T09:58:00"/>
    <n v="1.1499999999999999"/>
    <n v="0.21666666666666723"/>
    <n v="1.3666666666666671"/>
    <s v="Rebooted and restored"/>
    <s v="Close"/>
    <n v="3.4166666666666679E-2"/>
    <s v="G25"/>
    <n v="1398.7833333333338"/>
    <s v="None"/>
    <s v="WTG Breakdown Maintenance"/>
    <n v="24564"/>
    <n v="1398.7833333333338"/>
    <m/>
    <m/>
    <m/>
    <m/>
  </r>
  <r>
    <n v="1495"/>
    <x v="212"/>
    <x v="1"/>
    <x v="0"/>
    <x v="7"/>
    <x v="1"/>
    <x v="37"/>
    <s v="PWEGPL"/>
    <s v="MSEDCL"/>
    <n v="2.5000000000000001E-2"/>
    <s v="CE100014"/>
    <x v="305"/>
    <s v="Manual stop/TCA"/>
    <d v="1899-12-30T10:58:00"/>
    <d v="1899-12-30T10:58:00"/>
    <d v="1899-12-30T19:01:00"/>
    <n v="0"/>
    <n v="8.0499999999999989"/>
    <n v="8.0499999999999989"/>
    <s v="As per TCA point Yaw drive failure dismentle work done"/>
    <s v="Close"/>
    <n v="0.20124999999999998"/>
    <s v="G17"/>
    <n v="10476.068749999999"/>
    <s v="None"/>
    <s v="WTG Scheduled Maintenance"/>
    <n v="31233"/>
    <n v="10476.068749999999"/>
    <m/>
    <m/>
    <m/>
    <m/>
  </r>
  <r>
    <n v="1496"/>
    <x v="212"/>
    <x v="1"/>
    <x v="0"/>
    <x v="7"/>
    <x v="1"/>
    <x v="34"/>
    <s v="PWEGPL"/>
    <s v="MSEDCL"/>
    <n v="2.5000000000000001E-2"/>
    <n v="444"/>
    <x v="338"/>
    <s v="BD"/>
    <d v="1899-12-30T12:11:00"/>
    <d v="1899-12-30T13:04:00"/>
    <d v="1899-12-30T15:18:00"/>
    <n v="0.88333333333333286"/>
    <n v="2.2333333333333361"/>
    <n v="3.1166666666666689"/>
    <s v="Checked gearbox pump operaion and all found ok then MCB switched on and restored"/>
    <s v="Close"/>
    <n v="7.7916666666666731E-2"/>
    <s v="G21"/>
    <n v="3237.9569444444469"/>
    <s v="None"/>
    <s v="WTG Breakdown Maintenance"/>
    <n v="24934"/>
    <n v="3237.9569444444469"/>
    <m/>
    <m/>
    <m/>
    <m/>
  </r>
  <r>
    <n v="1497"/>
    <x v="212"/>
    <x v="1"/>
    <x v="0"/>
    <x v="7"/>
    <x v="1"/>
    <x v="34"/>
    <s v="PWEGPL"/>
    <s v="MSEDCL"/>
    <n v="2.5000000000000001E-2"/>
    <n v="412"/>
    <x v="336"/>
    <s v="Manual stop"/>
    <d v="1899-12-30T16:01:00"/>
    <d v="1899-12-30T16:01:00"/>
    <d v="1899-12-30T16:38:00"/>
    <n v="0"/>
    <n v="0.61666666666666714"/>
    <n v="0.61666666666666714"/>
    <s v="KM004 contactor serviced and rstored"/>
    <s v="Close"/>
    <n v="1.5416666666666679E-2"/>
    <s v="G21"/>
    <n v="640.66527777777833"/>
    <s v="None"/>
    <s v="WTG Scheduled Maintenance"/>
    <n v="24934"/>
    <n v="640.66527777777833"/>
    <m/>
    <m/>
    <m/>
    <m/>
  </r>
  <r>
    <n v="1498"/>
    <x v="213"/>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2673.294444444444"/>
    <s v="Material shortage-Transformer mounting M20x40 bolt found broken 04 pc."/>
    <s v="WTG Breakdown Maintenance"/>
    <n v="32696"/>
    <n v="32673.294444444444"/>
    <m/>
    <m/>
    <m/>
    <m/>
  </r>
  <r>
    <n v="1499"/>
    <x v="213"/>
    <x v="1"/>
    <x v="0"/>
    <x v="7"/>
    <x v="1"/>
    <x v="37"/>
    <s v="PWEGPL"/>
    <s v="MSEDCL"/>
    <n v="2.5000000000000001E-2"/>
    <n v="115"/>
    <x v="308"/>
    <s v="Manual stop/TCA"/>
    <d v="1899-12-30T10:15:00"/>
    <d v="1899-12-30T10:15:00"/>
    <d v="1899-12-30T15:27:00"/>
    <n v="0"/>
    <n v="5.1999999999999993"/>
    <n v="5.1999999999999993"/>
    <s v="Yaw drive replaced with new one and restored "/>
    <s v="Close"/>
    <n v="0.12999999999999998"/>
    <s v="G17"/>
    <n v="6888.2666666666664"/>
    <s v="None"/>
    <s v="WTG Scheduled Maintenance"/>
    <n v="31792"/>
    <n v="6888.2666666666664"/>
    <m/>
    <m/>
    <m/>
    <m/>
  </r>
  <r>
    <n v="1500"/>
    <x v="213"/>
    <x v="1"/>
    <x v="0"/>
    <x v="7"/>
    <x v="1"/>
    <x v="34"/>
    <s v="PWEGPL"/>
    <s v="MSEDCL"/>
    <n v="2.5000000000000001E-2"/>
    <n v="804"/>
    <x v="382"/>
    <s v="BD"/>
    <d v="1899-12-30T11:17:00"/>
    <d v="1899-12-30T11:58:00"/>
    <d v="1899-12-30T17:55:00"/>
    <n v="0.68333333333333357"/>
    <n v="5.95"/>
    <n v="6.6333333333333337"/>
    <s v="Checekd all related connections components wiring condition found all physically ok but while manually pitching found abnormal on blade B then checkec relays found failure then replaced with new one and restored"/>
    <s v="Close"/>
    <n v="0.16583333333333336"/>
    <s v="G21"/>
    <n v="6338.979166666667"/>
    <s v="None"/>
    <s v="WTG Breakdown Maintenance"/>
    <n v="22935"/>
    <n v="6338.979166666667"/>
    <m/>
    <m/>
    <m/>
    <m/>
  </r>
  <r>
    <n v="1501"/>
    <x v="213"/>
    <x v="1"/>
    <x v="0"/>
    <x v="7"/>
    <x v="1"/>
    <x v="34"/>
    <s v="PWEGPL"/>
    <s v="MSEDCL"/>
    <n v="2.5000000000000001E-2"/>
    <n v="813"/>
    <x v="376"/>
    <s v="BD"/>
    <d v="1899-12-30T18:43:00"/>
    <d v="1899-12-30T19:12:00"/>
    <d v="1899-12-30T23:59:00"/>
    <n v="0.48333333333333428"/>
    <n v="4.783333333333335"/>
    <n v="5.2666666666666693"/>
    <s v="Work under progress"/>
    <s v="Open"/>
    <n v="0.13166666666666674"/>
    <s v="G21"/>
    <n v="5032.9583333333358"/>
    <s v="None"/>
    <s v="WTG Breakdown Maintenance"/>
    <n v="22935"/>
    <n v="5032.9583333333358"/>
    <m/>
    <m/>
    <m/>
    <m/>
  </r>
  <r>
    <n v="1502"/>
    <x v="214"/>
    <x v="1"/>
    <x v="0"/>
    <x v="7"/>
    <x v="1"/>
    <x v="34"/>
    <s v="PWEGPL"/>
    <s v="MSEDCL"/>
    <n v="2.5000000000000001E-2"/>
    <n v="813"/>
    <x v="376"/>
    <s v="BD"/>
    <d v="1899-12-30T00:00:00"/>
    <d v="1899-12-30T00:00:00"/>
    <d v="1899-12-30T00:37:00"/>
    <n v="0"/>
    <n v="0.6166666666666667"/>
    <n v="0.6166666666666667"/>
    <s v="OGS sensor replaced and restored"/>
    <s v="Close"/>
    <n v="1.5416666666666669E-2"/>
    <s v="G21"/>
    <n v="366.32569444444442"/>
    <s v="None"/>
    <s v="WTG Breakdown Maintenance"/>
    <n v="14257"/>
    <n v="366.32569444444442"/>
    <m/>
    <m/>
    <m/>
    <m/>
  </r>
  <r>
    <n v="1503"/>
    <x v="214"/>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8"/>
    <n v="16182.754166666668"/>
    <s v="Material shortage-Transformer mounting M20x40 bolt found broken 04 pc."/>
    <s v="WTG Breakdown Maintenance"/>
    <n v="16194"/>
    <n v="16182.754166666668"/>
    <m/>
    <m/>
    <m/>
    <m/>
  </r>
  <r>
    <n v="1504"/>
    <x v="214"/>
    <x v="1"/>
    <x v="0"/>
    <x v="7"/>
    <x v="1"/>
    <x v="39"/>
    <s v="PWEGPL"/>
    <s v="MSEDCL"/>
    <n v="2.5000000000000001E-2"/>
    <n v="115"/>
    <x v="308"/>
    <s v="BD"/>
    <d v="1899-12-30T09:18:00"/>
    <d v="1899-12-30T09:27:00"/>
    <d v="1899-12-30T11:23:00"/>
    <n v="0.14999999999999947"/>
    <n v="1.9333333333333331"/>
    <n v="2.0833333333333326"/>
    <s v="Pressure setting done and restored"/>
    <s v="Close"/>
    <n v="5.2083333333333315E-2"/>
    <s v="G13"/>
    <n v="1526.649305555555"/>
    <s v="None"/>
    <s v="WTG Breakdown Maintenance"/>
    <n v="17587"/>
    <n v="1526.649305555555"/>
    <m/>
    <m/>
    <m/>
    <m/>
  </r>
  <r>
    <n v="1505"/>
    <x v="214"/>
    <x v="1"/>
    <x v="0"/>
    <x v="7"/>
    <x v="1"/>
    <x v="32"/>
    <s v="PWEGPL"/>
    <s v="MSEDCL"/>
    <n v="2.5000000000000001E-2"/>
    <n v="433"/>
    <x v="387"/>
    <s v="BD"/>
    <d v="1899-12-30T10:17:00"/>
    <d v="1899-12-30T10:17:00"/>
    <d v="1899-12-30T14:02:00"/>
    <n v="0"/>
    <n v="3.7500000000000013"/>
    <n v="3.7500000000000013"/>
    <s v="Gearbox auxilury pump motor replaced and restored"/>
    <s v="Close"/>
    <n v="9.3750000000000042E-2"/>
    <s v="G13"/>
    <n v="2747.9687500000009"/>
    <s v="None"/>
    <s v="WTG Scheduled Maintenance"/>
    <n v="17587"/>
    <n v="2747.9687500000009"/>
    <m/>
    <m/>
    <m/>
    <m/>
  </r>
  <r>
    <n v="1506"/>
    <x v="214"/>
    <x v="1"/>
    <x v="0"/>
    <x v="7"/>
    <x v="1"/>
    <x v="18"/>
    <s v="PWEGPL"/>
    <s v="MSEDCL"/>
    <n v="2.5000000000000001E-2"/>
    <s v="CE100001"/>
    <x v="288"/>
    <s v="Manual stop"/>
    <d v="1899-12-30T16:06:00"/>
    <d v="1899-12-30T16:06:00"/>
    <d v="1899-12-30T18:42:00"/>
    <n v="0"/>
    <n v="2.5999999999999988"/>
    <n v="2.5999999999999988"/>
    <s v="Power curve deviation related checked and found all ok and then restored"/>
    <s v="Close"/>
    <n v="6.4999999999999974E-2"/>
    <s v="G17"/>
    <n v="2231.1249999999991"/>
    <s v="None"/>
    <s v="WTG Scheduled Maintenance"/>
    <n v="20595"/>
    <n v="2231.1249999999991"/>
    <m/>
    <m/>
    <m/>
    <m/>
  </r>
  <r>
    <n v="1507"/>
    <x v="214"/>
    <x v="1"/>
    <x v="0"/>
    <x v="7"/>
    <x v="1"/>
    <x v="29"/>
    <s v="PWEGPL"/>
    <s v="MSEDCL"/>
    <n v="2.5000000000000001E-2"/>
    <n v="5240"/>
    <x v="388"/>
    <s v="BD"/>
    <d v="1899-12-30T19:13:00"/>
    <d v="1899-12-30T21:30:00"/>
    <d v="1899-12-30T23:59:00"/>
    <n v="2.2833333333333359"/>
    <n v="2.4833333333333325"/>
    <n v="4.7666666666666684"/>
    <s v="Work under progress"/>
    <s v="Open"/>
    <n v="0.11916666666666671"/>
    <s v="G12"/>
    <n v="3287.8083333333343"/>
    <s v="None"/>
    <s v="WTG Breakdown Maintenance"/>
    <n v="16554"/>
    <n v="3287.8083333333343"/>
    <m/>
    <m/>
    <m/>
    <m/>
  </r>
  <r>
    <n v="1508"/>
    <x v="214"/>
    <x v="1"/>
    <x v="0"/>
    <x v="7"/>
    <x v="1"/>
    <x v="20"/>
    <s v="PWEGPL"/>
    <s v="MSEDCL"/>
    <n v="2.5000000000000001E-2"/>
    <n v="2118"/>
    <x v="293"/>
    <s v="BD"/>
    <d v="1899-12-30T21:43:00"/>
    <d v="1899-12-30T23:37:00"/>
    <d v="1899-12-30T23:59:00"/>
    <n v="1.9000000000000039"/>
    <n v="0.36666666666666536"/>
    <n v="2.2666666666666693"/>
    <s v="Work under progress"/>
    <s v="Open"/>
    <n v="5.6666666666666733E-2"/>
    <s v="G02"/>
    <n v="1422.5222222222239"/>
    <s v="None"/>
    <s v="WTG Breakdown Maintenance"/>
    <n v="15062"/>
    <n v="1422.5222222222239"/>
    <m/>
    <m/>
    <m/>
    <m/>
  </r>
  <r>
    <n v="1509"/>
    <x v="215"/>
    <x v="1"/>
    <x v="0"/>
    <x v="7"/>
    <x v="1"/>
    <x v="20"/>
    <s v="PWEGPL"/>
    <s v="MSEDCL"/>
    <n v="2.5000000000000001E-2"/>
    <n v="2118"/>
    <x v="293"/>
    <s v="BD"/>
    <d v="1899-12-30T00:00:00"/>
    <d v="1899-12-30T00:00:00"/>
    <d v="1899-12-30T01:25:00"/>
    <n v="0"/>
    <n v="1.4166666666666667"/>
    <n v="1.4166666666666667"/>
    <s v="Slipring cleaned and restored"/>
    <s v="Close"/>
    <n v="3.5416666666666673E-2"/>
    <s v="G02"/>
    <n v="555.15625"/>
    <s v="None"/>
    <s v="WTG Breakdown Maintenance"/>
    <n v="9405"/>
    <n v="555.15625"/>
    <m/>
    <m/>
    <m/>
    <m/>
  </r>
  <r>
    <n v="1510"/>
    <x v="215"/>
    <x v="1"/>
    <x v="0"/>
    <x v="7"/>
    <x v="1"/>
    <x v="29"/>
    <s v="PWEGPL"/>
    <s v="MSEDCL"/>
    <n v="2.5000000000000001E-2"/>
    <n v="5240"/>
    <x v="388"/>
    <s v="BD"/>
    <d v="1899-12-30T00:00:00"/>
    <d v="1899-12-30T00:00:00"/>
    <d v="1899-12-30T23:59:00"/>
    <n v="0"/>
    <n v="23.983333333333334"/>
    <n v="23.983333333333334"/>
    <s v="IGBT failure so converter healthiness checking under profress"/>
    <s v="Open"/>
    <n v="0.59958333333333336"/>
    <s v="G10"/>
    <n v="11048.322222222223"/>
    <s v="Material shortage-IGBT"/>
    <s v="WTG Breakdown Maintenance"/>
    <n v="11056"/>
    <n v="11048.322222222223"/>
    <m/>
    <m/>
    <m/>
    <m/>
  </r>
  <r>
    <n v="1511"/>
    <x v="215"/>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0807.489583333334"/>
    <s v="Material shortage-Transformer mounting M20x40 bolt found broken 04 pc."/>
    <s v="WTG Breakdown Maintenance"/>
    <n v="10815"/>
    <n v="10807.489583333334"/>
    <m/>
    <m/>
    <m/>
    <m/>
  </r>
  <r>
    <n v="1512"/>
    <x v="215"/>
    <x v="1"/>
    <x v="0"/>
    <x v="7"/>
    <x v="1"/>
    <x v="35"/>
    <s v="PWEGPL"/>
    <s v="MSEDCL"/>
    <n v="2.5000000000000001E-2"/>
    <n v="433"/>
    <x v="387"/>
    <s v="BD"/>
    <d v="1899-12-30T11:18:00"/>
    <d v="1899-12-30T11:18:00"/>
    <d v="1899-12-30T15:09:00"/>
    <n v="0"/>
    <n v="3.8499999999999983"/>
    <n v="3.8499999999999983"/>
    <s v="Gearbox auxilury pump motor replaced and restored"/>
    <s v="Close"/>
    <n v="9.6249999999999961E-2"/>
    <s v="G25"/>
    <n v="1327.9291666666661"/>
    <s v="None"/>
    <s v="WTG Scheduled Maintenance"/>
    <n v="8278"/>
    <n v="1327.9291666666661"/>
    <m/>
    <m/>
    <m/>
    <m/>
  </r>
  <r>
    <n v="1513"/>
    <x v="215"/>
    <x v="1"/>
    <x v="0"/>
    <x v="7"/>
    <x v="1"/>
    <x v="34"/>
    <s v="PWEGPL"/>
    <s v="MSEDCL"/>
    <n v="2.5000000000000001E-2"/>
    <n v="813"/>
    <x v="376"/>
    <s v="BD"/>
    <d v="1899-12-30T23:19:00"/>
    <d v="1899-12-30T23:45:00"/>
    <d v="1899-12-30T23:59:00"/>
    <n v="0.43333333333333446"/>
    <n v="0.2333333333333325"/>
    <n v="0.66666666666666696"/>
    <s v="Work under progress"/>
    <s v="Close"/>
    <n v="1.6666666666666673E-2"/>
    <s v="G21"/>
    <n v="190.83333333333343"/>
    <s v="None"/>
    <s v="WTG Breakdown Maintenance"/>
    <n v="6870"/>
    <n v="190.83333333333343"/>
    <m/>
    <m/>
    <m/>
    <m/>
  </r>
  <r>
    <n v="1514"/>
    <x v="216"/>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8365.1868055555569"/>
    <s v="Material shortage-Transformer mounting M20x40 bolt found broken 04 pc."/>
    <s v="WTG Breakdown Maintenance"/>
    <n v="8371"/>
    <n v="8365.1868055555569"/>
    <m/>
    <m/>
    <m/>
    <m/>
  </r>
  <r>
    <n v="1515"/>
    <x v="216"/>
    <x v="1"/>
    <x v="0"/>
    <x v="7"/>
    <x v="1"/>
    <x v="29"/>
    <s v="PWEGPL"/>
    <s v="MSEDCL"/>
    <n v="2.5000000000000001E-2"/>
    <n v="5240"/>
    <x v="388"/>
    <s v="BD"/>
    <d v="1899-12-30T00:00:00"/>
    <d v="1899-12-30T00:00:00"/>
    <d v="1899-12-30T23:59:00"/>
    <n v="0"/>
    <n v="23.983333333333334"/>
    <n v="23.983333333333334"/>
    <s v="IGBT failure so converter healthiness checking under profress"/>
    <s v="Open"/>
    <n v="0.59958333333333336"/>
    <s v="G10"/>
    <n v="8228.2819444444449"/>
    <s v="Material shortage-IGBT"/>
    <s v="WTG Breakdown Maintenance"/>
    <n v="8234"/>
    <n v="8228.2819444444449"/>
    <m/>
    <m/>
    <m/>
    <m/>
  </r>
  <r>
    <n v="1516"/>
    <x v="216"/>
    <x v="1"/>
    <x v="0"/>
    <x v="7"/>
    <x v="1"/>
    <x v="34"/>
    <s v="PWEGPL"/>
    <s v="MSEDCL"/>
    <n v="2.5000000000000001E-2"/>
    <n v="813"/>
    <x v="376"/>
    <s v="BD"/>
    <d v="1899-12-30T00:00:00"/>
    <d v="1899-12-30T00:00:00"/>
    <d v="1899-12-30T17:50:00"/>
    <n v="0"/>
    <n v="17.833333333333332"/>
    <n v="17.833333333333332"/>
    <s v="Relay failured replaced with new one and restored"/>
    <s v="Close"/>
    <n v="0.4458333333333333"/>
    <s v="G21"/>
    <n v="3958.2569444444443"/>
    <s v="None"/>
    <s v="WTG Breakdown Maintenance"/>
    <n v="5327"/>
    <n v="3958.2569444444443"/>
    <m/>
    <m/>
    <m/>
    <m/>
  </r>
  <r>
    <n v="1517"/>
    <x v="216"/>
    <x v="1"/>
    <x v="0"/>
    <x v="7"/>
    <x v="1"/>
    <x v="21"/>
    <s v="PWEGPL"/>
    <s v="MSEDCL"/>
    <n v="2.5000000000000001E-2"/>
    <n v="205"/>
    <x v="312"/>
    <s v="BD"/>
    <d v="1899-12-30T21:27:00"/>
    <d v="1899-12-30T23:30:00"/>
    <d v="1899-12-30T23:59:00"/>
    <n v="2.0500000000000007"/>
    <n v="0.48333333333333428"/>
    <n v="2.533333333333335"/>
    <s v="Work under progress"/>
    <s v="Open"/>
    <n v="6.333333333333338E-2"/>
    <s v="G03"/>
    <n v="741.9500000000005"/>
    <s v="Multiple Breakdowns"/>
    <s v="WTG Breakdown Maintenance"/>
    <n v="7029"/>
    <n v="741.9500000000005"/>
    <m/>
    <m/>
    <m/>
    <m/>
  </r>
  <r>
    <n v="1518"/>
    <x v="216"/>
    <x v="1"/>
    <x v="0"/>
    <x v="7"/>
    <x v="1"/>
    <x v="20"/>
    <s v="PWEGPL"/>
    <s v="MSEDCL"/>
    <n v="2.5000000000000001E-2"/>
    <n v="2118"/>
    <x v="293"/>
    <s v="BD"/>
    <d v="1899-12-30T23:34:00"/>
    <d v="1899-12-30T23:59:00"/>
    <d v="1899-12-30T23:59:00"/>
    <n v="0.41666666666666785"/>
    <n v="0"/>
    <n v="0.41666666666666785"/>
    <s v="Work under progress"/>
    <s v="Open"/>
    <n v="1.0416666666666697E-2"/>
    <s v="G03"/>
    <n v="122.03125000000034"/>
    <s v="Multiple Breakdowns"/>
    <s v="WTG Breakdown Maintenance"/>
    <n v="7029"/>
    <n v="122.03125000000034"/>
    <m/>
    <m/>
    <m/>
    <m/>
  </r>
  <r>
    <n v="1519"/>
    <x v="216"/>
    <x v="1"/>
    <x v="0"/>
    <x v="7"/>
    <x v="1"/>
    <x v="10"/>
    <s v="PWEGPL"/>
    <s v="MSEDCL"/>
    <n v="2.5000000000000001E-2"/>
    <n v="205"/>
    <x v="312"/>
    <s v="BD"/>
    <d v="1899-12-30T21:38:00"/>
    <d v="1899-12-30T22:50:00"/>
    <d v="1899-12-30T23:59:00"/>
    <n v="1.1999999999999984"/>
    <n v="1.1500000000000012"/>
    <n v="2.3499999999999996"/>
    <s v="Work under progress"/>
    <s v="Open"/>
    <n v="5.8749999999999997E-2"/>
    <s v="G30"/>
    <n v="637.73124999999993"/>
    <s v="Multiple Breakdowns"/>
    <s v="WTG Breakdown Maintenance"/>
    <n v="6513"/>
    <n v="637.73124999999993"/>
    <m/>
    <m/>
    <m/>
    <m/>
  </r>
  <r>
    <n v="1520"/>
    <x v="216"/>
    <x v="1"/>
    <x v="0"/>
    <x v="7"/>
    <x v="1"/>
    <x v="3"/>
    <s v="PWEGPL"/>
    <s v="MSEDCL"/>
    <n v="2.5000000000000001E-2"/>
    <n v="205"/>
    <x v="312"/>
    <s v="BD"/>
    <d v="1899-12-30T20:45:00"/>
    <d v="1899-12-30T22:55:00"/>
    <d v="1899-12-30T23:16:00"/>
    <n v="2.166666666666667"/>
    <n v="0.34999999999999876"/>
    <n v="2.5166666666666657"/>
    <s v="Reset and restored "/>
    <s v="Close"/>
    <n v="6.2916666666666649E-2"/>
    <s v="G33"/>
    <n v="511.0930555555554"/>
    <s v="None"/>
    <s v="WTG Breakdown Maintenance"/>
    <n v="4874"/>
    <n v="511.0930555555554"/>
    <m/>
    <m/>
    <m/>
    <m/>
  </r>
  <r>
    <n v="1521"/>
    <x v="216"/>
    <x v="1"/>
    <x v="0"/>
    <x v="7"/>
    <x v="1"/>
    <x v="38"/>
    <s v="PWEGPL"/>
    <s v="MSEDCL"/>
    <n v="2.5000000000000001E-2"/>
    <s v="CE100014"/>
    <x v="305"/>
    <s v="Manual stop/TCA"/>
    <d v="1899-12-30T10:54:00"/>
    <d v="1899-12-30T10:54:00"/>
    <d v="1899-12-30T14:28:00"/>
    <n v="0"/>
    <n v="3.566666666666666"/>
    <n v="3.566666666666666"/>
    <s v="TCA points closed"/>
    <s v="Close"/>
    <n v="8.9166666666666658E-2"/>
    <s v="G17"/>
    <n v="1180.1208333333332"/>
    <s v="None"/>
    <s v="WTG Scheduled Maintenance"/>
    <n v="7941"/>
    <n v="1180.1208333333332"/>
    <m/>
    <m/>
    <m/>
    <m/>
  </r>
  <r>
    <n v="1522"/>
    <x v="216"/>
    <x v="1"/>
    <x v="0"/>
    <x v="7"/>
    <x v="1"/>
    <x v="38"/>
    <s v="PWEGPL"/>
    <s v="MSEDCL"/>
    <n v="2.5000000000000001E-2"/>
    <n v="426"/>
    <x v="353"/>
    <s v="BD/TCA"/>
    <d v="1899-12-30T14:37:00"/>
    <d v="1899-12-30T15:57:00"/>
    <d v="1899-12-30T20:05:00"/>
    <n v="1.3333333333333313"/>
    <n v="4.133333333333332"/>
    <n v="5.4666666666666632"/>
    <s v="rotor speed sensor replaced"/>
    <s v="Close"/>
    <n v="0.13666666666666658"/>
    <s v="G17"/>
    <n v="1808.7833333333322"/>
    <s v="None"/>
    <s v="WTG Breakdown Maintenance"/>
    <n v="7941"/>
    <n v="1808.7833333333322"/>
    <m/>
    <m/>
    <m/>
    <m/>
  </r>
  <r>
    <n v="1523"/>
    <x v="217"/>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7993.4451388888892"/>
    <s v="Material shortage-Transformer mounting M20x40 bolt found broken 04 pc."/>
    <s v="WTG Breakdown Maintenance"/>
    <n v="7999"/>
    <n v="7993.4451388888892"/>
    <m/>
    <m/>
    <m/>
    <m/>
  </r>
  <r>
    <n v="1524"/>
    <x v="217"/>
    <x v="1"/>
    <x v="0"/>
    <x v="7"/>
    <x v="1"/>
    <x v="29"/>
    <s v="PWEGPL"/>
    <s v="MSEDCL"/>
    <n v="2.5000000000000001E-2"/>
    <n v="5240"/>
    <x v="388"/>
    <s v="BD"/>
    <d v="1899-12-30T00:00:00"/>
    <d v="1899-12-30T00:00:00"/>
    <d v="1899-12-30T23:59:00"/>
    <n v="0"/>
    <n v="23.983333333333334"/>
    <n v="23.983333333333334"/>
    <s v="IGBT failure so converter healthiness checking under profress"/>
    <s v="Open"/>
    <n v="0.59958333333333336"/>
    <s v="G10"/>
    <n v="8839.8569444444438"/>
    <s v="Material shortage-IGBT"/>
    <s v="WTG Breakdown Maintenance"/>
    <n v="8846"/>
    <n v="8839.8569444444438"/>
    <m/>
    <m/>
    <m/>
    <m/>
  </r>
  <r>
    <n v="1525"/>
    <x v="217"/>
    <x v="1"/>
    <x v="0"/>
    <x v="7"/>
    <x v="1"/>
    <x v="20"/>
    <s v="PWEGPL"/>
    <s v="MSEDCL"/>
    <n v="2.5000000000000001E-2"/>
    <n v="2118"/>
    <x v="293"/>
    <s v="BD"/>
    <d v="1899-12-30T00:00:00"/>
    <d v="1899-12-30T00:00:00"/>
    <d v="1899-12-30T03:06:00"/>
    <n v="0"/>
    <n v="3.1000000000000005"/>
    <n v="3.1000000000000005"/>
    <s v="Slipring cleaned "/>
    <s v="Close"/>
    <n v="7.7500000000000013E-2"/>
    <s v="G02"/>
    <n v="902.74583333333339"/>
    <s v="None"/>
    <s v="WTG Breakdown Maintenance"/>
    <n v="6989"/>
    <n v="902.74583333333339"/>
    <m/>
    <m/>
    <m/>
    <m/>
  </r>
  <r>
    <n v="1526"/>
    <x v="217"/>
    <x v="1"/>
    <x v="0"/>
    <x v="7"/>
    <x v="1"/>
    <x v="0"/>
    <s v="PWEGPL"/>
    <s v="MSEDCL"/>
    <n v="2.5000000000000001E-2"/>
    <s v="CE100014"/>
    <x v="305"/>
    <s v="Manual stop/TCA"/>
    <d v="1899-12-30T11:43:00"/>
    <d v="1899-12-30T11:43:00"/>
    <d v="1899-12-30T17:38:00"/>
    <n v="0"/>
    <n v="5.9166666666666661"/>
    <n v="5.9166666666666661"/>
    <s v="TCA points closed"/>
    <s v="Close"/>
    <n v="0.14791666666666667"/>
    <s v="G16"/>
    <n v="1962.114583333333"/>
    <s v="None"/>
    <s v="WTG Scheduled Maintenance"/>
    <n v="7959"/>
    <n v="1962.114583333333"/>
    <m/>
    <m/>
    <m/>
    <m/>
  </r>
  <r>
    <n v="1527"/>
    <x v="217"/>
    <x v="1"/>
    <x v="0"/>
    <x v="7"/>
    <x v="1"/>
    <x v="10"/>
    <s v="PWEGPL"/>
    <s v="MSEDCL"/>
    <n v="2.5000000000000001E-2"/>
    <n v="205"/>
    <x v="312"/>
    <s v="BD"/>
    <d v="1899-12-30T00:00:00"/>
    <d v="1899-12-30T00:00:00"/>
    <d v="1899-12-30T00:17:00"/>
    <n v="0"/>
    <n v="0.28333333333333333"/>
    <n v="0.28333333333333333"/>
    <s v="Oil top up and restored the WTG"/>
    <s v="Close"/>
    <n v="7.0833333333333338E-3"/>
    <s v="G28"/>
    <n v="68.188888888888883"/>
    <s v="None"/>
    <s v="WTG Breakdown Maintenance"/>
    <n v="5776"/>
    <n v="68.188888888888883"/>
    <m/>
    <m/>
    <m/>
    <m/>
  </r>
  <r>
    <n v="1528"/>
    <x v="217"/>
    <x v="1"/>
    <x v="0"/>
    <x v="7"/>
    <x v="1"/>
    <x v="21"/>
    <s v="PWEGPL"/>
    <s v="MSEDCL"/>
    <n v="2.5000000000000001E-2"/>
    <n v="205"/>
    <x v="312"/>
    <s v="BD"/>
    <d v="1899-12-30T00:00:00"/>
    <d v="1899-12-30T00:00:00"/>
    <d v="1899-12-30T01:53:00"/>
    <n v="0"/>
    <n v="1.8833333333333333"/>
    <n v="1.8833333333333333"/>
    <s v="Oil top up and restored the WTG"/>
    <s v="Close"/>
    <n v="4.7083333333333338E-2"/>
    <s v="G03"/>
    <n v="600.46944444444443"/>
    <s v="None"/>
    <s v="WTG Breakdown Maintenance"/>
    <n v="7652"/>
    <n v="600.46944444444443"/>
    <m/>
    <m/>
    <m/>
    <m/>
  </r>
  <r>
    <n v="1529"/>
    <x v="217"/>
    <x v="1"/>
    <x v="0"/>
    <x v="7"/>
    <x v="1"/>
    <x v="20"/>
    <s v="PWEGPL"/>
    <s v="MSEDCL"/>
    <n v="2.5000000000000001E-2"/>
    <n v="2118"/>
    <x v="293"/>
    <s v="BD"/>
    <d v="1899-12-30T10:59:00"/>
    <d v="1899-12-30T11:23:00"/>
    <d v="1899-12-30T21:48:00"/>
    <n v="0.39999999999999991"/>
    <n v="10.416666666666668"/>
    <n v="10.816666666666666"/>
    <s v="sliprimng cleaned and restored"/>
    <s v="Close"/>
    <n v="0.27041666666666669"/>
    <s v="G03"/>
    <n v="3448.7138888888885"/>
    <s v="None"/>
    <s v="WTG Breakdown Maintenance"/>
    <n v="7652"/>
    <n v="3448.7138888888885"/>
    <m/>
    <m/>
    <m/>
    <m/>
  </r>
  <r>
    <n v="1530"/>
    <x v="217"/>
    <x v="1"/>
    <x v="0"/>
    <x v="7"/>
    <x v="1"/>
    <x v="20"/>
    <s v="PWEGPL"/>
    <s v="MSEDCL"/>
    <n v="2.5000000000000001E-2"/>
    <n v="2118"/>
    <x v="293"/>
    <s v="BD"/>
    <d v="1899-12-30T22:42:00"/>
    <d v="1899-12-30T23:30:00"/>
    <d v="1899-12-30T23:59:00"/>
    <n v="0.79999999999999982"/>
    <n v="0.48333333333333428"/>
    <n v="1.2833333333333341"/>
    <s v="work under progress"/>
    <s v="Open"/>
    <n v="3.2083333333333353E-2"/>
    <s v="G03"/>
    <n v="409.16944444444465"/>
    <s v="None"/>
    <s v="WTG Breakdown Maintenance"/>
    <n v="7652"/>
    <n v="409.16944444444465"/>
    <m/>
    <m/>
    <m/>
    <m/>
  </r>
  <r>
    <n v="1531"/>
    <x v="217"/>
    <x v="1"/>
    <x v="0"/>
    <x v="7"/>
    <x v="1"/>
    <x v="39"/>
    <s v="PWEGPL"/>
    <s v="MSEDCL"/>
    <n v="2.5000000000000001E-2"/>
    <n v="205"/>
    <x v="312"/>
    <s v="BD"/>
    <d v="1899-12-30T20:12:00"/>
    <d v="1899-12-30T21:23:00"/>
    <d v="1899-12-30T22:13:00"/>
    <n v="1.1833333333333318"/>
    <n v="0.83333333333333304"/>
    <n v="2.0166666666666648"/>
    <s v="Oil top up and restored the WTG"/>
    <s v="Close"/>
    <n v="5.0416666666666624E-2"/>
    <s v="G14"/>
    <n v="676.33958333333271"/>
    <s v="None"/>
    <s v="WTG Breakdown Maintenance"/>
    <n v="8049"/>
    <n v="676.33958333333271"/>
    <m/>
    <m/>
    <m/>
    <m/>
  </r>
  <r>
    <n v="1532"/>
    <x v="218"/>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7562.7444444444445"/>
    <s v="Material shortage-Transformer mounting M20x40 bolt found broken 04 pc."/>
    <s v="WTG Breakdown Maintenance"/>
    <n v="7568"/>
    <n v="7562.7444444444445"/>
    <m/>
    <m/>
    <m/>
    <m/>
  </r>
  <r>
    <n v="1533"/>
    <x v="218"/>
    <x v="1"/>
    <x v="0"/>
    <x v="7"/>
    <x v="1"/>
    <x v="20"/>
    <s v="PWEGPL"/>
    <s v="MSEDCL"/>
    <n v="2.5000000000000001E-2"/>
    <n v="2118"/>
    <x v="293"/>
    <s v="BD"/>
    <d v="1899-12-30T00:00:00"/>
    <d v="1899-12-30T00:00:00"/>
    <d v="1899-12-30T13:04:00"/>
    <n v="0"/>
    <n v="13.066666666666666"/>
    <n v="13.066666666666666"/>
    <s v="Slipring spare connection given and restored"/>
    <s v="Close"/>
    <n v="0.32666666666666666"/>
    <s v="G04"/>
    <n v="3627.0888888888885"/>
    <s v="None"/>
    <s v="WTG Breakdown Maintenance"/>
    <n v="6662"/>
    <n v="3627.0888888888885"/>
    <m/>
    <m/>
    <m/>
    <m/>
  </r>
  <r>
    <n v="1534"/>
    <x v="218"/>
    <x v="1"/>
    <x v="0"/>
    <x v="7"/>
    <x v="1"/>
    <x v="29"/>
    <s v="PWEGPL"/>
    <s v="MSEDCL"/>
    <n v="2.5000000000000001E-2"/>
    <n v="5240"/>
    <x v="388"/>
    <s v="BD"/>
    <d v="1899-12-30T00:00:00"/>
    <d v="1899-12-30T00:00:00"/>
    <d v="1899-12-30T10:15:00"/>
    <n v="0"/>
    <n v="10.25"/>
    <n v="10.25"/>
    <s v="Replaced IGBT in inverter side T phase and rectifier side R &amp; S phase then pole test taken and found ok"/>
    <s v="Close"/>
    <n v="0.25625000000000003"/>
    <s v="G10"/>
    <n v="3507.2083333333335"/>
    <s v="Material shortage-IGBT"/>
    <s v="WTG Breakdown Maintenance"/>
    <n v="8212"/>
    <n v="3507.2083333333335"/>
    <m/>
    <m/>
    <m/>
    <m/>
  </r>
  <r>
    <n v="1535"/>
    <x v="218"/>
    <x v="1"/>
    <x v="0"/>
    <x v="7"/>
    <x v="1"/>
    <x v="31"/>
    <s v="PWEGPL"/>
    <s v="MSEDCL"/>
    <n v="2.5000000000000001E-2"/>
    <n v="110"/>
    <x v="287"/>
    <s v="BD"/>
    <d v="1899-12-30T10:30:00"/>
    <d v="1899-12-30T10:45:00"/>
    <d v="1899-12-30T11:40:00"/>
    <n v="0.25000000000000044"/>
    <n v="0.91666666666666607"/>
    <n v="1.1666666666666665"/>
    <s v="Yaw twist released and restored"/>
    <s v="Close"/>
    <n v="2.9166666666666664E-2"/>
    <s v="G14"/>
    <n v="329.53472222222217"/>
    <s v="None"/>
    <s v="WTG Breakdown Maintenance"/>
    <n v="6779"/>
    <n v="329.53472222222217"/>
    <m/>
    <m/>
    <m/>
    <m/>
  </r>
  <r>
    <n v="1536"/>
    <x v="218"/>
    <x v="1"/>
    <x v="0"/>
    <x v="7"/>
    <x v="1"/>
    <x v="0"/>
    <s v="PWEGPL"/>
    <s v="MSEDCL"/>
    <n v="2.5000000000000001E-2"/>
    <n v="110"/>
    <x v="287"/>
    <s v="BD"/>
    <d v="1899-12-30T13:10:00"/>
    <d v="1899-12-30T13:24:00"/>
    <d v="1899-12-30T14:00:00"/>
    <n v="0.23333333333333517"/>
    <n v="0.60000000000000053"/>
    <n v="0.8333333333333357"/>
    <s v="Yaw twist released and restored"/>
    <s v="Close"/>
    <n v="2.0833333333333395E-2"/>
    <s v="G18"/>
    <n v="279.93055555555634"/>
    <s v="None"/>
    <s v="WTG Breakdown Maintenance"/>
    <n v="8062"/>
    <n v="279.93055555555634"/>
    <m/>
    <m/>
    <m/>
    <m/>
  </r>
  <r>
    <n v="1537"/>
    <x v="218"/>
    <x v="1"/>
    <x v="0"/>
    <x v="7"/>
    <x v="1"/>
    <x v="1"/>
    <s v="PWEGPL"/>
    <s v="MSEDCL"/>
    <n v="2.5000000000000001E-2"/>
    <n v="5201"/>
    <x v="299"/>
    <s v="BD"/>
    <d v="1899-12-30T15:35:00"/>
    <d v="1899-12-30T16:00:00"/>
    <d v="1899-12-30T17:12:00"/>
    <n v="0.41666666666666519"/>
    <n v="1.2000000000000011"/>
    <n v="1.6166666666666663"/>
    <s v="ACB TU reset done and restored"/>
    <s v="Close"/>
    <n v="4.0416666666666656E-2"/>
    <s v="G22"/>
    <n v="392.78263888888881"/>
    <s v="Due to Gid fault"/>
    <s v="WTG Breakdown Maintenance"/>
    <n v="5831"/>
    <n v="392.78263888888881"/>
    <m/>
    <m/>
    <m/>
    <m/>
  </r>
  <r>
    <n v="1538"/>
    <x v="218"/>
    <x v="1"/>
    <x v="0"/>
    <x v="7"/>
    <x v="1"/>
    <x v="2"/>
    <s v="PWEGPL"/>
    <s v="MSEDCL"/>
    <n v="2.5000000000000001E-2"/>
    <n v="5201"/>
    <x v="299"/>
    <s v="BD"/>
    <d v="1899-12-30T15:35:00"/>
    <d v="1899-12-30T15:35:00"/>
    <d v="1899-12-30T16:58:00"/>
    <n v="0"/>
    <n v="1.3833333333333311"/>
    <n v="1.3833333333333311"/>
    <s v="ACB TU reset done and restored"/>
    <s v="Close"/>
    <n v="3.4583333333333278E-2"/>
    <s v="G25"/>
    <n v="347.33194444444388"/>
    <s v="Due to Gid fault"/>
    <s v="WTG Breakdown Maintenance"/>
    <n v="6026"/>
    <n v="347.33194444444388"/>
    <m/>
    <m/>
    <m/>
    <m/>
  </r>
  <r>
    <n v="1539"/>
    <x v="218"/>
    <x v="1"/>
    <x v="0"/>
    <x v="7"/>
    <x v="1"/>
    <x v="15"/>
    <s v="PWEGPL"/>
    <s v="MSEDCL"/>
    <n v="2.5000000000000001E-2"/>
    <n v="5201"/>
    <x v="299"/>
    <s v="BD"/>
    <d v="1899-12-30T15:35:00"/>
    <d v="1899-12-30T17:57:00"/>
    <d v="1899-12-30T18:08:00"/>
    <n v="2.3666666666666663"/>
    <n v="0.18333333333333268"/>
    <n v="2.5499999999999989"/>
    <s v="ACB TU reset done and restored"/>
    <s v="Close"/>
    <n v="6.3749999999999973E-2"/>
    <s v="G34"/>
    <n v="574.5999999999998"/>
    <s v="Due to Gid fault"/>
    <s v="WTG Breakdown Maintenance"/>
    <n v="5408"/>
    <n v="574.5999999999998"/>
    <m/>
    <m/>
    <m/>
    <m/>
  </r>
  <r>
    <n v="1540"/>
    <x v="218"/>
    <x v="1"/>
    <x v="0"/>
    <x v="7"/>
    <x v="1"/>
    <x v="16"/>
    <s v="PWEGPL"/>
    <s v="MSEDCL"/>
    <n v="2.5000000000000001E-2"/>
    <n v="5201"/>
    <x v="299"/>
    <s v="BD"/>
    <d v="1899-12-30T15:35:00"/>
    <d v="1899-12-30T17:15:00"/>
    <d v="1899-12-30T18:08:00"/>
    <n v="1.6666666666666661"/>
    <n v="0.88333333333333286"/>
    <n v="2.5499999999999989"/>
    <s v="ACB TU reset done and restored"/>
    <s v="Close"/>
    <n v="6.3749999999999973E-2"/>
    <s v="G34"/>
    <n v="574.5999999999998"/>
    <s v="Due to Gid fault"/>
    <s v="WTG Breakdown Maintenance"/>
    <n v="5408"/>
    <n v="574.5999999999998"/>
    <m/>
    <m/>
    <m/>
    <m/>
  </r>
  <r>
    <n v="1541"/>
    <x v="218"/>
    <x v="1"/>
    <x v="0"/>
    <x v="7"/>
    <x v="1"/>
    <x v="6"/>
    <s v="PWEGPL"/>
    <s v="MSEDCL"/>
    <n v="2.5000000000000001E-2"/>
    <n v="2118"/>
    <x v="293"/>
    <s v="BD"/>
    <d v="1899-12-30T21:09:00"/>
    <d v="1899-12-30T22:01:00"/>
    <d v="1899-12-30T23:59:00"/>
    <n v="0.86666666666666625"/>
    <n v="1.9666666666666677"/>
    <n v="2.8333333333333339"/>
    <s v="Work under progress"/>
    <s v="Open"/>
    <n v="7.0833333333333345E-2"/>
    <s v="G40"/>
    <n v="532.5486111111112"/>
    <s v="None"/>
    <s v="WTG Breakdown Maintenance"/>
    <n v="4511"/>
    <n v="532.5486111111112"/>
    <m/>
    <m/>
    <m/>
    <m/>
  </r>
  <r>
    <n v="1542"/>
    <x v="219"/>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7770.6"/>
    <s v="Material shortage-Transformer mounting M20x40 bolt found broken 04 pc."/>
    <s v="WTG Breakdown Maintenance"/>
    <n v="7776"/>
    <n v="7770.6"/>
    <m/>
    <m/>
    <m/>
    <m/>
  </r>
  <r>
    <n v="1543"/>
    <x v="219"/>
    <x v="1"/>
    <x v="0"/>
    <x v="7"/>
    <x v="1"/>
    <x v="36"/>
    <s v="PWEGPL"/>
    <s v="MSEDCL"/>
    <n v="2.5000000000000001E-2"/>
    <n v="205"/>
    <x v="312"/>
    <s v="BD"/>
    <d v="1899-12-30T09:14:00"/>
    <d v="1899-12-30T10:05:00"/>
    <d v="1899-12-30T11:14:00"/>
    <n v="0.85000000000000098"/>
    <n v="1.1499999999999986"/>
    <n v="1.9999999999999996"/>
    <s v="Oil top up and restored the WTG"/>
    <s v="Close"/>
    <n v="4.9999999999999989E-2"/>
    <s v="G24"/>
    <n v="501.41666666666657"/>
    <s v="None"/>
    <s v="WTG Breakdown Maintenance"/>
    <n v="6017"/>
    <n v="501.41666666666657"/>
    <m/>
    <m/>
    <m/>
    <m/>
  </r>
  <r>
    <n v="1544"/>
    <x v="219"/>
    <x v="1"/>
    <x v="0"/>
    <x v="7"/>
    <x v="1"/>
    <x v="6"/>
    <s v="PWEGPL"/>
    <s v="MSEDCL"/>
    <n v="2.5000000000000001E-2"/>
    <n v="2118"/>
    <x v="293"/>
    <s v="BD"/>
    <d v="1899-12-30T00:00:00"/>
    <d v="1899-12-30T00:00:00"/>
    <d v="1899-12-30T00:11:00"/>
    <n v="0"/>
    <n v="0.18333333333333332"/>
    <n v="0.18333333333333332"/>
    <s v="Slipriing cleaned and restored"/>
    <s v="Close"/>
    <n v="4.5833333333333334E-3"/>
    <s v="G40"/>
    <n v="34.046527777777776"/>
    <s v="None"/>
    <s v="WTG Breakdown Maintenance"/>
    <n v="4457"/>
    <n v="34.046527777777776"/>
    <m/>
    <m/>
    <m/>
    <m/>
  </r>
  <r>
    <n v="1545"/>
    <x v="219"/>
    <x v="1"/>
    <x v="0"/>
    <x v="7"/>
    <x v="1"/>
    <x v="14"/>
    <s v="PWEGPL"/>
    <s v="MSEDCL"/>
    <n v="2.5000000000000001E-2"/>
    <n v="401"/>
    <x v="331"/>
    <s v="BD"/>
    <d v="1899-12-30T14:57:00"/>
    <d v="1899-12-30T15:30:00"/>
    <d v="1899-12-30T18:48:00"/>
    <n v="0.55000000000000071"/>
    <n v="3.2999999999999989"/>
    <n v="3.8499999999999996"/>
    <s v="Gear oil top up and restored"/>
    <s v="Close"/>
    <n v="9.6250000000000002E-2"/>
    <s v="G35"/>
    <n v="915.49791666666658"/>
    <s v="None"/>
    <s v="WTG Breakdown Maintenance"/>
    <n v="5707"/>
    <n v="915.49791666666658"/>
    <m/>
    <m/>
    <m/>
    <m/>
  </r>
  <r>
    <n v="1546"/>
    <x v="219"/>
    <x v="1"/>
    <x v="0"/>
    <x v="7"/>
    <x v="1"/>
    <x v="13"/>
    <s v="PWEGPL"/>
    <s v="MSEDCL"/>
    <n v="2.5000000000000001E-2"/>
    <n v="5228"/>
    <x v="346"/>
    <s v="BD"/>
    <d v="1899-12-30T09:37:00"/>
    <d v="1899-12-30T11:25:00"/>
    <d v="1899-12-30T14:37:00"/>
    <n v="1.7999999999999989"/>
    <n v="3.200000000000002"/>
    <n v="5.0000000000000009"/>
    <s v="Contactor serviced and restored"/>
    <s v="Close"/>
    <n v="0.12500000000000003"/>
    <s v="G32"/>
    <n v="955.62500000000011"/>
    <s v="None"/>
    <s v="WTG Breakdown Maintenance"/>
    <n v="4587"/>
    <n v="955.62500000000011"/>
    <m/>
    <m/>
    <m/>
    <m/>
  </r>
  <r>
    <n v="1547"/>
    <x v="220"/>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1846.767361111111"/>
    <s v="Material shortage-Transformer mounting M20x40 bolt found broken 04 pc."/>
    <s v="WTG Breakdown Maintenance"/>
    <n v="11855"/>
    <n v="11846.767361111111"/>
    <m/>
    <m/>
    <m/>
    <m/>
  </r>
  <r>
    <n v="1548"/>
    <x v="220"/>
    <x v="1"/>
    <x v="0"/>
    <x v="7"/>
    <x v="1"/>
    <x v="15"/>
    <s v="PWEGPL"/>
    <s v="MSEDCL"/>
    <n v="2.5000000000000001E-2"/>
    <n v="800"/>
    <x v="298"/>
    <s v="BD"/>
    <d v="1899-12-30T09:10:00"/>
    <d v="1899-12-30T10:23:00"/>
    <d v="1899-12-30T13:43:00"/>
    <n v="1.2166666666666663"/>
    <n v="3.3333333333333335"/>
    <n v="4.55"/>
    <s v="Module intercahnged and restored"/>
    <s v="Close"/>
    <n v="0.11375"/>
    <s v="G34"/>
    <n v="1801.2312499999998"/>
    <s v="None"/>
    <s v="WTG Breakdown Maintenance"/>
    <n v="9501"/>
    <n v="1801.2312499999998"/>
    <m/>
    <m/>
    <m/>
    <m/>
  </r>
  <r>
    <n v="1549"/>
    <x v="220"/>
    <x v="1"/>
    <x v="0"/>
    <x v="7"/>
    <x v="1"/>
    <x v="15"/>
    <s v="PWEGPL"/>
    <s v="MSEDCL"/>
    <n v="2.5000000000000001E-2"/>
    <n v="804"/>
    <x v="382"/>
    <s v="BD"/>
    <d v="1899-12-30T16:03:00"/>
    <d v="1899-12-30T17:10:00"/>
    <d v="1899-12-30T19:40:00"/>
    <n v="1.1166666666666654"/>
    <n v="2.5000000000000018"/>
    <n v="3.6166666666666671"/>
    <s v="Module replaced amd restored"/>
    <s v="Close"/>
    <n v="9.0416666666666687E-2"/>
    <s v="G34"/>
    <n v="1431.7479166666669"/>
    <s v="None"/>
    <s v="WTG Breakdown Maintenance"/>
    <n v="9501"/>
    <n v="1431.7479166666669"/>
    <m/>
    <m/>
    <m/>
    <m/>
  </r>
  <r>
    <n v="1550"/>
    <x v="221"/>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6861.2319444444447"/>
    <s v="Material shortage-Transformer mounting M20x40 bolt found broken 04 pc."/>
    <s v="WTG Breakdown Maintenance"/>
    <n v="6866"/>
    <n v="6861.2319444444447"/>
    <m/>
    <m/>
    <m/>
    <m/>
  </r>
  <r>
    <n v="1551"/>
    <x v="221"/>
    <x v="1"/>
    <x v="0"/>
    <x v="7"/>
    <x v="1"/>
    <x v="23"/>
    <s v="PWEGPL"/>
    <s v="MSEDCL"/>
    <n v="2.5000000000000001E-2"/>
    <n v="700"/>
    <x v="329"/>
    <s v="BD"/>
    <d v="1899-12-30T06:27:00"/>
    <d v="1899-12-30T08:25:00"/>
    <d v="1899-12-30T09:37:00"/>
    <n v="1.9666666666666663"/>
    <n v="1.2000000000000011"/>
    <n v="3.1666666666666674"/>
    <s v="Slipring cleaned and restored"/>
    <s v="Close"/>
    <n v="7.9166666666666691E-2"/>
    <s v="G01"/>
    <n v="937.06944444444468"/>
    <s v="None"/>
    <s v="WTG Breakdown Maintenance"/>
    <n v="7102"/>
    <n v="937.06944444444468"/>
    <m/>
    <m/>
    <m/>
    <m/>
  </r>
  <r>
    <n v="1552"/>
    <x v="221"/>
    <x v="1"/>
    <x v="0"/>
    <x v="7"/>
    <x v="1"/>
    <x v="14"/>
    <s v="PWEGPL"/>
    <s v="MSEDCL"/>
    <n v="2.5000000000000001E-2"/>
    <n v="402"/>
    <x v="300"/>
    <s v="Manual stop"/>
    <d v="1899-12-30T12:23:00"/>
    <d v="1899-12-30T12:23:00"/>
    <d v="1899-12-30T14:20:00"/>
    <n v="0"/>
    <n v="1.9500000000000011"/>
    <n v="1.9500000000000011"/>
    <s v="Hose replaced and arrested the leakages"/>
    <s v="Close"/>
    <n v="4.8750000000000029E-2"/>
    <s v="G37"/>
    <n v="358.80000000000018"/>
    <s v="None"/>
    <s v="WTG Scheduled Maintenance"/>
    <n v="4416"/>
    <n v="358.80000000000018"/>
    <m/>
    <m/>
    <m/>
    <m/>
  </r>
  <r>
    <n v="1553"/>
    <x v="221"/>
    <x v="1"/>
    <x v="0"/>
    <x v="7"/>
    <x v="1"/>
    <x v="2"/>
    <s v="PWEGPL"/>
    <s v="MSEDCL"/>
    <n v="2.5000000000000001E-2"/>
    <s v="CE100014"/>
    <x v="305"/>
    <s v="Manual stop/TCA"/>
    <d v="1899-12-30T11:50:00"/>
    <d v="1899-12-30T11:50:00"/>
    <d v="1899-12-30T16:49:00"/>
    <n v="0"/>
    <n v="4.9833333333333316"/>
    <n v="4.9833333333333316"/>
    <s v="TCA points closed and restored"/>
    <s v="Close"/>
    <n v="0.1245833333333333"/>
    <s v="G25"/>
    <n v="1115.8513888888886"/>
    <s v="None"/>
    <s v="WTG Scheduled Maintenance"/>
    <n v="5374"/>
    <n v="1115.8513888888886"/>
    <m/>
    <m/>
    <m/>
    <m/>
  </r>
  <r>
    <n v="1554"/>
    <x v="221"/>
    <x v="1"/>
    <x v="0"/>
    <x v="7"/>
    <x v="1"/>
    <x v="32"/>
    <s v="PWEGPL"/>
    <s v="MSEDCL"/>
    <n v="2.5000000000000001E-2"/>
    <s v="CE100001"/>
    <x v="288"/>
    <s v="Manual stop"/>
    <d v="1899-12-30T14:41:00"/>
    <d v="1899-12-30T14:41:00"/>
    <d v="1899-12-30T16:53:00"/>
    <n v="0"/>
    <n v="2.1999999999999975"/>
    <n v="2.1999999999999975"/>
    <s v="MCB switched ON and checked fans found ok"/>
    <s v="Close"/>
    <n v="5.4999999999999938E-2"/>
    <s v="G15"/>
    <n v="497.56666666666609"/>
    <s v="None"/>
    <s v="WTG Scheduled Maintenance"/>
    <n v="5428"/>
    <n v="497.56666666666609"/>
    <m/>
    <m/>
    <m/>
    <m/>
  </r>
  <r>
    <n v="1555"/>
    <x v="222"/>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723.1076388888891"/>
    <s v="Material shortage-Transformer mounting M20x40 bolt found broken 04 pc."/>
    <s v="WTG Breakdown Maintenance"/>
    <n v="2725"/>
    <n v="2723.1076388888891"/>
    <m/>
    <m/>
    <m/>
    <m/>
  </r>
  <r>
    <n v="1556"/>
    <x v="222"/>
    <x v="1"/>
    <x v="0"/>
    <x v="7"/>
    <x v="1"/>
    <x v="6"/>
    <s v="PWEGPL"/>
    <s v="MSEDCL"/>
    <n v="2.5000000000000001E-2"/>
    <n v="2118"/>
    <x v="293"/>
    <s v="BD"/>
    <d v="1899-12-30T09:32:00"/>
    <d v="1899-12-30T10:47:00"/>
    <d v="1899-12-30T12:17:00"/>
    <n v="1.2500000000000009"/>
    <n v="1.4999999999999987"/>
    <n v="2.7499999999999996"/>
    <s v="Slipring cleaned and restored"/>
    <s v="Close"/>
    <n v="6.8749999999999992E-2"/>
    <s v="G38"/>
    <n v="198.57291666666663"/>
    <s v="None"/>
    <s v="WTG Breakdown Maintenance"/>
    <n v="1733"/>
    <n v="198.57291666666663"/>
    <m/>
    <m/>
    <m/>
    <m/>
  </r>
  <r>
    <n v="1557"/>
    <x v="222"/>
    <x v="1"/>
    <x v="0"/>
    <x v="7"/>
    <x v="1"/>
    <x v="35"/>
    <s v="PWEGPL"/>
    <s v="MSEDCL"/>
    <n v="2.5000000000000001E-2"/>
    <n v="110"/>
    <x v="287"/>
    <s v="BD"/>
    <d v="1899-12-30T06:59:00"/>
    <d v="1899-12-30T08:45:00"/>
    <d v="1899-12-30T09:15:00"/>
    <n v="1.7666666666666657"/>
    <n v="0.50000000000000089"/>
    <n v="2.2666666666666666"/>
    <s v="Unwinding done restored"/>
    <s v="Close"/>
    <n v="5.6666666666666671E-2"/>
    <s v="G25"/>
    <n v="229.87777777777779"/>
    <s v="Response time delay due to acess road not available to approach the turbine"/>
    <s v="WTG Breakdown Maintenance"/>
    <n v="2434"/>
    <n v="229.87777777777779"/>
    <m/>
    <m/>
    <m/>
    <m/>
  </r>
  <r>
    <n v="1558"/>
    <x v="222"/>
    <x v="1"/>
    <x v="0"/>
    <x v="7"/>
    <x v="1"/>
    <x v="32"/>
    <s v="PWEGPL"/>
    <s v="MSEDCL"/>
    <n v="2.5000000000000001E-2"/>
    <n v="2118"/>
    <x v="293"/>
    <s v="BD"/>
    <d v="1899-12-30T09:55:00"/>
    <d v="1899-12-30T10:08:00"/>
    <d v="1899-12-30T12:12:00"/>
    <n v="0.21666666666666723"/>
    <n v="2.066666666666666"/>
    <n v="2.2833333333333332"/>
    <s v="Slipring cleaned and restored"/>
    <s v="Close"/>
    <n v="5.7083333333333333E-2"/>
    <s v="G15"/>
    <n v="240.13055555555556"/>
    <s v="None"/>
    <s v="WTG Breakdown Maintenance"/>
    <n v="2524"/>
    <n v="240.13055555555556"/>
    <m/>
    <m/>
    <m/>
    <m/>
  </r>
  <r>
    <n v="1559"/>
    <x v="222"/>
    <x v="1"/>
    <x v="0"/>
    <x v="7"/>
    <x v="1"/>
    <x v="7"/>
    <s v="PWEGPL"/>
    <s v="MSEDCL"/>
    <n v="2.5000000000000001E-2"/>
    <s v="CE100014"/>
    <x v="305"/>
    <s v="Manual stop/TCA"/>
    <d v="1899-12-30T12:42:00"/>
    <d v="1899-12-30T12:42:00"/>
    <d v="1899-12-30T14:50:00"/>
    <n v="0"/>
    <n v="2.1333333333333337"/>
    <n v="2.1333333333333337"/>
    <s v="TCA points closed and restored"/>
    <s v="Close"/>
    <n v="5.3333333333333344E-2"/>
    <s v="G38"/>
    <n v="154.04444444444445"/>
    <s v="None"/>
    <s v="WTG Scheduled Maintenance"/>
    <n v="1733"/>
    <n v="154.04444444444445"/>
    <m/>
    <m/>
    <m/>
    <m/>
  </r>
  <r>
    <n v="1560"/>
    <x v="222"/>
    <x v="1"/>
    <x v="0"/>
    <x v="7"/>
    <x v="1"/>
    <x v="0"/>
    <s v="PWEGPL"/>
    <s v="MSEDCL"/>
    <n v="2.5000000000000001E-2"/>
    <n v="205"/>
    <x v="312"/>
    <s v="BD"/>
    <d v="1899-12-30T13:29:00"/>
    <d v="1899-12-30T15:10:00"/>
    <d v="1899-12-30T15:26:00"/>
    <n v="1.6833333333333327"/>
    <n v="0.26666666666666838"/>
    <n v="1.9500000000000011"/>
    <s v="Oil topup and restored"/>
    <s v="Close"/>
    <n v="4.8750000000000029E-2"/>
    <s v="G18"/>
    <n v="216.6125000000001"/>
    <s v="None"/>
    <s v="WTG Breakdown Maintenance"/>
    <n v="2666"/>
    <n v="216.6125000000001"/>
    <m/>
    <m/>
    <m/>
    <m/>
  </r>
  <r>
    <n v="1561"/>
    <x v="222"/>
    <x v="1"/>
    <x v="0"/>
    <x v="7"/>
    <x v="1"/>
    <x v="22"/>
    <s v="PWEGPL"/>
    <s v="MSEDCL"/>
    <n v="2.5000000000000001E-2"/>
    <n v="205"/>
    <x v="312"/>
    <s v="BD"/>
    <d v="1899-12-30T15:14:00"/>
    <d v="1899-12-30T15:39:00"/>
    <d v="1899-12-30T16:00:00"/>
    <n v="0.41666666666666785"/>
    <n v="0.34999999999999876"/>
    <n v="0.76666666666666661"/>
    <s v="Oil topup and restored"/>
    <s v="Close"/>
    <n v="1.9166666666666665E-2"/>
    <s v="G04"/>
    <n v="85.515277777777769"/>
    <s v="None"/>
    <s v="WTG Breakdown Maintenance"/>
    <n v="2677"/>
    <n v="85.515277777777769"/>
    <m/>
    <m/>
    <m/>
    <m/>
  </r>
  <r>
    <n v="1562"/>
    <x v="223"/>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293.1013888888888"/>
    <s v="Material shortage-Transformer mounting M20x40 bolt found broken 04 pc."/>
    <s v="WTG Breakdown Maintenance"/>
    <n v="1294"/>
    <n v="1293.1013888888888"/>
    <m/>
    <m/>
    <m/>
    <m/>
  </r>
  <r>
    <n v="1563"/>
    <x v="223"/>
    <x v="1"/>
    <x v="0"/>
    <x v="7"/>
    <x v="1"/>
    <x v="24"/>
    <s v="PWEGPL"/>
    <s v="MSEDCL"/>
    <n v="2.5000000000000001E-2"/>
    <s v="CE100001"/>
    <x v="288"/>
    <s v="Manual stop"/>
    <d v="1899-12-30T10:51:00"/>
    <d v="1899-12-30T10:51:00"/>
    <d v="1899-12-30T12:42:00"/>
    <n v="0"/>
    <n v="1.85"/>
    <n v="1.85"/>
    <s v="GB auxilury pump motor replaced and restored"/>
    <s v="Close"/>
    <n v="4.6250000000000006E-2"/>
    <s v="G21"/>
    <n v="120.63541666666666"/>
    <s v="None"/>
    <s v="WTG Scheduled Maintenance"/>
    <n v="1565"/>
    <n v="120.63541666666666"/>
    <m/>
    <m/>
    <m/>
    <m/>
  </r>
  <r>
    <n v="1564"/>
    <x v="223"/>
    <x v="1"/>
    <x v="0"/>
    <x v="7"/>
    <x v="1"/>
    <x v="24"/>
    <s v="PWEGPL"/>
    <s v="MSEDCL"/>
    <n v="2.5000000000000001E-2"/>
    <s v="CE100014"/>
    <x v="305"/>
    <s v="Manual stop/TCA"/>
    <d v="1899-12-30T14:04:00"/>
    <d v="1899-12-30T14:04:00"/>
    <d v="1899-12-30T17:08:00"/>
    <n v="0"/>
    <n v="3.0666666666666664"/>
    <n v="3.0666666666666664"/>
    <s v="TCA points partcially closed and continued by tomorrow"/>
    <s v="Close"/>
    <n v="7.6666666666666661E-2"/>
    <s v="G21"/>
    <n v="199.9722222222222"/>
    <s v="None"/>
    <s v="WTG Scheduled Maintenance"/>
    <n v="1565"/>
    <n v="199.9722222222222"/>
    <m/>
    <m/>
    <m/>
    <m/>
  </r>
  <r>
    <n v="1565"/>
    <x v="223"/>
    <x v="1"/>
    <x v="0"/>
    <x v="7"/>
    <x v="1"/>
    <x v="7"/>
    <s v="PWEGPL"/>
    <s v="MSEDCL"/>
    <n v="2.5000000000000001E-2"/>
    <n v="115"/>
    <x v="308"/>
    <s v="BD"/>
    <d v="1899-12-30T10:16:00"/>
    <d v="1899-12-30T12:05:00"/>
    <d v="1899-12-30T13:35:00"/>
    <n v="1.8166666666666655"/>
    <n v="1.5"/>
    <n v="3.3166666666666655"/>
    <s v="Pressure setting value tuning done and restored"/>
    <s v="Close"/>
    <n v="8.2916666666666639E-2"/>
    <s v="G39"/>
    <n v="161.54930555555552"/>
    <s v="None"/>
    <s v="WTG Breakdown Maintenance"/>
    <n v="1169"/>
    <n v="161.54930555555552"/>
    <m/>
    <m/>
    <m/>
    <m/>
  </r>
  <r>
    <n v="1566"/>
    <x v="223"/>
    <x v="1"/>
    <x v="0"/>
    <x v="7"/>
    <x v="1"/>
    <x v="3"/>
    <s v="PWEGPL"/>
    <s v="MSEDCL"/>
    <n v="2.5000000000000001E-2"/>
    <s v="CE100001"/>
    <x v="288"/>
    <s v="Manual stop"/>
    <d v="1899-12-30T14:38:00"/>
    <d v="1899-12-30T14:38:00"/>
    <d v="1899-12-30T15:59:00"/>
    <n v="0"/>
    <n v="1.3500000000000005"/>
    <n v="1.3500000000000005"/>
    <s v="Tower main door entrance secendary lock installed"/>
    <s v="Close"/>
    <n v="3.3750000000000016E-2"/>
    <s v="G40"/>
    <n v="66.543750000000017"/>
    <s v="Main door key installed"/>
    <s v="WTG Scheduled Maintenance"/>
    <n v="1183"/>
    <n v="66.543750000000017"/>
    <m/>
    <m/>
    <m/>
    <m/>
  </r>
  <r>
    <n v="1567"/>
    <x v="223"/>
    <x v="1"/>
    <x v="0"/>
    <x v="7"/>
    <x v="1"/>
    <x v="34"/>
    <s v="PWEGPL"/>
    <s v="MSEDCL"/>
    <n v="2.5000000000000001E-2"/>
    <s v="CE100001"/>
    <x v="288"/>
    <s v="Manual stop"/>
    <d v="1899-12-30T16:25:00"/>
    <d v="1899-12-30T16:25:00"/>
    <d v="1899-12-30T17:12:00"/>
    <n v="0"/>
    <n v="0.78333333333333321"/>
    <n v="0.78333333333333321"/>
    <s v="Tower main door entrance secendary lock installed"/>
    <s v="Close"/>
    <n v="1.9583333333333331E-2"/>
    <s v="G21"/>
    <n v="51.0798611111111"/>
    <s v="Main door key installed"/>
    <s v="WTG Scheduled Maintenance"/>
    <n v="1565"/>
    <n v="51.0798611111111"/>
    <m/>
    <m/>
    <m/>
    <m/>
  </r>
  <r>
    <n v="1568"/>
    <x v="223"/>
    <x v="1"/>
    <x v="0"/>
    <x v="7"/>
    <x v="1"/>
    <x v="39"/>
    <s v="PWEGPL"/>
    <s v="MSEDCL"/>
    <n v="2.5000000000000001E-2"/>
    <n v="507"/>
    <x v="318"/>
    <s v="Manual stop"/>
    <d v="1899-12-30T10:48:00"/>
    <d v="1899-12-30T10:48:00"/>
    <d v="1899-12-30T13:06:00"/>
    <n v="0"/>
    <n v="2.2999999999999985"/>
    <n v="2.2999999999999985"/>
    <s v="Power curve deviation related checked and Generartor carbon brush and all ok but panle cooling fans failure so need to replace"/>
    <s v="Close"/>
    <n v="5.7499999999999968E-2"/>
    <s v="G14"/>
    <n v="169.24166666666653"/>
    <s v="None"/>
    <s v="WTG Scheduled Maintenance"/>
    <n v="1766"/>
    <n v="169.24166666666653"/>
    <m/>
    <m/>
    <m/>
    <m/>
  </r>
  <r>
    <n v="1569"/>
    <x v="223"/>
    <x v="1"/>
    <x v="0"/>
    <x v="7"/>
    <x v="1"/>
    <x v="39"/>
    <s v="PWEGPL"/>
    <s v="MSEDCL"/>
    <n v="2.5000000000000001E-2"/>
    <s v="CE100017"/>
    <x v="389"/>
    <s v="Manual stop/TCA"/>
    <d v="1899-12-30T15:15:00"/>
    <d v="1899-12-30T15:15:00"/>
    <d v="1899-12-30T15:32:00"/>
    <n v="0"/>
    <n v="0.28333333333333499"/>
    <n v="0.28333333333333499"/>
    <s v="New ETN make UPS replaced and restored"/>
    <s v="Close"/>
    <n v="7.0833333333333755E-3"/>
    <s v="G14"/>
    <n v="20.848611111111232"/>
    <s v="None"/>
    <s v="WTG Scheduled Maintenance"/>
    <n v="1766"/>
    <n v="20.848611111111232"/>
    <m/>
    <m/>
    <m/>
    <m/>
  </r>
  <r>
    <n v="1570"/>
    <x v="224"/>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297.0986111111113"/>
    <s v="Material shortage-Transformer mounting M20x40 bolt found broken 04 pc."/>
    <s v="WTG Breakdown Maintenance"/>
    <n v="1298"/>
    <n v="1297.0986111111113"/>
    <m/>
    <m/>
    <m/>
    <m/>
  </r>
  <r>
    <n v="1571"/>
    <x v="224"/>
    <x v="1"/>
    <x v="0"/>
    <x v="7"/>
    <x v="1"/>
    <x v="0"/>
    <s v="PWEGPL"/>
    <s v="MSEDCL"/>
    <n v="2.5000000000000001E-2"/>
    <n v="507"/>
    <x v="318"/>
    <s v="Manual stop"/>
    <d v="1899-12-30T10:47:00"/>
    <d v="1899-12-30T10:47:00"/>
    <d v="1899-12-30T12:24:00"/>
    <n v="0"/>
    <n v="1.6166666666666676"/>
    <n v="1.6166666666666676"/>
    <s v="Power curve deviation related checked and Generartor carbon brush and all ok but panle cooling fans failure so need to replace"/>
    <s v="Close"/>
    <n v="4.0416666666666691E-2"/>
    <s v="G18"/>
    <n v="83.999305555555608"/>
    <s v="None"/>
    <s v="WTG Breakdown Maintenance"/>
    <n v="1247"/>
    <n v="83.999305555555608"/>
    <m/>
    <m/>
    <m/>
    <m/>
  </r>
  <r>
    <n v="1572"/>
    <x v="224"/>
    <x v="1"/>
    <x v="0"/>
    <x v="7"/>
    <x v="1"/>
    <x v="0"/>
    <s v="PWEGPL"/>
    <s v="MSEDCL"/>
    <n v="2.5000000000000001E-2"/>
    <n v="5201"/>
    <x v="299"/>
    <s v="BD"/>
    <d v="1899-12-30T14:45:00"/>
    <d v="1899-12-30T15:34:00"/>
    <d v="1899-12-30T15:36:00"/>
    <n v="0.81666666666666643"/>
    <n v="3.3333333333333215E-2"/>
    <n v="0.84999999999999964"/>
    <s v="Reboot and restored"/>
    <s v="Close"/>
    <n v="2.1249999999999991E-2"/>
    <s v="G18"/>
    <n v="44.164583333333319"/>
    <s v="None"/>
    <s v="WTG Breakdown Maintenance"/>
    <n v="1247"/>
    <n v="44.164583333333319"/>
    <m/>
    <m/>
    <m/>
    <m/>
  </r>
  <r>
    <n v="1573"/>
    <x v="224"/>
    <x v="1"/>
    <x v="0"/>
    <x v="7"/>
    <x v="1"/>
    <x v="6"/>
    <s v="PWEGPL"/>
    <s v="MSEDCL"/>
    <n v="2.5000000000000001E-2"/>
    <n v="2102"/>
    <x v="320"/>
    <s v="BD"/>
    <d v="1899-12-30T19:20:00"/>
    <d v="1899-12-30T20:26:00"/>
    <d v="1899-12-30T20:31:00"/>
    <n v="1.1000000000000014"/>
    <n v="8.3333333333333037E-2"/>
    <n v="1.1833333333333345"/>
    <s v="Reboot and restored"/>
    <s v="Close"/>
    <n v="2.9583333333333364E-2"/>
    <s v="G40"/>
    <n v="57.736805555555605"/>
    <s v="None"/>
    <s v="WTG Breakdown Maintenance"/>
    <n v="1171"/>
    <n v="57.736805555555605"/>
    <m/>
    <m/>
    <m/>
    <m/>
  </r>
  <r>
    <n v="1574"/>
    <x v="224"/>
    <x v="1"/>
    <x v="0"/>
    <x v="7"/>
    <x v="1"/>
    <x v="37"/>
    <s v="PWEGPL"/>
    <s v="MSEDCL"/>
    <n v="2.5000000000000001E-2"/>
    <n v="2118"/>
    <x v="293"/>
    <s v="BD"/>
    <d v="1899-12-30T18:18:00"/>
    <d v="1899-12-30T18:18:00"/>
    <d v="1899-12-30T18:33:00"/>
    <n v="0"/>
    <n v="0.24999999999999911"/>
    <n v="0.24999999999999911"/>
    <s v="Reboot and restored"/>
    <s v="Close"/>
    <n v="6.2499999999999778E-3"/>
    <s v="G18"/>
    <n v="12.989583333333288"/>
    <s v="None"/>
    <s v="WTG Breakdown Maintenance"/>
    <n v="1247"/>
    <n v="12.989583333333288"/>
    <m/>
    <m/>
    <m/>
    <m/>
  </r>
  <r>
    <n v="1575"/>
    <x v="225"/>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739.0965277777777"/>
    <s v="Material shortage-Transformer mounting M20x40 bolt found broken 04 pc."/>
    <s v="WTG Breakdown Maintenance"/>
    <n v="2741"/>
    <n v="2739.0965277777777"/>
    <m/>
    <m/>
    <m/>
    <m/>
  </r>
  <r>
    <n v="1576"/>
    <x v="225"/>
    <x v="1"/>
    <x v="0"/>
    <x v="7"/>
    <x v="1"/>
    <x v="24"/>
    <s v="PWEGPL"/>
    <s v="MSEDCL"/>
    <n v="2.5000000000000001E-2"/>
    <s v="CE100014"/>
    <x v="305"/>
    <s v="Manual stop/TCA"/>
    <d v="1899-12-30T11:26:00"/>
    <d v="1899-12-30T11:26:00"/>
    <d v="1899-12-30T14:59:00"/>
    <n v="0"/>
    <n v="3.5499999999999994"/>
    <n v="3.5499999999999994"/>
    <s v="TCA points closed and restored"/>
    <s v="Close"/>
    <n v="8.8749999999999996E-2"/>
    <s v="G22"/>
    <n v="297.46041666666662"/>
    <s v="None"/>
    <s v="WTG Scheduled Maintenance"/>
    <n v="2011"/>
    <n v="297.46041666666662"/>
    <m/>
    <m/>
    <m/>
    <m/>
  </r>
  <r>
    <n v="1577"/>
    <x v="225"/>
    <x v="1"/>
    <x v="0"/>
    <x v="7"/>
    <x v="1"/>
    <x v="39"/>
    <s v="PWEGPL"/>
    <s v="MSEDCL"/>
    <n v="2.5000000000000001E-2"/>
    <n v="205"/>
    <x v="312"/>
    <s v="BD"/>
    <d v="1899-12-30T12:00:00"/>
    <d v="1899-12-30T12:25:00"/>
    <d v="1899-12-30T12:47:00"/>
    <n v="0.41666666666666519"/>
    <n v="0.36666666666666803"/>
    <n v="0.78333333333333321"/>
    <s v="Oil top up and restored the WTG"/>
    <s v="Close"/>
    <n v="1.9583333333333331E-2"/>
    <s v="G14"/>
    <n v="63.939583333333324"/>
    <s v="None"/>
    <s v="WTG Breakdown Maintenance"/>
    <n v="1959"/>
    <n v="63.939583333333324"/>
    <m/>
    <m/>
    <m/>
    <m/>
  </r>
  <r>
    <n v="1578"/>
    <x v="225"/>
    <x v="1"/>
    <x v="0"/>
    <x v="7"/>
    <x v="1"/>
    <x v="33"/>
    <s v="PWEGPL"/>
    <s v="MSEDCL"/>
    <n v="2.5000000000000001E-2"/>
    <n v="207"/>
    <x v="309"/>
    <s v="BD"/>
    <d v="1899-12-30T14:03:00"/>
    <d v="1899-12-30T15:12:00"/>
    <d v="1899-12-30T17:24:00"/>
    <n v="1.1499999999999986"/>
    <n v="2.2000000000000002"/>
    <n v="3.3499999999999988"/>
    <s v="Pos 110 value setting done and restored"/>
    <s v="Close"/>
    <n v="8.3749999999999977E-2"/>
    <s v="G22"/>
    <n v="280.70208333333323"/>
    <s v="None"/>
    <s v="WTG Breakdown Maintenance"/>
    <n v="2011"/>
    <n v="280.70208333333323"/>
    <m/>
    <m/>
    <m/>
    <m/>
  </r>
  <r>
    <n v="1579"/>
    <x v="225"/>
    <x v="1"/>
    <x v="0"/>
    <x v="7"/>
    <x v="1"/>
    <x v="2"/>
    <s v="PWEGPL"/>
    <s v="MSEDCL"/>
    <n v="2.5000000000000001E-2"/>
    <s v="CE100014"/>
    <x v="305"/>
    <s v="Manual stop/TCA"/>
    <d v="1899-12-30T16:29:00"/>
    <d v="1899-12-30T16:29:00"/>
    <d v="1899-12-30T17:12:00"/>
    <n v="0"/>
    <n v="0.71666666666666679"/>
    <n v="0.71666666666666679"/>
    <s v="TCA points closed and restored"/>
    <s v="Close"/>
    <n v="1.7916666666666671E-2"/>
    <s v="G27"/>
    <n v="50.674305555555563"/>
    <s v="None"/>
    <s v="WTG Scheduled Maintenance"/>
    <n v="1697"/>
    <n v="50.674305555555563"/>
    <m/>
    <m/>
    <m/>
    <m/>
  </r>
  <r>
    <n v="1580"/>
    <x v="225"/>
    <x v="1"/>
    <x v="0"/>
    <x v="7"/>
    <x v="1"/>
    <x v="29"/>
    <s v="PWEGPL"/>
    <s v="MSEDCL"/>
    <n v="2.5000000000000001E-2"/>
    <n v="2118"/>
    <x v="293"/>
    <s v="BD"/>
    <d v="1899-12-30T16:24:00"/>
    <d v="1899-12-30T18:04:00"/>
    <d v="1899-12-30T18:16:00"/>
    <n v="1.6666666666666687"/>
    <n v="0.19999999999999929"/>
    <n v="1.866666666666668"/>
    <s v="Rebooted and restored"/>
    <s v="Close"/>
    <n v="4.6666666666666703E-2"/>
    <s v="G10"/>
    <n v="126.62222222222231"/>
    <s v="None"/>
    <s v="WTG Breakdown Maintenance"/>
    <n v="1628"/>
    <n v="126.62222222222231"/>
    <m/>
    <m/>
    <m/>
    <m/>
  </r>
  <r>
    <n v="1581"/>
    <x v="226"/>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4329.9909722222219"/>
    <s v="Material shortage-Transformer mounting M20x40 bolt found broken 04 pc."/>
    <s v="WTG Breakdown Maintenance"/>
    <n v="4333"/>
    <n v="4329.9909722222219"/>
    <m/>
    <m/>
    <m/>
    <m/>
  </r>
  <r>
    <n v="1582"/>
    <x v="226"/>
    <x v="1"/>
    <x v="0"/>
    <x v="7"/>
    <x v="1"/>
    <x v="25"/>
    <s v="PWEGPL"/>
    <s v="MSEDCL"/>
    <n v="2.5000000000000001E-2"/>
    <n v="621"/>
    <x v="390"/>
    <s v="BD"/>
    <d v="1899-12-30T14:40:00"/>
    <d v="1899-12-30T15:39:00"/>
    <d v="1899-12-30T17:04:00"/>
    <n v="0.98333333333333517"/>
    <n v="1.416666666666667"/>
    <n v="2.4000000000000021"/>
    <s v="Checked generator encoder and all found mounting screw loose then tightned and restored"/>
    <s v="Close"/>
    <n v="6.0000000000000053E-2"/>
    <s v="G04"/>
    <n v="366.80000000000035"/>
    <s v="None"/>
    <s v="WTG Breakdown Maintenance"/>
    <n v="3668"/>
    <n v="366.80000000000035"/>
    <m/>
    <m/>
    <m/>
    <m/>
  </r>
  <r>
    <n v="1583"/>
    <x v="226"/>
    <x v="1"/>
    <x v="0"/>
    <x v="7"/>
    <x v="1"/>
    <x v="4"/>
    <s v="PWEGPL"/>
    <s v="MSEDCL"/>
    <n v="2.5000000000000001E-2"/>
    <s v="CE100014"/>
    <x v="305"/>
    <s v="Manual stop/TCA"/>
    <d v="1899-12-30T12:53:00"/>
    <d v="1899-12-30T12:53:00"/>
    <d v="1899-12-30T15:45:00"/>
    <n v="0"/>
    <n v="2.8666666666666671"/>
    <n v="2.8666666666666671"/>
    <s v="TCA points closed and restored"/>
    <s v="Close"/>
    <n v="7.1666666666666684E-2"/>
    <s v="G38"/>
    <n v="304.22500000000002"/>
    <s v="None"/>
    <s v="WTG Scheduled Maintenance"/>
    <n v="2547"/>
    <n v="304.22500000000002"/>
    <m/>
    <m/>
    <m/>
    <m/>
  </r>
  <r>
    <n v="1584"/>
    <x v="226"/>
    <x v="1"/>
    <x v="0"/>
    <x v="7"/>
    <x v="1"/>
    <x v="4"/>
    <s v="PWEGPL"/>
    <s v="MSEDCL"/>
    <n v="2.5000000000000001E-2"/>
    <n v="5221"/>
    <x v="391"/>
    <s v="BD"/>
    <d v="1899-12-30T17:14:00"/>
    <d v="1899-12-30T18:06:00"/>
    <d v="1899-12-30T19:45:00"/>
    <n v="0.86666666666666892"/>
    <n v="1.6499999999999968"/>
    <n v="2.5166666666666657"/>
    <s v="Checked generator encoder and cable connection also found ok then reset and restored"/>
    <s v="Close"/>
    <n v="6.2916666666666649E-2"/>
    <s v="G38"/>
    <n v="267.0812499999999"/>
    <s v="None"/>
    <s v="WTG Breakdown Maintenance"/>
    <n v="2547"/>
    <n v="267.0812499999999"/>
    <m/>
    <m/>
    <m/>
    <m/>
  </r>
  <r>
    <n v="1585"/>
    <x v="227"/>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5590.1152777777779"/>
    <s v="Material shortage-Transformer mounting M20x40 bolt found broken 04 pc."/>
    <s v="WTG Breakdown Maintenance"/>
    <n v="5594"/>
    <n v="5590.1152777777779"/>
    <m/>
    <m/>
    <m/>
    <m/>
  </r>
  <r>
    <n v="1586"/>
    <x v="227"/>
    <x v="1"/>
    <x v="0"/>
    <x v="8"/>
    <x v="1"/>
    <x v="23"/>
    <s v="PWEGPL"/>
    <s v="MSEDCL"/>
    <n v="2.5000000000000001E-2"/>
    <n v="110"/>
    <x v="287"/>
    <s v="BD"/>
    <d v="1899-12-30T10:46:00"/>
    <d v="1899-12-30T11:39:00"/>
    <d v="1899-12-30T12:23:00"/>
    <n v="0.88333333333333286"/>
    <n v="0.73333333333333206"/>
    <n v="1.6166666666666649"/>
    <s v="Cable untwisted and restored"/>
    <s v="Close"/>
    <n v="4.0416666666666629E-2"/>
    <s v="G01"/>
    <n v="303.12499999999966"/>
    <s v="None"/>
    <s v="WTG Breakdown Maintenance"/>
    <n v="4500"/>
    <n v="303.12499999999966"/>
    <m/>
    <m/>
    <m/>
    <m/>
  </r>
  <r>
    <n v="1587"/>
    <x v="227"/>
    <x v="1"/>
    <x v="0"/>
    <x v="8"/>
    <x v="1"/>
    <x v="32"/>
    <s v="PWEGPL"/>
    <s v="MSEDCL"/>
    <n v="2.5000000000000001E-2"/>
    <n v="1833"/>
    <x v="392"/>
    <s v="Manual stop/TCA"/>
    <d v="1899-12-30T12:07:00"/>
    <d v="1899-12-30T12:07:00"/>
    <d v="1899-12-30T15:01:00"/>
    <n v="0"/>
    <n v="2.9000000000000004"/>
    <n v="2.9000000000000004"/>
    <s v="Transformer cooling fan removed and rstored"/>
    <s v="Close"/>
    <n v="7.2500000000000009E-2"/>
    <s v="G15"/>
    <n v="536.98333333333335"/>
    <s v="None"/>
    <s v="WTG Scheduled Maintenance"/>
    <n v="4444"/>
    <n v="536.98333333333335"/>
    <m/>
    <m/>
    <m/>
    <m/>
  </r>
  <r>
    <n v="1588"/>
    <x v="227"/>
    <x v="1"/>
    <x v="0"/>
    <x v="8"/>
    <x v="1"/>
    <x v="16"/>
    <s v="PWEGPL"/>
    <s v="MSEDCL"/>
    <n v="2.5000000000000001E-2"/>
    <n v="700"/>
    <x v="329"/>
    <s v="BD"/>
    <d v="1899-12-30T18:09:00"/>
    <d v="1899-12-30T19:58:00"/>
    <d v="1899-12-30T20:05:00"/>
    <n v="1.8166666666666655"/>
    <n v="0.11666666666666625"/>
    <n v="1.9333333333333318"/>
    <s v="Reboot and restored"/>
    <s v="Close"/>
    <n v="4.8333333333333298E-2"/>
    <s v="G35"/>
    <n v="364.83611111111082"/>
    <s v="None"/>
    <s v="WTG Breakdown Maintenance"/>
    <n v="4529"/>
    <n v="364.83611111111082"/>
    <m/>
    <m/>
    <m/>
    <m/>
  </r>
  <r>
    <n v="1589"/>
    <x v="227"/>
    <x v="1"/>
    <x v="0"/>
    <x v="8"/>
    <x v="1"/>
    <x v="4"/>
    <s v="PWEGPL"/>
    <s v="MSEDCL"/>
    <n v="2.5000000000000001E-2"/>
    <n v="5222"/>
    <x v="315"/>
    <s v="BD"/>
    <d v="1899-12-30T17:59:00"/>
    <d v="1899-12-30T20:53:00"/>
    <d v="1899-12-30T21:32:00"/>
    <n v="2.9000000000000004"/>
    <n v="0.65000000000000036"/>
    <n v="3.5500000000000007"/>
    <s v="Checked generator encoder and cable connection also found ok then reset and restored"/>
    <s v="Close"/>
    <n v="8.8750000000000023E-2"/>
    <s v="G38"/>
    <n v="455.4354166666667"/>
    <s v="None"/>
    <s v="WTG Breakdown Maintenance"/>
    <n v="3079"/>
    <n v="455.4354166666667"/>
    <m/>
    <m/>
    <m/>
    <m/>
  </r>
  <r>
    <n v="1590"/>
    <x v="227"/>
    <x v="1"/>
    <x v="0"/>
    <x v="8"/>
    <x v="1"/>
    <x v="34"/>
    <s v="PWEGPL"/>
    <s v="MSEDCL"/>
    <n v="2.5000000000000001E-2"/>
    <n v="800"/>
    <x v="298"/>
    <s v="BD"/>
    <d v="1899-12-30T23:10:00"/>
    <d v="1899-12-30T23:59:00"/>
    <d v="1899-12-30T23:59:00"/>
    <n v="0.81666666666666643"/>
    <n v="0"/>
    <n v="0.81666666666666643"/>
    <s v="Work under progress"/>
    <s v="Open"/>
    <n v="2.0416666666666663E-2"/>
    <s v="G21"/>
    <n v="159.01180555555553"/>
    <s v="None"/>
    <s v="WTG Breakdown Maintenance"/>
    <n v="4673"/>
    <n v="159.01180555555553"/>
    <m/>
    <m/>
    <m/>
    <m/>
  </r>
  <r>
    <n v="1591"/>
    <x v="228"/>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9778.255555555555"/>
    <s v="Material shortage-Transformer mounting M20x40 bolt found broken 04 pc."/>
    <s v="WTG Breakdown Maintenance"/>
    <n v="19792"/>
    <n v="19778.255555555555"/>
    <m/>
    <m/>
    <m/>
    <m/>
  </r>
  <r>
    <n v="1592"/>
    <x v="228"/>
    <x v="1"/>
    <x v="0"/>
    <x v="8"/>
    <x v="1"/>
    <x v="34"/>
    <s v="PWEGPL"/>
    <s v="MSEDCL"/>
    <n v="2.5000000000000001E-2"/>
    <n v="800"/>
    <x v="298"/>
    <s v="BD"/>
    <d v="1899-12-30T00:00:00"/>
    <d v="1899-12-30T00:00:00"/>
    <d v="1899-12-30T06:46:00"/>
    <n v="0"/>
    <n v="6.7666666666666666"/>
    <n v="6.7666666666666666"/>
    <s v="Solonoid cable found damaged then corrected and restored"/>
    <s v="Close"/>
    <n v="0.16916666666666669"/>
    <s v="G21"/>
    <n v="4552.5569444444445"/>
    <s v="None"/>
    <s v="WTG Breakdown Maintenance"/>
    <n v="16147"/>
    <n v="4552.5569444444445"/>
    <m/>
    <m/>
    <m/>
    <m/>
  </r>
  <r>
    <n v="1593"/>
    <x v="228"/>
    <x v="1"/>
    <x v="0"/>
    <x v="8"/>
    <x v="1"/>
    <x v="16"/>
    <s v="PWEGPL"/>
    <s v="MSEDCL"/>
    <n v="2.5000000000000001E-2"/>
    <n v="700"/>
    <x v="329"/>
    <s v="BD"/>
    <d v="1899-12-30T02:01:00"/>
    <d v="1899-12-30T08:12:00"/>
    <d v="1899-12-30T08:17:00"/>
    <n v="6.1833333333333327"/>
    <n v="8.333333333333437E-2"/>
    <n v="6.2666666666666675"/>
    <s v="Slipring cleaned and restored the turbine"/>
    <s v="Close"/>
    <n v="0.1566666666666667"/>
    <s v="G35"/>
    <n v="3346.6611111111115"/>
    <s v="Response time delay due to multiplr breakdowens"/>
    <s v="WTG Breakdown Maintenance"/>
    <n v="12817"/>
    <n v="3346.6611111111115"/>
    <m/>
    <m/>
    <m/>
    <m/>
  </r>
  <r>
    <n v="1594"/>
    <x v="228"/>
    <x v="1"/>
    <x v="0"/>
    <x v="8"/>
    <x v="1"/>
    <x v="4"/>
    <s v="PWEGPL"/>
    <s v="MSEDCL"/>
    <n v="2.5000000000000001E-2"/>
    <n v="5221"/>
    <x v="391"/>
    <s v="BD"/>
    <d v="1899-12-30T22:31:00"/>
    <d v="1899-12-30T23:43:00"/>
    <d v="1899-12-30T23:48:00"/>
    <n v="1.1999999999999984"/>
    <n v="8.3333333333335702E-2"/>
    <n v="1.2833333333333341"/>
    <s v="reboot and restored"/>
    <s v="Close"/>
    <n v="3.2083333333333353E-2"/>
    <s v="G38"/>
    <n v="561.03055555555591"/>
    <s v="Response time delay due to multiplr breakdowens"/>
    <s v="WTG Breakdown Maintenance"/>
    <n v="10492"/>
    <n v="561.03055555555591"/>
    <m/>
    <m/>
    <m/>
    <m/>
  </r>
  <r>
    <n v="1595"/>
    <x v="228"/>
    <x v="1"/>
    <x v="0"/>
    <x v="8"/>
    <x v="1"/>
    <x v="16"/>
    <s v="PWEGPL"/>
    <s v="MSEDCL"/>
    <n v="2.5000000000000001E-2"/>
    <n v="5212"/>
    <x v="319"/>
    <s v="BD"/>
    <d v="1899-12-30T09:41:00"/>
    <d v="1899-12-30T11:04:00"/>
    <d v="1899-12-30T12:20:00"/>
    <n v="1.3833333333333324"/>
    <n v="1.2666666666666688"/>
    <n v="2.6500000000000012"/>
    <s v="KC001 contcator serviced and the checked operation found ok then restored the turbine"/>
    <s v="Close"/>
    <n v="6.6250000000000031E-2"/>
    <s v="G35"/>
    <n v="1415.2104166666672"/>
    <s v="None"/>
    <s v="WTG Breakdown Maintenance"/>
    <n v="12817"/>
    <n v="1415.2104166666672"/>
    <m/>
    <m/>
    <m/>
    <m/>
  </r>
  <r>
    <n v="1596"/>
    <x v="228"/>
    <x v="1"/>
    <x v="0"/>
    <x v="8"/>
    <x v="1"/>
    <x v="20"/>
    <s v="PWEGPL"/>
    <s v="MSEDCL"/>
    <n v="2.5000000000000001E-2"/>
    <n v="700"/>
    <x v="329"/>
    <s v="BD"/>
    <d v="1899-12-30T20:41:00"/>
    <d v="1899-12-30T22:06:00"/>
    <d v="1899-12-30T22:28:00"/>
    <n v="1.416666666666667"/>
    <n v="0.3666666666666627"/>
    <n v="1.7833333333333297"/>
    <s v="reboot and restored"/>
    <s v="Close"/>
    <n v="4.4583333333333246E-2"/>
    <s v="G04"/>
    <n v="1255.318055555553"/>
    <s v="None"/>
    <s v="WTG Breakdown Maintenance"/>
    <n v="16894"/>
    <n v="1255.318055555553"/>
    <m/>
    <m/>
    <m/>
    <m/>
  </r>
  <r>
    <n v="1597"/>
    <x v="229"/>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7727.680555555555"/>
    <s v="Material shortage-Transformer mounting M20x40 bolt found broken 04 pc."/>
    <s v="WTG Breakdown Maintenance"/>
    <n v="17740"/>
    <n v="17727.680555555555"/>
    <m/>
    <m/>
    <m/>
    <m/>
  </r>
  <r>
    <n v="1598"/>
    <x v="230"/>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9267.5597222222223"/>
    <s v="Material shortage-Transformer mounting M20x40 bolt found broken 04 pc."/>
    <s v="WTG Breakdown Maintenance"/>
    <n v="9274"/>
    <n v="9267.5597222222223"/>
    <m/>
    <m/>
    <m/>
    <m/>
  </r>
  <r>
    <n v="1599"/>
    <x v="230"/>
    <x v="1"/>
    <x v="0"/>
    <x v="8"/>
    <x v="1"/>
    <x v="34"/>
    <s v="PWEGPL"/>
    <s v="MSEDCL"/>
    <n v="2.5000000000000001E-2"/>
    <n v="118"/>
    <x v="313"/>
    <s v="BD"/>
    <d v="1899-12-30T19:59:00"/>
    <d v="1899-12-30T21:23:00"/>
    <d v="1899-12-30T21:36:00"/>
    <n v="1.3999999999999977"/>
    <n v="0.21666666666666856"/>
    <n v="1.6166666666666663"/>
    <s v="Reboot and restored"/>
    <s v="Close"/>
    <n v="4.0416666666666656E-2"/>
    <s v="G21"/>
    <n v="659.4652777777776"/>
    <s v="None"/>
    <s v="WTG Breakdown Maintenance"/>
    <n v="9790"/>
    <n v="659.4652777777776"/>
    <m/>
    <m/>
    <m/>
    <m/>
  </r>
  <r>
    <n v="1600"/>
    <x v="231"/>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6555.4444444444443"/>
    <s v="Material shortage-Transformer mounting M20x40 bolt found broken 04 pc."/>
    <s v="WTG Breakdown Maintenance"/>
    <n v="6560"/>
    <n v="6555.4444444444443"/>
    <m/>
    <m/>
    <m/>
    <m/>
  </r>
  <r>
    <n v="1601"/>
    <x v="231"/>
    <x v="1"/>
    <x v="0"/>
    <x v="8"/>
    <x v="1"/>
    <x v="34"/>
    <s v="PWEGPL"/>
    <s v="MSEDCL"/>
    <n v="2.5000000000000001E-2"/>
    <n v="813"/>
    <x v="376"/>
    <s v="BD"/>
    <d v="1899-12-30T07:08:00"/>
    <d v="1899-12-30T07:48:00"/>
    <d v="1899-12-30T10:44:00"/>
    <n v="0.66666666666666696"/>
    <n v="2.9333333333333322"/>
    <n v="3.5999999999999992"/>
    <s v="Solonoid cable found disconnected and then corrected and restored"/>
    <s v="Close"/>
    <n v="8.9999999999999983E-2"/>
    <s v="G21"/>
    <n v="1039.7999999999997"/>
    <s v="None"/>
    <s v="WTG Breakdown Maintenance"/>
    <n v="6932"/>
    <n v="1039.7999999999997"/>
    <m/>
    <m/>
    <m/>
    <m/>
  </r>
  <r>
    <n v="1602"/>
    <x v="231"/>
    <x v="1"/>
    <x v="0"/>
    <x v="8"/>
    <x v="1"/>
    <x v="34"/>
    <s v="PWEGPL"/>
    <s v="MSEDCL"/>
    <n v="2.5000000000000001E-2"/>
    <n v="118"/>
    <x v="313"/>
    <s v="BD"/>
    <d v="1899-12-30T10:54:00"/>
    <d v="1899-12-30T10:55:00"/>
    <d v="1899-12-30T19:03:00"/>
    <n v="1.6666666666666607E-2"/>
    <n v="8.1333333333333346"/>
    <n v="8.1500000000000021"/>
    <s v="Cable twist limit switch encoder replaced and restored"/>
    <s v="Close"/>
    <n v="0.20375000000000007"/>
    <s v="G21"/>
    <n v="2353.9916666666672"/>
    <s v="None"/>
    <s v="WTG Breakdown Maintenance"/>
    <n v="6932"/>
    <n v="2353.9916666666672"/>
    <m/>
    <m/>
    <m/>
    <m/>
  </r>
  <r>
    <n v="1603"/>
    <x v="231"/>
    <x v="1"/>
    <x v="0"/>
    <x v="8"/>
    <x v="1"/>
    <x v="14"/>
    <s v="PWEGPL"/>
    <s v="MSEDCL"/>
    <n v="2.5000000000000001E-2"/>
    <s v="CE100014"/>
    <x v="305"/>
    <s v="Manual stop/TCA"/>
    <d v="1899-12-30T12:11:00"/>
    <d v="1899-12-30T12:11:00"/>
    <d v="1899-12-30T13:50:00"/>
    <n v="0"/>
    <n v="1.6500000000000021"/>
    <n v="1.6500000000000021"/>
    <s v="TCA points closed and restored"/>
    <s v="Close"/>
    <n v="4.1250000000000057E-2"/>
    <s v="G35"/>
    <n v="464.61250000000058"/>
    <s v="None"/>
    <s v="WTG Scheduled Maintenance"/>
    <n v="6758"/>
    <n v="464.61250000000058"/>
    <m/>
    <m/>
    <m/>
    <m/>
  </r>
  <r>
    <n v="1604"/>
    <x v="232"/>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8626.0055555555555"/>
    <s v="Material shortage-Transformer mounting M20x40 bolt found broken 04 pc."/>
    <s v="WTG Breakdown Maintenance"/>
    <n v="8632"/>
    <n v="8626.0055555555555"/>
    <m/>
    <m/>
    <m/>
    <m/>
  </r>
  <r>
    <n v="1605"/>
    <x v="232"/>
    <x v="1"/>
    <x v="0"/>
    <x v="8"/>
    <x v="1"/>
    <x v="34"/>
    <s v="PWEGPL"/>
    <s v="MSEDCL"/>
    <n v="2.5000000000000001E-2"/>
    <s v="CE100001"/>
    <x v="288"/>
    <s v="Manual stop"/>
    <d v="1899-12-30T11:20:00"/>
    <d v="1899-12-30T11:20:00"/>
    <d v="1899-12-30T16:57:00"/>
    <n v="0"/>
    <n v="5.6166666666666636"/>
    <n v="5.6166666666666636"/>
    <s v="Checked repearated error related and found loose connection in module then corrected and restored"/>
    <s v="Close"/>
    <n v="0.14041666666666661"/>
    <s v="G21"/>
    <n v="2121.2277777777767"/>
    <s v="None"/>
    <s v="WTG Scheduled Maintenance"/>
    <n v="9064"/>
    <n v="2121.2277777777767"/>
    <m/>
    <m/>
    <m/>
    <m/>
  </r>
  <r>
    <n v="1606"/>
    <x v="232"/>
    <x v="1"/>
    <x v="0"/>
    <x v="8"/>
    <x v="1"/>
    <x v="20"/>
    <s v="PWEGPL"/>
    <s v="MSEDCL"/>
    <n v="2.5000000000000001E-2"/>
    <n v="2118"/>
    <x v="293"/>
    <s v="BD"/>
    <d v="1899-12-30T07:49:00"/>
    <d v="1899-12-30T08:25:00"/>
    <d v="1899-12-30T08:33:00"/>
    <n v="0.5999999999999992"/>
    <n v="0.13333333333333419"/>
    <n v="0.73333333333333339"/>
    <s v="Rebooted and restored"/>
    <s v="Close"/>
    <n v="1.8333333333333337E-2"/>
    <s v="G04"/>
    <n v="203.37777777777779"/>
    <s v="None"/>
    <s v="WTG Breakdown Maintenance"/>
    <n v="6656"/>
    <n v="203.37777777777779"/>
    <m/>
    <m/>
    <m/>
    <m/>
  </r>
  <r>
    <n v="1607"/>
    <x v="232"/>
    <x v="1"/>
    <x v="0"/>
    <x v="8"/>
    <x v="1"/>
    <x v="20"/>
    <s v="PWEGPL"/>
    <s v="MSEDCL"/>
    <n v="2.5000000000000001E-2"/>
    <s v="CE100001"/>
    <x v="288"/>
    <s v="Manual stop"/>
    <d v="1899-12-30T14:47:00"/>
    <d v="1899-12-30T14:47:00"/>
    <d v="1899-12-30T15:47:00"/>
    <n v="0"/>
    <n v="0.99999999999999911"/>
    <n v="0.99999999999999911"/>
    <s v="Slipring cleaned and restored"/>
    <s v="Close"/>
    <n v="2.4999999999999981E-2"/>
    <s v="G04"/>
    <n v="277.33333333333309"/>
    <s v="None"/>
    <s v="WTG Scheduled Maintenance"/>
    <n v="6656"/>
    <n v="277.33333333333309"/>
    <m/>
    <m/>
    <m/>
    <m/>
  </r>
  <r>
    <n v="1608"/>
    <x v="232"/>
    <x v="1"/>
    <x v="0"/>
    <x v="8"/>
    <x v="1"/>
    <x v="38"/>
    <s v="PWEGPL"/>
    <s v="MSEDCL"/>
    <n v="2.5000000000000001E-2"/>
    <s v="CE100014"/>
    <x v="305"/>
    <s v="Manual stop/TCA"/>
    <d v="1899-12-30T10:49:00"/>
    <d v="1899-12-30T10:49:00"/>
    <d v="1899-12-30T12:33:00"/>
    <n v="0"/>
    <n v="1.7333333333333338"/>
    <n v="1.7333333333333338"/>
    <s v="TCA pending points closed and restored"/>
    <s v="Close"/>
    <n v="4.3333333333333349E-2"/>
    <s v="G17"/>
    <n v="605.80000000000018"/>
    <s v="None"/>
    <s v="WTG Scheduled Maintenance"/>
    <n v="8388"/>
    <n v="605.80000000000018"/>
    <m/>
    <m/>
    <m/>
    <m/>
  </r>
  <r>
    <n v="1609"/>
    <x v="232"/>
    <x v="1"/>
    <x v="0"/>
    <x v="8"/>
    <x v="1"/>
    <x v="4"/>
    <s v="PWEGPL"/>
    <s v="MSEDCL"/>
    <n v="2.5000000000000001E-2"/>
    <n v="5221"/>
    <x v="391"/>
    <s v="BD"/>
    <d v="1899-12-30T01:20:00"/>
    <d v="1899-12-30T02:58:00"/>
    <d v="1899-12-30T03:03:00"/>
    <n v="1.6333333333333335"/>
    <n v="8.3333333333333037E-2"/>
    <n v="1.7166666666666666"/>
    <s v="Rebooted and restored"/>
    <s v="Close"/>
    <n v="4.2916666666666665E-2"/>
    <s v="G38"/>
    <n v="595.68333333333328"/>
    <s v="None"/>
    <s v="WTG Breakdown Maintenance"/>
    <n v="8328"/>
    <n v="595.68333333333328"/>
    <m/>
    <m/>
    <m/>
    <m/>
  </r>
  <r>
    <n v="1610"/>
    <x v="233"/>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948.9506944444443"/>
    <s v="Material shortage-Transformer mounting M20x40 bolt found broken 04 pc."/>
    <s v="WTG Breakdown Maintenance"/>
    <n v="2951"/>
    <n v="2948.9506944444443"/>
    <m/>
    <m/>
    <m/>
    <m/>
  </r>
  <r>
    <n v="1611"/>
    <x v="233"/>
    <x v="1"/>
    <x v="0"/>
    <x v="8"/>
    <x v="1"/>
    <x v="39"/>
    <s v="PWEGPL"/>
    <s v="MSEDCL"/>
    <n v="2.5000000000000001E-2"/>
    <n v="205"/>
    <x v="312"/>
    <s v="BD"/>
    <d v="1899-12-30T01:55:00"/>
    <d v="1899-12-30T02:57:00"/>
    <d v="1899-12-30T03:21:00"/>
    <n v="1.0333333333333337"/>
    <n v="0.39999999999999991"/>
    <n v="1.4333333333333336"/>
    <s v="Oil top up and restored the WTG"/>
    <s v="Close"/>
    <n v="3.5833333333333342E-2"/>
    <s v="G14"/>
    <n v="187.05000000000004"/>
    <s v="None"/>
    <s v="WTG Breakdown Maintenance"/>
    <n v="3132"/>
    <n v="187.05000000000004"/>
    <m/>
    <m/>
    <m/>
    <m/>
  </r>
  <r>
    <n v="1612"/>
    <x v="233"/>
    <x v="1"/>
    <x v="0"/>
    <x v="8"/>
    <x v="1"/>
    <x v="31"/>
    <s v="PWEGPL"/>
    <s v="MSEDCL"/>
    <n v="2.5000000000000001E-2"/>
    <n v="5263"/>
    <x v="311"/>
    <s v="BD"/>
    <d v="1899-12-30T07:20:00"/>
    <d v="1899-12-30T08:00:00"/>
    <d v="1899-12-30T08:58:00"/>
    <n v="0.66666666666666696"/>
    <n v="0.96666666666666723"/>
    <n v="1.6333333333333342"/>
    <s v="Slipring cleaned and restored the turbine"/>
    <s v="Close"/>
    <n v="4.083333333333336E-2"/>
    <s v="G14"/>
    <n v="213.15000000000012"/>
    <s v="None"/>
    <s v="WTG Breakdown Maintenance"/>
    <n v="3132"/>
    <n v="213.15000000000012"/>
    <m/>
    <m/>
    <m/>
    <m/>
  </r>
  <r>
    <n v="1613"/>
    <x v="233"/>
    <x v="1"/>
    <x v="0"/>
    <x v="8"/>
    <x v="1"/>
    <x v="2"/>
    <s v="PWEGPL"/>
    <s v="MSEDCL"/>
    <n v="2.5000000000000001E-2"/>
    <n v="205"/>
    <x v="312"/>
    <s v="BD"/>
    <d v="1899-12-30T14:05:00"/>
    <d v="1899-12-30T14:29:00"/>
    <d v="1899-12-30T14:50:00"/>
    <n v="0.39999999999999858"/>
    <n v="0.35000000000000142"/>
    <n v="0.75"/>
    <s v="Oil top up and restored the WTG"/>
    <s v="Close"/>
    <n v="1.8750000000000003E-2"/>
    <s v="G25"/>
    <n v="77.40625"/>
    <s v="None"/>
    <s v="WTG Breakdown Maintenance"/>
    <n v="2477"/>
    <n v="77.40625"/>
    <m/>
    <m/>
    <m/>
    <m/>
  </r>
  <r>
    <n v="1614"/>
    <x v="233"/>
    <x v="1"/>
    <x v="0"/>
    <x v="8"/>
    <x v="1"/>
    <x v="3"/>
    <s v="PWEGPL"/>
    <s v="MSEDCL"/>
    <n v="2.5000000000000001E-2"/>
    <s v="CE100014"/>
    <x v="305"/>
    <s v="Manual stop/TCA"/>
    <d v="1899-12-30T11:27:00"/>
    <d v="1899-12-30T11:27:00"/>
    <d v="1899-12-30T13:32:00"/>
    <n v="0"/>
    <n v="2.0833333333333339"/>
    <n v="2.0833333333333339"/>
    <s v="TCA points closed and restored"/>
    <s v="Close"/>
    <n v="5.208333333333335E-2"/>
    <s v="G31"/>
    <n v="306.07638888888897"/>
    <s v="None"/>
    <s v="WTG Scheduled Maintenance"/>
    <n v="3526"/>
    <n v="306.07638888888897"/>
    <m/>
    <m/>
    <m/>
    <m/>
  </r>
  <r>
    <n v="1615"/>
    <x v="234"/>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307.0916666666667"/>
    <s v="Material shortage-Transformer mounting M20x40 bolt found broken 04 pc."/>
    <s v="WTG Breakdown Maintenance"/>
    <n v="1308"/>
    <n v="1307.0916666666667"/>
    <m/>
    <m/>
    <m/>
    <m/>
  </r>
  <r>
    <n v="1616"/>
    <x v="234"/>
    <x v="1"/>
    <x v="0"/>
    <x v="8"/>
    <x v="1"/>
    <x v="32"/>
    <s v="PWEGPL"/>
    <s v="MSEDCL"/>
    <n v="2.5000000000000001E-2"/>
    <s v="CE100014"/>
    <x v="305"/>
    <s v="Manual stop/TCA"/>
    <d v="1899-12-30T11:11:00"/>
    <d v="1899-12-30T11:11:00"/>
    <d v="1899-12-30T17:36:00"/>
    <n v="0"/>
    <n v="6.4166666666666679"/>
    <n v="6.4166666666666679"/>
    <s v="TCA points tyransformer cooling fans replaced and restored"/>
    <s v="Close"/>
    <n v="0.16041666666666671"/>
    <s v="G15"/>
    <n v="391.95138888888897"/>
    <s v="None"/>
    <s v="WTG Scheduled Maintenance"/>
    <n v="1466"/>
    <n v="391.95138888888897"/>
    <m/>
    <m/>
    <m/>
    <m/>
  </r>
  <r>
    <n v="1617"/>
    <x v="234"/>
    <x v="1"/>
    <x v="0"/>
    <x v="8"/>
    <x v="1"/>
    <x v="11"/>
    <s v="PWEGPL"/>
    <s v="MSEDCL"/>
    <n v="2.5000000000000001E-2"/>
    <n v="804"/>
    <x v="382"/>
    <s v="BD"/>
    <d v="1899-12-30T14:55:00"/>
    <d v="1899-12-30T16:51:00"/>
    <d v="1899-12-30T16:57:00"/>
    <n v="1.9333333333333345"/>
    <n v="9.999999999999698E-2"/>
    <n v="2.0333333333333314"/>
    <s v="Reboot and restored"/>
    <s v="Close"/>
    <n v="5.0833333333333286E-2"/>
    <s v="G31"/>
    <n v="115.05277777777768"/>
    <s v="None"/>
    <s v="WTG Breakdown Maintenance"/>
    <n v="1358"/>
    <n v="115.05277777777768"/>
    <m/>
    <m/>
    <m/>
    <m/>
  </r>
  <r>
    <n v="1618"/>
    <x v="234"/>
    <x v="1"/>
    <x v="0"/>
    <x v="8"/>
    <x v="1"/>
    <x v="37"/>
    <s v="PWEGPL"/>
    <s v="MSEDCL"/>
    <n v="2.5000000000000001E-2"/>
    <n v="5201"/>
    <x v="299"/>
    <s v="BD"/>
    <d v="1899-12-30T19:00:00"/>
    <d v="1899-12-30T20:18:00"/>
    <d v="1899-12-30T20:24:00"/>
    <n v="1.3000000000000007"/>
    <n v="9.9999999999999645E-2"/>
    <n v="1.4000000000000004"/>
    <s v="Reboot and restored"/>
    <s v="Close"/>
    <n v="3.500000000000001E-2"/>
    <s v="G15"/>
    <n v="85.516666666666694"/>
    <s v="None"/>
    <s v="WTG Breakdown Maintenance"/>
    <n v="1466"/>
    <n v="85.516666666666694"/>
    <m/>
    <m/>
    <m/>
    <m/>
  </r>
  <r>
    <n v="1619"/>
    <x v="234"/>
    <x v="1"/>
    <x v="0"/>
    <x v="8"/>
    <x v="1"/>
    <x v="33"/>
    <s v="PWEGPL"/>
    <s v="MSEDCL"/>
    <n v="2.5000000000000001E-2"/>
    <n v="207"/>
    <x v="309"/>
    <s v="BD"/>
    <d v="1899-12-30T16:45:00"/>
    <d v="1899-12-30T18:31:00"/>
    <d v="1899-12-30T20:42:00"/>
    <n v="1.7666666666666657"/>
    <n v="2.1833333333333336"/>
    <n v="3.9499999999999993"/>
    <s v="Pos 110 value setting done and restored"/>
    <s v="Close"/>
    <n v="9.8749999999999991E-2"/>
    <s v="G22"/>
    <n v="131.0083333333333"/>
    <s v="None"/>
    <s v="WTG Breakdown Maintenance"/>
    <n v="796"/>
    <n v="131.0083333333333"/>
    <m/>
    <m/>
    <m/>
    <m/>
  </r>
  <r>
    <n v="1620"/>
    <x v="234"/>
    <x v="1"/>
    <x v="0"/>
    <x v="8"/>
    <x v="1"/>
    <x v="28"/>
    <s v="PWEGPL"/>
    <s v="MSEDCL"/>
    <n v="2.5000000000000001E-2"/>
    <n v="2509"/>
    <x v="201"/>
    <s v="BD"/>
    <d v="1899-12-30T14:52:00"/>
    <d v="1899-12-30T14:52:00"/>
    <d v="1899-12-30T23:59:00"/>
    <n v="0"/>
    <n v="9.1166666666666671"/>
    <n v="9.1166666666666671"/>
    <s v="SF6 btreaker issue work under progress"/>
    <s v="Open"/>
    <n v="0.22791666666666668"/>
    <s v="G09"/>
    <n v="492.3"/>
    <s v="None"/>
    <s v="WTG Breakdown Maintenance"/>
    <n v="1296"/>
    <n v="492.3"/>
    <m/>
    <m/>
    <m/>
    <m/>
  </r>
  <r>
    <n v="1621"/>
    <x v="235"/>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206.4666666666667"/>
    <s v="Material shortage-Transformer mounting M20x40 bolt found broken 04 pc."/>
    <s v="WTG Breakdown Maintenance"/>
    <n v="2208"/>
    <n v="2206.4666666666667"/>
    <m/>
    <m/>
    <m/>
    <m/>
  </r>
  <r>
    <n v="1622"/>
    <x v="235"/>
    <x v="1"/>
    <x v="0"/>
    <x v="8"/>
    <x v="1"/>
    <x v="28"/>
    <s v="PWEGPL"/>
    <s v="MSEDCL"/>
    <n v="2.5000000000000001E-2"/>
    <n v="2509"/>
    <x v="201"/>
    <s v="BD"/>
    <d v="1899-12-30T00:00:00"/>
    <d v="1899-12-30T00:00:00"/>
    <d v="1899-12-30T23:59:00"/>
    <n v="0"/>
    <n v="23.983333333333334"/>
    <n v="23.983333333333334"/>
    <s v="SF6 btreaker issue work under progress"/>
    <s v="Open"/>
    <n v="0.59958333333333336"/>
    <s v="G09"/>
    <n v="2074.5583333333334"/>
    <s v="Material shortage-SF6 breaker"/>
    <s v="WTG Breakdown Maintenance"/>
    <n v="2076"/>
    <n v="2074.5583333333334"/>
    <m/>
    <m/>
    <m/>
    <m/>
  </r>
  <r>
    <n v="1623"/>
    <x v="235"/>
    <x v="1"/>
    <x v="0"/>
    <x v="8"/>
    <x v="1"/>
    <x v="6"/>
    <s v="PWEGPL"/>
    <s v="MSEDCL"/>
    <n v="2.5000000000000001E-2"/>
    <n v="700"/>
    <x v="329"/>
    <s v="BD"/>
    <d v="1899-12-30T09:18:00"/>
    <d v="1899-12-30T10:35:00"/>
    <d v="1899-12-30T11:45:00"/>
    <n v="1.2833333333333341"/>
    <n v="1.1666666666666652"/>
    <n v="2.4499999999999993"/>
    <s v="Slipring cleaned and restored"/>
    <s v="Close"/>
    <n v="6.1249999999999985E-2"/>
    <s v="G40"/>
    <n v="137.19999999999996"/>
    <s v="None"/>
    <s v="WTG Breakdown Maintenance"/>
    <n v="1344"/>
    <n v="137.19999999999996"/>
    <m/>
    <m/>
    <m/>
    <m/>
  </r>
  <r>
    <n v="1624"/>
    <x v="235"/>
    <x v="1"/>
    <x v="0"/>
    <x v="8"/>
    <x v="1"/>
    <x v="24"/>
    <s v="PWEGPL"/>
    <s v="MSEDCL"/>
    <n v="2.5000000000000001E-2"/>
    <n v="205"/>
    <x v="312"/>
    <s v="BD"/>
    <d v="1899-12-30T11:01:00"/>
    <d v="1899-12-30T13:21:00"/>
    <d v="1899-12-30T14:00:00"/>
    <n v="2.333333333333333"/>
    <n v="0.65000000000000036"/>
    <n v="2.9833333333333334"/>
    <s v="Oil top up and restored the WTG"/>
    <s v="Close"/>
    <n v="7.4583333333333335E-2"/>
    <s v="G22"/>
    <n v="193.17083333333335"/>
    <s v="None"/>
    <s v="WTG Breakdown Maintenance"/>
    <n v="1554"/>
    <n v="193.17083333333335"/>
    <m/>
    <m/>
    <m/>
    <m/>
  </r>
  <r>
    <n v="1625"/>
    <x v="235"/>
    <x v="1"/>
    <x v="0"/>
    <x v="8"/>
    <x v="1"/>
    <x v="26"/>
    <s v="PWEGPL"/>
    <s v="MSEDCL"/>
    <n v="2.5000000000000001E-2"/>
    <n v="205"/>
    <x v="312"/>
    <s v="BD"/>
    <d v="1899-12-30T11:01:00"/>
    <d v="1899-12-30T14:05:00"/>
    <d v="1899-12-30T21:34:00"/>
    <n v="3.0666666666666664"/>
    <n v="7.4833333333333334"/>
    <n v="10.55"/>
    <s v="Oil top up and pos104 value setting done andrestored the WTG"/>
    <s v="Close"/>
    <n v="0.26375000000000004"/>
    <s v="G01"/>
    <n v="790.37083333333339"/>
    <s v="None"/>
    <s v="WTG Breakdown Maintenance"/>
    <n v="1798"/>
    <n v="790.37083333333339"/>
    <m/>
    <m/>
    <m/>
    <m/>
  </r>
  <r>
    <n v="1626"/>
    <x v="236"/>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525.9395833333333"/>
    <s v="Material shortage-Transformer mounting M20x40 bolt found broken 04 pc."/>
    <s v="WTG Breakdown Maintenance"/>
    <n v="1527"/>
    <n v="1525.9395833333333"/>
    <m/>
    <m/>
    <m/>
    <m/>
  </r>
  <r>
    <n v="1627"/>
    <x v="236"/>
    <x v="1"/>
    <x v="0"/>
    <x v="8"/>
    <x v="1"/>
    <x v="36"/>
    <s v="PWEGPL"/>
    <s v="MSEDCL"/>
    <n v="2.5000000000000001E-2"/>
    <s v="CE100010"/>
    <x v="296"/>
    <s v="PM"/>
    <d v="1899-12-30T11:06:00"/>
    <d v="1899-12-30T11:06:00"/>
    <d v="1899-12-30T18:53:00"/>
    <n v="0"/>
    <n v="7.7833333333333332"/>
    <n v="7.7833333333333332"/>
    <s v="Yearly preventive maintenace completed Day 1"/>
    <s v="Close"/>
    <n v="0.19458333333333333"/>
    <s v="G27"/>
    <n v="346.03402777777779"/>
    <s v="None"/>
    <s v="WTG Scheduled Maintenance"/>
    <n v="1067"/>
    <n v="346.03402777777779"/>
    <m/>
    <m/>
    <m/>
    <m/>
  </r>
  <r>
    <n v="1628"/>
    <x v="236"/>
    <x v="1"/>
    <x v="0"/>
    <x v="8"/>
    <x v="1"/>
    <x v="23"/>
    <s v="PWEGPL"/>
    <s v="MSEDCL"/>
    <n v="2.5000000000000001E-2"/>
    <n v="700"/>
    <x v="329"/>
    <s v="BD"/>
    <d v="1899-12-30T12:43:00"/>
    <d v="1899-12-30T13:31:00"/>
    <d v="1899-12-30T13:37:00"/>
    <n v="0.79999999999999982"/>
    <n v="9.9999999999999645E-2"/>
    <n v="0.89999999999999947"/>
    <s v="Rebooted and restored"/>
    <s v="Close"/>
    <n v="2.2499999999999989E-2"/>
    <s v="G06"/>
    <n v="59.287499999999966"/>
    <s v="None"/>
    <s v="WTG Breakdown Maintenance"/>
    <n v="1581"/>
    <n v="59.287499999999966"/>
    <m/>
    <m/>
    <m/>
    <m/>
  </r>
  <r>
    <n v="1629"/>
    <x v="236"/>
    <x v="1"/>
    <x v="0"/>
    <x v="8"/>
    <x v="1"/>
    <x v="3"/>
    <s v="PWEGPL"/>
    <s v="MSEDCL"/>
    <n v="2.5000000000000001E-2"/>
    <n v="813"/>
    <x v="376"/>
    <s v="BD"/>
    <d v="1899-12-30T16:48:00"/>
    <d v="1899-12-30T17:35:00"/>
    <d v="1899-12-30T18:20:00"/>
    <n v="0.78333333333333055"/>
    <n v="0.75"/>
    <n v="1.5333333333333306"/>
    <s v="Balluff sensor cable found loose then corrected and restore"/>
    <s v="Close"/>
    <n v="3.8333333333333268E-2"/>
    <s v="G26"/>
    <n v="113.27499999999979"/>
    <s v="None"/>
    <s v="WTG Breakdown Maintenance"/>
    <n v="1773"/>
    <n v="113.27499999999979"/>
    <m/>
    <m/>
    <m/>
    <m/>
  </r>
  <r>
    <n v="1630"/>
    <x v="236"/>
    <x v="1"/>
    <x v="0"/>
    <x v="8"/>
    <x v="1"/>
    <x v="35"/>
    <s v="PWEGPL"/>
    <s v="MSEDCL"/>
    <n v="2.5000000000000001E-2"/>
    <n v="1893"/>
    <x v="362"/>
    <s v="BD"/>
    <d v="1899-12-30T14:49:00"/>
    <d v="1899-12-30T15:38:00"/>
    <d v="1899-12-30T15:44:00"/>
    <n v="0.81666666666666643"/>
    <n v="9.9999999999999645E-2"/>
    <n v="0.91666666666666607"/>
    <s v="Rebooted and restored"/>
    <s v="Close"/>
    <n v="2.2916666666666655E-2"/>
    <s v="G27"/>
    <n v="40.7534722222222"/>
    <s v="None"/>
    <s v="WTG Breakdown Maintenance"/>
    <n v="1067"/>
    <n v="40.7534722222222"/>
    <m/>
    <m/>
    <m/>
    <m/>
  </r>
  <r>
    <n v="1631"/>
    <x v="236"/>
    <x v="1"/>
    <x v="0"/>
    <x v="8"/>
    <x v="1"/>
    <x v="30"/>
    <s v="PWEGPL"/>
    <s v="MSEDCL"/>
    <n v="2.5000000000000001E-2"/>
    <n v="804"/>
    <x v="382"/>
    <s v="BD"/>
    <d v="1899-12-30T21:32:00"/>
    <d v="1899-12-30T22:50:00"/>
    <d v="1899-12-30T23:58:00"/>
    <n v="1.299999999999998"/>
    <n v="1.133333333333332"/>
    <n v="2.43333333333333"/>
    <s v="Balluff sensor cable found loose then corrected and restore"/>
    <s v="Close"/>
    <n v="6.0833333333333253E-2"/>
    <s v="G13"/>
    <n v="129.06805555555536"/>
    <s v="None"/>
    <s v="WTG Breakdown Maintenance"/>
    <n v="1273"/>
    <n v="129.06805555555536"/>
    <m/>
    <m/>
    <m/>
    <m/>
  </r>
  <r>
    <n v="1632"/>
    <x v="236"/>
    <x v="1"/>
    <x v="0"/>
    <x v="8"/>
    <x v="1"/>
    <x v="21"/>
    <s v="PWEGPL"/>
    <s v="MSEDCL"/>
    <n v="2.5000000000000001E-2"/>
    <n v="205"/>
    <x v="312"/>
    <s v="BD"/>
    <d v="1899-12-30T00:16:00"/>
    <d v="1899-12-30T01:20:00"/>
    <d v="1899-12-30T01:46:00"/>
    <n v="1.0666666666666664"/>
    <n v="0.43333333333333346"/>
    <n v="1.5"/>
    <s v="Oil top up and restored the WTG"/>
    <s v="Close"/>
    <n v="3.7500000000000006E-2"/>
    <s v="G06"/>
    <n v="98.8125"/>
    <s v="None"/>
    <s v="WTG Breakdown Maintenance"/>
    <n v="1581"/>
    <n v="98.8125"/>
    <m/>
    <m/>
    <m/>
    <m/>
  </r>
  <r>
    <n v="1633"/>
    <x v="236"/>
    <x v="1"/>
    <x v="0"/>
    <x v="8"/>
    <x v="1"/>
    <x v="28"/>
    <s v="PWEGPL"/>
    <s v="MSEDCL"/>
    <n v="2.5000000000000001E-2"/>
    <n v="2509"/>
    <x v="201"/>
    <s v="BD"/>
    <d v="1899-12-30T00:00:00"/>
    <d v="1899-12-30T00:00:00"/>
    <d v="1899-12-30T23:59:00"/>
    <n v="0"/>
    <n v="23.983333333333334"/>
    <n v="23.983333333333334"/>
    <s v="SF6 btreaker issue work under progress"/>
    <s v="Open"/>
    <n v="0.59958333333333336"/>
    <s v="G11"/>
    <n v="1751.7826388888891"/>
    <s v="Material shortage-SF6 breaker"/>
    <s v="WTG Breakdown Maintenance"/>
    <n v="1753"/>
    <n v="1751.7826388888891"/>
    <m/>
    <m/>
    <m/>
    <m/>
  </r>
  <r>
    <n v="1634"/>
    <x v="237"/>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186.4805555555558"/>
    <s v="Material shortage-Transformer mounting M20x40 bolt found broken 04 pc."/>
    <s v="WTG Breakdown Maintenance"/>
    <n v="2188"/>
    <n v="2186.4805555555558"/>
    <m/>
    <m/>
    <m/>
    <m/>
  </r>
  <r>
    <n v="1635"/>
    <x v="237"/>
    <x v="1"/>
    <x v="0"/>
    <x v="8"/>
    <x v="1"/>
    <x v="28"/>
    <s v="PWEGPL"/>
    <s v="MSEDCL"/>
    <n v="2.5000000000000001E-2"/>
    <n v="2509"/>
    <x v="201"/>
    <s v="BD"/>
    <d v="1899-12-30T00:00:00"/>
    <d v="1899-12-30T00:00:00"/>
    <d v="1899-12-30T23:59:00"/>
    <n v="0"/>
    <n v="23.983333333333334"/>
    <n v="23.983333333333334"/>
    <s v="SF6 btreaker issue work under progress"/>
    <s v="Open"/>
    <n v="0.59958333333333336"/>
    <s v="G11"/>
    <n v="1048.2715277777779"/>
    <s v="Material shortage-SF6 breaker"/>
    <s v="WTG Breakdown Maintenance"/>
    <n v="1049"/>
    <n v="1048.2715277777779"/>
    <m/>
    <m/>
    <m/>
    <m/>
  </r>
  <r>
    <n v="1636"/>
    <x v="237"/>
    <x v="1"/>
    <x v="0"/>
    <x v="8"/>
    <x v="1"/>
    <x v="9"/>
    <s v="PWEGPL"/>
    <s v="MSEDCL"/>
    <n v="2.5000000000000001E-2"/>
    <s v="CE100010"/>
    <x v="296"/>
    <s v="PM"/>
    <d v="1899-12-30T10:34:00"/>
    <d v="1899-12-30T10:34:00"/>
    <d v="1899-12-30T16:53:00"/>
    <n v="0"/>
    <n v="6.3166666666666655"/>
    <n v="6.3166666666666655"/>
    <s v="Yearly preventive maintenace completed Day 1"/>
    <s v="Close"/>
    <n v="0.15791666666666665"/>
    <s v="G29"/>
    <n v="333.20416666666659"/>
    <s v="None"/>
    <s v="WTG Scheduled Maintenance"/>
    <n v="1266"/>
    <n v="333.20416666666659"/>
    <m/>
    <m/>
    <m/>
    <m/>
  </r>
  <r>
    <n v="1637"/>
    <x v="238"/>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3645.4666666666667"/>
    <s v="Material shortage-Transformer mounting M20x40 bolt found broken 04 pc."/>
    <s v="WTG Breakdown Maintenance"/>
    <n v="3648"/>
    <n v="3645.4666666666667"/>
    <m/>
    <m/>
    <m/>
    <m/>
  </r>
  <r>
    <n v="1638"/>
    <x v="238"/>
    <x v="1"/>
    <x v="0"/>
    <x v="8"/>
    <x v="1"/>
    <x v="28"/>
    <s v="PWEGPL"/>
    <s v="MSEDCL"/>
    <n v="2.5000000000000001E-2"/>
    <n v="2509"/>
    <x v="201"/>
    <s v="BD"/>
    <d v="1899-12-30T00:00:00"/>
    <d v="1899-12-30T00:00:00"/>
    <d v="1899-12-30T23:59:00"/>
    <n v="0"/>
    <n v="23.983333333333334"/>
    <n v="23.983333333333334"/>
    <s v="SF6 btreaker issue work under progress"/>
    <s v="Open"/>
    <n v="0.59958333333333336"/>
    <s v="G11"/>
    <n v="1231.1444444444446"/>
    <s v="Material shortage-SF6 breaker"/>
    <s v="WTG Breakdown Maintenance"/>
    <n v="1232"/>
    <n v="1231.1444444444446"/>
    <m/>
    <m/>
    <m/>
    <m/>
  </r>
  <r>
    <n v="1639"/>
    <x v="238"/>
    <x v="1"/>
    <x v="0"/>
    <x v="8"/>
    <x v="1"/>
    <x v="10"/>
    <s v="PWEGPL"/>
    <s v="MSEDCL"/>
    <n v="2.5000000000000001E-2"/>
    <n v="2118"/>
    <x v="293"/>
    <s v="BD"/>
    <d v="1899-12-30T05:28:00"/>
    <d v="1899-12-30T23:59:00"/>
    <d v="1899-12-30T23:59:00"/>
    <n v="18.516666666666666"/>
    <n v="0"/>
    <n v="18.516666666666666"/>
    <s v="Work under progress"/>
    <s v="Open"/>
    <n v="0.46291666666666664"/>
    <s v="G31"/>
    <n v="1257.5902777777778"/>
    <s v="ROW- For crain movement and access road stopped by local leaders"/>
    <s v="WTG Force Majeaure"/>
    <n v="1630"/>
    <n v="1257.5902777777778"/>
    <m/>
    <m/>
    <m/>
    <m/>
  </r>
  <r>
    <n v="1640"/>
    <x v="238"/>
    <x v="1"/>
    <x v="0"/>
    <x v="8"/>
    <x v="1"/>
    <x v="11"/>
    <s v="PWEGPL"/>
    <s v="MSEDCL"/>
    <n v="2.5000000000000001E-2"/>
    <n v="800"/>
    <x v="298"/>
    <s v="BD"/>
    <d v="1899-12-30T12:32:00"/>
    <d v="1899-12-30T23:59:00"/>
    <d v="1899-12-30T23:59:00"/>
    <n v="11.45"/>
    <n v="0"/>
    <n v="11.45"/>
    <s v="Work under progress"/>
    <s v="Open"/>
    <n v="0.28625"/>
    <s v="G31"/>
    <n v="777.64583333333337"/>
    <s v="ROW- For crain movement and access road stopped by local leaders"/>
    <s v="WTG Force Majeaure"/>
    <n v="1630"/>
    <n v="777.64583333333337"/>
    <m/>
    <m/>
    <m/>
    <m/>
  </r>
  <r>
    <n v="1641"/>
    <x v="238"/>
    <x v="1"/>
    <x v="0"/>
    <x v="8"/>
    <x v="1"/>
    <x v="7"/>
    <s v="PWEGPL"/>
    <s v="MSEDCL"/>
    <n v="2.5000000000000001E-2"/>
    <n v="205"/>
    <x v="312"/>
    <s v="BD"/>
    <d v="1899-12-30T05:16:00"/>
    <d v="1899-12-30T23:59:00"/>
    <d v="1899-12-30T23:59:00"/>
    <n v="18.716666666666669"/>
    <n v="0"/>
    <n v="18.716666666666669"/>
    <s v="Work under progress"/>
    <s v="Open"/>
    <n v="0.46791666666666676"/>
    <s v="G39"/>
    <n v="2026.0791666666669"/>
    <s v="ROW- For crain movement and access road stopped by local leaders"/>
    <s v="WTG Force Majeaure"/>
    <n v="2598"/>
    <n v="2026.0791666666669"/>
    <m/>
    <m/>
    <m/>
    <m/>
  </r>
  <r>
    <n v="1642"/>
    <x v="238"/>
    <x v="1"/>
    <x v="0"/>
    <x v="8"/>
    <x v="1"/>
    <x v="23"/>
    <s v="PWEGPL"/>
    <s v="MSEDCL"/>
    <n v="2.5000000000000001E-2"/>
    <n v="2118"/>
    <x v="293"/>
    <s v="BD"/>
    <d v="1899-12-30T10:29:00"/>
    <d v="1899-12-30T23:59:00"/>
    <d v="1899-12-30T23:59:00"/>
    <n v="13.5"/>
    <n v="0"/>
    <n v="13.5"/>
    <s v="Work under progress"/>
    <s v="Open"/>
    <n v="0.33750000000000002"/>
    <s v="G01"/>
    <n v="1347.1875"/>
    <s v="ROW- For crain movement and access road stopped by local leaders"/>
    <s v="WTG Force Majeaure"/>
    <n v="2395"/>
    <n v="1347.1875"/>
    <m/>
    <m/>
    <m/>
    <m/>
  </r>
  <r>
    <n v="1643"/>
    <x v="238"/>
    <x v="1"/>
    <x v="0"/>
    <x v="8"/>
    <x v="1"/>
    <x v="25"/>
    <s v="PWEGPL"/>
    <s v="MSEDCL"/>
    <n v="2.5000000000000001E-2"/>
    <n v="5220"/>
    <x v="393"/>
    <s v="BD"/>
    <d v="1899-12-30T11:45:00"/>
    <d v="1899-12-30T23:59:00"/>
    <d v="1899-12-30T23:59:00"/>
    <n v="12.233333333333333"/>
    <n v="0"/>
    <n v="12.233333333333333"/>
    <s v="Work under progress"/>
    <s v="Open"/>
    <n v="0.30583333333333335"/>
    <s v="G07"/>
    <n v="1391.5416666666665"/>
    <s v="ROW- For crain movement and access road stopped by local leaders"/>
    <s v="WTG Force Majeaure"/>
    <n v="2730"/>
    <n v="1391.5416666666665"/>
    <m/>
    <m/>
    <m/>
    <m/>
  </r>
  <r>
    <n v="1644"/>
    <x v="238"/>
    <x v="1"/>
    <x v="0"/>
    <x v="8"/>
    <x v="1"/>
    <x v="37"/>
    <s v="PWEGPL"/>
    <s v="MSEDCL"/>
    <n v="2.5000000000000001E-2"/>
    <n v="800"/>
    <x v="298"/>
    <s v="BD"/>
    <d v="1899-12-30T10:38:00"/>
    <d v="1899-12-30T23:59:00"/>
    <d v="1899-12-30T23:59:00"/>
    <n v="13.350000000000001"/>
    <n v="0"/>
    <n v="13.350000000000001"/>
    <s v="Work under progress"/>
    <s v="Open"/>
    <n v="0.33375000000000005"/>
    <s v="G17"/>
    <n v="1785.5625000000002"/>
    <s v="ROW- For crain movement and access road stopped by local leaders"/>
    <s v="WTG Force Majeaure"/>
    <n v="3210"/>
    <n v="1785.5625000000002"/>
    <m/>
    <m/>
    <m/>
    <m/>
  </r>
  <r>
    <n v="1645"/>
    <x v="239"/>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073.5590277777778"/>
    <s v="Material shortage-Transformer mounting M20x40 bolt found broken 04 pc."/>
    <s v="WTG Breakdown Maintenance"/>
    <n v="2075"/>
    <n v="2073.5590277777778"/>
    <m/>
    <m/>
    <m/>
    <m/>
  </r>
  <r>
    <n v="1646"/>
    <x v="239"/>
    <x v="1"/>
    <x v="0"/>
    <x v="8"/>
    <x v="1"/>
    <x v="28"/>
    <s v="PWEGPL"/>
    <s v="MSEDCL"/>
    <n v="2.5000000000000001E-2"/>
    <n v="2509"/>
    <x v="201"/>
    <s v="BD"/>
    <d v="1899-12-30T00:00:00"/>
    <d v="1899-12-30T00:00:00"/>
    <d v="1899-12-30T23:59:00"/>
    <n v="0"/>
    <n v="23.983333333333334"/>
    <n v="23.983333333333334"/>
    <s v="SF6 btreaker issue work under progress"/>
    <s v="Open"/>
    <n v="0.59958333333333336"/>
    <s v="G11"/>
    <n v="2417.3201388888892"/>
    <s v="Material shortage-SF6 breaker"/>
    <s v="WTG Breakdown Maintenance"/>
    <n v="2419"/>
    <n v="2417.3201388888892"/>
    <m/>
    <m/>
    <m/>
    <m/>
  </r>
  <r>
    <n v="1647"/>
    <x v="239"/>
    <x v="1"/>
    <x v="0"/>
    <x v="8"/>
    <x v="1"/>
    <x v="10"/>
    <s v="PWEGPL"/>
    <s v="MSEDCL"/>
    <n v="2.5000000000000001E-2"/>
    <n v="2118"/>
    <x v="293"/>
    <s v="BD"/>
    <d v="1899-12-30T00:00:00"/>
    <d v="1899-12-30T11:45:00"/>
    <d v="1899-12-30T12:27:00"/>
    <n v="11.75"/>
    <n v="0.69999999999999885"/>
    <n v="12.45"/>
    <s v="Slipring cleaned and restored"/>
    <s v="Close"/>
    <n v="0.31125000000000003"/>
    <s v="G31"/>
    <n v="947.23749999999984"/>
    <s v="ROW- For crain movement and access road stopped by local leaders"/>
    <s v="WTG Force Majeaure"/>
    <n v="1826"/>
    <n v="947.23749999999984"/>
    <m/>
    <m/>
    <m/>
    <m/>
  </r>
  <r>
    <n v="1648"/>
    <x v="239"/>
    <x v="1"/>
    <x v="0"/>
    <x v="8"/>
    <x v="1"/>
    <x v="11"/>
    <s v="PWEGPL"/>
    <s v="MSEDCL"/>
    <n v="2.5000000000000001E-2"/>
    <n v="800"/>
    <x v="298"/>
    <s v="BD"/>
    <d v="1899-12-30T00:00:00"/>
    <d v="1899-12-30T11:54:00"/>
    <d v="1899-12-30T13:39:00"/>
    <n v="11.9"/>
    <n v="1.7499999999999991"/>
    <n v="13.649999999999999"/>
    <s v="Checked all blades pitchiong m,anually found ok but while running triggering the error so KR209 relay interchanged and restored"/>
    <s v="Close"/>
    <n v="0.34125"/>
    <s v="G31"/>
    <n v="1038.5374999999999"/>
    <s v="ROW- For crain movement and access road stopped by local leaders"/>
    <s v="WTG Force Majeaure"/>
    <n v="1826"/>
    <n v="1038.5374999999999"/>
    <m/>
    <m/>
    <m/>
    <m/>
  </r>
  <r>
    <n v="1649"/>
    <x v="239"/>
    <x v="1"/>
    <x v="0"/>
    <x v="8"/>
    <x v="1"/>
    <x v="7"/>
    <s v="PWEGPL"/>
    <s v="MSEDCL"/>
    <n v="2.5000000000000001E-2"/>
    <n v="205"/>
    <x v="312"/>
    <s v="BD"/>
    <d v="1899-12-30T00:00:00"/>
    <d v="1899-12-30T13:37:00"/>
    <d v="1899-12-30T14:14:00"/>
    <n v="13.616666666666667"/>
    <n v="0.61666666666666714"/>
    <n v="14.233333333333334"/>
    <s v="HU oil top up and restored"/>
    <s v="Close"/>
    <n v="0.35583333333333339"/>
    <s v="G39"/>
    <n v="830.87083333333339"/>
    <s v="ROW- For crain movement and access road stopped by local leaders"/>
    <s v="WTG Force Majeaure"/>
    <n v="1401"/>
    <n v="830.87083333333339"/>
    <m/>
    <m/>
    <m/>
    <m/>
  </r>
  <r>
    <n v="1650"/>
    <x v="239"/>
    <x v="1"/>
    <x v="0"/>
    <x v="8"/>
    <x v="1"/>
    <x v="23"/>
    <s v="PWEGPL"/>
    <s v="MSEDCL"/>
    <n v="2.5000000000000001E-2"/>
    <n v="2118"/>
    <x v="293"/>
    <s v="BD"/>
    <d v="1899-12-30T00:00:00"/>
    <d v="1899-12-30T10:53:00"/>
    <d v="1899-12-30T12:06:00"/>
    <n v="10.883333333333333"/>
    <n v="1.2166666666666663"/>
    <n v="12.1"/>
    <s v="slipring cleaned and restored"/>
    <s v="Close"/>
    <n v="0.30249999999999999"/>
    <s v="G01"/>
    <n v="1040.0958333333333"/>
    <s v="ROW- For crain movement and access road stopped by local leaders"/>
    <s v="WTG Force Majeaure"/>
    <n v="2063"/>
    <n v="1040.0958333333333"/>
    <m/>
    <m/>
    <m/>
    <m/>
  </r>
  <r>
    <n v="1651"/>
    <x v="239"/>
    <x v="1"/>
    <x v="0"/>
    <x v="8"/>
    <x v="1"/>
    <x v="25"/>
    <s v="PWEGPL"/>
    <s v="MSEDCL"/>
    <n v="2.5000000000000001E-2"/>
    <n v="5220"/>
    <x v="393"/>
    <s v="BD"/>
    <d v="1899-12-30T00:00:00"/>
    <d v="1899-12-30T12:29:00"/>
    <d v="1899-12-30T13:43:00"/>
    <n v="12.483333333333331"/>
    <n v="1.2333333333333343"/>
    <n v="13.716666666666665"/>
    <s v="Found encoder cable damged and then corrected and restored"/>
    <s v="Close"/>
    <n v="0.34291666666666665"/>
    <s v="G07"/>
    <n v="889.2972222222221"/>
    <s v="ROW- For crain movement and access road stopped by local leaders"/>
    <s v="WTG Force Majeaure"/>
    <n v="1556"/>
    <n v="889.2972222222221"/>
    <m/>
    <m/>
    <m/>
    <m/>
  </r>
  <r>
    <n v="1652"/>
    <x v="239"/>
    <x v="1"/>
    <x v="0"/>
    <x v="8"/>
    <x v="1"/>
    <x v="37"/>
    <s v="PWEGPL"/>
    <s v="MSEDCL"/>
    <n v="2.5000000000000001E-2"/>
    <n v="800"/>
    <x v="298"/>
    <s v="BD"/>
    <d v="1899-12-30T00:00:00"/>
    <d v="1899-12-30T14:36:00"/>
    <d v="1899-12-30T14:37:00"/>
    <n v="14.599999999999998"/>
    <n v="1.6666666666669272E-2"/>
    <n v="14.616666666666667"/>
    <s v="Reboot and restored"/>
    <s v="Close"/>
    <n v="0.36541666666666672"/>
    <s v="G17"/>
    <n v="1115.7388888888888"/>
    <s v="ROW- For crain movement and access road stopped by local leaders"/>
    <s v="WTG Force Majeaure"/>
    <n v="1832"/>
    <n v="1115.7388888888888"/>
    <m/>
    <m/>
    <m/>
    <m/>
  </r>
  <r>
    <n v="1653"/>
    <x v="239"/>
    <x v="1"/>
    <x v="0"/>
    <x v="8"/>
    <x v="1"/>
    <x v="37"/>
    <s v="PWEGPL"/>
    <s v="MSEDCL"/>
    <n v="2.5000000000000001E-2"/>
    <n v="800"/>
    <x v="298"/>
    <s v="BD"/>
    <d v="1899-12-30T17:03:00"/>
    <d v="1899-12-30T18:14:00"/>
    <d v="1899-12-30T19:29:00"/>
    <n v="1.1833333333333345"/>
    <n v="1.2499999999999982"/>
    <n v="2.4333333333333327"/>
    <s v="Troubleshooting done and found loose connection in propectional value trhen properly connected and restored "/>
    <s v="Close"/>
    <n v="6.0833333333333323E-2"/>
    <s v="G17"/>
    <n v="185.74444444444438"/>
    <s v="ROW- For crain movement and access road stopped by local leaders"/>
    <s v="WTG Force Majeaure"/>
    <n v="1832"/>
    <n v="185.74444444444438"/>
    <m/>
    <m/>
    <m/>
    <m/>
  </r>
  <r>
    <n v="1654"/>
    <x v="239"/>
    <x v="1"/>
    <x v="0"/>
    <x v="8"/>
    <x v="1"/>
    <x v="8"/>
    <s v="PWEGPL"/>
    <s v="MSEDCL"/>
    <n v="2.5000000000000001E-2"/>
    <n v="603"/>
    <x v="394"/>
    <s v="BD"/>
    <d v="1899-12-30T21:43:00"/>
    <d v="1899-12-30T23:59:00"/>
    <d v="1899-12-30T23:59:00"/>
    <n v="2.2666666666666693"/>
    <n v="0"/>
    <n v="2.2666666666666693"/>
    <s v="Work under progress"/>
    <s v="Open"/>
    <n v="5.6666666666666733E-2"/>
    <s v="G28"/>
    <n v="193.80000000000021"/>
    <s v="ROW- For crain movement and access road stopped by local leaders"/>
    <s v="WTG Force Majeaure"/>
    <n v="2052"/>
    <n v="193.80000000000021"/>
    <m/>
    <m/>
    <m/>
    <m/>
  </r>
  <r>
    <n v="1655"/>
    <x v="240"/>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270.4222222222224"/>
    <s v="Material shortage-Transformer mounting M20x40 bolt found broken 04 pc."/>
    <s v="WTG Breakdown Maintenance"/>
    <n v="2272"/>
    <n v="2270.4222222222224"/>
    <m/>
    <m/>
    <m/>
    <m/>
  </r>
  <r>
    <n v="1656"/>
    <x v="240"/>
    <x v="1"/>
    <x v="0"/>
    <x v="8"/>
    <x v="1"/>
    <x v="28"/>
    <s v="PWEGPL"/>
    <s v="MSEDCL"/>
    <n v="2.5000000000000001E-2"/>
    <n v="2509"/>
    <x v="201"/>
    <s v="BD"/>
    <d v="1899-12-30T00:00:00"/>
    <d v="1899-12-30T00:00:00"/>
    <d v="1899-12-30T23:59:00"/>
    <n v="0"/>
    <n v="23.983333333333334"/>
    <n v="23.983333333333334"/>
    <s v="SF6 btreaker issue work under progress"/>
    <s v="Open"/>
    <n v="0.59958333333333336"/>
    <s v="G11"/>
    <n v="1650.8527777777776"/>
    <s v="Material shortage-SF6 breaker"/>
    <s v="WTG Breakdown Maintenance"/>
    <n v="1652"/>
    <n v="1650.8527777777776"/>
    <m/>
    <m/>
    <m/>
    <m/>
  </r>
  <r>
    <n v="1657"/>
    <x v="240"/>
    <x v="1"/>
    <x v="0"/>
    <x v="8"/>
    <x v="1"/>
    <x v="2"/>
    <s v="PWEGPL"/>
    <s v="MSEDCL"/>
    <n v="2.5000000000000001E-2"/>
    <n v="5220"/>
    <x v="393"/>
    <s v="BD"/>
    <d v="1899-12-30T07:30:00"/>
    <d v="1899-12-30T11:08:00"/>
    <d v="1899-12-30T13:12:00"/>
    <n v="3.6333333333333324"/>
    <n v="2.066666666666666"/>
    <n v="5.6999999999999984"/>
    <s v="Fouse encoder cable connection loose then properly connected and restored"/>
    <s v="Close"/>
    <n v="0.14249999999999996"/>
    <s v="G32"/>
    <n v="132.04999999999998"/>
    <s v="ROW- For crain movement and access road stopped by local leaders"/>
    <s v="WTG Force Majeaure"/>
    <n v="556"/>
    <n v="132.04999999999998"/>
    <m/>
    <m/>
    <m/>
    <m/>
  </r>
  <r>
    <n v="1658"/>
    <x v="240"/>
    <x v="1"/>
    <x v="0"/>
    <x v="8"/>
    <x v="1"/>
    <x v="8"/>
    <s v="PWEGPL"/>
    <s v="MSEDCL"/>
    <n v="2.5000000000000001E-2"/>
    <n v="603"/>
    <x v="394"/>
    <s v="BD"/>
    <d v="1899-12-30T00:00:00"/>
    <d v="1899-12-30T00:35:00"/>
    <d v="1899-12-30T00:40:00"/>
    <n v="0.58333333333333337"/>
    <n v="8.3333333333333287E-2"/>
    <n v="0.66666666666666663"/>
    <s v="Reboot and restored"/>
    <s v="Close"/>
    <n v="1.6666666666666666E-2"/>
    <s v="G28"/>
    <n v="28.361111111111107"/>
    <s v="ROW- For crain movement and access road stopped by local leaders"/>
    <s v="WTG Force Majeaure"/>
    <n v="1021"/>
    <n v="28.361111111111107"/>
    <m/>
    <m/>
    <m/>
    <m/>
  </r>
  <r>
    <n v="1659"/>
    <x v="240"/>
    <x v="1"/>
    <x v="0"/>
    <x v="8"/>
    <x v="1"/>
    <x v="7"/>
    <s v="PWEGPL"/>
    <s v="MSEDCL"/>
    <n v="2.5000000000000001E-2"/>
    <n v="115"/>
    <x v="308"/>
    <s v="BD"/>
    <d v="1899-12-30T09:50:00"/>
    <d v="1899-12-30T13:18:00"/>
    <d v="1899-12-30T13:24:00"/>
    <n v="3.4666666666666663"/>
    <n v="9.9999999999999645E-2"/>
    <n v="3.566666666666666"/>
    <s v="Reboot and restored"/>
    <s v="Close"/>
    <n v="8.9166666666666658E-2"/>
    <s v="G39"/>
    <n v="122.90138888888887"/>
    <s v="ROW- For crain movement and access road stopped by local leaders"/>
    <s v="WTG Force Majeaure"/>
    <n v="827"/>
    <n v="122.90138888888887"/>
    <m/>
    <m/>
    <m/>
    <m/>
  </r>
  <r>
    <n v="1660"/>
    <x v="241"/>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087.2444444444445"/>
    <s v="Material shortage-Transformer mounting M20x40 bolt found broken 04 pc."/>
    <s v="WTG Breakdown Maintenance"/>
    <n v="1088"/>
    <n v="1087.2444444444445"/>
    <m/>
    <m/>
    <m/>
    <m/>
  </r>
  <r>
    <n v="1661"/>
    <x v="241"/>
    <x v="1"/>
    <x v="0"/>
    <x v="8"/>
    <x v="1"/>
    <x v="28"/>
    <s v="PWEGPL"/>
    <s v="MSEDCL"/>
    <n v="2.5000000000000001E-2"/>
    <n v="2509"/>
    <x v="201"/>
    <s v="BD"/>
    <d v="1899-12-30T00:00:00"/>
    <d v="1899-12-30T00:00:00"/>
    <d v="1899-12-30T23:59:00"/>
    <n v="0"/>
    <n v="23.983333333333334"/>
    <n v="23.983333333333334"/>
    <s v="SF6 btreaker issue work under progress"/>
    <s v="Open"/>
    <n v="0.59958333333333336"/>
    <s v="G11"/>
    <n v="410.71458333333334"/>
    <s v="Material shortage-SF6 breaker"/>
    <s v="WTG Breakdown Maintenance"/>
    <n v="411"/>
    <n v="410.71458333333334"/>
    <m/>
    <m/>
    <m/>
    <m/>
  </r>
  <r>
    <n v="1662"/>
    <x v="242"/>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106.23125"/>
    <s v="Material shortage-Transformer mounting M20x40 bolt found broken 04 pc."/>
    <s v="WTG Breakdown Maintenance"/>
    <n v="1107"/>
    <n v="1106.23125"/>
    <m/>
    <m/>
    <m/>
    <m/>
  </r>
  <r>
    <n v="1663"/>
    <x v="242"/>
    <x v="1"/>
    <x v="0"/>
    <x v="8"/>
    <x v="1"/>
    <x v="28"/>
    <s v="PWEGPL"/>
    <s v="MSEDCL"/>
    <n v="2.5000000000000001E-2"/>
    <n v="2509"/>
    <x v="201"/>
    <s v="BD"/>
    <d v="1899-12-30T00:00:00"/>
    <d v="1899-12-30T00:00:00"/>
    <d v="1899-12-30T23:59:00"/>
    <n v="0"/>
    <n v="23.983333333333334"/>
    <n v="23.983333333333334"/>
    <s v="SF6 btreaker issue work under progress"/>
    <s v="Open"/>
    <n v="0.59958333333333336"/>
    <s v="G11"/>
    <n v="1212.1576388888889"/>
    <s v="Material shortage-SF6 breaker"/>
    <s v="WTG Breakdown Maintenance"/>
    <n v="1213"/>
    <n v="1212.1576388888889"/>
    <m/>
    <m/>
    <m/>
    <m/>
  </r>
  <r>
    <n v="1664"/>
    <x v="242"/>
    <x v="1"/>
    <x v="0"/>
    <x v="8"/>
    <x v="1"/>
    <x v="31"/>
    <s v="PWEGPL"/>
    <s v="MSEDCL"/>
    <n v="2.5000000000000001E-2"/>
    <n v="800"/>
    <x v="298"/>
    <s v="BD"/>
    <d v="1899-12-30T11:16:00"/>
    <d v="1899-12-30T15:05:00"/>
    <d v="1899-12-30T15:11:00"/>
    <n v="3.8166666666666651"/>
    <n v="9.9999999999999645E-2"/>
    <n v="3.9166666666666647"/>
    <s v="Rebooted and restored"/>
    <s v="Close"/>
    <n v="9.7916666666666624E-2"/>
    <s v="G14"/>
    <n v="165.31597222222214"/>
    <s v="ROW- For crain movement and access road stopped by local leaders"/>
    <s v="WTG Force Majeaure"/>
    <n v="1013"/>
    <n v="165.31597222222214"/>
    <m/>
    <m/>
    <m/>
    <m/>
  </r>
  <r>
    <n v="1665"/>
    <x v="242"/>
    <x v="1"/>
    <x v="0"/>
    <x v="8"/>
    <x v="1"/>
    <x v="7"/>
    <s v="PWEGPL"/>
    <s v="MSEDCL"/>
    <n v="2.5000000000000001E-2"/>
    <n v="115"/>
    <x v="308"/>
    <s v="BD"/>
    <d v="1899-12-30T12:15:00"/>
    <d v="1899-12-30T19:45:00"/>
    <d v="1899-12-30T19:53:00"/>
    <n v="7.5"/>
    <n v="0.13333333333333286"/>
    <n v="7.6333333333333329"/>
    <s v="Rebooted and restored"/>
    <s v="Close"/>
    <n v="0.19083333333333333"/>
    <s v="G39"/>
    <n v="328.86944444444447"/>
    <s v="ROW- For crain movement and access road stopped by local leaders"/>
    <s v="WTG Force Majeaure"/>
    <n v="1034"/>
    <n v="328.86944444444447"/>
    <m/>
    <m/>
    <m/>
    <m/>
  </r>
  <r>
    <n v="1666"/>
    <x v="243"/>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3197.7777777777783"/>
    <s v="Material shortage-Transformer mounting M20x40 bolt found broken 04 pc."/>
    <s v="WTG Breakdown Maintenance"/>
    <n v="3200"/>
    <n v="3197.7777777777783"/>
    <m/>
    <m/>
    <m/>
    <m/>
  </r>
  <r>
    <n v="1667"/>
    <x v="243"/>
    <x v="1"/>
    <x v="0"/>
    <x v="8"/>
    <x v="1"/>
    <x v="28"/>
    <s v="PWEGPL"/>
    <s v="MSEDCL"/>
    <n v="2.5000000000000001E-2"/>
    <n v="2509"/>
    <x v="201"/>
    <s v="BD"/>
    <d v="1899-12-30T00:00:00"/>
    <d v="1899-12-30T00:00:00"/>
    <d v="1899-12-30T15:54:00"/>
    <n v="0"/>
    <n v="15.899999999999999"/>
    <n v="15.899999999999999"/>
    <s v="SF6 breaker gas leakage arrested and gas top up and then checked the operation found ok "/>
    <s v="Close"/>
    <n v="0.39749999999999996"/>
    <s v="G11"/>
    <n v="1419.7375"/>
    <s v="None"/>
    <s v="WTG Breakdown Maintenance"/>
    <n v="2143"/>
    <n v="1419.7375"/>
    <m/>
    <m/>
    <m/>
    <m/>
  </r>
  <r>
    <n v="1668"/>
    <x v="243"/>
    <x v="1"/>
    <x v="0"/>
    <x v="8"/>
    <x v="1"/>
    <x v="21"/>
    <s v="PWEGPL"/>
    <s v="MSEDCL"/>
    <n v="2.5000000000000001E-2"/>
    <n v="205"/>
    <x v="312"/>
    <s v="BD"/>
    <d v="1899-12-30T07:20:00"/>
    <d v="1899-12-30T10:58:00"/>
    <d v="1899-12-30T11:28:00"/>
    <n v="3.6333333333333337"/>
    <n v="0.50000000000000089"/>
    <n v="4.1333333333333346"/>
    <s v="Oil top up and restored the WTG"/>
    <s v="Close"/>
    <n v="0.10333333333333337"/>
    <s v="G01"/>
    <n v="362.52777777777789"/>
    <s v="None"/>
    <s v="WTG Breakdown Maintenance"/>
    <n v="2105"/>
    <n v="362.52777777777789"/>
    <m/>
    <m/>
    <m/>
    <m/>
  </r>
  <r>
    <n v="1669"/>
    <x v="243"/>
    <x v="1"/>
    <x v="0"/>
    <x v="8"/>
    <x v="1"/>
    <x v="10"/>
    <s v="PWEGPL"/>
    <s v="MSEDCL"/>
    <n v="2.5000000000000001E-2"/>
    <s v="CE100010"/>
    <x v="296"/>
    <s v="PM"/>
    <d v="1899-12-30T10:47:00"/>
    <d v="1899-12-30T10:47:00"/>
    <d v="1899-12-30T17:06:00"/>
    <n v="0"/>
    <n v="6.3166666666666664"/>
    <n v="6.3166666666666664"/>
    <s v="Yearly preventive maintenace completed Day 1"/>
    <s v="Close"/>
    <n v="0.15791666666666668"/>
    <s v="G30"/>
    <n v="563.49930555555545"/>
    <s v="None"/>
    <s v="WTG Scheduled Maintenance"/>
    <n v="2141"/>
    <n v="563.49930555555545"/>
    <m/>
    <m/>
    <m/>
    <m/>
  </r>
  <r>
    <n v="1670"/>
    <x v="243"/>
    <x v="1"/>
    <x v="0"/>
    <x v="8"/>
    <x v="1"/>
    <x v="37"/>
    <s v="PWEGPL"/>
    <s v="MSEDCL"/>
    <n v="2.5000000000000001E-2"/>
    <s v="CE100001"/>
    <x v="288"/>
    <s v="Manual stop"/>
    <d v="1899-12-30T10:14:00"/>
    <d v="1899-12-30T10:14:00"/>
    <d v="1899-12-30T18:03:00"/>
    <n v="0"/>
    <n v="7.8166666666666664"/>
    <n v="7.8166666666666664"/>
    <s v="Manually stopped due to oil spillage in land"/>
    <s v="Close"/>
    <n v="0.19541666666666668"/>
    <s v="G17"/>
    <n v="987.50555555555547"/>
    <s v="None"/>
    <s v="WTG Breakdown Maintenance"/>
    <n v="3032"/>
    <n v="987.50555555555547"/>
    <m/>
    <m/>
    <m/>
    <m/>
  </r>
  <r>
    <n v="1671"/>
    <x v="243"/>
    <x v="1"/>
    <x v="0"/>
    <x v="8"/>
    <x v="1"/>
    <x v="14"/>
    <s v="PWEGPL"/>
    <s v="MSEDCL"/>
    <n v="2.5000000000000001E-2"/>
    <n v="402"/>
    <x v="300"/>
    <s v="BD"/>
    <d v="1899-12-30T19:16:00"/>
    <d v="1899-12-30T21:58:00"/>
    <d v="1899-12-30T22:04:00"/>
    <n v="2.7000000000000011"/>
    <n v="9.9999999999999645E-2"/>
    <n v="2.8000000000000007"/>
    <s v="Reboot and restored"/>
    <s v="Close"/>
    <n v="7.0000000000000021E-2"/>
    <s v="G35"/>
    <n v="268.21666666666675"/>
    <s v="None"/>
    <s v="WTG Breakdown Maintenance"/>
    <n v="2299"/>
    <n v="268.21666666666675"/>
    <m/>
    <m/>
    <m/>
    <m/>
  </r>
  <r>
    <n v="1672"/>
    <x v="243"/>
    <x v="1"/>
    <x v="0"/>
    <x v="8"/>
    <x v="1"/>
    <x v="14"/>
    <s v="PWEGPL"/>
    <s v="MSEDCL"/>
    <n v="2.5000000000000001E-2"/>
    <n v="407"/>
    <x v="395"/>
    <s v="BD"/>
    <d v="1899-12-30T22:08:00"/>
    <d v="1899-12-30T22:08:00"/>
    <d v="1899-12-30T23:59:00"/>
    <n v="0"/>
    <n v="1.8500000000000014"/>
    <n v="1.8500000000000014"/>
    <s v="Manually stopped due to abnormal siound from nacelle then inspected and found coupling dampers briken"/>
    <s v="Open"/>
    <n v="4.6250000000000041E-2"/>
    <s v="G35"/>
    <n v="177.21458333333348"/>
    <s v="Materail shortage- coupling"/>
    <s v="WTG Unscheduled Maintenance"/>
    <n v="2299"/>
    <n v="177.21458333333348"/>
    <m/>
    <m/>
    <m/>
    <m/>
  </r>
  <r>
    <n v="1673"/>
    <x v="244"/>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8"/>
    <n v="996.30763888888885"/>
    <s v="Material shortage-Transformer mounting M20x40 bolt found broken 04 pc."/>
    <s v="WTG Breakdown Maintenance"/>
    <n v="997"/>
    <n v="996.30763888888885"/>
    <m/>
    <m/>
    <m/>
    <m/>
  </r>
  <r>
    <n v="1674"/>
    <x v="244"/>
    <x v="1"/>
    <x v="0"/>
    <x v="8"/>
    <x v="1"/>
    <x v="8"/>
    <s v="PWEGPL"/>
    <s v="MSEDCL"/>
    <n v="2.5000000000000001E-2"/>
    <n v="205"/>
    <x v="312"/>
    <s v="BD"/>
    <d v="1899-12-30T09:46:00"/>
    <d v="1899-12-30T11:39:00"/>
    <d v="1899-12-30T13:07:00"/>
    <n v="1.883333333333332"/>
    <n v="1.4666666666666681"/>
    <n v="3.35"/>
    <s v="Oil top up and restored the WTG"/>
    <s v="Close"/>
    <n v="8.3750000000000005E-2"/>
    <s v="G25"/>
    <n v="87.518749999999997"/>
    <s v="None"/>
    <s v="WTG Breakdown Maintenance"/>
    <n v="627"/>
    <n v="87.518749999999997"/>
    <m/>
    <m/>
    <m/>
    <m/>
  </r>
  <r>
    <n v="1675"/>
    <x v="244"/>
    <x v="1"/>
    <x v="0"/>
    <x v="8"/>
    <x v="1"/>
    <x v="31"/>
    <s v="PWEGPL"/>
    <s v="MSEDCL"/>
    <n v="2.5000000000000001E-2"/>
    <n v="800"/>
    <x v="298"/>
    <s v="BD"/>
    <d v="1899-12-30T09:50:00"/>
    <d v="1899-12-30T12:31:00"/>
    <d v="1899-12-30T12:43:00"/>
    <n v="2.6833333333333331"/>
    <n v="0.19999999999999929"/>
    <n v="2.8833333333333324"/>
    <s v="reboot and restored"/>
    <s v="Close"/>
    <n v="7.2083333333333319E-2"/>
    <s v="G14"/>
    <n v="104.04027777777775"/>
    <s v="None"/>
    <s v="WTG Breakdown Maintenance"/>
    <n v="866"/>
    <n v="104.04027777777775"/>
    <m/>
    <m/>
    <m/>
    <m/>
  </r>
  <r>
    <n v="1676"/>
    <x v="244"/>
    <x v="1"/>
    <x v="0"/>
    <x v="8"/>
    <x v="1"/>
    <x v="28"/>
    <s v="PWEGPL"/>
    <s v="MSEDCL"/>
    <n v="2.5000000000000001E-2"/>
    <n v="205"/>
    <x v="312"/>
    <s v="BD"/>
    <d v="1899-12-30T11:50:00"/>
    <d v="1899-12-30T13:11:00"/>
    <d v="1899-12-30T13:59:00"/>
    <n v="1.3500000000000005"/>
    <n v="0.79999999999999716"/>
    <n v="2.1499999999999977"/>
    <s v="Oil top up and restored the WTG"/>
    <s v="Close"/>
    <n v="5.3749999999999944E-2"/>
    <s v="G11"/>
    <n v="72.383333333333255"/>
    <s v="None"/>
    <s v="WTG Breakdown Maintenance"/>
    <n v="808"/>
    <n v="72.383333333333255"/>
    <m/>
    <m/>
    <m/>
    <m/>
  </r>
  <r>
    <n v="1677"/>
    <x v="244"/>
    <x v="1"/>
    <x v="0"/>
    <x v="8"/>
    <x v="1"/>
    <x v="18"/>
    <s v="PWEGPL"/>
    <s v="MSEDCL"/>
    <n v="2.5000000000000001E-2"/>
    <n v="116"/>
    <x v="361"/>
    <s v="BD"/>
    <d v="1899-12-30T12:27:00"/>
    <d v="1899-12-30T15:07:00"/>
    <d v="1899-12-30T16:36:00"/>
    <n v="2.6666666666666679"/>
    <n v="1.4833333333333361"/>
    <n v="4.1500000000000039"/>
    <s v="Pos110 value setting done and restored"/>
    <s v="Close"/>
    <n v="0.10375000000000011"/>
    <s v="G18"/>
    <n v="172.39791666666682"/>
    <s v="None"/>
    <s v="WTG Breakdown Maintenance"/>
    <n v="997"/>
    <n v="172.39791666666682"/>
    <m/>
    <m/>
    <m/>
    <m/>
  </r>
  <r>
    <n v="1678"/>
    <x v="244"/>
    <x v="1"/>
    <x v="0"/>
    <x v="8"/>
    <x v="1"/>
    <x v="11"/>
    <s v="PWEGPL"/>
    <s v="MSEDCL"/>
    <n v="2.5000000000000001E-2"/>
    <s v="CE100010"/>
    <x v="296"/>
    <s v="PM"/>
    <d v="1899-12-30T10:24:00"/>
    <d v="1899-12-30T10:24:00"/>
    <d v="1899-12-30T17:51:00"/>
    <n v="0"/>
    <n v="7.45"/>
    <n v="7.45"/>
    <s v="Yearly preventive maintenace completed Day 1"/>
    <s v="Close"/>
    <n v="0.18625000000000003"/>
    <s v="G29"/>
    <n v="180.04166666666669"/>
    <s v="None"/>
    <s v="WTG Scheduled Maintenance"/>
    <n v="580"/>
    <n v="180.04166666666669"/>
    <m/>
    <m/>
    <m/>
    <m/>
  </r>
  <r>
    <n v="1679"/>
    <x v="244"/>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706.50902777777776"/>
    <s v="Materail shortage- coupling"/>
    <s v="WTG Unscheduled Maintenance"/>
    <n v="707"/>
    <n v="706.50902777777776"/>
    <m/>
    <m/>
    <m/>
    <m/>
  </r>
  <r>
    <n v="1680"/>
    <x v="245"/>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407.0222222222221"/>
    <s v="Material shortage-Transformer mounting M20x40 bolt found broken 04 pc."/>
    <s v="WTG Breakdown Maintenance"/>
    <n v="1408"/>
    <n v="1407.0222222222221"/>
    <m/>
    <m/>
    <m/>
    <m/>
  </r>
  <r>
    <n v="1681"/>
    <x v="245"/>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1297.0986111111113"/>
    <s v="Materail shortage- coupling"/>
    <s v="WTG Unscheduled Maintenance"/>
    <n v="1298"/>
    <n v="1297.0986111111113"/>
    <m/>
    <m/>
    <m/>
    <m/>
  </r>
  <r>
    <n v="1682"/>
    <x v="245"/>
    <x v="1"/>
    <x v="0"/>
    <x v="8"/>
    <x v="1"/>
    <x v="1"/>
    <s v="PWEGPL"/>
    <s v="MSEDCL"/>
    <n v="2.5000000000000001E-2"/>
    <s v="CE100002"/>
    <x v="381"/>
    <s v="Manual stop/TCA"/>
    <d v="1899-12-30T11:46:00"/>
    <d v="1899-12-30T11:46:00"/>
    <d v="1899-12-30T23:59:00"/>
    <n v="0"/>
    <n v="12.216666666666665"/>
    <n v="12.216666666666665"/>
    <s v="Blade repair work"/>
    <s v="Close"/>
    <n v="0.30541666666666667"/>
    <s v="G22"/>
    <n v="570.11111111111097"/>
    <s v="None"/>
    <s v="WTG Unscheduled Maintenance"/>
    <n v="1120"/>
    <n v="570.11111111111097"/>
    <m/>
    <m/>
    <m/>
    <m/>
  </r>
  <r>
    <n v="1683"/>
    <x v="245"/>
    <x v="1"/>
    <x v="0"/>
    <x v="8"/>
    <x v="1"/>
    <x v="12"/>
    <s v="PWEGPL"/>
    <s v="MSEDCL"/>
    <n v="2.5000000000000001E-2"/>
    <s v="CE100010"/>
    <x v="296"/>
    <s v="PM"/>
    <d v="1899-12-30T10:16:00"/>
    <d v="1899-12-30T10:16:00"/>
    <d v="1899-12-30T17:58:00"/>
    <n v="0"/>
    <n v="7.6999999999999966"/>
    <n v="7.6999999999999966"/>
    <s v="Yearly preventive maintenace completed Day 1"/>
    <s v="Close"/>
    <n v="0.19249999999999992"/>
    <s v="G30"/>
    <n v="389.81249999999983"/>
    <s v="None"/>
    <s v="WTG Scheduled Maintenance"/>
    <n v="1215"/>
    <n v="389.81249999999983"/>
    <m/>
    <m/>
    <m/>
    <m/>
  </r>
  <r>
    <n v="1684"/>
    <x v="245"/>
    <x v="1"/>
    <x v="0"/>
    <x v="8"/>
    <x v="1"/>
    <x v="0"/>
    <s v="PWEGPL"/>
    <s v="MSEDCL"/>
    <n v="2.5000000000000001E-2"/>
    <n v="5200"/>
    <x v="396"/>
    <s v="BD"/>
    <d v="1899-12-30T12:46:00"/>
    <d v="1899-12-30T14:47:00"/>
    <d v="1899-12-30T17:20:00"/>
    <n v="2.0166666666666675"/>
    <n v="2.5499999999999989"/>
    <n v="4.5666666666666664"/>
    <s v="FG003 MCB replaced and restored"/>
    <s v="Close"/>
    <n v="0.11416666666666667"/>
    <s v="G16"/>
    <n v="314.14861111111111"/>
    <s v="None"/>
    <s v="WTG Breakdown Maintenance"/>
    <n v="1651"/>
    <n v="314.14861111111111"/>
    <m/>
    <m/>
    <m/>
    <m/>
  </r>
  <r>
    <n v="1685"/>
    <x v="246"/>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986.9243055555557"/>
    <s v="Material shortage-Transformer mounting M20x40 bolt found broken 04 pc."/>
    <s v="WTG Breakdown Maintenance"/>
    <n v="2989"/>
    <n v="2986.9243055555557"/>
    <m/>
    <m/>
    <m/>
    <m/>
  </r>
  <r>
    <n v="1686"/>
    <x v="246"/>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1737.7923611111112"/>
    <s v="Materail shortage- coupling"/>
    <s v="WTG Unscheduled Maintenance"/>
    <n v="1739"/>
    <n v="1737.7923611111112"/>
    <m/>
    <m/>
    <m/>
    <m/>
  </r>
  <r>
    <n v="1687"/>
    <x v="246"/>
    <x v="1"/>
    <x v="0"/>
    <x v="8"/>
    <x v="1"/>
    <x v="1"/>
    <s v="PWEGPL"/>
    <s v="MSEDCL"/>
    <n v="2.5000000000000001E-2"/>
    <s v="CE100002"/>
    <x v="381"/>
    <s v="Manual stop/TCA"/>
    <d v="1899-12-30T00:00:00"/>
    <d v="1899-12-30T00:00:00"/>
    <d v="1899-12-30T23:59:00"/>
    <n v="0"/>
    <n v="23.983333333333334"/>
    <n v="23.983333333333334"/>
    <s v="Blade repair work"/>
    <s v="Open"/>
    <n v="0.59958333333333336"/>
    <s v="G22"/>
    <n v="2293.40625"/>
    <s v="None"/>
    <s v="WTG Unscheduled Maintenance"/>
    <n v="2295"/>
    <n v="2293.40625"/>
    <m/>
    <m/>
    <m/>
    <m/>
  </r>
  <r>
    <n v="1688"/>
    <x v="246"/>
    <x v="1"/>
    <x v="0"/>
    <x v="8"/>
    <x v="1"/>
    <x v="37"/>
    <s v="PWEGPL"/>
    <s v="MSEDCL"/>
    <n v="2.5000000000000001E-2"/>
    <n v="433"/>
    <x v="387"/>
    <s v="BD"/>
    <d v="1899-12-30T12:22:00"/>
    <d v="1899-12-30T12:22:00"/>
    <d v="1899-12-30T14:01:00"/>
    <n v="0"/>
    <n v="1.6499999999999995"/>
    <n v="1.6499999999999995"/>
    <s v="Gearbox oil leakakes arrested and nhose replaced"/>
    <s v="Close"/>
    <n v="4.1249999999999988E-2"/>
    <s v="G17"/>
    <n v="160.87499999999994"/>
    <s v="None"/>
    <s v="WTG Scheduled Maintenance"/>
    <n v="2340"/>
    <n v="160.87499999999994"/>
    <m/>
    <m/>
    <m/>
    <m/>
  </r>
  <r>
    <n v="1689"/>
    <x v="246"/>
    <x v="1"/>
    <x v="0"/>
    <x v="8"/>
    <x v="1"/>
    <x v="35"/>
    <s v="PWEGPL"/>
    <s v="MSEDCL"/>
    <n v="2.5000000000000001E-2"/>
    <n v="5222"/>
    <x v="315"/>
    <s v="BD"/>
    <d v="1899-12-30T23:20:00"/>
    <d v="1899-12-30T23:59:00"/>
    <d v="1899-12-30T23:59:00"/>
    <n v="0.65000000000000036"/>
    <n v="0"/>
    <n v="0.65000000000000036"/>
    <s v="Work under progress"/>
    <s v="Open"/>
    <n v="1.6250000000000011E-2"/>
    <s v="G32"/>
    <n v="39.704166666666687"/>
    <s v="None"/>
    <s v="WTG Breakdown Maintenance"/>
    <n v="1466"/>
    <n v="39.704166666666687"/>
    <m/>
    <m/>
    <m/>
    <m/>
  </r>
  <r>
    <n v="1690"/>
    <x v="247"/>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4329.042361111113"/>
    <s v="Material shortage-Transformer mounting M20x40 bolt found broken 04 pc."/>
    <s v="WTG Breakdown Maintenance"/>
    <n v="14339"/>
    <n v="14329.042361111113"/>
    <m/>
    <m/>
    <m/>
    <m/>
  </r>
  <r>
    <n v="1691"/>
    <x v="247"/>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8740.9256944444442"/>
    <s v="Materail shortage- coupling"/>
    <s v="WTG Unscheduled Maintenance"/>
    <n v="8747"/>
    <n v="8740.9256944444442"/>
    <m/>
    <m/>
    <m/>
    <m/>
  </r>
  <r>
    <n v="1692"/>
    <x v="247"/>
    <x v="1"/>
    <x v="0"/>
    <x v="8"/>
    <x v="1"/>
    <x v="1"/>
    <s v="PWEGPL"/>
    <s v="MSEDCL"/>
    <n v="2.5000000000000001E-2"/>
    <s v="CE100002"/>
    <x v="381"/>
    <s v="Manual stop/TCA"/>
    <d v="1899-12-30T00:00:00"/>
    <d v="1899-12-30T00:00:00"/>
    <d v="1899-12-30T23:59:00"/>
    <n v="0"/>
    <n v="23.983333333333334"/>
    <n v="23.983333333333334"/>
    <s v="Blade repair work"/>
    <s v="Open"/>
    <n v="0.59958333333333336"/>
    <s v="G22"/>
    <n v="12510.30625"/>
    <s v="None"/>
    <s v="WTG Unscheduled Maintenance"/>
    <n v="12519"/>
    <n v="12510.30625"/>
    <m/>
    <m/>
    <m/>
    <m/>
  </r>
  <r>
    <n v="1693"/>
    <x v="247"/>
    <x v="1"/>
    <x v="0"/>
    <x v="8"/>
    <x v="1"/>
    <x v="25"/>
    <s v="PWEGPL"/>
    <s v="MSEDCL"/>
    <n v="2.5000000000000001E-2"/>
    <n v="5222"/>
    <x v="315"/>
    <s v="BD"/>
    <d v="1899-12-30T14:43:00"/>
    <d v="1899-12-30T15:56:00"/>
    <d v="1899-12-30T16:37:00"/>
    <n v="1.216666666666665"/>
    <n v="0.68333333333333357"/>
    <n v="1.8999999999999986"/>
    <s v="Checked all cable connection of encoder and restored"/>
    <s v="Close"/>
    <n v="4.7499999999999966E-2"/>
    <s v="G07"/>
    <n v="986.57499999999925"/>
    <s v="None"/>
    <s v="WTG Breakdown Maintenance"/>
    <n v="12462"/>
    <n v="986.57499999999925"/>
    <m/>
    <m/>
    <m/>
    <m/>
  </r>
  <r>
    <n v="1694"/>
    <x v="247"/>
    <x v="1"/>
    <x v="0"/>
    <x v="8"/>
    <x v="1"/>
    <x v="2"/>
    <s v="PWEGPL"/>
    <s v="MSEDCL"/>
    <n v="2.5000000000000001E-2"/>
    <n v="5220"/>
    <x v="393"/>
    <s v="BD"/>
    <d v="1899-12-30T00:00:00"/>
    <d v="1899-12-30T00:03:00"/>
    <d v="1899-12-30T04:03:00"/>
    <n v="0.05"/>
    <n v="4"/>
    <n v="4.05"/>
    <s v="Checked all cable connection of encoder and restored"/>
    <s v="Close"/>
    <n v="0.10125000000000001"/>
    <s v="G36"/>
    <n v="1576.4624999999999"/>
    <s v="None"/>
    <s v="WTG Breakdown Maintenance"/>
    <n v="9342"/>
    <n v="1576.4624999999999"/>
    <m/>
    <m/>
    <m/>
    <m/>
  </r>
  <r>
    <n v="1695"/>
    <x v="247"/>
    <x v="1"/>
    <x v="0"/>
    <x v="8"/>
    <x v="1"/>
    <x v="4"/>
    <s v="PWEGPL"/>
    <s v="MSEDCL"/>
    <n v="2.5000000000000001E-2"/>
    <n v="5221"/>
    <x v="391"/>
    <s v="BD"/>
    <d v="1899-12-30T21:30:00"/>
    <d v="1899-12-30T23:00:00"/>
    <d v="1899-12-30T23:08:00"/>
    <n v="1.5"/>
    <n v="0.13333333333333286"/>
    <n v="1.6333333333333329"/>
    <s v="Reboot and restored"/>
    <s v="Close"/>
    <n v="4.0833333333333326E-2"/>
    <s v="G32"/>
    <n v="480.13194444444429"/>
    <s v="None"/>
    <s v="WTG Breakdown Maintenance"/>
    <n v="7055"/>
    <n v="480.13194444444429"/>
    <m/>
    <m/>
    <m/>
    <m/>
  </r>
  <r>
    <n v="1696"/>
    <x v="247"/>
    <x v="1"/>
    <x v="0"/>
    <x v="8"/>
    <x v="1"/>
    <x v="23"/>
    <s v="PWEGPL"/>
    <s v="MSEDCL"/>
    <n v="2.5000000000000001E-2"/>
    <n v="2118"/>
    <x v="293"/>
    <s v="BD"/>
    <d v="1899-12-30T08:34:00"/>
    <d v="1899-12-30T10:58:00"/>
    <d v="1899-12-30T12:10:00"/>
    <n v="2.3999999999999995"/>
    <n v="1.1999999999999997"/>
    <n v="3.5999999999999992"/>
    <s v="Cleaned slipring unit and restored"/>
    <s v="Close"/>
    <n v="8.9999999999999983E-2"/>
    <s v="G03"/>
    <n v="1660.4999999999995"/>
    <s v="None"/>
    <s v="WTG Breakdown Maintenance"/>
    <n v="11070"/>
    <n v="1660.4999999999995"/>
    <m/>
    <m/>
    <m/>
    <m/>
  </r>
  <r>
    <n v="1697"/>
    <x v="248"/>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8191.3076388888894"/>
    <s v="Material shortage-Transformer mounting M20x40 bolt found broken 04 pc."/>
    <s v="WTG Breakdown Maintenance"/>
    <n v="8197"/>
    <n v="8191.3076388888894"/>
    <m/>
    <m/>
    <m/>
    <m/>
  </r>
  <r>
    <n v="1698"/>
    <x v="248"/>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5021.510416666667"/>
    <s v="Materail shortage- coupling"/>
    <s v="WTG Unscheduled Maintenance"/>
    <n v="5025"/>
    <n v="5021.510416666667"/>
    <m/>
    <m/>
    <m/>
    <m/>
  </r>
  <r>
    <n v="1699"/>
    <x v="248"/>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284.6326388888892"/>
    <s v="None"/>
    <s v="WTG Unscheduled Maintenance"/>
    <n v="6289"/>
    <n v="6284.6326388888892"/>
    <m/>
    <m/>
    <m/>
    <m/>
  </r>
  <r>
    <n v="1700"/>
    <x v="248"/>
    <x v="1"/>
    <x v="0"/>
    <x v="8"/>
    <x v="1"/>
    <x v="26"/>
    <s v="PWEGPL"/>
    <s v="MSEDCL"/>
    <n v="2.5000000000000001E-2"/>
    <n v="203"/>
    <x v="290"/>
    <s v="BD"/>
    <d v="1899-12-30T10:53:00"/>
    <d v="1899-12-30T11:34:00"/>
    <d v="1899-12-30T11:35:00"/>
    <n v="0.68333333333333357"/>
    <n v="1.6666666666666607E-2"/>
    <n v="0.70000000000000018"/>
    <s v="Rebooted and restored"/>
    <s v="Close"/>
    <n v="1.7500000000000005E-2"/>
    <s v="G01"/>
    <n v="161.08750000000003"/>
    <s v="None"/>
    <s v="WTG Breakdown Maintenance"/>
    <n v="5523"/>
    <n v="161.08750000000003"/>
    <m/>
    <m/>
    <m/>
    <m/>
  </r>
  <r>
    <n v="1701"/>
    <x v="248"/>
    <x v="1"/>
    <x v="0"/>
    <x v="8"/>
    <x v="1"/>
    <x v="36"/>
    <s v="PWEGPL"/>
    <s v="MSEDCL"/>
    <n v="2.5000000000000001E-2"/>
    <n v="2107"/>
    <x v="386"/>
    <s v="BD"/>
    <d v="1899-12-30T13:22:00"/>
    <d v="1899-12-30T14:18:00"/>
    <d v="1899-12-30T15:14:00"/>
    <n v="0.93333333333333268"/>
    <n v="0.93333333333333268"/>
    <n v="1.8666666666666654"/>
    <s v="Slipring cleaned and restored"/>
    <s v="Close"/>
    <n v="4.6666666666666634E-2"/>
    <s v="G24"/>
    <n v="371.62222222222198"/>
    <s v="None"/>
    <s v="WTG Breakdown Maintenance"/>
    <n v="4778"/>
    <n v="371.62222222222198"/>
    <m/>
    <m/>
    <m/>
    <m/>
  </r>
  <r>
    <n v="1702"/>
    <x v="248"/>
    <x v="1"/>
    <x v="0"/>
    <x v="8"/>
    <x v="1"/>
    <x v="25"/>
    <s v="PWEGPL"/>
    <s v="MSEDCL"/>
    <n v="2.5000000000000001E-2"/>
    <n v="5221"/>
    <x v="391"/>
    <s v="BD"/>
    <d v="1899-12-30T00:29:00"/>
    <d v="1899-12-30T01:32:00"/>
    <d v="1899-12-30T03:39:00"/>
    <n v="1.0499999999999998"/>
    <n v="2.1166666666666663"/>
    <n v="3.1666666666666661"/>
    <s v="Checked all cable connection of encoder and restored"/>
    <s v="Close"/>
    <n v="7.9166666666666663E-2"/>
    <s v="G03"/>
    <n v="729.3888888888888"/>
    <s v="None"/>
    <s v="WTG Breakdown Maintenance"/>
    <n v="5528"/>
    <n v="729.3888888888888"/>
    <m/>
    <m/>
    <m/>
    <m/>
  </r>
  <r>
    <n v="1703"/>
    <x v="248"/>
    <x v="1"/>
    <x v="0"/>
    <x v="8"/>
    <x v="1"/>
    <x v="4"/>
    <s v="PWEGPL"/>
    <s v="MSEDCL"/>
    <n v="2.5000000000000001E-2"/>
    <n v="5220"/>
    <x v="393"/>
    <s v="BD"/>
    <d v="1899-12-30T00:16:00"/>
    <d v="1899-12-30T01:10:00"/>
    <d v="1899-12-30T01:37:00"/>
    <n v="0.89999999999999991"/>
    <n v="0.4499999999999999"/>
    <n v="1.3499999999999999"/>
    <s v="Checked all cable connection in CCU of encoder and restored"/>
    <s v="Close"/>
    <n v="3.3749999999999995E-2"/>
    <s v="G36"/>
    <n v="339.86249999999995"/>
    <s v="None"/>
    <s v="WTG Breakdown Maintenance"/>
    <n v="6042"/>
    <n v="339.86249999999995"/>
    <m/>
    <m/>
    <m/>
    <m/>
  </r>
  <r>
    <n v="1704"/>
    <x v="249"/>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4162.1076388888887"/>
    <s v="Material shortage-Transformer mounting M20x40 bolt found broken 04 pc."/>
    <s v="WTG Breakdown Maintenance"/>
    <n v="4165"/>
    <n v="4162.1076388888887"/>
    <m/>
    <m/>
    <m/>
    <m/>
  </r>
  <r>
    <n v="1705"/>
    <x v="249"/>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360.3597222222224"/>
    <s v="Materail shortage- coupling"/>
    <s v="WTG Unscheduled Maintenance"/>
    <n v="2362"/>
    <n v="2360.3597222222224"/>
    <m/>
    <m/>
    <m/>
    <m/>
  </r>
  <r>
    <n v="1706"/>
    <x v="249"/>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564.2180555555556"/>
    <s v="None"/>
    <s v="WTG Unscheduled Maintenance"/>
    <n v="2566"/>
    <n v="2564.2180555555556"/>
    <m/>
    <m/>
    <m/>
    <m/>
  </r>
  <r>
    <n v="1707"/>
    <x v="249"/>
    <x v="1"/>
    <x v="0"/>
    <x v="8"/>
    <x v="1"/>
    <x v="25"/>
    <s v="PWEGPL"/>
    <s v="MSEDCL"/>
    <n v="2.5000000000000001E-2"/>
    <n v="5221"/>
    <x v="391"/>
    <s v="BD"/>
    <d v="1899-12-30T12:16:00"/>
    <d v="1899-12-30T12:16:00"/>
    <d v="1899-12-30T18:43:00"/>
    <n v="0"/>
    <n v="6.4499999999999957"/>
    <n v="6.4499999999999957"/>
    <s v="Checked encoder cable and shielding and found shielding not proper then corrected and restored"/>
    <s v="Close"/>
    <n v="0.16124999999999989"/>
    <s v="G07"/>
    <n v="906.4937499999993"/>
    <s v="None"/>
    <s v="WTG Breakdown Maintenance"/>
    <n v="3373"/>
    <n v="906.4937499999993"/>
    <m/>
    <m/>
    <m/>
    <m/>
  </r>
  <r>
    <n v="1708"/>
    <x v="249"/>
    <x v="1"/>
    <x v="0"/>
    <x v="8"/>
    <x v="1"/>
    <x v="7"/>
    <s v="PWEGPL"/>
    <s v="MSEDCL"/>
    <n v="2.5000000000000001E-2"/>
    <n v="205"/>
    <x v="312"/>
    <s v="BD"/>
    <d v="1899-12-30T07:10:00"/>
    <d v="1899-12-30T11:25:00"/>
    <d v="1899-12-30T11:50:00"/>
    <n v="4.25"/>
    <n v="0.41666666666666785"/>
    <n v="4.6666666666666679"/>
    <s v="oil top and restored"/>
    <s v="Close"/>
    <n v="0.1166666666666667"/>
    <s v="G39"/>
    <n v="380.33333333333343"/>
    <s v="None"/>
    <s v="WTG Breakdown Maintenance"/>
    <n v="1956"/>
    <n v="380.33333333333343"/>
    <m/>
    <m/>
    <m/>
    <m/>
  </r>
  <r>
    <n v="1709"/>
    <x v="249"/>
    <x v="1"/>
    <x v="0"/>
    <x v="8"/>
    <x v="1"/>
    <x v="27"/>
    <s v="PWEGPL"/>
    <s v="MSEDCL"/>
    <n v="2.5000000000000001E-2"/>
    <n v="800"/>
    <x v="298"/>
    <s v="BD"/>
    <d v="1899-12-30T08:39:00"/>
    <d v="1899-12-30T10:29:00"/>
    <d v="1899-12-30T16:03:00"/>
    <n v="1.8333333333333321"/>
    <n v="5.56666666666667"/>
    <n v="7.4000000000000021"/>
    <s v="Profectional value replaced and restored"/>
    <s v="Close"/>
    <n v="0.18500000000000005"/>
    <s v="G12"/>
    <n v="1016.8833333333336"/>
    <s v="None"/>
    <s v="WTG Breakdown Maintenance"/>
    <n v="3298"/>
    <n v="1016.8833333333336"/>
    <m/>
    <m/>
    <m/>
    <m/>
  </r>
  <r>
    <n v="1710"/>
    <x v="249"/>
    <x v="1"/>
    <x v="0"/>
    <x v="8"/>
    <x v="1"/>
    <x v="21"/>
    <s v="PWEGPL"/>
    <s v="MSEDCL"/>
    <n v="2.5000000000000001E-2"/>
    <n v="205"/>
    <x v="312"/>
    <s v="BD"/>
    <d v="1899-12-30T08:56:00"/>
    <d v="1899-12-30T12:26:00"/>
    <d v="1899-12-30T12:47:00"/>
    <n v="3.5000000000000009"/>
    <n v="0.34999999999999876"/>
    <n v="3.8499999999999996"/>
    <s v="Oil top up and restored the WTG"/>
    <s v="Close"/>
    <n v="9.6250000000000002E-2"/>
    <s v="G01"/>
    <n v="483.01458333333329"/>
    <s v="None"/>
    <s v="WTG Breakdown Maintenance"/>
    <n v="3011"/>
    <n v="483.01458333333329"/>
    <m/>
    <m/>
    <m/>
    <m/>
  </r>
  <r>
    <n v="1711"/>
    <x v="250"/>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3255.7375000000002"/>
    <s v="Material shortage-Transformer mounting M20x40 bolt found broken 04 pc."/>
    <s v="WTG Breakdown Maintenance"/>
    <n v="3258"/>
    <n v="3255.7375000000002"/>
    <m/>
    <m/>
    <m/>
    <m/>
  </r>
  <r>
    <n v="1712"/>
    <x v="250"/>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283.4131944444443"/>
    <s v="Materail shortage- coupling"/>
    <s v="WTG Unscheduled Maintenance"/>
    <n v="2285"/>
    <n v="2283.4131944444443"/>
    <m/>
    <m/>
    <m/>
    <m/>
  </r>
  <r>
    <n v="1713"/>
    <x v="250"/>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560.2208333333333"/>
    <s v="None"/>
    <s v="WTG Unscheduled Maintenance"/>
    <n v="2562"/>
    <n v="2560.2208333333333"/>
    <m/>
    <m/>
    <m/>
    <m/>
  </r>
  <r>
    <n v="1714"/>
    <x v="250"/>
    <x v="1"/>
    <x v="0"/>
    <x v="8"/>
    <x v="1"/>
    <x v="26"/>
    <s v="PWEGPL"/>
    <s v="MSEDCL"/>
    <n v="2.5000000000000001E-2"/>
    <n v="203"/>
    <x v="290"/>
    <s v="BD"/>
    <d v="1899-12-30T17:36:00"/>
    <d v="1899-12-30T18:34:00"/>
    <d v="1899-12-30T18:45:00"/>
    <n v="0.9666666666666659"/>
    <n v="0.18333333333333268"/>
    <n v="1.1499999999999986"/>
    <s v="Rebooted and restored"/>
    <s v="Close"/>
    <n v="2.8749999999999967E-2"/>
    <s v="G01"/>
    <n v="123.38541666666652"/>
    <s v="None"/>
    <s v="WTG Breakdown Maintenance"/>
    <n v="2575"/>
    <n v="123.38541666666652"/>
    <m/>
    <m/>
    <m/>
    <m/>
  </r>
  <r>
    <n v="1715"/>
    <x v="251"/>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6369.5736111111109"/>
    <s v="Material shortage-Transformer mounting M20x40 bolt found broken 04 pc."/>
    <s v="WTG Breakdown Maintenance"/>
    <n v="6374"/>
    <n v="6369.5736111111109"/>
    <m/>
    <m/>
    <m/>
    <m/>
  </r>
  <r>
    <n v="1716"/>
    <x v="251"/>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258.4305555555557"/>
    <s v="Materail shortage- coupling"/>
    <s v="WTG Unscheduled Maintenance"/>
    <n v="2260"/>
    <n v="2258.4305555555557"/>
    <m/>
    <m/>
    <m/>
    <m/>
  </r>
  <r>
    <n v="1717"/>
    <x v="251"/>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118.8326388888886"/>
    <s v="None"/>
    <s v="WTG Unscheduled Maintenance"/>
    <n v="3121"/>
    <n v="3118.8326388888886"/>
    <m/>
    <m/>
    <m/>
    <m/>
  </r>
  <r>
    <n v="1718"/>
    <x v="251"/>
    <x v="1"/>
    <x v="0"/>
    <x v="8"/>
    <x v="1"/>
    <x v="34"/>
    <s v="PWEGPL"/>
    <s v="MSEDCL"/>
    <n v="2.5000000000000001E-2"/>
    <n v="205"/>
    <x v="312"/>
    <s v="BD"/>
    <d v="1899-12-30T20:51:00"/>
    <d v="1899-12-30T22:10:00"/>
    <d v="1899-12-30T23:59:00"/>
    <n v="1.3166666666666673"/>
    <n v="1.8166666666666655"/>
    <n v="3.1333333333333329"/>
    <s v="Work under progress"/>
    <s v="Open"/>
    <n v="7.8333333333333324E-2"/>
    <s v="G21"/>
    <n v="407.46388888888879"/>
    <s v="None"/>
    <s v="WTG Breakdown Maintenance"/>
    <n v="3121"/>
    <n v="407.46388888888879"/>
    <m/>
    <m/>
    <m/>
    <m/>
  </r>
  <r>
    <n v="1719"/>
    <x v="252"/>
    <x v="1"/>
    <x v="0"/>
    <x v="8"/>
    <x v="1"/>
    <x v="19"/>
    <s v="PWEGPL"/>
    <s v="MSEDCL"/>
    <n v="2.5000000000000001E-2"/>
    <s v="CE100003"/>
    <x v="380"/>
    <s v="Manual stop/TCA"/>
    <d v="1899-12-30T00:00:00"/>
    <d v="1899-12-30T00:00:00"/>
    <d v="1899-12-30T10:23:00"/>
    <n v="0"/>
    <n v="10.383333333333333"/>
    <n v="10.383333333333333"/>
    <s v="Transformer mounting bold replaced and restored"/>
    <s v="Close"/>
    <n v="0.25958333333333333"/>
    <s v="G19"/>
    <n v="3513.8930555555557"/>
    <s v="Material shortage-Transformer mounting M20x40 bolt found broken 04 pc."/>
    <s v="WTG Breakdown Maintenance"/>
    <n v="8122"/>
    <n v="3513.8930555555557"/>
    <m/>
    <m/>
    <m/>
    <m/>
  </r>
  <r>
    <n v="1720"/>
    <x v="252"/>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4859.6229166666672"/>
    <s v="Materail shortage- coupling"/>
    <s v="WTG Unscheduled Maintenance"/>
    <n v="4863"/>
    <n v="4859.6229166666672"/>
    <m/>
    <m/>
    <m/>
    <m/>
  </r>
  <r>
    <n v="1721"/>
    <x v="252"/>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5906.8951388888891"/>
    <s v="None"/>
    <s v="WTG Unscheduled Maintenance"/>
    <n v="5911"/>
    <n v="5906.8951388888891"/>
    <m/>
    <m/>
    <m/>
    <m/>
  </r>
  <r>
    <n v="1722"/>
    <x v="252"/>
    <x v="1"/>
    <x v="0"/>
    <x v="8"/>
    <x v="1"/>
    <x v="34"/>
    <s v="PWEGPL"/>
    <s v="MSEDCL"/>
    <n v="2.5000000000000001E-2"/>
    <n v="205"/>
    <x v="312"/>
    <s v="BD"/>
    <d v="1899-12-30T00:00:00"/>
    <d v="1899-12-30T00:00:00"/>
    <d v="1899-12-30T04:16:00"/>
    <n v="0"/>
    <n v="4.2666666666666666"/>
    <n v="4.2666666666666666"/>
    <s v="Oil leakages from profectional value mounting then propen tighten and restored"/>
    <s v="Close"/>
    <n v="0.10666666666666667"/>
    <s v="G21"/>
    <n v="1050.8444444444444"/>
    <s v="None"/>
    <s v="WTG Breakdown Maintenance"/>
    <n v="5911"/>
    <n v="1050.8444444444444"/>
    <m/>
    <m/>
    <m/>
    <m/>
  </r>
  <r>
    <n v="1723"/>
    <x v="252"/>
    <x v="1"/>
    <x v="0"/>
    <x v="8"/>
    <x v="1"/>
    <x v="24"/>
    <s v="PWEGPL"/>
    <s v="MSEDCL"/>
    <n v="2.5000000000000001E-2"/>
    <n v="205"/>
    <x v="312"/>
    <s v="BD"/>
    <d v="1899-12-30T06:08:00"/>
    <d v="1899-12-30T07:47:00"/>
    <d v="1899-12-30T10:02:00"/>
    <n v="1.6499999999999995"/>
    <n v="2.25"/>
    <n v="3.8999999999999995"/>
    <s v="Oil top up and restored the WTG"/>
    <s v="Close"/>
    <n v="9.7499999999999989E-2"/>
    <s v="G21"/>
    <n v="960.5374999999998"/>
    <s v="None"/>
    <s v="WTG Breakdown Maintenance"/>
    <n v="5911"/>
    <n v="960.5374999999998"/>
    <m/>
    <m/>
    <m/>
    <m/>
  </r>
  <r>
    <n v="1724"/>
    <x v="252"/>
    <x v="1"/>
    <x v="0"/>
    <x v="8"/>
    <x v="1"/>
    <x v="19"/>
    <s v="PWEGPL"/>
    <s v="MSEDCL"/>
    <n v="2.5000000000000001E-2"/>
    <n v="118"/>
    <x v="313"/>
    <s v="BD"/>
    <d v="1899-12-30T12:28:00"/>
    <d v="1899-12-30T12:48:00"/>
    <d v="1899-12-30T16:40:00"/>
    <n v="0.33333333333333215"/>
    <n v="3.8666666666666689"/>
    <n v="4.2000000000000011"/>
    <s v="Cable twist limit switch replaced and restored"/>
    <s v="Close"/>
    <n v="0.10500000000000004"/>
    <s v="G19"/>
    <n v="1421.3500000000004"/>
    <s v="None"/>
    <s v="WTG Breakdown Maintenance"/>
    <n v="8122"/>
    <n v="1421.3500000000004"/>
    <m/>
    <m/>
    <m/>
    <m/>
  </r>
  <r>
    <n v="1725"/>
    <x v="253"/>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714.1138888888891"/>
    <s v="Materail shortage- coupling"/>
    <s v="WTG Unscheduled Maintenance"/>
    <n v="2716"/>
    <n v="2714.1138888888891"/>
    <m/>
    <m/>
    <m/>
    <m/>
  </r>
  <r>
    <n v="1726"/>
    <x v="253"/>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357.666666666667"/>
    <s v="None"/>
    <s v="WTG Unscheduled Maintenance"/>
    <n v="3360"/>
    <n v="3357.666666666667"/>
    <m/>
    <m/>
    <m/>
    <m/>
  </r>
  <r>
    <n v="1727"/>
    <x v="253"/>
    <x v="1"/>
    <x v="0"/>
    <x v="8"/>
    <x v="1"/>
    <x v="13"/>
    <s v="PWEGPL"/>
    <s v="MSEDCL"/>
    <n v="2.5000000000000001E-2"/>
    <s v="CE100010"/>
    <x v="296"/>
    <s v="PM"/>
    <d v="1899-12-30T11:26:00"/>
    <d v="1899-12-30T11:26:00"/>
    <d v="1899-12-30T18:08:00"/>
    <n v="0"/>
    <n v="6.6999999999999993"/>
    <n v="6.6999999999999993"/>
    <s v="Yearly preventive maintenace completed Day 1"/>
    <s v="Close"/>
    <n v="0.16749999999999998"/>
    <s v="G32"/>
    <n v="574.80416666666667"/>
    <s v="None"/>
    <s v="WTG Scheduled Maintenance"/>
    <n v="2059"/>
    <n v="574.80416666666667"/>
    <m/>
    <m/>
    <m/>
    <m/>
  </r>
  <r>
    <n v="1728"/>
    <x v="253"/>
    <x v="1"/>
    <x v="0"/>
    <x v="8"/>
    <x v="1"/>
    <x v="36"/>
    <s v="PWEGPL"/>
    <s v="MSEDCL"/>
    <n v="2.5000000000000001E-2"/>
    <n v="700"/>
    <x v="329"/>
    <s v="BD"/>
    <d v="1899-12-30T11:55:00"/>
    <d v="1899-12-30T12:27:00"/>
    <d v="1899-12-30T13:38:00"/>
    <n v="0.53333333333333277"/>
    <n v="1.1833333333333345"/>
    <n v="1.7166666666666672"/>
    <s v="Slipring cleaned and restored"/>
    <s v="Close"/>
    <n v="4.2916666666666686E-2"/>
    <s v="G24"/>
    <n v="236.97152777777785"/>
    <s v="None"/>
    <s v="WTG Breakdown Maintenance"/>
    <n v="3313"/>
    <n v="236.97152777777785"/>
    <m/>
    <m/>
    <m/>
    <m/>
  </r>
  <r>
    <n v="1729"/>
    <x v="253"/>
    <x v="1"/>
    <x v="0"/>
    <x v="8"/>
    <x v="1"/>
    <x v="19"/>
    <s v="PWEGPL"/>
    <s v="MSEDCL"/>
    <n v="2.5000000000000001E-2"/>
    <n v="577"/>
    <x v="379"/>
    <s v="BD"/>
    <d v="1899-12-30T12:51:00"/>
    <d v="1899-12-30T15:09:00"/>
    <d v="1899-12-30T15:44:00"/>
    <n v="2.2999999999999998"/>
    <n v="0.58333333333333393"/>
    <n v="2.8833333333333337"/>
    <s v="Checked  all slipring cooling fan and all found running then reset and rerstored"/>
    <s v="Close"/>
    <n v="7.2083333333333346E-2"/>
    <s v="G19"/>
    <n v="536.30000000000007"/>
    <s v="None"/>
    <s v="WTG Breakdown Maintenance"/>
    <n v="4464"/>
    <n v="536.30000000000007"/>
    <m/>
    <m/>
    <m/>
    <m/>
  </r>
  <r>
    <n v="1730"/>
    <x v="254"/>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4819.6506944444445"/>
    <s v="Materail shortage- Lambda power supply"/>
    <s v="WTG Unscheduled Maintenance"/>
    <n v="4823"/>
    <n v="4819.6506944444445"/>
    <m/>
    <m/>
    <m/>
    <m/>
  </r>
  <r>
    <n v="1731"/>
    <x v="254"/>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5284.3277777777785"/>
    <s v="None"/>
    <s v="WTG Unscheduled Maintenance"/>
    <n v="5288"/>
    <n v="5284.3277777777785"/>
    <m/>
    <m/>
    <m/>
    <m/>
  </r>
  <r>
    <n v="1732"/>
    <x v="254"/>
    <x v="1"/>
    <x v="0"/>
    <x v="8"/>
    <x v="1"/>
    <x v="26"/>
    <s v="PWEGPL"/>
    <s v="MSEDCL"/>
    <n v="2.5000000000000001E-2"/>
    <n v="213"/>
    <x v="397"/>
    <s v="BD"/>
    <d v="1899-12-30T16:33:00"/>
    <d v="1899-12-30T17:51:00"/>
    <d v="1899-12-30T23:59:00"/>
    <n v="1.3000000000000007"/>
    <n v="6.1333333333333329"/>
    <n v="7.4333333333333336"/>
    <s v="Hydraulic motor failure replacement under processing"/>
    <s v="Close"/>
    <n v="0.18583333333333335"/>
    <s v="G01"/>
    <n v="1411.4041666666667"/>
    <s v="None"/>
    <s v="WTG Breakdown Maintenance"/>
    <n v="4557"/>
    <n v="1411.4041666666667"/>
    <m/>
    <m/>
    <m/>
    <m/>
  </r>
  <r>
    <n v="1733"/>
    <x v="254"/>
    <x v="1"/>
    <x v="0"/>
    <x v="8"/>
    <x v="1"/>
    <x v="4"/>
    <s v="PWEGPL"/>
    <s v="MSEDCL"/>
    <n v="2.5000000000000001E-2"/>
    <n v="800"/>
    <x v="298"/>
    <s v="BD"/>
    <d v="1899-12-30T19:29:00"/>
    <d v="1899-12-30T23:59:00"/>
    <d v="1899-12-30T23:59:00"/>
    <n v="4.5"/>
    <n v="0"/>
    <n v="4.5"/>
    <s v="Work under progress"/>
    <s v="Close"/>
    <n v="0.1125"/>
    <s v="G38"/>
    <n v="744.1875"/>
    <s v="None"/>
    <s v="WTG Breakdown Maintenance"/>
    <n v="3969"/>
    <n v="744.1875"/>
    <m/>
    <m/>
    <m/>
    <m/>
  </r>
  <r>
    <n v="1734"/>
    <x v="255"/>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4034.1965277777781"/>
    <s v="Materail shortage- Lambda power supply"/>
    <s v="WTG Unscheduled Maintenance"/>
    <n v="4037"/>
    <n v="4034.1965277777781"/>
    <m/>
    <m/>
    <m/>
    <m/>
  </r>
  <r>
    <n v="1735"/>
    <x v="255"/>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089.7680555555553"/>
    <s v="None"/>
    <s v="WTG Unscheduled Maintenance"/>
    <n v="6094"/>
    <n v="6089.7680555555553"/>
    <m/>
    <m/>
    <m/>
    <m/>
  </r>
  <r>
    <n v="1736"/>
    <x v="255"/>
    <x v="1"/>
    <x v="0"/>
    <x v="8"/>
    <x v="1"/>
    <x v="26"/>
    <s v="PWEGPL"/>
    <s v="MSEDCL"/>
    <n v="2.5000000000000001E-2"/>
    <n v="213"/>
    <x v="397"/>
    <s v="BD"/>
    <d v="1899-12-30T00:00:00"/>
    <d v="1899-12-30T00:00:00"/>
    <d v="1899-12-30T12:55:00"/>
    <n v="0"/>
    <n v="12.916666666666666"/>
    <n v="12.916666666666666"/>
    <s v="Hydraulic motor Contactor changed"/>
    <s v="Close"/>
    <n v="0.32291666666666669"/>
    <s v="G01"/>
    <n v="2946.614583333333"/>
    <s v="None"/>
    <s v="WTG Breakdown Maintenance"/>
    <n v="5475"/>
    <n v="2946.614583333333"/>
    <m/>
    <m/>
    <m/>
    <m/>
  </r>
  <r>
    <n v="1737"/>
    <x v="255"/>
    <x v="1"/>
    <x v="0"/>
    <x v="8"/>
    <x v="1"/>
    <x v="4"/>
    <s v="PWEGPL"/>
    <s v="MSEDCL"/>
    <n v="2.5000000000000001E-2"/>
    <n v="800"/>
    <x v="298"/>
    <s v="BD"/>
    <d v="1899-12-30T00:00:00"/>
    <d v="1899-12-30T00:00:00"/>
    <d v="1899-12-30T14:03:00"/>
    <n v="0"/>
    <n v="14.05"/>
    <n v="14.05"/>
    <s v="Relay failured replaced with new one and restored"/>
    <s v="Close"/>
    <n v="0.35125000000000006"/>
    <s v="G38"/>
    <n v="2145.5520833333335"/>
    <s v="None"/>
    <s v="WTG Breakdown Maintenance"/>
    <n v="3665"/>
    <n v="2145.5520833333335"/>
    <m/>
    <m/>
    <m/>
    <m/>
  </r>
  <r>
    <n v="1738"/>
    <x v="255"/>
    <x v="1"/>
    <x v="0"/>
    <x v="8"/>
    <x v="1"/>
    <x v="21"/>
    <s v="PWEGPL"/>
    <s v="MSEDCL"/>
    <n v="2.5000000000000001E-2"/>
    <n v="5203"/>
    <x v="294"/>
    <s v="BD"/>
    <d v="1899-12-30T00:00:00"/>
    <d v="1899-12-30T00:00:00"/>
    <d v="1899-12-30T21:38:00"/>
    <n v="0"/>
    <n v="21.633333333333333"/>
    <n v="21.633333333333333"/>
    <s v="Converter coolant cooling rediator motor replaced and restored"/>
    <s v="Close"/>
    <n v="0.54083333333333339"/>
    <s v="G01"/>
    <n v="4935.104166666667"/>
    <s v="None"/>
    <s v="WTG Breakdown Maintenance"/>
    <n v="5475"/>
    <n v="4935.104166666667"/>
    <m/>
    <m/>
    <m/>
    <m/>
  </r>
  <r>
    <n v="1739"/>
    <x v="256"/>
    <x v="1"/>
    <x v="0"/>
    <x v="8"/>
    <x v="1"/>
    <x v="14"/>
    <s v="PWEGPL"/>
    <s v="MSEDCL"/>
    <n v="2.5000000000000001E-2"/>
    <n v="430"/>
    <x v="398"/>
    <s v="BD"/>
    <d v="1899-12-30T00:00:00"/>
    <d v="1899-12-30T00:00:00"/>
    <d v="1899-12-30T23:59:00"/>
    <n v="0"/>
    <n v="23.983333333333334"/>
    <n v="23.983333333333334"/>
    <s v="Manually stopped due to abnormal siound from nacelle then inspected and found coupling dampers briken"/>
    <s v="Open"/>
    <n v="0.59958333333333336"/>
    <s v="G35"/>
    <n v="7508.781944444444"/>
    <s v="Materail shortage- Lambda power supply"/>
    <s v="WTG Unscheduled Maintenance"/>
    <n v="7514"/>
    <n v="7508.781944444444"/>
    <m/>
    <m/>
    <m/>
    <m/>
  </r>
  <r>
    <n v="1740"/>
    <x v="256"/>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1519.994444444445"/>
    <s v="None"/>
    <s v="WTG Unscheduled Maintenance"/>
    <n v="11528"/>
    <n v="11519.994444444445"/>
    <m/>
    <m/>
    <m/>
    <m/>
  </r>
  <r>
    <n v="1741"/>
    <x v="256"/>
    <x v="1"/>
    <x v="0"/>
    <x v="8"/>
    <x v="1"/>
    <x v="23"/>
    <s v="PWEGPL"/>
    <s v="MSEDCL"/>
    <n v="2.5000000000000001E-2"/>
    <n v="2509"/>
    <x v="201"/>
    <s v="BD"/>
    <d v="1899-12-30T11:32:00"/>
    <d v="1899-12-30T12:15:00"/>
    <d v="1899-12-30T23:59:00"/>
    <n v="0.71666666666666545"/>
    <n v="11.733333333333334"/>
    <n v="12.450000000000001"/>
    <s v="T plug connector failure replacememnt under progress"/>
    <s v="Open"/>
    <n v="0.31125000000000003"/>
    <s v="G03"/>
    <n v="5823.4875000000002"/>
    <s v="Materail shortage- T plug connector"/>
    <s v="WTG Breakdown Maintenance"/>
    <n v="11226"/>
    <n v="5823.4875000000002"/>
    <m/>
    <m/>
    <m/>
    <m/>
  </r>
  <r>
    <n v="1742"/>
    <x v="257"/>
    <x v="1"/>
    <x v="0"/>
    <x v="8"/>
    <x v="1"/>
    <x v="14"/>
    <s v="PWEGPL"/>
    <s v="MSEDCL"/>
    <n v="2.5000000000000001E-2"/>
    <n v="429"/>
    <x v="316"/>
    <s v="BD"/>
    <d v="1899-12-30T00:00:00"/>
    <d v="1899-12-30T00:00:00"/>
    <d v="1899-12-30T23:59:00"/>
    <n v="0"/>
    <n v="23.983333333333334"/>
    <n v="23.983333333333334"/>
    <s v="Manually stopped due to abnormal siound from nacelle then inspected and found coupling dampers briken"/>
    <s v="Open"/>
    <n v="0.59958333333333336"/>
    <s v="G35"/>
    <n v="9765.2138888888894"/>
    <s v="Materail shortage- Lambda power supply"/>
    <s v="WTG Unscheduled Maintenance"/>
    <n v="9772"/>
    <n v="9765.2138888888894"/>
    <m/>
    <m/>
    <m/>
    <m/>
  </r>
  <r>
    <n v="1743"/>
    <x v="257"/>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3414.677777777779"/>
    <s v="None"/>
    <s v="WTG Unscheduled Maintenance"/>
    <n v="13424"/>
    <n v="13414.677777777779"/>
    <m/>
    <m/>
    <m/>
    <m/>
  </r>
  <r>
    <n v="1744"/>
    <x v="257"/>
    <x v="1"/>
    <x v="0"/>
    <x v="8"/>
    <x v="1"/>
    <x v="23"/>
    <s v="PWEGPL"/>
    <s v="MSEDCL"/>
    <n v="2.5000000000000001E-2"/>
    <n v="2509"/>
    <x v="201"/>
    <s v="BD"/>
    <d v="1899-12-30T00:00:00"/>
    <d v="1899-12-30T00:00:00"/>
    <d v="1899-12-30T23:59:00"/>
    <n v="0"/>
    <n v="23.983333333333334"/>
    <n v="23.983333333333334"/>
    <s v="T plug connector failure replacememnt under progress"/>
    <s v="Open"/>
    <n v="0.59958333333333336"/>
    <s v="G03"/>
    <n v="12441.354166666668"/>
    <s v="Materail shortage- T plug connector"/>
    <s v="WTG Breakdown Maintenance"/>
    <n v="12450"/>
    <n v="12441.354166666668"/>
    <m/>
    <m/>
    <m/>
    <m/>
  </r>
  <r>
    <n v="1745"/>
    <x v="257"/>
    <x v="1"/>
    <x v="0"/>
    <x v="8"/>
    <x v="1"/>
    <x v="36"/>
    <s v="PWEGPL"/>
    <s v="MSEDCL"/>
    <n v="2.5000000000000001E-2"/>
    <s v="CE100010"/>
    <x v="296"/>
    <s v="PM"/>
    <d v="1899-12-30T09:15:00"/>
    <d v="1899-12-30T09:15:00"/>
    <d v="1899-12-30T18:04:00"/>
    <n v="0"/>
    <n v="8.8166666666666664"/>
    <n v="8.8166666666666664"/>
    <s v="yearly preventive maintenace completed Day 2"/>
    <s v="Close"/>
    <n v="0.22041666666666668"/>
    <s v="G24"/>
    <n v="4215.1013888888883"/>
    <s v="None"/>
    <s v="WTG Scheduled Maintenance"/>
    <n v="11474"/>
    <n v="4215.1013888888883"/>
    <m/>
    <m/>
    <m/>
    <m/>
  </r>
  <r>
    <n v="1746"/>
    <x v="257"/>
    <x v="1"/>
    <x v="0"/>
    <x v="8"/>
    <x v="1"/>
    <x v="12"/>
    <s v="PWEGPL"/>
    <s v="MSEDCL"/>
    <n v="2.5000000000000001E-2"/>
    <s v="CE100014"/>
    <x v="305"/>
    <s v="Manual stop/TCA"/>
    <d v="1899-12-30T11:25:00"/>
    <d v="1899-12-30T11:25:00"/>
    <d v="1899-12-30T23:59:00"/>
    <n v="0"/>
    <n v="12.566666666666666"/>
    <n v="12.566666666666666"/>
    <s v="TCA pending points closed and restoration under progress"/>
    <s v="Open"/>
    <n v="0.31416666666666671"/>
    <s v="G30"/>
    <n v="4030.7583333333332"/>
    <s v="None"/>
    <s v="WTG Scheduled Maintenance"/>
    <n v="7698"/>
    <n v="4030.7583333333332"/>
    <m/>
    <m/>
    <m/>
    <m/>
  </r>
  <r>
    <n v="1747"/>
    <x v="258"/>
    <x v="1"/>
    <x v="0"/>
    <x v="9"/>
    <x v="1"/>
    <x v="14"/>
    <s v="PWEGPL"/>
    <s v="MSEDCL"/>
    <n v="2.5000000000000001E-2"/>
    <n v="433"/>
    <x v="387"/>
    <s v="BD"/>
    <d v="1899-12-30T00:00:00"/>
    <d v="1899-12-30T00:00:00"/>
    <d v="1899-12-30T23:59:00"/>
    <n v="0"/>
    <n v="23.983333333333334"/>
    <n v="23.983333333333334"/>
    <s v="Generator and gearbox alignment work under progress"/>
    <s v="Open"/>
    <n v="0.59958333333333336"/>
    <s v="G35"/>
    <n v="3150.8104166666667"/>
    <s v="Alignment work under progress"/>
    <s v="WTG Unscheduled Maintenance"/>
    <n v="3153"/>
    <n v="3150.8104166666667"/>
    <m/>
    <m/>
    <m/>
    <m/>
  </r>
  <r>
    <n v="1748"/>
    <x v="258"/>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733.4055555555556"/>
    <s v="None"/>
    <s v="WTG Unscheduled Maintenance"/>
    <n v="3736"/>
    <n v="3733.4055555555556"/>
    <m/>
    <m/>
    <m/>
    <m/>
  </r>
  <r>
    <n v="1749"/>
    <x v="258"/>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3579.5125000000003"/>
    <s v="Materail shortage- T plug connector"/>
    <s v="WTG Breakdown Maintenance"/>
    <n v="3582"/>
    <n v="3579.5125000000003"/>
    <m/>
    <m/>
    <m/>
    <m/>
  </r>
  <r>
    <n v="1750"/>
    <x v="258"/>
    <x v="1"/>
    <x v="0"/>
    <x v="9"/>
    <x v="1"/>
    <x v="12"/>
    <s v="PWEGPL"/>
    <s v="MSEDCL"/>
    <n v="2.5000000000000001E-2"/>
    <s v="CE100014"/>
    <x v="305"/>
    <s v="Manual stop/TCA"/>
    <d v="1899-12-30T00:00:00"/>
    <d v="1899-12-30T00:00:00"/>
    <d v="1899-12-30T23:59:00"/>
    <n v="0"/>
    <n v="23.983333333333334"/>
    <n v="23.983333333333334"/>
    <s v="TCA pending points closed and restoration under progress"/>
    <s v="Open"/>
    <n v="0.59958333333333336"/>
    <s v="G30"/>
    <n v="2287.4104166666666"/>
    <s v="None"/>
    <s v="WTG Unscheduled Maintenance"/>
    <n v="2289"/>
    <n v="2287.4104166666666"/>
    <m/>
    <m/>
    <m/>
    <m/>
  </r>
  <r>
    <n v="1751"/>
    <x v="258"/>
    <x v="1"/>
    <x v="0"/>
    <x v="9"/>
    <x v="1"/>
    <x v="16"/>
    <s v="PWEGPL"/>
    <s v="MSEDCL"/>
    <n v="2.5000000000000001E-2"/>
    <n v="5203"/>
    <x v="294"/>
    <s v="BD"/>
    <d v="1899-12-30T03:10:00"/>
    <d v="1899-12-30T04:23:00"/>
    <d v="1899-12-30T09:23:00"/>
    <n v="1.216666666666667"/>
    <n v="5"/>
    <n v="6.2166666666666659"/>
    <s v="Converter coolant cooling rediator motor replaced and restored"/>
    <s v="Close"/>
    <n v="0.15541666666666665"/>
    <s v="G37"/>
    <n v="662.59305555555545"/>
    <s v="None"/>
    <s v="WTG Breakdown Maintenance"/>
    <n v="2558"/>
    <n v="662.59305555555545"/>
    <m/>
    <m/>
    <m/>
    <m/>
  </r>
  <r>
    <n v="1752"/>
    <x v="259"/>
    <x v="1"/>
    <x v="0"/>
    <x v="9"/>
    <x v="1"/>
    <x v="14"/>
    <s v="PWEGPL"/>
    <s v="MSEDCL"/>
    <n v="2.5000000000000001E-2"/>
    <n v="433"/>
    <x v="387"/>
    <s v="BD"/>
    <d v="1899-12-30T00:00:00"/>
    <d v="1899-12-30T00:00:00"/>
    <d v="1899-12-30T23:59:00"/>
    <n v="0"/>
    <n v="23.983333333333334"/>
    <n v="23.983333333333334"/>
    <s v="Generator and gearbox alignment work under progress"/>
    <s v="Open"/>
    <n v="0.59958333333333336"/>
    <s v="G35"/>
    <n v="3425.619444444445"/>
    <s v="Alignment work under progress"/>
    <s v="WTG Breakdown Maintenance"/>
    <n v="3428"/>
    <n v="3425.619444444445"/>
    <m/>
    <m/>
    <m/>
    <m/>
  </r>
  <r>
    <n v="1753"/>
    <x v="259"/>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903.2875000000004"/>
    <s v="None"/>
    <s v="WTG Unscheduled Maintenance"/>
    <n v="3906"/>
    <n v="3903.2875000000004"/>
    <m/>
    <m/>
    <m/>
    <m/>
  </r>
  <r>
    <n v="1754"/>
    <x v="259"/>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4912.5861111111117"/>
    <s v="Materail shortage- T plug connector"/>
    <s v="WTG Breakdown Maintenance"/>
    <n v="4916"/>
    <n v="4912.5861111111117"/>
    <m/>
    <m/>
    <m/>
    <m/>
  </r>
  <r>
    <n v="1755"/>
    <x v="259"/>
    <x v="1"/>
    <x v="0"/>
    <x v="9"/>
    <x v="1"/>
    <x v="12"/>
    <s v="PWEGPL"/>
    <s v="MSEDCL"/>
    <n v="2.5000000000000001E-2"/>
    <s v="CE100014"/>
    <x v="305"/>
    <s v="Manual stop/TCA"/>
    <d v="1899-12-30T00:00:00"/>
    <d v="1899-12-30T00:00:00"/>
    <d v="1899-12-30T23:59:00"/>
    <n v="0"/>
    <n v="23.983333333333334"/>
    <n v="23.983333333333334"/>
    <s v="TCA pending points closed and restoration under progress"/>
    <s v="Open"/>
    <n v="0.59958333333333336"/>
    <s v="G30"/>
    <n v="2345.370138888889"/>
    <s v="None"/>
    <s v="WTG Unscheduled Maintenance"/>
    <n v="2347"/>
    <n v="2345.370138888889"/>
    <m/>
    <m/>
    <m/>
    <m/>
  </r>
  <r>
    <n v="1756"/>
    <x v="259"/>
    <x v="1"/>
    <x v="0"/>
    <x v="9"/>
    <x v="1"/>
    <x v="0"/>
    <s v="PWEGPL"/>
    <s v="MSEDCL"/>
    <n v="2.5000000000000001E-2"/>
    <n v="430"/>
    <x v="398"/>
    <s v="BD"/>
    <d v="1899-12-30T14:08:00"/>
    <d v="1899-12-30T14:08:00"/>
    <d v="1899-12-30T16:08:00"/>
    <n v="0"/>
    <n v="1.9999999999999982"/>
    <n v="1.9999999999999982"/>
    <s v="Abnormal sound observed during pitching then checked and found profectional value failure and then replaced and restored"/>
    <s v="Close"/>
    <n v="4.9999999999999961E-2"/>
    <s v="G18"/>
    <n v="343.58333333333303"/>
    <s v="None"/>
    <s v="WTG Breakdown Maintenance"/>
    <n v="4123"/>
    <n v="343.58333333333303"/>
    <m/>
    <m/>
    <m/>
    <m/>
  </r>
  <r>
    <n v="1757"/>
    <x v="259"/>
    <x v="1"/>
    <x v="0"/>
    <x v="9"/>
    <x v="1"/>
    <x v="39"/>
    <s v="PWEGPL"/>
    <s v="MSEDCL"/>
    <n v="2.5000000000000001E-2"/>
    <n v="205"/>
    <x v="312"/>
    <s v="BD"/>
    <d v="1899-12-30T13:04:00"/>
    <d v="1899-12-30T14:08:00"/>
    <d v="1899-12-30T14:34:00"/>
    <n v="1.0666666666666682"/>
    <n v="0.43333333333333179"/>
    <n v="1.5"/>
    <s v="Oil top up and restored the WTG"/>
    <s v="Close"/>
    <n v="3.7500000000000006E-2"/>
    <s v="G16"/>
    <n v="294.75"/>
    <s v="None"/>
    <s v="WTG Breakdown Maintenance"/>
    <n v="4716"/>
    <n v="294.75"/>
    <m/>
    <m/>
    <m/>
    <m/>
  </r>
  <r>
    <n v="1758"/>
    <x v="260"/>
    <x v="1"/>
    <x v="0"/>
    <x v="9"/>
    <x v="1"/>
    <x v="14"/>
    <s v="PWEGPL"/>
    <s v="MSEDCL"/>
    <n v="2.5000000000000001E-2"/>
    <s v="CE100010"/>
    <x v="296"/>
    <s v="BD"/>
    <d v="1899-12-30T00:00:00"/>
    <d v="1899-12-30T00:00:00"/>
    <d v="1899-12-30T20:59:00"/>
    <n v="0"/>
    <n v="20.983333333333334"/>
    <n v="20.983333333333334"/>
    <s v="Alignment done and restored"/>
    <s v="Open"/>
    <n v="0.5245833333333334"/>
    <s v="G35"/>
    <n v="710.8104166666667"/>
    <s v="Alignment work under progress"/>
    <s v="WTG Breakdown Maintenance"/>
    <n v="813"/>
    <n v="710.8104166666667"/>
    <m/>
    <m/>
    <m/>
    <m/>
  </r>
  <r>
    <n v="1759"/>
    <x v="260"/>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977.32083333333333"/>
    <s v="None"/>
    <s v="WTG Unscheduled Maintenance"/>
    <n v="978"/>
    <n v="977.32083333333333"/>
    <m/>
    <m/>
    <m/>
    <m/>
  </r>
  <r>
    <n v="1760"/>
    <x v="260"/>
    <x v="1"/>
    <x v="0"/>
    <x v="9"/>
    <x v="1"/>
    <x v="23"/>
    <s v="PWEGPL"/>
    <s v="MSEDCL"/>
    <n v="2.5000000000000001E-2"/>
    <n v="203"/>
    <x v="290"/>
    <s v="BD"/>
    <d v="1899-12-30T12:02:00"/>
    <d v="1899-12-30T14:39:00"/>
    <d v="1899-12-30T23:59:00"/>
    <n v="2.616666666666668"/>
    <n v="9.3333333333333321"/>
    <n v="11.95"/>
    <s v="HU main Accumulator failure replacement under processing"/>
    <s v="Open"/>
    <n v="0.29875000000000002"/>
    <s v="G03"/>
    <n v="361.48749999999995"/>
    <s v="None"/>
    <s v="WTG Breakdown Maintenance"/>
    <n v="726"/>
    <n v="361.48749999999995"/>
    <m/>
    <m/>
    <m/>
    <m/>
  </r>
  <r>
    <n v="1761"/>
    <x v="260"/>
    <x v="1"/>
    <x v="0"/>
    <x v="9"/>
    <x v="1"/>
    <x v="12"/>
    <s v="PWEGPL"/>
    <s v="MSEDCL"/>
    <n v="2.5000000000000001E-2"/>
    <n v="700"/>
    <x v="329"/>
    <s v="Manual stop/TCA"/>
    <d v="1899-12-30T00:00:00"/>
    <d v="1899-12-30T00:00:00"/>
    <d v="1899-12-30T23:59:00"/>
    <n v="0"/>
    <n v="23.983333333333334"/>
    <n v="23.983333333333334"/>
    <s v="Optical cable damaged"/>
    <s v="Open"/>
    <n v="0.59958333333333336"/>
    <s v="G30"/>
    <n v="998.30625000000009"/>
    <s v="None"/>
    <s v="WTG Unscheduled Maintenance"/>
    <n v="999"/>
    <n v="998.30625000000009"/>
    <m/>
    <m/>
    <m/>
    <m/>
  </r>
  <r>
    <n v="1762"/>
    <x v="261"/>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841.3305555555553"/>
    <s v="None"/>
    <s v="WTG Unscheduled Maintenance"/>
    <n v="3844"/>
    <n v="3841.3305555555553"/>
    <m/>
    <m/>
    <m/>
    <m/>
  </r>
  <r>
    <n v="1763"/>
    <x v="261"/>
    <x v="1"/>
    <x v="0"/>
    <x v="9"/>
    <x v="1"/>
    <x v="23"/>
    <s v="PWEGPL"/>
    <s v="MSEDCL"/>
    <n v="2.5000000000000001E-2"/>
    <n v="203"/>
    <x v="290"/>
    <s v="BD"/>
    <d v="1899-12-30T00:00:00"/>
    <d v="1899-12-30T00:00:00"/>
    <d v="1899-12-30T10:44:00"/>
    <n v="0"/>
    <n v="10.733333333333333"/>
    <n v="10.733333333333333"/>
    <s v="HU main Accumulator failure replacement under processing"/>
    <s v="Close"/>
    <n v="0.26833333333333331"/>
    <s v="G03"/>
    <n v="1876.9916666666666"/>
    <s v="None"/>
    <s v="WTG Breakdown Maintenance"/>
    <n v="4197"/>
    <n v="1876.9916666666666"/>
    <m/>
    <m/>
    <m/>
    <m/>
  </r>
  <r>
    <n v="1764"/>
    <x v="261"/>
    <x v="1"/>
    <x v="0"/>
    <x v="9"/>
    <x v="1"/>
    <x v="12"/>
    <s v="PWEGPL"/>
    <s v="MSEDCL"/>
    <n v="2.5000000000000001E-2"/>
    <n v="700"/>
    <x v="329"/>
    <s v="Manual stop/TCA"/>
    <d v="1899-12-30T00:00:00"/>
    <d v="1899-12-30T00:00:00"/>
    <d v="1899-12-30T23:59:00"/>
    <n v="0"/>
    <n v="23.983333333333334"/>
    <n v="23.983333333333334"/>
    <s v="Optical cable damaged"/>
    <s v="Open"/>
    <n v="0.59958333333333336"/>
    <s v="G30"/>
    <n v="3527.5486111111113"/>
    <s v="None"/>
    <s v="WTG Unscheduled Maintenance"/>
    <n v="3530"/>
    <n v="3527.5486111111113"/>
    <m/>
    <m/>
    <m/>
    <m/>
  </r>
  <r>
    <n v="1765"/>
    <x v="261"/>
    <x v="1"/>
    <x v="0"/>
    <x v="9"/>
    <x v="1"/>
    <x v="9"/>
    <s v="PWEGPL"/>
    <s v="MSEDCL"/>
    <n v="2.5000000000000001E-2"/>
    <s v="CE100010"/>
    <x v="296"/>
    <s v="PM"/>
    <d v="1899-12-30T10:47:00"/>
    <d v="1899-12-30T10:47:00"/>
    <d v="1899-12-30T18:47:00"/>
    <n v="0"/>
    <n v="8.0000000000000018"/>
    <n v="8.0000000000000018"/>
    <s v="yearly preventive maintenace completed Day 2"/>
    <s v="Close"/>
    <n v="0.20000000000000007"/>
    <s v="G29"/>
    <n v="1142.0000000000002"/>
    <s v="None"/>
    <s v="WTG Scheduled Maintenance"/>
    <n v="3426"/>
    <n v="1142.0000000000002"/>
    <m/>
    <m/>
    <m/>
    <m/>
  </r>
  <r>
    <n v="1766"/>
    <x v="261"/>
    <x v="1"/>
    <x v="0"/>
    <x v="9"/>
    <x v="1"/>
    <x v="23"/>
    <s v="PWEGPL"/>
    <s v="MSEDCL"/>
    <n v="2.5000000000000001E-2"/>
    <n v="2509"/>
    <x v="201"/>
    <s v="BD"/>
    <d v="1899-12-30T16:17:00"/>
    <d v="1899-12-30T16:43:00"/>
    <d v="1899-12-30T23:59:00"/>
    <n v="0.43333333333333179"/>
    <n v="7.2666666666666675"/>
    <n v="7.6999999999999993"/>
    <s v="T plug connector failure replacememnt under progress"/>
    <s v="Open"/>
    <n v="0.1925"/>
    <s v="G03"/>
    <n v="1346.5374999999999"/>
    <s v="None"/>
    <s v="WTG Breakdown Maintenance"/>
    <n v="4197"/>
    <n v="1346.5374999999999"/>
    <m/>
    <m/>
    <m/>
    <m/>
  </r>
  <r>
    <n v="1767"/>
    <x v="261"/>
    <x v="1"/>
    <x v="0"/>
    <x v="9"/>
    <x v="1"/>
    <x v="26"/>
    <s v="PWEGPL"/>
    <s v="MSEDCL"/>
    <n v="2.5000000000000001E-2"/>
    <n v="208"/>
    <x v="366"/>
    <s v="BD"/>
    <d v="1899-12-30T15:12:00"/>
    <d v="1899-12-30T16:02:00"/>
    <d v="1899-12-30T17:10:00"/>
    <n v="0.8333333333333357"/>
    <n v="1.133333333333332"/>
    <n v="1.9666666666666677"/>
    <s v="Troubleshooting carried out and found module malfuctiong then interchanged and restored"/>
    <s v="Close"/>
    <n v="4.9166666666666692E-2"/>
    <s v="G01"/>
    <n v="348.01805555555575"/>
    <s v="None"/>
    <s v="WTG Breakdown Maintenance"/>
    <n v="4247"/>
    <n v="348.01805555555575"/>
    <m/>
    <m/>
    <m/>
    <m/>
  </r>
  <r>
    <n v="1768"/>
    <x v="262"/>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187.3104166666672"/>
    <s v="None"/>
    <s v="WTG Unscheduled Maintenance"/>
    <n v="8193"/>
    <n v="8187.3104166666672"/>
    <m/>
    <m/>
    <m/>
    <m/>
  </r>
  <r>
    <n v="1769"/>
    <x v="262"/>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8705.9500000000007"/>
    <s v="None"/>
    <s v="WTG Breakdown Maintenance"/>
    <n v="8712"/>
    <n v="8705.9500000000007"/>
    <m/>
    <m/>
    <m/>
    <m/>
  </r>
  <r>
    <n v="1770"/>
    <x v="262"/>
    <x v="1"/>
    <x v="0"/>
    <x v="9"/>
    <x v="1"/>
    <x v="12"/>
    <s v="PWEGPL"/>
    <s v="MSEDCL"/>
    <n v="2.5000000000000001E-2"/>
    <n v="700"/>
    <x v="329"/>
    <s v="Manual stop/TCA"/>
    <d v="1899-12-30T00:00:00"/>
    <d v="1899-12-30T00:00:00"/>
    <d v="1899-12-30T23:59:00"/>
    <n v="0"/>
    <n v="23.983333333333334"/>
    <n v="23.983333333333334"/>
    <s v="Optical cable damaged"/>
    <s v="Open"/>
    <n v="0.59958333333333336"/>
    <s v="G30"/>
    <n v="7614.7083333333339"/>
    <s v="Material shortage - T90M optical cable"/>
    <s v="WTG Unscheduled Maintenance"/>
    <n v="7620"/>
    <n v="7614.7083333333339"/>
    <m/>
    <m/>
    <m/>
    <m/>
  </r>
  <r>
    <n v="1771"/>
    <x v="262"/>
    <x v="1"/>
    <x v="0"/>
    <x v="9"/>
    <x v="1"/>
    <x v="26"/>
    <s v="PWEGPL"/>
    <s v="MSEDCL"/>
    <n v="2.5000000000000001E-2"/>
    <n v="208"/>
    <x v="366"/>
    <s v="BD"/>
    <d v="1899-12-30T15:21:00"/>
    <d v="1899-12-30T16:20:00"/>
    <d v="1899-12-30T16:50:00"/>
    <n v="0.9833333333333325"/>
    <n v="0.50000000000000089"/>
    <n v="1.4833333333333334"/>
    <s v="Checked all hydraulic pump contactor feedback connectiopn relays found all ok then cabkle tighned and restored the tuirbine."/>
    <s v="Close"/>
    <n v="3.7083333333333336E-2"/>
    <s v="G01"/>
    <n v="619.29166666666674"/>
    <s v="None"/>
    <s v="WTG Breakdown Maintenance"/>
    <n v="10020"/>
    <n v="619.29166666666674"/>
    <m/>
    <m/>
    <m/>
    <m/>
  </r>
  <r>
    <n v="1772"/>
    <x v="263"/>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595.1118055555553"/>
    <s v="None"/>
    <s v="WTG Unscheduled Maintenance"/>
    <n v="5599"/>
    <n v="5595.1118055555553"/>
    <m/>
    <m/>
    <m/>
    <m/>
  </r>
  <r>
    <n v="1773"/>
    <x v="263"/>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5123.4395833333338"/>
    <s v="None"/>
    <s v="WTG Breakdown Maintenance"/>
    <n v="5127"/>
    <n v="5123.4395833333338"/>
    <m/>
    <m/>
    <m/>
    <m/>
  </r>
  <r>
    <n v="1774"/>
    <x v="263"/>
    <x v="1"/>
    <x v="0"/>
    <x v="9"/>
    <x v="1"/>
    <x v="12"/>
    <s v="PWEGPL"/>
    <s v="MSEDCL"/>
    <n v="2.5000000000000001E-2"/>
    <n v="700"/>
    <x v="329"/>
    <s v="Manual stop/TCA"/>
    <d v="1899-12-30T00:00:00"/>
    <d v="1899-12-30T00:00:00"/>
    <d v="1899-12-30T23:59:00"/>
    <n v="0"/>
    <n v="23.983333333333334"/>
    <n v="23.983333333333334"/>
    <s v="Optical cable damaged"/>
    <s v="Open"/>
    <n v="0.59958333333333336"/>
    <s v="G30"/>
    <n v="4191.0875000000005"/>
    <s v="Material shortage - T90M optical cable"/>
    <s v="WTG Unscheduled Maintenance"/>
    <n v="4194"/>
    <n v="4191.0875000000005"/>
    <m/>
    <m/>
    <m/>
    <m/>
  </r>
  <r>
    <n v="1775"/>
    <x v="263"/>
    <x v="1"/>
    <x v="0"/>
    <x v="9"/>
    <x v="1"/>
    <x v="10"/>
    <s v="PWEGPL"/>
    <s v="MSEDCL"/>
    <n v="2.5000000000000001E-2"/>
    <s v="CE100010"/>
    <x v="296"/>
    <s v="PM"/>
    <d v="1899-12-30T11:01:00"/>
    <d v="1899-12-30T11:01:00"/>
    <d v="1899-12-30T18:47:00"/>
    <n v="0"/>
    <n v="7.7666666666666684"/>
    <n v="7.7666666666666684"/>
    <s v="yearly preventive maintenace completed Day 2"/>
    <s v="Close"/>
    <n v="0.19416666666666671"/>
    <s v="G28"/>
    <n v="1394.440277777778"/>
    <s v="None"/>
    <s v="WTG Scheduled Maintenance"/>
    <n v="4309"/>
    <n v="1394.440277777778"/>
    <m/>
    <m/>
    <m/>
    <m/>
  </r>
  <r>
    <n v="1776"/>
    <x v="263"/>
    <x v="1"/>
    <x v="0"/>
    <x v="9"/>
    <x v="1"/>
    <x v="26"/>
    <s v="PWEGPL"/>
    <s v="MSEDCL"/>
    <n v="2.5000000000000001E-2"/>
    <n v="208"/>
    <x v="366"/>
    <s v="BD"/>
    <d v="1899-12-30T10:55:00"/>
    <d v="1899-12-30T11:50:00"/>
    <d v="1899-12-30T12:31:00"/>
    <n v="0.91666666666666741"/>
    <n v="0.68333333333333357"/>
    <n v="1.600000000000001"/>
    <s v="Checked relays operation and wiring connection found all ok then reset and restored"/>
    <s v="Close"/>
    <n v="4.0000000000000029E-2"/>
    <s v="G01"/>
    <n v="365.73333333333358"/>
    <s v="None"/>
    <s v="WTG Breakdown Maintenance"/>
    <n v="5486"/>
    <n v="365.73333333333358"/>
    <m/>
    <m/>
    <m/>
    <m/>
  </r>
  <r>
    <n v="1777"/>
    <x v="263"/>
    <x v="1"/>
    <x v="0"/>
    <x v="9"/>
    <x v="1"/>
    <x v="33"/>
    <s v="PWEGPL"/>
    <s v="MSEDCL"/>
    <n v="2.5000000000000001E-2"/>
    <n v="201"/>
    <x v="328"/>
    <s v="BD"/>
    <d v="1899-12-30T02:33:00"/>
    <d v="1899-12-30T03:22:00"/>
    <d v="1899-12-30T03:51:00"/>
    <n v="0.81666666666666676"/>
    <n v="0.48333333333333361"/>
    <n v="1.3000000000000003"/>
    <s v="Hard rebooted and restored"/>
    <s v="Close"/>
    <n v="3.2500000000000008E-2"/>
    <s v="G22"/>
    <n v="303.2791666666667"/>
    <s v="None"/>
    <s v="WTG Breakdown Maintenance"/>
    <n v="5599"/>
    <n v="303.2791666666667"/>
    <m/>
    <m/>
    <m/>
    <m/>
  </r>
  <r>
    <n v="1778"/>
    <x v="264"/>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481.715972222222"/>
    <s v="None"/>
    <s v="WTG Unscheduled Maintenance"/>
    <n v="10489"/>
    <n v="10481.715972222222"/>
    <m/>
    <m/>
    <m/>
    <m/>
  </r>
  <r>
    <n v="1779"/>
    <x v="264"/>
    <x v="1"/>
    <x v="0"/>
    <x v="9"/>
    <x v="1"/>
    <x v="23"/>
    <s v="PWEGPL"/>
    <s v="MSEDCL"/>
    <n v="2.5000000000000001E-2"/>
    <n v="2509"/>
    <x v="201"/>
    <s v="BD"/>
    <d v="1899-12-30T00:00:00"/>
    <d v="1899-12-30T00:00:00"/>
    <d v="1899-12-30T21:42:00"/>
    <n v="0"/>
    <n v="21.7"/>
    <n v="21.7"/>
    <s v="T plug connector failure replacememnt under progress"/>
    <s v="Open"/>
    <n v="0.54249999999999998"/>
    <s v="G03"/>
    <n v="8280.3583333333318"/>
    <s v="None"/>
    <s v="WTG Breakdown Maintenance"/>
    <n v="9158"/>
    <n v="8280.3583333333318"/>
    <m/>
    <m/>
    <m/>
    <m/>
  </r>
  <r>
    <n v="1780"/>
    <x v="264"/>
    <x v="1"/>
    <x v="0"/>
    <x v="9"/>
    <x v="1"/>
    <x v="12"/>
    <s v="PWEGPL"/>
    <s v="MSEDCL"/>
    <n v="2.5000000000000001E-2"/>
    <n v="700"/>
    <x v="329"/>
    <s v="Manual stop/TCA"/>
    <d v="1899-12-30T00:00:00"/>
    <d v="1899-12-30T00:00:00"/>
    <d v="1899-12-30T23:59:00"/>
    <n v="0"/>
    <n v="23.983333333333334"/>
    <n v="23.983333333333334"/>
    <s v="Optical cable damaged"/>
    <s v="Open"/>
    <n v="0.59958333333333336"/>
    <s v="G30"/>
    <n v="8038.4138888888892"/>
    <s v="Material shortage - T90M optical cable"/>
    <s v="WTG Unscheduled Maintenance"/>
    <n v="8044"/>
    <n v="8038.4138888888892"/>
    <m/>
    <m/>
    <m/>
    <m/>
  </r>
  <r>
    <n v="1781"/>
    <x v="264"/>
    <x v="1"/>
    <x v="0"/>
    <x v="9"/>
    <x v="1"/>
    <x v="26"/>
    <s v="PWEGPL"/>
    <s v="MSEDCL"/>
    <n v="2.5000000000000001E-2"/>
    <n v="200"/>
    <x v="314"/>
    <s v="BD"/>
    <d v="1899-12-30T07:38:00"/>
    <d v="1899-12-30T07:38:00"/>
    <d v="1899-12-30T10:29:00"/>
    <n v="0"/>
    <n v="2.8499999999999992"/>
    <n v="2.8499999999999992"/>
    <s v="Hydraulic main accumulator rep;laced and restored"/>
    <s v="Close"/>
    <n v="7.124999999999998E-2"/>
    <s v="G01"/>
    <n v="1222.1749999999995"/>
    <s v="None"/>
    <s v="WTG Unscheduled Maintenance"/>
    <n v="10292"/>
    <n v="1222.1749999999995"/>
    <m/>
    <m/>
    <m/>
    <m/>
  </r>
  <r>
    <n v="1782"/>
    <x v="264"/>
    <x v="1"/>
    <x v="0"/>
    <x v="9"/>
    <x v="1"/>
    <x v="37"/>
    <s v="PWEGPL"/>
    <s v="MSEDCL"/>
    <n v="2.5000000000000001E-2"/>
    <n v="905"/>
    <x v="350"/>
    <s v="BD"/>
    <d v="1899-12-30T17:59:00"/>
    <d v="1899-12-30T21:19:00"/>
    <d v="1899-12-30T23:54:00"/>
    <n v="3.3333333333333321"/>
    <n v="2.5833333333333321"/>
    <n v="5.9166666666666643"/>
    <s v="Battery supply replaced and restored"/>
    <s v="Close"/>
    <n v="0.14791666666666661"/>
    <s v="G17"/>
    <n v="2298.1319444444434"/>
    <s v="None"/>
    <s v="WTG Breakdown Maintenance"/>
    <n v="9322"/>
    <n v="2298.1319444444434"/>
    <m/>
    <m/>
    <m/>
    <m/>
  </r>
  <r>
    <n v="1783"/>
    <x v="264"/>
    <x v="1"/>
    <x v="0"/>
    <x v="9"/>
    <x v="1"/>
    <x v="11"/>
    <s v="PWEGPL"/>
    <s v="MSEDCL"/>
    <n v="2.5000000000000001E-2"/>
    <s v="CE100010"/>
    <x v="296"/>
    <s v="PM"/>
    <d v="1899-12-30T10:17:00"/>
    <d v="1899-12-30T10:17:00"/>
    <d v="1899-12-30T18:30:00"/>
    <n v="0"/>
    <n v="8.2166666666666686"/>
    <n v="8.2166666666666686"/>
    <s v="yearly preventive maintenace completed Day 2"/>
    <s v="Close"/>
    <n v="0.20541666666666672"/>
    <s v="G29"/>
    <n v="3214.7708333333339"/>
    <s v="None"/>
    <s v="WTG Scheduled Maintenance"/>
    <n v="9390"/>
    <n v="3214.7708333333339"/>
    <m/>
    <m/>
    <m/>
    <m/>
  </r>
  <r>
    <n v="1784"/>
    <x v="265"/>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7100.0659722222226"/>
    <s v="None"/>
    <s v="WTG Unscheduled Maintenance"/>
    <n v="7105"/>
    <n v="7100.0659722222226"/>
    <m/>
    <m/>
    <m/>
    <m/>
  </r>
  <r>
    <n v="1785"/>
    <x v="265"/>
    <x v="1"/>
    <x v="0"/>
    <x v="9"/>
    <x v="1"/>
    <x v="12"/>
    <s v="PWEGPL"/>
    <s v="MSEDCL"/>
    <n v="2.5000000000000001E-2"/>
    <n v="700"/>
    <x v="329"/>
    <s v="Manual stop/TCA"/>
    <d v="1899-12-30T00:00:00"/>
    <d v="1899-12-30T00:00:00"/>
    <d v="1899-12-30T23:59:00"/>
    <n v="0"/>
    <n v="23.983333333333334"/>
    <n v="23.983333333333334"/>
    <s v="Optical cable damaged"/>
    <s v="Open"/>
    <n v="0.59958333333333336"/>
    <s v="G30"/>
    <n v="4185.0916666666672"/>
    <s v="Material shortage - T90M optical cable"/>
    <s v="WTG Unscheduled Maintenance"/>
    <n v="4188"/>
    <n v="4185.0916666666672"/>
    <m/>
    <m/>
    <m/>
    <m/>
  </r>
  <r>
    <n v="1786"/>
    <x v="265"/>
    <x v="1"/>
    <x v="0"/>
    <x v="9"/>
    <x v="1"/>
    <x v="13"/>
    <s v="PWEGPL"/>
    <s v="MSEDCL"/>
    <n v="2.5000000000000001E-2"/>
    <s v="CE100001"/>
    <x v="288"/>
    <s v="PM"/>
    <d v="1899-12-30T10:28:00"/>
    <d v="1899-12-30T10:28:00"/>
    <d v="1899-12-30T17:49:00"/>
    <n v="0"/>
    <n v="7.3500000000000005"/>
    <n v="7.3500000000000005"/>
    <s v="yearly preventive maintenace completed Day 2"/>
    <s v="Close"/>
    <n v="0.18375000000000002"/>
    <s v="G29"/>
    <n v="1626.1875000000002"/>
    <s v="None"/>
    <s v="WTG Scheduled Maintenance"/>
    <n v="5310"/>
    <n v="1626.1875000000002"/>
    <m/>
    <m/>
    <m/>
    <m/>
  </r>
  <r>
    <n v="1787"/>
    <x v="265"/>
    <x v="1"/>
    <x v="0"/>
    <x v="9"/>
    <x v="1"/>
    <x v="39"/>
    <s v="PWEGPL"/>
    <s v="MSEDCL"/>
    <n v="2.5000000000000001E-2"/>
    <n v="205"/>
    <x v="312"/>
    <s v="BD"/>
    <d v="1899-12-30T10:17:00"/>
    <d v="1899-12-30T11:56:00"/>
    <d v="1899-12-30T13:23:00"/>
    <n v="1.6500000000000008"/>
    <n v="1.4500000000000002"/>
    <n v="3.100000000000001"/>
    <s v="Oil top up and restored the WTG"/>
    <s v="Close"/>
    <n v="7.7500000000000027E-2"/>
    <s v="G16"/>
    <n v="754.85000000000025"/>
    <s v="None"/>
    <s v="WTG Breakdown Maintenance"/>
    <n v="5844"/>
    <n v="754.85000000000025"/>
    <m/>
    <m/>
    <m/>
    <m/>
  </r>
  <r>
    <n v="1788"/>
    <x v="266"/>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7656.6791666666668"/>
    <s v="None"/>
    <s v="WTG Unscheduled Maintenance"/>
    <n v="7662"/>
    <n v="7656.6791666666668"/>
    <m/>
    <m/>
    <m/>
    <m/>
  </r>
  <r>
    <n v="1789"/>
    <x v="266"/>
    <x v="1"/>
    <x v="0"/>
    <x v="9"/>
    <x v="1"/>
    <x v="12"/>
    <s v="PWEGPL"/>
    <s v="MSEDCL"/>
    <n v="2.5000000000000001E-2"/>
    <n v="700"/>
    <x v="329"/>
    <s v="Manual stop/TCA"/>
    <d v="1899-12-30T00:00:00"/>
    <d v="1899-12-30T00:00:00"/>
    <d v="1899-12-30T23:59:00"/>
    <n v="0"/>
    <n v="23.983333333333334"/>
    <n v="23.983333333333334"/>
    <s v="Optical cable damaged"/>
    <s v="Open"/>
    <n v="0.59958333333333336"/>
    <s v="G30"/>
    <n v="4753.6965277777781"/>
    <s v="Material shortage - T90M optical cable"/>
    <s v="WTG Unscheduled Maintenance"/>
    <n v="4757"/>
    <n v="4753.6965277777781"/>
    <m/>
    <m/>
    <m/>
    <m/>
  </r>
  <r>
    <n v="1790"/>
    <x v="266"/>
    <x v="1"/>
    <x v="0"/>
    <x v="9"/>
    <x v="1"/>
    <x v="23"/>
    <s v="PWEGPL"/>
    <s v="MSEDCL"/>
    <n v="2.5000000000000001E-2"/>
    <n v="2509"/>
    <x v="201"/>
    <s v="BD"/>
    <d v="1899-12-30T17:14:00"/>
    <d v="1899-12-30T18:25:00"/>
    <d v="1899-12-30T23:59:00"/>
    <n v="1.1833333333333345"/>
    <n v="5.5666666666666655"/>
    <n v="6.75"/>
    <s v="T plug connector failure replacememnt under progress"/>
    <s v="Open"/>
    <n v="0.16875000000000001"/>
    <s v="G03"/>
    <n v="1906.3125000000002"/>
    <s v="T connector failured in multiple times so arranged venodr for fixing the T plug connector"/>
    <s v="WTG Breakdown Maintenance"/>
    <n v="6778"/>
    <n v="1906.3125000000002"/>
    <m/>
    <m/>
    <m/>
    <m/>
  </r>
  <r>
    <n v="1791"/>
    <x v="266"/>
    <x v="1"/>
    <x v="0"/>
    <x v="9"/>
    <x v="1"/>
    <x v="14"/>
    <s v="PWEGPL"/>
    <s v="MSEDCL"/>
    <n v="2.5000000000000001E-2"/>
    <n v="407"/>
    <x v="395"/>
    <s v="Manual stop"/>
    <d v="1899-12-30T10:16:00"/>
    <d v="1899-12-30T10:16:00"/>
    <d v="1899-12-30T23:59:00"/>
    <n v="0"/>
    <n v="13.716666666666665"/>
    <n v="13.716666666666665"/>
    <s v="Coupling dampers observed crack so replaced coupling and alignment under progress"/>
    <s v="Open"/>
    <n v="0.34291666666666665"/>
    <s v="G33"/>
    <n v="2823.3472222222222"/>
    <s v="During preventive maintenace observed coupling dampers crack so replaced from G23 to G34"/>
    <s v="WTG Breakdown Maintenance"/>
    <n v="4940"/>
    <n v="2823.3472222222222"/>
    <m/>
    <m/>
    <m/>
    <m/>
  </r>
  <r>
    <n v="1792"/>
    <x v="266"/>
    <x v="1"/>
    <x v="0"/>
    <x v="9"/>
    <x v="1"/>
    <x v="21"/>
    <s v="PWEGPL"/>
    <s v="MSEDCL"/>
    <n v="2.5000000000000001E-2"/>
    <n v="103"/>
    <x v="307"/>
    <s v="BD"/>
    <d v="1899-12-30T07:48:00"/>
    <d v="1899-12-30T09:16:00"/>
    <d v="1899-12-30T11:36:00"/>
    <n v="1.4666666666666668"/>
    <n v="2.333333333333333"/>
    <n v="3.8"/>
    <s v="Troubleshooting carried out and found yaw drive no 3 failure then disconnected from cercuit for temporary basis and restored"/>
    <s v="Close"/>
    <n v="9.5000000000000001E-2"/>
    <s v="G01"/>
    <n v="978.34166666666658"/>
    <s v="None"/>
    <s v="WTG Breakdown Maintenance"/>
    <n v="6179"/>
    <n v="978.34166666666658"/>
    <m/>
    <m/>
    <m/>
    <m/>
  </r>
  <r>
    <n v="1793"/>
    <x v="267"/>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922.7993055555562"/>
    <s v="None"/>
    <s v="WTG Unscheduled Maintenance"/>
    <n v="8929"/>
    <n v="8922.7993055555562"/>
    <m/>
    <m/>
    <m/>
    <m/>
  </r>
  <r>
    <n v="1794"/>
    <x v="267"/>
    <x v="1"/>
    <x v="0"/>
    <x v="9"/>
    <x v="1"/>
    <x v="12"/>
    <s v="PWEGPL"/>
    <s v="MSEDCL"/>
    <n v="2.5000000000000001E-2"/>
    <n v="700"/>
    <x v="329"/>
    <s v="Manual stop/TCA"/>
    <d v="1899-12-30T00:00:00"/>
    <d v="1899-12-30T00:00:00"/>
    <d v="1899-12-30T01:00:00"/>
    <n v="0"/>
    <n v="1"/>
    <n v="1"/>
    <s v="Optical cable replaced and restored"/>
    <s v="Close"/>
    <n v="2.5000000000000001E-2"/>
    <s v="G30"/>
    <n v="181.04166666666666"/>
    <s v="Material shortage - T90M optical cable"/>
    <s v="WTG Unscheduled Maintenance"/>
    <n v="4345"/>
    <n v="181.04166666666666"/>
    <m/>
    <m/>
    <m/>
    <m/>
  </r>
  <r>
    <n v="1795"/>
    <x v="267"/>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5287.3256944444447"/>
    <s v="T connector failured in multiple times so arranged venodr for fixing the T plug connector"/>
    <s v="WTG Breakdown Maintenance"/>
    <n v="5291"/>
    <n v="5287.3256944444447"/>
    <m/>
    <m/>
    <m/>
    <m/>
  </r>
  <r>
    <n v="1796"/>
    <x v="267"/>
    <x v="1"/>
    <x v="0"/>
    <x v="9"/>
    <x v="1"/>
    <x v="14"/>
    <s v="PWEGPL"/>
    <s v="MSEDCL"/>
    <n v="2.5000000000000001E-2"/>
    <n v="407"/>
    <x v="395"/>
    <s v="Manual stop"/>
    <d v="1899-12-30T00:00:00"/>
    <d v="1899-12-30T00:00:00"/>
    <d v="1899-12-30T17:09:00"/>
    <n v="0"/>
    <n v="17.149999999999999"/>
    <n v="17.149999999999999"/>
    <s v="Coupling dampers observed crack so replaced coupling and alignment under progress"/>
    <s v="Close"/>
    <n v="0.42874999999999996"/>
    <s v="G33"/>
    <n v="3320.6687499999998"/>
    <s v="During preventive maintenace observed coupling dampers crack so replaced from G23 to G34"/>
    <s v="WTG Breakdown Maintenance"/>
    <n v="4647"/>
    <n v="3320.6687499999998"/>
    <m/>
    <m/>
    <m/>
    <m/>
  </r>
  <r>
    <n v="1797"/>
    <x v="267"/>
    <x v="1"/>
    <x v="0"/>
    <x v="9"/>
    <x v="1"/>
    <x v="10"/>
    <s v="PWEGPL"/>
    <s v="MSEDCL"/>
    <n v="2.5000000000000001E-2"/>
    <n v="208"/>
    <x v="366"/>
    <s v="BD"/>
    <d v="1899-12-30T09:40:00"/>
    <d v="1899-12-30T11:01:00"/>
    <d v="1899-12-30T18:37:00"/>
    <n v="1.3500000000000019"/>
    <n v="7.6"/>
    <n v="8.9500000000000011"/>
    <s v="Hydraulic pump motor failured then replaced and restored"/>
    <s v="Close"/>
    <n v="0.22375000000000003"/>
    <s v="G30"/>
    <n v="1620.3229166666667"/>
    <s v="None"/>
    <s v="WTG Breakdown Maintenance"/>
    <n v="4345"/>
    <n v="1620.3229166666667"/>
    <m/>
    <m/>
    <m/>
    <m/>
  </r>
  <r>
    <n v="1798"/>
    <x v="268"/>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344.5909722222232"/>
    <s v="None"/>
    <s v="WTG Unscheduled Maintenance"/>
    <n v="6349"/>
    <n v="6344.5909722222232"/>
    <m/>
    <m/>
    <m/>
    <m/>
  </r>
  <r>
    <n v="1799"/>
    <x v="268"/>
    <x v="1"/>
    <x v="0"/>
    <x v="9"/>
    <x v="1"/>
    <x v="23"/>
    <s v="PWEGPL"/>
    <s v="MSEDCL"/>
    <n v="2.5000000000000001E-2"/>
    <n v="2509"/>
    <x v="201"/>
    <s v="BD"/>
    <d v="1899-12-30T00:00:00"/>
    <d v="1899-12-30T00:00:00"/>
    <d v="1899-12-30T19:39:00"/>
    <n v="0"/>
    <n v="19.649999999999999"/>
    <n v="19.649999999999999"/>
    <s v="T plug connector failure replaced and restored the turbine"/>
    <s v="Close"/>
    <n v="0.49124999999999996"/>
    <s v="G03"/>
    <n v="3740.0499999999997"/>
    <s v="T connector failured in multiple times so arranged venodr for fixing the T plug connector"/>
    <s v="WTG Breakdown Maintenance"/>
    <n v="4568"/>
    <n v="3740.0499999999997"/>
    <m/>
    <m/>
    <m/>
    <m/>
  </r>
  <r>
    <n v="1800"/>
    <x v="268"/>
    <x v="1"/>
    <x v="0"/>
    <x v="9"/>
    <x v="1"/>
    <x v="4"/>
    <s v="PWEGPL"/>
    <s v="MSEDCL"/>
    <n v="2.5000000000000001E-2"/>
    <n v="800"/>
    <x v="298"/>
    <s v="BD"/>
    <d v="1899-12-30T11:45:00"/>
    <d v="1899-12-30T12:39:00"/>
    <d v="1899-12-30T15:07:00"/>
    <n v="0.9000000000000008"/>
    <n v="2.4666666666666659"/>
    <n v="3.3666666666666667"/>
    <s v="Chcked and found blade A pressure switch connection loose then proper connected and restoreed"/>
    <s v="Close"/>
    <n v="8.4166666666666667E-2"/>
    <s v="G38"/>
    <n v="635.73888888888894"/>
    <s v="None"/>
    <s v="WTG Breakdown Maintenance"/>
    <n v="4532"/>
    <n v="635.73888888888894"/>
    <m/>
    <m/>
    <m/>
    <m/>
  </r>
  <r>
    <n v="1801"/>
    <x v="268"/>
    <x v="1"/>
    <x v="0"/>
    <x v="9"/>
    <x v="1"/>
    <x v="26"/>
    <s v="PWEGPL"/>
    <s v="MSEDCL"/>
    <n v="2.5000000000000001E-2"/>
    <n v="208"/>
    <x v="366"/>
    <s v="BD"/>
    <d v="1899-12-30T04:12:00"/>
    <d v="1899-12-30T05:00:00"/>
    <d v="1899-12-30T18:24:00"/>
    <n v="0.79999999999999982"/>
    <n v="13.399999999999999"/>
    <n v="14.199999999999998"/>
    <s v="Checked all hydraulic pump and motor while checking found contactor was malfuctioning then replaced KF52 contactor and restored"/>
    <s v="Close"/>
    <n v="0.35499999999999998"/>
    <s v="G01"/>
    <n v="3032.8833333333328"/>
    <s v="None"/>
    <s v="WTG Breakdown Maintenance"/>
    <n v="5126"/>
    <n v="3032.8833333333328"/>
    <m/>
    <m/>
    <m/>
    <m/>
  </r>
  <r>
    <n v="1802"/>
    <x v="268"/>
    <x v="1"/>
    <x v="0"/>
    <x v="9"/>
    <x v="1"/>
    <x v="3"/>
    <s v="PWEGPL"/>
    <s v="MSEDCL"/>
    <n v="2.5000000000000001E-2"/>
    <n v="205"/>
    <x v="312"/>
    <s v="BD"/>
    <d v="1899-12-30T05:50:00"/>
    <d v="1899-12-30T07:21:00"/>
    <d v="1899-12-30T07:43:00"/>
    <n v="1.5166666666666659"/>
    <n v="0.36666666666666803"/>
    <n v="1.883333333333334"/>
    <s v="oil top and restored"/>
    <s v="Close"/>
    <n v="4.7083333333333352E-2"/>
    <s v="G26"/>
    <n v="441.79861111111126"/>
    <s v="None"/>
    <s v="WTG Breakdown Maintenance"/>
    <n v="5630"/>
    <n v="441.79861111111126"/>
    <m/>
    <m/>
    <m/>
    <m/>
  </r>
  <r>
    <n v="1803"/>
    <x v="269"/>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451.2965277777776"/>
    <s v="None"/>
    <s v="WTG Unscheduled Maintenance"/>
    <n v="2453"/>
    <n v="2451.2965277777776"/>
    <m/>
    <m/>
    <m/>
    <m/>
  </r>
  <r>
    <n v="1804"/>
    <x v="269"/>
    <x v="1"/>
    <x v="0"/>
    <x v="9"/>
    <x v="1"/>
    <x v="32"/>
    <s v="PWEGPL"/>
    <s v="MSEDCL"/>
    <n v="2.5000000000000001E-2"/>
    <n v="102"/>
    <x v="337"/>
    <s v="BD"/>
    <d v="1899-12-30T12:40:00"/>
    <d v="1899-12-30T13:25:00"/>
    <d v="1899-12-30T20:15:00"/>
    <n v="0.75"/>
    <n v="6.833333333333333"/>
    <n v="7.583333333333333"/>
    <s v="Contactor found stucked then replaced and restored"/>
    <s v="Close"/>
    <n v="0.18958333333333333"/>
    <s v="G13"/>
    <n v="1009.53125"/>
    <s v="None"/>
    <s v="WTG Breakdown Maintenance"/>
    <n v="3195"/>
    <n v="1009.53125"/>
    <m/>
    <m/>
    <m/>
    <m/>
  </r>
  <r>
    <n v="1805"/>
    <x v="269"/>
    <x v="1"/>
    <x v="0"/>
    <x v="9"/>
    <x v="1"/>
    <x v="39"/>
    <s v="PWEGPL"/>
    <s v="MSEDCL"/>
    <n v="2.5000000000000001E-2"/>
    <n v="103"/>
    <x v="307"/>
    <s v="BD"/>
    <d v="1899-12-30T15:58:00"/>
    <d v="1899-12-30T17:25:00"/>
    <d v="1899-12-30T23:59:00"/>
    <n v="1.4500000000000028"/>
    <n v="6.5666666666666647"/>
    <n v="8.0166666666666675"/>
    <s v="Yaw drive failure on hydraulic unit side and removal work under progress"/>
    <s v="Open"/>
    <n v="0.20041666666666669"/>
    <s v="G13"/>
    <n v="1067.21875"/>
    <s v="None"/>
    <s v="WTG Breakdown Maintenance"/>
    <n v="3195"/>
    <n v="1067.21875"/>
    <m/>
    <m/>
    <m/>
    <m/>
  </r>
  <r>
    <n v="1806"/>
    <x v="269"/>
    <x v="1"/>
    <x v="0"/>
    <x v="9"/>
    <x v="1"/>
    <x v="14"/>
    <s v="PWEGPL"/>
    <s v="MSEDCL"/>
    <n v="2.5000000000000001E-2"/>
    <s v="CE100001"/>
    <x v="288"/>
    <s v="Manual stop"/>
    <d v="1899-12-30T10:35:00"/>
    <d v="1899-12-30T10:35:00"/>
    <d v="1899-12-30T11:56:00"/>
    <n v="0"/>
    <n v="1.3499999999999992"/>
    <n v="1.3499999999999992"/>
    <s v="Coupling inspection work done"/>
    <s v="Close"/>
    <n v="3.3749999999999981E-2"/>
    <s v="G35"/>
    <n v="152.09999999999991"/>
    <s v="None"/>
    <s v="WTG Unscheduled Maintenance"/>
    <n v="2704"/>
    <n v="152.09999999999991"/>
    <m/>
    <m/>
    <m/>
    <m/>
  </r>
  <r>
    <n v="1807"/>
    <x v="270"/>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146.4236111111113"/>
    <s v="None"/>
    <s v="WTG Unscheduled Maintenance"/>
    <n v="5150"/>
    <n v="5146.4236111111113"/>
    <m/>
    <m/>
    <m/>
    <m/>
  </r>
  <r>
    <n v="1808"/>
    <x v="270"/>
    <x v="1"/>
    <x v="0"/>
    <x v="9"/>
    <x v="1"/>
    <x v="39"/>
    <s v="PWEGPL"/>
    <s v="MSEDCL"/>
    <n v="2.5000000000000001E-2"/>
    <n v="103"/>
    <x v="307"/>
    <s v="BD"/>
    <d v="1899-12-30T00:00:00"/>
    <d v="1899-12-30T00:00:00"/>
    <d v="1899-12-30T23:54:00"/>
    <n v="0"/>
    <n v="23.9"/>
    <n v="23.9"/>
    <s v="Yaw drive failure on hydraulic unit side and removal work under progress"/>
    <s v="Open"/>
    <n v="0.59750000000000003"/>
    <s v="G13"/>
    <n v="6338.4791666666661"/>
    <s v="None"/>
    <s v="WTG Breakdown Maintenance"/>
    <n v="6365"/>
    <n v="6338.4791666666661"/>
    <m/>
    <m/>
    <m/>
    <m/>
  </r>
  <r>
    <n v="1809"/>
    <x v="270"/>
    <x v="1"/>
    <x v="0"/>
    <x v="9"/>
    <x v="1"/>
    <x v="12"/>
    <s v="PWEGPL"/>
    <s v="MSEDCL"/>
    <n v="2.5000000000000001E-2"/>
    <n v="402"/>
    <x v="300"/>
    <s v="BD"/>
    <d v="1899-12-30T11:51:00"/>
    <d v="1899-12-30T15:23:00"/>
    <d v="1899-12-30T16:20:00"/>
    <n v="3.5333333333333328"/>
    <n v="0.94999999999999929"/>
    <n v="4.4833333333333325"/>
    <s v="Gear oil top up and restored"/>
    <s v="Close"/>
    <n v="0.11208333333333331"/>
    <s v="G30"/>
    <n v="930.66527777777765"/>
    <s v="None"/>
    <s v="WTG Breakdown Maintenance"/>
    <n v="4982"/>
    <n v="930.66527777777765"/>
    <m/>
    <m/>
    <m/>
    <m/>
  </r>
  <r>
    <n v="1810"/>
    <x v="270"/>
    <x v="1"/>
    <x v="0"/>
    <x v="9"/>
    <x v="1"/>
    <x v="2"/>
    <s v="PWEGPL"/>
    <s v="MSEDCL"/>
    <n v="2.5000000000000001E-2"/>
    <n v="1894"/>
    <x v="325"/>
    <s v="BD"/>
    <d v="1899-12-30T04:34:00"/>
    <d v="1899-12-30T05:15:00"/>
    <d v="1899-12-30T05:22:00"/>
    <n v="0.68333333333333357"/>
    <n v="0.11666666666666625"/>
    <n v="0.79999999999999982"/>
    <s v="reboot and restored the turbine"/>
    <s v="Close"/>
    <n v="1.9999999999999997E-2"/>
    <s v="G32"/>
    <n v="123.8333333333333"/>
    <s v="None"/>
    <s v="WTG Breakdown Maintenance"/>
    <n v="3715"/>
    <n v="123.8333333333333"/>
    <m/>
    <m/>
    <m/>
    <m/>
  </r>
  <r>
    <n v="1811"/>
    <x v="271"/>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4148.1173611111117"/>
    <s v="None"/>
    <s v="WTG Unscheduled Maintenance"/>
    <n v="4151"/>
    <n v="4148.1173611111117"/>
    <m/>
    <m/>
    <m/>
    <m/>
  </r>
  <r>
    <n v="1812"/>
    <x v="271"/>
    <x v="1"/>
    <x v="0"/>
    <x v="9"/>
    <x v="1"/>
    <x v="32"/>
    <s v="PWEGPL"/>
    <s v="MSEDCL"/>
    <n v="2.5000000000000001E-2"/>
    <n v="107"/>
    <x v="354"/>
    <s v="BD"/>
    <d v="1899-12-30T15:13:00"/>
    <d v="1899-12-30T16:15:00"/>
    <d v="1899-12-30T20:49:00"/>
    <n v="1.033333333333335"/>
    <n v="4.5666666666666664"/>
    <n v="5.6000000000000014"/>
    <s v="Yaw motor found failure then removed and restored"/>
    <s v="Close"/>
    <n v="0.14000000000000004"/>
    <s v="G16"/>
    <n v="905.33333333333348"/>
    <s v="None"/>
    <s v="WTG Breakdown Maintenance"/>
    <n v="3880"/>
    <n v="905.33333333333348"/>
    <m/>
    <m/>
    <m/>
    <m/>
  </r>
  <r>
    <n v="1813"/>
    <x v="271"/>
    <x v="1"/>
    <x v="0"/>
    <x v="9"/>
    <x v="1"/>
    <x v="34"/>
    <s v="PWEGPL"/>
    <s v="MSEDCL"/>
    <n v="2.5000000000000001E-2"/>
    <n v="5228"/>
    <x v="346"/>
    <s v="BD"/>
    <d v="1899-12-30T00:00:00"/>
    <d v="1899-12-30T01:07:00"/>
    <d v="1899-12-30T02:03:00"/>
    <n v="1.1166666666666667"/>
    <n v="0.93333333333333302"/>
    <n v="2.0499999999999998"/>
    <s v="Preload contactor stuck up and then serviced properly and restored"/>
    <s v="Close"/>
    <n v="5.1249999999999997E-2"/>
    <s v="G21"/>
    <n v="354.5645833333333"/>
    <s v="None"/>
    <s v="WTG Breakdown Maintenance"/>
    <n v="4151"/>
    <n v="354.5645833333333"/>
    <m/>
    <m/>
    <m/>
    <m/>
  </r>
  <r>
    <n v="1814"/>
    <x v="272"/>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067.8680555555557"/>
    <s v="None"/>
    <s v="WTG Unscheduled Maintenance"/>
    <n v="3070"/>
    <n v="3067.8680555555557"/>
    <m/>
    <m/>
    <m/>
    <m/>
  </r>
  <r>
    <n v="1815"/>
    <x v="272"/>
    <x v="1"/>
    <x v="0"/>
    <x v="9"/>
    <x v="1"/>
    <x v="2"/>
    <s v="PWEGPL"/>
    <s v="MSEDCL"/>
    <n v="2.5000000000000001E-2"/>
    <n v="205"/>
    <x v="312"/>
    <s v="BD"/>
    <d v="1899-12-30T08:21:00"/>
    <d v="1899-12-30T11:13:00"/>
    <d v="1899-12-30T11:41:00"/>
    <n v="2.8666666666666671"/>
    <n v="0.46666666666666634"/>
    <n v="3.3333333333333335"/>
    <s v="Oil  top up and restored"/>
    <s v="Close"/>
    <n v="8.3333333333333343E-2"/>
    <s v="G32"/>
    <n v="246.25"/>
    <s v="None"/>
    <s v="WTG Breakdown Maintenance"/>
    <n v="1773"/>
    <n v="246.25"/>
    <m/>
    <m/>
    <m/>
    <m/>
  </r>
  <r>
    <n v="1816"/>
    <x v="272"/>
    <x v="1"/>
    <x v="0"/>
    <x v="9"/>
    <x v="1"/>
    <x v="32"/>
    <s v="PWEGPL"/>
    <s v="MSEDCL"/>
    <n v="2.5000000000000001E-2"/>
    <n v="118"/>
    <x v="313"/>
    <s v="Manual stop"/>
    <d v="1899-12-30T17:27:00"/>
    <d v="1899-12-30T17:27:00"/>
    <d v="1899-12-30T20:28:00"/>
    <n v="0"/>
    <n v="3.0166666666666666"/>
    <n v="3.0166666666666666"/>
    <s v="Yaw motor removed for repiar and restored"/>
    <s v="Close"/>
    <n v="7.5416666666666674E-2"/>
    <s v="G15"/>
    <n v="382.86527777777781"/>
    <s v="None"/>
    <s v="WTG Breakdown Maintenance"/>
    <n v="3046"/>
    <n v="382.86527777777781"/>
    <m/>
    <m/>
    <m/>
    <m/>
  </r>
  <r>
    <n v="1817"/>
    <x v="272"/>
    <x v="1"/>
    <x v="0"/>
    <x v="9"/>
    <x v="1"/>
    <x v="7"/>
    <s v="PWEGPL"/>
    <s v="MSEDCL"/>
    <n v="2.5000000000000001E-2"/>
    <n v="205"/>
    <x v="312"/>
    <s v="BD"/>
    <d v="1899-12-30T09:44:00"/>
    <d v="1899-12-30T11:48:00"/>
    <d v="1899-12-30T12:06:00"/>
    <n v="2.0666666666666687"/>
    <n v="0.29999999999999893"/>
    <n v="2.3666666666666676"/>
    <s v="Oil top up and restored the WTG"/>
    <s v="Close"/>
    <n v="5.9166666666666694E-2"/>
    <s v="G39"/>
    <n v="162.11666666666673"/>
    <s v="None"/>
    <s v="WTG Breakdown Maintenance"/>
    <n v="1644"/>
    <n v="162.11666666666673"/>
    <m/>
    <m/>
    <m/>
    <m/>
  </r>
  <r>
    <n v="1818"/>
    <x v="272"/>
    <x v="1"/>
    <x v="0"/>
    <x v="9"/>
    <x v="1"/>
    <x v="27"/>
    <s v="PWEGPL"/>
    <s v="MSEDCL"/>
    <n v="2.5000000000000001E-2"/>
    <n v="205"/>
    <x v="312"/>
    <s v="BD"/>
    <d v="1899-12-30T11:20:00"/>
    <d v="1899-12-30T11:20:00"/>
    <d v="1899-12-30T11:41:00"/>
    <n v="0"/>
    <n v="0.34999999999999876"/>
    <n v="0.34999999999999876"/>
    <s v="Oil top up and restored the WTG"/>
    <s v="Close"/>
    <n v="8.7499999999999696E-3"/>
    <s v="G10"/>
    <n v="38.295833333333199"/>
    <s v="None"/>
    <s v="WTG Breakdown Maintenance"/>
    <n v="2626"/>
    <n v="38.295833333333199"/>
    <m/>
    <m/>
    <m/>
    <m/>
  </r>
  <r>
    <n v="1819"/>
    <x v="273"/>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682.4409722222222"/>
    <s v="None"/>
    <s v="WTG Unscheduled Maintenance"/>
    <n v="3685"/>
    <n v="3682.4409722222222"/>
    <m/>
    <m/>
    <m/>
    <m/>
  </r>
  <r>
    <n v="1820"/>
    <x v="273"/>
    <x v="1"/>
    <x v="0"/>
    <x v="9"/>
    <x v="1"/>
    <x v="14"/>
    <s v="PWEGPL"/>
    <s v="MSEDCL"/>
    <n v="2.5000000000000001E-2"/>
    <s v="CE100010"/>
    <x v="296"/>
    <s v="PM"/>
    <d v="1899-12-30T10:05:00"/>
    <d v="1899-12-30T10:05:00"/>
    <d v="1899-12-30T17:48:00"/>
    <n v="0"/>
    <n v="7.7166666666666668"/>
    <n v="7.7166666666666668"/>
    <s v="yearly preventive maintenace completed Day 1"/>
    <s v="Close"/>
    <n v="0.19291666666666668"/>
    <s v="G35"/>
    <n v="766.52222222222224"/>
    <s v="None"/>
    <s v="WTG Scheduled Maintenance"/>
    <n v="2384"/>
    <n v="766.52222222222224"/>
    <m/>
    <m/>
    <m/>
    <m/>
  </r>
  <r>
    <n v="1821"/>
    <x v="273"/>
    <x v="1"/>
    <x v="0"/>
    <x v="9"/>
    <x v="1"/>
    <x v="22"/>
    <s v="PWEGPL"/>
    <s v="MSEDCL"/>
    <n v="2.5000000000000001E-2"/>
    <n v="804"/>
    <x v="382"/>
    <s v="BD"/>
    <d v="1899-12-30T13:15:00"/>
    <d v="1899-12-30T14:28:00"/>
    <d v="1899-12-30T20:30:00"/>
    <n v="1.216666666666665"/>
    <n v="6.0333333333333332"/>
    <n v="7.2499999999999982"/>
    <s v="Hub pitch manifold cheker plate fallen and damged the propectional value and cabkle then replaced profectiona value and corrected the all cables and restored the turbine"/>
    <s v="Close"/>
    <n v="0.18124999999999997"/>
    <s v="G04"/>
    <n v="852.17708333333314"/>
    <s v="None"/>
    <s v="WTG Breakdown Maintenance"/>
    <n v="2821"/>
    <n v="852.17708333333314"/>
    <m/>
    <m/>
    <m/>
    <m/>
  </r>
  <r>
    <n v="1822"/>
    <x v="273"/>
    <x v="1"/>
    <x v="0"/>
    <x v="9"/>
    <x v="1"/>
    <x v="17"/>
    <s v="PWEGPL"/>
    <s v="MSEDCL"/>
    <n v="2.5000000000000001E-2"/>
    <n v="550"/>
    <x v="297"/>
    <s v="BD"/>
    <d v="1899-12-30T20:47:00"/>
    <d v="1899-12-30T21:50:00"/>
    <d v="1899-12-30T21:55:00"/>
    <n v="1.0499999999999989"/>
    <n v="8.3333333333335702E-2"/>
    <n v="1.1333333333333346"/>
    <s v="Rebooted and restored"/>
    <s v="Close"/>
    <n v="2.8333333333333367E-2"/>
    <s v="G06"/>
    <n v="136.85000000000016"/>
    <s v="None"/>
    <s v="WTG Breakdown Maintenance"/>
    <n v="2898"/>
    <n v="136.85000000000016"/>
    <m/>
    <m/>
    <m/>
    <m/>
  </r>
  <r>
    <n v="1823"/>
    <x v="274"/>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638.166666666667"/>
    <s v="None"/>
    <s v="WTG Unscheduled Maintenance"/>
    <n v="2640"/>
    <n v="2638.166666666667"/>
    <m/>
    <m/>
    <m/>
    <m/>
  </r>
  <r>
    <n v="1824"/>
    <x v="274"/>
    <x v="1"/>
    <x v="0"/>
    <x v="9"/>
    <x v="1"/>
    <x v="14"/>
    <s v="PWEGPL"/>
    <s v="MSEDCL"/>
    <n v="2.5000000000000001E-2"/>
    <s v="CE100010"/>
    <x v="296"/>
    <s v="PM"/>
    <d v="1899-12-30T10:51:00"/>
    <d v="1899-12-30T10:51:00"/>
    <d v="1899-12-30T18:30:00"/>
    <n v="0"/>
    <n v="7.65"/>
    <n v="7.65"/>
    <s v="yearly preventive maintenace completed Day 2"/>
    <s v="Close"/>
    <n v="0.19125000000000003"/>
    <s v="G35"/>
    <n v="645.15"/>
    <s v="None"/>
    <s v="WTG Scheduled Maintenance"/>
    <n v="2024"/>
    <n v="645.15"/>
    <m/>
    <m/>
    <m/>
    <m/>
  </r>
  <r>
    <n v="1825"/>
    <x v="274"/>
    <x v="1"/>
    <x v="0"/>
    <x v="9"/>
    <x v="1"/>
    <x v="29"/>
    <s v="PWEGPL"/>
    <s v="MSEDCL"/>
    <n v="2.5000000000000001E-2"/>
    <n v="104"/>
    <x v="399"/>
    <s v="BD"/>
    <d v="1899-12-30T19:05:00"/>
    <d v="1899-12-30T21:48:00"/>
    <d v="1899-12-30T23:59:00"/>
    <n v="2.7166666666666677"/>
    <n v="2.1833333333333336"/>
    <n v="4.9000000000000012"/>
    <s v="PLC parameetr corrected then reupload and restored"/>
    <s v="Open"/>
    <n v="0.12250000000000004"/>
    <s v="G10"/>
    <n v="401.18750000000011"/>
    <s v="None"/>
    <s v="WTG Breakdown Maintenance"/>
    <n v="1965"/>
    <n v="401.18750000000011"/>
    <m/>
    <m/>
    <m/>
    <m/>
  </r>
  <r>
    <n v="1826"/>
    <x v="274"/>
    <x v="1"/>
    <x v="0"/>
    <x v="9"/>
    <x v="1"/>
    <x v="39"/>
    <s v="PWEGPL"/>
    <s v="MSEDCL"/>
    <n v="2.5000000000000001E-2"/>
    <n v="118"/>
    <x v="313"/>
    <s v="Manual stop"/>
    <d v="1899-12-30T10:55:00"/>
    <d v="1899-12-30T10:55:00"/>
    <d v="1899-12-30T15:10:00"/>
    <n v="0"/>
    <n v="4.25"/>
    <n v="4.25"/>
    <s v="Yaw drive failure inspection work done"/>
    <s v="Close"/>
    <n v="0.10625000000000001"/>
    <s v="G14"/>
    <n v="434.03125"/>
    <s v="None"/>
    <s v="WTG Breakdown Maintenance"/>
    <n v="2451"/>
    <n v="434.03125"/>
    <m/>
    <m/>
    <m/>
    <m/>
  </r>
  <r>
    <n v="1827"/>
    <x v="275"/>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248.4375"/>
    <s v="None"/>
    <s v="WTG Unscheduled Maintenance"/>
    <n v="2250"/>
    <n v="2248.4375"/>
    <m/>
    <m/>
    <m/>
    <m/>
  </r>
  <r>
    <n v="1828"/>
    <x v="275"/>
    <x v="1"/>
    <x v="0"/>
    <x v="9"/>
    <x v="1"/>
    <x v="12"/>
    <s v="PWEGPL"/>
    <s v="MSEDCL"/>
    <n v="2.5000000000000001E-2"/>
    <s v="CE100010"/>
    <x v="296"/>
    <s v="PM"/>
    <d v="1899-12-30T10:20:00"/>
    <d v="1899-12-30T10:20:00"/>
    <d v="1899-12-30T21:03:00"/>
    <n v="0"/>
    <n v="10.716666666666665"/>
    <n v="10.716666666666665"/>
    <s v="yearly preventive maintenace completed Day 2"/>
    <s v="Close"/>
    <n v="0.26791666666666664"/>
    <s v="G35"/>
    <n v="1051.1263888888886"/>
    <s v="None"/>
    <s v="WTG Scheduled Maintenance"/>
    <n v="2354"/>
    <n v="1051.1263888888886"/>
    <m/>
    <m/>
    <m/>
    <m/>
  </r>
  <r>
    <n v="1829"/>
    <x v="275"/>
    <x v="1"/>
    <x v="0"/>
    <x v="9"/>
    <x v="1"/>
    <x v="38"/>
    <s v="PWEGPL"/>
    <s v="MSEDCL"/>
    <n v="2.5000000000000001E-2"/>
    <n v="507"/>
    <x v="318"/>
    <s v="BD"/>
    <d v="1899-12-30T11:41:00"/>
    <d v="1899-12-30T11:41:00"/>
    <d v="1899-12-30T13:41:00"/>
    <n v="0"/>
    <n v="1.9999999999999996"/>
    <n v="1.9999999999999996"/>
    <s v="Generator internal cooling faulty motor removed for repair"/>
    <s v="Close"/>
    <n v="4.9999999999999989E-2"/>
    <s v="G17"/>
    <n v="234.08333333333329"/>
    <s v="Warning rectification work"/>
    <s v="WTG Breakdown Maintenance"/>
    <n v="2809"/>
    <n v="234.08333333333329"/>
    <m/>
    <m/>
    <m/>
    <m/>
  </r>
  <r>
    <n v="1830"/>
    <x v="275"/>
    <x v="1"/>
    <x v="0"/>
    <x v="9"/>
    <x v="1"/>
    <x v="17"/>
    <s v="PWEGPL"/>
    <s v="MSEDCL"/>
    <n v="2.5000000000000001E-2"/>
    <n v="507"/>
    <x v="318"/>
    <s v="BD"/>
    <d v="1899-12-30T16:26:00"/>
    <d v="1899-12-30T16:26:00"/>
    <d v="1899-12-30T18:20:00"/>
    <n v="0"/>
    <n v="1.8999999999999986"/>
    <n v="1.8999999999999986"/>
    <s v="Generator internal cooling faulty motor removed for repair"/>
    <s v="Close"/>
    <n v="4.7499999999999966E-2"/>
    <s v="G09"/>
    <n v="295.52916666666641"/>
    <s v="Warning rectification work"/>
    <s v="WTG Breakdown Maintenance"/>
    <n v="3733"/>
    <n v="295.52916666666641"/>
    <m/>
    <m/>
    <m/>
    <m/>
  </r>
  <r>
    <n v="1831"/>
    <x v="275"/>
    <x v="1"/>
    <x v="0"/>
    <x v="9"/>
    <x v="1"/>
    <x v="32"/>
    <s v="PWEGPL"/>
    <s v="MSEDCL"/>
    <n v="2.5000000000000001E-2"/>
    <n v="118"/>
    <x v="313"/>
    <s v="BD"/>
    <d v="1899-12-30T15:56:00"/>
    <d v="1899-12-30T15:56:00"/>
    <d v="1899-12-30T18:25:00"/>
    <n v="0"/>
    <n v="2.4833333333333352"/>
    <n v="2.4833333333333352"/>
    <s v="Yaw motor replaced and checked yawing found ok then restored the turbine"/>
    <s v="Close"/>
    <n v="6.2083333333333379E-2"/>
    <s v="G15"/>
    <n v="325.31666666666689"/>
    <s v="None"/>
    <s v="WTG Breakdown Maintenance"/>
    <n v="3144"/>
    <n v="325.31666666666689"/>
    <m/>
    <m/>
    <m/>
    <m/>
  </r>
  <r>
    <n v="1832"/>
    <x v="275"/>
    <x v="1"/>
    <x v="0"/>
    <x v="9"/>
    <x v="1"/>
    <x v="29"/>
    <s v="PWEGPL"/>
    <s v="MSEDCL"/>
    <n v="2.5000000000000001E-2"/>
    <n v="104"/>
    <x v="399"/>
    <s v="BD"/>
    <d v="1899-12-30T00:00:00"/>
    <d v="1899-12-30T00:00:00"/>
    <d v="1899-12-30T03:04:00"/>
    <n v="0"/>
    <n v="3.0666666666666673"/>
    <n v="3.0666666666666673"/>
    <s v="PLC parameetr corrected then reupload and restored"/>
    <s v="Close"/>
    <n v="7.6666666666666689E-2"/>
    <s v="G10"/>
    <n v="371.4500000000001"/>
    <s v="None"/>
    <s v="WTG Breakdown Maintenance"/>
    <n v="2907"/>
    <n v="371.4500000000001"/>
    <m/>
    <m/>
    <m/>
    <m/>
  </r>
  <r>
    <n v="1833"/>
    <x v="276"/>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181.3145833333338"/>
    <s v="None"/>
    <s v="WTG Unscheduled Maintenance"/>
    <n v="8187"/>
    <n v="8181.3145833333338"/>
    <m/>
    <m/>
    <m/>
    <m/>
  </r>
  <r>
    <n v="1834"/>
    <x v="276"/>
    <x v="1"/>
    <x v="0"/>
    <x v="9"/>
    <x v="1"/>
    <x v="17"/>
    <s v="PWEGPL"/>
    <s v="MSEDCL"/>
    <n v="2.5000000000000001E-2"/>
    <n v="507"/>
    <x v="318"/>
    <s v="BD"/>
    <d v="1899-12-30T12:45:00"/>
    <d v="1899-12-30T12:45:00"/>
    <d v="1899-12-30T15:02:00"/>
    <n v="0"/>
    <n v="2.2833333333333332"/>
    <n v="2.2833333333333332"/>
    <s v="Generator external cooling motor replaced and restored"/>
    <s v="Close"/>
    <n v="5.7083333333333333E-2"/>
    <s v="G09"/>
    <n v="556.5625"/>
    <s v="None"/>
    <s v="WTG Breakdown Maintenance"/>
    <n v="5850"/>
    <n v="556.5625"/>
    <m/>
    <m/>
    <m/>
    <m/>
  </r>
  <r>
    <n v="1835"/>
    <x v="277"/>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9644.2979166666664"/>
    <s v="None"/>
    <s v="WTG Unscheduled Maintenance"/>
    <n v="9651"/>
    <n v="9644.2979166666664"/>
    <m/>
    <m/>
    <m/>
    <m/>
  </r>
  <r>
    <n v="1836"/>
    <x v="277"/>
    <x v="1"/>
    <x v="0"/>
    <x v="9"/>
    <x v="1"/>
    <x v="15"/>
    <s v="PWEGPL"/>
    <s v="MSEDCL"/>
    <n v="2.5000000000000001E-2"/>
    <s v="CE100010"/>
    <x v="296"/>
    <s v="PM"/>
    <d v="1899-12-30T10:19:00"/>
    <d v="1899-12-30T10:19:00"/>
    <d v="1899-12-30T17:32:00"/>
    <n v="0"/>
    <n v="7.2166666666666686"/>
    <n v="7.2166666666666686"/>
    <s v="yearly preventive maintenace completed Day 1"/>
    <s v="Close"/>
    <n v="0.18041666666666673"/>
    <s v="G34"/>
    <n v="2327.0743055555558"/>
    <s v="None"/>
    <s v="WTG Scheduled Maintenance"/>
    <n v="7739"/>
    <n v="2327.0743055555558"/>
    <m/>
    <m/>
    <m/>
    <m/>
  </r>
  <r>
    <n v="1837"/>
    <x v="277"/>
    <x v="1"/>
    <x v="0"/>
    <x v="9"/>
    <x v="1"/>
    <x v="34"/>
    <s v="PWEGPL"/>
    <s v="MSEDCL"/>
    <n v="2.5000000000000001E-2"/>
    <n v="509"/>
    <x v="301"/>
    <s v="BD"/>
    <d v="1899-12-30T21:27:00"/>
    <d v="1899-12-30T21:57:00"/>
    <d v="1899-12-30T23:07:00"/>
    <n v="0.50000000000000089"/>
    <n v="1.1666666666666679"/>
    <n v="1.6666666666666687"/>
    <s v="Checked slipring cooling fan and all found ok and running.during checking we observed module reading the temp wrongly.then interchanged the module and restored"/>
    <s v="Close"/>
    <n v="4.166666666666672E-2"/>
    <s v="G21"/>
    <n v="670.20833333333417"/>
    <s v="None"/>
    <s v="WTG Breakdown Maintenance"/>
    <n v="9651"/>
    <n v="670.20833333333417"/>
    <m/>
    <m/>
    <m/>
    <m/>
  </r>
  <r>
    <n v="1838"/>
    <x v="277"/>
    <x v="1"/>
    <x v="0"/>
    <x v="9"/>
    <x v="1"/>
    <x v="18"/>
    <s v="PWEGPL"/>
    <s v="MSEDCL"/>
    <n v="2.5000000000000001E-2"/>
    <n v="205"/>
    <x v="312"/>
    <s v="BD"/>
    <d v="1899-12-30T12:07:00"/>
    <d v="1899-12-30T12:59:00"/>
    <d v="1899-12-30T13:32:00"/>
    <n v="0.86666666666666625"/>
    <n v="0.55000000000000071"/>
    <n v="1.416666666666667"/>
    <s v="Oil top up and restored the WTG"/>
    <s v="Close"/>
    <n v="3.5416666666666673E-2"/>
    <s v="G18"/>
    <n v="387.75347222222229"/>
    <s v="None"/>
    <s v="WTG Breakdown Maintenance"/>
    <n v="6569"/>
    <n v="387.75347222222229"/>
    <m/>
    <m/>
    <m/>
    <m/>
  </r>
  <r>
    <n v="1839"/>
    <x v="278"/>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199.6916666666666"/>
    <s v="None"/>
    <s v="WTG Unscheduled Maintenance"/>
    <n v="6204"/>
    <n v="6199.6916666666666"/>
    <m/>
    <m/>
    <m/>
    <m/>
  </r>
  <r>
    <n v="1840"/>
    <x v="278"/>
    <x v="1"/>
    <x v="0"/>
    <x v="9"/>
    <x v="1"/>
    <x v="15"/>
    <s v="PWEGPL"/>
    <s v="MSEDCL"/>
    <n v="2.5000000000000001E-2"/>
    <s v="CE100010"/>
    <x v="296"/>
    <s v="PM"/>
    <d v="1899-12-30T09:54:00"/>
    <d v="1899-12-30T09:54:00"/>
    <d v="1899-12-30T17:08:00"/>
    <n v="0"/>
    <n v="7.2333333333333325"/>
    <n v="7.2333333333333325"/>
    <s v="yearly preventive maintenace completed Day 2"/>
    <s v="Close"/>
    <n v="0.18083333333333332"/>
    <s v="G34"/>
    <n v="1480.422222222222"/>
    <s v="None"/>
    <s v="WTG Scheduled Maintenance"/>
    <n v="4912"/>
    <n v="1480.422222222222"/>
    <m/>
    <m/>
    <m/>
    <m/>
  </r>
  <r>
    <n v="1841"/>
    <x v="278"/>
    <x v="1"/>
    <x v="0"/>
    <x v="9"/>
    <x v="1"/>
    <x v="29"/>
    <s v="PWEGPL"/>
    <s v="MSEDCL"/>
    <n v="2.5000000000000001E-2"/>
    <n v="2118"/>
    <x v="293"/>
    <s v="BD"/>
    <d v="1899-12-30T09:23:00"/>
    <d v="1899-12-30T11:18:00"/>
    <d v="1899-12-30T14:39:00"/>
    <n v="1.9166666666666679"/>
    <n v="3.35"/>
    <n v="5.2666666666666675"/>
    <s v="Slipring cleaned and restored"/>
    <s v="Close"/>
    <n v="0.13166666666666668"/>
    <s v="G10"/>
    <n v="1091.077777777778"/>
    <s v="None"/>
    <s v="WTG Breakdown Maintenance"/>
    <n v="4972"/>
    <n v="1091.077777777778"/>
    <m/>
    <m/>
    <m/>
    <m/>
  </r>
  <r>
    <n v="1842"/>
    <x v="278"/>
    <x v="1"/>
    <x v="0"/>
    <x v="9"/>
    <x v="1"/>
    <x v="7"/>
    <s v="PWEGPL"/>
    <s v="MSEDCL"/>
    <n v="2.5000000000000001E-2"/>
    <n v="804"/>
    <x v="382"/>
    <s v="BD"/>
    <d v="1899-12-30T13:33:00"/>
    <d v="1899-12-30T16:17:00"/>
    <d v="1899-12-30T19:26:00"/>
    <n v="2.7333333333333343"/>
    <n v="3.1499999999999995"/>
    <n v="5.8833333333333337"/>
    <s v="Which checking observed blade B pitching not done then checked all propectional value and cable and found connector loose condition in propectional value then properly connected and restored."/>
    <s v="Close"/>
    <n v="0.14708333333333334"/>
    <s v="G39"/>
    <n v="1056.3034722222224"/>
    <s v="None"/>
    <s v="WTG Breakdown Maintenance"/>
    <n v="4309"/>
    <n v="1056.3034722222224"/>
    <m/>
    <m/>
    <m/>
    <m/>
  </r>
  <r>
    <n v="1843"/>
    <x v="279"/>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415.0166666666667"/>
    <s v="None"/>
    <s v="WTG Unscheduled Maintenance"/>
    <n v="1416"/>
    <n v="1415.0166666666667"/>
    <m/>
    <m/>
    <m/>
    <m/>
  </r>
  <r>
    <n v="1844"/>
    <x v="279"/>
    <x v="1"/>
    <x v="0"/>
    <x v="9"/>
    <x v="1"/>
    <x v="16"/>
    <s v="PWEGPL"/>
    <s v="MSEDCL"/>
    <n v="2.5000000000000001E-2"/>
    <s v="CE100010"/>
    <x v="296"/>
    <s v="PM"/>
    <d v="1899-12-30T10:26:00"/>
    <d v="1899-12-30T10:26:00"/>
    <d v="1899-12-30T17:37:00"/>
    <n v="0"/>
    <n v="7.1833333333333345"/>
    <n v="7.1833333333333345"/>
    <s v="yearly preventive maintenace completed Day 1"/>
    <s v="Close"/>
    <n v="0.17958333333333337"/>
    <s v="G35"/>
    <n v="417.83055555555558"/>
    <s v="None"/>
    <s v="WTG Scheduled Maintenance"/>
    <n v="1396"/>
    <n v="417.83055555555558"/>
    <m/>
    <m/>
    <m/>
    <m/>
  </r>
  <r>
    <n v="1845"/>
    <x v="279"/>
    <x v="1"/>
    <x v="0"/>
    <x v="9"/>
    <x v="1"/>
    <x v="6"/>
    <s v="PWEGPL"/>
    <s v="MSEDCL"/>
    <n v="2.5000000000000001E-2"/>
    <n v="205"/>
    <x v="312"/>
    <s v="BD"/>
    <d v="1899-12-30T09:29:00"/>
    <d v="1899-12-30T11:23:00"/>
    <d v="1899-12-30T11:34:00"/>
    <n v="1.9"/>
    <n v="0.18333333333333401"/>
    <n v="2.0833333333333339"/>
    <s v="Reboot &amp; reset"/>
    <s v="Close"/>
    <n v="5.208333333333335E-2"/>
    <s v="G38"/>
    <n v="93.2291666666667"/>
    <s v="None"/>
    <s v="WTG Breakdown Maintenance"/>
    <n v="1074"/>
    <n v="93.2291666666667"/>
    <m/>
    <m/>
    <m/>
    <m/>
  </r>
  <r>
    <n v="1846"/>
    <x v="279"/>
    <x v="1"/>
    <x v="0"/>
    <x v="9"/>
    <x v="1"/>
    <x v="7"/>
    <s v="PWEGPL"/>
    <s v="MSEDCL"/>
    <n v="2.5000000000000001E-2"/>
    <n v="115"/>
    <x v="308"/>
    <s v="BD"/>
    <d v="1899-12-30T10:26:00"/>
    <d v="1899-12-30T11:40:00"/>
    <d v="1899-12-30T13:26:00"/>
    <n v="1.2333333333333329"/>
    <n v="1.7666666666666671"/>
    <n v="3"/>
    <s v="pos104 value setting done and restored the turbine"/>
    <s v="Close"/>
    <n v="7.5000000000000011E-2"/>
    <s v="G38"/>
    <n v="134.25"/>
    <s v="None"/>
    <s v="WTG Breakdown Maintenance"/>
    <n v="1074"/>
    <n v="134.25"/>
    <m/>
    <m/>
    <m/>
    <m/>
  </r>
  <r>
    <n v="1847"/>
    <x v="280"/>
    <x v="1"/>
    <x v="0"/>
    <x v="9"/>
    <x v="1"/>
    <x v="16"/>
    <s v="PWEGPL"/>
    <s v="MSEDCL"/>
    <n v="2.5000000000000001E-2"/>
    <s v="CE100010"/>
    <x v="296"/>
    <s v="PM"/>
    <d v="1899-12-30T10:30:00"/>
    <d v="1899-12-30T10:30:00"/>
    <d v="1899-12-30T19:00:00"/>
    <n v="0"/>
    <n v="8.5"/>
    <n v="8.5"/>
    <s v="yearly preventive maintenace completed Day 2"/>
    <s v="Close"/>
    <n v="0.21250000000000002"/>
    <s v="G35"/>
    <n v="1271.8125"/>
    <s v="None"/>
    <s v="WTG Scheduled Maintenance"/>
    <n v="3591"/>
    <n v="1271.8125"/>
    <m/>
    <m/>
    <m/>
    <m/>
  </r>
  <r>
    <n v="1848"/>
    <x v="280"/>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804.3562500000003"/>
    <s v="None"/>
    <s v="WTG Unscheduled Maintenance"/>
    <n v="3807"/>
    <n v="3804.3562500000003"/>
    <m/>
    <m/>
    <m/>
    <m/>
  </r>
  <r>
    <n v="1849"/>
    <x v="280"/>
    <x v="1"/>
    <x v="0"/>
    <x v="9"/>
    <x v="1"/>
    <x v="39"/>
    <s v="PWEGPL"/>
    <s v="MSEDCL"/>
    <n v="2.5000000000000001E-2"/>
    <n v="402"/>
    <x v="300"/>
    <s v="BD"/>
    <d v="1899-12-30T10:35:00"/>
    <d v="1899-12-30T10:35:00"/>
    <d v="1899-12-30T18:02:00"/>
    <n v="0"/>
    <n v="7.4500000000000011"/>
    <n v="7.4500000000000011"/>
    <s v="Gearbox oil replaced and restored"/>
    <s v="Close"/>
    <n v="0.18625000000000003"/>
    <s v="G16"/>
    <n v="1189.8270833333336"/>
    <s v="Gearbox Oil replacememt"/>
    <s v="WTG Scheduled Maintenance"/>
    <n v="3833"/>
    <n v="1189.8270833333336"/>
    <m/>
    <m/>
    <m/>
    <m/>
  </r>
  <r>
    <n v="1850"/>
    <x v="280"/>
    <x v="1"/>
    <x v="0"/>
    <x v="9"/>
    <x v="1"/>
    <x v="7"/>
    <s v="PWEGPL"/>
    <s v="MSEDCL"/>
    <n v="2.5000000000000001E-2"/>
    <n v="800"/>
    <x v="298"/>
    <s v="BD"/>
    <d v="1899-12-30T09:25:00"/>
    <d v="1899-12-30T11:04:00"/>
    <d v="1899-12-30T14:55:00"/>
    <n v="1.6499999999999995"/>
    <n v="3.850000000000001"/>
    <n v="5.5"/>
    <s v="While troubleshooting found blade B pitching not done then checked all related possible causes found loose connection hub panel module then corrected and restored"/>
    <s v="Close"/>
    <n v="0.13750000000000001"/>
    <s v="G39"/>
    <n v="741.125"/>
    <s v="None"/>
    <s v="WTG Breakdown Maintenance"/>
    <n v="3234"/>
    <n v="741.125"/>
    <m/>
    <m/>
    <m/>
    <m/>
  </r>
  <r>
    <n v="1851"/>
    <x v="281"/>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508.0874999999996"/>
    <s v="None"/>
    <s v="WTG Unscheduled Maintenance"/>
    <n v="8514"/>
    <n v="8508.0874999999996"/>
    <m/>
    <m/>
    <m/>
    <m/>
  </r>
  <r>
    <n v="1852"/>
    <x v="281"/>
    <x v="1"/>
    <x v="0"/>
    <x v="9"/>
    <x v="1"/>
    <x v="4"/>
    <s v="PWEGPL"/>
    <s v="MSEDCL"/>
    <n v="2.5000000000000001E-2"/>
    <s v="CE100010"/>
    <x v="296"/>
    <s v="PM"/>
    <d v="1899-12-30T09:34:00"/>
    <d v="1899-12-30T09:34:00"/>
    <d v="1899-12-30T16:47:00"/>
    <n v="0"/>
    <n v="7.2166666666666686"/>
    <n v="7.2166666666666686"/>
    <s v="yearly preventive maintenace completed Day 1"/>
    <s v="Close"/>
    <n v="0.18041666666666673"/>
    <s v="G36"/>
    <n v="1838.7465277777783"/>
    <s v="None"/>
    <s v="WTG Scheduled Maintenance"/>
    <n v="6115"/>
    <n v="1838.7465277777783"/>
    <m/>
    <m/>
    <m/>
    <m/>
  </r>
  <r>
    <n v="1853"/>
    <x v="281"/>
    <x v="1"/>
    <x v="0"/>
    <x v="9"/>
    <x v="1"/>
    <x v="5"/>
    <s v="PWEGPL"/>
    <s v="MSEDCL"/>
    <n v="2.5000000000000001E-2"/>
    <s v="CE100010"/>
    <x v="296"/>
    <s v="PM"/>
    <d v="1899-12-30T11:02:00"/>
    <d v="1899-12-30T11:02:00"/>
    <d v="1899-12-30T18:02:00"/>
    <n v="0"/>
    <n v="7.0000000000000036"/>
    <n v="7.0000000000000036"/>
    <s v="yearly preventive maintenace completed Day 2"/>
    <s v="Close"/>
    <n v="0.1750000000000001"/>
    <s v="G39"/>
    <n v="1708.5833333333342"/>
    <s v="None"/>
    <s v="WTG Scheduled Maintenance"/>
    <n v="5858"/>
    <n v="1708.5833333333342"/>
    <m/>
    <m/>
    <m/>
    <m/>
  </r>
  <r>
    <n v="1854"/>
    <x v="281"/>
    <x v="1"/>
    <x v="0"/>
    <x v="9"/>
    <x v="1"/>
    <x v="37"/>
    <s v="PWEGPL"/>
    <s v="MSEDCL"/>
    <n v="2.5000000000000001E-2"/>
    <n v="402"/>
    <x v="300"/>
    <s v="BD"/>
    <d v="1899-12-30T10:17:00"/>
    <d v="1899-12-30T10:17:00"/>
    <d v="1899-12-30T14:37:00"/>
    <n v="0"/>
    <n v="4.3333333333333357"/>
    <n v="4.3333333333333357"/>
    <s v="Gearbox oil replaced and restored"/>
    <s v="Close"/>
    <n v="0.10833333333333339"/>
    <s v="G17"/>
    <n v="917.58333333333383"/>
    <s v="Gearbox Oil replacememt"/>
    <s v="WTG Scheduled Maintenance"/>
    <n v="5082"/>
    <n v="917.58333333333383"/>
    <m/>
    <m/>
    <m/>
    <m/>
  </r>
  <r>
    <n v="1855"/>
    <x v="281"/>
    <x v="1"/>
    <x v="0"/>
    <x v="9"/>
    <x v="1"/>
    <x v="34"/>
    <s v="PWEGPL"/>
    <s v="MSEDCL"/>
    <n v="2.5000000000000001E-2"/>
    <n v="509"/>
    <x v="301"/>
    <s v="BD"/>
    <d v="1899-12-30T22:09:00"/>
    <d v="1899-12-30T22:44:00"/>
    <d v="1899-12-30T23:54:00"/>
    <n v="0.58333333333333659"/>
    <n v="1.1666666666666625"/>
    <n v="1.7499999999999991"/>
    <s v="Checked all generator slipring cooling system found all fans are operational and then checked modules and connection then intercvhanged the moduel and restored"/>
    <s v="Close"/>
    <n v="4.3749999999999983E-2"/>
    <s v="G21"/>
    <n v="620.81249999999966"/>
    <s v="None"/>
    <s v="WTG Breakdown Maintenance"/>
    <n v="8514"/>
    <n v="620.81249999999966"/>
    <m/>
    <m/>
    <m/>
    <m/>
  </r>
  <r>
    <n v="1856"/>
    <x v="282"/>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1915.719444444445"/>
    <s v="None"/>
    <s v="WTG Unscheduled Maintenance"/>
    <n v="11924"/>
    <n v="11915.719444444445"/>
    <m/>
    <m/>
    <m/>
    <m/>
  </r>
  <r>
    <n v="1857"/>
    <x v="282"/>
    <x v="1"/>
    <x v="0"/>
    <x v="9"/>
    <x v="1"/>
    <x v="4"/>
    <s v="PWEGPL"/>
    <s v="MSEDCL"/>
    <n v="2.5000000000000001E-2"/>
    <s v="CE100010"/>
    <x v="296"/>
    <s v="PM"/>
    <d v="1899-12-30T09:35:00"/>
    <d v="1899-12-30T09:35:00"/>
    <d v="1899-12-30T18:51:00"/>
    <n v="0"/>
    <n v="9.2666666666666693"/>
    <n v="9.2666666666666693"/>
    <s v="yearly preventive maintenace completed Day 2"/>
    <s v="Close"/>
    <n v="0.23166666666666674"/>
    <s v="G36"/>
    <n v="3212.8305555555562"/>
    <s v="None"/>
    <s v="WTG Scheduled Maintenance"/>
    <n v="8321"/>
    <n v="3212.8305555555562"/>
    <m/>
    <m/>
    <m/>
    <m/>
  </r>
  <r>
    <n v="1858"/>
    <x v="282"/>
    <x v="1"/>
    <x v="0"/>
    <x v="9"/>
    <x v="1"/>
    <x v="5"/>
    <s v="PWEGPL"/>
    <s v="MSEDCL"/>
    <n v="2.5000000000000001E-2"/>
    <s v="CE100010"/>
    <x v="296"/>
    <s v="PM"/>
    <d v="1899-12-30T09:45:00"/>
    <d v="1899-12-30T09:45:00"/>
    <d v="1899-12-30T18:23:00"/>
    <n v="0"/>
    <n v="8.6333333333333329"/>
    <n v="8.6333333333333329"/>
    <s v="yearly preventive maintenace completed Day 1"/>
    <s v="Close"/>
    <n v="0.21583333333333332"/>
    <s v="G39"/>
    <n v="2656.5486111111109"/>
    <s v="None"/>
    <s v="WTG Scheduled Maintenance"/>
    <n v="7385"/>
    <n v="2656.5486111111109"/>
    <m/>
    <m/>
    <m/>
    <m/>
  </r>
  <r>
    <n v="1859"/>
    <x v="282"/>
    <x v="1"/>
    <x v="0"/>
    <x v="9"/>
    <x v="1"/>
    <x v="0"/>
    <s v="PWEGPL"/>
    <s v="MSEDCL"/>
    <n v="2.5000000000000001E-2"/>
    <n v="402"/>
    <x v="300"/>
    <s v="BD"/>
    <d v="1899-12-30T10:03:00"/>
    <d v="1899-12-30T10:03:00"/>
    <d v="1899-12-30T14:28:00"/>
    <n v="0"/>
    <n v="4.4166666666666661"/>
    <n v="4.4166666666666661"/>
    <s v="Gearbox oil replaced and restored"/>
    <s v="Close"/>
    <n v="0.11041666666666666"/>
    <s v="G18"/>
    <n v="1117.7847222222222"/>
    <s v="Gearbox Oil replacememt"/>
    <s v="WTG Scheduled Maintenance"/>
    <n v="6074"/>
    <n v="1117.7847222222222"/>
    <m/>
    <m/>
    <m/>
    <m/>
  </r>
  <r>
    <n v="1860"/>
    <x v="282"/>
    <x v="1"/>
    <x v="0"/>
    <x v="9"/>
    <x v="1"/>
    <x v="34"/>
    <s v="PWEGPL"/>
    <s v="MSEDCL"/>
    <n v="2.5000000000000001E-2"/>
    <n v="509"/>
    <x v="301"/>
    <s v="BD"/>
    <d v="1899-12-30T09:45:00"/>
    <d v="1899-12-30T10:56:00"/>
    <d v="1899-12-30T11:29:00"/>
    <n v="1.1833333333333331"/>
    <n v="0.54999999999999938"/>
    <n v="1.7333333333333325"/>
    <s v="generator earthing brush replaced"/>
    <s v="Close"/>
    <n v="4.3333333333333314E-2"/>
    <s v="G18"/>
    <n v="438.67777777777758"/>
    <s v="None"/>
    <s v="WTG Breakdown Maintenance"/>
    <n v="6074"/>
    <n v="438.67777777777758"/>
    <m/>
    <m/>
    <m/>
    <m/>
  </r>
  <r>
    <n v="1861"/>
    <x v="282"/>
    <x v="1"/>
    <x v="0"/>
    <x v="9"/>
    <x v="1"/>
    <x v="18"/>
    <s v="PWEGPL"/>
    <s v="MSEDCL"/>
    <n v="2.5000000000000001E-2"/>
    <n v="5228"/>
    <x v="346"/>
    <s v="BD"/>
    <d v="1899-12-30T15:11:00"/>
    <d v="1899-12-30T15:26:00"/>
    <d v="1899-12-30T23:59:00"/>
    <n v="0.25000000000000178"/>
    <n v="8.5499999999999989"/>
    <n v="8.8000000000000007"/>
    <s v="Troubleshooting under progress"/>
    <s v="Close"/>
    <n v="0.22000000000000003"/>
    <s v="G18"/>
    <n v="2227.1333333333337"/>
    <s v="None"/>
    <s v="WTG Breakdown Maintenance"/>
    <n v="6074"/>
    <n v="2227.1333333333337"/>
    <m/>
    <m/>
    <m/>
    <m/>
  </r>
  <r>
    <n v="1862"/>
    <x v="283"/>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3693.484027777778"/>
    <s v="None"/>
    <s v="WTG Unscheduled Maintenance"/>
    <n v="13703"/>
    <n v="13693.484027777778"/>
    <m/>
    <m/>
    <m/>
    <m/>
  </r>
  <r>
    <n v="1863"/>
    <x v="283"/>
    <x v="1"/>
    <x v="0"/>
    <x v="9"/>
    <x v="1"/>
    <x v="18"/>
    <s v="PWEGPL"/>
    <s v="MSEDCL"/>
    <n v="2.5000000000000001E-2"/>
    <n v="5228"/>
    <x v="346"/>
    <s v="BD"/>
    <d v="1899-12-30T00:00:00"/>
    <d v="1899-12-30T00:00:00"/>
    <d v="1899-12-30T01:48:00"/>
    <n v="0"/>
    <n v="1.7999999999999998"/>
    <n v="1.7999999999999998"/>
    <s v="pos110 value replaced and rstored"/>
    <s v="Close"/>
    <n v="4.4999999999999998E-2"/>
    <s v="G18"/>
    <n v="804.67499999999995"/>
    <s v="None"/>
    <s v="WTG Breakdown Maintenance"/>
    <n v="10729"/>
    <n v="804.67499999999995"/>
    <m/>
    <m/>
    <m/>
    <m/>
  </r>
  <r>
    <n v="1864"/>
    <x v="283"/>
    <x v="1"/>
    <x v="0"/>
    <x v="9"/>
    <x v="1"/>
    <x v="18"/>
    <s v="PWEGPL"/>
    <s v="MSEDCL"/>
    <n v="2.5000000000000001E-2"/>
    <n v="203"/>
    <x v="290"/>
    <s v="BD"/>
    <d v="1899-12-30T04:41:00"/>
    <d v="1899-12-30T06:19:00"/>
    <d v="1899-12-30T18:06:00"/>
    <n v="1.6333333333333335"/>
    <n v="11.783333333333335"/>
    <n v="13.41666666666667"/>
    <s v="Hydraulic accumulator replaced and restored"/>
    <s v="Close"/>
    <n v="0.33541666666666675"/>
    <s v="G18"/>
    <n v="5997.8090277777792"/>
    <s v="None"/>
    <s v="WTG Breakdown Maintenance"/>
    <n v="10729"/>
    <n v="5997.8090277777792"/>
    <m/>
    <m/>
    <m/>
    <m/>
  </r>
  <r>
    <n v="1865"/>
    <x v="284"/>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223.6750000000002"/>
    <s v="None"/>
    <s v="WTG Unscheduled Maintenance"/>
    <n v="6228"/>
    <n v="6223.6750000000002"/>
    <m/>
    <m/>
    <m/>
    <m/>
  </r>
  <r>
    <n v="1866"/>
    <x v="284"/>
    <x v="1"/>
    <x v="0"/>
    <x v="9"/>
    <x v="1"/>
    <x v="6"/>
    <s v="PWEGPL"/>
    <s v="MSEDCL"/>
    <n v="2.5000000000000001E-2"/>
    <s v="CE100010"/>
    <x v="296"/>
    <s v="PM"/>
    <d v="1899-12-30T10:58:00"/>
    <d v="1899-12-30T10:58:00"/>
    <d v="1899-12-30T18:08:00"/>
    <n v="0"/>
    <n v="7.1666666666666661"/>
    <n v="7.1666666666666661"/>
    <s v="yearly preventive maintenace completed Day 1"/>
    <s v="Close"/>
    <n v="0.17916666666666667"/>
    <s v="G38"/>
    <n v="1111.4305555555554"/>
    <s v="None"/>
    <s v="WTG Scheduled Maintenance"/>
    <n v="3722"/>
    <n v="1111.4305555555554"/>
    <m/>
    <m/>
    <m/>
    <m/>
  </r>
  <r>
    <n v="1867"/>
    <x v="284"/>
    <x v="1"/>
    <x v="0"/>
    <x v="9"/>
    <x v="1"/>
    <x v="7"/>
    <s v="PWEGPL"/>
    <s v="MSEDCL"/>
    <n v="2.5000000000000001E-2"/>
    <n v="205"/>
    <x v="312"/>
    <s v="BD"/>
    <d v="1899-12-30T04:45:00"/>
    <d v="1899-12-30T10:05:00"/>
    <d v="1899-12-30T10:35:00"/>
    <n v="5.3333333333333339"/>
    <n v="0.50000000000000089"/>
    <n v="5.8333333333333348"/>
    <s v="Oil top up and restored the WTG"/>
    <s v="Close"/>
    <n v="0.14583333333333337"/>
    <s v="G38"/>
    <n v="904.65277777777806"/>
    <s v="Delay due to heavy rain at site"/>
    <s v="WTG Breakdown Maintenance"/>
    <n v="3722"/>
    <n v="904.65277777777806"/>
    <m/>
    <m/>
    <m/>
    <m/>
  </r>
  <r>
    <n v="1868"/>
    <x v="284"/>
    <x v="1"/>
    <x v="0"/>
    <x v="9"/>
    <x v="1"/>
    <x v="7"/>
    <s v="PWEGPL"/>
    <s v="MSEDCL"/>
    <n v="2.5000000000000001E-2"/>
    <s v="CE100010"/>
    <x v="296"/>
    <s v="PM"/>
    <d v="1899-12-30T10:25:00"/>
    <d v="1899-12-30T10:35:00"/>
    <d v="1899-12-30T18:56:00"/>
    <n v="0.16666666666666874"/>
    <n v="8.3499999999999979"/>
    <n v="8.5166666666666675"/>
    <s v="yearly preventive maintenace completed Day 2"/>
    <s v="Close"/>
    <n v="0.2129166666666667"/>
    <s v="G38"/>
    <n v="1320.7930555555558"/>
    <s v="None"/>
    <s v="WTG Scheduled Maintenance"/>
    <n v="3722"/>
    <n v="1320.7930555555558"/>
    <m/>
    <m/>
    <m/>
    <m/>
  </r>
  <r>
    <n v="1869"/>
    <x v="284"/>
    <x v="1"/>
    <x v="0"/>
    <x v="9"/>
    <x v="1"/>
    <x v="35"/>
    <s v="PWEGPL"/>
    <s v="MSEDCL"/>
    <n v="2.5000000000000001E-2"/>
    <n v="907"/>
    <x v="292"/>
    <s v="BD"/>
    <d v="1899-12-30T18:19:00"/>
    <d v="1899-12-30T22:30:00"/>
    <d v="1899-12-30T22:35:00"/>
    <n v="4.1833333333333345"/>
    <n v="8.3333333333333037E-2"/>
    <n v="4.2666666666666675"/>
    <s v="Reset and restored "/>
    <s v="Close"/>
    <n v="0.10666666666666669"/>
    <s v="G27"/>
    <n v="391.28888888888895"/>
    <s v="Delay due to heavy rain at site"/>
    <s v="WTG Breakdown Maintenance"/>
    <n v="2201"/>
    <n v="391.28888888888895"/>
    <m/>
    <m/>
    <m/>
    <m/>
  </r>
  <r>
    <n v="1870"/>
    <x v="284"/>
    <x v="1"/>
    <x v="0"/>
    <x v="9"/>
    <x v="1"/>
    <x v="36"/>
    <s v="PWEGPL"/>
    <s v="MSEDCL"/>
    <n v="2.5000000000000001E-2"/>
    <n v="5263"/>
    <x v="311"/>
    <s v="BD"/>
    <d v="1899-12-30T19:20:00"/>
    <d v="1899-12-30T22:45:00"/>
    <d v="1899-12-30T22:58:00"/>
    <n v="3.4166666666666679"/>
    <n v="0.2166666666666659"/>
    <n v="3.6333333333333337"/>
    <s v="Reset and restored "/>
    <s v="Close"/>
    <n v="9.0833333333333349E-2"/>
    <s v="G27"/>
    <n v="333.20694444444445"/>
    <s v="Delay due to heavy rain at site"/>
    <s v="WTG Breakdown Maintenance"/>
    <n v="2201"/>
    <n v="333.20694444444445"/>
    <m/>
    <m/>
    <m/>
    <m/>
  </r>
  <r>
    <n v="1871"/>
    <x v="285"/>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2764.0791666666669"/>
    <s v="None"/>
    <s v="WTG Unscheduled Maintenance"/>
    <n v="2766"/>
    <n v="2764.0791666666669"/>
    <m/>
    <m/>
    <m/>
    <m/>
  </r>
  <r>
    <n v="1872"/>
    <x v="285"/>
    <x v="1"/>
    <x v="0"/>
    <x v="9"/>
    <x v="1"/>
    <x v="6"/>
    <s v="PWEGPL"/>
    <s v="MSEDCL"/>
    <n v="2.5000000000000001E-2"/>
    <s v="CE100010"/>
    <x v="296"/>
    <s v="PM"/>
    <d v="1899-12-30T10:26:00"/>
    <d v="1899-12-30T10:26:00"/>
    <d v="1899-12-30T16:52:00"/>
    <n v="0"/>
    <n v="6.4333333333333345"/>
    <n v="6.4333333333333345"/>
    <s v="yearly preventive maintenace completed Day 2"/>
    <s v="Close"/>
    <n v="0.16083333333333338"/>
    <s v="G38"/>
    <n v="565.32916666666677"/>
    <s v="None"/>
    <s v="WTG Scheduled Maintenance"/>
    <n v="2109"/>
    <n v="565.32916666666677"/>
    <m/>
    <m/>
    <m/>
    <m/>
  </r>
  <r>
    <n v="1873"/>
    <x v="286"/>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7319.9131944444443"/>
    <s v="None"/>
    <s v="WTG Unscheduled Maintenance"/>
    <n v="7325"/>
    <n v="7319.9131944444443"/>
    <m/>
    <m/>
    <m/>
    <m/>
  </r>
  <r>
    <n v="1874"/>
    <x v="286"/>
    <x v="1"/>
    <x v="0"/>
    <x v="9"/>
    <x v="1"/>
    <x v="7"/>
    <s v="PWEGPL"/>
    <s v="MSEDCL"/>
    <n v="2.5000000000000001E-2"/>
    <s v="CE100010"/>
    <x v="296"/>
    <s v="PM"/>
    <d v="1899-12-30T10:53:00"/>
    <d v="1899-12-30T10:53:00"/>
    <d v="1899-12-30T17:12:00"/>
    <n v="0"/>
    <n v="6.3166666666666664"/>
    <n v="6.3166666666666664"/>
    <s v="yearly preventive maintenace completed Day 1"/>
    <s v="Close"/>
    <n v="0.15791666666666668"/>
    <s v="G39"/>
    <n v="1393.8777777777777"/>
    <s v="None"/>
    <s v="WTG Scheduled Maintenance"/>
    <n v="5296"/>
    <n v="1393.8777777777777"/>
    <m/>
    <m/>
    <m/>
    <m/>
  </r>
  <r>
    <n v="1875"/>
    <x v="286"/>
    <x v="1"/>
    <x v="0"/>
    <x v="9"/>
    <x v="1"/>
    <x v="29"/>
    <s v="PWEGPL"/>
    <s v="MSEDCL"/>
    <n v="2.5000000000000001E-2"/>
    <n v="2118"/>
    <x v="293"/>
    <s v="BD"/>
    <d v="1899-12-30T01:09:00"/>
    <d v="1899-12-30T02:29:00"/>
    <d v="1899-12-30T04:28:00"/>
    <n v="1.3333333333333335"/>
    <n v="1.9833333333333334"/>
    <n v="3.3166666666666669"/>
    <s v="Slipring cleaned and restored"/>
    <s v="Close"/>
    <n v="8.291666666666668E-2"/>
    <s v="G10"/>
    <n v="675.77083333333337"/>
    <s v="None"/>
    <s v="WTG Breakdown Maintenance"/>
    <n v="4890"/>
    <n v="675.77083333333337"/>
    <m/>
    <m/>
    <m/>
    <m/>
  </r>
  <r>
    <n v="1876"/>
    <x v="287"/>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9352.5006944444449"/>
    <s v="None"/>
    <s v="WTG Unscheduled Maintenance"/>
    <n v="9359"/>
    <n v="9352.5006944444449"/>
    <m/>
    <m/>
    <m/>
    <m/>
  </r>
  <r>
    <n v="1877"/>
    <x v="287"/>
    <x v="1"/>
    <x v="0"/>
    <x v="9"/>
    <x v="1"/>
    <x v="2"/>
    <s v="PWEGPL"/>
    <s v="MSEDCL"/>
    <n v="2.5000000000000001E-2"/>
    <s v="CE100010"/>
    <x v="296"/>
    <s v="PM"/>
    <d v="1899-12-30T10:53:00"/>
    <d v="1899-12-30T10:53:00"/>
    <d v="1899-12-30T17:12:00"/>
    <n v="0"/>
    <n v="6.3166666666666664"/>
    <n v="6.3166666666666664"/>
    <s v="yearly preventive maintenace completed Day 1"/>
    <s v="Close"/>
    <n v="0.15791666666666668"/>
    <s v="G39"/>
    <n v="2092.6590277777777"/>
    <s v="None"/>
    <s v="WTG Scheduled Maintenance"/>
    <n v="7951"/>
    <n v="2092.6590277777777"/>
    <m/>
    <m/>
    <m/>
    <m/>
  </r>
  <r>
    <n v="1878"/>
    <x v="287"/>
    <x v="1"/>
    <x v="0"/>
    <x v="9"/>
    <x v="1"/>
    <x v="22"/>
    <s v="PWEGPL"/>
    <s v="MSEDCL"/>
    <n v="2.5000000000000001E-2"/>
    <n v="813"/>
    <x v="376"/>
    <s v="BD"/>
    <d v="1899-12-30T14:50:00"/>
    <d v="1899-12-30T16:09:00"/>
    <d v="1899-12-30T17:49:00"/>
    <n v="1.3166666666666647"/>
    <n v="1.6666666666666687"/>
    <n v="2.9833333333333334"/>
    <s v="Found loose connection in pressure switch connector themn corrected and restord"/>
    <s v="Close"/>
    <n v="7.4583333333333335E-2"/>
    <s v="G04"/>
    <n v="701.3319444444445"/>
    <s v="None"/>
    <s v="WTG Breakdown Maintenance"/>
    <n v="5642"/>
    <n v="701.3319444444445"/>
    <m/>
    <m/>
    <m/>
    <m/>
  </r>
  <r>
    <n v="1879"/>
    <x v="287"/>
    <x v="1"/>
    <x v="0"/>
    <x v="9"/>
    <x v="1"/>
    <x v="32"/>
    <s v="PWEGPL"/>
    <s v="MSEDCL"/>
    <n v="2.5000000000000001E-2"/>
    <s v="CE100017"/>
    <x v="389"/>
    <s v="Manual stop/TCA"/>
    <d v="1899-12-30T12:29:00"/>
    <d v="1899-12-30T12:29:00"/>
    <d v="1899-12-30T13:06:00"/>
    <n v="0"/>
    <n v="0.61666666666666714"/>
    <n v="0.61666666666666714"/>
    <s v="UPS replaced"/>
    <s v="Close"/>
    <n v="1.5416666666666679E-2"/>
    <s v="G12"/>
    <n v="189.44513888888903"/>
    <s v="None"/>
    <s v="WTG Unscheduled Maintenance"/>
    <n v="7373"/>
    <n v="189.44513888888903"/>
    <m/>
    <m/>
    <m/>
    <m/>
  </r>
  <r>
    <n v="1880"/>
    <x v="287"/>
    <x v="1"/>
    <x v="0"/>
    <x v="9"/>
    <x v="1"/>
    <x v="34"/>
    <s v="PWEGPL"/>
    <s v="MSEDCL"/>
    <n v="2.5000000000000001E-2"/>
    <s v="CE100017"/>
    <x v="389"/>
    <s v="Manual stop/TCA"/>
    <d v="1899-12-30T11:45:00"/>
    <d v="1899-12-30T11:45:00"/>
    <d v="1899-12-30T11:57:00"/>
    <n v="0"/>
    <n v="0.19999999999999929"/>
    <n v="0.19999999999999929"/>
    <s v="UPS replaced"/>
    <s v="Close"/>
    <n v="4.9999999999999828E-3"/>
    <s v="G05"/>
    <n v="58.691666666666457"/>
    <s v="None"/>
    <s v="WTG Unscheduled Maintenance"/>
    <n v="7043"/>
    <n v="58.691666666666457"/>
    <m/>
    <m/>
    <m/>
    <m/>
  </r>
  <r>
    <n v="1881"/>
    <x v="287"/>
    <x v="1"/>
    <x v="0"/>
    <x v="9"/>
    <x v="1"/>
    <x v="33"/>
    <s v="PWEGPL"/>
    <s v="MSEDCL"/>
    <n v="2.5000000000000001E-2"/>
    <s v="CE100017"/>
    <x v="389"/>
    <s v="Manual stop/TCA"/>
    <d v="1899-12-30T11:25:00"/>
    <d v="1899-12-30T11:25:00"/>
    <d v="1899-12-30T11:38:00"/>
    <n v="0"/>
    <n v="0.21666666666666723"/>
    <n v="0.21666666666666723"/>
    <s v="UPS replaced"/>
    <s v="Close"/>
    <n v="5.4166666666666807E-3"/>
    <s v="G05"/>
    <n v="63.582638888889051"/>
    <s v="None"/>
    <s v="WTG Unscheduled Maintenance"/>
    <n v="7043"/>
    <n v="63.582638888889051"/>
    <m/>
    <m/>
    <m/>
    <m/>
  </r>
  <r>
    <n v="1882"/>
    <x v="287"/>
    <x v="1"/>
    <x v="0"/>
    <x v="9"/>
    <x v="1"/>
    <x v="31"/>
    <s v="PWEGPL"/>
    <s v="MSEDCL"/>
    <n v="2.5000000000000001E-2"/>
    <s v="CE100017"/>
    <x v="389"/>
    <s v="Manual stop/TCA"/>
    <d v="1899-12-30T14:04:00"/>
    <d v="1899-12-30T14:04:00"/>
    <d v="1899-12-30T14:32:00"/>
    <n v="0"/>
    <n v="0.46666666666666501"/>
    <n v="0.46666666666666501"/>
    <s v="UPS replaced"/>
    <s v="Close"/>
    <n v="1.1666666666666626E-2"/>
    <s v="G12"/>
    <n v="143.36388888888837"/>
    <s v="None"/>
    <s v="WTG Unscheduled Maintenance"/>
    <n v="7373"/>
    <n v="143.36388888888837"/>
    <m/>
    <m/>
    <m/>
    <m/>
  </r>
  <r>
    <n v="1883"/>
    <x v="287"/>
    <x v="1"/>
    <x v="0"/>
    <x v="9"/>
    <x v="1"/>
    <x v="18"/>
    <s v="PWEGPL"/>
    <s v="MSEDCL"/>
    <n v="2.5000000000000001E-2"/>
    <s v="CE100017"/>
    <x v="389"/>
    <s v="Manual stop/TCA"/>
    <d v="1899-12-30T15:09:00"/>
    <d v="1899-12-30T15:09:00"/>
    <d v="1899-12-30T15:34:00"/>
    <n v="0"/>
    <n v="0.41666666666666785"/>
    <n v="0.41666666666666785"/>
    <s v="UPS replaced"/>
    <s v="Close"/>
    <n v="1.0416666666666697E-2"/>
    <s v="G18"/>
    <n v="147.48263888888931"/>
    <s v="None"/>
    <s v="WTG Unscheduled Maintenance"/>
    <n v="8495"/>
    <n v="147.48263888888931"/>
    <m/>
    <m/>
    <m/>
    <m/>
  </r>
  <r>
    <n v="1884"/>
    <x v="28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3769.43125"/>
    <s v="None"/>
    <s v="WTG Unscheduled Maintenance"/>
    <n v="13779"/>
    <n v="13769.43125"/>
    <m/>
    <m/>
    <m/>
    <m/>
  </r>
  <r>
    <n v="1885"/>
    <x v="288"/>
    <x v="1"/>
    <x v="0"/>
    <x v="10"/>
    <x v="1"/>
    <x v="2"/>
    <s v="PWEGPL"/>
    <s v="MSEDCL"/>
    <n v="2.5000000000000001E-2"/>
    <s v="CE100010"/>
    <x v="296"/>
    <s v="PM"/>
    <d v="1899-12-30T10:00:00"/>
    <d v="1899-12-30T10:00:00"/>
    <d v="1899-12-30T17:25:00"/>
    <n v="0"/>
    <n v="7.4166666666666679"/>
    <n v="7.4166666666666679"/>
    <s v="yearly preventive maintenace completed Day 2"/>
    <s v="Close"/>
    <n v="0.1854166666666667"/>
    <s v="G40"/>
    <n v="3399.6145833333339"/>
    <s v="None"/>
    <s v="WTG Scheduled Maintenance"/>
    <n v="11001"/>
    <n v="3399.6145833333339"/>
    <m/>
    <m/>
    <m/>
    <m/>
  </r>
  <r>
    <n v="1886"/>
    <x v="288"/>
    <x v="1"/>
    <x v="0"/>
    <x v="10"/>
    <x v="1"/>
    <x v="3"/>
    <s v="PWEGPL"/>
    <s v="MSEDCL"/>
    <n v="2.5000000000000001E-2"/>
    <s v="CE100010"/>
    <x v="296"/>
    <s v="PM"/>
    <d v="1899-12-30T11:00:00"/>
    <d v="1899-12-30T11:00:00"/>
    <d v="1899-12-30T17:51:00"/>
    <n v="0"/>
    <n v="6.8500000000000014"/>
    <n v="6.8500000000000014"/>
    <s v="yearly preventive maintenace completed Day 1"/>
    <s v="Close"/>
    <n v="0.17125000000000004"/>
    <s v="G40"/>
    <n v="3139.8687500000005"/>
    <s v="None"/>
    <s v="WTG Scheduled Maintenance"/>
    <n v="11001"/>
    <n v="3139.8687500000005"/>
    <m/>
    <m/>
    <m/>
    <m/>
  </r>
  <r>
    <n v="1887"/>
    <x v="288"/>
    <x v="1"/>
    <x v="0"/>
    <x v="10"/>
    <x v="1"/>
    <x v="26"/>
    <s v="PWEGPL"/>
    <s v="MSEDCL"/>
    <n v="2.5000000000000001E-2"/>
    <n v="410"/>
    <x v="322"/>
    <s v="BD"/>
    <d v="1899-12-30T02:50:00"/>
    <d v="1899-12-30T02:50:00"/>
    <d v="1899-12-30T11:24:00"/>
    <n v="0"/>
    <n v="8.5666666666666664"/>
    <n v="8.5666666666666664"/>
    <s v="Reset and restored "/>
    <s v="Close"/>
    <n v="0.21416666666666667"/>
    <s v="G01"/>
    <n v="4495.0013888888889"/>
    <s v="Delay due to heavy rain at site"/>
    <s v="WTG Breakdown Maintenance"/>
    <n v="12593"/>
    <n v="4495.0013888888889"/>
    <m/>
    <m/>
    <m/>
    <m/>
  </r>
  <r>
    <n v="1888"/>
    <x v="288"/>
    <x v="1"/>
    <x v="0"/>
    <x v="10"/>
    <x v="1"/>
    <x v="13"/>
    <s v="PWEGPL"/>
    <s v="MSEDCL"/>
    <n v="2.5000000000000001E-2"/>
    <s v="CE100017"/>
    <x v="389"/>
    <s v="Manual stop/TCA"/>
    <d v="1899-12-30T13:51:00"/>
    <d v="1899-12-30T13:51:00"/>
    <d v="1899-12-30T14:28:00"/>
    <n v="0"/>
    <n v="0.61666666666666714"/>
    <n v="0.61666666666666714"/>
    <s v="UPS replaced"/>
    <s v="Close"/>
    <n v="1.5416666666666679E-2"/>
    <s v="G32"/>
    <n v="229.83680555555571"/>
    <s v="None"/>
    <s v="WTG Unscheduled Maintenance"/>
    <n v="8945"/>
    <n v="229.83680555555571"/>
    <m/>
    <m/>
    <m/>
    <m/>
  </r>
  <r>
    <n v="1889"/>
    <x v="288"/>
    <x v="1"/>
    <x v="0"/>
    <x v="10"/>
    <x v="1"/>
    <x v="11"/>
    <s v="PWEGPL"/>
    <s v="MSEDCL"/>
    <n v="2.5000000000000001E-2"/>
    <s v="CE100017"/>
    <x v="389"/>
    <s v="Manual stop/TCA"/>
    <d v="1899-12-30T15:14:00"/>
    <d v="1899-12-30T15:14:00"/>
    <d v="1899-12-30T15:19:00"/>
    <n v="0"/>
    <n v="8.3333333333333037E-2"/>
    <n v="8.3333333333333037E-2"/>
    <s v="UPS replaced"/>
    <s v="Close"/>
    <n v="2.0833333333333259E-3"/>
    <s v="G29"/>
    <n v="36.618055555555429"/>
    <s v="None"/>
    <s v="WTG Unscheduled Maintenance"/>
    <n v="10546"/>
    <n v="36.618055555555429"/>
    <m/>
    <m/>
    <m/>
    <m/>
  </r>
  <r>
    <n v="1890"/>
    <x v="288"/>
    <x v="1"/>
    <x v="0"/>
    <x v="10"/>
    <x v="1"/>
    <x v="15"/>
    <s v="PWEGPL"/>
    <s v="MSEDCL"/>
    <n v="2.5000000000000001E-2"/>
    <s v="CE100017"/>
    <x v="389"/>
    <s v="Manual stop/TCA"/>
    <d v="1899-12-30T14:43:00"/>
    <d v="1899-12-30T14:43:00"/>
    <d v="1899-12-30T14:50:00"/>
    <n v="0"/>
    <n v="0.11666666666666625"/>
    <n v="0.11666666666666625"/>
    <s v="UPS replaced"/>
    <s v="Close"/>
    <n v="2.9166666666666564E-3"/>
    <s v="G34"/>
    <n v="54.818749999999802"/>
    <s v="None"/>
    <s v="WTG Unscheduled Maintenance"/>
    <n v="11277"/>
    <n v="54.818749999999802"/>
    <m/>
    <m/>
    <m/>
    <m/>
  </r>
  <r>
    <n v="1891"/>
    <x v="289"/>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868.8368055555566"/>
    <s v="None"/>
    <s v="WTG Unscheduled Maintenance"/>
    <n v="8875"/>
    <n v="8868.8368055555566"/>
    <m/>
    <m/>
    <m/>
    <m/>
  </r>
  <r>
    <n v="1892"/>
    <x v="289"/>
    <x v="1"/>
    <x v="0"/>
    <x v="10"/>
    <x v="1"/>
    <x v="3"/>
    <s v="PWEGPL"/>
    <s v="MSEDCL"/>
    <n v="2.5000000000000001E-2"/>
    <s v="CE100010"/>
    <x v="296"/>
    <s v="PM"/>
    <d v="1899-12-30T11:21:00"/>
    <d v="1899-12-30T11:21:00"/>
    <d v="1899-12-30T19:09:00"/>
    <n v="0"/>
    <n v="7.7999999999999989"/>
    <n v="7.7999999999999989"/>
    <s v="yearly preventive maintenace completed Day 2"/>
    <s v="Close"/>
    <n v="0.19499999999999998"/>
    <s v="G40"/>
    <n v="2052.3749999999995"/>
    <s v="None"/>
    <s v="WTG Scheduled Maintenance"/>
    <n v="6315"/>
    <n v="2052.3749999999995"/>
    <m/>
    <m/>
    <m/>
    <m/>
  </r>
  <r>
    <n v="1893"/>
    <x v="289"/>
    <x v="1"/>
    <x v="0"/>
    <x v="10"/>
    <x v="1"/>
    <x v="24"/>
    <s v="PWEGPL"/>
    <s v="MSEDCL"/>
    <n v="2.5000000000000001E-2"/>
    <s v="CE100010"/>
    <x v="296"/>
    <s v="PM"/>
    <d v="1899-12-30T10:35:00"/>
    <d v="1899-12-30T10:35:00"/>
    <d v="1899-12-30T17:38:00"/>
    <n v="0"/>
    <n v="7.0499999999999972"/>
    <n v="7.0499999999999972"/>
    <s v="yearly preventive maintenace completed Day 1"/>
    <s v="Close"/>
    <n v="0.17624999999999993"/>
    <s v="G21"/>
    <n v="2607.0312499999991"/>
    <s v="None"/>
    <s v="WTG Scheduled Maintenance"/>
    <n v="8875"/>
    <n v="2607.0312499999991"/>
    <m/>
    <m/>
    <m/>
    <m/>
  </r>
  <r>
    <n v="1894"/>
    <x v="289"/>
    <x v="1"/>
    <x v="0"/>
    <x v="10"/>
    <x v="1"/>
    <x v="21"/>
    <s v="PWEGPL"/>
    <s v="MSEDCL"/>
    <n v="2.5000000000000001E-2"/>
    <s v="CE100017"/>
    <x v="389"/>
    <s v="Manual stop/TCA"/>
    <d v="1899-12-30T12:02:00"/>
    <d v="1899-12-30T12:02:00"/>
    <d v="1899-12-30T12:10:00"/>
    <n v="0"/>
    <n v="0.13333333333333286"/>
    <n v="0.13333333333333286"/>
    <s v="UPS replaced"/>
    <s v="Close"/>
    <n v="3.3333333333333218E-3"/>
    <s v="G07"/>
    <n v="58.899999999999793"/>
    <s v="None"/>
    <s v="WTG Unscheduled Maintenance"/>
    <n v="10602"/>
    <n v="58.899999999999793"/>
    <m/>
    <m/>
    <m/>
    <m/>
  </r>
  <r>
    <n v="1895"/>
    <x v="289"/>
    <x v="1"/>
    <x v="0"/>
    <x v="10"/>
    <x v="1"/>
    <x v="22"/>
    <s v="PWEGPL"/>
    <s v="MSEDCL"/>
    <n v="2.5000000000000001E-2"/>
    <s v="CE100017"/>
    <x v="389"/>
    <s v="Manual stop/TCA"/>
    <d v="1899-12-30T11:43:00"/>
    <d v="1899-12-30T11:43:00"/>
    <d v="1899-12-30T11:47:00"/>
    <n v="0"/>
    <n v="6.666666666666643E-2"/>
    <n v="6.666666666666643E-2"/>
    <s v="UPS replaced"/>
    <s v="Close"/>
    <n v="1.6666666666666609E-3"/>
    <s v="G07"/>
    <n v="29.449999999999896"/>
    <s v="None"/>
    <s v="WTG Unscheduled Maintenance"/>
    <n v="10602"/>
    <n v="29.449999999999896"/>
    <m/>
    <m/>
    <m/>
    <m/>
  </r>
  <r>
    <n v="1896"/>
    <x v="289"/>
    <x v="1"/>
    <x v="0"/>
    <x v="10"/>
    <x v="1"/>
    <x v="23"/>
    <s v="PWEGPL"/>
    <s v="MSEDCL"/>
    <n v="2.5000000000000001E-2"/>
    <s v="CE100017"/>
    <x v="389"/>
    <s v="Manual stop/TCA"/>
    <d v="1899-12-30T12:26:00"/>
    <d v="1899-12-30T12:26:00"/>
    <d v="1899-12-30T12:30:00"/>
    <n v="0"/>
    <n v="6.666666666666643E-2"/>
    <n v="6.666666666666643E-2"/>
    <s v="UPS replaced"/>
    <s v="Close"/>
    <n v="1.6666666666666609E-3"/>
    <s v="G07"/>
    <n v="29.449999999999896"/>
    <s v="None"/>
    <s v="WTG Unscheduled Maintenance"/>
    <n v="10602"/>
    <n v="29.449999999999896"/>
    <m/>
    <m/>
    <m/>
    <m/>
  </r>
  <r>
    <n v="1897"/>
    <x v="289"/>
    <x v="1"/>
    <x v="0"/>
    <x v="10"/>
    <x v="1"/>
    <x v="30"/>
    <s v="PWEGPL"/>
    <s v="MSEDCL"/>
    <n v="2.5000000000000001E-2"/>
    <s v="CE100017"/>
    <x v="389"/>
    <s v="Manual stop/TCA"/>
    <d v="1899-12-30T11:14:00"/>
    <d v="1899-12-30T11:14:00"/>
    <d v="1899-12-30T11:16:00"/>
    <n v="0"/>
    <n v="3.3333333333335879E-2"/>
    <n v="3.3333333333335879E-2"/>
    <s v="UPS replaced"/>
    <s v="Close"/>
    <n v="8.3333333333339703E-4"/>
    <s v="G11"/>
    <n v="12.61805555555652"/>
    <s v="None"/>
    <s v="WTG Unscheduled Maintenance"/>
    <n v="9085"/>
    <n v="12.61805555555652"/>
    <m/>
    <m/>
    <m/>
    <m/>
  </r>
  <r>
    <n v="1898"/>
    <x v="289"/>
    <x v="1"/>
    <x v="0"/>
    <x v="10"/>
    <x v="1"/>
    <x v="39"/>
    <s v="PWEGPL"/>
    <s v="MSEDCL"/>
    <n v="2.5000000000000001E-2"/>
    <n v="800"/>
    <x v="298"/>
    <s v="BD"/>
    <d v="1899-12-30T16:10:00"/>
    <d v="1899-12-30T17:11:00"/>
    <d v="1899-12-30T18:50:00"/>
    <n v="1.0166666666666657"/>
    <n v="1.6499999999999995"/>
    <n v="2.6666666666666652"/>
    <s v="proportional valve replaced and restored"/>
    <s v="Close"/>
    <n v="6.6666666666666638E-2"/>
    <s v="G14"/>
    <n v="997.99999999999943"/>
    <s v="None"/>
    <s v="WTG Breakdown Maintenance"/>
    <n v="8982"/>
    <n v="997.99999999999943"/>
    <m/>
    <m/>
    <m/>
    <m/>
  </r>
  <r>
    <n v="1899"/>
    <x v="290"/>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127.3520833333332"/>
    <s v="None"/>
    <s v="WTG Unscheduled Maintenance"/>
    <n v="8133"/>
    <n v="8127.3520833333332"/>
    <m/>
    <m/>
    <m/>
    <m/>
  </r>
  <r>
    <n v="1900"/>
    <x v="290"/>
    <x v="1"/>
    <x v="0"/>
    <x v="10"/>
    <x v="1"/>
    <x v="34"/>
    <s v="PWEGPL"/>
    <s v="MSEDCL"/>
    <n v="2.5000000000000001E-2"/>
    <n v="2118"/>
    <x v="293"/>
    <s v="BD"/>
    <d v="1899-12-30T01:13:00"/>
    <d v="1899-12-30T01:47:00"/>
    <d v="1899-12-30T02:36:00"/>
    <n v="0.56666666666666643"/>
    <n v="0.81666666666666676"/>
    <n v="1.3833333333333333"/>
    <s v="Slipring cleaned and restored the turbine"/>
    <s v="Close"/>
    <n v="3.4583333333333334E-2"/>
    <s v="G21"/>
    <n v="468.77708333333334"/>
    <s v="None"/>
    <s v="WTG Unscheduled Maintenance"/>
    <n v="8133"/>
    <n v="468.77708333333334"/>
    <m/>
    <m/>
    <m/>
    <m/>
  </r>
  <r>
    <n v="1901"/>
    <x v="291"/>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493.4875000000002"/>
    <s v="None"/>
    <s v="WTG Unscheduled Maintenance"/>
    <n v="6498"/>
    <n v="6493.4875000000002"/>
    <m/>
    <m/>
    <m/>
    <m/>
  </r>
  <r>
    <n v="1902"/>
    <x v="291"/>
    <x v="1"/>
    <x v="0"/>
    <x v="10"/>
    <x v="1"/>
    <x v="34"/>
    <s v="PWEGPL"/>
    <s v="MSEDCL"/>
    <n v="2.5000000000000001E-2"/>
    <s v="CE100010"/>
    <x v="296"/>
    <s v="PM"/>
    <d v="1899-12-30T10:14:00"/>
    <d v="1899-12-30T10:14:00"/>
    <d v="1899-12-30T17:05:00"/>
    <n v="0"/>
    <n v="6.8499999999999979"/>
    <n v="6.8499999999999979"/>
    <s v="yearly preventive maintenace completed Day 1"/>
    <s v="Close"/>
    <n v="0.17124999999999996"/>
    <s v="G21"/>
    <n v="1854.6374999999994"/>
    <s v="None"/>
    <s v="WTG Scheduled Maintenance"/>
    <n v="6498"/>
    <n v="1854.6374999999994"/>
    <m/>
    <m/>
    <m/>
    <m/>
  </r>
  <r>
    <n v="1903"/>
    <x v="291"/>
    <x v="1"/>
    <x v="0"/>
    <x v="10"/>
    <x v="1"/>
    <x v="24"/>
    <s v="PWEGPL"/>
    <s v="MSEDCL"/>
    <n v="2.5000000000000001E-2"/>
    <s v="CE100010"/>
    <x v="296"/>
    <s v="PM"/>
    <d v="1899-12-30T10:06:00"/>
    <d v="1899-12-30T10:06:00"/>
    <d v="1899-12-30T18:48:00"/>
    <n v="0"/>
    <n v="8.6999999999999993"/>
    <n v="8.6999999999999993"/>
    <s v="yearly preventive maintenace completed Day 2"/>
    <s v="Close"/>
    <n v="0.2175"/>
    <s v="G21"/>
    <n v="2355.5249999999996"/>
    <s v="None"/>
    <s v="WTG Scheduled Maintenance"/>
    <n v="6498"/>
    <n v="2355.5249999999996"/>
    <m/>
    <m/>
    <m/>
    <m/>
  </r>
  <r>
    <n v="1904"/>
    <x v="291"/>
    <x v="1"/>
    <x v="0"/>
    <x v="10"/>
    <x v="1"/>
    <x v="36"/>
    <s v="PWEGPL"/>
    <s v="MSEDCL"/>
    <n v="2.5000000000000001E-2"/>
    <n v="804"/>
    <x v="382"/>
    <s v="BD"/>
    <d v="1899-12-30T10:06:00"/>
    <d v="1899-12-30T11:25:00"/>
    <d v="1899-12-30T17:24:00"/>
    <n v="1.316666666666666"/>
    <n v="5.9833333333333334"/>
    <n v="7.2999999999999989"/>
    <s v="proportional valve replaced and restored"/>
    <s v="Close"/>
    <n v="0.1825"/>
    <s v="G24"/>
    <n v="1876.708333333333"/>
    <s v="None"/>
    <s v="WTG Breakdown Maintenance"/>
    <n v="6170"/>
    <n v="1876.708333333333"/>
    <m/>
    <m/>
    <m/>
    <m/>
  </r>
  <r>
    <n v="1905"/>
    <x v="292"/>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5268.3388888888885"/>
    <s v="None"/>
    <s v="WTG Unscheduled Maintenance"/>
    <n v="5272"/>
    <n v="5268.3388888888885"/>
    <m/>
    <m/>
    <m/>
    <m/>
  </r>
  <r>
    <n v="1906"/>
    <x v="292"/>
    <x v="1"/>
    <x v="0"/>
    <x v="10"/>
    <x v="1"/>
    <x v="34"/>
    <s v="PWEGPL"/>
    <s v="MSEDCL"/>
    <n v="2.5000000000000001E-2"/>
    <s v="CE100010"/>
    <x v="296"/>
    <s v="PM"/>
    <d v="1899-12-30T10:03:00"/>
    <d v="1899-12-30T10:03:00"/>
    <d v="1899-12-30T18:43:00"/>
    <n v="0"/>
    <n v="8.6666666666666643"/>
    <n v="8.6666666666666643"/>
    <s v="yearly preventive maintenace completed Day 2"/>
    <s v="Close"/>
    <n v="0.21666666666666662"/>
    <s v="G05"/>
    <n v="1903.7777777777771"/>
    <s v="None"/>
    <s v="WTG Scheduled Maintenance"/>
    <n v="5272"/>
    <n v="1903.7777777777771"/>
    <m/>
    <m/>
    <m/>
    <m/>
  </r>
  <r>
    <n v="1907"/>
    <x v="292"/>
    <x v="1"/>
    <x v="0"/>
    <x v="10"/>
    <x v="1"/>
    <x v="33"/>
    <s v="PWEGPL"/>
    <s v="MSEDCL"/>
    <n v="2.5000000000000001E-2"/>
    <s v="CE100010"/>
    <x v="296"/>
    <s v="PM"/>
    <d v="1899-12-30T10:08:00"/>
    <d v="1899-12-30T10:08:00"/>
    <d v="1899-12-30T17:21:00"/>
    <n v="0"/>
    <n v="7.2166666666666686"/>
    <n v="7.2166666666666686"/>
    <s v="yearly preventive maintenace completed Day 1"/>
    <s v="Close"/>
    <n v="0.18041666666666673"/>
    <s v="G05"/>
    <n v="1585.2611111111114"/>
    <s v="None"/>
    <s v="WTG Scheduled Maintenance"/>
    <n v="5272"/>
    <n v="1585.2611111111114"/>
    <m/>
    <m/>
    <m/>
    <m/>
  </r>
  <r>
    <n v="1908"/>
    <x v="292"/>
    <x v="1"/>
    <x v="0"/>
    <x v="10"/>
    <x v="1"/>
    <x v="2"/>
    <s v="PWEGPL"/>
    <s v="MSEDCL"/>
    <n v="2.5000000000000001E-2"/>
    <n v="2118"/>
    <x v="293"/>
    <s v="BD"/>
    <d v="1899-12-30T10:38:00"/>
    <d v="1899-12-30T11:12:00"/>
    <d v="1899-12-30T13:01:00"/>
    <n v="0.56666666666666599"/>
    <n v="1.8166666666666695"/>
    <n v="2.3833333333333355"/>
    <s v="Slipring cleaned and restored"/>
    <s v="Close"/>
    <n v="5.9583333333333391E-2"/>
    <s v="G32"/>
    <n v="546.77638888888941"/>
    <s v="None"/>
    <s v="WTG Breakdown Maintenance"/>
    <n v="5506"/>
    <n v="546.77638888888941"/>
    <m/>
    <m/>
    <m/>
    <m/>
  </r>
  <r>
    <n v="1909"/>
    <x v="293"/>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486.2722222222224"/>
    <s v="None"/>
    <s v="WTG Unscheduled Maintenance"/>
    <n v="2488"/>
    <n v="2486.2722222222224"/>
    <m/>
    <m/>
    <m/>
    <m/>
  </r>
  <r>
    <n v="1910"/>
    <x v="293"/>
    <x v="1"/>
    <x v="0"/>
    <x v="10"/>
    <x v="1"/>
    <x v="19"/>
    <s v="PWEGPL"/>
    <s v="MSEDCL"/>
    <n v="2.5000000000000001E-2"/>
    <s v="CE100010"/>
    <x v="296"/>
    <s v="PM"/>
    <d v="1899-12-30T10:34:00"/>
    <d v="1899-12-30T10:34:00"/>
    <d v="1899-12-30T17:36:00"/>
    <n v="0"/>
    <n v="7.033333333333335"/>
    <n v="7.033333333333335"/>
    <s v="yearly preventive maintenace completed Day 1"/>
    <s v="Close"/>
    <n v="0.1758333333333334"/>
    <s v="G19"/>
    <n v="1357.4333333333336"/>
    <s v="None"/>
    <s v="WTG Scheduled Maintenance"/>
    <n v="4632"/>
    <n v="1357.4333333333336"/>
    <m/>
    <m/>
    <m/>
    <m/>
  </r>
  <r>
    <n v="1911"/>
    <x v="293"/>
    <x v="1"/>
    <x v="0"/>
    <x v="10"/>
    <x v="1"/>
    <x v="33"/>
    <s v="PWEGPL"/>
    <s v="MSEDCL"/>
    <n v="2.5000000000000001E-2"/>
    <s v="CE100010"/>
    <x v="296"/>
    <s v="PM"/>
    <d v="1899-12-30T10:03:00"/>
    <d v="1899-12-30T10:03:00"/>
    <d v="1899-12-30T17:17:00"/>
    <n v="0"/>
    <n v="7.2333333333333361"/>
    <n v="7.2333333333333361"/>
    <s v="yearly preventive maintenace completed Day 2"/>
    <s v="Close"/>
    <n v="0.1808333333333334"/>
    <s v="G22"/>
    <n v="749.85555555555584"/>
    <s v="None"/>
    <s v="WTG Scheduled Maintenance"/>
    <n v="2488"/>
    <n v="749.85555555555584"/>
    <m/>
    <m/>
    <m/>
    <m/>
  </r>
  <r>
    <n v="1912"/>
    <x v="293"/>
    <x v="1"/>
    <x v="0"/>
    <x v="10"/>
    <x v="1"/>
    <x v="38"/>
    <s v="PWEGPL"/>
    <s v="MSEDCL"/>
    <n v="2.5000000000000001E-2"/>
    <n v="402"/>
    <x v="300"/>
    <s v="Manual stop/TCA"/>
    <d v="1899-12-30T14:29:00"/>
    <d v="1899-12-30T14:29:00"/>
    <d v="1899-12-30T17:28:00"/>
    <n v="0"/>
    <n v="2.9833333333333334"/>
    <n v="2.9833333333333334"/>
    <s v="Gear oil replacement work and replaced and restored"/>
    <s v="Close"/>
    <n v="7.4583333333333335E-2"/>
    <s v="G19"/>
    <n v="575.7833333333333"/>
    <s v="None"/>
    <s v="WTG Scheduled Maintenance"/>
    <n v="4632"/>
    <n v="575.7833333333333"/>
    <m/>
    <m/>
    <m/>
    <m/>
  </r>
  <r>
    <n v="1913"/>
    <x v="293"/>
    <x v="1"/>
    <x v="0"/>
    <x v="10"/>
    <x v="1"/>
    <x v="39"/>
    <s v="PWEGPL"/>
    <s v="MSEDCL"/>
    <n v="2.5000000000000001E-2"/>
    <n v="205"/>
    <x v="312"/>
    <s v="BD"/>
    <d v="1899-12-30T13:07:00"/>
    <d v="1899-12-30T13:19:00"/>
    <d v="1899-12-30T15:50:00"/>
    <n v="0.19999999999999929"/>
    <n v="2.5166666666666657"/>
    <n v="2.716666666666665"/>
    <s v="Oil top up and restored the WTG"/>
    <s v="Close"/>
    <n v="6.7916666666666625E-2"/>
    <s v="G14"/>
    <n v="547.86111111111074"/>
    <s v="None"/>
    <s v="WTG Breakdown Maintenance"/>
    <n v="4840"/>
    <n v="547.86111111111074"/>
    <m/>
    <m/>
    <m/>
    <m/>
  </r>
  <r>
    <n v="1914"/>
    <x v="294"/>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03.44166666666672"/>
    <s v="None"/>
    <s v="WTG Unscheduled Maintenance"/>
    <n v="804"/>
    <n v="803.44166666666672"/>
    <m/>
    <m/>
    <m/>
    <m/>
  </r>
  <r>
    <n v="1915"/>
    <x v="294"/>
    <x v="1"/>
    <x v="0"/>
    <x v="10"/>
    <x v="1"/>
    <x v="19"/>
    <s v="PWEGPL"/>
    <s v="MSEDCL"/>
    <n v="2.5000000000000001E-2"/>
    <s v="CE100010"/>
    <x v="296"/>
    <s v="PM"/>
    <d v="1899-12-30T10:25:00"/>
    <d v="1899-12-30T10:25:00"/>
    <d v="1899-12-30T17:17:00"/>
    <n v="0"/>
    <n v="6.8666666666666707"/>
    <n v="6.8666666666666707"/>
    <s v="yearly preventive maintenace completed Day 2"/>
    <s v="Close"/>
    <n v="0.17166666666666677"/>
    <s v="G18"/>
    <n v="236.0416666666668"/>
    <s v="None"/>
    <s v="WTG Scheduled Maintenance"/>
    <n v="825"/>
    <n v="236.0416666666668"/>
    <m/>
    <m/>
    <m/>
    <m/>
  </r>
  <r>
    <n v="1916"/>
    <x v="294"/>
    <x v="1"/>
    <x v="0"/>
    <x v="10"/>
    <x v="1"/>
    <x v="18"/>
    <s v="PWEGPL"/>
    <s v="MSEDCL"/>
    <n v="2.5000000000000001E-2"/>
    <s v="CE100010"/>
    <x v="296"/>
    <s v="PM"/>
    <d v="1899-12-30T10:07:00"/>
    <d v="1899-12-30T10:07:00"/>
    <d v="1899-12-30T17:16:00"/>
    <n v="0"/>
    <n v="7.15"/>
    <n v="7.15"/>
    <s v="yearly preventive maintenace completed Day 1"/>
    <s v="Close"/>
    <n v="0.17875000000000002"/>
    <s v="G18"/>
    <n v="245.78125"/>
    <s v="None"/>
    <s v="WTG Scheduled Maintenance"/>
    <n v="825"/>
    <n v="245.78125"/>
    <m/>
    <m/>
    <m/>
    <m/>
  </r>
  <r>
    <n v="1917"/>
    <x v="294"/>
    <x v="1"/>
    <x v="0"/>
    <x v="10"/>
    <x v="1"/>
    <x v="32"/>
    <s v="PWEGPL"/>
    <s v="MSEDCL"/>
    <n v="2.5000000000000001E-2"/>
    <n v="402"/>
    <x v="300"/>
    <s v="Manual stop/TCA"/>
    <d v="1899-12-30T10:55:00"/>
    <d v="1899-12-30T10:55:00"/>
    <d v="1899-12-30T14:41:00"/>
    <n v="0"/>
    <n v="3.7666666666666679"/>
    <n v="3.7666666666666679"/>
    <s v="Gear oil replacement work and replaced and restored"/>
    <s v="Close"/>
    <n v="9.4166666666666704E-2"/>
    <s v="G13"/>
    <n v="145.48750000000004"/>
    <s v="None"/>
    <s v="WTG Scheduled Maintenance"/>
    <n v="927"/>
    <n v="145.48750000000004"/>
    <m/>
    <m/>
    <m/>
    <m/>
  </r>
  <r>
    <n v="1918"/>
    <x v="294"/>
    <x v="1"/>
    <x v="0"/>
    <x v="10"/>
    <x v="1"/>
    <x v="13"/>
    <s v="PWEGPL"/>
    <s v="MSEDCL"/>
    <n v="2.5000000000000001E-2"/>
    <n v="205"/>
    <x v="312"/>
    <s v="BD"/>
    <d v="1899-12-30T13:07:00"/>
    <d v="1899-12-30T16:29:00"/>
    <d v="1899-12-30T16:56:00"/>
    <n v="3.3666666666666654"/>
    <n v="0.45000000000000107"/>
    <n v="3.8166666666666664"/>
    <s v="Oil top up and restored the WTG"/>
    <s v="Close"/>
    <n v="9.5416666666666664E-2"/>
    <s v="G34"/>
    <n v="129.92569444444442"/>
    <s v="None"/>
    <s v="WTG Breakdown Maintenance"/>
    <n v="817"/>
    <n v="129.92569444444442"/>
    <m/>
    <m/>
    <m/>
    <m/>
  </r>
  <r>
    <n v="1919"/>
    <x v="294"/>
    <x v="1"/>
    <x v="0"/>
    <x v="10"/>
    <x v="1"/>
    <x v="25"/>
    <s v="PWEGPL"/>
    <s v="MSEDCL"/>
    <n v="2.5000000000000001E-2"/>
    <s v="CE100008"/>
    <x v="400"/>
    <s v="Manual Stop/SEM"/>
    <d v="1899-12-30T12:00:00"/>
    <d v="1899-12-30T12:00:00"/>
    <d v="1899-12-30T13:20:00"/>
    <n v="0"/>
    <n v="1.3333333333333339"/>
    <n v="1.3333333333333339"/>
    <s v="Sem meter instalation work"/>
    <s v="Close"/>
    <n v="3.3333333333333347E-2"/>
    <s v="G07"/>
    <n v="53.722222222222243"/>
    <s v="None"/>
    <s v="WTG Unscheduled Maintenance"/>
    <n v="967"/>
    <n v="53.722222222222243"/>
    <m/>
    <m/>
    <m/>
    <m/>
  </r>
  <r>
    <n v="1920"/>
    <x v="295"/>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615.8770833333333"/>
    <s v="None"/>
    <s v="WTG Unscheduled Maintenance"/>
    <n v="1617"/>
    <n v="1615.8770833333333"/>
    <m/>
    <m/>
    <m/>
    <m/>
  </r>
  <r>
    <n v="1921"/>
    <x v="295"/>
    <x v="1"/>
    <x v="0"/>
    <x v="10"/>
    <x v="1"/>
    <x v="19"/>
    <s v="PWEGPL"/>
    <s v="MSEDCL"/>
    <n v="2.5000000000000001E-2"/>
    <n v="402"/>
    <x v="300"/>
    <s v="Manual stop/TCA"/>
    <d v="1899-12-30T10:56:00"/>
    <d v="1899-12-30T10:56:00"/>
    <d v="1899-12-30T15:25:00"/>
    <n v="0"/>
    <n v="4.4833333333333325"/>
    <n v="4.4833333333333325"/>
    <s v="Gear oil replacement work and replaced and restored"/>
    <s v="Close"/>
    <n v="0.11208333333333331"/>
    <s v="G18"/>
    <n v="298.51527777777773"/>
    <s v="None"/>
    <s v="WTG Scheduled Maintenance"/>
    <n v="1598"/>
    <n v="298.51527777777773"/>
    <m/>
    <m/>
    <m/>
    <m/>
  </r>
  <r>
    <n v="1922"/>
    <x v="295"/>
    <x v="1"/>
    <x v="0"/>
    <x v="10"/>
    <x v="1"/>
    <x v="18"/>
    <s v="PWEGPL"/>
    <s v="MSEDCL"/>
    <n v="2.5000000000000001E-2"/>
    <s v="CE100010"/>
    <x v="296"/>
    <s v="PM"/>
    <d v="1899-12-30T10:11:00"/>
    <d v="1899-12-30T10:11:00"/>
    <d v="1899-12-30T17:13:00"/>
    <n v="0"/>
    <n v="7.0333333333333314"/>
    <n v="7.0333333333333314"/>
    <s v="yearly preventive maintenace completed Day 1"/>
    <s v="Close"/>
    <n v="0.17583333333333329"/>
    <s v="G18"/>
    <n v="468.30277777777764"/>
    <s v="None"/>
    <s v="WTG Scheduled Maintenance"/>
    <n v="1598"/>
    <n v="468.30277777777764"/>
    <m/>
    <m/>
    <m/>
    <m/>
  </r>
  <r>
    <n v="1923"/>
    <x v="295"/>
    <x v="1"/>
    <x v="0"/>
    <x v="10"/>
    <x v="1"/>
    <x v="39"/>
    <s v="PWEGPL"/>
    <s v="MSEDCL"/>
    <n v="2.5000000000000001E-2"/>
    <n v="115"/>
    <x v="308"/>
    <s v="BD"/>
    <d v="1899-12-30T11:41:00"/>
    <d v="1899-12-30T11:41:00"/>
    <d v="1899-12-30T19:00:00"/>
    <n v="0"/>
    <n v="7.3166666666666664"/>
    <n v="7.3166666666666664"/>
    <s v="Yaw drive failure replacement work and removed failured yaw drive"/>
    <s v="Close"/>
    <n v="0.18291666666666667"/>
    <s v="G14"/>
    <n v="442.96319444444441"/>
    <s v="None"/>
    <s v="WTG Breakdown Maintenance"/>
    <n v="1453"/>
    <n v="442.96319444444441"/>
    <m/>
    <m/>
    <m/>
    <m/>
  </r>
  <r>
    <n v="1924"/>
    <x v="295"/>
    <x v="1"/>
    <x v="0"/>
    <x v="10"/>
    <x v="1"/>
    <x v="20"/>
    <s v="PWEGPL"/>
    <s v="MSEDCL"/>
    <n v="2.5000000000000001E-2"/>
    <s v="CE100008"/>
    <x v="400"/>
    <s v="Manual Stop/SEM"/>
    <d v="1899-12-30T14:40:00"/>
    <d v="1899-12-30T14:40:00"/>
    <d v="1899-12-30T15:32:00"/>
    <n v="0"/>
    <n v="0.86666666666666892"/>
    <n v="0.86666666666666892"/>
    <s v="Shutdown taken for SEM meter instalation work"/>
    <s v="Close"/>
    <n v="2.1666666666666723E-2"/>
    <s v="G03"/>
    <n v="50.519444444444574"/>
    <s v="None"/>
    <s v="WTG Unscheduled Maintenance"/>
    <n v="1399"/>
    <n v="50.519444444444574"/>
    <m/>
    <m/>
    <m/>
    <m/>
  </r>
  <r>
    <n v="1925"/>
    <x v="295"/>
    <x v="1"/>
    <x v="0"/>
    <x v="10"/>
    <x v="1"/>
    <x v="21"/>
    <s v="PWEGPL"/>
    <s v="MSEDCL"/>
    <n v="2.5000000000000001E-2"/>
    <s v="CE100008"/>
    <x v="400"/>
    <s v="Manual Stop/SEM"/>
    <d v="1899-12-30T12:11:00"/>
    <d v="1899-12-30T12:11:00"/>
    <d v="1899-12-30T13:03:00"/>
    <n v="0"/>
    <n v="0.86666666666666892"/>
    <n v="0.86666666666666892"/>
    <s v="Shutdown taken for SEM meter instalation work"/>
    <s v="Close"/>
    <n v="2.1666666666666723E-2"/>
    <s v="G04"/>
    <n v="50.086111111111236"/>
    <s v="None"/>
    <s v="WTG Unscheduled Maintenance"/>
    <n v="1387"/>
    <n v="50.086111111111236"/>
    <m/>
    <m/>
    <m/>
    <m/>
  </r>
  <r>
    <n v="1926"/>
    <x v="295"/>
    <x v="1"/>
    <x v="0"/>
    <x v="10"/>
    <x v="1"/>
    <x v="26"/>
    <s v="PWEGPL"/>
    <s v="MSEDCL"/>
    <n v="2.5000000000000001E-2"/>
    <s v="CE100008"/>
    <x v="400"/>
    <s v="Manual Stop/SEM"/>
    <d v="1899-12-30T13:21:00"/>
    <d v="1899-12-30T13:21:00"/>
    <d v="1899-12-30T13:58:00"/>
    <n v="0"/>
    <n v="0.61666666666666714"/>
    <n v="0.61666666666666714"/>
    <s v="Shutdown taken for SEM meter instalation work"/>
    <s v="Close"/>
    <n v="1.5416666666666679E-2"/>
    <s v="G04"/>
    <n v="35.638194444444473"/>
    <s v="None"/>
    <s v="WTG Unscheduled Maintenance"/>
    <n v="1387"/>
    <n v="35.638194444444473"/>
    <m/>
    <m/>
    <m/>
    <m/>
  </r>
  <r>
    <n v="1927"/>
    <x v="296"/>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267.3395833333334"/>
    <s v="None"/>
    <s v="WTG Unscheduled Maintenance"/>
    <n v="5271"/>
    <n v="5267.3395833333334"/>
    <m/>
    <m/>
    <m/>
    <m/>
  </r>
  <r>
    <n v="1928"/>
    <x v="296"/>
    <x v="1"/>
    <x v="0"/>
    <x v="10"/>
    <x v="1"/>
    <x v="18"/>
    <s v="PWEGPL"/>
    <s v="MSEDCL"/>
    <n v="2.5000000000000001E-2"/>
    <n v="402"/>
    <x v="300"/>
    <s v="Manual stop/TCA"/>
    <d v="1899-12-30T11:02:00"/>
    <d v="1899-12-30T11:02:00"/>
    <d v="1899-12-30T15:24:00"/>
    <n v="0"/>
    <n v="4.3666666666666689"/>
    <n v="4.3666666666666689"/>
    <s v="Gear oil replacement work and replaced and restored"/>
    <s v="Close"/>
    <n v="0.10916666666666673"/>
    <s v="G17"/>
    <n v="969.40000000000055"/>
    <s v="None"/>
    <s v="WTG Scheduled Maintenance"/>
    <n v="5328"/>
    <n v="969.40000000000055"/>
    <m/>
    <m/>
    <m/>
    <m/>
  </r>
  <r>
    <n v="1929"/>
    <x v="296"/>
    <x v="1"/>
    <x v="0"/>
    <x v="10"/>
    <x v="1"/>
    <x v="38"/>
    <s v="PWEGPL"/>
    <s v="MSEDCL"/>
    <n v="2.5000000000000001E-2"/>
    <s v="CE100010"/>
    <x v="296"/>
    <s v="PM"/>
    <d v="1899-12-30T09:48:00"/>
    <d v="1899-12-30T09:48:00"/>
    <d v="1899-12-30T17:19:00"/>
    <n v="0"/>
    <n v="7.5166666666666657"/>
    <n v="7.5166666666666657"/>
    <s v="yearly preventive maintenace completed Day 1"/>
    <s v="Close"/>
    <n v="0.18791666666666665"/>
    <s v="G17"/>
    <n v="1668.6999999999998"/>
    <s v="None"/>
    <s v="WTG Scheduled Maintenance"/>
    <n v="5328"/>
    <n v="1668.6999999999998"/>
    <m/>
    <m/>
    <m/>
    <m/>
  </r>
  <r>
    <n v="1930"/>
    <x v="296"/>
    <x v="1"/>
    <x v="0"/>
    <x v="10"/>
    <x v="1"/>
    <x v="39"/>
    <s v="PWEGPL"/>
    <s v="MSEDCL"/>
    <n v="2.5000000000000001E-2"/>
    <n v="115"/>
    <x v="308"/>
    <s v="BD"/>
    <d v="1899-12-30T10:38:00"/>
    <d v="1899-12-30T10:38:00"/>
    <d v="1899-12-30T20:00:00"/>
    <n v="0"/>
    <n v="9.3666666666666671"/>
    <n v="9.3666666666666671"/>
    <s v="Replaced new yaw drive and restored"/>
    <s v="Close"/>
    <n v="0.23416666666666669"/>
    <s v="G14"/>
    <n v="2062.2277777777776"/>
    <s v="None"/>
    <s v="WTG Breakdown Maintenance"/>
    <n v="5284"/>
    <n v="2062.2277777777776"/>
    <m/>
    <m/>
    <m/>
    <m/>
  </r>
  <r>
    <n v="1931"/>
    <x v="296"/>
    <x v="1"/>
    <x v="0"/>
    <x v="10"/>
    <x v="1"/>
    <x v="29"/>
    <s v="PWEGPL"/>
    <s v="MSEDCL"/>
    <n v="2.5000000000000001E-2"/>
    <s v="CE100008"/>
    <x v="400"/>
    <s v="Manual Stop/SEM"/>
    <d v="1899-12-30T15:27:00"/>
    <d v="1899-12-30T15:27:00"/>
    <d v="1899-12-30T16:26:00"/>
    <n v="0"/>
    <n v="0.98333333333333517"/>
    <n v="0.98333333333333517"/>
    <s v="Sem meter instalation work"/>
    <s v="Close"/>
    <n v="2.4583333333333381E-2"/>
    <s v="G10"/>
    <n v="208.99930555555594"/>
    <s v="None"/>
    <s v="WTG Unscheduled Maintenance"/>
    <n v="5101"/>
    <n v="208.99930555555594"/>
    <m/>
    <m/>
    <m/>
    <m/>
  </r>
  <r>
    <n v="1932"/>
    <x v="296"/>
    <x v="1"/>
    <x v="0"/>
    <x v="10"/>
    <x v="1"/>
    <x v="20"/>
    <s v="PWEGPL"/>
    <s v="MSEDCL"/>
    <n v="2.5000000000000001E-2"/>
    <n v="800"/>
    <x v="298"/>
    <s v="BD"/>
    <d v="1899-12-30T03:59:00"/>
    <d v="1899-12-30T04:52:00"/>
    <d v="1899-12-30T12:52:00"/>
    <n v="0.88333333333333419"/>
    <n v="7.9999999999999982"/>
    <n v="8.8833333333333329"/>
    <s v="Found loose connection in pressure switch connector themn corrected and restord"/>
    <s v="Close"/>
    <n v="0.22208333333333333"/>
    <s v="G07"/>
    <n v="1734.4708333333333"/>
    <s v="None"/>
    <s v="WTG Breakdown Maintenance"/>
    <n v="4686"/>
    <n v="1734.4708333333333"/>
    <m/>
    <m/>
    <m/>
    <m/>
  </r>
  <r>
    <n v="1933"/>
    <x v="297"/>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607.7979166666664"/>
    <s v="None"/>
    <s v="WTG Unscheduled Maintenance"/>
    <n v="4611"/>
    <n v="4607.7979166666664"/>
    <m/>
    <m/>
    <m/>
    <m/>
  </r>
  <r>
    <n v="1934"/>
    <x v="297"/>
    <x v="1"/>
    <x v="0"/>
    <x v="10"/>
    <x v="1"/>
    <x v="24"/>
    <s v="PWEGPL"/>
    <s v="MSEDCL"/>
    <n v="2.5000000000000001E-2"/>
    <n v="402"/>
    <x v="300"/>
    <s v="Manual stop/TCA"/>
    <d v="1899-12-30T10:26:00"/>
    <d v="1899-12-30T10:26:00"/>
    <d v="1899-12-30T14:18:00"/>
    <n v="0"/>
    <n v="3.8666666666666663"/>
    <n v="3.8666666666666663"/>
    <s v="Gear oil replacement work and replaced and restored"/>
    <s v="Close"/>
    <n v="9.6666666666666665E-2"/>
    <s v="G24"/>
    <n v="749.64999999999986"/>
    <s v="None"/>
    <s v="WTG Scheduled Maintenance"/>
    <n v="4653"/>
    <n v="749.64999999999986"/>
    <m/>
    <m/>
    <m/>
    <m/>
  </r>
  <r>
    <n v="1935"/>
    <x v="297"/>
    <x v="1"/>
    <x v="0"/>
    <x v="10"/>
    <x v="1"/>
    <x v="0"/>
    <s v="PWEGPL"/>
    <s v="MSEDCL"/>
    <n v="2.5000000000000001E-2"/>
    <s v="CE100010"/>
    <x v="296"/>
    <s v="PM"/>
    <d v="1899-12-30T09:56:00"/>
    <d v="1899-12-30T09:56:00"/>
    <d v="1899-12-30T17:41:00"/>
    <n v="0"/>
    <n v="7.75"/>
    <n v="7.75"/>
    <s v="yearly preventive maintenace completed Day 1"/>
    <s v="Close"/>
    <n v="0.19375000000000001"/>
    <s v="G18"/>
    <n v="1693.0520833333335"/>
    <s v="None"/>
    <s v="WTG Scheduled Maintenance"/>
    <n v="5243"/>
    <n v="1693.0520833333335"/>
    <m/>
    <m/>
    <m/>
    <m/>
  </r>
  <r>
    <n v="1936"/>
    <x v="297"/>
    <x v="1"/>
    <x v="0"/>
    <x v="10"/>
    <x v="1"/>
    <x v="27"/>
    <s v="PWEGPL"/>
    <s v="MSEDCL"/>
    <n v="2.5000000000000001E-2"/>
    <s v="CE100008"/>
    <x v="400"/>
    <s v="Manual Stop/SEM"/>
    <d v="1899-12-30T11:24:00"/>
    <d v="1899-12-30T11:24:00"/>
    <d v="1899-12-30T14:02:00"/>
    <n v="0"/>
    <n v="2.6333333333333333"/>
    <n v="2.6333333333333333"/>
    <s v="Sem meter instalation work"/>
    <s v="Close"/>
    <n v="6.5833333333333341E-2"/>
    <s v="G10"/>
    <n v="536.65138888888885"/>
    <s v="None"/>
    <s v="WTG Unscheduled Maintenance"/>
    <n v="4891"/>
    <n v="536.65138888888885"/>
    <m/>
    <m/>
    <m/>
    <m/>
  </r>
  <r>
    <n v="1937"/>
    <x v="297"/>
    <x v="1"/>
    <x v="0"/>
    <x v="10"/>
    <x v="1"/>
    <x v="33"/>
    <s v="PWEGPL"/>
    <s v="MSEDCL"/>
    <n v="2.5000000000000001E-2"/>
    <s v="CE100008"/>
    <x v="400"/>
    <s v="Manual Stop/SEM"/>
    <d v="1899-12-30T13:35:00"/>
    <d v="1899-12-30T13:35:00"/>
    <d v="1899-12-30T14:03:00"/>
    <n v="0"/>
    <n v="0.46666666666666767"/>
    <n v="0.46666666666666767"/>
    <s v="Sem meter instalation work"/>
    <s v="Close"/>
    <n v="1.1666666666666693E-2"/>
    <s v="G24"/>
    <n v="90.475000000000193"/>
    <s v="None"/>
    <s v="WTG Unscheduled Maintenance"/>
    <n v="4653"/>
    <n v="90.475000000000193"/>
    <m/>
    <m/>
    <m/>
    <m/>
  </r>
  <r>
    <n v="1938"/>
    <x v="297"/>
    <x v="1"/>
    <x v="0"/>
    <x v="10"/>
    <x v="1"/>
    <x v="34"/>
    <s v="PWEGPL"/>
    <s v="MSEDCL"/>
    <n v="2.5000000000000001E-2"/>
    <s v="CE100008"/>
    <x v="400"/>
    <s v="Manual Stop/SEM"/>
    <d v="1899-12-30T13:43:00"/>
    <d v="1899-12-30T13:43:00"/>
    <d v="1899-12-30T14:02:00"/>
    <n v="0"/>
    <n v="0.31666666666666821"/>
    <n v="0.31666666666666821"/>
    <s v="Sem meter instalation work"/>
    <s v="Close"/>
    <n v="7.9166666666667055E-3"/>
    <s v="G24"/>
    <n v="61.393750000000296"/>
    <s v="None"/>
    <s v="WTG Unscheduled Maintenance"/>
    <n v="4653"/>
    <n v="61.393750000000296"/>
    <m/>
    <m/>
    <m/>
    <m/>
  </r>
  <r>
    <n v="1939"/>
    <x v="297"/>
    <x v="1"/>
    <x v="0"/>
    <x v="10"/>
    <x v="1"/>
    <x v="32"/>
    <s v="PWEGPL"/>
    <s v="MSEDCL"/>
    <n v="2.5000000000000001E-2"/>
    <n v="2118"/>
    <x v="293"/>
    <s v="BD"/>
    <d v="1899-12-30T13:46:00"/>
    <d v="1899-12-30T14:27:00"/>
    <d v="1899-12-30T15:19:00"/>
    <n v="0.68333333333333091"/>
    <n v="0.86666666666666625"/>
    <n v="1.5499999999999972"/>
    <s v="Slipring cleaned and restored the turbine"/>
    <s v="Close"/>
    <n v="3.874999999999993E-2"/>
    <s v="G13"/>
    <n v="450.72708333333253"/>
    <s v="None"/>
    <s v="WTG Breakdown Maintenance"/>
    <n v="6979"/>
    <n v="450.72708333333253"/>
    <m/>
    <m/>
    <m/>
    <m/>
  </r>
  <r>
    <n v="1940"/>
    <x v="29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504.1750000000002"/>
    <s v="None"/>
    <s v="WTG Unscheduled Maintenance"/>
    <n v="5508"/>
    <n v="5504.1750000000002"/>
    <m/>
    <m/>
    <m/>
    <m/>
  </r>
  <r>
    <n v="1941"/>
    <x v="298"/>
    <x v="1"/>
    <x v="0"/>
    <x v="10"/>
    <x v="1"/>
    <x v="0"/>
    <s v="PWEGPL"/>
    <s v="MSEDCL"/>
    <n v="2.5000000000000001E-2"/>
    <s v="CE100010"/>
    <x v="296"/>
    <s v="PM"/>
    <d v="1899-12-30T10:09:00"/>
    <d v="1899-12-30T10:09:00"/>
    <d v="1899-12-30T20:24:00"/>
    <n v="0"/>
    <n v="10.25"/>
    <n v="10.25"/>
    <s v="yearly preventive maintenace completed Day 2"/>
    <s v="Close"/>
    <n v="0.25625000000000003"/>
    <s v="G19"/>
    <n v="3569.1354166666665"/>
    <s v="None"/>
    <s v="WTG Scheduled Maintenance"/>
    <n v="8357"/>
    <n v="3569.1354166666665"/>
    <m/>
    <m/>
    <m/>
    <m/>
  </r>
  <r>
    <n v="1942"/>
    <x v="298"/>
    <x v="1"/>
    <x v="0"/>
    <x v="10"/>
    <x v="1"/>
    <x v="38"/>
    <s v="PWEGPL"/>
    <s v="MSEDCL"/>
    <n v="2.5000000000000001E-2"/>
    <s v="CE100010"/>
    <x v="296"/>
    <s v="PM"/>
    <d v="1899-12-30T10:19:00"/>
    <d v="1899-12-30T10:19:00"/>
    <d v="1899-12-30T18:37:00"/>
    <n v="0"/>
    <n v="8.3000000000000007"/>
    <n v="8.3000000000000007"/>
    <s v="yearly preventive maintenace completed Day 2"/>
    <s v="Close"/>
    <n v="0.20750000000000002"/>
    <s v="G19"/>
    <n v="2890.1291666666666"/>
    <s v="None"/>
    <s v="WTG Scheduled Maintenance"/>
    <n v="8357"/>
    <n v="2890.1291666666666"/>
    <m/>
    <m/>
    <m/>
    <m/>
  </r>
  <r>
    <n v="1943"/>
    <x v="298"/>
    <x v="1"/>
    <x v="0"/>
    <x v="10"/>
    <x v="1"/>
    <x v="9"/>
    <s v="PWEGPL"/>
    <s v="MSEDCL"/>
    <n v="2.5000000000000001E-2"/>
    <n v="110"/>
    <x v="287"/>
    <s v="BD"/>
    <d v="1899-12-30T17:19:00"/>
    <d v="1899-12-30T17:42:00"/>
    <d v="1899-12-30T18:17:00"/>
    <n v="0.38333333333333197"/>
    <n v="0.58333333333333659"/>
    <n v="0.96666666666666856"/>
    <s v="Cable untwisted and the cable twist limit switch setting done and restored"/>
    <s v="Close"/>
    <n v="2.4166666666666715E-2"/>
    <s v="G30"/>
    <n v="138.91805555555584"/>
    <s v="None"/>
    <s v="WTG Breakdown Maintenance"/>
    <n v="3449"/>
    <n v="138.91805555555584"/>
    <m/>
    <m/>
    <m/>
    <m/>
  </r>
  <r>
    <n v="1944"/>
    <x v="298"/>
    <x v="1"/>
    <x v="0"/>
    <x v="10"/>
    <x v="1"/>
    <x v="20"/>
    <s v="PWEGPL"/>
    <s v="MSEDCL"/>
    <n v="2.5000000000000001E-2"/>
    <n v="5203"/>
    <x v="294"/>
    <s v="BD"/>
    <d v="1899-12-30T17:05:00"/>
    <d v="1899-12-30T18:38:00"/>
    <d v="1899-12-30T19:23:00"/>
    <n v="1.5500000000000025"/>
    <n v="0.75"/>
    <n v="2.3000000000000025"/>
    <s v="Checked all protection cercuit breakers in converter panel and found cooling fan protection cercuit breaker tripped condition then manually switched on and checked all cooling fan and found 1 no bearing jam then replaced and restored"/>
    <s v="Close"/>
    <n v="5.7500000000000065E-2"/>
    <s v="G07"/>
    <n v="408.25000000000045"/>
    <s v="None"/>
    <s v="WTG Breakdown Maintenance"/>
    <n v="4260"/>
    <n v="408.25000000000045"/>
    <m/>
    <m/>
    <m/>
    <m/>
  </r>
  <r>
    <n v="1945"/>
    <x v="298"/>
    <x v="1"/>
    <x v="0"/>
    <x v="10"/>
    <x v="1"/>
    <x v="35"/>
    <s v="PWEGPL"/>
    <s v="MSEDCL"/>
    <n v="2.5000000000000001E-2"/>
    <n v="110"/>
    <x v="287"/>
    <s v="BD"/>
    <d v="1899-12-30T21:31:00"/>
    <d v="1899-12-30T22:45:00"/>
    <d v="1899-12-30T23:24:00"/>
    <n v="1.2333333333333343"/>
    <n v="0.65000000000000036"/>
    <n v="1.8833333333333346"/>
    <s v="Cable untwisted and the cable twist limit switch setting done and restored"/>
    <s v="Close"/>
    <n v="4.7083333333333366E-2"/>
    <s v="G30"/>
    <n v="270.65069444444464"/>
    <s v="None"/>
    <s v="WTG Breakdown Maintenance"/>
    <n v="3449"/>
    <n v="270.65069444444464"/>
    <m/>
    <m/>
    <m/>
    <m/>
  </r>
  <r>
    <n v="1946"/>
    <x v="299"/>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725.4111111111115"/>
    <s v="None"/>
    <s v="WTG Unscheduled Maintenance"/>
    <n v="3728"/>
    <n v="3725.4111111111115"/>
    <m/>
    <m/>
    <m/>
    <m/>
  </r>
  <r>
    <n v="1947"/>
    <x v="299"/>
    <x v="1"/>
    <x v="0"/>
    <x v="10"/>
    <x v="1"/>
    <x v="39"/>
    <s v="PWEGPL"/>
    <s v="MSEDCL"/>
    <n v="2.5000000000000001E-2"/>
    <s v="CE100010"/>
    <x v="296"/>
    <s v="PM"/>
    <d v="1899-12-30T10:13:00"/>
    <d v="1899-12-30T10:13:00"/>
    <d v="1899-12-30T17:04:00"/>
    <n v="0"/>
    <n v="6.8500000000000014"/>
    <n v="6.8500000000000014"/>
    <s v="yearly preventive maintenace completed Day 1"/>
    <s v="Close"/>
    <n v="0.17125000000000004"/>
    <s v="G17"/>
    <n v="841.40833333333353"/>
    <s v="None"/>
    <s v="WTG Scheduled Maintenance"/>
    <n v="2948"/>
    <n v="841.40833333333353"/>
    <m/>
    <m/>
    <m/>
    <m/>
  </r>
  <r>
    <n v="1948"/>
    <x v="299"/>
    <x v="1"/>
    <x v="0"/>
    <x v="10"/>
    <x v="1"/>
    <x v="37"/>
    <s v="PWEGPL"/>
    <s v="MSEDCL"/>
    <n v="2.5000000000000001E-2"/>
    <s v="CE100010"/>
    <x v="296"/>
    <s v="PM"/>
    <d v="1899-12-30T09:37:00"/>
    <d v="1899-12-30T09:37:00"/>
    <d v="1899-12-30T18:26:00"/>
    <n v="0"/>
    <n v="8.8166666666666664"/>
    <n v="8.8166666666666664"/>
    <s v="yearly preventive maintenace completed Day 2"/>
    <s v="Close"/>
    <n v="0.22041666666666668"/>
    <s v="G17"/>
    <n v="1082.9805555555554"/>
    <s v="None"/>
    <s v="WTG Scheduled Maintenance"/>
    <n v="2948"/>
    <n v="1082.9805555555554"/>
    <m/>
    <m/>
    <m/>
    <m/>
  </r>
  <r>
    <n v="1949"/>
    <x v="299"/>
    <x v="1"/>
    <x v="0"/>
    <x v="10"/>
    <x v="1"/>
    <x v="17"/>
    <s v="PWEGPL"/>
    <s v="MSEDCL"/>
    <n v="2.5000000000000001E-2"/>
    <n v="110"/>
    <x v="287"/>
    <s v="BD"/>
    <d v="1899-12-30T09:01:00"/>
    <d v="1899-12-30T10:47:00"/>
    <d v="1899-12-30T11:47:00"/>
    <n v="1.7666666666666657"/>
    <n v="0.99999999999999911"/>
    <n v="2.7666666666666648"/>
    <s v="Cable untwisted and the cable twist limit switch setting done and restored"/>
    <s v="Close"/>
    <n v="6.9166666666666626E-2"/>
    <s v="G09"/>
    <n v="323.93055555555532"/>
    <s v="None"/>
    <s v="WTG Breakdown Maintenance"/>
    <n v="2810"/>
    <n v="323.93055555555532"/>
    <m/>
    <m/>
    <m/>
    <m/>
  </r>
  <r>
    <n v="1950"/>
    <x v="299"/>
    <x v="1"/>
    <x v="0"/>
    <x v="10"/>
    <x v="1"/>
    <x v="38"/>
    <s v="PWEGPL"/>
    <s v="MSEDCL"/>
    <n v="2.5000000000000001E-2"/>
    <s v="CE100008"/>
    <x v="400"/>
    <s v="Manual Stop/SEM"/>
    <d v="1899-12-30T12:34:00"/>
    <d v="1899-12-30T12:34:00"/>
    <d v="1899-12-30T14:06:00"/>
    <n v="0"/>
    <n v="1.5333333333333332"/>
    <n v="1.5333333333333332"/>
    <s v="Sem meter instalation work"/>
    <s v="Close"/>
    <n v="3.833333333333333E-2"/>
    <s v="G19"/>
    <n v="278.29999999999995"/>
    <s v="None"/>
    <s v="WTG Unscheduled Maintenance"/>
    <n v="4356"/>
    <n v="278.29999999999995"/>
    <m/>
    <m/>
    <m/>
    <m/>
  </r>
  <r>
    <n v="1951"/>
    <x v="300"/>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7335.9020833333334"/>
    <s v="None"/>
    <s v="WTG Unscheduled Maintenance"/>
    <n v="7341"/>
    <n v="7335.9020833333334"/>
    <m/>
    <m/>
    <m/>
    <m/>
  </r>
  <r>
    <n v="1952"/>
    <x v="300"/>
    <x v="1"/>
    <x v="0"/>
    <x v="10"/>
    <x v="1"/>
    <x v="39"/>
    <s v="PWEGPL"/>
    <s v="MSEDCL"/>
    <n v="2.5000000000000001E-2"/>
    <s v="CE100010"/>
    <x v="296"/>
    <s v="PM"/>
    <d v="1899-12-30T10:09:00"/>
    <d v="1899-12-30T10:09:00"/>
    <d v="1899-12-30T18:38:00"/>
    <n v="0"/>
    <n v="8.4833333333333343"/>
    <n v="8.4833333333333343"/>
    <s v="yearly preventive maintenace completed Day 2"/>
    <s v="Close"/>
    <n v="0.21208333333333337"/>
    <s v="G17"/>
    <n v="2262.9291666666668"/>
    <s v="None"/>
    <s v="WTG Scheduled Maintenance"/>
    <n v="6402"/>
    <n v="2262.9291666666668"/>
    <m/>
    <m/>
    <m/>
    <m/>
  </r>
  <r>
    <n v="1953"/>
    <x v="300"/>
    <x v="1"/>
    <x v="0"/>
    <x v="10"/>
    <x v="1"/>
    <x v="37"/>
    <s v="PWEGPL"/>
    <s v="MSEDCL"/>
    <n v="2.5000000000000001E-2"/>
    <s v="CE100010"/>
    <x v="296"/>
    <s v="PM"/>
    <d v="1899-12-30T09:47:00"/>
    <d v="1899-12-30T09:47:00"/>
    <d v="1899-12-30T18:26:00"/>
    <n v="0"/>
    <n v="8.6500000000000021"/>
    <n v="8.6500000000000021"/>
    <s v="yearly preventive maintenace completed Day 1"/>
    <s v="Close"/>
    <n v="0.21625000000000005"/>
    <s v="G17"/>
    <n v="2307.3875000000007"/>
    <s v="None"/>
    <s v="WTG Scheduled Maintenance"/>
    <n v="6402"/>
    <n v="2307.3875000000007"/>
    <m/>
    <m/>
    <m/>
    <m/>
  </r>
  <r>
    <n v="1954"/>
    <x v="300"/>
    <x v="1"/>
    <x v="0"/>
    <x v="10"/>
    <x v="1"/>
    <x v="25"/>
    <s v="PWEGPL"/>
    <s v="MSEDCL"/>
    <n v="2.5000000000000001E-2"/>
    <s v="CE100008"/>
    <x v="400"/>
    <s v="Manual Stop/SEM"/>
    <d v="1899-12-30T12:15:00"/>
    <d v="1899-12-30T12:15:00"/>
    <d v="1899-12-30T13:45:00"/>
    <n v="0"/>
    <n v="1.5"/>
    <n v="1.5"/>
    <s v="Sem meter instalation work"/>
    <s v="Close"/>
    <n v="3.7500000000000006E-2"/>
    <s v="G07"/>
    <n v="381.375"/>
    <s v="None"/>
    <s v="WTG Unscheduled Maintenance"/>
    <n v="6102"/>
    <n v="381.375"/>
    <m/>
    <m/>
    <m/>
    <m/>
  </r>
  <r>
    <n v="1955"/>
    <x v="300"/>
    <x v="1"/>
    <x v="0"/>
    <x v="10"/>
    <x v="1"/>
    <x v="22"/>
    <s v="PWEGPL"/>
    <s v="MSEDCL"/>
    <n v="2.5000000000000001E-2"/>
    <s v="CE100008"/>
    <x v="400"/>
    <s v="Manual Stop/SEM"/>
    <d v="1899-12-30T15:36:00"/>
    <d v="1899-12-30T15:36:00"/>
    <d v="1899-12-30T17:11:00"/>
    <n v="0"/>
    <n v="1.583333333333333"/>
    <n v="1.583333333333333"/>
    <s v="Sem meter instalation work"/>
    <s v="Close"/>
    <n v="3.9583333333333331E-2"/>
    <s v="G04"/>
    <n v="357.83333333333326"/>
    <s v="None"/>
    <s v="WTG Unscheduled Maintenance"/>
    <n v="5424"/>
    <n v="357.83333333333326"/>
    <m/>
    <m/>
    <m/>
    <m/>
  </r>
  <r>
    <n v="1956"/>
    <x v="300"/>
    <x v="1"/>
    <x v="0"/>
    <x v="10"/>
    <x v="1"/>
    <x v="12"/>
    <s v="PWEGPL"/>
    <s v="MSEDCL"/>
    <n v="2.5000000000000001E-2"/>
    <n v="402"/>
    <x v="300"/>
    <s v="BD"/>
    <d v="1899-12-30T15:32:00"/>
    <d v="1899-12-30T16:34:00"/>
    <d v="1899-12-30T17:57:00"/>
    <n v="1.0333333333333323"/>
    <n v="1.3833333333333337"/>
    <n v="2.4166666666666661"/>
    <s v="Gear oil top up and restored"/>
    <s v="Close"/>
    <n v="6.0416666666666653E-2"/>
    <s v="G30"/>
    <n v="588.05555555555543"/>
    <s v="None"/>
    <s v="WTG Breakdown Maintenance"/>
    <n v="5840"/>
    <n v="588.05555555555543"/>
    <m/>
    <m/>
    <m/>
    <m/>
  </r>
  <r>
    <n v="1957"/>
    <x v="301"/>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1282.159722222223"/>
    <s v="None"/>
    <s v="WTG Unscheduled Maintenance"/>
    <n v="11290"/>
    <n v="11282.159722222223"/>
    <m/>
    <m/>
    <m/>
    <m/>
  </r>
  <r>
    <n v="1958"/>
    <x v="301"/>
    <x v="1"/>
    <x v="0"/>
    <x v="10"/>
    <x v="1"/>
    <x v="32"/>
    <s v="PWEGPL"/>
    <s v="MSEDCL"/>
    <n v="2.5000000000000001E-2"/>
    <s v="CE100010"/>
    <x v="296"/>
    <s v="PM"/>
    <d v="1899-12-30T10:29:00"/>
    <d v="1899-12-30T10:29:00"/>
    <d v="1899-12-30T17:44:00"/>
    <n v="0"/>
    <n v="7.2500000000000018"/>
    <n v="7.2500000000000018"/>
    <s v="yearly preventive maintenace completed Day 2"/>
    <s v="Close"/>
    <n v="0.18125000000000005"/>
    <s v="G15"/>
    <n v="2821.7604166666674"/>
    <s v="None"/>
    <s v="WTG Scheduled Maintenance"/>
    <n v="9341"/>
    <n v="2821.7604166666674"/>
    <m/>
    <m/>
    <m/>
    <m/>
  </r>
  <r>
    <n v="1959"/>
    <x v="301"/>
    <x v="1"/>
    <x v="0"/>
    <x v="10"/>
    <x v="1"/>
    <x v="31"/>
    <s v="PWEGPL"/>
    <s v="MSEDCL"/>
    <n v="2.5000000000000001E-2"/>
    <s v="CE100010"/>
    <x v="296"/>
    <s v="PM"/>
    <d v="1899-12-30T10:02:00"/>
    <d v="1899-12-30T10:02:00"/>
    <d v="1899-12-30T17:21:00"/>
    <n v="0"/>
    <n v="7.3166666666666682"/>
    <n v="7.3166666666666682"/>
    <s v="yearly preventive maintenace completed Day 1"/>
    <s v="Close"/>
    <n v="0.18291666666666673"/>
    <s v="G15"/>
    <n v="2847.7076388888895"/>
    <s v="None"/>
    <s v="WTG Scheduled Maintenance"/>
    <n v="9341"/>
    <n v="2847.7076388888895"/>
    <m/>
    <m/>
    <m/>
    <m/>
  </r>
  <r>
    <n v="1960"/>
    <x v="301"/>
    <x v="1"/>
    <x v="0"/>
    <x v="10"/>
    <x v="1"/>
    <x v="5"/>
    <s v="PWEGPL"/>
    <s v="MSEDCL"/>
    <n v="2.5000000000000001E-2"/>
    <n v="402"/>
    <x v="300"/>
    <s v="BD"/>
    <d v="1899-12-30T09:10:00"/>
    <d v="1899-12-30T10:19:00"/>
    <d v="1899-12-30T10:57:00"/>
    <n v="1.1499999999999999"/>
    <n v="0.63333333333333375"/>
    <n v="1.7833333333333337"/>
    <s v="Gear oil top up and restored"/>
    <s v="Close"/>
    <n v="4.4583333333333343E-2"/>
    <s v="G39"/>
    <n v="479.79097222222236"/>
    <s v="None"/>
    <s v="WTG Breakdown Maintenance"/>
    <n v="6457"/>
    <n v="479.79097222222236"/>
    <m/>
    <m/>
    <m/>
    <m/>
  </r>
  <r>
    <n v="1961"/>
    <x v="302"/>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713.9444444444434"/>
    <s v="None"/>
    <s v="WTG Unscheduled Maintenance"/>
    <n v="8720"/>
    <n v="8713.9444444444434"/>
    <m/>
    <m/>
    <m/>
    <m/>
  </r>
  <r>
    <n v="1962"/>
    <x v="302"/>
    <x v="1"/>
    <x v="0"/>
    <x v="10"/>
    <x v="1"/>
    <x v="32"/>
    <s v="PWEGPL"/>
    <s v="MSEDCL"/>
    <n v="2.5000000000000001E-2"/>
    <s v="CE100010"/>
    <x v="296"/>
    <s v="PM"/>
    <d v="1899-12-30T10:06:00"/>
    <d v="1899-12-30T10:06:00"/>
    <d v="1899-12-30T17:48:00"/>
    <n v="0"/>
    <n v="7.7000000000000011"/>
    <n v="7.7000000000000011"/>
    <s v="yearly preventive maintenace completed Day 1"/>
    <s v="Close"/>
    <n v="0.19250000000000003"/>
    <s v="G16"/>
    <n v="2423.5750000000003"/>
    <s v="None"/>
    <s v="WTG Scheduled Maintenance"/>
    <n v="7554"/>
    <n v="2423.5750000000003"/>
    <m/>
    <m/>
    <m/>
    <m/>
  </r>
  <r>
    <n v="1963"/>
    <x v="302"/>
    <x v="1"/>
    <x v="0"/>
    <x v="10"/>
    <x v="1"/>
    <x v="31"/>
    <s v="PWEGPL"/>
    <s v="MSEDCL"/>
    <n v="2.5000000000000001E-2"/>
    <s v="CE100010"/>
    <x v="296"/>
    <s v="PM"/>
    <d v="1899-12-30T10:00:00"/>
    <d v="1899-12-30T10:00:00"/>
    <d v="1899-12-30T18:05:00"/>
    <n v="0"/>
    <n v="8.0833333333333321"/>
    <n v="8.0833333333333321"/>
    <s v="yearly preventive maintenace completed Day 2"/>
    <s v="Close"/>
    <n v="0.20208333333333331"/>
    <s v="G12"/>
    <n v="2529.7465277777774"/>
    <s v="None"/>
    <s v="WTG Scheduled Maintenance"/>
    <n v="7511"/>
    <n v="2529.7465277777774"/>
    <m/>
    <m/>
    <m/>
    <m/>
  </r>
  <r>
    <n v="1964"/>
    <x v="302"/>
    <x v="1"/>
    <x v="0"/>
    <x v="10"/>
    <x v="1"/>
    <x v="39"/>
    <s v="PWEGPL"/>
    <s v="MSEDCL"/>
    <n v="2.5000000000000001E-2"/>
    <n v="118"/>
    <x v="313"/>
    <s v="BD"/>
    <d v="1899-12-30T12:27:00"/>
    <d v="1899-12-30T12:27:00"/>
    <d v="1899-12-30T14:09:00"/>
    <n v="0"/>
    <n v="1.700000000000002"/>
    <n v="1.700000000000002"/>
    <s v="Yaw motor replacement and customer post PM audit done and restored"/>
    <s v="Close"/>
    <n v="4.2500000000000052E-2"/>
    <s v="G16"/>
    <n v="535.07500000000061"/>
    <s v="None"/>
    <s v="WTG Breakdown Maintenance"/>
    <n v="7554"/>
    <n v="535.07500000000061"/>
    <m/>
    <m/>
    <m/>
    <m/>
  </r>
  <r>
    <n v="1965"/>
    <x v="302"/>
    <x v="1"/>
    <x v="0"/>
    <x v="10"/>
    <x v="1"/>
    <x v="33"/>
    <s v="PWEGPL"/>
    <s v="MSEDCL"/>
    <n v="2.5000000000000001E-2"/>
    <n v="1894"/>
    <x v="325"/>
    <s v="BD"/>
    <d v="1899-12-30T08:07:00"/>
    <d v="1899-12-30T09:16:00"/>
    <d v="1899-12-30T11:45:00"/>
    <n v="1.1499999999999999"/>
    <n v="2.4833333333333325"/>
    <n v="3.6333333333333324"/>
    <s v="Checked all protection curcuit breakers in top panel found gearbox auxilary pump motor protection curcuit breaker  tripped then switched on manually and checked the motor operation found Ok"/>
    <s v="Close"/>
    <n v="9.0833333333333321E-2"/>
    <s v="G22"/>
    <n v="1320.1111111111106"/>
    <s v="None"/>
    <s v="WTG Breakdown Maintenance"/>
    <n v="8720"/>
    <n v="1320.1111111111106"/>
    <m/>
    <m/>
    <m/>
    <m/>
  </r>
  <r>
    <n v="1966"/>
    <x v="303"/>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788.6722222222224"/>
    <s v="None"/>
    <s v="WTG Unscheduled Maintenance"/>
    <n v="4792"/>
    <n v="4788.6722222222224"/>
    <m/>
    <m/>
    <m/>
    <m/>
  </r>
  <r>
    <n v="1967"/>
    <x v="303"/>
    <x v="1"/>
    <x v="0"/>
    <x v="10"/>
    <x v="1"/>
    <x v="35"/>
    <s v="PWEGPL"/>
    <s v="MSEDCL"/>
    <n v="2.5000000000000001E-2"/>
    <s v="CE100010"/>
    <x v="296"/>
    <s v="PM"/>
    <d v="1899-12-30T10:38:00"/>
    <d v="1899-12-30T10:38:00"/>
    <d v="1899-12-30T18:35:00"/>
    <n v="0"/>
    <n v="7.9499999999999984"/>
    <n v="7.9499999999999984"/>
    <s v="yearly preventive maintenace completed Day 1"/>
    <s v="Close"/>
    <n v="0.19874999999999998"/>
    <s v="G25"/>
    <n v="1389.5937499999995"/>
    <s v="None"/>
    <s v="WTG Scheduled Maintenance"/>
    <n v="4195"/>
    <n v="1389.5937499999995"/>
    <m/>
    <m/>
    <m/>
    <m/>
  </r>
  <r>
    <n v="1968"/>
    <x v="303"/>
    <x v="1"/>
    <x v="0"/>
    <x v="10"/>
    <x v="1"/>
    <x v="8"/>
    <s v="PWEGPL"/>
    <s v="MSEDCL"/>
    <n v="2.5000000000000001E-2"/>
    <s v="CE100010"/>
    <x v="296"/>
    <s v="PM"/>
    <d v="1899-12-30T10:46:00"/>
    <d v="1899-12-30T10:46:00"/>
    <d v="1899-12-30T18:09:00"/>
    <n v="0"/>
    <n v="7.3833333333333329"/>
    <n v="7.3833333333333329"/>
    <s v="yearly preventive maintenace completed Day 2"/>
    <s v="Close"/>
    <n v="0.18458333333333332"/>
    <s v="G25"/>
    <n v="1290.5451388888887"/>
    <s v="None"/>
    <s v="WTG Scheduled Maintenance"/>
    <n v="4195"/>
    <n v="1290.5451388888887"/>
    <m/>
    <m/>
    <m/>
    <m/>
  </r>
  <r>
    <n v="1969"/>
    <x v="303"/>
    <x v="1"/>
    <x v="0"/>
    <x v="10"/>
    <x v="1"/>
    <x v="19"/>
    <s v="PWEGPL"/>
    <s v="MSEDCL"/>
    <n v="2.5000000000000001E-2"/>
    <s v="CE100001"/>
    <x v="288"/>
    <s v="Audit"/>
    <d v="1899-12-30T11:31:00"/>
    <d v="1899-12-30T11:31:00"/>
    <d v="1899-12-30T13:54:00"/>
    <n v="0"/>
    <n v="2.3833333333333342"/>
    <n v="2.3833333333333342"/>
    <s v="Post PM audit by cuctomer"/>
    <s v="Close"/>
    <n v="5.9583333333333356E-2"/>
    <s v="G19"/>
    <n v="684.71180555555588"/>
    <s v="None"/>
    <s v="WTG Unscheduled Maintenance"/>
    <n v="6895"/>
    <n v="684.71180555555588"/>
    <m/>
    <m/>
    <m/>
    <m/>
  </r>
  <r>
    <n v="1970"/>
    <x v="303"/>
    <x v="1"/>
    <x v="0"/>
    <x v="10"/>
    <x v="1"/>
    <x v="24"/>
    <s v="PWEGPL"/>
    <s v="MSEDCL"/>
    <n v="2.5000000000000001E-2"/>
    <n v="1894"/>
    <x v="325"/>
    <s v="BD"/>
    <d v="1899-12-30T04:54:00"/>
    <d v="1899-12-30T06:06:00"/>
    <d v="1899-12-30T06:55:00"/>
    <n v="1.1999999999999991"/>
    <n v="0.81666666666666776"/>
    <n v="2.0166666666666666"/>
    <s v="Checked all protection curcuit breakers in top panel found gearbox auxilary pump motor protection curcuit breaker  tripped then switched on manually and checked the motor operation found Ok"/>
    <s v="Close"/>
    <n v="5.0416666666666665E-2"/>
    <s v="G22"/>
    <n v="402.6611111111111"/>
    <s v="None"/>
    <s v="WTG Breakdown Maintenance"/>
    <n v="4792"/>
    <n v="402.6611111111111"/>
    <m/>
    <m/>
    <m/>
    <m/>
  </r>
  <r>
    <n v="1971"/>
    <x v="304"/>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222.895833333334"/>
    <s v="None"/>
    <s v="WTG Unscheduled Maintenance"/>
    <n v="10230"/>
    <n v="10222.895833333334"/>
    <m/>
    <m/>
    <m/>
    <m/>
  </r>
  <r>
    <n v="1972"/>
    <x v="304"/>
    <x v="1"/>
    <x v="0"/>
    <x v="10"/>
    <x v="1"/>
    <x v="7"/>
    <s v="PWEGPL"/>
    <s v="MSEDCL"/>
    <n v="2.5000000000000001E-2"/>
    <n v="812"/>
    <x v="327"/>
    <s v="BD"/>
    <d v="1899-12-30T04:31:00"/>
    <d v="1899-12-30T06:38:00"/>
    <d v="1899-12-30T15:19:00"/>
    <n v="2.1166666666666658"/>
    <n v="8.6833333333333336"/>
    <n v="10.799999999999999"/>
    <s v="Checked all blade position measerment equipments and found power supply missing to balluff sensor then check input power supply found failure and Blade B balluff sensor cable found short then corrected and restored"/>
    <s v="Close"/>
    <n v="0.26999999999999996"/>
    <s v="G39"/>
    <n v="2825.0999999999995"/>
    <s v="None"/>
    <s v="WTG Breakdown Maintenance"/>
    <n v="6278"/>
    <n v="2825.0999999999995"/>
    <m/>
    <m/>
    <m/>
    <m/>
  </r>
  <r>
    <n v="1973"/>
    <x v="304"/>
    <x v="1"/>
    <x v="0"/>
    <x v="10"/>
    <x v="1"/>
    <x v="5"/>
    <s v="PWEGPL"/>
    <s v="MSEDCL"/>
    <n v="2.5000000000000001E-2"/>
    <s v="CE100014"/>
    <x v="305"/>
    <s v="Manual stop/TCA"/>
    <d v="1899-12-30T12:23:00"/>
    <d v="1899-12-30T12:23:00"/>
    <d v="1899-12-30T23:59:00"/>
    <n v="0"/>
    <n v="11.600000000000001"/>
    <n v="11.600000000000001"/>
    <s v="TCA point gearbox dampers replacement work"/>
    <s v="Open"/>
    <n v="0.29000000000000004"/>
    <s v="G39"/>
    <n v="3034.3666666666668"/>
    <s v="None"/>
    <s v="WTG Unscheduled Maintenance"/>
    <n v="6278"/>
    <n v="3034.3666666666668"/>
    <m/>
    <m/>
    <m/>
    <m/>
  </r>
  <r>
    <n v="1974"/>
    <x v="305"/>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609.627083333333"/>
    <s v="None"/>
    <s v="WTG Unscheduled Maintenance"/>
    <n v="10617"/>
    <n v="10609.627083333333"/>
    <m/>
    <m/>
    <m/>
    <m/>
  </r>
  <r>
    <n v="1975"/>
    <x v="305"/>
    <x v="1"/>
    <x v="0"/>
    <x v="10"/>
    <x v="1"/>
    <x v="5"/>
    <s v="PWEGPL"/>
    <s v="MSEDCL"/>
    <n v="2.5000000000000001E-2"/>
    <s v="CE100014"/>
    <x v="305"/>
    <s v="Manual stop/TCA"/>
    <d v="1899-12-30T00:00:00"/>
    <d v="1899-12-30T00:00:00"/>
    <d v="1899-12-30T01:14:00"/>
    <n v="0"/>
    <n v="1.2333333333333334"/>
    <n v="1.2333333333333334"/>
    <s v="TCA point gearbox dampers replacement work"/>
    <s v="Close"/>
    <n v="3.0833333333333338E-2"/>
    <s v="G39"/>
    <n v="306.27777777777783"/>
    <s v="None"/>
    <s v="WTG Unscheduled Maintenance"/>
    <n v="5960"/>
    <n v="306.27777777777783"/>
    <m/>
    <m/>
    <m/>
    <m/>
  </r>
  <r>
    <n v="1976"/>
    <x v="305"/>
    <x v="1"/>
    <x v="0"/>
    <x v="10"/>
    <x v="1"/>
    <x v="35"/>
    <s v="PWEGPL"/>
    <s v="MSEDCL"/>
    <n v="2.5000000000000001E-2"/>
    <s v="CE100010"/>
    <x v="296"/>
    <s v="PM"/>
    <d v="1899-12-30T09:41:00"/>
    <d v="1899-12-30T09:41:00"/>
    <d v="1899-12-30T20:00:00"/>
    <n v="0"/>
    <n v="10.316666666666666"/>
    <n v="10.316666666666666"/>
    <s v="yearly preventive maintenace completed Day 2"/>
    <s v="Close"/>
    <n v="0.25791666666666668"/>
    <s v="G25"/>
    <n v="3819.3159722222217"/>
    <s v="None"/>
    <s v="WTG Scheduled Maintenance"/>
    <n v="8885"/>
    <n v="3819.3159722222217"/>
    <m/>
    <m/>
    <m/>
    <m/>
  </r>
  <r>
    <n v="1977"/>
    <x v="305"/>
    <x v="1"/>
    <x v="0"/>
    <x v="10"/>
    <x v="1"/>
    <x v="8"/>
    <s v="PWEGPL"/>
    <s v="MSEDCL"/>
    <n v="2.5000000000000001E-2"/>
    <s v="CE100010"/>
    <x v="296"/>
    <s v="PM"/>
    <d v="1899-12-30T11:12:00"/>
    <d v="1899-12-30T11:12:00"/>
    <d v="1899-12-30T19:11:00"/>
    <n v="0"/>
    <n v="7.9833333333333361"/>
    <n v="7.9833333333333361"/>
    <s v="yearly preventive maintenace completed Day 1"/>
    <s v="Close"/>
    <n v="0.19958333333333342"/>
    <s v="G25"/>
    <n v="2955.4965277777787"/>
    <s v="None"/>
    <s v="WTG Scheduled Maintenance"/>
    <n v="8885"/>
    <n v="2955.4965277777787"/>
    <m/>
    <m/>
    <m/>
    <m/>
  </r>
  <r>
    <n v="1978"/>
    <x v="306"/>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4192.137500000001"/>
    <s v="None"/>
    <s v="WTG Unscheduled Maintenance"/>
    <n v="14202"/>
    <n v="14192.137500000001"/>
    <m/>
    <m/>
    <m/>
    <m/>
  </r>
  <r>
    <n v="1979"/>
    <x v="306"/>
    <x v="1"/>
    <x v="0"/>
    <x v="10"/>
    <x v="1"/>
    <x v="30"/>
    <s v="PWEGPL"/>
    <s v="MSEDCL"/>
    <n v="2.5000000000000001E-2"/>
    <s v="CE100010"/>
    <x v="296"/>
    <s v="PM"/>
    <d v="1899-12-30T13:10:00"/>
    <d v="1899-12-30T13:10:00"/>
    <d v="1899-12-30T18:50:00"/>
    <n v="0"/>
    <n v="5.6666666666666679"/>
    <n v="5.6666666666666679"/>
    <s v="yearly preventive maintenace completed Day 2"/>
    <s v="Close"/>
    <n v="0.14166666666666669"/>
    <s v="G10"/>
    <n v="2996.2500000000005"/>
    <s v="None"/>
    <s v="WTG Scheduled Maintenance"/>
    <n v="12690"/>
    <n v="2996.2500000000005"/>
    <m/>
    <m/>
    <m/>
    <m/>
  </r>
  <r>
    <n v="1980"/>
    <x v="306"/>
    <x v="1"/>
    <x v="0"/>
    <x v="10"/>
    <x v="1"/>
    <x v="27"/>
    <s v="PWEGPL"/>
    <s v="MSEDCL"/>
    <n v="2.5000000000000001E-2"/>
    <s v="CE100010"/>
    <x v="296"/>
    <s v="PM"/>
    <d v="1899-12-30T13:00:00"/>
    <d v="1899-12-30T13:00:00"/>
    <d v="1899-12-30T19:40:00"/>
    <n v="0"/>
    <n v="6.6666666666666696"/>
    <n v="6.6666666666666696"/>
    <s v="yearly preventive maintenace completed Day 1"/>
    <s v="Close"/>
    <n v="0.16666666666666674"/>
    <s v="G10"/>
    <n v="3525.0000000000014"/>
    <s v="None"/>
    <s v="WTG Scheduled Maintenance"/>
    <n v="12690"/>
    <n v="3525.0000000000014"/>
    <m/>
    <m/>
    <m/>
    <m/>
  </r>
  <r>
    <n v="1981"/>
    <x v="306"/>
    <x v="1"/>
    <x v="0"/>
    <x v="10"/>
    <x v="1"/>
    <x v="0"/>
    <s v="PWEGPL"/>
    <s v="MSEDCL"/>
    <n v="2.5000000000000001E-2"/>
    <n v="5203"/>
    <x v="294"/>
    <s v="BD"/>
    <d v="1899-12-30T15:38:00"/>
    <d v="1899-12-30T16:23:00"/>
    <d v="1899-12-30T17:11:00"/>
    <n v="0.75"/>
    <n v="0.79999999999999982"/>
    <n v="1.5499999999999998"/>
    <s v="Coolant cooling rediator motor protection breaker tripped condition then checked motor operation and manually swiched on and restored"/>
    <s v="Close"/>
    <n v="3.875E-2"/>
    <s v="G18"/>
    <n v="847.97916666666663"/>
    <s v="None"/>
    <s v="WTG Breakdown Maintenance"/>
    <n v="13130"/>
    <n v="847.97916666666663"/>
    <m/>
    <m/>
    <m/>
    <m/>
  </r>
  <r>
    <n v="1982"/>
    <x v="306"/>
    <x v="1"/>
    <x v="0"/>
    <x v="10"/>
    <x v="1"/>
    <x v="39"/>
    <s v="PWEGPL"/>
    <s v="MSEDCL"/>
    <n v="2.5000000000000001E-2"/>
    <n v="2509"/>
    <x v="201"/>
    <s v="BD"/>
    <d v="1899-12-30T13:08:00"/>
    <d v="1899-12-30T13:08:00"/>
    <d v="1899-12-30T23:59:00"/>
    <n v="0"/>
    <n v="10.850000000000001"/>
    <n v="10.850000000000001"/>
    <s v="SF6 breaker grid side T connector failure material arrangement WUP"/>
    <s v="Open"/>
    <n v="0.27125000000000005"/>
    <s v="G16"/>
    <n v="6124.3729166666681"/>
    <s v="Material shortage - T plug connector 185sq mm"/>
    <s v="WTG Breakdown Maintenance"/>
    <n v="13547"/>
    <n v="6124.3729166666681"/>
    <m/>
    <m/>
    <m/>
    <m/>
  </r>
  <r>
    <n v="1983"/>
    <x v="306"/>
    <x v="1"/>
    <x v="0"/>
    <x v="10"/>
    <x v="1"/>
    <x v="27"/>
    <s v="PWEGPL"/>
    <s v="MSEDCL"/>
    <n v="2.5000000000000001E-2"/>
    <n v="2118"/>
    <x v="293"/>
    <s v="BD"/>
    <d v="1899-12-30T22:42:00"/>
    <d v="1899-12-30T23:10:00"/>
    <d v="1899-12-30T23:59:00"/>
    <n v="0.46666666666666767"/>
    <n v="0.81666666666666643"/>
    <n v="1.2833333333333341"/>
    <s v="Work under progress"/>
    <s v="Open"/>
    <n v="3.2083333333333353E-2"/>
    <s v="G10"/>
    <n v="678.56250000000045"/>
    <s v="None"/>
    <s v="WTG Breakdown Maintenance"/>
    <n v="12690"/>
    <n v="678.56250000000045"/>
    <m/>
    <m/>
    <m/>
    <m/>
  </r>
  <r>
    <n v="1984"/>
    <x v="307"/>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394.5562500000005"/>
    <s v="None"/>
    <s v="WTG Unscheduled Maintenance"/>
    <n v="6399"/>
    <n v="6394.5562500000005"/>
    <m/>
    <m/>
    <m/>
    <m/>
  </r>
  <r>
    <n v="1985"/>
    <x v="307"/>
    <x v="1"/>
    <x v="0"/>
    <x v="10"/>
    <x v="1"/>
    <x v="30"/>
    <s v="PWEGPL"/>
    <s v="MSEDCL"/>
    <n v="2.5000000000000001E-2"/>
    <s v="CE100010"/>
    <x v="296"/>
    <s v="PM"/>
    <d v="1899-12-30T10:24:00"/>
    <d v="1899-12-30T10:24:00"/>
    <d v="1899-12-30T18:20:00"/>
    <n v="0"/>
    <n v="7.9333333333333318"/>
    <n v="7.9333333333333318"/>
    <s v="yearly preventive maintenace completed Day 1"/>
    <s v="Close"/>
    <n v="0.19833333333333331"/>
    <s v="G10"/>
    <n v="2011.7611111111107"/>
    <s v="None"/>
    <s v="WTG Scheduled Maintenance"/>
    <n v="6086"/>
    <n v="2011.7611111111107"/>
    <m/>
    <m/>
    <m/>
    <m/>
  </r>
  <r>
    <n v="1986"/>
    <x v="307"/>
    <x v="1"/>
    <x v="0"/>
    <x v="10"/>
    <x v="1"/>
    <x v="27"/>
    <s v="PWEGPL"/>
    <s v="MSEDCL"/>
    <n v="2.5000000000000001E-2"/>
    <s v="CE100010"/>
    <x v="296"/>
    <s v="PM"/>
    <d v="1899-12-30T10:37:00"/>
    <d v="1899-12-30T10:37:00"/>
    <d v="1899-12-30T17:10:00"/>
    <n v="0"/>
    <n v="6.5499999999999989"/>
    <n v="6.5499999999999989"/>
    <s v="yearly preventive maintenace completed Day 2"/>
    <s v="Close"/>
    <n v="0.16374999999999998"/>
    <s v="G10"/>
    <n v="1660.9708333333331"/>
    <s v="None"/>
    <s v="WTG Scheduled Maintenance"/>
    <n v="6086"/>
    <n v="1660.9708333333331"/>
    <m/>
    <m/>
    <m/>
    <m/>
  </r>
  <r>
    <n v="1987"/>
    <x v="307"/>
    <x v="1"/>
    <x v="0"/>
    <x v="10"/>
    <x v="1"/>
    <x v="39"/>
    <s v="PWEGPL"/>
    <s v="MSEDCL"/>
    <n v="2.5000000000000001E-2"/>
    <n v="2509"/>
    <x v="201"/>
    <s v="BD"/>
    <d v="1899-12-30T00:00:00"/>
    <d v="1899-12-30T00:00:00"/>
    <d v="1899-12-30T23:59:00"/>
    <n v="0"/>
    <n v="23.983333333333334"/>
    <n v="23.983333333333334"/>
    <s v="SF6 breaker grid side T connector failure material arrangement WUP"/>
    <s v="Open"/>
    <n v="0.59958333333333336"/>
    <s v="G16"/>
    <n v="7720.634722222223"/>
    <s v="Material shortage - T plug connector 185sq mm"/>
    <s v="WTG Breakdown Maintenance"/>
    <n v="7726"/>
    <n v="7720.634722222223"/>
    <m/>
    <m/>
    <m/>
    <m/>
  </r>
  <r>
    <n v="1988"/>
    <x v="30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725.1062500000003"/>
    <s v="None"/>
    <s v="WTG Unscheduled Maintenance"/>
    <n v="2727"/>
    <n v="2725.1062500000003"/>
    <m/>
    <m/>
    <m/>
    <m/>
  </r>
  <r>
    <n v="1989"/>
    <x v="308"/>
    <x v="1"/>
    <x v="0"/>
    <x v="10"/>
    <x v="1"/>
    <x v="25"/>
    <s v="PWEGPL"/>
    <s v="MSEDCL"/>
    <n v="2.5000000000000001E-2"/>
    <s v="CE100010"/>
    <x v="296"/>
    <s v="PM"/>
    <d v="1899-12-30T10:59:00"/>
    <d v="1899-12-30T10:59:00"/>
    <d v="1899-12-30T18:03:00"/>
    <n v="0"/>
    <n v="7.0666666666666664"/>
    <n v="7.0666666666666664"/>
    <s v="yearly preventive maintenace completed Day 1"/>
    <s v="Close"/>
    <n v="0.17666666666666667"/>
    <s v="G03"/>
    <n v="831.80555555555554"/>
    <s v="None"/>
    <s v="WTG Scheduled Maintenance"/>
    <n v="2825"/>
    <n v="831.80555555555554"/>
    <m/>
    <m/>
    <m/>
    <m/>
  </r>
  <r>
    <n v="1990"/>
    <x v="308"/>
    <x v="1"/>
    <x v="0"/>
    <x v="10"/>
    <x v="1"/>
    <x v="17"/>
    <s v="PWEGPL"/>
    <s v="MSEDCL"/>
    <n v="2.5000000000000001E-2"/>
    <s v="CE100010"/>
    <x v="296"/>
    <s v="PM"/>
    <d v="1899-12-30T10:55:00"/>
    <d v="1899-12-30T10:55:00"/>
    <d v="1899-12-30T17:02:00"/>
    <n v="0"/>
    <n v="6.1166666666666671"/>
    <n v="6.1166666666666671"/>
    <s v="yearly preventive maintenace completed Day 2"/>
    <s v="Close"/>
    <n v="0.1529166666666667"/>
    <s v="G10"/>
    <n v="599.94305555555559"/>
    <s v="None"/>
    <s v="WTG Scheduled Maintenance"/>
    <n v="2354"/>
    <n v="599.94305555555559"/>
    <m/>
    <m/>
    <m/>
    <m/>
  </r>
  <r>
    <n v="1991"/>
    <x v="308"/>
    <x v="1"/>
    <x v="0"/>
    <x v="10"/>
    <x v="1"/>
    <x v="39"/>
    <s v="PWEGPL"/>
    <s v="MSEDCL"/>
    <n v="2.5000000000000001E-2"/>
    <n v="2509"/>
    <x v="201"/>
    <s v="BD"/>
    <d v="1899-12-30T00:00:00"/>
    <d v="1899-12-30T00:00:00"/>
    <d v="1899-12-30T23:59:00"/>
    <n v="0"/>
    <n v="23.983333333333334"/>
    <n v="23.983333333333334"/>
    <s v="SF6 breaker grid side T connector failure material arrangement WUP"/>
    <s v="Open"/>
    <n v="0.59958333333333336"/>
    <s v="G16"/>
    <n v="3819.3458333333333"/>
    <s v="Material shortage - T plug connector 185sq mm"/>
    <s v="WTG Breakdown Maintenance"/>
    <n v="3822"/>
    <n v="3819.3458333333333"/>
    <m/>
    <m/>
    <m/>
    <m/>
  </r>
  <r>
    <n v="1992"/>
    <x v="309"/>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614.4881944444446"/>
    <s v="None"/>
    <s v="WTG Unscheduled Maintenance"/>
    <n v="3617"/>
    <n v="3614.4881944444446"/>
    <m/>
    <m/>
    <m/>
    <m/>
  </r>
  <r>
    <n v="1993"/>
    <x v="309"/>
    <x v="1"/>
    <x v="0"/>
    <x v="10"/>
    <x v="1"/>
    <x v="25"/>
    <s v="PWEGPL"/>
    <s v="MSEDCL"/>
    <n v="2.5000000000000001E-2"/>
    <s v="CE100010"/>
    <x v="296"/>
    <s v="PM"/>
    <d v="1899-12-30T10:31:00"/>
    <d v="1899-12-30T10:31:00"/>
    <d v="1899-12-30T18:18:00"/>
    <n v="0"/>
    <n v="7.7833333333333332"/>
    <n v="7.7833333333333332"/>
    <s v="yearly preventive maintenace completed Day 2"/>
    <s v="Close"/>
    <n v="0.19458333333333333"/>
    <s v="G03"/>
    <n v="1314.7347222222222"/>
    <s v="None"/>
    <s v="WTG Scheduled Maintenance"/>
    <n v="4054"/>
    <n v="1314.7347222222222"/>
    <m/>
    <m/>
    <m/>
    <m/>
  </r>
  <r>
    <n v="1994"/>
    <x v="309"/>
    <x v="1"/>
    <x v="0"/>
    <x v="10"/>
    <x v="1"/>
    <x v="17"/>
    <s v="PWEGPL"/>
    <s v="MSEDCL"/>
    <n v="2.5000000000000001E-2"/>
    <s v="CE100010"/>
    <x v="296"/>
    <s v="PM"/>
    <d v="1899-12-30T10:27:00"/>
    <d v="1899-12-30T10:27:00"/>
    <d v="1899-12-30T17:57:00"/>
    <n v="0"/>
    <n v="7.5000000000000018"/>
    <n v="7.5000000000000018"/>
    <s v="yearly preventive maintenace completed Day 1"/>
    <s v="Close"/>
    <n v="0.18750000000000006"/>
    <s v="G10"/>
    <n v="1237.8125000000002"/>
    <s v="None"/>
    <s v="WTG Scheduled Maintenance"/>
    <n v="3961"/>
    <n v="1237.8125000000002"/>
    <m/>
    <m/>
    <m/>
    <m/>
  </r>
  <r>
    <n v="1995"/>
    <x v="309"/>
    <x v="1"/>
    <x v="0"/>
    <x v="10"/>
    <x v="1"/>
    <x v="39"/>
    <s v="PWEGPL"/>
    <s v="MSEDCL"/>
    <n v="2.5000000000000001E-2"/>
    <n v="5216"/>
    <x v="306"/>
    <s v="BD"/>
    <d v="1899-12-30T00:00:00"/>
    <d v="1899-12-30T00:00:00"/>
    <d v="1899-12-30T19:04:00"/>
    <n v="0"/>
    <n v="19.066666666666666"/>
    <n v="19.066666666666666"/>
    <s v="T plug connector replaced and restored"/>
    <s v="Close"/>
    <n v="0.47666666666666668"/>
    <s v="G16"/>
    <n v="3876.8888888888891"/>
    <s v="None"/>
    <s v="WTG Breakdown Maintenance"/>
    <n v="4880"/>
    <n v="3876.8888888888891"/>
    <m/>
    <m/>
    <m/>
    <m/>
  </r>
  <r>
    <n v="1996"/>
    <x v="309"/>
    <x v="1"/>
    <x v="0"/>
    <x v="10"/>
    <x v="1"/>
    <x v="20"/>
    <s v="PWEGPL"/>
    <s v="MSEDCL"/>
    <n v="2.5000000000000001E-2"/>
    <n v="102"/>
    <x v="337"/>
    <s v="BD"/>
    <d v="1899-12-30T18:58:00"/>
    <d v="1899-12-30T20:02:00"/>
    <d v="1899-12-30T23:32:00"/>
    <n v="1.0666666666666682"/>
    <n v="3.5000000000000009"/>
    <n v="4.5666666666666691"/>
    <s v="Yaw drive failured and dismentle from fixtured and restored"/>
    <s v="Close"/>
    <n v="0.11416666666666674"/>
    <s v="G07"/>
    <n v="692.42083333333369"/>
    <s v="None"/>
    <s v="WTG Breakdown Maintenance"/>
    <n v="3639"/>
    <n v="692.42083333333369"/>
    <m/>
    <m/>
    <m/>
    <m/>
  </r>
  <r>
    <n v="1997"/>
    <x v="309"/>
    <x v="1"/>
    <x v="0"/>
    <x v="10"/>
    <x v="1"/>
    <x v="15"/>
    <s v="PWEGPL"/>
    <s v="MSEDCL"/>
    <n v="2.5000000000000001E-2"/>
    <n v="5203"/>
    <x v="294"/>
    <s v="BD"/>
    <d v="1899-12-30T16:50:00"/>
    <d v="1899-12-30T22:29:00"/>
    <d v="1899-12-30T23:59:00"/>
    <n v="5.6500000000000012"/>
    <n v="1.5"/>
    <n v="7.1500000000000012"/>
    <s v="Troubleshooting work under progress"/>
    <s v="Open"/>
    <n v="0.17875000000000005"/>
    <s v="G36"/>
    <n v="1047.4750000000001"/>
    <s v="None"/>
    <s v="WTG Breakdown Maintenance"/>
    <n v="3516"/>
    <n v="1047.4750000000001"/>
    <m/>
    <m/>
    <m/>
    <m/>
  </r>
  <r>
    <n v="1998"/>
    <x v="310"/>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017.9027777777778"/>
    <s v="None"/>
    <s v="WTG Unscheduled Maintenance"/>
    <n v="3020"/>
    <n v="3017.9027777777778"/>
    <m/>
    <m/>
    <m/>
    <m/>
  </r>
  <r>
    <n v="1999"/>
    <x v="310"/>
    <x v="1"/>
    <x v="0"/>
    <x v="10"/>
    <x v="1"/>
    <x v="23"/>
    <s v="PWEGPL"/>
    <s v="MSEDCL"/>
    <n v="2.5000000000000001E-2"/>
    <s v="CE100010"/>
    <x v="296"/>
    <s v="PM"/>
    <d v="1899-12-30T11:26:00"/>
    <d v="1899-12-30T11:26:00"/>
    <d v="1899-12-30T18:03:00"/>
    <n v="0"/>
    <n v="6.6166666666666654"/>
    <n v="6.6166666666666654"/>
    <s v="yearly preventive maintenace completed Day 1"/>
    <s v="Close"/>
    <n v="0.16541666666666666"/>
    <s v="G02"/>
    <n v="921.37083333333317"/>
    <s v="None"/>
    <s v="WTG Scheduled Maintenance"/>
    <n v="3342"/>
    <n v="921.37083333333317"/>
    <m/>
    <m/>
    <m/>
    <m/>
  </r>
  <r>
    <n v="2000"/>
    <x v="310"/>
    <x v="1"/>
    <x v="0"/>
    <x v="10"/>
    <x v="1"/>
    <x v="22"/>
    <s v="PWEGPL"/>
    <s v="MSEDCL"/>
    <n v="2.5000000000000001E-2"/>
    <s v="CE100010"/>
    <x v="296"/>
    <s v="PM"/>
    <d v="1899-12-30T11:23:00"/>
    <d v="1899-12-30T11:23:00"/>
    <d v="1899-12-30T18:02:00"/>
    <n v="0"/>
    <n v="6.650000000000003"/>
    <n v="6.650000000000003"/>
    <s v="yearly preventive maintenace completed Day 2"/>
    <s v="Close"/>
    <n v="0.16625000000000009"/>
    <s v="G06"/>
    <n v="846.76666666666699"/>
    <s v="None"/>
    <s v="WTG Scheduled Maintenance"/>
    <n v="3056"/>
    <n v="846.76666666666699"/>
    <m/>
    <m/>
    <m/>
    <m/>
  </r>
  <r>
    <n v="2001"/>
    <x v="310"/>
    <x v="1"/>
    <x v="0"/>
    <x v="10"/>
    <x v="1"/>
    <x v="15"/>
    <s v="PWEGPL"/>
    <s v="MSEDCL"/>
    <n v="2.5000000000000001E-2"/>
    <n v="5203"/>
    <x v="294"/>
    <s v="BD"/>
    <d v="1899-12-30T00:00:00"/>
    <d v="1899-12-30T00:00:00"/>
    <d v="1899-12-30T06:11:00"/>
    <n v="0"/>
    <n v="6.1833333333333336"/>
    <n v="6.1833333333333336"/>
    <s v="CCU rediator cooling motor replaced and restored"/>
    <s v="Close"/>
    <n v="0.15458333333333335"/>
    <s v="G34"/>
    <n v="587.15902777777774"/>
    <s v="None"/>
    <s v="WTG Breakdown Maintenance"/>
    <n v="2279"/>
    <n v="587.15902777777774"/>
    <m/>
    <m/>
    <m/>
    <m/>
  </r>
  <r>
    <n v="2002"/>
    <x v="310"/>
    <x v="1"/>
    <x v="0"/>
    <x v="10"/>
    <x v="1"/>
    <x v="29"/>
    <s v="PWEGPL"/>
    <s v="MSEDCL"/>
    <n v="2.5000000000000001E-2"/>
    <s v="CE100014"/>
    <x v="305"/>
    <s v="PM/Lift"/>
    <d v="1899-12-30T12:00:00"/>
    <d v="1899-12-30T12:00:00"/>
    <d v="1899-12-30T13:21:00"/>
    <n v="0"/>
    <n v="1.3500000000000005"/>
    <n v="1.3500000000000005"/>
    <s v="Lift maintenance work done"/>
    <s v="Close"/>
    <n v="3.3750000000000016E-2"/>
    <s v="G10"/>
    <n v="143.60625000000005"/>
    <s v="None"/>
    <s v="WTG Scheduled Maintenance"/>
    <n v="2553"/>
    <n v="143.60625000000005"/>
    <m/>
    <m/>
    <m/>
    <m/>
  </r>
  <r>
    <n v="2003"/>
    <x v="310"/>
    <x v="1"/>
    <x v="0"/>
    <x v="10"/>
    <x v="1"/>
    <x v="18"/>
    <s v="PWEGPL"/>
    <s v="MSEDCL"/>
    <n v="2.5000000000000001E-2"/>
    <s v="CE100014"/>
    <x v="305"/>
    <s v="PM/Lift"/>
    <d v="1899-12-30T16:00:00"/>
    <d v="1899-12-30T16:00:00"/>
    <d v="1899-12-30T17:43:00"/>
    <n v="0"/>
    <n v="1.7166666666666659"/>
    <n v="1.7166666666666659"/>
    <s v="Lift maintenance work done"/>
    <s v="Close"/>
    <n v="4.2916666666666652E-2"/>
    <s v="G20"/>
    <n v="219.01805555555546"/>
    <s v="None"/>
    <s v="WTG Scheduled Maintenance"/>
    <n v="3062"/>
    <n v="219.01805555555546"/>
    <m/>
    <m/>
    <m/>
    <m/>
  </r>
  <r>
    <n v="2004"/>
    <x v="311"/>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381.260416666667"/>
    <s v="None"/>
    <s v="WTG Unscheduled Maintenance"/>
    <n v="5385"/>
    <n v="5381.260416666667"/>
    <m/>
    <m/>
    <m/>
    <m/>
  </r>
  <r>
    <n v="2005"/>
    <x v="311"/>
    <x v="1"/>
    <x v="0"/>
    <x v="10"/>
    <x v="1"/>
    <x v="18"/>
    <s v="PWEGPL"/>
    <s v="MSEDCL"/>
    <n v="2.5000000000000001E-2"/>
    <n v="102"/>
    <x v="337"/>
    <s v="BD"/>
    <d v="1899-12-30T09:23:00"/>
    <d v="1899-12-30T10:30:00"/>
    <d v="1899-12-30T11:42:00"/>
    <n v="1.1166666666666667"/>
    <n v="1.1999999999999997"/>
    <n v="2.3166666666666664"/>
    <s v="KM282 contactor found stuck then replaced with new one and restored"/>
    <s v="Close"/>
    <n v="5.7916666666666665E-2"/>
    <s v="G20"/>
    <n v="583.70347222222222"/>
    <s v="None"/>
    <s v="WTG Breakdown Maintenance"/>
    <n v="6047"/>
    <n v="583.70347222222222"/>
    <m/>
    <m/>
    <m/>
    <m/>
  </r>
  <r>
    <n v="2006"/>
    <x v="311"/>
    <x v="1"/>
    <x v="0"/>
    <x v="10"/>
    <x v="1"/>
    <x v="38"/>
    <s v="PWEGPL"/>
    <s v="MSEDCL"/>
    <n v="2.5000000000000001E-2"/>
    <s v="CE100014"/>
    <x v="305"/>
    <s v="PM/Lift"/>
    <d v="1899-12-30T10:21:00"/>
    <d v="1899-12-30T10:21:00"/>
    <d v="1899-12-30T11:50:00"/>
    <n v="0"/>
    <n v="1.4833333333333347"/>
    <n v="1.4833333333333347"/>
    <s v="Lift maintenance work done"/>
    <s v="Close"/>
    <n v="3.7083333333333371E-2"/>
    <s v="G17"/>
    <n v="296.97569444444474"/>
    <s v="None"/>
    <s v="WTG Scheduled Maintenance"/>
    <n v="4805"/>
    <n v="296.97569444444474"/>
    <m/>
    <m/>
    <m/>
    <m/>
  </r>
  <r>
    <n v="2007"/>
    <x v="311"/>
    <x v="1"/>
    <x v="0"/>
    <x v="10"/>
    <x v="1"/>
    <x v="6"/>
    <s v="PWEGPL"/>
    <s v="MSEDCL"/>
    <n v="2.5000000000000001E-2"/>
    <s v="CE100014"/>
    <x v="305"/>
    <s v="PM/Lift"/>
    <d v="1899-12-30T13:57:00"/>
    <d v="1899-12-30T13:57:00"/>
    <d v="1899-12-30T15:32:00"/>
    <n v="0"/>
    <n v="1.5833333333333357"/>
    <n v="1.5833333333333357"/>
    <s v="Lift maintenance work done"/>
    <s v="Close"/>
    <n v="3.9583333333333394E-2"/>
    <s v="G40"/>
    <n v="265.4062500000004"/>
    <s v="None"/>
    <s v="WTG Scheduled Maintenance"/>
    <n v="4023"/>
    <n v="265.4062500000004"/>
    <m/>
    <m/>
    <m/>
    <m/>
  </r>
  <r>
    <n v="2008"/>
    <x v="311"/>
    <x v="1"/>
    <x v="0"/>
    <x v="10"/>
    <x v="1"/>
    <x v="18"/>
    <s v="PWEGPL"/>
    <s v="MSEDCL"/>
    <n v="2.5000000000000001E-2"/>
    <n v="577"/>
    <x v="379"/>
    <s v="BD"/>
    <d v="1899-12-30T15:13:00"/>
    <d v="1899-12-30T15:55:00"/>
    <d v="1899-12-30T19:00:00"/>
    <n v="0.70000000000000018"/>
    <n v="3.083333333333333"/>
    <n v="3.7833333333333332"/>
    <s v="Checked slipring cooling fan condition is found ok but power supply is not presenting then checked throughly and found cable is disconnected in connector then proper connection done and restored"/>
    <s v="Close"/>
    <n v="9.4583333333333339E-2"/>
    <s v="G20"/>
    <n v="953.24236111111111"/>
    <s v="None"/>
    <s v="WTG Breakdown Maintenance"/>
    <n v="6047"/>
    <n v="953.24236111111111"/>
    <m/>
    <m/>
    <m/>
    <m/>
  </r>
  <r>
    <n v="2009"/>
    <x v="312"/>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949.8652777777779"/>
    <s v="None"/>
    <s v="WTG Unscheduled Maintenance"/>
    <n v="5954"/>
    <n v="5949.8652777777779"/>
    <m/>
    <m/>
    <m/>
    <m/>
  </r>
  <r>
    <n v="2010"/>
    <x v="312"/>
    <x v="1"/>
    <x v="0"/>
    <x v="10"/>
    <x v="1"/>
    <x v="23"/>
    <s v="PWEGPL"/>
    <s v="MSEDCL"/>
    <n v="2.5000000000000001E-2"/>
    <s v="CE100010"/>
    <x v="296"/>
    <s v="PM"/>
    <d v="1899-12-30T10:51:00"/>
    <d v="1899-12-30T10:51:00"/>
    <d v="1899-12-30T17:39:00"/>
    <n v="0"/>
    <n v="6.7999999999999989"/>
    <n v="6.7999999999999989"/>
    <s v="yearly preventive maintenace completed Day 2"/>
    <s v="Close"/>
    <n v="0.16999999999999998"/>
    <s v="G02"/>
    <n v="1703.1166666666666"/>
    <s v="None"/>
    <s v="WTG Scheduled Maintenance"/>
    <n v="6011"/>
    <n v="1703.1166666666666"/>
    <m/>
    <m/>
    <m/>
    <m/>
  </r>
  <r>
    <n v="2011"/>
    <x v="312"/>
    <x v="1"/>
    <x v="0"/>
    <x v="10"/>
    <x v="1"/>
    <x v="22"/>
    <s v="PWEGPL"/>
    <s v="MSEDCL"/>
    <n v="2.5000000000000001E-2"/>
    <s v="CE100010"/>
    <x v="296"/>
    <s v="PM"/>
    <d v="1899-12-30T10:22:00"/>
    <d v="1899-12-30T10:22:00"/>
    <d v="1899-12-30T17:49:00"/>
    <n v="0"/>
    <n v="7.45"/>
    <n v="7.45"/>
    <s v="yearly preventive maintenace completed Day 1"/>
    <s v="Close"/>
    <n v="0.18625000000000003"/>
    <s v="G06"/>
    <n v="1849.1520833333334"/>
    <s v="None"/>
    <s v="WTG Scheduled Maintenance"/>
    <n v="5957"/>
    <n v="1849.1520833333334"/>
    <m/>
    <m/>
    <m/>
    <m/>
  </r>
  <r>
    <n v="2012"/>
    <x v="312"/>
    <x v="1"/>
    <x v="0"/>
    <x v="10"/>
    <x v="1"/>
    <x v="35"/>
    <s v="PWEGPL"/>
    <s v="MSEDCL"/>
    <n v="2.5000000000000001E-2"/>
    <s v="CE100014"/>
    <x v="305"/>
    <s v="PM/Lift"/>
    <d v="1899-12-30T10:34:00"/>
    <d v="1899-12-30T10:34:00"/>
    <d v="1899-12-30T11:56:00"/>
    <n v="0"/>
    <n v="1.3666666666666671"/>
    <n v="1.3666666666666671"/>
    <s v="Lift maintenance work done"/>
    <s v="Close"/>
    <n v="3.4166666666666679E-2"/>
    <s v="G25"/>
    <n v="306.58888888888902"/>
    <s v="None"/>
    <s v="WTG Scheduled Maintenance"/>
    <n v="5384"/>
    <n v="306.58888888888902"/>
    <m/>
    <m/>
    <m/>
    <m/>
  </r>
  <r>
    <n v="2013"/>
    <x v="312"/>
    <x v="1"/>
    <x v="0"/>
    <x v="10"/>
    <x v="1"/>
    <x v="13"/>
    <s v="PWEGPL"/>
    <s v="MSEDCL"/>
    <n v="2.5000000000000001E-2"/>
    <s v="CE100014"/>
    <x v="305"/>
    <s v="PM/Lift"/>
    <d v="1899-12-30T14:26:00"/>
    <d v="1899-12-30T14:26:00"/>
    <d v="1899-12-30T16:23:00"/>
    <n v="0"/>
    <n v="1.9500000000000011"/>
    <n v="1.9500000000000011"/>
    <s v="Lift maintenance work done"/>
    <s v="Close"/>
    <n v="4.8750000000000029E-2"/>
    <s v="G34"/>
    <n v="355.71250000000015"/>
    <s v="None"/>
    <s v="WTG Scheduled Maintenance"/>
    <n v="4378"/>
    <n v="355.71250000000015"/>
    <m/>
    <m/>
    <m/>
    <m/>
  </r>
  <r>
    <n v="2014"/>
    <x v="312"/>
    <x v="1"/>
    <x v="0"/>
    <x v="10"/>
    <x v="1"/>
    <x v="27"/>
    <s v="PWEGPL"/>
    <s v="MSEDCL"/>
    <n v="2.5000000000000001E-2"/>
    <s v="CE100001"/>
    <x v="288"/>
    <s v="BD"/>
    <d v="1899-12-30T17:44:00"/>
    <d v="1899-12-30T17:44:00"/>
    <d v="1899-12-30T19:11:00"/>
    <n v="0"/>
    <n v="1.4500000000000002"/>
    <n v="1.4500000000000002"/>
    <s v="Repeated fault rectfication work slipring cleaned and spare track connection given and restored"/>
    <s v="Close"/>
    <n v="3.6250000000000004E-2"/>
    <s v="G10"/>
    <n v="328.42500000000007"/>
    <s v="None"/>
    <s v="WTG Breakdown Maintenance"/>
    <n v="5436"/>
    <n v="328.42500000000007"/>
    <m/>
    <m/>
    <m/>
    <m/>
  </r>
  <r>
    <n v="2015"/>
    <x v="313"/>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924.5777777777785"/>
    <s v="None"/>
    <s v="WTG Unscheduled Maintenance"/>
    <n v="4928"/>
    <n v="4924.5777777777785"/>
    <m/>
    <m/>
    <m/>
    <m/>
  </r>
  <r>
    <n v="2016"/>
    <x v="313"/>
    <x v="1"/>
    <x v="0"/>
    <x v="10"/>
    <x v="1"/>
    <x v="26"/>
    <s v="PWEGPL"/>
    <s v="MSEDCL"/>
    <n v="2.5000000000000001E-2"/>
    <s v="CE100010"/>
    <x v="296"/>
    <s v="PM"/>
    <d v="1899-12-30T11:04:00"/>
    <d v="1899-12-30T11:04:00"/>
    <d v="1899-12-30T18:30:00"/>
    <n v="0"/>
    <n v="7.4333333333333353"/>
    <n v="7.4333333333333353"/>
    <s v="yearly preventive maintenace completed Day 2"/>
    <s v="Close"/>
    <n v="0.18583333333333341"/>
    <s v="G02"/>
    <n v="1935.4541666666671"/>
    <s v="None"/>
    <s v="WTG Scheduled Maintenance"/>
    <n v="6249"/>
    <n v="1935.4541666666671"/>
    <m/>
    <m/>
    <m/>
    <m/>
  </r>
  <r>
    <n v="2017"/>
    <x v="313"/>
    <x v="1"/>
    <x v="0"/>
    <x v="10"/>
    <x v="1"/>
    <x v="20"/>
    <s v="PWEGPL"/>
    <s v="MSEDCL"/>
    <n v="2.5000000000000001E-2"/>
    <s v="CE100010"/>
    <x v="296"/>
    <s v="PM"/>
    <d v="1899-12-30T11:25:00"/>
    <d v="1899-12-30T11:25:00"/>
    <d v="1899-12-30T18:29:00"/>
    <n v="0"/>
    <n v="7.0666666666666682"/>
    <n v="7.0666666666666682"/>
    <s v="yearly preventive maintenace completed Day 1"/>
    <s v="Close"/>
    <n v="0.17666666666666672"/>
    <s v="G04"/>
    <n v="1342.077777777778"/>
    <s v="None"/>
    <s v="WTG Scheduled Maintenance"/>
    <n v="4558"/>
    <n v="1342.077777777778"/>
    <m/>
    <m/>
    <m/>
    <m/>
  </r>
  <r>
    <n v="2018"/>
    <x v="313"/>
    <x v="1"/>
    <x v="0"/>
    <x v="10"/>
    <x v="1"/>
    <x v="10"/>
    <s v="PWEGPL"/>
    <s v="MSEDCL"/>
    <n v="2.5000000000000001E-2"/>
    <n v="700"/>
    <x v="329"/>
    <s v="BD"/>
    <d v="1899-12-30T09:49:00"/>
    <d v="1899-12-30T11:43:00"/>
    <d v="1899-12-30T12:54:00"/>
    <n v="1.9"/>
    <n v="1.1833333333333331"/>
    <n v="3.083333333333333"/>
    <s v="Slipring cleaned and restored"/>
    <s v="Close"/>
    <n v="7.7083333333333337E-2"/>
    <s v="G28"/>
    <n v="492.94791666666663"/>
    <s v="None"/>
    <s v="WTG Breakdown Maintenance"/>
    <n v="3837"/>
    <n v="492.94791666666663"/>
    <m/>
    <m/>
    <m/>
    <m/>
  </r>
  <r>
    <n v="2019"/>
    <x v="314"/>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921.1902777777777"/>
    <s v="None"/>
    <s v="WTG Unscheduled Maintenance"/>
    <n v="6926"/>
    <n v="6921.1902777777777"/>
    <m/>
    <m/>
    <m/>
    <m/>
  </r>
  <r>
    <n v="2020"/>
    <x v="314"/>
    <x v="1"/>
    <x v="0"/>
    <x v="10"/>
    <x v="1"/>
    <x v="26"/>
    <s v="PWEGPL"/>
    <s v="MSEDCL"/>
    <n v="2.5000000000000001E-2"/>
    <s v="CE100010"/>
    <x v="296"/>
    <s v="PM"/>
    <d v="1899-12-30T10:28:00"/>
    <d v="1899-12-30T10:28:00"/>
    <d v="1899-12-30T17:51:00"/>
    <n v="0"/>
    <n v="7.3833333333333337"/>
    <n v="7.3833333333333337"/>
    <s v="yearly preventive maintenace completed Day 1"/>
    <s v="Close"/>
    <n v="0.18458333333333335"/>
    <s v="G02"/>
    <n v="2022.7256944444443"/>
    <s v="None"/>
    <s v="WTG Scheduled Maintenance"/>
    <n v="6575"/>
    <n v="2022.7256944444443"/>
    <m/>
    <m/>
    <m/>
    <m/>
  </r>
  <r>
    <n v="2021"/>
    <x v="314"/>
    <x v="1"/>
    <x v="0"/>
    <x v="10"/>
    <x v="1"/>
    <x v="20"/>
    <s v="PWEGPL"/>
    <s v="MSEDCL"/>
    <n v="2.5000000000000001E-2"/>
    <s v="CE100010"/>
    <x v="296"/>
    <s v="PM"/>
    <d v="1899-12-30T11:19:00"/>
    <d v="1899-12-30T11:19:00"/>
    <d v="1899-12-30T18:30:00"/>
    <n v="0"/>
    <n v="7.1833333333333345"/>
    <n v="7.1833333333333345"/>
    <s v="yearly preventive maintenace completed Day 2"/>
    <s v="Close"/>
    <n v="0.17958333333333337"/>
    <s v="G04"/>
    <n v="1386.0840277777781"/>
    <s v="None"/>
    <s v="WTG Scheduled Maintenance"/>
    <n v="4631"/>
    <n v="1386.0840277777781"/>
    <m/>
    <m/>
    <m/>
    <m/>
  </r>
  <r>
    <n v="2022"/>
    <x v="314"/>
    <x v="1"/>
    <x v="0"/>
    <x v="10"/>
    <x v="1"/>
    <x v="22"/>
    <s v="PWEGPL"/>
    <s v="MSEDCL"/>
    <n v="2.5000000000000001E-2"/>
    <s v="CE100014"/>
    <x v="305"/>
    <s v="PM/Lift"/>
    <d v="1899-12-30T10:21:00"/>
    <d v="1899-12-30T10:21:00"/>
    <d v="1899-12-30T12:10:00"/>
    <n v="0"/>
    <n v="1.8166666666666669"/>
    <n v="1.8166666666666669"/>
    <s v="Lift maintenance work done"/>
    <s v="Close"/>
    <n v="4.5416666666666675E-2"/>
    <s v="G08"/>
    <n v="400.57500000000005"/>
    <s v="None"/>
    <s v="WTG Scheduled Maintenance"/>
    <n v="5292"/>
    <n v="400.57500000000005"/>
    <m/>
    <m/>
    <m/>
    <m/>
  </r>
  <r>
    <n v="2023"/>
    <x v="314"/>
    <x v="1"/>
    <x v="0"/>
    <x v="10"/>
    <x v="1"/>
    <x v="23"/>
    <s v="PWEGPL"/>
    <s v="MSEDCL"/>
    <n v="2.5000000000000001E-2"/>
    <s v="CE100014"/>
    <x v="305"/>
    <s v="PM/Lift"/>
    <d v="1899-12-30T12:47:00"/>
    <d v="1899-12-30T12:47:00"/>
    <d v="1899-12-30T14:43:00"/>
    <n v="0"/>
    <n v="1.9333333333333345"/>
    <n v="1.9333333333333345"/>
    <s v="Lift maintenance work done"/>
    <s v="Close"/>
    <n v="4.8333333333333367E-2"/>
    <s v="G08"/>
    <n v="426.30000000000024"/>
    <s v="None"/>
    <s v="WTG Scheduled Maintenance"/>
    <n v="5292"/>
    <n v="426.30000000000024"/>
    <m/>
    <m/>
    <m/>
    <m/>
  </r>
  <r>
    <n v="2024"/>
    <x v="314"/>
    <x v="1"/>
    <x v="0"/>
    <x v="10"/>
    <x v="1"/>
    <x v="25"/>
    <s v="PWEGPL"/>
    <s v="MSEDCL"/>
    <n v="2.5000000000000001E-2"/>
    <s v="CE100014"/>
    <x v="305"/>
    <s v="PM/Lift"/>
    <d v="1899-12-30T15:29:00"/>
    <d v="1899-12-30T15:29:00"/>
    <d v="1899-12-30T17:37:00"/>
    <n v="0"/>
    <n v="2.1333333333333364"/>
    <n v="2.1333333333333364"/>
    <s v="Lift maintenance work done"/>
    <s v="Close"/>
    <n v="5.3333333333333413E-2"/>
    <s v="G08"/>
    <n v="470.40000000000066"/>
    <s v="None"/>
    <s v="WTG Scheduled Maintenance"/>
    <n v="5292"/>
    <n v="470.40000000000066"/>
    <m/>
    <m/>
    <m/>
    <m/>
  </r>
  <r>
    <n v="2025"/>
    <x v="315"/>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1315.136805555556"/>
    <s v="None"/>
    <s v="WTG Unscheduled Maintenance"/>
    <n v="11323"/>
    <n v="11315.136805555556"/>
    <m/>
    <m/>
    <m/>
    <m/>
  </r>
  <r>
    <n v="2026"/>
    <x v="315"/>
    <x v="1"/>
    <x v="0"/>
    <x v="10"/>
    <x v="1"/>
    <x v="21"/>
    <s v="PWEGPL"/>
    <s v="MSEDCL"/>
    <n v="2.5000000000000001E-2"/>
    <s v="CE100010"/>
    <x v="296"/>
    <s v="PM"/>
    <d v="1899-12-30T10:05:00"/>
    <d v="1899-12-30T10:05:00"/>
    <d v="1899-12-30T18:47:00"/>
    <n v="0"/>
    <n v="8.7000000000000028"/>
    <n v="8.7000000000000028"/>
    <s v="yearly preventive maintenace completed Day 1"/>
    <s v="Close"/>
    <n v="0.21750000000000008"/>
    <s v="G07"/>
    <n v="3712.3625000000011"/>
    <s v="None"/>
    <s v="WTG Scheduled Maintenance"/>
    <n v="10241"/>
    <n v="3712.3625000000011"/>
    <m/>
    <m/>
    <m/>
    <m/>
  </r>
  <r>
    <n v="2027"/>
    <x v="315"/>
    <x v="1"/>
    <x v="0"/>
    <x v="10"/>
    <x v="1"/>
    <x v="29"/>
    <s v="PWEGPL"/>
    <s v="MSEDCL"/>
    <n v="2.5000000000000001E-2"/>
    <s v="CE100010"/>
    <x v="296"/>
    <s v="PM"/>
    <d v="1899-12-30T10:48:00"/>
    <d v="1899-12-30T10:48:00"/>
    <d v="1899-12-30T17:17:00"/>
    <n v="0"/>
    <n v="6.4833333333333361"/>
    <n v="6.4833333333333361"/>
    <s v="yearly preventive maintenace completed Day 2"/>
    <s v="Close"/>
    <n v="0.16208333333333341"/>
    <s v="G10"/>
    <n v="3341.347916666668"/>
    <s v="None"/>
    <s v="WTG Scheduled Maintenance"/>
    <n v="12369"/>
    <n v="3341.347916666668"/>
    <m/>
    <m/>
    <m/>
    <m/>
  </r>
  <r>
    <n v="2028"/>
    <x v="315"/>
    <x v="1"/>
    <x v="0"/>
    <x v="10"/>
    <x v="1"/>
    <x v="25"/>
    <s v="PWEGPL"/>
    <s v="MSEDCL"/>
    <n v="2.5000000000000001E-2"/>
    <n v="402"/>
    <x v="300"/>
    <s v="BD"/>
    <d v="1899-12-30T11:24:00"/>
    <d v="1899-12-30T11:24:00"/>
    <d v="1899-12-30T14:23:00"/>
    <n v="0"/>
    <n v="2.9833333333333321"/>
    <n v="2.9833333333333321"/>
    <s v="Gearbox auxiluary motor replaced and restored the turbine"/>
    <s v="Close"/>
    <n v="7.4583333333333307E-2"/>
    <s v="G04"/>
    <n v="968.9618055555552"/>
    <s v="None"/>
    <s v="WTG Breakdown Maintenance"/>
    <n v="7795"/>
    <n v="968.9618055555552"/>
    <m/>
    <m/>
    <m/>
    <m/>
  </r>
  <r>
    <n v="2029"/>
    <x v="315"/>
    <x v="1"/>
    <x v="0"/>
    <x v="10"/>
    <x v="1"/>
    <x v="19"/>
    <s v="PWEGPL"/>
    <s v="MSEDCL"/>
    <n v="2.5000000000000001E-2"/>
    <s v="CE100001"/>
    <x v="288"/>
    <s v="BD"/>
    <d v="1899-12-30T13:20:00"/>
    <d v="1899-12-30T13:45:00"/>
    <d v="1899-12-30T14:11:00"/>
    <n v="0.41666666666666519"/>
    <n v="0.43333333333333446"/>
    <n v="0.84999999999999964"/>
    <s v="Slipring cleaned and restored"/>
    <s v="Close"/>
    <n v="2.1249999999999991E-2"/>
    <s v="G19"/>
    <n v="483.01249999999982"/>
    <s v="None"/>
    <s v="WTG Breakdown Maintenance"/>
    <n v="13638"/>
    <n v="483.01249999999982"/>
    <m/>
    <m/>
    <m/>
    <m/>
  </r>
  <r>
    <n v="2030"/>
    <x v="315"/>
    <x v="1"/>
    <x v="0"/>
    <x v="10"/>
    <x v="1"/>
    <x v="17"/>
    <s v="PWEGPL"/>
    <s v="MSEDCL"/>
    <n v="2.5000000000000001E-2"/>
    <n v="700"/>
    <x v="329"/>
    <s v="PM/Lift"/>
    <d v="1899-12-30T14:44:00"/>
    <d v="1899-12-30T14:44:00"/>
    <d v="1899-12-30T16:53:00"/>
    <n v="0"/>
    <n v="2.1500000000000004"/>
    <n v="2.1500000000000004"/>
    <s v="Lift maintenance work done"/>
    <s v="Close"/>
    <n v="5.3750000000000013E-2"/>
    <s v="G10"/>
    <n v="1108.0562500000001"/>
    <s v="None"/>
    <s v="WTG Scheduled Maintenance"/>
    <n v="12369"/>
    <n v="1108.0562500000001"/>
    <m/>
    <m/>
    <m/>
    <m/>
  </r>
  <r>
    <n v="2031"/>
    <x v="316"/>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108.975"/>
    <s v="None"/>
    <s v="WTG Unscheduled Maintenance"/>
    <n v="10116"/>
    <n v="10108.975"/>
    <m/>
    <m/>
    <m/>
    <m/>
  </r>
  <r>
    <n v="2032"/>
    <x v="316"/>
    <x v="1"/>
    <x v="0"/>
    <x v="10"/>
    <x v="1"/>
    <x v="21"/>
    <s v="PWEGPL"/>
    <s v="MSEDCL"/>
    <n v="2.5000000000000001E-2"/>
    <s v="CE100010"/>
    <x v="296"/>
    <s v="PM"/>
    <d v="1899-12-30T10:32:00"/>
    <d v="1899-12-30T10:32:00"/>
    <d v="1899-12-30T18:47:00"/>
    <n v="0"/>
    <n v="8.2500000000000036"/>
    <n v="8.2500000000000036"/>
    <s v="yearly preventive maintenace completed Day 2"/>
    <s v="Close"/>
    <n v="0.2062500000000001"/>
    <s v="G07"/>
    <n v="3219.2187500000014"/>
    <s v="None"/>
    <s v="WTG Scheduled Maintenance"/>
    <n v="9365"/>
    <n v="3219.2187500000014"/>
    <m/>
    <m/>
    <m/>
    <m/>
  </r>
  <r>
    <n v="2033"/>
    <x v="316"/>
    <x v="1"/>
    <x v="0"/>
    <x v="10"/>
    <x v="1"/>
    <x v="29"/>
    <s v="PWEGPL"/>
    <s v="MSEDCL"/>
    <n v="2.5000000000000001E-2"/>
    <s v="CE100010"/>
    <x v="296"/>
    <s v="PM"/>
    <d v="1899-12-30T10:32:00"/>
    <d v="1899-12-30T10:32:00"/>
    <d v="1899-12-30T17:50:00"/>
    <n v="0"/>
    <n v="7.299999999999998"/>
    <n v="7.299999999999998"/>
    <s v="yearly preventive maintenace completed Day 1"/>
    <s v="Close"/>
    <n v="0.18249999999999997"/>
    <s v="G10"/>
    <n v="3088.204166666666"/>
    <s v="None"/>
    <s v="WTG Scheduled Maintenance"/>
    <n v="10153"/>
    <n v="3088.204166666666"/>
    <m/>
    <m/>
    <m/>
    <m/>
  </r>
  <r>
    <n v="2034"/>
    <x v="316"/>
    <x v="1"/>
    <x v="0"/>
    <x v="10"/>
    <x v="1"/>
    <x v="14"/>
    <s v="PWEGPL"/>
    <s v="MSEDCL"/>
    <n v="2.5000000000000001E-2"/>
    <s v="CE100014"/>
    <x v="305"/>
    <s v="PM/Lift"/>
    <d v="1899-12-30T14:56:00"/>
    <d v="1899-12-30T14:56:00"/>
    <d v="1899-12-30T17:03:00"/>
    <n v="0"/>
    <n v="2.1166666666666671"/>
    <n v="2.1166666666666671"/>
    <s v="Lift maintenance work done"/>
    <s v="Close"/>
    <n v="5.2916666666666681E-2"/>
    <s v="G26"/>
    <n v="750.18194444444464"/>
    <s v="None"/>
    <s v="WTG Scheduled Maintenance"/>
    <n v="8506"/>
    <n v="750.18194444444464"/>
    <m/>
    <m/>
    <m/>
    <m/>
  </r>
  <r>
    <n v="2035"/>
    <x v="316"/>
    <x v="1"/>
    <x v="0"/>
    <x v="10"/>
    <x v="1"/>
    <x v="3"/>
    <s v="PWEGPL"/>
    <s v="MSEDCL"/>
    <n v="2.5000000000000001E-2"/>
    <s v="CE100014"/>
    <x v="305"/>
    <s v="PM/Lift"/>
    <d v="1899-12-30T11:52:00"/>
    <d v="1899-12-30T11:52:00"/>
    <d v="1899-12-30T14:00:00"/>
    <n v="0"/>
    <n v="2.1333333333333337"/>
    <n v="2.1333333333333337"/>
    <s v="Lift maintenance work done"/>
    <s v="Close"/>
    <n v="5.3333333333333344E-2"/>
    <s v="G33"/>
    <n v="557.77777777777783"/>
    <s v="None"/>
    <s v="WTG Scheduled Maintenance"/>
    <n v="6275"/>
    <n v="557.77777777777783"/>
    <m/>
    <m/>
    <m/>
    <m/>
  </r>
  <r>
    <n v="2036"/>
    <x v="317"/>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116.749305555556"/>
    <s v="None"/>
    <s v="WTG Unscheduled Maintenance"/>
    <n v="6121"/>
    <n v="6116.749305555556"/>
    <m/>
    <m/>
    <m/>
    <m/>
  </r>
  <r>
    <n v="2037"/>
    <x v="317"/>
    <x v="1"/>
    <x v="0"/>
    <x v="10"/>
    <x v="1"/>
    <x v="6"/>
    <s v="PWEGPL"/>
    <s v="MSEDCL"/>
    <n v="2.5000000000000001E-2"/>
    <n v="509"/>
    <x v="301"/>
    <s v="BD"/>
    <d v="1899-12-30T22:11:00"/>
    <d v="1899-12-30T22:23:00"/>
    <d v="1899-12-30T23:59:00"/>
    <n v="0.19999999999999929"/>
    <n v="1.5999999999999996"/>
    <n v="1.7999999999999989"/>
    <s v="Work under progress"/>
    <s v="Open"/>
    <n v="4.4999999999999978E-2"/>
    <s v="G40"/>
    <n v="444.07499999999976"/>
    <s v="None"/>
    <s v="WTG Breakdown Maintenance"/>
    <n v="5921"/>
    <n v="444.07499999999976"/>
    <m/>
    <m/>
    <m/>
    <m/>
  </r>
  <r>
    <n v="2038"/>
    <x v="31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2771.125"/>
    <s v="None"/>
    <s v="WTG Unscheduled Maintenance"/>
    <n v="12780"/>
    <n v="12771.125"/>
    <m/>
    <m/>
    <m/>
    <m/>
  </r>
  <r>
    <n v="2039"/>
    <x v="318"/>
    <x v="1"/>
    <x v="0"/>
    <x v="10"/>
    <x v="1"/>
    <x v="29"/>
    <s v="PWEGPL"/>
    <s v="MSEDCL"/>
    <n v="2.5000000000000001E-2"/>
    <n v="407"/>
    <x v="395"/>
    <s v="Manual stop/TCA"/>
    <d v="1899-12-30T10:52:00"/>
    <d v="1899-12-30T10:52:00"/>
    <d v="1899-12-30T16:34:00"/>
    <n v="0"/>
    <n v="5.6999999999999993"/>
    <n v="5.6999999999999993"/>
    <s v="Gearbox damper replaced and restored"/>
    <s v="Close"/>
    <n v="0.14249999999999999"/>
    <s v="G08"/>
    <n v="2042.4999999999995"/>
    <s v="None"/>
    <s v="WTG Scheduled Maintenance"/>
    <n v="8600"/>
    <n v="2042.4999999999995"/>
    <m/>
    <m/>
    <m/>
    <m/>
  </r>
  <r>
    <n v="2040"/>
    <x v="318"/>
    <x v="1"/>
    <x v="0"/>
    <x v="10"/>
    <x v="1"/>
    <x v="28"/>
    <s v="PWEGPL"/>
    <s v="MSEDCL"/>
    <n v="2.5000000000000001E-2"/>
    <s v="CE100010"/>
    <x v="296"/>
    <s v="PM"/>
    <d v="1899-12-30T10:29:00"/>
    <d v="1899-12-30T10:29:00"/>
    <d v="1899-12-30T17:30:00"/>
    <n v="0"/>
    <n v="7.0166666666666675"/>
    <n v="7.0166666666666675"/>
    <s v="yearly preventive maintenace completed Day 2"/>
    <s v="Close"/>
    <n v="0.17541666666666669"/>
    <s v="G08"/>
    <n v="2514.3055555555557"/>
    <s v="None"/>
    <s v="WTG Scheduled Maintenance"/>
    <n v="8600"/>
    <n v="2514.3055555555557"/>
    <m/>
    <m/>
    <m/>
    <m/>
  </r>
  <r>
    <n v="2041"/>
    <x v="318"/>
    <x v="1"/>
    <x v="0"/>
    <x v="10"/>
    <x v="1"/>
    <x v="6"/>
    <s v="PWEGPL"/>
    <s v="MSEDCL"/>
    <n v="2.5000000000000001E-2"/>
    <n v="509"/>
    <x v="301"/>
    <s v="BD"/>
    <d v="1899-12-30T00:00:00"/>
    <d v="1899-12-30T00:00:00"/>
    <d v="1899-12-30T00:52:00"/>
    <n v="0"/>
    <n v="0.8666666666666667"/>
    <n v="0.8666666666666667"/>
    <s v="Gnereator slipring fan capacitor faound failure then replaced and restored"/>
    <s v="Close"/>
    <n v="2.1666666666666667E-2"/>
    <s v="G40"/>
    <n v="460.01944444444445"/>
    <s v="None"/>
    <s v="WTG Breakdown Maintenance"/>
    <n v="12739"/>
    <n v="460.01944444444445"/>
    <m/>
    <m/>
    <m/>
    <m/>
  </r>
  <r>
    <n v="2042"/>
    <x v="318"/>
    <x v="1"/>
    <x v="0"/>
    <x v="10"/>
    <x v="1"/>
    <x v="27"/>
    <s v="PWEGPL"/>
    <s v="MSEDCL"/>
    <n v="2.5000000000000001E-2"/>
    <s v="CE100014"/>
    <x v="305"/>
    <s v="PM/Lift"/>
    <d v="1899-12-30T14:08:00"/>
    <d v="1899-12-30T14:08:00"/>
    <d v="1899-12-30T16:40:00"/>
    <n v="0"/>
    <n v="2.533333333333335"/>
    <n v="2.533333333333335"/>
    <s v="Lift maintenance work done"/>
    <s v="Close"/>
    <n v="6.333333333333338E-2"/>
    <s v="G12"/>
    <n v="1137.0444444444452"/>
    <s v="None"/>
    <s v="WTG Scheduled Maintenance"/>
    <n v="10772"/>
    <n v="1137.0444444444452"/>
    <m/>
    <m/>
    <m/>
    <m/>
  </r>
  <r>
    <n v="2043"/>
    <x v="31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9067.6986111111109"/>
    <s v="None"/>
    <s v="WTG Unscheduled Maintenance"/>
    <n v="9074"/>
    <n v="9067.6986111111109"/>
    <m/>
    <m/>
    <m/>
    <m/>
  </r>
  <r>
    <n v="2044"/>
    <x v="319"/>
    <x v="1"/>
    <x v="1"/>
    <x v="11"/>
    <x v="1"/>
    <x v="8"/>
    <s v="PWEGPL"/>
    <s v="MSEDCL"/>
    <n v="2.5000000000000001E-2"/>
    <s v="CE100014"/>
    <x v="305"/>
    <s v="Manual stop/TCA"/>
    <d v="1899-12-30T13:26:00"/>
    <d v="1899-12-30T13:36:00"/>
    <d v="1899-12-30T20:54:00"/>
    <n v="0.16666666666666607"/>
    <n v="7.299999999999998"/>
    <n v="7.4666666666666641"/>
    <s v="Gearbox damper replaced and restored"/>
    <s v="Close"/>
    <n v="0.18666666666666662"/>
    <s v="G24"/>
    <n v="2189.2888888888879"/>
    <s v="None"/>
    <s v="WTG Unscheduled Maintenance"/>
    <n v="7037"/>
    <n v="2189.2888888888879"/>
    <m/>
    <m/>
    <m/>
    <m/>
  </r>
  <r>
    <n v="2045"/>
    <x v="319"/>
    <x v="1"/>
    <x v="1"/>
    <x v="11"/>
    <x v="1"/>
    <x v="4"/>
    <s v="PWEGPL"/>
    <s v="MSEDCL"/>
    <n v="2.5000000000000001E-2"/>
    <n v="804"/>
    <x v="382"/>
    <s v="BD"/>
    <d v="1899-12-30T00:33:00"/>
    <d v="1899-12-30T01:02:00"/>
    <d v="1899-12-30T10:26:00"/>
    <n v="0.48333333333333345"/>
    <n v="9.4"/>
    <n v="9.8833333333333329"/>
    <s v="proportional valve replaced and restored"/>
    <s v="Close"/>
    <n v="0.24708333333333332"/>
    <s v="G38"/>
    <n v="1802.4729166666666"/>
    <s v="None"/>
    <s v="WTG Breakdown Maintenance"/>
    <n v="4377"/>
    <n v="1802.4729166666666"/>
    <m/>
    <m/>
    <m/>
    <m/>
  </r>
  <r>
    <n v="2046"/>
    <x v="319"/>
    <x v="1"/>
    <x v="1"/>
    <x v="11"/>
    <x v="1"/>
    <x v="28"/>
    <s v="PWEGPL"/>
    <s v="MSEDCL"/>
    <n v="2.5000000000000001E-2"/>
    <n v="205"/>
    <x v="312"/>
    <s v="BD"/>
    <d v="1899-12-30T18:31:00"/>
    <d v="1899-12-30T18:55:00"/>
    <d v="1899-12-30T23:59:00"/>
    <n v="0.40000000000000391"/>
    <n v="5.0666666666666647"/>
    <n v="5.4666666666666686"/>
    <s v="Work under progress"/>
    <s v="Open"/>
    <n v="0.13666666666666671"/>
    <s v="G11"/>
    <n v="1769.1500000000005"/>
    <s v="None"/>
    <s v="WTG Breakdown Maintenance"/>
    <n v="7767"/>
    <n v="1769.1500000000005"/>
    <m/>
    <m/>
    <m/>
    <m/>
  </r>
  <r>
    <n v="2047"/>
    <x v="320"/>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1638.911805555557"/>
    <s v="None"/>
    <s v="WTG Unscheduled Maintenance"/>
    <n v="11647"/>
    <n v="11638.911805555557"/>
    <m/>
    <m/>
    <m/>
    <m/>
  </r>
  <r>
    <n v="2048"/>
    <x v="320"/>
    <x v="1"/>
    <x v="1"/>
    <x v="11"/>
    <x v="1"/>
    <x v="28"/>
    <s v="PWEGPL"/>
    <s v="MSEDCL"/>
    <n v="2.5000000000000001E-2"/>
    <n v="205"/>
    <x v="312"/>
    <s v="BD"/>
    <d v="1899-12-30T00:00:00"/>
    <d v="1899-12-30T00:00:00"/>
    <d v="1899-12-30T08:10:00"/>
    <n v="0"/>
    <n v="8.1666666666666661"/>
    <n v="8.1666666666666661"/>
    <s v="HU main accumulator replaced and restorfed"/>
    <s v="Close"/>
    <n v="0.20416666666666666"/>
    <s v="G11"/>
    <n v="4805.4027777777774"/>
    <s v="None"/>
    <s v="WTG Breakdown Maintenance"/>
    <n v="14122"/>
    <n v="4805.4027777777774"/>
    <m/>
    <m/>
    <m/>
    <m/>
  </r>
  <r>
    <n v="2049"/>
    <x v="320"/>
    <x v="1"/>
    <x v="1"/>
    <x v="11"/>
    <x v="1"/>
    <x v="28"/>
    <s v="PWEGPL"/>
    <s v="MSEDCL"/>
    <n v="2.5000000000000001E-2"/>
    <s v="CE100010"/>
    <x v="296"/>
    <s v="PM"/>
    <d v="1899-12-30T13:30:00"/>
    <d v="1899-12-30T13:30:00"/>
    <d v="1899-12-30T19:01:00"/>
    <n v="0"/>
    <n v="5.5166666666666657"/>
    <n v="5.5166666666666657"/>
    <s v="yearly preventive maintenace completed Day 1"/>
    <s v="Close"/>
    <n v="0.13791666666666666"/>
    <s v="G11"/>
    <n v="3246.0986111111101"/>
    <s v="None"/>
    <s v="WTG Scheduled Maintenance"/>
    <n v="14122"/>
    <n v="3246.0986111111101"/>
    <m/>
    <m/>
    <m/>
    <m/>
  </r>
  <r>
    <n v="2050"/>
    <x v="320"/>
    <x v="1"/>
    <x v="1"/>
    <x v="11"/>
    <x v="1"/>
    <x v="34"/>
    <s v="PWEGPL"/>
    <s v="MSEDCL"/>
    <n v="2.5000000000000001E-2"/>
    <s v="CE100014"/>
    <x v="305"/>
    <s v="PM/Lift"/>
    <d v="1899-12-30T15:42:00"/>
    <d v="1899-12-30T15:42:00"/>
    <d v="1899-12-30T17:32:00"/>
    <n v="0"/>
    <n v="1.8333333333333348"/>
    <n v="1.8333333333333348"/>
    <s v="Lift maintenance work done"/>
    <s v="Close"/>
    <n v="4.5833333333333372E-2"/>
    <s v="G05"/>
    <n v="733.33333333333394"/>
    <s v="None"/>
    <s v="WTG Scheduled Maintenance"/>
    <n v="9600"/>
    <n v="733.33333333333394"/>
    <m/>
    <m/>
    <m/>
    <m/>
  </r>
  <r>
    <n v="2051"/>
    <x v="320"/>
    <x v="1"/>
    <x v="1"/>
    <x v="11"/>
    <x v="1"/>
    <x v="33"/>
    <s v="PWEGPL"/>
    <s v="MSEDCL"/>
    <n v="2.5000000000000001E-2"/>
    <s v="CE100014"/>
    <x v="305"/>
    <s v="PM/Lift"/>
    <d v="1899-12-30T13:22:00"/>
    <d v="1899-12-30T13:22:00"/>
    <d v="1899-12-30T15:27:00"/>
    <n v="0"/>
    <n v="2.0833333333333313"/>
    <n v="2.0833333333333313"/>
    <s v="Lift maintenance work done"/>
    <s v="Close"/>
    <n v="5.2083333333333287E-2"/>
    <s v="G05"/>
    <n v="833.33333333333246"/>
    <s v="None"/>
    <s v="WTG Scheduled Maintenance"/>
    <n v="9600"/>
    <n v="833.33333333333246"/>
    <m/>
    <m/>
    <m/>
    <m/>
  </r>
  <r>
    <n v="2052"/>
    <x v="321"/>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2669.195833333333"/>
    <s v="None"/>
    <s v="WTG Unscheduled Maintenance"/>
    <n v="12678"/>
    <n v="12669.195833333333"/>
    <m/>
    <m/>
    <m/>
    <m/>
  </r>
  <r>
    <n v="2053"/>
    <x v="321"/>
    <x v="1"/>
    <x v="1"/>
    <x v="11"/>
    <x v="1"/>
    <x v="32"/>
    <s v="PWEGPL"/>
    <s v="MSEDCL"/>
    <n v="2.5000000000000001E-2"/>
    <s v="CE100014"/>
    <x v="305"/>
    <s v="Manual stop/TCA"/>
    <d v="1899-12-30T11:26:00"/>
    <d v="1899-12-30T11:26:00"/>
    <d v="1899-12-30T17:32:00"/>
    <n v="0"/>
    <n v="6.1000000000000014"/>
    <n v="6.1000000000000014"/>
    <s v="Gearbox damper replaced and restored"/>
    <s v="Close"/>
    <n v="0.15250000000000005"/>
    <s v="G15"/>
    <n v="2172.3625000000006"/>
    <s v="None"/>
    <s v="WTG Unscheduled Maintenance"/>
    <n v="8547"/>
    <n v="2172.3625000000006"/>
    <m/>
    <m/>
    <m/>
    <m/>
  </r>
  <r>
    <n v="2054"/>
    <x v="321"/>
    <x v="1"/>
    <x v="1"/>
    <x v="11"/>
    <x v="1"/>
    <x v="28"/>
    <s v="PWEGPL"/>
    <s v="MSEDCL"/>
    <n v="2.5000000000000001E-2"/>
    <s v="CE100010"/>
    <x v="296"/>
    <s v="PM"/>
    <d v="1899-12-30T06:14:00"/>
    <d v="1899-12-30T06:14:00"/>
    <d v="1899-12-30T09:54:00"/>
    <n v="0"/>
    <n v="3.666666666666667"/>
    <n v="3.666666666666667"/>
    <s v="PM pending works completed fsan replacement and cleaning"/>
    <s v="Close"/>
    <n v="9.1666666666666674E-2"/>
    <s v="G11"/>
    <n v="1998.0277777777778"/>
    <s v="None"/>
    <s v="WTG Unscheduled Maintenance"/>
    <n v="13078"/>
    <n v="1998.0277777777778"/>
    <m/>
    <m/>
    <m/>
    <m/>
  </r>
  <r>
    <n v="2055"/>
    <x v="321"/>
    <x v="1"/>
    <x v="1"/>
    <x v="11"/>
    <x v="1"/>
    <x v="9"/>
    <s v="PWEGPL"/>
    <s v="MSEDCL"/>
    <n v="2.5000000000000001E-2"/>
    <s v="CE100014"/>
    <x v="305"/>
    <s v="PM/Lift"/>
    <d v="1899-12-30T12:44:00"/>
    <d v="1899-12-30T12:44:00"/>
    <d v="1899-12-30T14:55:00"/>
    <n v="0"/>
    <n v="2.1833333333333336"/>
    <n v="2.1833333333333336"/>
    <s v="Lift maintenance work done"/>
    <s v="Close"/>
    <n v="5.4583333333333345E-2"/>
    <s v="G30"/>
    <n v="929.28125000000011"/>
    <s v="None"/>
    <s v="WTG Scheduled Maintenance"/>
    <n v="10215"/>
    <n v="929.28125000000011"/>
    <m/>
    <m/>
    <m/>
    <m/>
  </r>
  <r>
    <n v="2056"/>
    <x v="321"/>
    <x v="1"/>
    <x v="1"/>
    <x v="11"/>
    <x v="1"/>
    <x v="10"/>
    <s v="PWEGPL"/>
    <s v="MSEDCL"/>
    <n v="2.5000000000000001E-2"/>
    <s v="CE100014"/>
    <x v="305"/>
    <s v="PM/Lift"/>
    <d v="1899-12-30T15:08:00"/>
    <d v="1899-12-30T15:08:00"/>
    <d v="1899-12-30T16:40:00"/>
    <n v="0"/>
    <n v="1.5333333333333359"/>
    <n v="1.5333333333333359"/>
    <s v="Lift maintenance work done"/>
    <s v="Close"/>
    <n v="3.83333333333334E-2"/>
    <s v="G30"/>
    <n v="652.62500000000114"/>
    <s v="None"/>
    <s v="WTG Scheduled Maintenance"/>
    <n v="10215"/>
    <n v="652.62500000000114"/>
    <m/>
    <m/>
    <m/>
    <m/>
  </r>
  <r>
    <n v="2057"/>
    <x v="321"/>
    <x v="1"/>
    <x v="1"/>
    <x v="11"/>
    <x v="1"/>
    <x v="2"/>
    <s v="PWEGPL"/>
    <s v="MSEDCL"/>
    <n v="2.5000000000000001E-2"/>
    <n v="5263"/>
    <x v="311"/>
    <s v="BD"/>
    <d v="1899-12-30T13:44:00"/>
    <d v="1899-12-30T14:25:00"/>
    <d v="1899-12-30T14:52:00"/>
    <n v="0.68333333333333357"/>
    <n v="0.45000000000000107"/>
    <n v="1.1333333333333346"/>
    <s v="Slipring cleaned and restored"/>
    <s v="Close"/>
    <n v="2.8333333333333367E-2"/>
    <s v="G32"/>
    <n v="302.9777777777781"/>
    <s v="None"/>
    <s v="WTG Breakdown Maintenance"/>
    <n v="6416"/>
    <n v="302.9777777777781"/>
    <m/>
    <m/>
    <m/>
    <m/>
  </r>
  <r>
    <n v="2058"/>
    <x v="322"/>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9194.6104166666664"/>
    <s v="None"/>
    <s v="WTG Unscheduled Maintenance"/>
    <n v="9201"/>
    <n v="9194.6104166666664"/>
    <m/>
    <m/>
    <m/>
    <m/>
  </r>
  <r>
    <n v="2059"/>
    <x v="322"/>
    <x v="1"/>
    <x v="1"/>
    <x v="11"/>
    <x v="1"/>
    <x v="22"/>
    <s v="PWEGPL"/>
    <s v="MSEDCL"/>
    <n v="2.5000000000000001E-2"/>
    <s v="CE100014"/>
    <x v="305"/>
    <s v="Manual stop/TCA"/>
    <d v="1899-12-30T10:38:00"/>
    <d v="1899-12-30T10:38:00"/>
    <d v="1899-12-30T17:27:00"/>
    <n v="0"/>
    <n v="6.8166666666666664"/>
    <n v="6.8166666666666664"/>
    <s v="Gearbox damper replaced and restored"/>
    <s v="Close"/>
    <n v="0.17041666666666666"/>
    <s v="G04"/>
    <n v="1561.0166666666667"/>
    <s v="None"/>
    <s v="WTG Unscheduled Maintenance"/>
    <n v="5496"/>
    <n v="1561.0166666666667"/>
    <m/>
    <m/>
    <m/>
    <m/>
  </r>
  <r>
    <n v="2060"/>
    <x v="322"/>
    <x v="1"/>
    <x v="1"/>
    <x v="11"/>
    <x v="1"/>
    <x v="15"/>
    <s v="PWEGPL"/>
    <s v="MSEDCL"/>
    <n v="2.5000000000000001E-2"/>
    <n v="118"/>
    <x v="313"/>
    <s v="BD"/>
    <d v="1899-12-30T11:21:00"/>
    <d v="1899-12-30T11:21:00"/>
    <d v="1899-12-30T12:30:00"/>
    <n v="0"/>
    <n v="1.1500000000000012"/>
    <n v="1.1500000000000012"/>
    <s v="Yaw motor swap &amp; replacement work"/>
    <s v="Close"/>
    <n v="2.8750000000000032E-2"/>
    <s v="G34"/>
    <n v="349.60000000000036"/>
    <s v="None"/>
    <s v="WTG Breakdown Maintenance"/>
    <n v="7296"/>
    <n v="349.60000000000036"/>
    <m/>
    <m/>
    <m/>
    <m/>
  </r>
  <r>
    <n v="2061"/>
    <x v="322"/>
    <x v="1"/>
    <x v="1"/>
    <x v="11"/>
    <x v="1"/>
    <x v="15"/>
    <s v="PWEGPL"/>
    <s v="MSEDCL"/>
    <n v="2.5000000000000001E-2"/>
    <s v="CE100014"/>
    <x v="305"/>
    <s v="PM/Lift"/>
    <d v="1899-12-30T12:30:00"/>
    <d v="1899-12-30T12:30:00"/>
    <d v="1899-12-30T13:15:00"/>
    <n v="0"/>
    <n v="0.75"/>
    <n v="0.75"/>
    <s v="Lift maintenance work done"/>
    <s v="Close"/>
    <n v="1.8750000000000003E-2"/>
    <s v="G34"/>
    <n v="228"/>
    <s v="None"/>
    <s v="WTG Scheduled Maintenance"/>
    <n v="7296"/>
    <n v="228"/>
    <m/>
    <m/>
    <m/>
    <m/>
  </r>
  <r>
    <n v="2062"/>
    <x v="322"/>
    <x v="1"/>
    <x v="1"/>
    <x v="11"/>
    <x v="1"/>
    <x v="29"/>
    <s v="PWEGPL"/>
    <s v="MSEDCL"/>
    <n v="2.5000000000000001E-2"/>
    <n v="116"/>
    <x v="361"/>
    <s v="BD"/>
    <d v="1899-12-30T13:30:00"/>
    <d v="1899-12-30T14:00:00"/>
    <d v="1899-12-30T14:57:00"/>
    <n v="0.50000000000000089"/>
    <n v="0.94999999999999929"/>
    <n v="1.4500000000000002"/>
    <s v="pos110 value tunning done and restored"/>
    <s v="Close"/>
    <n v="3.6250000000000004E-2"/>
    <s v="G10"/>
    <n v="345.52291666666667"/>
    <s v="None"/>
    <s v="WTG Breakdown Maintenance"/>
    <n v="5719"/>
    <n v="345.52291666666667"/>
    <m/>
    <m/>
    <m/>
    <m/>
  </r>
  <r>
    <n v="2063"/>
    <x v="323"/>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915.2791666666667"/>
    <s v="None"/>
    <s v="WTG Unscheduled Maintenance"/>
    <n v="3918"/>
    <n v="3915.2791666666667"/>
    <m/>
    <m/>
    <m/>
    <m/>
  </r>
  <r>
    <n v="2064"/>
    <x v="323"/>
    <x v="1"/>
    <x v="1"/>
    <x v="11"/>
    <x v="1"/>
    <x v="34"/>
    <s v="PWEGPL"/>
    <s v="MSEDCL"/>
    <n v="2.5000000000000001E-2"/>
    <s v="CE100014"/>
    <x v="305"/>
    <s v="Manual stop/TCA"/>
    <d v="1899-12-30T10:43:00"/>
    <d v="1899-12-30T10:43:00"/>
    <d v="1899-12-30T19:06:00"/>
    <n v="0"/>
    <n v="8.3833333333333346"/>
    <n v="8.3833333333333346"/>
    <s v="Gearbox damper replaced and restored"/>
    <s v="Close"/>
    <n v="0.20958333333333337"/>
    <s v="G21"/>
    <n v="1368.5791666666669"/>
    <s v="None"/>
    <s v="WTG Unscheduled Maintenance"/>
    <n v="3918"/>
    <n v="1368.5791666666669"/>
    <m/>
    <m/>
    <m/>
    <m/>
  </r>
  <r>
    <n v="2065"/>
    <x v="323"/>
    <x v="1"/>
    <x v="1"/>
    <x v="11"/>
    <x v="1"/>
    <x v="0"/>
    <s v="PWEGPL"/>
    <s v="MSEDCL"/>
    <n v="2.5000000000000001E-2"/>
    <s v="CE100014"/>
    <x v="305"/>
    <s v="PM/Lift"/>
    <d v="1899-12-30T11:45:00"/>
    <d v="1899-12-30T11:45:00"/>
    <d v="1899-12-30T12:46:00"/>
    <n v="0"/>
    <n v="1.0166666666666671"/>
    <n v="1.0166666666666671"/>
    <s v="Lift maintenance work done"/>
    <s v="Close"/>
    <n v="2.5416666666666678E-2"/>
    <s v="G19"/>
    <n v="169.91041666666672"/>
    <s v="None"/>
    <s v="WTG Scheduled Maintenance"/>
    <n v="4011"/>
    <n v="169.91041666666672"/>
    <m/>
    <m/>
    <m/>
    <m/>
  </r>
  <r>
    <n v="2066"/>
    <x v="323"/>
    <x v="1"/>
    <x v="1"/>
    <x v="11"/>
    <x v="1"/>
    <x v="37"/>
    <s v="PWEGPL"/>
    <s v="MSEDCL"/>
    <n v="2.5000000000000001E-2"/>
    <s v="CE100014"/>
    <x v="305"/>
    <s v="PM/Lift"/>
    <d v="1899-12-30T13:58:00"/>
    <d v="1899-12-30T13:58:00"/>
    <d v="1899-12-30T15:53:00"/>
    <n v="0"/>
    <n v="1.9166666666666652"/>
    <n v="1.9166666666666652"/>
    <s v="Lift maintenance work done"/>
    <s v="Close"/>
    <n v="4.7916666666666635E-2"/>
    <s v="G18"/>
    <n v="327.27083333333309"/>
    <s v="None"/>
    <s v="WTG Scheduled Maintenance"/>
    <n v="4098"/>
    <n v="327.27083333333309"/>
    <m/>
    <m/>
    <m/>
    <m/>
  </r>
  <r>
    <n v="2067"/>
    <x v="323"/>
    <x v="1"/>
    <x v="1"/>
    <x v="11"/>
    <x v="1"/>
    <x v="19"/>
    <s v="PWEGPL"/>
    <s v="MSEDCL"/>
    <n v="2.5000000000000001E-2"/>
    <n v="118"/>
    <x v="313"/>
    <s v="PM/Lift"/>
    <d v="1899-12-30T15:26:00"/>
    <d v="1899-12-30T15:26:00"/>
    <d v="1899-12-30T18:53:00"/>
    <n v="0"/>
    <n v="3.4499999999999984"/>
    <n v="3.4499999999999984"/>
    <s v="Lift maintenance work done &amp; Yaw motor replacement work"/>
    <s v="Close"/>
    <n v="8.6249999999999966E-2"/>
    <s v="G19"/>
    <n v="576.58124999999973"/>
    <s v="None"/>
    <s v="WTG Scheduled Maintenance"/>
    <n v="4011"/>
    <n v="576.58124999999973"/>
    <m/>
    <m/>
    <m/>
    <m/>
  </r>
  <r>
    <n v="2068"/>
    <x v="323"/>
    <x v="1"/>
    <x v="1"/>
    <x v="11"/>
    <x v="1"/>
    <x v="23"/>
    <s v="PWEGPL"/>
    <s v="MSEDCL"/>
    <n v="2.5000000000000001E-2"/>
    <n v="5263"/>
    <x v="311"/>
    <s v="BD"/>
    <d v="1899-12-30T21:33:00"/>
    <d v="1899-12-30T22:02:00"/>
    <d v="1899-12-30T23:02:00"/>
    <n v="0.48333333333333428"/>
    <n v="0.99999999999999911"/>
    <n v="1.4833333333333334"/>
    <s v="Slipring cleaned and restored"/>
    <s v="Close"/>
    <n v="3.7083333333333336E-2"/>
    <s v="G03"/>
    <n v="214.95972222222221"/>
    <s v="None"/>
    <s v="WTG Breakdown Maintenance"/>
    <n v="3478"/>
    <n v="214.95972222222221"/>
    <m/>
    <m/>
    <m/>
    <m/>
  </r>
  <r>
    <n v="2069"/>
    <x v="324"/>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974.7631944444438"/>
    <s v="None"/>
    <s v="WTG Unscheduled Maintenance"/>
    <n v="8981"/>
    <n v="8974.7631944444438"/>
    <m/>
    <m/>
    <m/>
    <m/>
  </r>
  <r>
    <n v="2070"/>
    <x v="324"/>
    <x v="1"/>
    <x v="1"/>
    <x v="11"/>
    <x v="1"/>
    <x v="20"/>
    <s v="PWEGPL"/>
    <s v="MSEDCL"/>
    <n v="2.5000000000000001E-2"/>
    <s v="CE100010"/>
    <x v="296"/>
    <s v="PM"/>
    <d v="1899-12-30T14:38:00"/>
    <d v="1899-12-30T14:38:00"/>
    <d v="1899-12-30T17:49:00"/>
    <n v="0"/>
    <n v="3.1833333333333353"/>
    <n v="3.1833333333333353"/>
    <s v="PM pending works completed N2 filling and cleaning"/>
    <s v="Close"/>
    <n v="7.9583333333333395E-2"/>
    <s v="G02"/>
    <n v="1269.7520833333342"/>
    <s v="None"/>
    <s v="WTG Scheduled Maintenance"/>
    <n v="9573"/>
    <n v="1269.7520833333342"/>
    <m/>
    <m/>
    <m/>
    <m/>
  </r>
  <r>
    <n v="2071"/>
    <x v="324"/>
    <x v="1"/>
    <x v="1"/>
    <x v="11"/>
    <x v="1"/>
    <x v="39"/>
    <s v="PWEGPL"/>
    <s v="MSEDCL"/>
    <n v="2.5000000000000001E-2"/>
    <n v="205"/>
    <x v="312"/>
    <s v="BD"/>
    <d v="1899-12-30T13:41:00"/>
    <d v="1899-12-30T14:15:00"/>
    <d v="1899-12-30T15:47:00"/>
    <n v="0.56666666666666732"/>
    <n v="1.5333333333333332"/>
    <n v="2.1000000000000005"/>
    <s v="Oil top up and restored the WTG"/>
    <s v="Close"/>
    <n v="5.2500000000000019E-2"/>
    <s v="G14"/>
    <n v="740.25000000000023"/>
    <s v="None"/>
    <s v="WTG Breakdown Maintenance"/>
    <n v="8460"/>
    <n v="740.25000000000023"/>
    <m/>
    <m/>
    <m/>
    <m/>
  </r>
  <r>
    <n v="2072"/>
    <x v="325"/>
    <x v="1"/>
    <x v="1"/>
    <x v="11"/>
    <x v="1"/>
    <x v="39"/>
    <s v="PWEGPL"/>
    <s v="MSEDCL"/>
    <n v="2.5000000000000001E-2"/>
    <s v="CE100014"/>
    <x v="305"/>
    <s v="PM/Lift"/>
    <d v="1899-12-30T10:10:00"/>
    <d v="1899-12-30T10:10:00"/>
    <d v="1899-12-30T11:36:00"/>
    <n v="0"/>
    <n v="1.4333333333333336"/>
    <n v="1.4333333333333336"/>
    <s v="Lift maintenance work done"/>
    <s v="Close"/>
    <n v="3.5833333333333342E-2"/>
    <s v="G14"/>
    <n v="728.73055555555572"/>
    <s v="None"/>
    <s v="WTG Scheduled Maintenance"/>
    <n v="12202"/>
    <n v="728.73055555555572"/>
    <m/>
    <m/>
    <m/>
    <m/>
  </r>
  <r>
    <n v="2073"/>
    <x v="325"/>
    <x v="1"/>
    <x v="1"/>
    <x v="11"/>
    <x v="1"/>
    <x v="31"/>
    <s v="PWEGPL"/>
    <s v="MSEDCL"/>
    <n v="2.5000000000000001E-2"/>
    <s v="CE100014"/>
    <x v="305"/>
    <s v="PM/Lift"/>
    <d v="1899-12-30T11:55:00"/>
    <d v="1899-12-30T11:55:00"/>
    <d v="1899-12-30T14:02:00"/>
    <n v="0"/>
    <n v="2.1166666666666685"/>
    <n v="2.1166666666666685"/>
    <s v="Lift maintenance work done"/>
    <s v="Close"/>
    <n v="5.2916666666666716E-2"/>
    <s v="G14"/>
    <n v="1076.1486111111121"/>
    <s v="None"/>
    <s v="WTG Scheduled Maintenance"/>
    <n v="12202"/>
    <n v="1076.1486111111121"/>
    <m/>
    <m/>
    <m/>
    <m/>
  </r>
  <r>
    <n v="2074"/>
    <x v="325"/>
    <x v="1"/>
    <x v="1"/>
    <x v="11"/>
    <x v="1"/>
    <x v="24"/>
    <s v="PWEGPL"/>
    <s v="MSEDCL"/>
    <n v="2.5000000000000001E-2"/>
    <s v="CE100014"/>
    <x v="305"/>
    <s v="PM/Lift"/>
    <d v="1899-12-30T14:55:00"/>
    <d v="1899-12-30T14:55:00"/>
    <d v="1899-12-30T16:49:00"/>
    <n v="0"/>
    <n v="1.8999999999999986"/>
    <n v="1.8999999999999986"/>
    <s v="Lift maintenance work done"/>
    <s v="Close"/>
    <n v="4.7499999999999966E-2"/>
    <s v="G05"/>
    <n v="826.34166666666613"/>
    <s v="None"/>
    <s v="WTG Scheduled Maintenance"/>
    <n v="10438"/>
    <n v="826.34166666666613"/>
    <m/>
    <m/>
    <m/>
    <m/>
  </r>
  <r>
    <n v="2075"/>
    <x v="325"/>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4359.021527777779"/>
    <s v="None"/>
    <s v="WTG Unscheduled Maintenance"/>
    <n v="14369"/>
    <n v="14359.021527777779"/>
    <m/>
    <m/>
    <m/>
    <m/>
  </r>
  <r>
    <n v="2076"/>
    <x v="326"/>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5301.366666666667"/>
    <s v="None"/>
    <s v="WTG Unscheduled Maintenance"/>
    <n v="15312"/>
    <n v="15301.366666666667"/>
    <m/>
    <m/>
    <m/>
    <m/>
  </r>
  <r>
    <n v="2077"/>
    <x v="326"/>
    <x v="1"/>
    <x v="1"/>
    <x v="11"/>
    <x v="1"/>
    <x v="12"/>
    <s v="PWEGPL"/>
    <s v="MSEDCL"/>
    <n v="2.5000000000000001E-2"/>
    <s v="CE100014"/>
    <x v="305"/>
    <s v="PM/Lift"/>
    <d v="1899-12-30T11:56:00"/>
    <d v="1899-12-30T11:56:00"/>
    <d v="1899-12-30T13:40:00"/>
    <n v="0"/>
    <n v="1.7333333333333325"/>
    <n v="1.7333333333333325"/>
    <s v="Lift maintenance work done"/>
    <s v="Close"/>
    <n v="4.3333333333333314E-2"/>
    <s v="G29"/>
    <n v="904.79999999999961"/>
    <s v="None"/>
    <s v="WTG Scheduled Maintenance"/>
    <n v="12528"/>
    <n v="904.79999999999961"/>
    <m/>
    <m/>
    <m/>
    <m/>
  </r>
  <r>
    <n v="2078"/>
    <x v="326"/>
    <x v="1"/>
    <x v="1"/>
    <x v="11"/>
    <x v="1"/>
    <x v="14"/>
    <s v="PWEGPL"/>
    <s v="MSEDCL"/>
    <n v="2.5000000000000001E-2"/>
    <s v="CE100014"/>
    <x v="305"/>
    <s v="PM/Lift"/>
    <d v="1899-12-30T14:47:00"/>
    <d v="1899-12-30T14:47:00"/>
    <d v="1899-12-30T16:53:00"/>
    <n v="0"/>
    <n v="2.0999999999999979"/>
    <n v="2.0999999999999979"/>
    <s v="Lift maintenance work done"/>
    <s v="Close"/>
    <n v="5.2499999999999949E-2"/>
    <s v="G29"/>
    <n v="1096.1999999999989"/>
    <s v="None"/>
    <s v="WTG Scheduled Maintenance"/>
    <n v="12528"/>
    <n v="1096.1999999999989"/>
    <m/>
    <m/>
    <m/>
    <m/>
  </r>
  <r>
    <n v="2079"/>
    <x v="326"/>
    <x v="1"/>
    <x v="1"/>
    <x v="11"/>
    <x v="1"/>
    <x v="27"/>
    <s v="PWEGPL"/>
    <s v="MSEDCL"/>
    <n v="2.5000000000000001E-2"/>
    <n v="2118"/>
    <x v="293"/>
    <s v="BD"/>
    <d v="1899-12-30T07:57:00"/>
    <d v="1899-12-30T08:15:00"/>
    <d v="1899-12-30T08:22:00"/>
    <n v="0.30000000000000027"/>
    <n v="0.11666666666666758"/>
    <n v="0.41666666666666785"/>
    <s v="Slip ring replaced and restored"/>
    <s v="Close"/>
    <n v="1.0416666666666697E-2"/>
    <s v="G12"/>
    <n v="210.60763888888948"/>
    <s v="None"/>
    <s v="WTG Breakdown Maintenance"/>
    <n v="12131"/>
    <n v="210.60763888888948"/>
    <m/>
    <m/>
    <m/>
    <m/>
  </r>
  <r>
    <n v="2080"/>
    <x v="326"/>
    <x v="1"/>
    <x v="1"/>
    <x v="11"/>
    <x v="1"/>
    <x v="17"/>
    <s v="PWEGPL"/>
    <s v="MSEDCL"/>
    <n v="2.5000000000000001E-2"/>
    <n v="118"/>
    <x v="313"/>
    <s v="BD"/>
    <d v="1899-12-30T14:48:00"/>
    <d v="1899-12-30T14:48:00"/>
    <d v="1899-12-30T17:20:00"/>
    <n v="0"/>
    <n v="2.5333333333333323"/>
    <n v="2.5333333333333323"/>
    <s v="Yaw motor replacedand restored"/>
    <s v="Close"/>
    <n v="6.3333333333333311E-2"/>
    <s v="G10"/>
    <n v="1306.3555555555549"/>
    <s v="None"/>
    <s v="WTG Breakdown Maintenance"/>
    <n v="12376"/>
    <n v="1306.3555555555549"/>
    <m/>
    <m/>
    <m/>
    <m/>
  </r>
  <r>
    <n v="2081"/>
    <x v="327"/>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694.0430555555558"/>
    <s v="None"/>
    <s v="WTG Unscheduled Maintenance"/>
    <n v="5698"/>
    <n v="5694.0430555555558"/>
    <m/>
    <m/>
    <m/>
    <m/>
  </r>
  <r>
    <n v="2082"/>
    <x v="327"/>
    <x v="1"/>
    <x v="1"/>
    <x v="11"/>
    <x v="1"/>
    <x v="25"/>
    <s v="PWEGPL"/>
    <s v="MSEDCL"/>
    <n v="2.5000000000000001E-2"/>
    <s v="CE100014"/>
    <x v="305"/>
    <s v="Manual stop/TCA"/>
    <d v="1899-12-30T10:55:00"/>
    <d v="1899-12-30T10:55:00"/>
    <d v="1899-12-30T18:22:00"/>
    <n v="0"/>
    <n v="7.4500000000000011"/>
    <n v="7.4500000000000011"/>
    <s v="TCA point transformer cooliong fan terminal replacement work and cooling fan replacement work"/>
    <s v="Close"/>
    <n v="0.18625000000000003"/>
    <s v="G04"/>
    <n v="1745.1625000000001"/>
    <s v="None"/>
    <s v="WTG Breakdown Maintenance"/>
    <n v="5622"/>
    <n v="1745.1625000000001"/>
    <m/>
    <m/>
    <m/>
    <m/>
  </r>
  <r>
    <n v="2083"/>
    <x v="328"/>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575.9048611111111"/>
    <s v="None"/>
    <s v="WTG Unscheduled Maintenance"/>
    <n v="1577"/>
    <n v="1575.9048611111111"/>
    <m/>
    <m/>
    <m/>
    <m/>
  </r>
  <r>
    <n v="2084"/>
    <x v="328"/>
    <x v="1"/>
    <x v="1"/>
    <x v="11"/>
    <x v="1"/>
    <x v="3"/>
    <s v="PWEGPL"/>
    <s v="MSEDCL"/>
    <n v="2.5000000000000001E-2"/>
    <n v="110"/>
    <x v="287"/>
    <s v="BD"/>
    <d v="1899-12-30T22:04:00"/>
    <d v="1899-12-30T23:12:00"/>
    <d v="1899-12-30T23:37:00"/>
    <n v="1.1333333333333346"/>
    <n v="0.41666666666666785"/>
    <n v="1.5500000000000025"/>
    <s v="Cable untwisted and restored the turbine"/>
    <s v="Close"/>
    <n v="3.8750000000000062E-2"/>
    <s v="G26"/>
    <n v="106.23958333333351"/>
    <s v="None"/>
    <s v="WTG Breakdown Maintenance"/>
    <n v="1645"/>
    <n v="106.23958333333351"/>
    <m/>
    <m/>
    <m/>
    <m/>
  </r>
  <r>
    <n v="2085"/>
    <x v="328"/>
    <x v="1"/>
    <x v="1"/>
    <x v="11"/>
    <x v="1"/>
    <x v="4"/>
    <s v="PWEGPL"/>
    <s v="MSEDCL"/>
    <n v="2.5000000000000001E-2"/>
    <s v="CE100014"/>
    <x v="305"/>
    <s v="PM/Lift"/>
    <d v="1899-12-30T13:57:00"/>
    <d v="1899-12-30T13:57:00"/>
    <d v="1899-12-30T15:33:00"/>
    <n v="0"/>
    <n v="1.6000000000000023"/>
    <n v="1.6000000000000023"/>
    <s v="Lift maintenance work done"/>
    <s v="Close"/>
    <n v="4.0000000000000063E-2"/>
    <s v="G24"/>
    <n v="137.33333333333351"/>
    <s v="None"/>
    <s v="WTG Scheduled Maintenance"/>
    <n v="2060"/>
    <n v="137.33333333333351"/>
    <m/>
    <m/>
    <m/>
    <m/>
  </r>
  <r>
    <n v="2086"/>
    <x v="328"/>
    <x v="1"/>
    <x v="1"/>
    <x v="11"/>
    <x v="1"/>
    <x v="36"/>
    <s v="PWEGPL"/>
    <s v="MSEDCL"/>
    <n v="2.5000000000000001E-2"/>
    <s v="CE100014"/>
    <x v="305"/>
    <s v="PM/Lift"/>
    <d v="1899-12-30T10:32:00"/>
    <d v="1899-12-30T10:32:00"/>
    <d v="1899-12-30T11:56:00"/>
    <n v="0"/>
    <n v="1.4000000000000004"/>
    <n v="1.4000000000000004"/>
    <s v="Lift maintenance work done"/>
    <s v="Close"/>
    <n v="3.500000000000001E-2"/>
    <s v="G38"/>
    <n v="84.000000000000028"/>
    <s v="None"/>
    <s v="WTG Scheduled Maintenance"/>
    <n v="1440"/>
    <n v="84.000000000000028"/>
    <m/>
    <m/>
    <m/>
    <m/>
  </r>
  <r>
    <n v="2087"/>
    <x v="32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762.7750000000001"/>
    <s v="None"/>
    <s v="WTG Unscheduled Maintenance"/>
    <n v="1764"/>
    <n v="1762.7750000000001"/>
    <m/>
    <m/>
    <m/>
    <m/>
  </r>
  <r>
    <n v="2088"/>
    <x v="329"/>
    <x v="1"/>
    <x v="1"/>
    <x v="11"/>
    <x v="1"/>
    <x v="12"/>
    <s v="PWEGPL"/>
    <s v="MSEDCL"/>
    <n v="2.5000000000000001E-2"/>
    <n v="2118"/>
    <x v="293"/>
    <s v="BD"/>
    <d v="1899-12-30T11:46:00"/>
    <d v="1899-12-30T11:50:00"/>
    <d v="1899-12-30T12:13:00"/>
    <n v="6.666666666666643E-2"/>
    <n v="0.38333333333333197"/>
    <n v="0.4499999999999984"/>
    <s v="Slipring cleaned and restored the turbine"/>
    <s v="Close"/>
    <n v="1.1249999999999961E-2"/>
    <s v="G30"/>
    <n v="43.368749999999849"/>
    <s v="None"/>
    <s v="WTG Breakdown Maintenance"/>
    <n v="2313"/>
    <n v="43.368749999999849"/>
    <m/>
    <m/>
    <m/>
    <m/>
  </r>
  <r>
    <n v="2089"/>
    <x v="330"/>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138.7340277777785"/>
    <s v="None"/>
    <s v="WTG Unscheduled Maintenance"/>
    <n v="6143"/>
    <n v="6138.7340277777785"/>
    <m/>
    <m/>
    <m/>
    <m/>
  </r>
  <r>
    <n v="2090"/>
    <x v="330"/>
    <x v="1"/>
    <x v="1"/>
    <x v="11"/>
    <x v="1"/>
    <x v="33"/>
    <s v="PWEGPL"/>
    <s v="MSEDCL"/>
    <n v="2.5000000000000001E-2"/>
    <n v="413"/>
    <x v="401"/>
    <s v="BD"/>
    <d v="1899-12-30T16:00:00"/>
    <d v="1899-12-30T16:00:00"/>
    <d v="1899-12-30T17:50:00"/>
    <n v="0"/>
    <n v="1.8333333333333321"/>
    <n v="1.8333333333333321"/>
    <s v="GB auxiluary motor replaced and restored the turbine"/>
    <s v="Close"/>
    <n v="4.5833333333333309E-2"/>
    <s v="G22"/>
    <n v="469.25694444444417"/>
    <s v="None"/>
    <s v="WTG Breakdown Maintenance"/>
    <n v="6143"/>
    <n v="469.25694444444417"/>
    <m/>
    <m/>
    <m/>
    <m/>
  </r>
  <r>
    <n v="2091"/>
    <x v="330"/>
    <x v="1"/>
    <x v="1"/>
    <x v="11"/>
    <x v="1"/>
    <x v="8"/>
    <s v="PWEGPL"/>
    <s v="MSEDCL"/>
    <n v="2.5000000000000001E-2"/>
    <n v="413"/>
    <x v="401"/>
    <s v="BD"/>
    <d v="1899-12-30T12:27:00"/>
    <d v="1899-12-30T12:27:00"/>
    <d v="1899-12-30T14:06:00"/>
    <n v="0"/>
    <n v="1.6500000000000021"/>
    <n v="1.6500000000000021"/>
    <s v="GB auxiluary motor replaced and restored the turbine"/>
    <s v="Close"/>
    <n v="4.1250000000000057E-2"/>
    <s v="G24"/>
    <n v="391.94375000000048"/>
    <s v="None"/>
    <s v="WTG Breakdown Maintenance"/>
    <n v="5701"/>
    <n v="391.94375000000048"/>
    <m/>
    <m/>
    <m/>
    <m/>
  </r>
  <r>
    <n v="2092"/>
    <x v="331"/>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720.1097222222224"/>
    <s v="None"/>
    <s v="WTG Unscheduled Maintenance"/>
    <n v="2722"/>
    <n v="2720.1097222222224"/>
    <m/>
    <m/>
    <m/>
    <m/>
  </r>
  <r>
    <n v="2093"/>
    <x v="331"/>
    <x v="1"/>
    <x v="1"/>
    <x v="11"/>
    <x v="1"/>
    <x v="7"/>
    <s v="PWEGPL"/>
    <s v="MSEDCL"/>
    <n v="2.5000000000000001E-2"/>
    <n v="205"/>
    <x v="312"/>
    <s v="BD"/>
    <d v="1899-12-30T06:20:00"/>
    <d v="1899-12-30T07:20:00"/>
    <d v="1899-12-30T09:00:00"/>
    <n v="0.99999999999999911"/>
    <n v="1.6666666666666674"/>
    <n v="2.6666666666666665"/>
    <s v="Oil top up and restored the WTG"/>
    <s v="Close"/>
    <n v="6.6666666666666666E-2"/>
    <s v="G39"/>
    <n v="240.44444444444446"/>
    <s v="None"/>
    <s v="WTG Breakdown Maintenance"/>
    <n v="2164"/>
    <n v="240.44444444444446"/>
    <m/>
    <m/>
    <m/>
    <m/>
  </r>
  <r>
    <n v="2094"/>
    <x v="331"/>
    <x v="1"/>
    <x v="1"/>
    <x v="11"/>
    <x v="1"/>
    <x v="16"/>
    <s v="PWEGPL"/>
    <s v="MSEDCL"/>
    <n v="2.5000000000000001E-2"/>
    <n v="110"/>
    <x v="287"/>
    <s v="BD"/>
    <d v="1899-12-30T15:05:00"/>
    <d v="1899-12-30T15:10:00"/>
    <d v="1899-12-30T15:39:00"/>
    <n v="8.3333333333333037E-2"/>
    <n v="0.48333333333333428"/>
    <n v="0.56666666666666732"/>
    <s v="Cable untwisted and restored the turbine"/>
    <s v="Close"/>
    <n v="1.4166666666666683E-2"/>
    <s v="G37"/>
    <n v="56.973611111111182"/>
    <s v="None"/>
    <s v="WTG Breakdown Maintenance"/>
    <n v="2413"/>
    <n v="56.973611111111182"/>
    <m/>
    <m/>
    <m/>
    <m/>
  </r>
  <r>
    <n v="2095"/>
    <x v="332"/>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458.5965277777782"/>
    <s v="None"/>
    <s v="WTG Unscheduled Maintenance"/>
    <n v="3461"/>
    <n v="3458.5965277777782"/>
    <m/>
    <m/>
    <m/>
    <m/>
  </r>
  <r>
    <n v="2096"/>
    <x v="333"/>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931.9625000000001"/>
    <s v="None"/>
    <s v="WTG Unscheduled Maintenance"/>
    <n v="2934"/>
    <n v="2931.9625000000001"/>
    <m/>
    <m/>
    <m/>
    <m/>
  </r>
  <r>
    <n v="2097"/>
    <x v="333"/>
    <x v="1"/>
    <x v="1"/>
    <x v="11"/>
    <x v="1"/>
    <x v="27"/>
    <s v="PWEGPL"/>
    <s v="MSEDCL"/>
    <n v="2.5000000000000001E-2"/>
    <n v="5263"/>
    <x v="311"/>
    <s v="BD"/>
    <d v="1899-12-30T14:23:00"/>
    <d v="1899-12-30T14:38:00"/>
    <d v="1899-12-30T16:01:00"/>
    <n v="0.24999999999999911"/>
    <n v="1.3833333333333337"/>
    <n v="1.6333333333333329"/>
    <s v="Slipring spare connection given and restored"/>
    <s v="Close"/>
    <n v="4.0833333333333326E-2"/>
    <s v="G12"/>
    <n v="179.87083333333328"/>
    <s v="None"/>
    <s v="WTG Breakdown Maintenance"/>
    <n v="2643"/>
    <n v="179.87083333333328"/>
    <m/>
    <m/>
    <m/>
    <m/>
  </r>
  <r>
    <n v="2098"/>
    <x v="333"/>
    <x v="1"/>
    <x v="1"/>
    <x v="11"/>
    <x v="1"/>
    <x v="36"/>
    <s v="PWEGPL"/>
    <s v="MSEDCL"/>
    <n v="2.5000000000000001E-2"/>
    <n v="103"/>
    <x v="307"/>
    <s v="BD"/>
    <d v="1899-12-30T11:33:00"/>
    <d v="1899-12-30T12:01:00"/>
    <d v="1899-12-30T14:04:00"/>
    <n v="0.46666666666666634"/>
    <n v="2.0500000000000007"/>
    <n v="2.5166666666666671"/>
    <s v="Loose connection observed in add on block then corrected and restored"/>
    <s v="Close"/>
    <n v="6.2916666666666676E-2"/>
    <s v="G24"/>
    <n v="308.0819444444445"/>
    <s v="None"/>
    <s v="WTG Breakdown Maintenance"/>
    <n v="2938"/>
    <n v="308.0819444444445"/>
    <m/>
    <m/>
    <m/>
    <m/>
  </r>
  <r>
    <n v="2099"/>
    <x v="334"/>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40.62430555555557"/>
    <s v="None"/>
    <s v="WTG Unscheduled Maintenance"/>
    <n v="541"/>
    <n v="540.62430555555557"/>
    <m/>
    <m/>
    <m/>
    <m/>
  </r>
  <r>
    <n v="2100"/>
    <x v="334"/>
    <x v="1"/>
    <x v="1"/>
    <x v="11"/>
    <x v="1"/>
    <x v="21"/>
    <s v="PWEGPL"/>
    <s v="MSEDCL"/>
    <n v="2.5000000000000001E-2"/>
    <n v="1825"/>
    <x v="402"/>
    <s v="BD"/>
    <d v="1899-12-30T19:38:00"/>
    <d v="1899-12-30T19:59:00"/>
    <d v="1899-12-30T20:05:00"/>
    <n v="0.35000000000000142"/>
    <n v="9.999999999999698E-2"/>
    <n v="0.4499999999999984"/>
    <s v="Reset and restored "/>
    <s v="Close"/>
    <n v="1.1249999999999961E-2"/>
    <s v="G01"/>
    <n v="11.26874999999996"/>
    <s v="None"/>
    <s v="WTG Breakdown Maintenance"/>
    <n v="601"/>
    <n v="11.26874999999996"/>
    <m/>
    <m/>
    <m/>
    <m/>
  </r>
  <r>
    <n v="2101"/>
    <x v="335"/>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126.8270833333336"/>
    <s v="None"/>
    <s v="WTG Unscheduled Maintenance"/>
    <n v="3129"/>
    <n v="3126.8270833333336"/>
    <m/>
    <m/>
    <m/>
    <m/>
  </r>
  <r>
    <n v="2102"/>
    <x v="335"/>
    <x v="1"/>
    <x v="1"/>
    <x v="11"/>
    <x v="1"/>
    <x v="28"/>
    <s v="PWEGPL"/>
    <s v="MSEDCL"/>
    <n v="2.5000000000000001E-2"/>
    <n v="205"/>
    <x v="312"/>
    <s v="BD"/>
    <d v="1899-12-30T12:54:00"/>
    <d v="1899-12-30T13:45:00"/>
    <d v="1899-12-30T14:15:00"/>
    <n v="0.84999999999999964"/>
    <n v="0.50000000000000089"/>
    <n v="1.3500000000000005"/>
    <s v="Oil top up and restored the WTG"/>
    <s v="Close"/>
    <n v="3.3750000000000016E-2"/>
    <s v="G11"/>
    <n v="87.693750000000023"/>
    <s v="None"/>
    <s v="WTG Breakdown Maintenance"/>
    <n v="1559"/>
    <n v="87.693750000000023"/>
    <m/>
    <m/>
    <m/>
    <m/>
  </r>
  <r>
    <n v="2103"/>
    <x v="335"/>
    <x v="1"/>
    <x v="1"/>
    <x v="11"/>
    <x v="1"/>
    <x v="39"/>
    <s v="PWEGPL"/>
    <s v="MSEDCL"/>
    <n v="2.5000000000000001E-2"/>
    <s v="CE100001"/>
    <x v="288"/>
    <s v="BD"/>
    <d v="1899-12-30T10:10:00"/>
    <d v="1899-12-30T10:10:00"/>
    <d v="1899-12-30T14:30:00"/>
    <n v="0"/>
    <n v="4.3333333333333321"/>
    <n v="4.3333333333333321"/>
    <s v="Pitch seal replacement work"/>
    <s v="Close"/>
    <n v="0.10833333333333331"/>
    <s v="G14"/>
    <n v="289.06944444444434"/>
    <s v="None"/>
    <s v="WTG Breakdown Maintenance"/>
    <n v="1601"/>
    <n v="289.06944444444434"/>
    <m/>
    <m/>
    <m/>
    <m/>
  </r>
  <r>
    <n v="2104"/>
    <x v="336"/>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276.3333333333339"/>
    <s v="None"/>
    <s v="WTG Unscheduled Maintenance"/>
    <n v="5280"/>
    <n v="5276.3333333333339"/>
    <m/>
    <m/>
    <m/>
    <m/>
  </r>
  <r>
    <n v="2105"/>
    <x v="336"/>
    <x v="1"/>
    <x v="1"/>
    <x v="11"/>
    <x v="1"/>
    <x v="25"/>
    <s v="PWEGPL"/>
    <s v="MSEDCL"/>
    <n v="2.5000000000000001E-2"/>
    <n v="404"/>
    <x v="352"/>
    <s v="BD"/>
    <d v="1899-12-30T10:54:00"/>
    <d v="1899-12-30T10:54:00"/>
    <d v="1899-12-30T16:57:00"/>
    <n v="0"/>
    <n v="6.0499999999999989"/>
    <n v="6.0499999999999989"/>
    <s v="Gear box dampers replaced and restored the turbine"/>
    <s v="Close"/>
    <n v="0.15125"/>
    <s v="G04"/>
    <n v="1138.1562499999998"/>
    <s v="None"/>
    <s v="WTG Breakdown Maintenance"/>
    <n v="4515"/>
    <n v="1138.1562499999998"/>
    <m/>
    <m/>
    <m/>
    <m/>
  </r>
  <r>
    <n v="2106"/>
    <x v="337"/>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563.8284722222224"/>
    <s v="None"/>
    <s v="WTG Unscheduled Maintenance"/>
    <n v="4567"/>
    <n v="4563.8284722222224"/>
    <m/>
    <m/>
    <m/>
    <m/>
  </r>
  <r>
    <n v="2107"/>
    <x v="337"/>
    <x v="1"/>
    <x v="1"/>
    <x v="11"/>
    <x v="1"/>
    <x v="12"/>
    <s v="PWEGPL"/>
    <s v="MSEDCL"/>
    <n v="2.5000000000000001E-2"/>
    <n v="205"/>
    <x v="312"/>
    <s v="BD"/>
    <d v="1899-12-30T10:04:00"/>
    <d v="1899-12-30T10:35:00"/>
    <d v="1899-12-30T11:38:00"/>
    <n v="0.5166666666666675"/>
    <n v="1.0499999999999989"/>
    <n v="1.5666666666666664"/>
    <s v="Oil top up and restored the WTG"/>
    <s v="Close"/>
    <n v="3.9166666666666662E-2"/>
    <s v="G30"/>
    <n v="345.44999999999993"/>
    <s v="None"/>
    <s v="WTG Breakdown Maintenance"/>
    <n v="5292"/>
    <n v="345.44999999999993"/>
    <m/>
    <m/>
    <m/>
    <m/>
  </r>
  <r>
    <n v="2108"/>
    <x v="338"/>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046.4930555555557"/>
    <s v="None"/>
    <s v="WTG Unscheduled Maintenance"/>
    <n v="5050"/>
    <n v="5046.4930555555557"/>
    <m/>
    <m/>
    <m/>
    <m/>
  </r>
  <r>
    <n v="2109"/>
    <x v="338"/>
    <x v="1"/>
    <x v="1"/>
    <x v="11"/>
    <x v="1"/>
    <x v="3"/>
    <s v="PWEGPL"/>
    <s v="MSEDCL"/>
    <n v="2.5000000000000001E-2"/>
    <n v="2118"/>
    <x v="293"/>
    <s v="BD"/>
    <d v="1899-12-30T02:06:00"/>
    <d v="1899-12-30T02:35:00"/>
    <d v="1899-12-30T03:08:00"/>
    <n v="0.48333333333333328"/>
    <n v="0.55000000000000004"/>
    <n v="1.0333333333333332"/>
    <s v="Slipring cleaned and restored the turbine"/>
    <s v="Close"/>
    <n v="2.5833333333333333E-2"/>
    <s v="G26"/>
    <n v="214.3736111111111"/>
    <s v="None"/>
    <s v="WTG Breakdown Maintenance"/>
    <n v="4979"/>
    <n v="214.3736111111111"/>
    <m/>
    <m/>
    <m/>
    <m/>
  </r>
  <r>
    <n v="2110"/>
    <x v="338"/>
    <x v="1"/>
    <x v="1"/>
    <x v="11"/>
    <x v="1"/>
    <x v="21"/>
    <s v="PWEGPL"/>
    <s v="MSEDCL"/>
    <n v="2.5000000000000001E-2"/>
    <n v="5236"/>
    <x v="363"/>
    <s v="BD"/>
    <d v="1899-12-30T18:59:00"/>
    <d v="1899-12-30T19:35:00"/>
    <d v="1899-12-30T21:42:00"/>
    <n v="0.59999999999999787"/>
    <n v="2.1166666666666671"/>
    <n v="2.716666666666665"/>
    <s v="While troubleshooting found CCU R phase optical cable found loose then corrected and restored"/>
    <s v="Close"/>
    <n v="6.7916666666666625E-2"/>
    <s v="G01"/>
    <n v="588.04513888888857"/>
    <s v="None"/>
    <s v="WTG Breakdown Maintenance"/>
    <n v="5195"/>
    <n v="588.04513888888857"/>
    <m/>
    <m/>
    <m/>
    <m/>
  </r>
  <r>
    <n v="2111"/>
    <x v="338"/>
    <x v="1"/>
    <x v="1"/>
    <x v="11"/>
    <x v="1"/>
    <x v="25"/>
    <s v="PWEGPL"/>
    <s v="MSEDCL"/>
    <n v="2.5000000000000001E-2"/>
    <n v="507"/>
    <x v="318"/>
    <s v="Manual stop"/>
    <d v="1899-12-30T11:31:00"/>
    <d v="1899-12-30T11:31:00"/>
    <d v="1899-12-30T13:25:00"/>
    <n v="0"/>
    <n v="1.9"/>
    <n v="1.9"/>
    <s v="Checked on related repeated fault DTD filter alarm and found no any abnormalities but oberved generator vibration due to bearing failure. "/>
    <s v="Close"/>
    <n v="4.7500000000000001E-2"/>
    <s v="G04"/>
    <n v="389.65833333333336"/>
    <s v="None"/>
    <s v="WTG Breakdown Maintenance"/>
    <n v="4922"/>
    <n v="389.65833333333336"/>
    <m/>
    <m/>
    <m/>
    <m/>
  </r>
  <r>
    <n v="2112"/>
    <x v="33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562.2194444444444"/>
    <s v="None"/>
    <s v="WTG Unscheduled Maintenance"/>
    <n v="2564"/>
    <n v="2562.2194444444444"/>
    <m/>
    <m/>
    <m/>
    <m/>
  </r>
  <r>
    <n v="2113"/>
    <x v="339"/>
    <x v="1"/>
    <x v="1"/>
    <x v="11"/>
    <x v="1"/>
    <x v="21"/>
    <s v="PWEGPL"/>
    <s v="MSEDCL"/>
    <n v="2.5000000000000001E-2"/>
    <n v="700"/>
    <x v="329"/>
    <s v="BD"/>
    <d v="1899-12-30T15:31:00"/>
    <d v="1899-12-30T15:31:00"/>
    <d v="1899-12-30T16:41:00"/>
    <n v="0"/>
    <n v="1.1666666666666652"/>
    <n v="1.1666666666666652"/>
    <s v="Manual stop for repeated fault rectification work and replaced R phase IGBT optical cable and restored"/>
    <s v="Close"/>
    <n v="2.9166666666666632E-2"/>
    <s v="G01"/>
    <n v="273.29166666666634"/>
    <s v="None"/>
    <s v="WTG Breakdown Maintenance"/>
    <n v="5622"/>
    <n v="273.29166666666634"/>
    <m/>
    <m/>
    <m/>
    <m/>
  </r>
  <r>
    <n v="2114"/>
    <x v="340"/>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604.8847222222223"/>
    <s v="None"/>
    <s v="WTG Unscheduled Maintenance"/>
    <n v="1606"/>
    <n v="1604.8847222222223"/>
    <m/>
    <m/>
    <m/>
    <m/>
  </r>
  <r>
    <n v="2115"/>
    <x v="340"/>
    <x v="1"/>
    <x v="1"/>
    <x v="11"/>
    <x v="1"/>
    <x v="23"/>
    <s v="PWEGPL"/>
    <s v="MSEDCL"/>
    <n v="2.5000000000000001E-2"/>
    <s v="CE100014"/>
    <x v="305"/>
    <s v="Manual stop/TCA"/>
    <d v="1899-12-30T14:27:00"/>
    <d v="1899-12-30T14:27:00"/>
    <d v="1899-12-30T18:02:00"/>
    <n v="0"/>
    <n v="3.5833333333333366"/>
    <n v="3.5833333333333366"/>
    <s v="Tower earthing cable replaced and restored"/>
    <s v="Close"/>
    <n v="8.9583333333333418E-2"/>
    <s v="G15"/>
    <n v="507.63888888888931"/>
    <s v="None"/>
    <s v="WTG Unscheduled Maintenance"/>
    <n v="3400"/>
    <n v="507.63888888888931"/>
    <m/>
    <m/>
    <m/>
    <m/>
  </r>
  <r>
    <n v="2116"/>
    <x v="340"/>
    <x v="1"/>
    <x v="1"/>
    <x v="11"/>
    <x v="1"/>
    <x v="6"/>
    <s v="PWEGPL"/>
    <s v="MSEDCL"/>
    <n v="2.5000000000000001E-2"/>
    <n v="2118"/>
    <x v="293"/>
    <s v="BD"/>
    <d v="1899-12-30T00:44:00"/>
    <d v="1899-12-30T02:33:00"/>
    <d v="1899-12-30T03:10:00"/>
    <n v="1.8166666666666664"/>
    <n v="0.61666666666666681"/>
    <n v="2.4333333333333336"/>
    <s v="Slipring cleaned and restored the turbine"/>
    <s v="Close"/>
    <n v="6.0833333333333343E-2"/>
    <s v="G40"/>
    <n v="169.72500000000002"/>
    <s v="None"/>
    <s v="WTG Breakdown Maintenance"/>
    <n v="1674"/>
    <n v="169.72500000000002"/>
    <m/>
    <m/>
    <m/>
    <m/>
  </r>
  <r>
    <n v="2117"/>
    <x v="341"/>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972.2395833333335"/>
    <s v="None"/>
    <s v="WTG Unscheduled Maintenance"/>
    <n v="3975"/>
    <n v="3972.2395833333335"/>
    <m/>
    <m/>
    <m/>
    <m/>
  </r>
  <r>
    <n v="2118"/>
    <x v="341"/>
    <x v="1"/>
    <x v="1"/>
    <x v="11"/>
    <x v="1"/>
    <x v="21"/>
    <s v="PWEGPL"/>
    <s v="MSEDCL"/>
    <n v="2.5000000000000001E-2"/>
    <s v="CE100014"/>
    <x v="305"/>
    <s v="Manual stop/TCA"/>
    <d v="1899-12-30T12:44:00"/>
    <d v="1899-12-30T12:44:00"/>
    <d v="1899-12-30T16:30:00"/>
    <n v="0"/>
    <n v="3.7666666666666666"/>
    <n v="3.7666666666666666"/>
    <s v="Tower earthing cable replaced and restored"/>
    <s v="Close"/>
    <n v="9.4166666666666676E-2"/>
    <s v="G01"/>
    <n v="847.65694444444443"/>
    <s v="None"/>
    <s v="WTG Unscheduled Maintenance"/>
    <n v="5401"/>
    <n v="847.65694444444443"/>
    <m/>
    <m/>
    <m/>
    <m/>
  </r>
  <r>
    <n v="2119"/>
    <x v="342"/>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116.1395833333336"/>
    <s v="None"/>
    <s v="WTG Unscheduled Maintenance"/>
    <n v="4119"/>
    <n v="4116.1395833333336"/>
    <m/>
    <m/>
    <m/>
    <m/>
  </r>
  <r>
    <n v="2120"/>
    <x v="342"/>
    <x v="1"/>
    <x v="1"/>
    <x v="11"/>
    <x v="1"/>
    <x v="26"/>
    <s v="PWEGPL"/>
    <s v="MSEDCL"/>
    <n v="2.5000000000000001E-2"/>
    <s v="CE100014"/>
    <x v="305"/>
    <s v="Manual stop/TCA"/>
    <d v="1899-12-30T13:22:00"/>
    <d v="1899-12-30T13:22:00"/>
    <d v="1899-12-30T18:42:00"/>
    <n v="0"/>
    <n v="5.333333333333333"/>
    <n v="5.333333333333333"/>
    <s v="Tower earthing cable replaced and restored"/>
    <s v="Close"/>
    <n v="0.13333333333333333"/>
    <s v="G01"/>
    <n v="2183.5555555555557"/>
    <s v="None"/>
    <s v="WTG Unscheduled Maintenance"/>
    <n v="9826"/>
    <n v="2183.5555555555557"/>
    <m/>
    <m/>
    <m/>
    <m/>
  </r>
  <r>
    <n v="2121"/>
    <x v="342"/>
    <x v="1"/>
    <x v="1"/>
    <x v="11"/>
    <x v="1"/>
    <x v="25"/>
    <s v="PWEGPL"/>
    <s v="MSEDCL"/>
    <n v="2.5000000000000001E-2"/>
    <n v="1813"/>
    <x v="332"/>
    <s v="BD"/>
    <d v="1899-12-30T21:52:00"/>
    <d v="1899-12-30T22:49:00"/>
    <d v="1899-12-30T23:05:00"/>
    <n v="0.94999999999999929"/>
    <n v="0.26666666666666572"/>
    <n v="1.216666666666665"/>
    <s v="Reset and restored "/>
    <s v="Close"/>
    <n v="3.0416666666666627E-2"/>
    <s v="G04"/>
    <n v="431.81527777777723"/>
    <s v="None"/>
    <s v="WTG Breakdown Maintenance"/>
    <n v="8518"/>
    <n v="431.81527777777723"/>
    <m/>
    <m/>
    <m/>
    <m/>
  </r>
  <r>
    <n v="2122"/>
    <x v="343"/>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864.0097222222225"/>
    <s v="None"/>
    <s v="WTG Unscheduled Maintenance"/>
    <n v="2866"/>
    <n v="2864.0097222222225"/>
    <m/>
    <m/>
    <m/>
    <m/>
  </r>
  <r>
    <n v="2123"/>
    <x v="343"/>
    <x v="1"/>
    <x v="1"/>
    <x v="11"/>
    <x v="1"/>
    <x v="10"/>
    <s v="PWEGPL"/>
    <s v="MSEDCL"/>
    <n v="2.5000000000000001E-2"/>
    <s v="CE100014"/>
    <x v="305"/>
    <s v="Manual stop/TCA"/>
    <d v="1899-12-30T13:38:00"/>
    <d v="1899-12-30T13:38:00"/>
    <d v="1899-12-30T17:59:00"/>
    <n v="0"/>
    <n v="4.3500000000000005"/>
    <n v="4.3500000000000005"/>
    <s v="Tower earthing cable replaced and restored"/>
    <s v="Close"/>
    <n v="0.10875000000000001"/>
    <s v="G30"/>
    <n v="732.25000000000011"/>
    <s v="None"/>
    <s v="WTG Unscheduled Maintenance"/>
    <n v="4040"/>
    <n v="732.25000000000011"/>
    <m/>
    <m/>
    <m/>
    <m/>
  </r>
  <r>
    <n v="2124"/>
    <x v="344"/>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7486.7972222222234"/>
    <s v="None"/>
    <s v="WTG Unscheduled Maintenance"/>
    <n v="7492"/>
    <n v="7486.7972222222234"/>
    <m/>
    <m/>
    <m/>
    <m/>
  </r>
  <r>
    <n v="2125"/>
    <x v="344"/>
    <x v="1"/>
    <x v="1"/>
    <x v="11"/>
    <x v="1"/>
    <x v="34"/>
    <s v="PWEGPL"/>
    <s v="MSEDCL"/>
    <n v="2.5000000000000001E-2"/>
    <n v="441"/>
    <x v="403"/>
    <s v="BD"/>
    <d v="1899-12-30T02:51:00"/>
    <d v="1899-12-30T03:15:00"/>
    <d v="1899-12-30T03:32:00"/>
    <n v="0.39999999999999958"/>
    <n v="0.28333333333333366"/>
    <n v="0.68333333333333324"/>
    <s v="During troubleshooting found FG380 MCB tripped then checked the curcuit found all ok then manually switched ON and restored the turbine"/>
    <s v="Close"/>
    <n v="1.7083333333333332E-2"/>
    <s v="G21"/>
    <n v="213.31388888888887"/>
    <s v="None"/>
    <s v="WTG Breakdown Maintenance"/>
    <n v="7492"/>
    <n v="213.31388888888887"/>
    <m/>
    <m/>
    <m/>
    <m/>
  </r>
  <r>
    <n v="2126"/>
    <x v="344"/>
    <x v="1"/>
    <x v="1"/>
    <x v="11"/>
    <x v="1"/>
    <x v="5"/>
    <s v="PWEGPL"/>
    <s v="MSEDCL"/>
    <n v="2.5000000000000001E-2"/>
    <n v="507"/>
    <x v="318"/>
    <s v="Manual stop/TCA"/>
    <d v="1899-12-30T23:01:00"/>
    <d v="1899-12-30T11:01:00"/>
    <d v="1899-12-30T23:59:00"/>
    <n v="-11.999999999999996"/>
    <n v="12.966666666666665"/>
    <n v="0.96666666666666856"/>
    <s v="Manually stopped for collecting the vibration data due to abnormal sound from generator DE and NDE bearing"/>
    <s v="Close"/>
    <n v="2.4166666666666715E-2"/>
    <s v="G39"/>
    <n v="225.39444444444487"/>
    <s v="None"/>
    <s v="WTG Breakdown Maintenance"/>
    <n v="5596"/>
    <n v="225.39444444444487"/>
    <m/>
    <m/>
    <m/>
    <m/>
  </r>
  <r>
    <n v="2127"/>
    <x v="345"/>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143.1208333333334"/>
    <s v="None"/>
    <s v="WTG Unscheduled Maintenance"/>
    <n v="4146"/>
    <n v="4143.1208333333334"/>
    <m/>
    <m/>
    <m/>
    <m/>
  </r>
  <r>
    <n v="2128"/>
    <x v="345"/>
    <x v="1"/>
    <x v="1"/>
    <x v="11"/>
    <x v="1"/>
    <x v="3"/>
    <s v="PWEGPL"/>
    <s v="MSEDCL"/>
    <n v="2.5000000000000001E-2"/>
    <s v="CE100014"/>
    <x v="305"/>
    <s v="Manual stop/TCA"/>
    <d v="1899-12-30T13:06:00"/>
    <d v="1899-12-30T13:06:00"/>
    <d v="1899-12-30T16:28:00"/>
    <n v="0"/>
    <n v="3.3666666666666654"/>
    <n v="3.3666666666666654"/>
    <s v="Tower earthing cable replaced and restored"/>
    <s v="Close"/>
    <n v="8.416666666666664E-2"/>
    <s v="G30"/>
    <n v="354.90277777777766"/>
    <s v="None"/>
    <s v="WTG Unscheduled Maintenance"/>
    <n v="2530"/>
    <n v="354.90277777777766"/>
    <m/>
    <m/>
    <m/>
    <m/>
  </r>
  <r>
    <n v="2129"/>
    <x v="345"/>
    <x v="1"/>
    <x v="1"/>
    <x v="11"/>
    <x v="1"/>
    <x v="14"/>
    <s v="PWEGPL"/>
    <s v="MSEDCL"/>
    <n v="2.5000000000000001E-2"/>
    <n v="507"/>
    <x v="318"/>
    <s v="Manual stop/TCA"/>
    <d v="1899-12-30T00:31:00"/>
    <d v="1899-12-30T00:31:00"/>
    <d v="1899-12-30T01:01:00"/>
    <n v="0"/>
    <n v="0.49999999999999978"/>
    <n v="0.49999999999999978"/>
    <s v="Manually stopped for collecting the vibration data due to abnormal sound from generator DE and NDE bearing"/>
    <s v="Close"/>
    <n v="1.2499999999999995E-2"/>
    <s v="G35"/>
    <n v="57.166666666666636"/>
    <s v="None"/>
    <s v="WTG Unscheduled Maintenance"/>
    <n v="2744"/>
    <n v="57.166666666666636"/>
    <m/>
    <m/>
    <m/>
    <m/>
  </r>
  <r>
    <n v="2130"/>
    <x v="345"/>
    <x v="1"/>
    <x v="1"/>
    <x v="11"/>
    <x v="1"/>
    <x v="11"/>
    <s v="PWEGPL"/>
    <s v="MSEDCL"/>
    <n v="2.5000000000000001E-2"/>
    <n v="507"/>
    <x v="318"/>
    <s v="Manual stop/TCA"/>
    <d v="1899-12-30T01:18:00"/>
    <d v="1899-12-30T01:18:00"/>
    <d v="1899-12-30T01:46:00"/>
    <n v="0"/>
    <n v="0.46666666666666667"/>
    <n v="0.46666666666666667"/>
    <s v="Manually stopped for collecting the vibration data due to abnormal sound from generator DE and NDE bearing"/>
    <s v="Close"/>
    <n v="1.1666666666666667E-2"/>
    <s v="G31"/>
    <n v="54.988888888888887"/>
    <s v="None"/>
    <s v="WTG Unscheduled Maintenance"/>
    <n v="2828"/>
    <n v="54.988888888888887"/>
    <m/>
    <m/>
    <m/>
    <m/>
  </r>
  <r>
    <n v="2131"/>
    <x v="345"/>
    <x v="1"/>
    <x v="1"/>
    <x v="11"/>
    <x v="1"/>
    <x v="38"/>
    <s v="PWEGPL"/>
    <s v="MSEDCL"/>
    <n v="2.5000000000000001E-2"/>
    <n v="507"/>
    <x v="318"/>
    <s v="BD"/>
    <d v="1899-12-30T15:14:00"/>
    <d v="1899-12-30T15:14:00"/>
    <d v="1899-12-30T16:56:00"/>
    <n v="0"/>
    <n v="1.700000000000002"/>
    <n v="1.700000000000002"/>
    <s v="generator cooling motor replaced and restored"/>
    <s v="Close"/>
    <n v="4.2500000000000052E-2"/>
    <s v="G19"/>
    <n v="506.03333333333393"/>
    <s v="None"/>
    <s v="WTG Breakdown Maintenance"/>
    <n v="7144"/>
    <n v="506.03333333333393"/>
    <m/>
    <m/>
    <m/>
    <m/>
  </r>
  <r>
    <n v="2132"/>
    <x v="346"/>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439.609722222222"/>
    <s v="None"/>
    <s v="WTG Unscheduled Maintenance"/>
    <n v="3442"/>
    <n v="3439.609722222222"/>
    <m/>
    <m/>
    <m/>
    <m/>
  </r>
  <r>
    <n v="2133"/>
    <x v="347"/>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267.4243055555557"/>
    <s v="None"/>
    <s v="WTG Unscheduled Maintenance"/>
    <n v="2269"/>
    <n v="2267.4243055555557"/>
    <m/>
    <m/>
    <m/>
    <m/>
  </r>
  <r>
    <n v="2134"/>
    <x v="347"/>
    <x v="1"/>
    <x v="1"/>
    <x v="11"/>
    <x v="1"/>
    <x v="27"/>
    <s v="PWEGPL"/>
    <s v="MSEDCL"/>
    <n v="2.5000000000000001E-2"/>
    <n v="203"/>
    <x v="290"/>
    <s v="BD"/>
    <d v="1899-12-30T15:10:00"/>
    <d v="1899-12-30T15:34:00"/>
    <d v="1899-12-30T20:10:00"/>
    <n v="0.40000000000000124"/>
    <n v="4.5999999999999996"/>
    <n v="5.0000000000000009"/>
    <s v="Hydraulic main accumulator found failure then replaced and restored"/>
    <s v="Close"/>
    <n v="0.12500000000000003"/>
    <s v="G12"/>
    <n v="301.66666666666674"/>
    <s v="None"/>
    <s v="WTG Breakdown Maintenance"/>
    <n v="1448"/>
    <n v="301.66666666666674"/>
    <m/>
    <m/>
    <m/>
    <m/>
  </r>
  <r>
    <n v="2135"/>
    <x v="347"/>
    <x v="1"/>
    <x v="1"/>
    <x v="11"/>
    <x v="1"/>
    <x v="13"/>
    <s v="PWEGPL"/>
    <s v="MSEDCL"/>
    <n v="2.5000000000000001E-2"/>
    <n v="507"/>
    <x v="318"/>
    <s v="BD"/>
    <d v="1899-12-30T11:28:00"/>
    <d v="1899-12-30T11:28:00"/>
    <d v="1899-12-30T12:48:00"/>
    <n v="0"/>
    <n v="1.3333333333333326"/>
    <n v="1.3333333333333326"/>
    <s v="Manually stopped for waer brush generator warning rectification work checked and found limit switch failure then replaced and restored"/>
    <s v="Close"/>
    <n v="3.3333333333333319E-2"/>
    <s v="G34"/>
    <n v="67.166666666666629"/>
    <s v="None"/>
    <s v="WTG Breakdown Maintenance"/>
    <n v="1209"/>
    <n v="67.166666666666629"/>
    <m/>
    <m/>
    <m/>
    <m/>
  </r>
  <r>
    <n v="2136"/>
    <x v="348"/>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92.65763888888893"/>
    <s v="None"/>
    <s v="WTG Unscheduled Maintenance"/>
    <n v="493"/>
    <n v="492.65763888888893"/>
    <m/>
    <m/>
    <m/>
    <m/>
  </r>
  <r>
    <n v="2137"/>
    <x v="348"/>
    <x v="1"/>
    <x v="1"/>
    <x v="11"/>
    <x v="1"/>
    <x v="22"/>
    <s v="PWEGPL"/>
    <s v="MSEDCL"/>
    <n v="2.5000000000000001E-2"/>
    <s v="CE100001"/>
    <x v="288"/>
    <s v="BD"/>
    <d v="1899-12-30T10:57:00"/>
    <d v="1899-12-30T10:57:00"/>
    <d v="1899-12-30T20:11:00"/>
    <n v="0"/>
    <n v="9.2333333333333343"/>
    <n v="9.2333333333333343"/>
    <s v="Blade A potch seal replaced and restored"/>
    <s v="Close"/>
    <n v="0.23083333333333336"/>
    <s v="G06"/>
    <n v="270.07500000000005"/>
    <s v="None"/>
    <s v="WTG Unscheduled Maintenance"/>
    <n v="702"/>
    <n v="270.07500000000005"/>
    <m/>
    <m/>
    <m/>
    <m/>
  </r>
  <r>
    <n v="2138"/>
    <x v="348"/>
    <x v="1"/>
    <x v="1"/>
    <x v="11"/>
    <x v="1"/>
    <x v="35"/>
    <s v="PWEGPL"/>
    <s v="MSEDCL"/>
    <n v="2.5000000000000001E-2"/>
    <n v="201"/>
    <x v="328"/>
    <s v="BD"/>
    <d v="1899-12-30T09:15:00"/>
    <d v="1899-12-30T10:26:00"/>
    <d v="1899-12-30T13:52:00"/>
    <n v="1.1833333333333331"/>
    <n v="3.4333333333333345"/>
    <n v="4.6166666666666671"/>
    <s v="Checked pressure leakage in hydraulic system and found pressure leakages from Blade B proportional value then interchanged with another blade and then arrested the pressure leakage"/>
    <s v="Close"/>
    <n v="0.11541666666666668"/>
    <s v="G25"/>
    <n v="102.52847222222223"/>
    <s v="None"/>
    <s v="WTG Breakdown Maintenance"/>
    <n v="533"/>
    <n v="102.52847222222223"/>
    <m/>
    <m/>
    <m/>
    <m/>
  </r>
  <r>
    <n v="2139"/>
    <x v="348"/>
    <x v="1"/>
    <x v="1"/>
    <x v="11"/>
    <x v="1"/>
    <x v="23"/>
    <s v="PWEGPL"/>
    <s v="MSEDCL"/>
    <n v="2.5000000000000001E-2"/>
    <n v="813"/>
    <x v="376"/>
    <s v="BD"/>
    <d v="1899-12-30T18:47:00"/>
    <d v="1899-12-30T19:50:00"/>
    <d v="1899-12-30T20:04:00"/>
    <n v="1.0499999999999963"/>
    <n v="0.23333333333333517"/>
    <n v="1.2833333333333314"/>
    <s v="Reset and restored "/>
    <s v="Close"/>
    <n v="3.208333333333329E-2"/>
    <s v="G06"/>
    <n v="37.537499999999945"/>
    <s v="None"/>
    <s v="WTG Breakdown Maintenance"/>
    <n v="702"/>
    <n v="37.537499999999945"/>
    <m/>
    <m/>
    <m/>
    <m/>
  </r>
  <r>
    <n v="2140"/>
    <x v="348"/>
    <x v="1"/>
    <x v="1"/>
    <x v="11"/>
    <x v="1"/>
    <x v="37"/>
    <s v="PWEGPL"/>
    <s v="MSEDCL"/>
    <n v="2.5000000000000001E-2"/>
    <n v="213"/>
    <x v="397"/>
    <s v="BD"/>
    <d v="1899-12-30T16:01:00"/>
    <d v="1899-12-30T16:58:00"/>
    <d v="1899-12-30T17:56:00"/>
    <n v="0.94999999999999929"/>
    <n v="0.96666666666666856"/>
    <n v="1.9166666666666679"/>
    <s v="Found MPCB tripped condition then checked motor and contactors found contactor failure KM280 then replaced with new one and restored"/>
    <s v="Close"/>
    <n v="4.7916666666666698E-2"/>
    <s v="G17"/>
    <n v="71.076388888888943"/>
    <s v="None"/>
    <s v="WTG Breakdown Maintenance"/>
    <n v="890"/>
    <n v="71.076388888888943"/>
    <m/>
    <m/>
    <m/>
    <m/>
  </r>
  <r>
    <n v="2141"/>
    <x v="34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386.0368055555555"/>
    <s v="None"/>
    <s v="WTG Unscheduled Maintenance"/>
    <n v="1387"/>
    <n v="1386.0368055555555"/>
    <m/>
    <m/>
    <m/>
    <m/>
  </r>
  <r>
    <n v="2142"/>
    <x v="349"/>
    <x v="1"/>
    <x v="1"/>
    <x v="11"/>
    <x v="1"/>
    <x v="20"/>
    <s v="PWEGPL"/>
    <s v="MSEDCL"/>
    <n v="2.5000000000000001E-2"/>
    <n v="412"/>
    <x v="336"/>
    <s v="BD"/>
    <d v="1899-12-30T11:49:00"/>
    <d v="1899-12-30T11:49:00"/>
    <d v="1899-12-30T13:25:00"/>
    <n v="0"/>
    <n v="1.600000000000001"/>
    <n v="1.600000000000001"/>
    <s v="Gearbos oil cooling rediator motor replaced and restored"/>
    <s v="Close"/>
    <n v="4.0000000000000029E-2"/>
    <s v="G07"/>
    <n v="101.20000000000006"/>
    <s v="None"/>
    <s v="WTG Breakdown Maintenance"/>
    <n v="1518"/>
    <n v="101.20000000000006"/>
    <m/>
    <m/>
    <m/>
    <m/>
  </r>
  <r>
    <n v="2143"/>
    <x v="349"/>
    <x v="1"/>
    <x v="1"/>
    <x v="11"/>
    <x v="1"/>
    <x v="23"/>
    <s v="PWEGPL"/>
    <s v="MSEDCL"/>
    <n v="2.5000000000000001E-2"/>
    <n v="813"/>
    <x v="376"/>
    <s v="BD"/>
    <d v="1899-12-30T11:52:00"/>
    <d v="1899-12-30T11:52:00"/>
    <d v="1899-12-30T13:48:00"/>
    <n v="0"/>
    <n v="1.9333333333333345"/>
    <n v="1.9333333333333345"/>
    <s v="Checked and related curcuit and fouind accumulator pressure switch connection loose then proper connected and restored"/>
    <s v="Close"/>
    <n v="4.8333333333333367E-2"/>
    <s v="G03"/>
    <n v="102.54722222222227"/>
    <s v="None"/>
    <s v="WTG Breakdown Maintenance"/>
    <n v="1273"/>
    <n v="102.54722222222227"/>
    <m/>
    <m/>
    <m/>
    <m/>
  </r>
  <r>
    <n v="2144"/>
    <x v="349"/>
    <x v="1"/>
    <x v="1"/>
    <x v="11"/>
    <x v="1"/>
    <x v="39"/>
    <s v="PWEGPL"/>
    <s v="MSEDCL"/>
    <n v="2.5000000000000001E-2"/>
    <n v="205"/>
    <x v="312"/>
    <s v="BD"/>
    <d v="1899-12-30T11:31:00"/>
    <d v="1899-12-30T11:31:00"/>
    <d v="1899-12-30T12:46:00"/>
    <n v="0"/>
    <n v="1.2499999999999996"/>
    <n v="1.2499999999999996"/>
    <s v="Oil leakage inspected and found no anynoil leak then 10ltr oil top up and restored"/>
    <s v="Close"/>
    <n v="3.124999999999999E-2"/>
    <s v="G14"/>
    <n v="75.416666666666643"/>
    <s v="None"/>
    <s v="WTG Breakdown Maintenance"/>
    <n v="1448"/>
    <n v="75.416666666666643"/>
    <m/>
    <m/>
    <m/>
    <m/>
  </r>
  <r>
    <n v="2145"/>
    <x v="350"/>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472.5868055555557"/>
    <s v="None"/>
    <s v="WTG Unscheduled Maintenance"/>
    <n v="3475"/>
    <n v="3472.5868055555557"/>
    <m/>
    <m/>
    <m/>
    <m/>
  </r>
  <r>
    <n v="2146"/>
    <x v="350"/>
    <x v="1"/>
    <x v="1"/>
    <x v="12"/>
    <x v="1"/>
    <x v="19"/>
    <s v="PWEGPL"/>
    <s v="MSEDCL"/>
    <n v="2.5000000000000001E-2"/>
    <n v="537"/>
    <x v="404"/>
    <s v="BD"/>
    <d v="1899-12-30T11:00:00"/>
    <d v="1899-12-30T11:00:00"/>
    <d v="1899-12-30T12:28:00"/>
    <n v="0"/>
    <n v="1.4666666666666681"/>
    <n v="1.4666666666666681"/>
    <s v="Manually stopped for waer brush generator warning rectification work checked and found limit switch failure then replaced and restored"/>
    <s v="Close"/>
    <n v="3.6666666666666702E-2"/>
    <s v="G19"/>
    <n v="208.45000000000022"/>
    <s v="None"/>
    <s v="WTG Breakdown Maintenance"/>
    <n v="3411"/>
    <n v="208.45000000000022"/>
    <m/>
    <m/>
    <m/>
    <m/>
  </r>
  <r>
    <n v="2147"/>
    <x v="350"/>
    <x v="1"/>
    <x v="1"/>
    <x v="12"/>
    <x v="1"/>
    <x v="28"/>
    <s v="PWEGPL"/>
    <s v="MSEDCL"/>
    <n v="2.5000000000000001E-2"/>
    <n v="5222"/>
    <x v="315"/>
    <s v="BD"/>
    <d v="1899-12-30T17:27:00"/>
    <d v="1899-12-30T18:00:00"/>
    <d v="1899-12-30T19:09:00"/>
    <n v="0.55000000000000071"/>
    <n v="1.1499999999999986"/>
    <n v="1.6999999999999993"/>
    <s v="Checked related curcuit and found encoder power supply cable damaged and then corrected and restored"/>
    <s v="Close"/>
    <n v="4.2499999999999982E-2"/>
    <s v="G11"/>
    <n v="188.27499999999992"/>
    <s v="None"/>
    <s v="WTG Breakdown Maintenance"/>
    <n v="2658"/>
    <n v="188.27499999999992"/>
    <m/>
    <m/>
    <m/>
    <m/>
  </r>
  <r>
    <n v="2148"/>
    <x v="350"/>
    <x v="1"/>
    <x v="1"/>
    <x v="12"/>
    <x v="1"/>
    <x v="22"/>
    <s v="PWEGPL"/>
    <s v="MSEDCL"/>
    <n v="2.5000000000000001E-2"/>
    <n v="5260"/>
    <x v="373"/>
    <s v="BD"/>
    <d v="1899-12-30T22:46:00"/>
    <d v="1899-12-30T23:33:00"/>
    <d v="1899-12-30T23:59:00"/>
    <n v="0.78333333333333588"/>
    <n v="0.43333333333333179"/>
    <n v="1.2166666666666677"/>
    <s v="During troubleshooting found panel cooling fan protection curcuit breaker tripped condition then physically checked all cooling fan found ok then manually switch ON MCB and restored"/>
    <s v="Open"/>
    <n v="3.0416666666666693E-2"/>
    <s v="G04"/>
    <n v="147.97708333333347"/>
    <s v="None"/>
    <s v="WTG Breakdown Maintenance"/>
    <n v="2919"/>
    <n v="147.97708333333347"/>
    <m/>
    <m/>
    <m/>
    <m/>
  </r>
  <r>
    <n v="2149"/>
    <x v="351"/>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025.5923611111111"/>
    <s v="None"/>
    <s v="WTG Unscheduled Maintenance"/>
    <n v="2027"/>
    <n v="2025.5923611111111"/>
    <m/>
    <m/>
    <m/>
    <m/>
  </r>
  <r>
    <n v="2150"/>
    <x v="351"/>
    <x v="1"/>
    <x v="1"/>
    <x v="12"/>
    <x v="1"/>
    <x v="35"/>
    <s v="PWEGPL"/>
    <s v="MSEDCL"/>
    <n v="2.5000000000000001E-2"/>
    <n v="203"/>
    <x v="290"/>
    <s v="BD"/>
    <d v="1899-12-30T14:06:00"/>
    <d v="1899-12-30T14:39:00"/>
    <d v="1899-12-30T16:10:00"/>
    <n v="0.55000000000000071"/>
    <n v="1.5166666666666666"/>
    <n v="2.0666666666666673"/>
    <s v="Oil top up and restored the WTG"/>
    <s v="Close"/>
    <n v="5.1666666666666687E-2"/>
    <s v="G25"/>
    <n v="217.51666666666674"/>
    <s v="None"/>
    <s v="WTG Breakdown Maintenance"/>
    <n v="2526"/>
    <n v="217.51666666666674"/>
    <m/>
    <m/>
    <m/>
    <m/>
  </r>
  <r>
    <n v="2151"/>
    <x v="351"/>
    <x v="1"/>
    <x v="1"/>
    <x v="12"/>
    <x v="1"/>
    <x v="22"/>
    <s v="PWEGPL"/>
    <s v="MSEDCL"/>
    <n v="2.5000000000000001E-2"/>
    <n v="5260"/>
    <x v="373"/>
    <s v="BD"/>
    <d v="1899-12-30T00:00:00"/>
    <d v="1899-12-30T00:00:00"/>
    <d v="1899-12-30T00:27:00"/>
    <n v="0"/>
    <n v="0.44999999999999996"/>
    <n v="0.44999999999999996"/>
    <s v="During troubleshooting found panel cooling fan protection curcuit breaker tripped condition then physically checked all cooling fan found ok then manually switch ON MCB and restored"/>
    <s v="Close"/>
    <n v="1.125E-2"/>
    <s v="G04"/>
    <n v="64.987499999999983"/>
    <s v="None"/>
    <s v="WTG Breakdown Maintenance"/>
    <n v="3466"/>
    <n v="64.987499999999983"/>
    <m/>
    <m/>
    <m/>
    <m/>
  </r>
  <r>
    <n v="2152"/>
    <x v="352"/>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236.4458333333332"/>
    <s v="None"/>
    <s v="WTG Unscheduled Maintenance"/>
    <n v="2238"/>
    <n v="2236.4458333333332"/>
    <m/>
    <m/>
    <m/>
    <m/>
  </r>
  <r>
    <n v="2153"/>
    <x v="352"/>
    <x v="1"/>
    <x v="1"/>
    <x v="12"/>
    <x v="1"/>
    <x v="18"/>
    <s v="PWEGPL"/>
    <s v="MSEDCL"/>
    <n v="2.5000000000000001E-2"/>
    <n v="221"/>
    <x v="405"/>
    <s v="BD"/>
    <d v="1899-12-30T10:46:00"/>
    <d v="1899-12-30T10:46:00"/>
    <d v="1899-12-30T15:32:00"/>
    <n v="0"/>
    <n v="4.7666666666666675"/>
    <n v="4.7666666666666675"/>
    <s v="Checked and found hydraulic coioling motor spider damaged then replaced and restored"/>
    <s v="Close"/>
    <n v="0.1191666666666667"/>
    <s v="G20"/>
    <n v="930.09583333333353"/>
    <s v="None"/>
    <s v="WTG Breakdown Maintenance"/>
    <n v="4683"/>
    <n v="930.09583333333353"/>
    <m/>
    <m/>
    <m/>
    <m/>
  </r>
  <r>
    <n v="2154"/>
    <x v="352"/>
    <x v="1"/>
    <x v="1"/>
    <x v="12"/>
    <x v="1"/>
    <x v="0"/>
    <s v="PWEGPL"/>
    <s v="MSEDCL"/>
    <n v="2.5000000000000001E-2"/>
    <s v="CE100018"/>
    <x v="406"/>
    <s v="PM-SF6"/>
    <d v="1899-12-30T13:05:00"/>
    <d v="1899-12-30T13:05:00"/>
    <d v="1899-12-30T19:35:00"/>
    <n v="0"/>
    <n v="6.4999999999999982"/>
    <n v="6.4999999999999982"/>
    <s v="SF6 breaker maintenace done and restored"/>
    <s v="Close"/>
    <n v="0.16249999999999998"/>
    <s v="G16"/>
    <n v="1253.4166666666663"/>
    <s v="None"/>
    <s v="WTG Scheduled Maintenance"/>
    <n v="4628"/>
    <n v="1253.4166666666663"/>
    <m/>
    <m/>
    <m/>
    <m/>
  </r>
  <r>
    <n v="2155"/>
    <x v="352"/>
    <x v="1"/>
    <x v="1"/>
    <x v="12"/>
    <x v="1"/>
    <x v="7"/>
    <s v="PWEGPL"/>
    <s v="MSEDCL"/>
    <n v="2.5000000000000001E-2"/>
    <n v="205"/>
    <x v="312"/>
    <s v="BD"/>
    <d v="1899-12-30T13:36:00"/>
    <d v="1899-12-30T14:59:00"/>
    <d v="1899-12-30T16:14:00"/>
    <n v="1.3833333333333337"/>
    <n v="1.2500000000000009"/>
    <n v="2.6333333333333346"/>
    <s v="Oil top up and checked leakage and found Blade c &amp; Blade B pitch seal leakage"/>
    <s v="Close"/>
    <n v="6.5833333333333369E-2"/>
    <s v="G39"/>
    <n v="269.58750000000015"/>
    <s v="None"/>
    <s v="WTG Breakdown Maintenance"/>
    <n v="2457"/>
    <n v="269.58750000000015"/>
    <m/>
    <m/>
    <m/>
    <m/>
  </r>
  <r>
    <n v="2156"/>
    <x v="352"/>
    <x v="1"/>
    <x v="1"/>
    <x v="12"/>
    <x v="1"/>
    <x v="25"/>
    <s v="PWEGPL"/>
    <s v="MSEDCL"/>
    <n v="2.5000000000000001E-2"/>
    <s v="CE100008"/>
    <x v="400"/>
    <s v="General work"/>
    <d v="1899-12-30T11:46:00"/>
    <d v="1899-12-30T11:46:00"/>
    <d v="1899-12-30T12:08:00"/>
    <n v="0"/>
    <n v="0.36666666666666536"/>
    <n v="0.36666666666666536"/>
    <s v="Checked Power curve deviation related and updated PLC software and restored"/>
    <s v="Close"/>
    <n v="9.1666666666666338E-3"/>
    <s v="G03"/>
    <n v="52.326388888888708"/>
    <s v="None"/>
    <s v="WTG Breakdown Maintenance"/>
    <n v="3425"/>
    <n v="52.326388888888708"/>
    <m/>
    <m/>
    <m/>
    <m/>
  </r>
  <r>
    <n v="2157"/>
    <x v="353"/>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842.0250000000001"/>
    <s v="None"/>
    <s v="WTG Unscheduled Maintenance"/>
    <n v="2844"/>
    <n v="2842.0250000000001"/>
    <m/>
    <m/>
    <m/>
    <m/>
  </r>
  <r>
    <n v="2158"/>
    <x v="353"/>
    <x v="1"/>
    <x v="1"/>
    <x v="12"/>
    <x v="1"/>
    <x v="27"/>
    <s v="PWEGPL"/>
    <s v="MSEDCL"/>
    <n v="2.5000000000000001E-2"/>
    <s v="CE100008"/>
    <x v="400"/>
    <s v="BD"/>
    <d v="1899-12-30T10:16:00"/>
    <d v="1899-12-30T10:16:00"/>
    <d v="1899-12-30T11:14:00"/>
    <n v="0"/>
    <n v="0.96666666666666456"/>
    <n v="0.96666666666666456"/>
    <s v="Turbine is running condition but not generating the generation so manually stoped inspected the turbine and we noticed in hydraulic system yawbreak was malfuctining then corrected and restored"/>
    <s v="Close"/>
    <n v="2.4166666666666614E-2"/>
    <s v="G12"/>
    <n v="178.43055555555517"/>
    <s v="None"/>
    <s v="WTG Breakdown Maintenance"/>
    <n v="4430"/>
    <n v="178.43055555555517"/>
    <m/>
    <m/>
    <m/>
    <m/>
  </r>
  <r>
    <n v="2159"/>
    <x v="353"/>
    <x v="1"/>
    <x v="1"/>
    <x v="12"/>
    <x v="1"/>
    <x v="37"/>
    <s v="PWEGPL"/>
    <s v="MSEDCL"/>
    <n v="2.5000000000000001E-2"/>
    <s v="CE100018"/>
    <x v="406"/>
    <s v="PM-SF6"/>
    <d v="1899-12-30T11:20:00"/>
    <d v="1899-12-30T11:20:00"/>
    <d v="1899-12-30T15:53:00"/>
    <n v="0"/>
    <n v="4.5499999999999989"/>
    <n v="4.5499999999999989"/>
    <s v="SF6 breaker maintenace done and restored"/>
    <s v="Close"/>
    <n v="0.11374999999999998"/>
    <s v="G17"/>
    <n v="677.00208333333308"/>
    <s v="None"/>
    <s v="WTG Scheduled Maintenance"/>
    <n v="3571"/>
    <n v="677.00208333333308"/>
    <m/>
    <m/>
    <m/>
    <m/>
  </r>
  <r>
    <n v="2160"/>
    <x v="353"/>
    <x v="1"/>
    <x v="1"/>
    <x v="12"/>
    <x v="1"/>
    <x v="33"/>
    <s v="PWEGPL"/>
    <s v="MSEDCL"/>
    <n v="2.5000000000000001E-2"/>
    <n v="412"/>
    <x v="336"/>
    <s v="BD"/>
    <d v="1899-12-30T12:13:00"/>
    <d v="1899-12-30T12:13:00"/>
    <d v="1899-12-30T14:29:00"/>
    <n v="0"/>
    <n v="2.2666666666666666"/>
    <n v="2.2666666666666666"/>
    <s v="Gearbox rediator cooling fan replaced and axialary filter motor replaced and restored"/>
    <s v="Close"/>
    <n v="5.6666666666666671E-2"/>
    <s v="G22"/>
    <n v="268.59999999999997"/>
    <s v="None"/>
    <s v="WTG Breakdown Maintenance"/>
    <n v="2844"/>
    <n v="268.59999999999997"/>
    <m/>
    <m/>
    <m/>
    <m/>
  </r>
  <r>
    <n v="2161"/>
    <x v="354"/>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326.6881944444449"/>
    <s v="None"/>
    <s v="WTG Unscheduled Maintenance"/>
    <n v="3329"/>
    <n v="3326.6881944444449"/>
    <m/>
    <m/>
    <m/>
    <m/>
  </r>
  <r>
    <n v="2162"/>
    <x v="354"/>
    <x v="1"/>
    <x v="1"/>
    <x v="12"/>
    <x v="1"/>
    <x v="34"/>
    <s v="PWEGPL"/>
    <s v="MSEDCL"/>
    <n v="2.5000000000000001E-2"/>
    <s v="CE100008"/>
    <x v="400"/>
    <s v="Manual stop/TCA"/>
    <d v="1899-12-30T11:07:00"/>
    <d v="1899-12-30T11:07:00"/>
    <d v="1899-12-30T16:26:00"/>
    <n v="0"/>
    <n v="5.3166666666666664"/>
    <n v="5.3166666666666664"/>
    <s v="Nose cone hardwares replaced against TCA noticed point and restored"/>
    <s v="Close"/>
    <n v="0.13291666666666666"/>
    <s v="G21"/>
    <n v="737.46597222222226"/>
    <s v="None"/>
    <s v="WTG Breakdown Maintenance"/>
    <n v="3329"/>
    <n v="737.46597222222226"/>
    <m/>
    <m/>
    <m/>
    <m/>
  </r>
  <r>
    <n v="2163"/>
    <x v="354"/>
    <x v="1"/>
    <x v="1"/>
    <x v="12"/>
    <x v="1"/>
    <x v="22"/>
    <s v="PWEGPL"/>
    <s v="MSEDCL"/>
    <n v="2.5000000000000001E-2"/>
    <n v="537"/>
    <x v="404"/>
    <s v="BD"/>
    <d v="1899-12-30T15:09:00"/>
    <d v="1899-12-30T15:09:00"/>
    <d v="1899-12-30T16:50:00"/>
    <n v="0"/>
    <n v="1.6833333333333327"/>
    <n v="1.6833333333333327"/>
    <s v="Waer brush warning rectified with rep;lacement of limit switch and restored"/>
    <s v="Close"/>
    <n v="4.208333333333332E-2"/>
    <s v="G04"/>
    <n v="201.15833333333325"/>
    <s v="None"/>
    <s v="WTG Breakdown Maintenance"/>
    <n v="2868"/>
    <n v="201.15833333333325"/>
    <m/>
    <m/>
    <m/>
    <m/>
  </r>
  <r>
    <n v="2164"/>
    <x v="355"/>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52.40763888888887"/>
    <s v="None"/>
    <s v="WTG Unscheduled Maintenance"/>
    <n v="853"/>
    <n v="852.40763888888887"/>
    <m/>
    <m/>
    <m/>
    <m/>
  </r>
  <r>
    <n v="2165"/>
    <x v="355"/>
    <x v="1"/>
    <x v="1"/>
    <x v="12"/>
    <x v="1"/>
    <x v="12"/>
    <s v="PWEGPL"/>
    <s v="MSEDCL"/>
    <n v="2.5000000000000001E-2"/>
    <s v="CE100008"/>
    <x v="400"/>
    <s v="Manual stop/TCA"/>
    <d v="1899-12-30T10:54:00"/>
    <d v="1899-12-30T10:54:00"/>
    <d v="1899-12-30T17:03:00"/>
    <n v="0"/>
    <n v="6.15"/>
    <n v="6.15"/>
    <s v="Nose cone hardwares replaced against TCA noticed point and restored"/>
    <s v="Close"/>
    <n v="0.15375000000000003"/>
    <s v="G30"/>
    <n v="179.88750000000002"/>
    <s v="None"/>
    <s v="WTG Unscheduled Maintenance"/>
    <n v="702"/>
    <n v="179.88750000000002"/>
    <m/>
    <m/>
    <m/>
    <m/>
  </r>
  <r>
    <n v="2166"/>
    <x v="355"/>
    <x v="1"/>
    <x v="1"/>
    <x v="12"/>
    <x v="1"/>
    <x v="3"/>
    <s v="PWEGPL"/>
    <s v="MSEDCL"/>
    <n v="2.5000000000000001E-2"/>
    <n v="207"/>
    <x v="309"/>
    <s v="BD"/>
    <d v="1899-12-30T11:31:00"/>
    <d v="1899-12-30T11:31:00"/>
    <d v="1899-12-30T13:14:00"/>
    <n v="0"/>
    <n v="1.7166666666666646"/>
    <n v="1.7166666666666646"/>
    <s v="Checked hydraulic oil cooling system found motor and all working condition and then checked modules found ok. Temp sensor verified found dispacement then corrected and restored"/>
    <s v="Close"/>
    <n v="4.2916666666666617E-2"/>
    <s v="G26"/>
    <n v="53.288194444444379"/>
    <s v="None"/>
    <s v="WTG Breakdown Maintenance"/>
    <n v="745"/>
    <n v="53.288194444444379"/>
    <m/>
    <m/>
    <m/>
    <m/>
  </r>
  <r>
    <n v="2167"/>
    <x v="355"/>
    <x v="1"/>
    <x v="1"/>
    <x v="12"/>
    <x v="1"/>
    <x v="21"/>
    <s v="PWEGPL"/>
    <s v="MSEDCL"/>
    <n v="2.5000000000000001E-2"/>
    <n v="412"/>
    <x v="336"/>
    <s v="BD"/>
    <d v="1899-12-30T11:35:00"/>
    <d v="1899-12-30T11:35:00"/>
    <d v="1899-12-30T13:39:00"/>
    <n v="0"/>
    <n v="2.066666666666666"/>
    <n v="2.066666666666666"/>
    <s v="Gear box rediator cooling motor found failure then replaced serviced one and restored"/>
    <s v="Close"/>
    <n v="5.1666666666666652E-2"/>
    <s v="G01"/>
    <n v="79.997222222222206"/>
    <s v="None"/>
    <s v="WTG Breakdown Maintenance"/>
    <n v="929"/>
    <n v="79.997222222222206"/>
    <m/>
    <m/>
    <m/>
    <m/>
  </r>
  <r>
    <n v="2168"/>
    <x v="356"/>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784.370138888889"/>
    <s v="None"/>
    <s v="WTG Unscheduled Maintenance"/>
    <n v="3787"/>
    <n v="3784.370138888889"/>
    <m/>
    <m/>
    <m/>
    <m/>
  </r>
  <r>
    <n v="2169"/>
    <x v="356"/>
    <x v="1"/>
    <x v="1"/>
    <x v="12"/>
    <x v="1"/>
    <x v="19"/>
    <s v="PWEGPL"/>
    <s v="MSEDCL"/>
    <n v="2.5000000000000001E-2"/>
    <n v="537"/>
    <x v="404"/>
    <s v="BD"/>
    <d v="1899-12-30T10:11:00"/>
    <d v="1899-12-30T10:11:00"/>
    <d v="1899-12-30T13:32:00"/>
    <n v="0"/>
    <n v="3.35"/>
    <n v="3.35"/>
    <s v="Checked related wear brush generator warning and all generator brushes found ok duirng inspection we noticed monitoring switch failed then replaced and restored"/>
    <s v="Close"/>
    <n v="8.3750000000000005E-2"/>
    <s v="G19"/>
    <n v="735.60416666666674"/>
    <s v="None"/>
    <s v="WTG Breakdown Maintenance"/>
    <n v="5270"/>
    <n v="735.60416666666674"/>
    <m/>
    <m/>
    <m/>
    <m/>
  </r>
  <r>
    <n v="2170"/>
    <x v="356"/>
    <x v="1"/>
    <x v="1"/>
    <x v="12"/>
    <x v="1"/>
    <x v="22"/>
    <s v="PWEGPL"/>
    <s v="MSEDCL"/>
    <n v="2.5000000000000001E-2"/>
    <n v="208"/>
    <x v="366"/>
    <s v="BD"/>
    <d v="1899-12-30T00:51:00"/>
    <d v="1899-12-30T01:25:00"/>
    <d v="1899-12-30T04:38:00"/>
    <n v="0.56666666666666687"/>
    <n v="3.2166666666666659"/>
    <n v="3.7833333333333332"/>
    <s v="KM280 contactor failed found then replaced with new one and restored"/>
    <s v="Close"/>
    <n v="9.4583333333333339E-2"/>
    <s v="G04"/>
    <n v="689.03958333333333"/>
    <s v="None"/>
    <s v="WTG Breakdown Maintenance"/>
    <n v="4371"/>
    <n v="689.03958333333333"/>
    <m/>
    <m/>
    <m/>
    <m/>
  </r>
  <r>
    <n v="2171"/>
    <x v="357"/>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2496.2652777777776"/>
    <s v="None"/>
    <s v="WTG Unscheduled Maintenance"/>
    <n v="2498"/>
    <n v="2496.2652777777776"/>
    <m/>
    <m/>
    <m/>
    <m/>
  </r>
  <r>
    <n v="2172"/>
    <x v="357"/>
    <x v="1"/>
    <x v="1"/>
    <x v="12"/>
    <x v="1"/>
    <x v="5"/>
    <s v="PWEGPL"/>
    <s v="MSEDCL"/>
    <n v="2.5000000000000001E-2"/>
    <s v="CE100008"/>
    <x v="400"/>
    <s v="Manual stop/TCA"/>
    <d v="1899-12-30T12:02:00"/>
    <d v="1899-12-30T12:02:00"/>
    <d v="1899-12-30T17:38:00"/>
    <n v="0"/>
    <n v="5.5999999999999988"/>
    <n v="5.5999999999999988"/>
    <s v="Gear oil replacement work and replaced and restored"/>
    <s v="Close"/>
    <n v="0.13999999999999999"/>
    <s v="G19"/>
    <n v="806.86666666666656"/>
    <s v="None"/>
    <s v="WTG Unscheduled Maintenance"/>
    <n v="3458"/>
    <n v="806.86666666666656"/>
    <m/>
    <m/>
    <m/>
    <m/>
  </r>
  <r>
    <n v="2173"/>
    <x v="357"/>
    <x v="1"/>
    <x v="1"/>
    <x v="12"/>
    <x v="1"/>
    <x v="34"/>
    <s v="PWEGPL"/>
    <s v="MSEDCL"/>
    <n v="2.5000000000000001E-2"/>
    <n v="507"/>
    <x v="318"/>
    <s v="BD"/>
    <d v="1899-12-30T17:14:00"/>
    <d v="1899-12-30T17:14:00"/>
    <d v="1899-12-30T18:07:00"/>
    <n v="0"/>
    <n v="0.88333333333333286"/>
    <n v="0.88333333333333286"/>
    <s v="Generator cooling fan activation and deactiovation relay found failure then replaced and restored"/>
    <s v="Close"/>
    <n v="2.2083333333333323E-2"/>
    <s v="G21"/>
    <n v="91.940277777777723"/>
    <s v="None"/>
    <s v="WTG Breakdown Maintenance"/>
    <n v="2498"/>
    <n v="91.940277777777723"/>
    <m/>
    <m/>
    <m/>
    <m/>
  </r>
  <r>
    <n v="2174"/>
    <x v="358"/>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384.6479166666668"/>
    <s v="None"/>
    <s v="WTG Unscheduled Maintenance"/>
    <n v="3387"/>
    <n v="3384.6479166666668"/>
    <m/>
    <m/>
    <m/>
    <m/>
  </r>
  <r>
    <n v="2175"/>
    <x v="358"/>
    <x v="1"/>
    <x v="1"/>
    <x v="12"/>
    <x v="1"/>
    <x v="12"/>
    <s v="PWEGPL"/>
    <s v="MSEDCL"/>
    <n v="2.5000000000000001E-2"/>
    <s v="CE100008"/>
    <x v="400"/>
    <s v="Manual stop/TCA"/>
    <d v="1899-12-30T11:18:00"/>
    <d v="1899-12-30T11:18:00"/>
    <d v="1899-12-30T17:04:00"/>
    <n v="0"/>
    <n v="5.7666666666666657"/>
    <n v="5.7666666666666657"/>
    <s v="Gear oil replacement work and replaced and restored"/>
    <s v="Close"/>
    <n v="0.14416666666666664"/>
    <s v="G30"/>
    <n v="628.08611111111099"/>
    <s v="None"/>
    <s v="WTG Unscheduled Maintenance"/>
    <n v="2614"/>
    <n v="628.08611111111099"/>
    <m/>
    <m/>
    <m/>
    <m/>
  </r>
  <r>
    <n v="2176"/>
    <x v="358"/>
    <x v="1"/>
    <x v="1"/>
    <x v="12"/>
    <x v="1"/>
    <x v="20"/>
    <s v="PWEGPL"/>
    <s v="MSEDCL"/>
    <n v="2.5000000000000001E-2"/>
    <n v="2102"/>
    <x v="320"/>
    <s v="BD"/>
    <d v="1899-12-30T20:23:00"/>
    <d v="1899-12-30T22:16:00"/>
    <d v="1899-12-30T23:59:00"/>
    <n v="1.883333333333332"/>
    <n v="1.7166666666666686"/>
    <n v="3.6000000000000005"/>
    <s v="Work under progress"/>
    <s v="Open"/>
    <n v="9.0000000000000024E-2"/>
    <s v="G07"/>
    <n v="516.00000000000011"/>
    <s v="None"/>
    <s v="WTG Breakdown Maintenance"/>
    <n v="3440"/>
    <n v="516.00000000000011"/>
    <m/>
    <m/>
    <m/>
    <m/>
  </r>
  <r>
    <n v="2177"/>
    <x v="359"/>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2411.3243055555558"/>
    <s v="None"/>
    <s v="WTG Unscheduled Maintenance"/>
    <n v="2413"/>
    <n v="2411.3243055555558"/>
    <m/>
    <m/>
    <m/>
    <m/>
  </r>
  <r>
    <n v="2178"/>
    <x v="359"/>
    <x v="1"/>
    <x v="1"/>
    <x v="12"/>
    <x v="1"/>
    <x v="20"/>
    <s v="PWEGPL"/>
    <s v="MSEDCL"/>
    <n v="2.5000000000000001E-2"/>
    <n v="2102"/>
    <x v="320"/>
    <s v="BD"/>
    <d v="1899-12-30T00:00:00"/>
    <d v="1899-12-30T00:00:00"/>
    <d v="1899-12-30T03:51:00"/>
    <n v="0"/>
    <n v="3.8500000000000005"/>
    <n v="3.8500000000000005"/>
    <s v="Check and found hub AI module failure so replace and start wtg."/>
    <s v="Close"/>
    <n v="9.6250000000000016E-2"/>
    <s v="G07"/>
    <n v="587.44583333333344"/>
    <s v="None"/>
    <s v="WTG Breakdown Maintenance"/>
    <n v="3662"/>
    <n v="587.44583333333344"/>
    <m/>
    <m/>
    <m/>
    <m/>
  </r>
  <r>
    <n v="2179"/>
    <x v="359"/>
    <x v="1"/>
    <x v="1"/>
    <x v="12"/>
    <x v="1"/>
    <x v="25"/>
    <s v="PWEGPL"/>
    <s v="MSEDCL"/>
    <n v="2.5000000000000001E-2"/>
    <s v="CE100001"/>
    <x v="288"/>
    <s v="Manual stop/TCA"/>
    <d v="1899-12-30T08:54:00"/>
    <d v="1899-12-30T08:54:00"/>
    <d v="1899-12-30T23:59:00"/>
    <n v="0"/>
    <n v="15.083333333333332"/>
    <n v="15.083333333333332"/>
    <s v="Work under progress"/>
    <s v="Open"/>
    <n v="0.37708333333333333"/>
    <s v="G03"/>
    <n v="2126.75"/>
    <s v="None"/>
    <s v="WTG Breakdown Maintenance"/>
    <n v="3384"/>
    <n v="2126.75"/>
    <m/>
    <m/>
    <m/>
    <m/>
  </r>
  <r>
    <n v="2180"/>
    <x v="359"/>
    <x v="1"/>
    <x v="1"/>
    <x v="12"/>
    <x v="1"/>
    <x v="0"/>
    <s v="PWEGPL"/>
    <s v="MSEDCL"/>
    <n v="2.5000000000000001E-2"/>
    <s v="CE100008"/>
    <x v="400"/>
    <s v="Manual Stop/SEM"/>
    <d v="1899-12-30T12:49:00"/>
    <d v="1899-12-30T12:49:00"/>
    <d v="1899-12-30T14:43:00"/>
    <n v="0"/>
    <n v="1.9000000000000012"/>
    <n v="1.9000000000000012"/>
    <s v="Sem meter instalation work"/>
    <s v="Close"/>
    <n v="4.7500000000000035E-2"/>
    <s v="G16"/>
    <n v="222.69583333333347"/>
    <s v="None"/>
    <s v="WTG Unscheduled Maintenance"/>
    <n v="2813"/>
    <n v="222.69583333333347"/>
    <m/>
    <m/>
    <m/>
    <m/>
  </r>
  <r>
    <n v="2181"/>
    <x v="359"/>
    <x v="1"/>
    <x v="1"/>
    <x v="12"/>
    <x v="1"/>
    <x v="38"/>
    <s v="PWEGPL"/>
    <s v="MSEDCL"/>
    <n v="2.5000000000000001E-2"/>
    <s v="CE100008"/>
    <x v="400"/>
    <s v="Manual Stop/SEM"/>
    <d v="1899-12-30T14:54:00"/>
    <d v="1899-12-30T14:54:00"/>
    <d v="1899-12-30T15:59:00"/>
    <n v="0"/>
    <n v="1.0833333333333321"/>
    <n v="1.0833333333333321"/>
    <s v="Sem meter instalation work"/>
    <s v="Close"/>
    <n v="2.7083333333333307E-2"/>
    <s v="G16"/>
    <n v="126.9756944444443"/>
    <s v="None"/>
    <s v="WTG Unscheduled Maintenance"/>
    <n v="2813"/>
    <n v="126.9756944444443"/>
    <m/>
    <m/>
    <m/>
    <m/>
  </r>
  <r>
    <n v="2182"/>
    <x v="359"/>
    <x v="1"/>
    <x v="1"/>
    <x v="12"/>
    <x v="1"/>
    <x v="18"/>
    <s v="PWEGPL"/>
    <s v="MSEDCL"/>
    <n v="2.5000000000000001E-2"/>
    <s v="CE100008"/>
    <x v="400"/>
    <s v="Manual Stop/SEM"/>
    <d v="1899-12-30T16:11:00"/>
    <d v="1899-12-30T16:11:00"/>
    <d v="1899-12-30T17:21:00"/>
    <n v="0"/>
    <n v="1.1666666666666679"/>
    <n v="1.1666666666666679"/>
    <s v="Sem meter instalation work"/>
    <s v="Close"/>
    <n v="2.9166666666666698E-2"/>
    <s v="G20"/>
    <n v="189.53472222222243"/>
    <s v="None"/>
    <s v="WTG Unscheduled Maintenance"/>
    <n v="3899"/>
    <n v="189.53472222222243"/>
    <m/>
    <m/>
    <m/>
    <m/>
  </r>
  <r>
    <n v="2183"/>
    <x v="360"/>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131.213888888889"/>
    <s v="None"/>
    <s v="WTG Unscheduled Maintenance"/>
    <n v="1132"/>
    <n v="1131.213888888889"/>
    <m/>
    <m/>
    <m/>
    <m/>
  </r>
  <r>
    <n v="2184"/>
    <x v="360"/>
    <x v="1"/>
    <x v="1"/>
    <x v="12"/>
    <x v="1"/>
    <x v="25"/>
    <s v="PWEGPL"/>
    <s v="MSEDCL"/>
    <n v="2.5000000000000001E-2"/>
    <s v="CE100001"/>
    <x v="288"/>
    <s v="Manual stop/TCA"/>
    <d v="1899-12-30T00:00:00"/>
    <d v="1899-12-30T00:00:00"/>
    <d v="1899-12-30T23:59:00"/>
    <n v="0"/>
    <n v="23.983333333333334"/>
    <n v="23.983333333333334"/>
    <s v="Work under progress"/>
    <s v="Open"/>
    <n v="0.59958333333333336"/>
    <s v="G03"/>
    <n v="1597.8895833333333"/>
    <s v="None"/>
    <s v="WTG Breakdown Maintenance"/>
    <n v="1599"/>
    <n v="1597.8895833333333"/>
    <m/>
    <m/>
    <m/>
    <m/>
  </r>
  <r>
    <n v="2185"/>
    <x v="360"/>
    <x v="1"/>
    <x v="1"/>
    <x v="12"/>
    <x v="1"/>
    <x v="18"/>
    <s v="PWEGPL"/>
    <s v="MSEDCL"/>
    <n v="2.5000000000000001E-2"/>
    <n v="430"/>
    <x v="398"/>
    <s v="BD"/>
    <d v="1899-12-30T10:11:00"/>
    <d v="1899-12-30T10:11:00"/>
    <d v="1899-12-30T12:48:00"/>
    <n v="0"/>
    <n v="2.6166666666666667"/>
    <n v="2.6166666666666667"/>
    <s v="Checking for HU cooling motor work"/>
    <s v="Close"/>
    <n v="6.5416666666666665E-2"/>
    <s v="G18"/>
    <n v="220.23611111111111"/>
    <s v="None"/>
    <s v="WTG Breakdown Maintenance"/>
    <n v="2020"/>
    <n v="220.23611111111111"/>
    <m/>
    <m/>
    <m/>
    <m/>
  </r>
  <r>
    <n v="2186"/>
    <x v="361"/>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998.30625000000009"/>
    <s v="None"/>
    <s v="WTG Unscheduled Maintenance"/>
    <n v="999"/>
    <n v="998.30625000000009"/>
    <m/>
    <m/>
    <m/>
    <m/>
  </r>
  <r>
    <n v="2187"/>
    <x v="361"/>
    <x v="1"/>
    <x v="1"/>
    <x v="12"/>
    <x v="1"/>
    <x v="25"/>
    <s v="PWEGPL"/>
    <s v="MSEDCL"/>
    <n v="2.5000000000000001E-2"/>
    <n v="501"/>
    <x v="317"/>
    <s v="Manual stop/TCA"/>
    <d v="1899-12-30T00:00:00"/>
    <d v="1899-12-30T00:00:00"/>
    <d v="1899-12-30T17:20:00"/>
    <n v="0"/>
    <n v="17.333333333333332"/>
    <n v="17.333333333333332"/>
    <s v="Generator DE &amp; NDE bearing replaced"/>
    <s v="Close"/>
    <n v="0.43333333333333335"/>
    <s v="G03"/>
    <n v="730.8888888888888"/>
    <s v="None"/>
    <s v="WTG Breakdown Maintenance"/>
    <n v="1012"/>
    <n v="730.8888888888888"/>
    <m/>
    <m/>
    <m/>
    <m/>
  </r>
  <r>
    <n v="2188"/>
    <x v="361"/>
    <x v="1"/>
    <x v="1"/>
    <x v="12"/>
    <x v="1"/>
    <x v="14"/>
    <s v="PWEGPL"/>
    <s v="MSEDCL"/>
    <n v="2.5000000000000001E-2"/>
    <n v="205"/>
    <x v="312"/>
    <s v="BD"/>
    <d v="1899-12-30T09:48:00"/>
    <d v="1899-12-30T10:44:00"/>
    <d v="1899-12-30T12:15:00"/>
    <n v="0.93333333333333135"/>
    <n v="1.5166666666666666"/>
    <n v="2.449999999999998"/>
    <s v="Arrest oil leakage and then top-up oil then restore wtg."/>
    <s v="Close"/>
    <n v="6.124999999999995E-2"/>
    <s v="G33"/>
    <n v="119.64166666666657"/>
    <s v="None"/>
    <s v="WTG Breakdown Maintenance"/>
    <n v="1172"/>
    <n v="119.64166666666657"/>
    <m/>
    <m/>
    <m/>
    <m/>
  </r>
  <r>
    <n v="2189"/>
    <x v="362"/>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320.0826388888888"/>
    <s v="None"/>
    <s v="WTG Unscheduled Maintenance"/>
    <n v="1321"/>
    <n v="1320.0826388888888"/>
    <m/>
    <m/>
    <m/>
    <m/>
  </r>
  <r>
    <n v="2190"/>
    <x v="362"/>
    <x v="1"/>
    <x v="1"/>
    <x v="12"/>
    <x v="1"/>
    <x v="10"/>
    <s v="PWEGPL"/>
    <s v="MSEDCL"/>
    <n v="2.5000000000000001E-2"/>
    <n v="2118"/>
    <x v="293"/>
    <s v="BD"/>
    <d v="1899-12-30T06:23:00"/>
    <d v="1899-12-30T08:25:00"/>
    <d v="1899-12-30T08:52:00"/>
    <n v="2.0333333333333328"/>
    <n v="0.45000000000000107"/>
    <n v="2.4833333333333338"/>
    <s v="Clean slipring &amp; restore wtg."/>
    <s v="Close"/>
    <n v="6.2083333333333351E-2"/>
    <s v="G28"/>
    <n v="156.34652777777782"/>
    <s v="None"/>
    <s v="WTG Breakdown Maintenance"/>
    <n v="1511"/>
    <n v="156.34652777777782"/>
    <m/>
    <m/>
    <m/>
    <m/>
  </r>
  <r>
    <n v="2191"/>
    <x v="362"/>
    <x v="1"/>
    <x v="1"/>
    <x v="12"/>
    <x v="1"/>
    <x v="31"/>
    <s v="PWEGPL"/>
    <s v="MSEDCL"/>
    <n v="2.5000000000000001E-2"/>
    <s v="CE100008"/>
    <x v="400"/>
    <s v="Manual stop/TCA"/>
    <d v="1899-12-30T11:02:00"/>
    <d v="1899-12-30T11:02:00"/>
    <d v="1899-12-30T17:20:00"/>
    <n v="0"/>
    <n v="6.3000000000000007"/>
    <n v="6.3000000000000007"/>
    <s v="Gear box oil replaced &amp; restore wtg."/>
    <s v="Close"/>
    <n v="0.15750000000000003"/>
    <s v="G12"/>
    <n v="526.57500000000005"/>
    <s v="None"/>
    <s v="WTG Unscheduled Maintenance"/>
    <n v="2006"/>
    <n v="526.57500000000005"/>
    <m/>
    <m/>
    <m/>
    <m/>
  </r>
  <r>
    <n v="2192"/>
    <x v="362"/>
    <x v="1"/>
    <x v="1"/>
    <x v="12"/>
    <x v="1"/>
    <x v="28"/>
    <s v="PWEGPL"/>
    <s v="MSEDCL"/>
    <n v="2.5000000000000001E-2"/>
    <n v="208"/>
    <x v="366"/>
    <s v="BD"/>
    <d v="1899-12-30T20:40:00"/>
    <d v="1899-12-30T22:17:00"/>
    <d v="1899-12-30T23:06:00"/>
    <n v="1.6166666666666663"/>
    <n v="0.81666666666666643"/>
    <n v="2.4333333333333327"/>
    <s v="found HG contactor failure so,repair and clean then started the WTG"/>
    <s v="Close"/>
    <n v="6.0833333333333323E-2"/>
    <s v="G11"/>
    <n v="231.9777777777777"/>
    <s v="None"/>
    <s v="WTG Breakdown Maintenance"/>
    <n v="2288"/>
    <n v="231.9777777777777"/>
    <m/>
    <m/>
    <m/>
    <m/>
  </r>
  <r>
    <n v="2193"/>
    <x v="363"/>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465.98125"/>
    <s v="None"/>
    <s v="WTG Unscheduled Maintenance"/>
    <n v="1467"/>
    <n v="1465.98125"/>
    <m/>
    <m/>
    <m/>
    <m/>
  </r>
  <r>
    <n v="2194"/>
    <x v="363"/>
    <x v="1"/>
    <x v="1"/>
    <x v="12"/>
    <x v="1"/>
    <x v="35"/>
    <s v="PWEGPL"/>
    <s v="MSEDCL"/>
    <n v="2.5000000000000001E-2"/>
    <n v="205"/>
    <x v="312"/>
    <s v="BD"/>
    <d v="1899-12-30T10:39:00"/>
    <d v="1899-12-30T11:22:00"/>
    <d v="1899-12-30T12:03:00"/>
    <n v="0.71666666666666679"/>
    <n v="0.68333333333333224"/>
    <n v="1.399999999999999"/>
    <s v="Oil top up then restore the turbine."/>
    <s v="Close"/>
    <n v="3.4999999999999976E-2"/>
    <s v="G25"/>
    <n v="98.349999999999937"/>
    <s v="None"/>
    <s v="WTG Breakdown Maintenance"/>
    <n v="1686"/>
    <n v="98.349999999999937"/>
    <m/>
    <m/>
    <m/>
    <m/>
  </r>
  <r>
    <n v="2195"/>
    <x v="363"/>
    <x v="1"/>
    <x v="1"/>
    <x v="12"/>
    <x v="1"/>
    <x v="25"/>
    <s v="PWEGPL"/>
    <s v="MSEDCL"/>
    <n v="2.5000000000000001E-2"/>
    <s v="CE100008"/>
    <x v="400"/>
    <s v="Manual stop/TCA"/>
    <d v="1899-12-30T11:24:00"/>
    <d v="1899-12-30T11:24:00"/>
    <d v="1899-12-30T19:46:00"/>
    <n v="0"/>
    <n v="8.3666666666666654"/>
    <n v="8.3666666666666654"/>
    <s v="Generator and gearbox alignment done"/>
    <s v="Close"/>
    <n v="0.20916666666666664"/>
    <s v="G03"/>
    <n v="774.61388888888871"/>
    <s v="None"/>
    <s v="WTG Unscheduled Maintenance"/>
    <n v="2222"/>
    <n v="774.61388888888871"/>
    <m/>
    <m/>
    <m/>
    <m/>
  </r>
  <r>
    <n v="2196"/>
    <x v="363"/>
    <x v="1"/>
    <x v="1"/>
    <x v="12"/>
    <x v="1"/>
    <x v="4"/>
    <s v="PWEGPL"/>
    <s v="MSEDCL"/>
    <n v="2.5000000000000001E-2"/>
    <s v="CE100008"/>
    <x v="400"/>
    <s v="Manual stop/TCA"/>
    <d v="1899-12-30T12:01:00"/>
    <d v="1899-12-30T12:01:00"/>
    <d v="1899-12-30T16:30:00"/>
    <n v="0"/>
    <n v="4.4833333333333334"/>
    <n v="4.4833333333333334"/>
    <s v="Gear box oil replaced &amp; restore wtg."/>
    <s v="Close"/>
    <n v="0.11208333333333334"/>
    <s v="G36"/>
    <n v="250.31944444444446"/>
    <s v="None"/>
    <s v="WTG Unscheduled Maintenance"/>
    <n v="1340"/>
    <n v="250.31944444444446"/>
    <m/>
    <m/>
    <m/>
    <m/>
  </r>
  <r>
    <n v="2197"/>
    <x v="364"/>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5730.0180555555553"/>
    <s v="None"/>
    <s v="WTG Unscheduled Maintenance"/>
    <n v="5734"/>
    <n v="5730.0180555555553"/>
    <m/>
    <m/>
    <m/>
    <m/>
  </r>
  <r>
    <n v="2198"/>
    <x v="364"/>
    <x v="1"/>
    <x v="1"/>
    <x v="12"/>
    <x v="1"/>
    <x v="6"/>
    <s v="PWEGPL"/>
    <s v="MSEDCL"/>
    <n v="2.5000000000000001E-2"/>
    <n v="2118"/>
    <x v="293"/>
    <s v="BD"/>
    <d v="1899-12-30T03:56:00"/>
    <d v="1899-12-30T04:48:00"/>
    <d v="1899-12-30T05:12:00"/>
    <n v="0.86666666666666625"/>
    <n v="0.40000000000000058"/>
    <n v="1.2666666666666668"/>
    <s v="Found slipring dust accumulated then cleaned and restored"/>
    <s v="Close"/>
    <n v="3.1666666666666669E-2"/>
    <s v="G40"/>
    <n v="272.33333333333337"/>
    <s v="None"/>
    <s v="WTG Breakdown Maintenance"/>
    <n v="5160"/>
    <n v="272.33333333333337"/>
    <m/>
    <m/>
    <m/>
    <m/>
  </r>
  <r>
    <n v="2199"/>
    <x v="364"/>
    <x v="1"/>
    <x v="1"/>
    <x v="12"/>
    <x v="1"/>
    <x v="18"/>
    <s v="PWEGPL"/>
    <s v="MSEDCL"/>
    <n v="2.5000000000000001E-2"/>
    <s v="CE100018"/>
    <x v="406"/>
    <s v="PM-SF6"/>
    <d v="1899-12-30T12:59:00"/>
    <d v="1899-12-30T12:59:00"/>
    <d v="1899-12-30T17:18:00"/>
    <n v="0"/>
    <n v="4.3166666666666673"/>
    <n v="4.3166666666666673"/>
    <s v="SF-6 breaker Testing &amp; maintenance done"/>
    <s v="Close"/>
    <n v="0.10791666666666669"/>
    <s v="G18"/>
    <n v="687.6090277777779"/>
    <s v="None"/>
    <s v="WTG Unscheduled Maintenance"/>
    <n v="3823"/>
    <n v="687.6090277777779"/>
    <m/>
    <m/>
    <m/>
    <m/>
  </r>
  <r>
    <n v="2200"/>
    <x v="365"/>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3621.53402777778"/>
    <s v="None"/>
    <s v="WTG Unscheduled Maintenance"/>
    <n v="13631"/>
    <n v="13621.53402777778"/>
    <m/>
    <m/>
    <m/>
    <m/>
  </r>
  <r>
    <n v="2201"/>
    <x v="365"/>
    <x v="1"/>
    <x v="1"/>
    <x v="12"/>
    <x v="1"/>
    <x v="16"/>
    <s v="PWEGPL"/>
    <s v="MSEDCL"/>
    <n v="2.5000000000000001E-2"/>
    <n v="115"/>
    <x v="308"/>
    <s v="BD"/>
    <d v="1899-12-30T05:07:00"/>
    <d v="1899-12-30T05:57:00"/>
    <d v="1899-12-30T07:15:00"/>
    <n v="0.8333333333333337"/>
    <n v="1.2999999999999994"/>
    <n v="2.1333333333333329"/>
    <s v="Found KR280 relay faulty ro replace it with new one"/>
    <s v="Close"/>
    <n v="5.3333333333333323E-2"/>
    <s v="G37"/>
    <n v="734.13333333333321"/>
    <s v="None"/>
    <s v="WTG Breakdown Maintenance"/>
    <n v="8259"/>
    <n v="734.13333333333321"/>
    <m/>
    <m/>
    <m/>
    <m/>
  </r>
  <r>
    <n v="2202"/>
    <x v="365"/>
    <x v="1"/>
    <x v="1"/>
    <x v="12"/>
    <x v="1"/>
    <x v="39"/>
    <s v="PWEGPL"/>
    <s v="MSEDCL"/>
    <n v="2.5000000000000001E-2"/>
    <s v="CE100018"/>
    <x v="406"/>
    <s v="PM-SF6"/>
    <d v="1899-12-30T10:45:00"/>
    <d v="1899-12-30T10:45:00"/>
    <d v="1899-12-30T18:32:00"/>
    <n v="0"/>
    <n v="7.7833333333333332"/>
    <n v="7.7833333333333332"/>
    <s v="SF-6 breaker Testing &amp; maintenance done"/>
    <s v="Close"/>
    <n v="0.19458333333333333"/>
    <s v="G14"/>
    <n v="3301.754861111111"/>
    <s v="None"/>
    <s v="WTG Unscheduled Maintenance"/>
    <n v="10181"/>
    <n v="3301.754861111111"/>
    <m/>
    <m/>
    <m/>
    <m/>
  </r>
  <r>
    <n v="2203"/>
    <x v="365"/>
    <x v="1"/>
    <x v="1"/>
    <x v="12"/>
    <x v="1"/>
    <x v="30"/>
    <s v="PWEGPL"/>
    <s v="MSEDCL"/>
    <n v="2.5000000000000001E-2"/>
    <s v="CE100008"/>
    <x v="400"/>
    <s v="Manual stop/TCA"/>
    <d v="1899-12-30T10:51:00"/>
    <d v="1899-12-30T10:51:00"/>
    <d v="1899-12-30T18:30:00"/>
    <n v="0"/>
    <n v="7.65"/>
    <n v="7.65"/>
    <s v="Gear box oil replaced &amp; restore wtg."/>
    <s v="Close"/>
    <n v="0.19125000000000003"/>
    <s v="G13"/>
    <n v="3484.5750000000003"/>
    <s v="None"/>
    <s v="WTG Unscheduled Maintenance"/>
    <n v="10932"/>
    <n v="3484.5750000000003"/>
    <m/>
    <m/>
    <m/>
    <m/>
  </r>
  <r>
    <n v="2204"/>
    <x v="365"/>
    <x v="1"/>
    <x v="1"/>
    <x v="12"/>
    <x v="1"/>
    <x v="19"/>
    <s v="PWEGPL"/>
    <s v="MSEDCL"/>
    <n v="2.5000000000000001E-2"/>
    <s v="CE100008"/>
    <x v="400"/>
    <s v="Manual Stop/SEM"/>
    <d v="1899-12-30T12:39:00"/>
    <d v="1899-12-30T12:39:00"/>
    <d v="1899-12-30T14:05:00"/>
    <n v="0"/>
    <n v="1.4333333333333336"/>
    <n v="1.4333333333333336"/>
    <s v="Sem meter instalation work"/>
    <s v="Close"/>
    <n v="3.5833333333333342E-2"/>
    <s v="G19"/>
    <n v="855.75972222222231"/>
    <s v="None"/>
    <s v="WTG Unscheduled Maintenance"/>
    <n v="14329"/>
    <n v="855.75972222222231"/>
    <m/>
    <m/>
    <m/>
    <m/>
  </r>
  <r>
    <n v="2205"/>
    <x v="365"/>
    <x v="1"/>
    <x v="1"/>
    <x v="12"/>
    <x v="1"/>
    <x v="32"/>
    <s v="PWEGPL"/>
    <s v="MSEDCL"/>
    <n v="2.5000000000000001E-2"/>
    <s v="CE100008"/>
    <x v="400"/>
    <s v="Manual Stop/SEM"/>
    <d v="1899-12-30T16:02:00"/>
    <d v="1899-12-30T16:02:00"/>
    <d v="1899-12-30T17:10:00"/>
    <n v="0"/>
    <n v="1.133333333333332"/>
    <n v="1.133333333333332"/>
    <s v="Sem meter instalation work"/>
    <s v="Close"/>
    <n v="2.8333333333333301E-2"/>
    <s v="G13"/>
    <n v="516.23333333333267"/>
    <s v="None"/>
    <s v="WTG Unscheduled Maintenance"/>
    <n v="10932"/>
    <n v="516.23333333333267"/>
    <m/>
    <m/>
    <m/>
    <m/>
  </r>
  <r>
    <n v="2206"/>
    <x v="365"/>
    <x v="1"/>
    <x v="1"/>
    <x v="12"/>
    <x v="1"/>
    <x v="31"/>
    <s v="PWEGPL"/>
    <s v="MSEDCL"/>
    <n v="2.5000000000000001E-2"/>
    <s v="CE100008"/>
    <x v="400"/>
    <s v="Manual Stop/SEM"/>
    <d v="1899-12-30T17:23:00"/>
    <d v="1899-12-30T17:23:00"/>
    <d v="1899-12-30T18:30:00"/>
    <n v="0"/>
    <n v="1.116666666666668"/>
    <n v="1.116666666666668"/>
    <s v="Sem meter instalation work"/>
    <s v="Close"/>
    <n v="2.7916666666666701E-2"/>
    <s v="G14"/>
    <n v="473.69930555555612"/>
    <s v="None"/>
    <s v="WTG Unscheduled Maintenance"/>
    <n v="10181"/>
    <n v="473.69930555555612"/>
    <m/>
    <m/>
    <m/>
    <m/>
  </r>
  <r>
    <n v="2207"/>
    <x v="365"/>
    <x v="1"/>
    <x v="1"/>
    <x v="12"/>
    <x v="1"/>
    <x v="22"/>
    <s v="PWEGPL"/>
    <s v="MSEDCL"/>
    <n v="2.5000000000000001E-2"/>
    <n v="402"/>
    <x v="300"/>
    <s v="BD"/>
    <d v="1899-12-30T20:51:00"/>
    <d v="1899-12-30T22:10:00"/>
    <d v="1899-12-30T23:59:00"/>
    <n v="1.3166666666666673"/>
    <n v="1.8166666666666655"/>
    <n v="3.1333333333333329"/>
    <s v="Work under progress"/>
    <s v="Open"/>
    <n v="7.8333333333333324E-2"/>
    <s v="G08"/>
    <n v="1023.6861111111109"/>
    <s v="None"/>
    <s v="WTG Breakdown Maintenance"/>
    <n v="7841"/>
    <n v="1023.6861111111109"/>
    <m/>
    <m/>
    <m/>
    <m/>
  </r>
  <r>
    <n v="2208"/>
    <x v="366"/>
    <x v="1"/>
    <x v="1"/>
    <x v="12"/>
    <x v="1"/>
    <x v="1"/>
    <s v="PWEGPL"/>
    <s v="MSEDCL"/>
    <n v="2.5000000000000001E-2"/>
    <s v="CE100002"/>
    <x v="381"/>
    <s v="Manual stop/TCA"/>
    <d v="1899-12-30T00:00:00"/>
    <d v="1899-12-30T00:00:00"/>
    <d v="1899-12-30T23:59:00"/>
    <n v="0"/>
    <n v="23.983333333333334"/>
    <n v="23.983333333333334"/>
    <s v=" Blade damage ispection done and waiting for engineering team suggestion (Stoppage from 00:00 to 23:59)"/>
    <s v="Open"/>
    <n v="0.59958333333333336"/>
    <s v="G05"/>
    <n v="3781.3722222222223"/>
    <s v="None"/>
    <s v="WTG Unscheduled Maintenance"/>
    <n v="3784"/>
    <n v="3781.3722222222223"/>
    <m/>
    <m/>
    <m/>
    <m/>
  </r>
  <r>
    <n v="2209"/>
    <x v="366"/>
    <x v="1"/>
    <x v="1"/>
    <x v="12"/>
    <x v="1"/>
    <x v="22"/>
    <s v="PWEGPL"/>
    <s v="MSEDCL"/>
    <n v="2.5000000000000001E-2"/>
    <n v="402"/>
    <x v="300"/>
    <s v="BD"/>
    <d v="1899-12-30T00:00:00"/>
    <d v="1899-12-30T00:00:00"/>
    <d v="1899-12-30T01:14:00"/>
    <n v="0"/>
    <n v="1.2333333333333334"/>
    <n v="1.2333333333333334"/>
    <s v="Found Generator slip ring failure so replace it then restore wtg."/>
    <s v="Close"/>
    <n v="3.0833333333333338E-2"/>
    <s v="G08"/>
    <n v="120.81527777777778"/>
    <s v="None"/>
    <s v="WTG Breakdown Maintenance"/>
    <n v="2351"/>
    <n v="120.81527777777778"/>
    <m/>
    <m/>
    <m/>
    <m/>
  </r>
  <r>
    <n v="2210"/>
    <x v="366"/>
    <x v="1"/>
    <x v="1"/>
    <x v="12"/>
    <x v="1"/>
    <x v="32"/>
    <s v="PWEGPL"/>
    <s v="MSEDCL"/>
    <n v="2.5000000000000001E-2"/>
    <s v="CE100018"/>
    <x v="406"/>
    <s v="PM-SF6"/>
    <d v="1899-12-30T10:43:00"/>
    <d v="1899-12-30T10:43:00"/>
    <d v="1899-12-30T12:47:00"/>
    <n v="0"/>
    <n v="2.066666666666666"/>
    <n v="2.066666666666666"/>
    <s v="SF-6 breaker Testing &amp; maintenance done"/>
    <s v="Close"/>
    <n v="5.1666666666666652E-2"/>
    <s v="G13"/>
    <n v="272.02499999999992"/>
    <s v="None"/>
    <s v="WTG Unscheduled Maintenance"/>
    <n v="3159"/>
    <n v="272.02499999999992"/>
    <m/>
    <m/>
    <m/>
    <m/>
  </r>
  <r>
    <n v="2211"/>
    <x v="366"/>
    <x v="1"/>
    <x v="1"/>
    <x v="12"/>
    <x v="1"/>
    <x v="29"/>
    <s v="PWEGPL"/>
    <s v="MSEDCL"/>
    <n v="2.5000000000000001E-2"/>
    <s v="CE100014"/>
    <x v="305"/>
    <s v="Manual stop"/>
    <d v="1899-12-30T10:58:00"/>
    <d v="1899-12-30T10:58:00"/>
    <d v="1899-12-30T12:55:00"/>
    <n v="0"/>
    <n v="1.9499999999999997"/>
    <n v="1.9499999999999997"/>
    <s v="Customer audit done"/>
    <s v="Close"/>
    <n v="4.8749999999999995E-2"/>
    <s v="G10"/>
    <n v="336.86249999999995"/>
    <s v="None"/>
    <s v="WTG Unscheduled Maintenance"/>
    <n v="4146"/>
    <n v="336.86249999999995"/>
    <m/>
    <m/>
    <m/>
    <m/>
  </r>
  <r>
    <n v="2212"/>
    <x v="366"/>
    <x v="1"/>
    <x v="1"/>
    <x v="12"/>
    <x v="1"/>
    <x v="31"/>
    <s v="PWEGPL"/>
    <s v="MSEDCL"/>
    <n v="2.5000000000000001E-2"/>
    <s v="CE100018"/>
    <x v="406"/>
    <s v="PM-SF6"/>
    <d v="1899-12-30T13:17:00"/>
    <d v="1899-12-30T13:17:00"/>
    <d v="1899-12-30T15:30:00"/>
    <n v="0"/>
    <n v="2.2166666666666668"/>
    <n v="2.2166666666666668"/>
    <s v="SF-6 breaker Testing &amp; maintenance done"/>
    <s v="Close"/>
    <n v="5.541666666666667E-2"/>
    <s v="G12"/>
    <n v="361.31666666666666"/>
    <s v="None"/>
    <s v="WTG Unscheduled Maintenance"/>
    <n v="3912"/>
    <n v="361.31666666666666"/>
    <m/>
    <m/>
    <m/>
    <m/>
  </r>
  <r>
    <n v="2213"/>
    <x v="366"/>
    <x v="1"/>
    <x v="1"/>
    <x v="12"/>
    <x v="1"/>
    <x v="28"/>
    <s v="PWEGPL"/>
    <s v="MSEDCL"/>
    <n v="2.5000000000000001E-2"/>
    <s v="CE100014"/>
    <x v="305"/>
    <s v="Manual stop"/>
    <d v="1899-12-30T13:02:00"/>
    <d v="1899-12-30T13:02:00"/>
    <d v="1899-12-30T14:13:00"/>
    <n v="0"/>
    <n v="1.1833333333333345"/>
    <n v="1.1833333333333345"/>
    <s v="Customer audit done"/>
    <s v="Close"/>
    <n v="2.9583333333333364E-2"/>
    <s v="G11"/>
    <n v="271.47638888888912"/>
    <s v="None"/>
    <s v="WTG Unscheduled Maintenance"/>
    <n v="5506"/>
    <n v="271.47638888888912"/>
    <m/>
    <m/>
    <m/>
    <m/>
  </r>
  <r>
    <n v="2214"/>
    <x v="366"/>
    <x v="1"/>
    <x v="1"/>
    <x v="12"/>
    <x v="1"/>
    <x v="30"/>
    <s v="PWEGPL"/>
    <s v="MSEDCL"/>
    <n v="2.5000000000000001E-2"/>
    <s v="CE100018"/>
    <x v="406"/>
    <s v="PM-SF6"/>
    <d v="1899-12-30T15:47:00"/>
    <d v="1899-12-30T15:47:00"/>
    <d v="1899-12-30T17:33:00"/>
    <n v="0"/>
    <n v="1.7666666666666684"/>
    <n v="1.7666666666666684"/>
    <s v="SF-6 breaker Testing &amp; maintenance done"/>
    <s v="Close"/>
    <n v="4.4166666666666715E-2"/>
    <s v="G13"/>
    <n v="232.53750000000022"/>
    <s v="None"/>
    <s v="WTG Unscheduled Maintenance"/>
    <n v="3159"/>
    <n v="232.53750000000022"/>
    <m/>
    <m/>
    <m/>
    <m/>
  </r>
  <r>
    <n v="2215"/>
    <x v="366"/>
    <x v="1"/>
    <x v="1"/>
    <x v="12"/>
    <x v="1"/>
    <x v="27"/>
    <s v="PWEGPL"/>
    <s v="MSEDCL"/>
    <n v="2.5000000000000001E-2"/>
    <s v="CE100008"/>
    <x v="400"/>
    <s v="Manual stop/TCA"/>
    <d v="1899-12-30T10:58:00"/>
    <d v="1899-12-30T10:58:00"/>
    <d v="1899-12-30T17:25:00"/>
    <n v="0"/>
    <n v="6.4500000000000028"/>
    <n v="6.4500000000000028"/>
    <s v="Gear box oil replaced &amp; restore wtg."/>
    <s v="Close"/>
    <n v="0.16125000000000009"/>
    <s v="G08"/>
    <n v="1161.0000000000005"/>
    <s v="None"/>
    <s v="WTG Unscheduled Maintenance"/>
    <n v="4320"/>
    <n v="1161.0000000000005"/>
    <m/>
    <m/>
    <m/>
    <m/>
  </r>
  <r>
    <n v="2216"/>
    <x v="367"/>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4325.9937500000005"/>
    <s v="None"/>
    <s v="WTG Unscheduled Maintenance"/>
    <n v="4329"/>
    <n v="4325.9937500000005"/>
    <m/>
    <m/>
    <m/>
    <m/>
  </r>
  <r>
    <n v="2217"/>
    <x v="367"/>
    <x v="1"/>
    <x v="1"/>
    <x v="12"/>
    <x v="1"/>
    <x v="7"/>
    <s v="PWEGPL"/>
    <s v="MSEDCL"/>
    <n v="2.5000000000000001E-2"/>
    <n v="110"/>
    <x v="287"/>
    <s v="BD"/>
    <d v="1899-12-30T02:45:00"/>
    <d v="1899-12-30T05:14:00"/>
    <d v="1899-12-30T07:10:00"/>
    <n v="2.4833333333333334"/>
    <n v="1.9333333333333331"/>
    <n v="4.416666666666667"/>
    <s v="Cable twist remove and yaw senser setting done"/>
    <s v="Close"/>
    <n v="0.11041666666666668"/>
    <s v="G39"/>
    <n v="555.21180555555554"/>
    <s v="None"/>
    <s v="WTG Breakdown Maintenance"/>
    <n v="3017"/>
    <n v="555.21180555555554"/>
    <m/>
    <m/>
    <m/>
    <m/>
  </r>
  <r>
    <n v="2218"/>
    <x v="367"/>
    <x v="1"/>
    <x v="1"/>
    <x v="12"/>
    <x v="1"/>
    <x v="8"/>
    <s v="PWEGPL"/>
    <s v="MSEDCL"/>
    <n v="2.5000000000000001E-2"/>
    <n v="110"/>
    <x v="287"/>
    <s v="BD"/>
    <d v="1899-12-30T02:36:00"/>
    <d v="1899-12-30T03:12:00"/>
    <d v="1899-12-30T05:27:00"/>
    <n v="0.59999999999999987"/>
    <n v="2.25"/>
    <n v="2.8499999999999996"/>
    <s v="Cable twist remove and yaw senser setting done"/>
    <s v="Close"/>
    <n v="7.1249999999999994E-2"/>
    <s v="G25"/>
    <n v="500.17499999999995"/>
    <s v="None"/>
    <s v="WTG Breakdown Maintenance"/>
    <n v="4212"/>
    <n v="500.17499999999995"/>
    <m/>
    <m/>
    <m/>
    <m/>
  </r>
  <r>
    <n v="2219"/>
    <x v="367"/>
    <x v="1"/>
    <x v="1"/>
    <x v="12"/>
    <x v="1"/>
    <x v="5"/>
    <s v="PWEGPL"/>
    <s v="MSEDCL"/>
    <n v="2.5000000000000001E-2"/>
    <n v="800"/>
    <x v="298"/>
    <s v="BD"/>
    <d v="1899-12-30T13:01:00"/>
    <d v="1899-12-30T13:26:00"/>
    <d v="1899-12-30T15:53:00"/>
    <n v="0.41666666666666519"/>
    <n v="2.4499999999999993"/>
    <n v="2.8666666666666645"/>
    <s v="Check and found sonelide cable loose so tight it and start wtg."/>
    <s v="Close"/>
    <n v="7.1666666666666615E-2"/>
    <s v="G39"/>
    <n v="360.3638888888886"/>
    <s v="None"/>
    <s v="WTG Breakdown Maintenance"/>
    <n v="3017"/>
    <n v="360.3638888888886"/>
    <m/>
    <m/>
    <m/>
    <m/>
  </r>
  <r>
    <n v="2220"/>
    <x v="367"/>
    <x v="1"/>
    <x v="1"/>
    <x v="12"/>
    <x v="1"/>
    <x v="27"/>
    <s v="PWEGPL"/>
    <s v="MSEDCL"/>
    <n v="2.5000000000000001E-2"/>
    <s v="CE100018"/>
    <x v="406"/>
    <s v="PM-SF6"/>
    <d v="1899-12-30T11:16:00"/>
    <d v="1899-12-30T11:16:00"/>
    <d v="1899-12-30T12:50:00"/>
    <n v="0"/>
    <n v="1.5666666666666651"/>
    <n v="1.5666666666666651"/>
    <s v="SF-6 breaker Testing &amp; maintenance done"/>
    <s v="Close"/>
    <n v="3.9166666666666627E-2"/>
    <s v="G12"/>
    <n v="259.02222222222196"/>
    <s v="None"/>
    <s v="WTG Unscheduled Maintenance"/>
    <n v="3968"/>
    <n v="259.02222222222196"/>
    <m/>
    <m/>
    <m/>
    <m/>
  </r>
  <r>
    <n v="2221"/>
    <x v="367"/>
    <x v="1"/>
    <x v="1"/>
    <x v="12"/>
    <x v="1"/>
    <x v="22"/>
    <s v="PWEGPL"/>
    <s v="MSEDCL"/>
    <n v="2.5000000000000001E-2"/>
    <s v="CE100018"/>
    <x v="406"/>
    <s v="PM-SF6"/>
    <d v="1899-12-30T13:18:00"/>
    <d v="1899-12-30T13:18:00"/>
    <d v="1899-12-30T15:02:00"/>
    <n v="0"/>
    <n v="1.7333333333333325"/>
    <n v="1.7333333333333325"/>
    <s v="SF-6 breaker Testing &amp; maintenance done"/>
    <s v="Close"/>
    <n v="4.3333333333333314E-2"/>
    <s v="G04"/>
    <n v="246.63888888888874"/>
    <s v="None"/>
    <s v="WTG Unscheduled Maintenance"/>
    <n v="3415"/>
    <n v="246.63888888888874"/>
    <m/>
    <m/>
    <m/>
    <m/>
  </r>
  <r>
    <n v="2222"/>
    <x v="367"/>
    <x v="1"/>
    <x v="1"/>
    <x v="12"/>
    <x v="1"/>
    <x v="17"/>
    <s v="PWEGPL"/>
    <s v="MSEDCL"/>
    <n v="2.5000000000000001E-2"/>
    <s v="CE100018"/>
    <x v="406"/>
    <s v="PM-SF6"/>
    <d v="1899-12-30T15:20:00"/>
    <d v="1899-12-30T15:20:00"/>
    <d v="1899-12-30T17:01:00"/>
    <n v="0"/>
    <n v="1.68333333333333"/>
    <n v="1.68333333333333"/>
    <s v="SF-6 breaker Testing &amp; maintenance done"/>
    <s v="Close"/>
    <n v="4.208333333333325E-2"/>
    <s v="G03"/>
    <n v="278.73194444444391"/>
    <s v="None"/>
    <s v="WTG Unscheduled Maintenance"/>
    <n v="3974"/>
    <n v="278.73194444444391"/>
    <m/>
    <m/>
    <m/>
    <m/>
  </r>
  <r>
    <n v="2223"/>
    <x v="367"/>
    <x v="1"/>
    <x v="1"/>
    <x v="12"/>
    <x v="1"/>
    <x v="8"/>
    <s v="PWEGPL"/>
    <s v="MSEDCL"/>
    <n v="2.5000000000000001E-2"/>
    <s v="CE100008"/>
    <x v="400"/>
    <s v="Manual stop"/>
    <d v="1899-12-30T15:31:00"/>
    <d v="1899-12-30T15:31:00"/>
    <d v="1899-12-30T17:23:00"/>
    <n v="0"/>
    <n v="1.8666666666666654"/>
    <n v="1.8666666666666654"/>
    <s v="Found Blade B hose pipe leakage so correct it then start wtg"/>
    <s v="Close"/>
    <n v="4.6666666666666634E-2"/>
    <s v="G25"/>
    <n v="327.5999999999998"/>
    <s v="None"/>
    <s v="WTG Breakdown Maintenance"/>
    <n v="4212"/>
    <n v="327.5999999999998"/>
    <m/>
    <m/>
    <m/>
    <m/>
  </r>
  <r>
    <n v="2224"/>
    <x v="368"/>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2065.5645833333333"/>
    <s v="None"/>
    <s v="WTG Unscheduled Maintenance"/>
    <n v="2067"/>
    <n v="2065.5645833333333"/>
    <m/>
    <m/>
    <m/>
    <m/>
  </r>
  <r>
    <n v="2225"/>
    <x v="368"/>
    <x v="1"/>
    <x v="1"/>
    <x v="12"/>
    <x v="1"/>
    <x v="13"/>
    <s v="PWEGPL"/>
    <s v="MSEDCL"/>
    <n v="2.5000000000000001E-2"/>
    <n v="205"/>
    <x v="312"/>
    <s v="BD"/>
    <d v="1899-12-30T09:35:00"/>
    <d v="1899-12-30T11:04:00"/>
    <d v="1899-12-30T11:33:00"/>
    <n v="1.4833333333333321"/>
    <n v="0.48333333333333428"/>
    <n v="1.9666666666666663"/>
    <s v="10 liter Oil top up then restore the turbine."/>
    <s v="Close"/>
    <n v="4.9166666666666664E-2"/>
    <s v="G34"/>
    <n v="217.39861111111108"/>
    <s v="None"/>
    <s v="WTG Breakdown Maintenance"/>
    <n v="2653"/>
    <n v="217.39861111111108"/>
    <m/>
    <m/>
    <m/>
    <m/>
  </r>
  <r>
    <n v="2226"/>
    <x v="368"/>
    <x v="1"/>
    <x v="1"/>
    <x v="12"/>
    <x v="1"/>
    <x v="5"/>
    <s v="PWEGPL"/>
    <s v="MSEDCL"/>
    <n v="2.5000000000000001E-2"/>
    <n v="205"/>
    <x v="312"/>
    <s v="BD"/>
    <d v="1899-12-30T09:58:00"/>
    <d v="1899-12-30T11:53:00"/>
    <d v="1899-12-30T12:18:00"/>
    <n v="1.9166666666666652"/>
    <n v="0.41666666666666918"/>
    <n v="2.3333333333333344"/>
    <s v="10 liter Oil top up then restore the turbine."/>
    <s v="Close"/>
    <n v="5.8333333333333362E-2"/>
    <s v="G39"/>
    <n v="207.37500000000009"/>
    <s v="None"/>
    <s v="WTG Breakdown Maintenance"/>
    <n v="2133"/>
    <n v="207.37500000000009"/>
    <m/>
    <m/>
    <m/>
    <m/>
  </r>
  <r>
    <n v="2227"/>
    <x v="368"/>
    <x v="1"/>
    <x v="1"/>
    <x v="12"/>
    <x v="1"/>
    <x v="24"/>
    <s v="PWEGPL"/>
    <s v="MSEDCL"/>
    <n v="2.5000000000000001E-2"/>
    <n v="213"/>
    <x v="397"/>
    <s v="BD"/>
    <d v="1899-12-30T09:40:00"/>
    <d v="1899-12-30T10:05:00"/>
    <d v="1899-12-30T12:33:00"/>
    <n v="0.41666666666666785"/>
    <n v="2.4666666666666672"/>
    <n v="2.8833333333333351"/>
    <s v="Check releted circuit found KM280 contactor failure so replace with new one then restore wtg."/>
    <s v="Close"/>
    <n v="7.2083333333333374E-2"/>
    <s v="G22"/>
    <n v="365.70277777777801"/>
    <s v="None"/>
    <s v="WTG Breakdown Maintenance"/>
    <n v="3044"/>
    <n v="365.70277777777801"/>
    <m/>
    <m/>
    <m/>
    <m/>
  </r>
  <r>
    <n v="2228"/>
    <x v="368"/>
    <x v="1"/>
    <x v="1"/>
    <x v="12"/>
    <x v="1"/>
    <x v="25"/>
    <s v="PWEGPL"/>
    <s v="MSEDCL"/>
    <n v="2.5000000000000001E-2"/>
    <s v="CE100018"/>
    <x v="406"/>
    <s v="PM-SF6"/>
    <d v="1899-12-30T11:05:00"/>
    <d v="1899-12-30T11:05:00"/>
    <d v="1899-12-30T14:35:00"/>
    <n v="0"/>
    <n v="3.5000000000000009"/>
    <n v="3.5000000000000009"/>
    <s v="SF-6 breaker Testing &amp; maintenance done"/>
    <s v="Close"/>
    <n v="8.7500000000000022E-2"/>
    <s v="G03"/>
    <n v="331.04166666666674"/>
    <s v="None"/>
    <s v="WTG Breakdown Maintenance"/>
    <n v="2270"/>
    <n v="331.04166666666674"/>
    <m/>
    <m/>
    <m/>
    <m/>
  </r>
  <r>
    <n v="2229"/>
    <x v="368"/>
    <x v="1"/>
    <x v="1"/>
    <x v="12"/>
    <x v="1"/>
    <x v="26"/>
    <s v="PWEGPL"/>
    <s v="MSEDCL"/>
    <n v="2.5000000000000001E-2"/>
    <s v="CE100018"/>
    <x v="406"/>
    <s v="PM-SF6"/>
    <d v="1899-12-30T15:10:00"/>
    <d v="1899-12-30T15:10:00"/>
    <d v="1899-12-30T17:15:00"/>
    <n v="0"/>
    <n v="2.0833333333333339"/>
    <n v="2.0833333333333339"/>
    <s v="SF-6 breaker Testing &amp; maintenance done"/>
    <s v="Close"/>
    <n v="5.208333333333335E-2"/>
    <s v="G01"/>
    <n v="228.73263888888897"/>
    <s v="None"/>
    <s v="WTG Breakdown Maintenance"/>
    <n v="2635"/>
    <n v="228.73263888888897"/>
    <m/>
    <m/>
    <m/>
    <m/>
  </r>
  <r>
    <n v="2230"/>
    <x v="368"/>
    <x v="1"/>
    <x v="1"/>
    <x v="12"/>
    <x v="1"/>
    <x v="5"/>
    <s v="PWEGPL"/>
    <s v="MSEDCL"/>
    <n v="2.5000000000000001E-2"/>
    <n v="800"/>
    <x v="298"/>
    <s v="BD"/>
    <d v="1899-12-30T13:07:00"/>
    <d v="1899-12-30T14:25:00"/>
    <d v="1899-12-30T15:26:00"/>
    <n v="1.299999999999998"/>
    <n v="1.0166666666666684"/>
    <n v="2.3166666666666664"/>
    <s v="Found blade C propotional valve falty so replace with new one then staet wtg"/>
    <s v="Close"/>
    <n v="5.7916666666666665E-2"/>
    <s v="G39"/>
    <n v="205.89374999999998"/>
    <s v="None"/>
    <s v="WTG Breakdown Maintenance"/>
    <n v="2133"/>
    <n v="205.89374999999998"/>
    <m/>
    <m/>
    <m/>
    <m/>
  </r>
  <r>
    <n v="2231"/>
    <x v="368"/>
    <x v="1"/>
    <x v="1"/>
    <x v="12"/>
    <x v="1"/>
    <x v="6"/>
    <s v="PWEGPL"/>
    <s v="MSEDCL"/>
    <n v="2.5000000000000001E-2"/>
    <n v="800"/>
    <x v="298"/>
    <s v="BD"/>
    <d v="1899-12-30T18:31:00"/>
    <d v="1899-12-30T19:01:00"/>
    <d v="1899-12-30T20:41:00"/>
    <n v="0.50000000000000089"/>
    <n v="1.6666666666666687"/>
    <n v="2.1666666666666696"/>
    <s v="Found Blade A propotional valve falty so replace with new one then start wgt."/>
    <s v="Close"/>
    <n v="5.4166666666666745E-2"/>
    <s v="G12"/>
    <n v="221.27083333333363"/>
    <s v="None"/>
    <s v="WTG Breakdown Maintenance"/>
    <n v="2451"/>
    <n v="221.27083333333363"/>
    <m/>
    <m/>
    <m/>
    <m/>
  </r>
  <r>
    <n v="2232"/>
    <x v="369"/>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4074.1687500000003"/>
    <s v="None"/>
    <s v="WTG Unscheduled Maintenance"/>
    <n v="4077"/>
    <n v="4074.1687500000003"/>
    <m/>
    <m/>
    <m/>
    <m/>
  </r>
  <r>
    <n v="2233"/>
    <x v="369"/>
    <x v="1"/>
    <x v="1"/>
    <x v="12"/>
    <x v="1"/>
    <x v="23"/>
    <s v="PWEGPL"/>
    <s v="MSEDCL"/>
    <n v="2.5000000000000001E-2"/>
    <s v="CE100018"/>
    <x v="406"/>
    <s v="PM-SF6"/>
    <d v="1899-12-30T11:44:00"/>
    <d v="1899-12-30T11:44:00"/>
    <d v="1899-12-30T14:27:00"/>
    <n v="0"/>
    <n v="2.7166666666666663"/>
    <n v="2.7166666666666663"/>
    <s v="SF-6 breaker Testing &amp; maintenance done"/>
    <s v="Close"/>
    <n v="6.7916666666666667E-2"/>
    <s v="G03"/>
    <n v="410.21666666666664"/>
    <s v="None"/>
    <s v="WTG Unscheduled Maintenance"/>
    <n v="3624"/>
    <n v="410.21666666666664"/>
    <m/>
    <m/>
    <m/>
    <m/>
  </r>
  <r>
    <n v="2234"/>
    <x v="369"/>
    <x v="1"/>
    <x v="1"/>
    <x v="12"/>
    <x v="1"/>
    <x v="32"/>
    <s v="PWEGPL"/>
    <s v="MSEDCL"/>
    <n v="2.5000000000000001E-2"/>
    <n v="905"/>
    <x v="350"/>
    <s v="BD"/>
    <d v="1899-12-30T13:49:00"/>
    <d v="1899-12-30T14:12:00"/>
    <d v="1899-12-30T15:34:00"/>
    <n v="0.38333333333333464"/>
    <n v="1.3666666666666671"/>
    <n v="1.7500000000000018"/>
    <s v="Found Break Power supply Battery failure so replace with new one and restore wtg."/>
    <s v="Close"/>
    <n v="4.3750000000000046E-2"/>
    <s v="G15"/>
    <n v="260.0208333333336"/>
    <s v="None"/>
    <s v="WTG Breakdown Maintenance"/>
    <n v="3566"/>
    <n v="260.0208333333336"/>
    <m/>
    <m/>
    <m/>
    <m/>
  </r>
  <r>
    <n v="2235"/>
    <x v="369"/>
    <x v="1"/>
    <x v="1"/>
    <x v="12"/>
    <x v="1"/>
    <x v="21"/>
    <s v="PWEGPL"/>
    <s v="MSEDCL"/>
    <n v="2.5000000000000001E-2"/>
    <s v="CE100018"/>
    <x v="406"/>
    <s v="PM-SF6"/>
    <d v="1899-12-30T14:30:00"/>
    <d v="1899-12-30T14:30:00"/>
    <d v="1899-12-30T16:31:00"/>
    <n v="0"/>
    <n v="2.0166666666666675"/>
    <n v="2.0166666666666675"/>
    <s v="SF-6 breaker Testing &amp; maintenance done"/>
    <s v="Close"/>
    <n v="5.0416666666666693E-2"/>
    <s v="G04"/>
    <n v="319.97777777777787"/>
    <s v="None"/>
    <s v="WTG Unscheduled Maintenance"/>
    <n v="3808"/>
    <n v="319.97777777777787"/>
    <m/>
    <m/>
    <m/>
    <m/>
  </r>
  <r>
    <n v="2236"/>
    <x v="370"/>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12085.60138888889"/>
    <s v="None"/>
    <s v="WTG Unscheduled Maintenance"/>
    <n v="12094"/>
    <n v="12085.60138888889"/>
    <m/>
    <m/>
    <m/>
    <m/>
  </r>
  <r>
    <n v="2237"/>
    <x v="370"/>
    <x v="1"/>
    <x v="1"/>
    <x v="12"/>
    <x v="1"/>
    <x v="28"/>
    <s v="PWEGPL"/>
    <s v="MSEDCL"/>
    <n v="2.5000000000000001E-2"/>
    <s v="CE100018"/>
    <x v="406"/>
    <s v="PM-SF6"/>
    <d v="1899-12-30T10:30:00"/>
    <d v="1899-12-30T10:30:00"/>
    <d v="1899-12-30T13:00:00"/>
    <n v="0"/>
    <n v="2.4999999999999991"/>
    <n v="2.4999999999999991"/>
    <s v="SF-6 breaker Testing &amp; maintenance done"/>
    <s v="Close"/>
    <n v="6.2499999999999979E-2"/>
    <s v="G11"/>
    <n v="1821.1458333333328"/>
    <s v="None"/>
    <s v="WTG Breakdown Maintenance"/>
    <n v="17483"/>
    <n v="1821.1458333333328"/>
    <m/>
    <m/>
    <m/>
    <m/>
  </r>
  <r>
    <n v="2238"/>
    <x v="370"/>
    <x v="1"/>
    <x v="1"/>
    <x v="12"/>
    <x v="1"/>
    <x v="29"/>
    <s v="PWEGPL"/>
    <s v="MSEDCL"/>
    <n v="2.5000000000000001E-2"/>
    <s v="CE100018"/>
    <x v="406"/>
    <s v="PM-SF6"/>
    <d v="1899-12-30T13:20:00"/>
    <d v="1899-12-30T13:20:00"/>
    <d v="1899-12-30T14:49:00"/>
    <n v="0"/>
    <n v="1.4833333333333334"/>
    <n v="1.4833333333333334"/>
    <s v="SF-6 breaker Testing &amp; maintenance done"/>
    <s v="Close"/>
    <n v="3.7083333333333336E-2"/>
    <s v="G10"/>
    <n v="937.71388888888885"/>
    <s v="None"/>
    <s v="WTG Breakdown Maintenance"/>
    <n v="15172"/>
    <n v="937.71388888888885"/>
    <m/>
    <m/>
    <m/>
    <m/>
  </r>
  <r>
    <n v="2239"/>
    <x v="370"/>
    <x v="1"/>
    <x v="1"/>
    <x v="12"/>
    <x v="1"/>
    <x v="20"/>
    <s v="PWEGPL"/>
    <s v="MSEDCL"/>
    <n v="2.5000000000000001E-2"/>
    <s v="CE100018"/>
    <x v="406"/>
    <s v="PM-SF6"/>
    <d v="1899-12-30T15:15:00"/>
    <d v="1899-12-30T15:15:00"/>
    <d v="1899-12-30T17:30:00"/>
    <n v="0"/>
    <n v="2.25"/>
    <n v="2.25"/>
    <s v="SF-6 breaker Testing &amp; maintenance done"/>
    <s v="Close"/>
    <n v="5.6250000000000001E-2"/>
    <s v="G07"/>
    <n v="1705.5"/>
    <s v="None"/>
    <s v="WTG Breakdown Maintenance"/>
    <n v="18192"/>
    <n v="1705.5"/>
    <m/>
    <m/>
    <m/>
    <m/>
  </r>
  <r>
    <n v="2240"/>
    <x v="370"/>
    <x v="1"/>
    <x v="1"/>
    <x v="12"/>
    <x v="1"/>
    <x v="30"/>
    <s v="PWEGPL"/>
    <s v="MSEDCL"/>
    <n v="2.5000000000000001E-2"/>
    <n v="800"/>
    <x v="298"/>
    <s v="BD"/>
    <d v="1899-12-30T15:08:00"/>
    <d v="1899-12-30T15:28:00"/>
    <d v="1899-12-30T20:01:00"/>
    <n v="0.33333333333333481"/>
    <n v="4.5499999999999972"/>
    <n v="4.883333333333332"/>
    <s v="Check releted circuit found cable losse  so tight it then restore wtg."/>
    <s v="Close"/>
    <n v="0.12208333333333331"/>
    <s v="G09"/>
    <n v="2494.9763888888883"/>
    <s v="None"/>
    <s v="WTG Breakdown Maintenance"/>
    <n v="12262"/>
    <n v="2494.9763888888883"/>
    <m/>
    <m/>
    <m/>
    <m/>
  </r>
  <r>
    <n v="2241"/>
    <x v="370"/>
    <x v="1"/>
    <x v="1"/>
    <x v="12"/>
    <x v="1"/>
    <x v="30"/>
    <s v="PWEGPL"/>
    <s v="MSEDCL"/>
    <n v="2.5000000000000001E-2"/>
    <n v="800"/>
    <x v="298"/>
    <s v="BD"/>
    <d v="1899-12-30T23:15:00"/>
    <d v="1899-12-30T23:59:00"/>
    <d v="1899-12-30T23:59:00"/>
    <n v="0.73333333333333339"/>
    <n v="0"/>
    <n v="0.73333333333333339"/>
    <s v="Work under progress"/>
    <s v="Open"/>
    <n v="1.8333333333333337E-2"/>
    <s v="G09"/>
    <n v="374.67222222222227"/>
    <s v="None"/>
    <s v="WTG Breakdown Maintenance"/>
    <n v="12262"/>
    <n v="374.67222222222227"/>
    <m/>
    <m/>
    <m/>
    <m/>
  </r>
  <r>
    <n v="2242"/>
    <x v="371"/>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7728.6291666666666"/>
    <s v="None"/>
    <s v="WTG Unscheduled Maintenance"/>
    <n v="7734"/>
    <n v="7728.6291666666666"/>
    <m/>
    <m/>
    <m/>
    <m/>
  </r>
  <r>
    <n v="2243"/>
    <x v="371"/>
    <x v="1"/>
    <x v="1"/>
    <x v="12"/>
    <x v="1"/>
    <x v="30"/>
    <s v="PWEGPL"/>
    <s v="MSEDCL"/>
    <n v="2.5000000000000001E-2"/>
    <n v="800"/>
    <x v="298"/>
    <s v="BD"/>
    <d v="1899-12-30T00:00:00"/>
    <d v="1899-12-30T00:00:00"/>
    <d v="1899-12-30T11:50:00"/>
    <n v="0"/>
    <n v="11.833333333333334"/>
    <n v="11.833333333333334"/>
    <s v="Check related circuit Found KR209 realy &amp; relay base failure and cable shot."/>
    <s v="Close"/>
    <n v="0.29583333333333334"/>
    <s v="G09"/>
    <n v="3727.0069444444443"/>
    <s v="None"/>
    <s v="WTG Breakdown Maintenance"/>
    <n v="7559"/>
    <n v="3727.0069444444443"/>
    <m/>
    <m/>
    <m/>
    <m/>
  </r>
  <r>
    <n v="2244"/>
    <x v="371"/>
    <x v="1"/>
    <x v="1"/>
    <x v="12"/>
    <x v="1"/>
    <x v="24"/>
    <s v="PWEGPL"/>
    <s v="MSEDCL"/>
    <n v="2.5000000000000001E-2"/>
    <s v="CE100018"/>
    <x v="406"/>
    <s v="PM-SF6"/>
    <d v="1899-12-30T10:48:00"/>
    <d v="1899-12-30T10:48:00"/>
    <d v="1899-12-30T13:40:00"/>
    <n v="0"/>
    <n v="2.8666666666666658"/>
    <n v="2.8666666666666658"/>
    <s v="SF-6 breaker Testing &amp; maintenance done"/>
    <s v="Close"/>
    <n v="7.1666666666666642E-2"/>
    <s v="G22"/>
    <n v="1077.7472222222218"/>
    <s v="None"/>
    <s v="WTG Breakdown Maintenance"/>
    <n v="9023"/>
    <n v="1077.7472222222218"/>
    <m/>
    <m/>
    <m/>
    <m/>
  </r>
  <r>
    <n v="2245"/>
    <x v="371"/>
    <x v="1"/>
    <x v="1"/>
    <x v="12"/>
    <x v="1"/>
    <x v="34"/>
    <s v="PWEGPL"/>
    <s v="MSEDCL"/>
    <n v="2.5000000000000001E-2"/>
    <s v="CE100018"/>
    <x v="406"/>
    <s v="PM-SF6"/>
    <d v="1899-12-30T13:51:00"/>
    <d v="1899-12-30T13:51:00"/>
    <d v="1899-12-30T15:35:00"/>
    <n v="0"/>
    <n v="1.7333333333333352"/>
    <n v="1.7333333333333352"/>
    <s v="SF-6 breaker Testing &amp; maintenance done"/>
    <s v="Close"/>
    <n v="4.3333333333333383E-2"/>
    <s v="G05"/>
    <n v="558.56666666666729"/>
    <s v="None"/>
    <s v="WTG Breakdown Maintenance"/>
    <n v="7734"/>
    <n v="558.56666666666729"/>
    <m/>
    <m/>
    <m/>
    <m/>
  </r>
  <r>
    <n v="2246"/>
    <x v="371"/>
    <x v="1"/>
    <x v="1"/>
    <x v="12"/>
    <x v="1"/>
    <x v="33"/>
    <s v="PWEGPL"/>
    <s v="MSEDCL"/>
    <n v="2.5000000000000001E-2"/>
    <s v="CE100018"/>
    <x v="406"/>
    <s v="PM-SF6"/>
    <d v="1899-12-30T15:44:00"/>
    <d v="1899-12-30T15:44:00"/>
    <d v="1899-12-30T17:13:00"/>
    <n v="0"/>
    <n v="1.4833333333333307"/>
    <n v="1.4833333333333307"/>
    <s v="SF-6 breaker Testing &amp; maintenance done"/>
    <s v="Close"/>
    <n v="3.7083333333333267E-2"/>
    <s v="G22"/>
    <n v="557.67152777777676"/>
    <s v="None"/>
    <s v="WTG Breakdown Maintenance"/>
    <n v="9023"/>
    <n v="557.67152777777676"/>
    <m/>
    <m/>
    <m/>
    <m/>
  </r>
  <r>
    <n v="2247"/>
    <x v="371"/>
    <x v="1"/>
    <x v="1"/>
    <x v="12"/>
    <x v="1"/>
    <x v="30"/>
    <s v="PWEGPL"/>
    <s v="MSEDCL"/>
    <n v="2.5000000000000001E-2"/>
    <n v="800"/>
    <x v="298"/>
    <s v="BD"/>
    <d v="1899-12-30T13:07:00"/>
    <d v="1899-12-30T14:16:00"/>
    <d v="1899-12-30T14:27:00"/>
    <n v="1.1499999999999986"/>
    <n v="0.18333333333333268"/>
    <n v="1.3333333333333313"/>
    <s v="Found proprotional valve cable short"/>
    <s v="Close"/>
    <n v="3.3333333333333284E-2"/>
    <s v="G09"/>
    <n v="419.94444444444377"/>
    <s v="None"/>
    <s v="WTG Breakdown Maintenance"/>
    <n v="7559"/>
    <n v="419.94444444444377"/>
    <m/>
    <m/>
    <m/>
    <m/>
  </r>
  <r>
    <n v="2248"/>
    <x v="371"/>
    <x v="1"/>
    <x v="1"/>
    <x v="12"/>
    <x v="1"/>
    <x v="30"/>
    <s v="PWEGPL"/>
    <s v="MSEDCL"/>
    <n v="2.5000000000000001E-2"/>
    <n v="800"/>
    <x v="298"/>
    <s v="BD"/>
    <d v="1899-12-30T15:01:00"/>
    <d v="1899-12-30T15:01:00"/>
    <d v="1899-12-30T17:45:00"/>
    <n v="0"/>
    <n v="2.7333333333333343"/>
    <n v="2.7333333333333343"/>
    <s v="Found proprotional valve cable short"/>
    <s v="Close"/>
    <n v="6.8333333333333357E-2"/>
    <s v="G09"/>
    <n v="860.8861111111114"/>
    <s v="None"/>
    <s v="WTG Breakdown Maintenance"/>
    <n v="7559"/>
    <n v="860.8861111111114"/>
    <m/>
    <m/>
    <m/>
    <m/>
  </r>
  <r>
    <n v="2249"/>
    <x v="371"/>
    <x v="1"/>
    <x v="1"/>
    <x v="12"/>
    <x v="1"/>
    <x v="30"/>
    <s v="PWEGPL"/>
    <s v="MSEDCL"/>
    <n v="2.5000000000000001E-2"/>
    <n v="800"/>
    <x v="298"/>
    <s v="BD"/>
    <d v="1899-12-30T19:33:00"/>
    <d v="1899-12-30T23:59:00"/>
    <d v="1899-12-30T23:59:00"/>
    <n v="4.4333333333333336"/>
    <n v="0"/>
    <n v="4.4333333333333336"/>
    <s v="Work under progress"/>
    <s v="Open"/>
    <n v="0.11083333333333334"/>
    <s v="G09"/>
    <n v="1396.3152777777777"/>
    <s v="Material Shortage - Propotional valve cable"/>
    <s v="WTG Breakdown Maintenance"/>
    <n v="7559"/>
    <n v="1396.3152777777777"/>
    <m/>
    <m/>
    <m/>
    <m/>
  </r>
  <r>
    <n v="2250"/>
    <x v="372"/>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2374.35"/>
    <s v="None"/>
    <s v="WTG Unscheduled Maintenance"/>
    <n v="2376"/>
    <n v="2374.35"/>
    <m/>
    <m/>
    <m/>
    <m/>
  </r>
  <r>
    <n v="2251"/>
    <x v="372"/>
    <x v="1"/>
    <x v="1"/>
    <x v="12"/>
    <x v="1"/>
    <x v="30"/>
    <s v="PWEGPL"/>
    <s v="MSEDCL"/>
    <n v="2.5000000000000001E-2"/>
    <n v="800"/>
    <x v="298"/>
    <s v="BD"/>
    <d v="1899-12-30T00:00:00"/>
    <d v="1899-12-30T00:00:00"/>
    <d v="1899-12-30T12:42:00"/>
    <n v="0"/>
    <n v="12.7"/>
    <n v="12.7"/>
    <s v="Found WA250 cable failure so replace with new one"/>
    <s v="Close"/>
    <n v="0.3175"/>
    <s v="G13"/>
    <n v="1348.8458333333333"/>
    <s v="Material Shortage - Propotional valve cable."/>
    <s v="WTG Breakdown Maintenance"/>
    <n v="2549"/>
    <n v="1348.8458333333333"/>
    <m/>
    <m/>
    <m/>
    <m/>
  </r>
  <r>
    <n v="2252"/>
    <x v="372"/>
    <x v="1"/>
    <x v="1"/>
    <x v="12"/>
    <x v="1"/>
    <x v="0"/>
    <s v="PWEGPL"/>
    <s v="MSEDCL"/>
    <n v="2.5000000000000001E-2"/>
    <n v="205"/>
    <x v="312"/>
    <s v="BD"/>
    <d v="1899-12-30T09:58:00"/>
    <d v="1899-12-30T11:12:00"/>
    <d v="1899-12-30T12:19:00"/>
    <n v="1.2333333333333316"/>
    <n v="1.1166666666666667"/>
    <n v="2.3499999999999983"/>
    <s v="Top Up 10 liter Hu oil then restore wtg."/>
    <s v="Close"/>
    <n v="5.8749999999999962E-2"/>
    <s v="G16"/>
    <n v="292.57499999999982"/>
    <s v="None"/>
    <s v="WTG Breakdown Maintenance"/>
    <n v="2988"/>
    <n v="292.57499999999982"/>
    <m/>
    <m/>
    <m/>
    <m/>
  </r>
  <r>
    <n v="2253"/>
    <x v="372"/>
    <x v="1"/>
    <x v="1"/>
    <x v="12"/>
    <x v="1"/>
    <x v="9"/>
    <s v="PWEGPL"/>
    <s v="MSEDCL"/>
    <n v="2.5000000000000001E-2"/>
    <s v="CE100018"/>
    <x v="406"/>
    <s v="PM-SF6"/>
    <d v="1899-12-30T11:25:00"/>
    <d v="1899-12-30T11:25:00"/>
    <d v="1899-12-30T13:27:00"/>
    <n v="0"/>
    <n v="2.0333333333333341"/>
    <n v="2.0333333333333341"/>
    <s v="SF-6 breaker Testing &amp; maintenance done"/>
    <s v="Close"/>
    <n v="5.0833333333333355E-2"/>
    <s v="G29"/>
    <n v="218.24444444444453"/>
    <s v="None"/>
    <s v="WTG Breakdown Maintenance"/>
    <n v="2576"/>
    <n v="218.24444444444453"/>
    <m/>
    <m/>
    <m/>
    <m/>
  </r>
  <r>
    <n v="2254"/>
    <x v="372"/>
    <x v="1"/>
    <x v="1"/>
    <x v="12"/>
    <x v="1"/>
    <x v="10"/>
    <s v="PWEGPL"/>
    <s v="MSEDCL"/>
    <n v="2.5000000000000001E-2"/>
    <s v="CE100018"/>
    <x v="406"/>
    <s v="PM-SF6"/>
    <d v="1899-12-30T13:46:00"/>
    <d v="1899-12-30T13:46:00"/>
    <d v="1899-12-30T15:24:00"/>
    <n v="0"/>
    <n v="1.6333333333333329"/>
    <n v="1.6333333333333329"/>
    <s v="SF-6 breaker Testing &amp; maintenance done"/>
    <s v="Close"/>
    <n v="4.0833333333333326E-2"/>
    <s v="G28"/>
    <n v="185.85972222222219"/>
    <s v="None"/>
    <s v="WTG Breakdown Maintenance"/>
    <n v="2731"/>
    <n v="185.85972222222219"/>
    <m/>
    <m/>
    <m/>
    <m/>
  </r>
  <r>
    <n v="2255"/>
    <x v="372"/>
    <x v="1"/>
    <x v="1"/>
    <x v="12"/>
    <x v="1"/>
    <x v="11"/>
    <s v="PWEGPL"/>
    <s v="MSEDCL"/>
    <n v="2.5000000000000001E-2"/>
    <s v="CE100018"/>
    <x v="406"/>
    <s v="PM-SF6"/>
    <d v="1899-12-30T15:39:00"/>
    <d v="1899-12-30T15:39:00"/>
    <d v="1899-12-30T16:47:00"/>
    <n v="0"/>
    <n v="1.1333333333333346"/>
    <n v="1.1333333333333346"/>
    <s v="SF-6 breaker Testing &amp; maintenance done"/>
    <s v="Close"/>
    <n v="2.8333333333333367E-2"/>
    <s v="G31"/>
    <n v="136.89722222222238"/>
    <s v="None"/>
    <s v="WTG Breakdown Maintenance"/>
    <n v="2899"/>
    <n v="136.89722222222238"/>
    <m/>
    <m/>
    <m/>
    <m/>
  </r>
  <r>
    <n v="2256"/>
    <x v="372"/>
    <x v="1"/>
    <x v="1"/>
    <x v="12"/>
    <x v="1"/>
    <x v="12"/>
    <s v="PWEGPL"/>
    <s v="MSEDCL"/>
    <n v="2.5000000000000001E-2"/>
    <s v="CE100018"/>
    <x v="406"/>
    <s v="PM-SF6"/>
    <d v="1899-12-30T17:01:00"/>
    <d v="1899-12-30T17:01:00"/>
    <d v="1899-12-30T18:27:00"/>
    <n v="0"/>
    <n v="1.4333333333333336"/>
    <n v="1.4333333333333336"/>
    <s v="SF-6 breaker Testing &amp; maintenance done"/>
    <s v="Close"/>
    <n v="3.5833333333333342E-2"/>
    <s v="G30"/>
    <n v="165.60972222222225"/>
    <s v="None"/>
    <s v="WTG Breakdown Maintenance"/>
    <n v="2773"/>
    <n v="165.60972222222225"/>
    <m/>
    <m/>
    <m/>
    <m/>
  </r>
  <r>
    <n v="2257"/>
    <x v="373"/>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3238.7493055555556"/>
    <s v="None"/>
    <s v="WTG Unscheduled Maintenance"/>
    <n v="3241"/>
    <n v="3238.7493055555556"/>
    <m/>
    <m/>
    <m/>
    <m/>
  </r>
  <r>
    <n v="2258"/>
    <x v="373"/>
    <x v="1"/>
    <x v="1"/>
    <x v="12"/>
    <x v="1"/>
    <x v="7"/>
    <s v="PWEGPL"/>
    <s v="MSEDCL"/>
    <n v="2.5000000000000001E-2"/>
    <s v="CE100018"/>
    <x v="406"/>
    <s v="PM-SF6"/>
    <d v="1899-12-30T10:32:00"/>
    <d v="1899-12-30T10:32:00"/>
    <d v="1899-12-30T11:41:00"/>
    <n v="0"/>
    <n v="1.1499999999999999"/>
    <n v="1.1499999999999999"/>
    <s v="SF-6 breaker Testing &amp; maintenance done"/>
    <s v="Close"/>
    <n v="2.8749999999999998E-2"/>
    <s v="G39"/>
    <n v="152.56666666666663"/>
    <s v="None"/>
    <s v="WTG Breakdown Maintenance"/>
    <n v="3184"/>
    <n v="152.56666666666663"/>
    <m/>
    <m/>
    <m/>
    <m/>
  </r>
  <r>
    <n v="2259"/>
    <x v="373"/>
    <x v="1"/>
    <x v="1"/>
    <x v="12"/>
    <x v="1"/>
    <x v="6"/>
    <s v="PWEGPL"/>
    <s v="MSEDCL"/>
    <n v="2.5000000000000001E-2"/>
    <s v="CE100018"/>
    <x v="406"/>
    <s v="PM-SF6"/>
    <d v="1899-12-30T11:53:00"/>
    <d v="1899-12-30T11:53:00"/>
    <d v="1899-12-30T13:12:00"/>
    <n v="0"/>
    <n v="1.316666666666666"/>
    <n v="1.316666666666666"/>
    <s v="SF-6 breaker Testing &amp; maintenance done"/>
    <s v="Close"/>
    <n v="3.291666666666665E-2"/>
    <s v="G40"/>
    <n v="185.43055555555549"/>
    <s v="None"/>
    <s v="WTG Breakdown Maintenance"/>
    <n v="3380"/>
    <n v="185.43055555555549"/>
    <m/>
    <m/>
    <m/>
    <m/>
  </r>
  <r>
    <n v="2260"/>
    <x v="373"/>
    <x v="1"/>
    <x v="1"/>
    <x v="12"/>
    <x v="1"/>
    <x v="2"/>
    <s v="PWEGPL"/>
    <s v="MSEDCL"/>
    <n v="2.5000000000000001E-2"/>
    <s v="CE100018"/>
    <x v="406"/>
    <s v="PM-SF6"/>
    <d v="1899-12-30T13:27:00"/>
    <d v="1899-12-30T13:27:00"/>
    <d v="1899-12-30T14:28:00"/>
    <n v="0"/>
    <n v="1.0166666666666657"/>
    <n v="1.0166666666666657"/>
    <s v="SF-6 breaker Testing &amp; maintenance done"/>
    <s v="Close"/>
    <n v="2.5416666666666643E-2"/>
    <s v="G32"/>
    <n v="111.7062499999999"/>
    <s v="None"/>
    <s v="WTG Breakdown Maintenance"/>
    <n v="2637"/>
    <n v="111.7062499999999"/>
    <m/>
    <m/>
    <m/>
    <m/>
  </r>
  <r>
    <n v="2261"/>
    <x v="373"/>
    <x v="1"/>
    <x v="1"/>
    <x v="12"/>
    <x v="1"/>
    <x v="3"/>
    <s v="PWEGPL"/>
    <s v="MSEDCL"/>
    <n v="2.5000000000000001E-2"/>
    <s v="CE100018"/>
    <x v="406"/>
    <s v="PM-SF6"/>
    <d v="1899-12-30T14:51:00"/>
    <d v="1899-12-30T14:51:00"/>
    <d v="1899-12-30T15:56:00"/>
    <n v="0"/>
    <n v="1.0833333333333321"/>
    <n v="1.0833333333333321"/>
    <s v="SF-6 breaker Testing &amp; maintenance done"/>
    <s v="Close"/>
    <n v="2.7083333333333307E-2"/>
    <s v="G26"/>
    <n v="148.01041666666652"/>
    <s v="None"/>
    <s v="WTG Breakdown Maintenance"/>
    <n v="3279"/>
    <n v="148.01041666666652"/>
    <m/>
    <m/>
    <m/>
    <m/>
  </r>
  <r>
    <n v="2262"/>
    <x v="373"/>
    <x v="1"/>
    <x v="1"/>
    <x v="12"/>
    <x v="1"/>
    <x v="17"/>
    <s v="PWEGPL"/>
    <s v="MSEDCL"/>
    <n v="2.5000000000000001E-2"/>
    <s v="CE100014"/>
    <x v="305"/>
    <s v="Manual stop"/>
    <d v="1899-12-30T16:31:00"/>
    <d v="1899-12-30T16:31:00"/>
    <d v="1899-12-30T17:57:00"/>
    <n v="0"/>
    <n v="1.4333333333333336"/>
    <n v="1.4333333333333336"/>
    <s v="Customer audit done"/>
    <s v="Close"/>
    <n v="3.5833333333333342E-2"/>
    <s v="G03"/>
    <n v="213.50694444444449"/>
    <s v="None"/>
    <s v="WTG Unscheduled Maintenance"/>
    <n v="3575"/>
    <n v="213.50694444444449"/>
    <m/>
    <m/>
    <m/>
    <m/>
  </r>
  <r>
    <n v="2263"/>
    <x v="374"/>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1175.1833333333334"/>
    <s v="None"/>
    <s v="WTG Unscheduled Maintenance"/>
    <n v="1176"/>
    <n v="1175.1833333333334"/>
    <m/>
    <m/>
    <m/>
    <m/>
  </r>
  <r>
    <n v="2264"/>
    <x v="374"/>
    <x v="1"/>
    <x v="1"/>
    <x v="12"/>
    <x v="1"/>
    <x v="35"/>
    <s v="PWEGPL"/>
    <s v="MSEDCL"/>
    <n v="2.5000000000000001E-2"/>
    <n v="800"/>
    <x v="298"/>
    <s v="BD"/>
    <d v="1899-12-30T09:42:00"/>
    <d v="1899-12-30T10:31:00"/>
    <d v="1899-12-30T10:37:00"/>
    <n v="0.81666666666666909"/>
    <n v="9.9999999999999645E-2"/>
    <n v="0.91666666666666874"/>
    <s v="Reset and restored "/>
    <s v="Close"/>
    <n v="2.2916666666666721E-2"/>
    <s v="G25"/>
    <n v="69.437500000000156"/>
    <s v="None"/>
    <s v="WTG Breakdown Maintenance"/>
    <n v="1818"/>
    <n v="69.437500000000156"/>
    <m/>
    <m/>
    <m/>
    <m/>
  </r>
  <r>
    <n v="2265"/>
    <x v="374"/>
    <x v="1"/>
    <x v="1"/>
    <x v="12"/>
    <x v="1"/>
    <x v="5"/>
    <s v="PWEGPL"/>
    <s v="MSEDCL"/>
    <n v="2.5000000000000001E-2"/>
    <s v="CE100018"/>
    <x v="406"/>
    <s v="PM-SF6"/>
    <d v="1899-12-30T11:09:00"/>
    <d v="1899-12-30T11:09:00"/>
    <d v="1899-12-30T12:35:00"/>
    <n v="0"/>
    <n v="1.4333333333333336"/>
    <n v="1.4333333333333336"/>
    <s v="SF-6 breaker Testing &amp; maintenance done"/>
    <s v="Close"/>
    <n v="3.5833333333333342E-2"/>
    <s v="G39"/>
    <n v="91.613888888888894"/>
    <s v="None"/>
    <s v="WTG Breakdown Maintenance"/>
    <n v="1534"/>
    <n v="91.613888888888894"/>
    <m/>
    <m/>
    <m/>
    <m/>
  </r>
  <r>
    <n v="2266"/>
    <x v="374"/>
    <x v="1"/>
    <x v="1"/>
    <x v="12"/>
    <x v="1"/>
    <x v="4"/>
    <s v="PWEGPL"/>
    <s v="MSEDCL"/>
    <n v="2.5000000000000001E-2"/>
    <s v="CE100018"/>
    <x v="406"/>
    <s v="PM-SF6"/>
    <d v="1899-12-30T12:54:00"/>
    <d v="1899-12-30T12:54:00"/>
    <d v="1899-12-30T13:58:00"/>
    <n v="0"/>
    <n v="1.0666666666666682"/>
    <n v="1.0666666666666682"/>
    <s v="SF-6 breaker Testing &amp; maintenance done"/>
    <s v="Close"/>
    <n v="2.6666666666666707E-2"/>
    <s v="G36"/>
    <n v="92.577777777777911"/>
    <s v="None"/>
    <s v="WTG Breakdown Maintenance"/>
    <n v="2083"/>
    <n v="92.577777777777911"/>
    <m/>
    <m/>
    <m/>
    <m/>
  </r>
  <r>
    <n v="2267"/>
    <x v="374"/>
    <x v="1"/>
    <x v="1"/>
    <x v="12"/>
    <x v="1"/>
    <x v="16"/>
    <s v="PWEGPL"/>
    <s v="MSEDCL"/>
    <n v="2.5000000000000001E-2"/>
    <s v="CE100018"/>
    <x v="406"/>
    <s v="PM-SF6"/>
    <d v="1899-12-30T14:44:00"/>
    <d v="1899-12-30T14:44:00"/>
    <d v="1899-12-30T15:58:00"/>
    <n v="0"/>
    <n v="1.2333333333333343"/>
    <n v="1.2333333333333343"/>
    <s v="SF-6 breaker Testing &amp; maintenance done"/>
    <s v="Close"/>
    <n v="3.0833333333333358E-2"/>
    <s v="G37"/>
    <n v="89.1597222222223"/>
    <s v="None"/>
    <s v="WTG Breakdown Maintenance"/>
    <n v="1735"/>
    <n v="89.1597222222223"/>
    <m/>
    <m/>
    <m/>
    <m/>
  </r>
  <r>
    <n v="2268"/>
    <x v="374"/>
    <x v="1"/>
    <x v="1"/>
    <x v="12"/>
    <x v="1"/>
    <x v="15"/>
    <s v="PWEGPL"/>
    <s v="MSEDCL"/>
    <n v="2.5000000000000001E-2"/>
    <s v="CE100018"/>
    <x v="406"/>
    <s v="PM-SF6"/>
    <d v="1899-12-30T16:18:00"/>
    <d v="1899-12-30T16:18:00"/>
    <d v="1899-12-30T17:18:00"/>
    <n v="0"/>
    <n v="0.99999999999999911"/>
    <n v="0.99999999999999911"/>
    <s v="SF-6 breaker Testing &amp; maintenance done"/>
    <s v="Close"/>
    <n v="2.4999999999999981E-2"/>
    <s v="G36"/>
    <n v="86.7916666666666"/>
    <s v="None"/>
    <s v="WTG Breakdown Maintenance"/>
    <n v="2083"/>
    <n v="86.7916666666666"/>
    <m/>
    <m/>
    <m/>
    <m/>
  </r>
  <r>
    <n v="2269"/>
    <x v="374"/>
    <x v="1"/>
    <x v="1"/>
    <x v="12"/>
    <x v="1"/>
    <x v="0"/>
    <s v="PWEGPL"/>
    <s v="MSEDCL"/>
    <n v="2.5000000000000001E-2"/>
    <n v="205"/>
    <x v="312"/>
    <s v="BD"/>
    <d v="1899-12-30T13:36:00"/>
    <d v="1899-12-30T14:26:00"/>
    <d v="1899-12-30T15:55:00"/>
    <n v="0.83333333333333304"/>
    <n v="1.4833333333333334"/>
    <n v="2.3166666666666664"/>
    <s v="Top Up 10 liter Hu oil then restore wtg."/>
    <s v="Close"/>
    <n v="5.7916666666666665E-2"/>
    <s v="G16"/>
    <n v="260.52847222222221"/>
    <s v="None"/>
    <s v="WTG Breakdown Maintenance"/>
    <n v="2699"/>
    <n v="260.52847222222221"/>
    <m/>
    <m/>
    <m/>
    <m/>
  </r>
  <r>
    <n v="2270"/>
    <x v="375"/>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6770.2951388888896"/>
    <s v="None"/>
    <s v="WTG Unscheduled Maintenance"/>
    <n v="6775"/>
    <n v="6770.2951388888896"/>
    <m/>
    <m/>
    <m/>
    <m/>
  </r>
  <r>
    <n v="2271"/>
    <x v="375"/>
    <x v="1"/>
    <x v="1"/>
    <x v="12"/>
    <x v="1"/>
    <x v="13"/>
    <s v="PWEGPL"/>
    <s v="MSEDCL"/>
    <n v="2.5000000000000001E-2"/>
    <s v="CE100018"/>
    <x v="406"/>
    <s v="PM-SF6"/>
    <d v="1899-12-30T12:29:00"/>
    <d v="1899-12-30T12:29:00"/>
    <d v="1899-12-30T15:28:00"/>
    <n v="0"/>
    <n v="2.9833333333333361"/>
    <n v="2.9833333333333361"/>
    <s v="SF-6 breaker Testing &amp; maintenance done"/>
    <s v="Close"/>
    <n v="7.4583333333333404E-2"/>
    <s v="G34"/>
    <n v="794.68541666666738"/>
    <s v="None"/>
    <s v="WTG Breakdown Maintenance"/>
    <n v="6393"/>
    <n v="794.68541666666738"/>
    <m/>
    <m/>
    <m/>
    <m/>
  </r>
  <r>
    <n v="2272"/>
    <x v="375"/>
    <x v="1"/>
    <x v="1"/>
    <x v="12"/>
    <x v="1"/>
    <x v="14"/>
    <s v="PWEGPL"/>
    <s v="MSEDCL"/>
    <n v="2.5000000000000001E-2"/>
    <s v="CE100018"/>
    <x v="406"/>
    <s v="PM-SF6"/>
    <d v="1899-12-30T15:35:00"/>
    <d v="1899-12-30T15:35:00"/>
    <d v="1899-12-30T17:48:00"/>
    <n v="0"/>
    <n v="2.2166666666666668"/>
    <n v="2.2166666666666668"/>
    <s v="SF-6 breaker Testing &amp; maintenance done"/>
    <s v="Close"/>
    <n v="5.541666666666667E-2"/>
    <s v="G35"/>
    <n v="560.90902777777774"/>
    <s v="None"/>
    <s v="WTG Breakdown Maintenance"/>
    <n v="6073"/>
    <n v="560.90902777777774"/>
    <m/>
    <m/>
    <m/>
    <m/>
  </r>
  <r>
    <n v="2273"/>
    <x v="375"/>
    <x v="1"/>
    <x v="1"/>
    <x v="12"/>
    <x v="1"/>
    <x v="32"/>
    <s v="PWEGPL"/>
    <s v="MSEDCL"/>
    <n v="2.5000000000000001E-2"/>
    <n v="2118"/>
    <x v="293"/>
    <s v="BD"/>
    <d v="1899-12-30T22:01:00"/>
    <d v="1899-12-30T22:41:00"/>
    <d v="1899-12-30T23:26:00"/>
    <n v="0.66666666666666696"/>
    <n v="0.75"/>
    <n v="1.416666666666667"/>
    <s v="Found slipring dust accumulated then cleaned and restored"/>
    <s v="Close"/>
    <n v="3.5416666666666673E-2"/>
    <s v="G15"/>
    <n v="394.24652777777789"/>
    <s v="None"/>
    <s v="WTG Breakdown Maintenance"/>
    <n v="6679"/>
    <n v="394.24652777777789"/>
    <m/>
    <m/>
    <m/>
    <m/>
  </r>
  <r>
    <n v="2274"/>
    <x v="376"/>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3490.5743055555554"/>
    <s v="None"/>
    <s v="WTG Unscheduled Maintenance"/>
    <n v="3493"/>
    <n v="3490.5743055555554"/>
    <m/>
    <m/>
    <m/>
    <m/>
  </r>
  <r>
    <n v="2275"/>
    <x v="376"/>
    <x v="1"/>
    <x v="1"/>
    <x v="12"/>
    <x v="1"/>
    <x v="19"/>
    <s v="PWEGPL"/>
    <s v="MSEDCL"/>
    <n v="2.5000000000000001E-2"/>
    <s v="CE100018"/>
    <x v="406"/>
    <s v="PM-SF6"/>
    <d v="1899-12-30T11:20:00"/>
    <d v="1899-12-30T11:20:00"/>
    <d v="1899-12-30T12:34:00"/>
    <n v="0"/>
    <n v="1.2333333333333329"/>
    <n v="1.2333333333333329"/>
    <s v="SF-6 breaker Testing &amp; maintenance done"/>
    <s v="Close"/>
    <n v="3.0833333333333324E-2"/>
    <s v="G19"/>
    <n v="200.10833333333326"/>
    <s v="None"/>
    <s v="WTG Breakdown Maintenance"/>
    <n v="3894"/>
    <n v="200.10833333333326"/>
    <m/>
    <m/>
    <m/>
    <m/>
  </r>
  <r>
    <n v="2276"/>
    <x v="376"/>
    <x v="1"/>
    <x v="1"/>
    <x v="12"/>
    <x v="1"/>
    <x v="38"/>
    <s v="PWEGPL"/>
    <s v="MSEDCL"/>
    <n v="2.5000000000000001E-2"/>
    <s v="CE100018"/>
    <x v="406"/>
    <s v="PM-SF6"/>
    <d v="1899-12-30T13:00:00"/>
    <d v="1899-12-30T13:00:00"/>
    <d v="1899-12-30T14:01:00"/>
    <n v="0"/>
    <n v="1.0166666666666684"/>
    <n v="1.0166666666666684"/>
    <s v="SF-6 breaker Testing &amp; maintenance done"/>
    <s v="Close"/>
    <n v="2.5416666666666712E-2"/>
    <s v="G19"/>
    <n v="164.95416666666694"/>
    <s v="None"/>
    <s v="WTG Breakdown Maintenance"/>
    <n v="3894"/>
    <n v="164.95416666666694"/>
    <m/>
    <m/>
    <m/>
    <m/>
  </r>
  <r>
    <n v="2277"/>
    <x v="376"/>
    <x v="1"/>
    <x v="1"/>
    <x v="12"/>
    <x v="1"/>
    <x v="8"/>
    <s v="PWEGPL"/>
    <s v="MSEDCL"/>
    <n v="2.5000000000000001E-2"/>
    <s v="CE100018"/>
    <x v="406"/>
    <s v="PM-SF6"/>
    <d v="1899-12-30T15:18:00"/>
    <d v="1899-12-30T15:18:00"/>
    <d v="1899-12-30T16:03:00"/>
    <n v="0"/>
    <n v="0.75"/>
    <n v="0.75"/>
    <s v="SF-6 breaker Testing &amp; maintenance done"/>
    <s v="Close"/>
    <n v="1.8750000000000003E-2"/>
    <s v="G24"/>
    <n v="129.875"/>
    <s v="None"/>
    <s v="WTG Breakdown Maintenance"/>
    <n v="4156"/>
    <n v="129.875"/>
    <m/>
    <m/>
    <m/>
    <m/>
  </r>
  <r>
    <n v="2278"/>
    <x v="376"/>
    <x v="1"/>
    <x v="1"/>
    <x v="12"/>
    <x v="1"/>
    <x v="36"/>
    <s v="PWEGPL"/>
    <s v="MSEDCL"/>
    <n v="2.5000000000000001E-2"/>
    <s v="CE100018"/>
    <x v="406"/>
    <s v="PM-SF6"/>
    <d v="1899-12-30T16:18:00"/>
    <d v="1899-12-30T16:18:00"/>
    <d v="1899-12-30T18:59:00"/>
    <n v="0"/>
    <n v="2.6833333333333345"/>
    <n v="2.6833333333333345"/>
    <s v="SF-6 breaker Testing &amp; maintenance done"/>
    <s v="Close"/>
    <n v="6.708333333333337E-2"/>
    <s v="G24"/>
    <n v="464.66388888888906"/>
    <s v="None"/>
    <s v="WTG Breakdown Maintenance"/>
    <n v="4156"/>
    <n v="464.66388888888906"/>
    <m/>
    <m/>
    <m/>
    <m/>
  </r>
  <r>
    <n v="2279"/>
    <x v="376"/>
    <x v="1"/>
    <x v="1"/>
    <x v="12"/>
    <x v="1"/>
    <x v="26"/>
    <s v="PWEGPL"/>
    <s v="MSEDCL"/>
    <n v="2.5000000000000001E-2"/>
    <n v="2102"/>
    <x v="320"/>
    <s v="BD"/>
    <d v="1899-12-30T20:50:00"/>
    <d v="1899-12-30T22:05:00"/>
    <d v="1899-12-30T22:14:00"/>
    <n v="1.2500000000000009"/>
    <n v="0.15000000000000213"/>
    <n v="1.400000000000003"/>
    <s v="Reset and restored "/>
    <s v="Close"/>
    <n v="3.500000000000008E-2"/>
    <s v="G01"/>
    <n v="180.48333333333372"/>
    <s v="None"/>
    <s v="WTG Breakdown Maintenance"/>
    <n v="3094"/>
    <n v="180.48333333333372"/>
    <m/>
    <m/>
    <m/>
    <m/>
  </r>
  <r>
    <n v="2280"/>
    <x v="376"/>
    <x v="1"/>
    <x v="1"/>
    <x v="12"/>
    <x v="1"/>
    <x v="4"/>
    <s v="PWEGPL"/>
    <s v="MSEDCL"/>
    <n v="2.5000000000000001E-2"/>
    <s v="CE100001"/>
    <x v="288"/>
    <s v="Manual stop"/>
    <d v="1899-12-30T11:35:00"/>
    <d v="1899-12-30T11:35:00"/>
    <d v="1899-12-30T12:05:00"/>
    <n v="0"/>
    <n v="0.49999999999999956"/>
    <n v="0.49999999999999956"/>
    <s v="Plc replace &amp; software update."/>
    <s v="Close"/>
    <n v="1.249999999999999E-2"/>
    <s v="G36"/>
    <n v="60.312499999999943"/>
    <s v="None"/>
    <s v="WTG Breakdown Maintenance"/>
    <n v="2895"/>
    <n v="60.312499999999943"/>
    <m/>
    <m/>
    <m/>
    <m/>
  </r>
  <r>
    <n v="2281"/>
    <x v="377"/>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2800.0541666666668"/>
    <s v="None"/>
    <s v="WTG Unscheduled Maintenance"/>
    <n v="2802"/>
    <n v="2800.0541666666668"/>
    <m/>
    <m/>
    <m/>
    <m/>
  </r>
  <r>
    <n v="2282"/>
    <x v="377"/>
    <x v="1"/>
    <x v="1"/>
    <x v="12"/>
    <x v="1"/>
    <x v="12"/>
    <s v="PWEGPL"/>
    <s v="MSEDCL"/>
    <n v="2.5000000000000001E-2"/>
    <n v="205"/>
    <x v="312"/>
    <s v="BD"/>
    <d v="1899-12-30T11:13:00"/>
    <d v="1899-12-30T12:21:00"/>
    <d v="1899-12-30T13:27:00"/>
    <n v="1.133333333333332"/>
    <n v="1.1000000000000014"/>
    <n v="2.2333333333333334"/>
    <s v="Top Up 10 liter Hu oil then restore wtg."/>
    <s v="Close"/>
    <n v="5.5833333333333339E-2"/>
    <s v="G29"/>
    <n v="278.70138888888891"/>
    <s v="None"/>
    <s v="WTG Breakdown Maintenance"/>
    <n v="2995"/>
    <n v="278.70138888888891"/>
    <m/>
    <m/>
    <m/>
    <m/>
  </r>
  <r>
    <n v="2283"/>
    <x v="377"/>
    <x v="1"/>
    <x v="1"/>
    <x v="12"/>
    <x v="1"/>
    <x v="35"/>
    <s v="PWEGPL"/>
    <s v="MSEDCL"/>
    <n v="2.5000000000000001E-2"/>
    <s v="CE100018"/>
    <x v="406"/>
    <s v="PM-SF6"/>
    <d v="1899-12-30T12:17:00"/>
    <d v="1899-12-30T12:17:00"/>
    <d v="1899-12-30T13:26:00"/>
    <n v="0"/>
    <n v="1.1500000000000012"/>
    <n v="1.1500000000000012"/>
    <s v="SF-6 breaker Testing &amp; maintenance done"/>
    <s v="Close"/>
    <n v="2.8750000000000032E-2"/>
    <s v="G25"/>
    <n v="119.0729166666668"/>
    <s v="None"/>
    <s v="WTG Breakdown Maintenance"/>
    <n v="2485"/>
    <n v="119.0729166666668"/>
    <m/>
    <m/>
    <m/>
    <m/>
  </r>
  <r>
    <n v="2284"/>
    <x v="377"/>
    <x v="1"/>
    <x v="1"/>
    <x v="12"/>
    <x v="1"/>
    <x v="36"/>
    <s v="PWEGPL"/>
    <s v="MSEDCL"/>
    <n v="2.5000000000000001E-2"/>
    <n v="5212"/>
    <x v="319"/>
    <s v="BD"/>
    <d v="1899-12-30T19:40:00"/>
    <d v="1899-12-30T19:41:00"/>
    <d v="1899-12-30T20:23:00"/>
    <n v="1.6666666666663943E-2"/>
    <n v="0.70000000000000018"/>
    <n v="0.71666666666666412"/>
    <s v="Found preload MPCB tripped so correct it then start it."/>
    <s v="Close"/>
    <n v="1.7916666666666605E-2"/>
    <s v="G24"/>
    <n v="123.77430555555512"/>
    <s v="None"/>
    <s v="WTG Breakdown Maintenance"/>
    <n v="4145"/>
    <n v="123.77430555555512"/>
    <m/>
    <m/>
    <m/>
    <m/>
  </r>
  <r>
    <n v="2285"/>
    <x v="377"/>
    <x v="1"/>
    <x v="1"/>
    <x v="12"/>
    <x v="1"/>
    <x v="3"/>
    <s v="PWEGPL"/>
    <s v="MSEDCL"/>
    <n v="2.5000000000000001E-2"/>
    <n v="203"/>
    <x v="290"/>
    <s v="BD"/>
    <d v="1899-12-30T19:46:00"/>
    <d v="1899-12-30T19:47:00"/>
    <d v="1899-12-30T21:45:00"/>
    <n v="1.6666666666669272E-2"/>
    <n v="1.966666666666665"/>
    <n v="1.9833333333333343"/>
    <s v="Found Solenoid valve cable loose so correct it then restore it."/>
    <s v="Close"/>
    <n v="4.9583333333333361E-2"/>
    <s v="G26"/>
    <n v="430.71388888888907"/>
    <s v="None"/>
    <s v="WTG Breakdown Maintenance"/>
    <n v="5212"/>
    <n v="430.71388888888907"/>
    <m/>
    <m/>
    <m/>
    <m/>
  </r>
  <r>
    <n v="2286"/>
    <x v="378"/>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4972.5444444444447"/>
    <s v="None"/>
    <s v="WTG Unscheduled Maintenance"/>
    <n v="4976"/>
    <n v="4972.5444444444447"/>
    <m/>
    <m/>
    <m/>
    <m/>
  </r>
  <r>
    <n v="2287"/>
    <x v="378"/>
    <x v="1"/>
    <x v="1"/>
    <x v="12"/>
    <x v="1"/>
    <x v="20"/>
    <s v="PWEGPL"/>
    <s v="MSEDCL"/>
    <n v="2.5000000000000001E-2"/>
    <n v="2118"/>
    <x v="293"/>
    <s v="BD"/>
    <d v="1899-12-30T09:45:00"/>
    <d v="1899-12-30T11:00:00"/>
    <d v="1899-12-30T12:13:00"/>
    <n v="1.2499999999999996"/>
    <n v="1.2166666666666663"/>
    <n v="2.4666666666666659"/>
    <s v="slip ring clean then restore wtg."/>
    <s v="Close"/>
    <n v="6.1666666666666647E-2"/>
    <s v="G07"/>
    <n v="469.38611111111095"/>
    <s v="None"/>
    <s v="WTG Breakdown Maintenance"/>
    <n v="4567"/>
    <n v="469.38611111111095"/>
    <m/>
    <m/>
    <m/>
    <m/>
  </r>
  <r>
    <n v="2288"/>
    <x v="378"/>
    <x v="1"/>
    <x v="1"/>
    <x v="12"/>
    <x v="1"/>
    <x v="39"/>
    <s v="PWEGPL"/>
    <s v="MSEDCL"/>
    <n v="2.5000000000000001E-2"/>
    <n v="550"/>
    <x v="297"/>
    <s v="Manual stop"/>
    <d v="1899-12-30T11:13:00"/>
    <d v="1899-12-30T11:13:00"/>
    <d v="1899-12-30T12:33:00"/>
    <n v="0"/>
    <n v="1.3333333333333339"/>
    <n v="1.3333333333333339"/>
    <s v="Found MPCB Tripped condition then checked motor and correct MPCB then restore wtg."/>
    <s v="Close"/>
    <n v="3.3333333333333347E-2"/>
    <s v="G14"/>
    <n v="296.88888888888903"/>
    <s v="None"/>
    <s v="WTG Breakdown Maintenance"/>
    <n v="5344"/>
    <n v="296.88888888888903"/>
    <m/>
    <m/>
    <m/>
    <m/>
  </r>
  <r>
    <n v="2289"/>
    <x v="378"/>
    <x v="1"/>
    <x v="1"/>
    <x v="12"/>
    <x v="1"/>
    <x v="3"/>
    <s v="PWEGPL"/>
    <s v="MSEDCL"/>
    <n v="2.5000000000000001E-2"/>
    <n v="203"/>
    <x v="290"/>
    <s v="Manual stop"/>
    <d v="1899-12-30T14:42:00"/>
    <d v="1899-12-30T14:42:00"/>
    <d v="1899-12-30T16:44:00"/>
    <n v="0"/>
    <n v="2.0333333333333368"/>
    <n v="2.0333333333333368"/>
    <s v="Check N2 pressure &amp; connections on hydrualic  unit."/>
    <s v="Close"/>
    <n v="5.0833333333333425E-2"/>
    <s v="G26"/>
    <n v="414.80000000000069"/>
    <s v="None"/>
    <s v="WTG Breakdown Maintenance"/>
    <n v="4896"/>
    <n v="414.80000000000069"/>
    <m/>
    <m/>
    <m/>
    <m/>
  </r>
  <r>
    <n v="2290"/>
    <x v="379"/>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7152.0298611111111"/>
    <s v="None"/>
    <s v="WTG Unscheduled Maintenance"/>
    <n v="7157"/>
    <n v="7152.0298611111111"/>
    <m/>
    <m/>
    <m/>
    <m/>
  </r>
  <r>
    <n v="2291"/>
    <x v="379"/>
    <x v="1"/>
    <x v="1"/>
    <x v="13"/>
    <x v="1"/>
    <x v="31"/>
    <s v="PWEGPL"/>
    <s v="MSEDCL"/>
    <n v="2.5000000000000001E-2"/>
    <n v="2118"/>
    <x v="293"/>
    <s v="BD"/>
    <d v="1899-12-30T01:07:00"/>
    <d v="1899-12-30T01:24:00"/>
    <d v="1899-12-30T02:45:00"/>
    <n v="0.28333333333333316"/>
    <n v="1.35"/>
    <n v="1.6333333333333333"/>
    <s v="Slip ring clean then restore wtg."/>
    <s v="Close"/>
    <n v="4.0833333333333333E-2"/>
    <s v="G12"/>
    <n v="491.70138888888891"/>
    <s v="None"/>
    <s v="WTG Breakdown Maintenance"/>
    <n v="7225"/>
    <n v="491.70138888888891"/>
    <m/>
    <m/>
    <m/>
    <m/>
  </r>
  <r>
    <n v="2292"/>
    <x v="379"/>
    <x v="1"/>
    <x v="1"/>
    <x v="13"/>
    <x v="1"/>
    <x v="10"/>
    <s v="PWEGPL"/>
    <s v="MSEDCL"/>
    <n v="2.5000000000000001E-2"/>
    <n v="110"/>
    <x v="287"/>
    <s v="BD"/>
    <d v="1899-12-30T10:13:00"/>
    <d v="1899-12-30T11:25:00"/>
    <d v="1899-12-30T12:07:00"/>
    <n v="1.1999999999999997"/>
    <n v="0.70000000000000018"/>
    <n v="1.9"/>
    <s v="untwist and set yaw sensor then restore wtg."/>
    <s v="Close"/>
    <n v="4.7500000000000001E-2"/>
    <s v="G28"/>
    <n v="522.57916666666665"/>
    <s v="None"/>
    <s v="WTG Breakdown Maintenance"/>
    <n v="6601"/>
    <n v="522.57916666666665"/>
    <m/>
    <m/>
    <m/>
    <m/>
  </r>
  <r>
    <n v="2293"/>
    <x v="379"/>
    <x v="1"/>
    <x v="1"/>
    <x v="13"/>
    <x v="1"/>
    <x v="0"/>
    <s v="PWEGPL"/>
    <s v="MSEDCL"/>
    <n v="2.5000000000000001E-2"/>
    <n v="205"/>
    <x v="312"/>
    <s v="BD"/>
    <d v="1899-12-30T15:19:00"/>
    <d v="1899-12-30T15:56:00"/>
    <d v="1899-12-30T18:31:00"/>
    <n v="0.61666666666666714"/>
    <n v="2.5833333333333321"/>
    <n v="3.1999999999999993"/>
    <s v="Check leakage and clean then top-up 15 liter hu oil"/>
    <s v="Close"/>
    <n v="7.9999999999999988E-2"/>
    <s v="G16"/>
    <n v="1045.5999999999997"/>
    <s v="None"/>
    <s v="WTG Breakdown Maintenance"/>
    <n v="7842"/>
    <n v="1045.5999999999997"/>
    <m/>
    <m/>
    <m/>
    <m/>
  </r>
  <r>
    <n v="2294"/>
    <x v="379"/>
    <x v="1"/>
    <x v="1"/>
    <x v="13"/>
    <x v="1"/>
    <x v="6"/>
    <s v="PWEGPL"/>
    <s v="MSEDCL"/>
    <n v="2.5000000000000001E-2"/>
    <n v="2118"/>
    <x v="293"/>
    <s v="BD"/>
    <d v="1899-12-30T12:35:00"/>
    <d v="1899-12-30T12:48:00"/>
    <d v="1899-12-30T13:27:00"/>
    <n v="0.2166666666666659"/>
    <n v="0.65000000000000036"/>
    <n v="0.86666666666666625"/>
    <s v="Slip ring clean then restore wtg."/>
    <s v="Close"/>
    <n v="2.1666666666666657E-2"/>
    <s v="G40"/>
    <n v="293.6194444444443"/>
    <s v="None"/>
    <s v="WTG Breakdown Maintenance"/>
    <n v="8131"/>
    <n v="293.6194444444443"/>
    <m/>
    <m/>
    <m/>
    <m/>
  </r>
  <r>
    <n v="2295"/>
    <x v="380"/>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6364.5770833333336"/>
    <s v="None"/>
    <s v="WTG Unscheduled Maintenance"/>
    <n v="6369"/>
    <n v="6364.5770833333336"/>
    <m/>
    <m/>
    <m/>
    <m/>
  </r>
  <r>
    <n v="2296"/>
    <x v="380"/>
    <x v="1"/>
    <x v="1"/>
    <x v="13"/>
    <x v="1"/>
    <x v="3"/>
    <s v="PWEGPL"/>
    <s v="MSEDCL"/>
    <n v="2.5000000000000001E-2"/>
    <n v="203"/>
    <x v="290"/>
    <s v="BD"/>
    <d v="1899-12-30T14:50:00"/>
    <d v="1899-12-30T15:10:00"/>
    <d v="1899-12-30T17:50:00"/>
    <n v="0.33333333333333215"/>
    <n v="2.6666666666666652"/>
    <n v="2.9999999999999973"/>
    <s v="Found proprotional valve malfuntion so replace with new one."/>
    <s v="Close"/>
    <n v="7.4999999999999942E-2"/>
    <s v="G26"/>
    <n v="1058.7499999999991"/>
    <s v="None"/>
    <s v="WTG Breakdown Maintenance"/>
    <n v="8470"/>
    <n v="1058.7499999999991"/>
    <m/>
    <m/>
    <m/>
    <m/>
  </r>
  <r>
    <n v="2297"/>
    <x v="380"/>
    <x v="1"/>
    <x v="1"/>
    <x v="13"/>
    <x v="1"/>
    <x v="24"/>
    <s v="PWEGPL"/>
    <s v="MSEDCL"/>
    <n v="2.5000000000000001E-2"/>
    <n v="5212"/>
    <x v="319"/>
    <s v="BD"/>
    <d v="1899-12-30T16:17:00"/>
    <d v="1899-12-30T16:45:00"/>
    <d v="1899-12-30T17:06:00"/>
    <n v="0.46666666666666501"/>
    <n v="0.35000000000000142"/>
    <n v="0.81666666666666643"/>
    <s v="Found preload MPCB tripped so correct it then start it."/>
    <s v="Close"/>
    <n v="2.0416666666666663E-2"/>
    <s v="G22"/>
    <n v="288.4534722222221"/>
    <s v="None"/>
    <s v="WTG Breakdown Maintenance"/>
    <n v="8477"/>
    <n v="288.4534722222221"/>
    <m/>
    <m/>
    <m/>
    <m/>
  </r>
  <r>
    <n v="2298"/>
    <x v="380"/>
    <x v="1"/>
    <x v="1"/>
    <x v="13"/>
    <x v="1"/>
    <x v="24"/>
    <s v="PWEGPL"/>
    <s v="MSEDCL"/>
    <n v="2.5000000000000001E-2"/>
    <s v="CE100008"/>
    <x v="400"/>
    <s v="Manual Stop/SEM"/>
    <d v="1899-12-30T13:45:00"/>
    <d v="1899-12-30T13:45:00"/>
    <d v="1899-12-30T16:08:00"/>
    <n v="0"/>
    <n v="2.3833333333333329"/>
    <n v="2.3833333333333329"/>
    <s v="Sem meter instalation work"/>
    <s v="Close"/>
    <n v="5.9583333333333321E-2"/>
    <s v="G22"/>
    <n v="841.81319444444421"/>
    <s v="None"/>
    <s v="WTG Unscheduled Maintenance"/>
    <n v="8477"/>
    <n v="841.81319444444421"/>
    <m/>
    <m/>
    <m/>
    <m/>
  </r>
  <r>
    <n v="2299"/>
    <x v="380"/>
    <x v="1"/>
    <x v="1"/>
    <x v="13"/>
    <x v="1"/>
    <x v="33"/>
    <s v="PWEGPL"/>
    <s v="MSEDCL"/>
    <n v="2.5000000000000001E-2"/>
    <s v="CE100008"/>
    <x v="400"/>
    <s v="Manual Stop/SEM"/>
    <d v="1899-12-30T16:34:00"/>
    <d v="1899-12-30T16:34:00"/>
    <d v="1899-12-30T17:25:00"/>
    <n v="0"/>
    <n v="0.85000000000000231"/>
    <n v="0.85000000000000231"/>
    <s v="Sem meter instalation work"/>
    <s v="Close"/>
    <n v="2.1250000000000061E-2"/>
    <s v="G22"/>
    <n v="300.22708333333412"/>
    <s v="None"/>
    <s v="WTG Unscheduled Maintenance"/>
    <n v="8477"/>
    <n v="300.22708333333412"/>
    <m/>
    <m/>
    <m/>
    <m/>
  </r>
  <r>
    <n v="2300"/>
    <x v="381"/>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7696.6513888888894"/>
    <s v="None"/>
    <s v="WTG Unscheduled Maintenance"/>
    <n v="7702"/>
    <n v="7696.6513888888894"/>
    <m/>
    <m/>
    <m/>
    <m/>
  </r>
  <r>
    <n v="2301"/>
    <x v="381"/>
    <x v="1"/>
    <x v="1"/>
    <x v="13"/>
    <x v="1"/>
    <x v="25"/>
    <s v="PWEGPL"/>
    <s v="MSEDCL"/>
    <n v="2.5000000000000001E-2"/>
    <n v="402"/>
    <x v="300"/>
    <s v="Manual stop"/>
    <d v="1899-12-30T11:42:00"/>
    <d v="1899-12-30T11:42:00"/>
    <d v="1899-12-30T16:10:00"/>
    <n v="0"/>
    <n v="4.4666666666666686"/>
    <n v="4.4666666666666686"/>
    <s v="Manual stop for gear box hose replacement work."/>
    <s v="Close"/>
    <n v="0.11166666666666672"/>
    <s v="G29"/>
    <n v="1637.5916666666674"/>
    <s v="None"/>
    <s v="WTG Breakdown Maintenance"/>
    <n v="8799"/>
    <n v="1637.5916666666674"/>
    <m/>
    <m/>
    <m/>
    <m/>
  </r>
  <r>
    <n v="2302"/>
    <x v="381"/>
    <x v="1"/>
    <x v="1"/>
    <x v="13"/>
    <x v="1"/>
    <x v="35"/>
    <s v="PWEGPL"/>
    <s v="MSEDCL"/>
    <n v="2.5000000000000001E-2"/>
    <n v="402"/>
    <x v="300"/>
    <s v="Manual stop"/>
    <d v="1899-12-30T11:38:00"/>
    <d v="1899-12-30T11:38:00"/>
    <d v="1899-12-30T16:11:00"/>
    <n v="0"/>
    <n v="4.5500000000000007"/>
    <n v="4.5500000000000007"/>
    <s v="Manual stop for gear box hose replacement work."/>
    <s v="Close"/>
    <n v="0.11375000000000002"/>
    <s v="G13"/>
    <n v="1810.3312500000002"/>
    <s v="None"/>
    <s v="WTG Breakdown Maintenance"/>
    <n v="9549"/>
    <n v="1810.3312500000002"/>
    <m/>
    <m/>
    <m/>
    <m/>
  </r>
  <r>
    <n v="2303"/>
    <x v="381"/>
    <x v="1"/>
    <x v="1"/>
    <x v="13"/>
    <x v="1"/>
    <x v="25"/>
    <s v="PWEGPL"/>
    <s v="MSEDCL"/>
    <n v="2.5000000000000001E-2"/>
    <n v="205"/>
    <x v="312"/>
    <s v="BD"/>
    <d v="1899-12-30T11:50:00"/>
    <d v="1899-12-30T13:00:00"/>
    <d v="1899-12-30T13:25:00"/>
    <n v="1.1666666666666652"/>
    <n v="0.41666666666666785"/>
    <n v="1.583333333333333"/>
    <s v="10 liter Oil top up then restore the turbine."/>
    <s v="Close"/>
    <n v="3.9583333333333331E-2"/>
    <s v="G03"/>
    <n v="463.38888888888886"/>
    <s v="None"/>
    <s v="WTG Breakdown Maintenance"/>
    <n v="7024"/>
    <n v="463.38888888888886"/>
    <m/>
    <m/>
    <m/>
    <m/>
  </r>
  <r>
    <n v="2304"/>
    <x v="382"/>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538.2361111111113"/>
    <s v="None"/>
    <s v="WTG Unscheduled Maintenance"/>
    <n v="2540"/>
    <n v="2538.2361111111113"/>
    <m/>
    <m/>
    <m/>
    <m/>
  </r>
  <r>
    <n v="2305"/>
    <x v="382"/>
    <x v="1"/>
    <x v="1"/>
    <x v="13"/>
    <x v="1"/>
    <x v="36"/>
    <s v="PWEGPL"/>
    <s v="MSEDCL"/>
    <n v="2.5000000000000001E-2"/>
    <s v="CE100010"/>
    <x v="296"/>
    <s v="PM"/>
    <d v="1899-12-30T11:41:00"/>
    <d v="1899-12-30T11:41:00"/>
    <d v="1899-12-30T19:24:00"/>
    <n v="0"/>
    <n v="7.716666666666665"/>
    <n v="7.716666666666665"/>
    <s v="Half Yearly maintenance done."/>
    <s v="Close"/>
    <n v="0.19291666666666663"/>
    <s v="G24"/>
    <n v="927.92916666666645"/>
    <s v="None"/>
    <s v="WTG Scheduled Maintenance"/>
    <n v="2886"/>
    <n v="927.92916666666645"/>
    <m/>
    <m/>
    <m/>
    <m/>
  </r>
  <r>
    <n v="2306"/>
    <x v="382"/>
    <x v="1"/>
    <x v="1"/>
    <x v="13"/>
    <x v="1"/>
    <x v="24"/>
    <s v="PWEGPL"/>
    <s v="MSEDCL"/>
    <n v="2.5000000000000001E-2"/>
    <n v="205"/>
    <x v="312"/>
    <s v="BD"/>
    <d v="1899-12-30T09:41:00"/>
    <d v="1899-12-30T11:34:00"/>
    <d v="1899-12-30T12:07:00"/>
    <n v="1.8833333333333333"/>
    <n v="0.54999999999999938"/>
    <n v="2.4333333333333327"/>
    <s v="10 liter Oil top up then restore the turbine."/>
    <s v="Close"/>
    <n v="6.0833333333333323E-2"/>
    <s v="G22"/>
    <n v="344.9249999999999"/>
    <s v="None"/>
    <s v="WTG Breakdown Maintenance"/>
    <n v="3402"/>
    <n v="344.9249999999999"/>
    <m/>
    <m/>
    <m/>
    <m/>
  </r>
  <r>
    <n v="2307"/>
    <x v="382"/>
    <x v="1"/>
    <x v="1"/>
    <x v="13"/>
    <x v="1"/>
    <x v="23"/>
    <s v="PWEGPL"/>
    <s v="MSEDCL"/>
    <n v="2.5000000000000001E-2"/>
    <n v="2118"/>
    <x v="293"/>
    <s v="BD"/>
    <d v="1899-12-30T14:10:00"/>
    <d v="1899-12-30T15:18:00"/>
    <d v="1899-12-30T15:48:00"/>
    <n v="1.1333333333333346"/>
    <n v="0.49999999999999822"/>
    <n v="1.6333333333333329"/>
    <s v="slip ring clean then restore wtg."/>
    <s v="Close"/>
    <n v="4.0833333333333326E-2"/>
    <s v="G03"/>
    <n v="287.39861111111105"/>
    <s v="None"/>
    <s v="WTG Breakdown Maintenance"/>
    <n v="4223"/>
    <n v="287.39861111111105"/>
    <m/>
    <m/>
    <m/>
    <m/>
  </r>
  <r>
    <n v="2308"/>
    <x v="383"/>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1846.7166666666667"/>
    <s v="None"/>
    <s v="WTG Unscheduled Maintenance"/>
    <n v="1848"/>
    <n v="1846.7166666666667"/>
    <m/>
    <m/>
    <m/>
    <m/>
  </r>
  <r>
    <n v="2309"/>
    <x v="383"/>
    <x v="1"/>
    <x v="1"/>
    <x v="13"/>
    <x v="1"/>
    <x v="35"/>
    <s v="PWEGPL"/>
    <s v="MSEDCL"/>
    <n v="2.5000000000000001E-2"/>
    <s v="CE100010"/>
    <x v="296"/>
    <s v="PM"/>
    <d v="1899-12-30T11:09:00"/>
    <d v="1899-12-30T11:09:00"/>
    <d v="1899-12-30T18:30:00"/>
    <n v="0"/>
    <n v="7.3500000000000005"/>
    <n v="7.3500000000000005"/>
    <s v="Half Yearly maintenance done."/>
    <s v="Close"/>
    <n v="0.18375000000000002"/>
    <s v="G25"/>
    <n v="834.22500000000002"/>
    <s v="None"/>
    <s v="WTG Scheduled Maintenance"/>
    <n v="2724"/>
    <n v="834.22500000000002"/>
    <m/>
    <m/>
    <m/>
    <m/>
  </r>
  <r>
    <n v="2310"/>
    <x v="383"/>
    <x v="1"/>
    <x v="1"/>
    <x v="13"/>
    <x v="1"/>
    <x v="0"/>
    <s v="PWEGPL"/>
    <s v="MSEDCL"/>
    <n v="2.5000000000000001E-2"/>
    <n v="205"/>
    <x v="312"/>
    <s v="BD"/>
    <d v="1899-12-30T14:25:00"/>
    <d v="1899-12-30T14:44:00"/>
    <d v="1899-12-30T15:55:00"/>
    <n v="0.31666666666666554"/>
    <n v="1.1833333333333345"/>
    <n v="1.5"/>
    <s v="10 liter Oil top up then restore the turbine."/>
    <s v="Close"/>
    <n v="3.7500000000000006E-2"/>
    <s v="G16"/>
    <n v="272.4375"/>
    <s v="None"/>
    <s v="WTG Breakdown Maintenance"/>
    <n v="4359"/>
    <n v="272.4375"/>
    <m/>
    <m/>
    <m/>
    <m/>
  </r>
  <r>
    <n v="2311"/>
    <x v="384"/>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8129.3506944444443"/>
    <s v="None"/>
    <s v="WTG Unscheduled Maintenance"/>
    <n v="8135"/>
    <n v="8129.3506944444443"/>
    <m/>
    <m/>
    <m/>
    <m/>
  </r>
  <r>
    <n v="2312"/>
    <x v="384"/>
    <x v="1"/>
    <x v="1"/>
    <x v="13"/>
    <x v="1"/>
    <x v="8"/>
    <s v="PWEGPL"/>
    <s v="MSEDCL"/>
    <n v="2.5000000000000001E-2"/>
    <s v="CE100010"/>
    <x v="296"/>
    <s v="PM"/>
    <d v="1899-12-30T11:05:00"/>
    <d v="1899-12-30T11:05:00"/>
    <d v="1899-12-30T23:31:00"/>
    <n v="0"/>
    <n v="12.433333333333332"/>
    <n v="12.433333333333332"/>
    <s v="Half Yearly maintenance done. And Main hu accumlator replacement work."/>
    <s v="Close"/>
    <n v="0.31083333333333329"/>
    <s v="G25"/>
    <n v="4563.5513888888881"/>
    <s v="None"/>
    <s v="WTG Scheduled Maintenance"/>
    <n v="8809"/>
    <n v="4563.5513888888881"/>
    <m/>
    <m/>
    <m/>
    <m/>
  </r>
  <r>
    <n v="2313"/>
    <x v="384"/>
    <x v="1"/>
    <x v="1"/>
    <x v="13"/>
    <x v="1"/>
    <x v="22"/>
    <s v="PWEGPL"/>
    <s v="MSEDCL"/>
    <n v="2.5000000000000001E-2"/>
    <n v="115"/>
    <x v="308"/>
    <s v="BD"/>
    <d v="1899-12-30T15:12:00"/>
    <d v="1899-12-30T15:42:00"/>
    <d v="1899-12-30T19:09:00"/>
    <n v="0.50000000000000089"/>
    <n v="3.4499999999999984"/>
    <n v="3.9499999999999993"/>
    <s v="Found main accumulator failure so replace with new then restore wtg."/>
    <s v="Close"/>
    <n v="9.8749999999999991E-2"/>
    <s v="G04"/>
    <n v="1839.2187499999998"/>
    <s v="None"/>
    <s v="WTG Breakdown Maintenance"/>
    <n v="11175"/>
    <n v="1839.2187499999998"/>
    <m/>
    <m/>
    <m/>
    <m/>
  </r>
  <r>
    <n v="2314"/>
    <x v="384"/>
    <x v="1"/>
    <x v="1"/>
    <x v="13"/>
    <x v="1"/>
    <x v="16"/>
    <s v="PWEGPL"/>
    <s v="MSEDCL"/>
    <n v="2.5000000000000001E-2"/>
    <n v="5234"/>
    <x v="351"/>
    <s v="BD"/>
    <d v="1899-12-30T15:01:00"/>
    <d v="1899-12-30T15:52:00"/>
    <d v="1899-12-30T21:09:00"/>
    <n v="0.84999999999999964"/>
    <n v="5.2833333333333332"/>
    <n v="6.1333333333333329"/>
    <s v="Found Smart crow bar IGBT failure so replace with new one the restore wtg."/>
    <s v="Close"/>
    <n v="0.15333333333333332"/>
    <s v="G37"/>
    <n v="2276.7444444444441"/>
    <s v="None"/>
    <s v="WTG Breakdown Maintenance"/>
    <n v="8909"/>
    <n v="2276.7444444444441"/>
    <m/>
    <m/>
    <m/>
    <m/>
  </r>
  <r>
    <n v="2315"/>
    <x v="385"/>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5006.5208333333339"/>
    <s v="None"/>
    <s v="WTG Unscheduled Maintenance"/>
    <n v="5010"/>
    <n v="5006.5208333333339"/>
    <m/>
    <m/>
    <m/>
    <m/>
  </r>
  <r>
    <n v="2316"/>
    <x v="385"/>
    <x v="1"/>
    <x v="1"/>
    <x v="13"/>
    <x v="1"/>
    <x v="34"/>
    <s v="PWEGPL"/>
    <s v="MSEDCL"/>
    <n v="2.5000000000000001E-2"/>
    <n v="2118"/>
    <x v="293"/>
    <s v="BD"/>
    <d v="1899-12-30T13:37:00"/>
    <d v="1899-12-30T14:00:00"/>
    <d v="1899-12-30T15:08:00"/>
    <n v="0.38333333333333464"/>
    <n v="1.133333333333332"/>
    <n v="1.5166666666666666"/>
    <s v="slip ring clean then restore wtg."/>
    <s v="Close"/>
    <n v="3.7916666666666668E-2"/>
    <s v="G21"/>
    <n v="402.48541666666665"/>
    <s v="None"/>
    <s v="WTG Breakdown Maintenance"/>
    <n v="6369"/>
    <n v="402.48541666666665"/>
    <m/>
    <m/>
    <m/>
    <m/>
  </r>
  <r>
    <n v="2317"/>
    <x v="385"/>
    <x v="1"/>
    <x v="1"/>
    <x v="13"/>
    <x v="1"/>
    <x v="4"/>
    <s v="PWEGPL"/>
    <s v="MSEDCL"/>
    <n v="2.5000000000000001E-2"/>
    <s v="CE100008"/>
    <x v="400"/>
    <s v="Manual Stop/SEM"/>
    <d v="1899-12-30T17:14:00"/>
    <d v="1899-12-30T17:14:00"/>
    <d v="1899-12-30T18:07:00"/>
    <n v="0"/>
    <n v="0.88333333333333286"/>
    <n v="0.88333333333333286"/>
    <s v="Sem meter instalation work"/>
    <s v="Close"/>
    <n v="2.2083333333333323E-2"/>
    <s v="G36"/>
    <n v="160.3249999999999"/>
    <s v="None"/>
    <s v="WTG Unscheduled Maintenance"/>
    <n v="4356"/>
    <n v="160.3249999999999"/>
    <m/>
    <m/>
    <m/>
    <m/>
  </r>
  <r>
    <n v="2318"/>
    <x v="386"/>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5767.9916666666668"/>
    <s v="None"/>
    <s v="WTG Unscheduled Maintenance"/>
    <n v="5772"/>
    <n v="5767.9916666666668"/>
    <m/>
    <m/>
    <m/>
    <m/>
  </r>
  <r>
    <n v="2319"/>
    <x v="386"/>
    <x v="1"/>
    <x v="1"/>
    <x v="13"/>
    <x v="1"/>
    <x v="12"/>
    <s v="PWEGPL"/>
    <s v="MSEDCL"/>
    <n v="2.5000000000000001E-2"/>
    <s v="CE100010"/>
    <x v="296"/>
    <s v="PM"/>
    <d v="1899-12-30T10:56:00"/>
    <d v="1899-12-30T10:56:00"/>
    <d v="1899-12-30T17:41:00"/>
    <n v="0"/>
    <n v="6.7500000000000018"/>
    <n v="6.7500000000000018"/>
    <s v="Half Yearly maintenance done."/>
    <s v="Close"/>
    <n v="0.16875000000000007"/>
    <s v="G29"/>
    <n v="1638.2812500000005"/>
    <s v="None"/>
    <s v="WTG Scheduled Maintenance"/>
    <n v="5825"/>
    <n v="1638.2812500000005"/>
    <m/>
    <m/>
    <m/>
    <m/>
  </r>
  <r>
    <n v="2320"/>
    <x v="386"/>
    <x v="1"/>
    <x v="1"/>
    <x v="13"/>
    <x v="1"/>
    <x v="35"/>
    <s v="PWEGPL"/>
    <s v="MSEDCL"/>
    <n v="2.5000000000000001E-2"/>
    <s v="CE100008"/>
    <x v="400"/>
    <s v="Manual Stop/SEM"/>
    <d v="1899-12-30T15:59:00"/>
    <d v="1899-12-30T15:59:00"/>
    <d v="1899-12-30T17:08:00"/>
    <n v="0"/>
    <n v="1.1500000000000012"/>
    <n v="1.1500000000000012"/>
    <s v="Sem meter instalation work"/>
    <s v="Close"/>
    <n v="2.8750000000000032E-2"/>
    <s v="G25"/>
    <n v="308.29583333333363"/>
    <s v="None"/>
    <s v="WTG Unscheduled Maintenance"/>
    <n v="6434"/>
    <n v="308.29583333333363"/>
    <m/>
    <m/>
    <m/>
    <m/>
  </r>
  <r>
    <n v="2321"/>
    <x v="386"/>
    <x v="1"/>
    <x v="1"/>
    <x v="13"/>
    <x v="1"/>
    <x v="8"/>
    <s v="PWEGPL"/>
    <s v="MSEDCL"/>
    <n v="2.5000000000000001E-2"/>
    <s v="CE100008"/>
    <x v="400"/>
    <s v="Manual Stop/SEM"/>
    <d v="1899-12-30T17:09:00"/>
    <d v="1899-12-30T17:09:00"/>
    <d v="1899-12-30T17:59:00"/>
    <n v="0"/>
    <n v="0.8333333333333357"/>
    <n v="0.8333333333333357"/>
    <s v="Sem meter instalation work"/>
    <s v="Close"/>
    <n v="2.0833333333333395E-2"/>
    <s v="G25"/>
    <n v="223.4027777777784"/>
    <s v="None"/>
    <s v="WTG Unscheduled Maintenance"/>
    <n v="6434"/>
    <n v="223.4027777777784"/>
    <m/>
    <m/>
    <m/>
    <m/>
  </r>
  <r>
    <n v="2322"/>
    <x v="386"/>
    <x v="1"/>
    <x v="1"/>
    <x v="13"/>
    <x v="1"/>
    <x v="16"/>
    <s v="PWEGPL"/>
    <s v="MSEDCL"/>
    <n v="2.5000000000000001E-2"/>
    <n v="5248"/>
    <x v="356"/>
    <s v="BD"/>
    <d v="1899-12-30T19:09:00"/>
    <d v="1899-12-30T19:40:00"/>
    <d v="1899-12-30T23:59:00"/>
    <n v="0.51666666666667016"/>
    <n v="4.3166666666666647"/>
    <n v="4.8333333333333348"/>
    <s v="Found IGBT failure so replace then restore wtg."/>
    <s v="Close"/>
    <n v="0.12083333333333338"/>
    <s v="G37"/>
    <n v="1177.9236111111115"/>
    <s v="None"/>
    <s v="WTG Breakdown Maintenance"/>
    <n v="5849"/>
    <n v="1177.9236111111115"/>
    <m/>
    <m/>
    <m/>
    <m/>
  </r>
  <r>
    <n v="2323"/>
    <x v="387"/>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466.286111111111"/>
    <s v="None"/>
    <s v="WTG Unscheduled Maintenance"/>
    <n v="2468"/>
    <n v="2466.286111111111"/>
    <m/>
    <m/>
    <m/>
    <m/>
  </r>
  <r>
    <n v="2324"/>
    <x v="387"/>
    <x v="1"/>
    <x v="1"/>
    <x v="13"/>
    <x v="1"/>
    <x v="9"/>
    <s v="PWEGPL"/>
    <s v="MSEDCL"/>
    <n v="2.5000000000000001E-2"/>
    <n v="205"/>
    <x v="312"/>
    <s v="BD"/>
    <d v="1899-12-30T10:05:00"/>
    <d v="1899-12-30T10:46:00"/>
    <d v="1899-12-30T11:19:00"/>
    <n v="0.68333333333333357"/>
    <n v="0.54999999999999938"/>
    <n v="1.2333333333333329"/>
    <s v="10 liter Oil top up then restore the turbine."/>
    <s v="Close"/>
    <n v="3.0833333333333324E-2"/>
    <s v="G29"/>
    <n v="128.36944444444441"/>
    <s v="None"/>
    <s v="WTG Breakdown Maintenance"/>
    <n v="2498"/>
    <n v="128.36944444444441"/>
    <m/>
    <m/>
    <m/>
    <m/>
  </r>
  <r>
    <n v="2325"/>
    <x v="387"/>
    <x v="1"/>
    <x v="1"/>
    <x v="13"/>
    <x v="1"/>
    <x v="14"/>
    <s v="PWEGPL"/>
    <s v="MSEDCL"/>
    <n v="2.5000000000000001E-2"/>
    <n v="800"/>
    <x v="298"/>
    <s v="BD"/>
    <d v="1899-12-30T11:47:00"/>
    <d v="1899-12-30T11:47:00"/>
    <d v="1899-12-30T12:47:00"/>
    <n v="0"/>
    <n v="1.0000000000000004"/>
    <n v="1.0000000000000004"/>
    <s v="Check related circuit found blade c Ao module fail so replace with new one then restore wtg."/>
    <s v="Close"/>
    <n v="2.5000000000000012E-2"/>
    <s v="G33"/>
    <n v="124.16666666666673"/>
    <s v="None"/>
    <s v="WTG Breakdown Maintenance"/>
    <n v="2980"/>
    <n v="124.16666666666673"/>
    <m/>
    <m/>
    <m/>
    <m/>
  </r>
  <r>
    <n v="2326"/>
    <x v="387"/>
    <x v="1"/>
    <x v="1"/>
    <x v="13"/>
    <x v="1"/>
    <x v="37"/>
    <s v="PWEGPL"/>
    <s v="MSEDCL"/>
    <n v="2.5000000000000001E-2"/>
    <n v="5234"/>
    <x v="351"/>
    <s v="BD"/>
    <d v="1899-12-30T14:43:00"/>
    <d v="1899-12-30T15:10:00"/>
    <d v="1899-12-30T18:29:00"/>
    <n v="0.4499999999999984"/>
    <n v="3.3166666666666682"/>
    <n v="3.7666666666666666"/>
    <s v="Check IGBT found ok then restore wtg."/>
    <s v="Close"/>
    <n v="9.4166666666666676E-2"/>
    <s v="G17"/>
    <n v="739.67916666666667"/>
    <s v="None"/>
    <s v="WTG Breakdown Maintenance"/>
    <n v="4713"/>
    <n v="739.67916666666667"/>
    <m/>
    <m/>
    <m/>
    <m/>
  </r>
  <r>
    <n v="2327"/>
    <x v="387"/>
    <x v="1"/>
    <x v="1"/>
    <x v="13"/>
    <x v="1"/>
    <x v="15"/>
    <s v="PWEGPL"/>
    <s v="MSEDCL"/>
    <n v="2.5000000000000001E-2"/>
    <n v="102"/>
    <x v="337"/>
    <s v="BD"/>
    <d v="1899-12-30T16:55:00"/>
    <d v="1899-12-30T17:26:00"/>
    <d v="1899-12-30T17:51:00"/>
    <n v="0.51666666666666483"/>
    <n v="0.41666666666666785"/>
    <n v="0.93333333333333268"/>
    <s v="Check related circuit found yaw motor failure so replace with new one then rtestore wtg."/>
    <s v="Close"/>
    <n v="2.3333333333333317E-2"/>
    <s v="G36"/>
    <n v="85.788888888888835"/>
    <s v="None"/>
    <s v="WTG Breakdown Maintenance"/>
    <n v="2206"/>
    <n v="85.788888888888835"/>
    <m/>
    <m/>
    <m/>
    <m/>
  </r>
  <r>
    <n v="2328"/>
    <x v="387"/>
    <x v="1"/>
    <x v="1"/>
    <x v="13"/>
    <x v="1"/>
    <x v="11"/>
    <s v="PWEGPL"/>
    <s v="MSEDCL"/>
    <n v="2.5000000000000001E-2"/>
    <s v="CE100010"/>
    <x v="296"/>
    <s v="PM"/>
    <d v="1899-12-30T10:57:00"/>
    <d v="1899-12-30T10:57:00"/>
    <d v="1899-12-30T18:00:00"/>
    <n v="0"/>
    <n v="7.0500000000000007"/>
    <n v="7.0500000000000007"/>
    <s v="Half Yearly maintenance done."/>
    <s v="Close"/>
    <n v="0.17625000000000002"/>
    <s v="G31"/>
    <n v="979.36250000000007"/>
    <s v="None"/>
    <s v="WTG Scheduled Maintenance"/>
    <n v="3334"/>
    <n v="979.36250000000007"/>
    <m/>
    <m/>
    <m/>
    <m/>
  </r>
  <r>
    <n v="2329"/>
    <x v="388"/>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812.0458333333336"/>
    <s v="None"/>
    <s v="WTG Unscheduled Maintenance"/>
    <n v="2814"/>
    <n v="2812.0458333333336"/>
    <m/>
    <m/>
    <m/>
    <m/>
  </r>
  <r>
    <n v="2330"/>
    <x v="388"/>
    <x v="1"/>
    <x v="1"/>
    <x v="13"/>
    <x v="1"/>
    <x v="0"/>
    <s v="PWEGPL"/>
    <s v="MSEDCL"/>
    <n v="2.5000000000000001E-2"/>
    <n v="205"/>
    <x v="312"/>
    <s v="BD"/>
    <d v="1899-12-30T10:45:00"/>
    <d v="1899-12-30T11:05:00"/>
    <d v="1899-12-30T12:40:00"/>
    <n v="0.33333333333333348"/>
    <n v="1.583333333333333"/>
    <n v="1.9166666666666665"/>
    <s v="10 liter Oil top up then restore the turbine."/>
    <s v="Close"/>
    <n v="4.7916666666666663E-2"/>
    <s v="G16"/>
    <n v="325.03472222222223"/>
    <s v="None"/>
    <s v="WTG Breakdown Maintenance"/>
    <n v="4070"/>
    <n v="325.03472222222223"/>
    <m/>
    <m/>
    <m/>
    <m/>
  </r>
  <r>
    <n v="2331"/>
    <x v="389"/>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3540.5395833333337"/>
    <s v="None"/>
    <s v="WTG Unscheduled Maintenance"/>
    <n v="3543"/>
    <n v="3540.5395833333337"/>
    <m/>
    <m/>
    <m/>
    <m/>
  </r>
  <r>
    <n v="2332"/>
    <x v="389"/>
    <x v="1"/>
    <x v="1"/>
    <x v="13"/>
    <x v="1"/>
    <x v="10"/>
    <s v="PWEGPL"/>
    <s v="MSEDCL"/>
    <n v="2.5000000000000001E-2"/>
    <s v="CE100010"/>
    <x v="296"/>
    <s v="PM"/>
    <d v="1899-12-30T10:48:00"/>
    <d v="1899-12-30T10:48:00"/>
    <d v="1899-12-30T18:02:00"/>
    <n v="0"/>
    <n v="7.2333333333333361"/>
    <n v="7.2333333333333361"/>
    <s v="Half Yearly maintenance done."/>
    <s v="Close"/>
    <n v="0.1808333333333334"/>
    <s v="G28"/>
    <n v="943.34722222222251"/>
    <s v="None"/>
    <s v="WTG Scheduled Maintenance"/>
    <n v="3130"/>
    <n v="943.34722222222251"/>
    <m/>
    <m/>
    <m/>
    <m/>
  </r>
  <r>
    <n v="2333"/>
    <x v="389"/>
    <x v="1"/>
    <x v="1"/>
    <x v="13"/>
    <x v="1"/>
    <x v="26"/>
    <s v="PWEGPL"/>
    <s v="MSEDCL"/>
    <n v="2.5000000000000001E-2"/>
    <n v="5203"/>
    <x v="294"/>
    <s v="BD"/>
    <d v="1899-12-30T14:30:00"/>
    <d v="1899-12-30T15:08:00"/>
    <d v="1899-12-30T16:09:00"/>
    <n v="0.63333333333333375"/>
    <n v="1.0166666666666657"/>
    <n v="1.6499999999999995"/>
    <s v="Check realated circuit found fan MCB tripped . So check all cooling fan found ok then restore wtg."/>
    <s v="Close"/>
    <n v="4.1249999999999988E-2"/>
    <s v="G01"/>
    <n v="301.05624999999992"/>
    <s v="None"/>
    <s v="WTG Breakdown Maintenance"/>
    <n v="4379"/>
    <n v="301.05624999999992"/>
    <m/>
    <m/>
    <m/>
    <m/>
  </r>
  <r>
    <n v="2334"/>
    <x v="389"/>
    <x v="1"/>
    <x v="1"/>
    <x v="13"/>
    <x v="1"/>
    <x v="3"/>
    <s v="PWEGPL"/>
    <s v="MSEDCL"/>
    <n v="2.5000000000000001E-2"/>
    <n v="203"/>
    <x v="290"/>
    <s v="BD"/>
    <d v="1899-12-30T18:45:00"/>
    <d v="1899-12-30T19:20:00"/>
    <d v="1899-12-30T22:35:00"/>
    <n v="0.58333333333333126"/>
    <n v="3.2500000000000018"/>
    <n v="3.833333333333333"/>
    <s v="Reset and restored "/>
    <s v="Close"/>
    <n v="9.5833333333333326E-2"/>
    <s v="G26"/>
    <n v="526.60416666666663"/>
    <s v="None"/>
    <s v="WTG Breakdown Maintenance"/>
    <n v="3297"/>
    <n v="526.60416666666663"/>
    <m/>
    <m/>
    <m/>
    <m/>
  </r>
  <r>
    <n v="2335"/>
    <x v="390"/>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204.4680555555556"/>
    <s v="None"/>
    <s v="WTG Unscheduled Maintenance"/>
    <n v="2206"/>
    <n v="2204.4680555555556"/>
    <m/>
    <m/>
    <m/>
    <m/>
  </r>
  <r>
    <n v="2336"/>
    <x v="390"/>
    <x v="1"/>
    <x v="1"/>
    <x v="13"/>
    <x v="1"/>
    <x v="14"/>
    <s v="PWEGPL"/>
    <s v="MSEDCL"/>
    <n v="2.5000000000000001E-2"/>
    <s v="CE100010"/>
    <x v="296"/>
    <s v="PM"/>
    <d v="1899-12-30T11:00:00"/>
    <d v="1899-12-30T11:00:00"/>
    <d v="1899-12-30T17:49:00"/>
    <n v="0"/>
    <n v="6.8166666666666682"/>
    <n v="6.8166666666666682"/>
    <s v="Half Yearly maintenance done."/>
    <s v="Close"/>
    <n v="0.17041666666666672"/>
    <s v="G33"/>
    <n v="713.19375000000014"/>
    <s v="None"/>
    <s v="WTG Scheduled Maintenance"/>
    <n v="2511"/>
    <n v="713.19375000000014"/>
    <m/>
    <m/>
    <m/>
    <m/>
  </r>
  <r>
    <n v="2337"/>
    <x v="390"/>
    <x v="1"/>
    <x v="1"/>
    <x v="13"/>
    <x v="1"/>
    <x v="7"/>
    <s v="PWEGPL"/>
    <s v="MSEDCL"/>
    <n v="2.5000000000000001E-2"/>
    <n v="102"/>
    <x v="337"/>
    <s v="BD"/>
    <d v="1899-12-30T17:20:00"/>
    <d v="1899-12-30T18:10:00"/>
    <d v="1899-12-30T19:30:00"/>
    <n v="0.8333333333333357"/>
    <n v="1.3333333333333313"/>
    <n v="2.166666666666667"/>
    <s v="Check related circuit found yaw contactor failure so replace with new one the restore wtg."/>
    <s v="Close"/>
    <n v="5.4166666666666675E-2"/>
    <s v="G39"/>
    <n v="220.81944444444449"/>
    <s v="None"/>
    <s v="WTG Breakdown Maintenance"/>
    <n v="2446"/>
    <n v="220.81944444444449"/>
    <m/>
    <m/>
    <m/>
    <m/>
  </r>
  <r>
    <n v="2338"/>
    <x v="390"/>
    <x v="1"/>
    <x v="1"/>
    <x v="13"/>
    <x v="1"/>
    <x v="5"/>
    <s v="PWEGPL"/>
    <s v="MSEDCL"/>
    <n v="2.5000000000000001E-2"/>
    <n v="500"/>
    <x v="302"/>
    <s v="BD"/>
    <d v="1899-12-30T22:10:00"/>
    <d v="1899-12-30T22:40:00"/>
    <d v="1899-12-30T23:59:00"/>
    <n v="0.50000000000000089"/>
    <n v="1.3166666666666647"/>
    <n v="1.8166666666666655"/>
    <s v="Reset and restored "/>
    <s v="Close"/>
    <n v="4.541666666666664E-2"/>
    <s v="G39"/>
    <n v="185.14861111111099"/>
    <s v="None"/>
    <s v="WTG Breakdown Maintenance"/>
    <n v="2446"/>
    <n v="185.14861111111099"/>
    <m/>
    <m/>
    <m/>
    <m/>
  </r>
  <r>
    <n v="2339"/>
    <x v="391"/>
    <x v="1"/>
    <x v="1"/>
    <x v="13"/>
    <x v="1"/>
    <x v="1"/>
    <s v="PWEGPL"/>
    <s v="MSEDCL"/>
    <n v="2.5000000000000001E-2"/>
    <s v="CE100002"/>
    <x v="381"/>
    <s v="Manual stop/TCA"/>
    <d v="1899-12-30T00:00:00"/>
    <d v="1899-12-30T00:00:00"/>
    <d v="1899-12-30T20:52:00"/>
    <n v="0"/>
    <n v="20.866666666666667"/>
    <n v="20.866666666666667"/>
    <s v="Blade repair under progress on up tower"/>
    <s v="Close"/>
    <n v="0.52166666666666672"/>
    <s v="G05"/>
    <n v="4948.8777777777777"/>
    <s v="None"/>
    <s v="WTG Scheduled Maintenance"/>
    <n v="5692"/>
    <n v="4948.8777777777777"/>
    <m/>
    <m/>
    <m/>
    <m/>
  </r>
  <r>
    <n v="2340"/>
    <x v="391"/>
    <x v="1"/>
    <x v="1"/>
    <x v="13"/>
    <x v="1"/>
    <x v="38"/>
    <s v="PWEGPL"/>
    <s v="MSEDCL"/>
    <n v="2.5000000000000001E-2"/>
    <n v="1894"/>
    <x v="325"/>
    <s v="BD"/>
    <d v="1899-12-30T17:34:00"/>
    <d v="1899-12-30T17:58:00"/>
    <d v="1899-12-30T18:26:00"/>
    <n v="0.39999999999999858"/>
    <n v="0.46666666666667034"/>
    <n v="0.86666666666666892"/>
    <s v="Reset and restored "/>
    <s v="Close"/>
    <n v="2.1666666666666723E-2"/>
    <s v="G19"/>
    <n v="188.42777777777826"/>
    <s v="None"/>
    <s v="WTG Breakdown Maintenance"/>
    <n v="5218"/>
    <n v="188.42777777777826"/>
    <m/>
    <m/>
    <m/>
    <m/>
  </r>
  <r>
    <n v="2341"/>
    <x v="391"/>
    <x v="1"/>
    <x v="1"/>
    <x v="13"/>
    <x v="1"/>
    <x v="32"/>
    <s v="PWEGPL"/>
    <s v="MSEDCL"/>
    <n v="2.5000000000000001E-2"/>
    <n v="116"/>
    <x v="361"/>
    <s v="BD"/>
    <d v="1899-12-30T13:04:00"/>
    <d v="1899-12-30T13:33:00"/>
    <d v="1899-12-30T14:27:00"/>
    <n v="0.48333333333333428"/>
    <n v="0.89999999999999947"/>
    <n v="1.3833333333333337"/>
    <s v="pos110 value tunning done and restored"/>
    <s v="Close"/>
    <n v="3.4583333333333348E-2"/>
    <s v="G13"/>
    <n v="367.4479166666668"/>
    <s v="None"/>
    <s v="WTG Breakdown Maintenance"/>
    <n v="6375"/>
    <n v="367.4479166666668"/>
    <m/>
    <m/>
    <m/>
    <m/>
  </r>
  <r>
    <n v="2342"/>
    <x v="392"/>
    <x v="1"/>
    <x v="1"/>
    <x v="13"/>
    <x v="1"/>
    <x v="1"/>
    <s v="PWEGPL"/>
    <s v="MSEDCL"/>
    <n v="2.5000000000000001E-2"/>
    <s v="CE100010"/>
    <x v="296"/>
    <s v="PM"/>
    <d v="1899-12-30T10:39:00"/>
    <d v="1899-12-30T10:39:00"/>
    <d v="1899-12-30T17:54:00"/>
    <n v="0"/>
    <n v="7.2499999999999964"/>
    <n v="7.2499999999999964"/>
    <s v="Yearly PM done then restore wtg."/>
    <s v="Close"/>
    <n v="0.18124999999999991"/>
    <s v="G05"/>
    <n v="1482.6249999999993"/>
    <s v="None"/>
    <s v="WTG Scheduled Maintenance"/>
    <n v="4908"/>
    <n v="1482.6249999999993"/>
    <m/>
    <m/>
    <m/>
    <m/>
  </r>
  <r>
    <n v="2343"/>
    <x v="392"/>
    <x v="1"/>
    <x v="1"/>
    <x v="13"/>
    <x v="1"/>
    <x v="5"/>
    <s v="PWEGPL"/>
    <s v="MSEDCL"/>
    <n v="2.5000000000000001E-2"/>
    <n v="500"/>
    <x v="302"/>
    <s v="Manual stop"/>
    <d v="1899-12-30T11:50:00"/>
    <d v="1899-12-30T11:50:00"/>
    <d v="1899-12-30T12:28:00"/>
    <n v="0"/>
    <n v="0.63333333333333375"/>
    <n v="0.63333333333333375"/>
    <s v="Replaced Generator Extranal motor then restore wtg."/>
    <s v="Close"/>
    <n v="1.5833333333333345E-2"/>
    <s v="G39"/>
    <n v="129.91250000000008"/>
    <s v="None"/>
    <s v="WTG Breakdown Maintenance"/>
    <n v="4923"/>
    <n v="129.91250000000008"/>
    <m/>
    <m/>
    <m/>
    <m/>
  </r>
  <r>
    <n v="2344"/>
    <x v="392"/>
    <x v="1"/>
    <x v="1"/>
    <x v="13"/>
    <x v="1"/>
    <x v="3"/>
    <s v="PWEGPL"/>
    <s v="MSEDCL"/>
    <n v="2.5000000000000001E-2"/>
    <n v="203"/>
    <x v="290"/>
    <s v="Manual stop"/>
    <d v="1899-12-30T15:45:00"/>
    <d v="1899-12-30T15:45:00"/>
    <d v="1899-12-30T19:22:00"/>
    <n v="0"/>
    <n v="3.6166666666666671"/>
    <n v="3.6166666666666671"/>
    <s v="Hub main accumulator replaced then restore wtg."/>
    <s v="Close"/>
    <n v="9.0416666666666687E-2"/>
    <s v="G26"/>
    <n v="780.74791666666681"/>
    <s v="None"/>
    <s v="WTG Breakdown Maintenance"/>
    <n v="5181"/>
    <n v="780.74791666666681"/>
    <m/>
    <m/>
    <m/>
    <m/>
  </r>
  <r>
    <n v="2345"/>
    <x v="393"/>
    <x v="1"/>
    <x v="1"/>
    <x v="13"/>
    <x v="1"/>
    <x v="13"/>
    <s v="PWEGPL"/>
    <s v="MSEDCL"/>
    <n v="2.5000000000000001E-2"/>
    <s v="CE100010"/>
    <x v="296"/>
    <s v="PM"/>
    <d v="1899-12-30T07:55:00"/>
    <d v="1899-12-30T07:55:00"/>
    <d v="1899-12-30T14:11:00"/>
    <n v="0"/>
    <n v="6.2666666666666675"/>
    <n v="6.2666666666666675"/>
    <s v="Half Yearly maintenance done."/>
    <s v="Close"/>
    <n v="0.1566666666666667"/>
    <s v="G34"/>
    <n v="917.02222222222235"/>
    <s v="None"/>
    <s v="WTG Scheduled Maintenance"/>
    <n v="3512"/>
    <n v="917.02222222222235"/>
    <m/>
    <m/>
    <m/>
    <m/>
  </r>
  <r>
    <n v="2346"/>
    <x v="393"/>
    <x v="1"/>
    <x v="1"/>
    <x v="13"/>
    <x v="1"/>
    <x v="39"/>
    <s v="PWEGPL"/>
    <s v="MSEDCL"/>
    <n v="2.5000000000000001E-2"/>
    <n v="500"/>
    <x v="302"/>
    <s v="Manual stop"/>
    <d v="1899-12-30T15:22:00"/>
    <d v="1899-12-30T15:22:00"/>
    <d v="1899-12-30T16:22:00"/>
    <n v="0"/>
    <n v="0.99999999999999911"/>
    <n v="0.99999999999999911"/>
    <s v="Found Generator internal motor failure so replace with new one then restore wtg."/>
    <s v="Close"/>
    <n v="2.4999999999999981E-2"/>
    <s v="G16"/>
    <n v="162.62499999999986"/>
    <s v="None"/>
    <s v="WTG Breakdown Maintenance"/>
    <n v="3903"/>
    <n v="162.62499999999986"/>
    <m/>
    <m/>
    <m/>
    <m/>
  </r>
  <r>
    <n v="2347"/>
    <x v="394"/>
    <x v="1"/>
    <x v="1"/>
    <x v="13"/>
    <x v="1"/>
    <x v="35"/>
    <s v="PWEGPL"/>
    <s v="MSEDCL"/>
    <n v="2.5000000000000001E-2"/>
    <n v="201"/>
    <x v="328"/>
    <s v="BD"/>
    <d v="1899-12-30T08:12:00"/>
    <d v="1899-12-30T09:00:00"/>
    <d v="1899-12-30T12:32:00"/>
    <n v="0.80000000000000115"/>
    <n v="3.5333333333333341"/>
    <n v="4.3333333333333357"/>
    <s v="popet valve clean then restore wtg."/>
    <s v="Close"/>
    <n v="0.10833333333333339"/>
    <s v="G27"/>
    <n v="589.33333333333371"/>
    <s v="None"/>
    <s v="WTG Breakdown Maintenance"/>
    <n v="3264"/>
    <n v="589.33333333333371"/>
    <m/>
    <m/>
    <m/>
    <m/>
  </r>
  <r>
    <n v="2348"/>
    <x v="394"/>
    <x v="1"/>
    <x v="1"/>
    <x v="13"/>
    <x v="1"/>
    <x v="3"/>
    <s v="PWEGPL"/>
    <s v="MSEDCL"/>
    <n v="2.5000000000000001E-2"/>
    <s v="CE100010"/>
    <x v="296"/>
    <s v="PM"/>
    <d v="1899-12-30T10:52:00"/>
    <d v="1899-12-30T10:52:00"/>
    <d v="1899-12-30T17:41:00"/>
    <n v="0"/>
    <n v="6.8166666666666682"/>
    <n v="6.8166666666666682"/>
    <s v="Half Yearly maintenance done."/>
    <s v="Close"/>
    <n v="0.17041666666666672"/>
    <s v="G26"/>
    <n v="1348.5638888888893"/>
    <s v="None"/>
    <s v="WTG Scheduled Maintenance"/>
    <n v="4748"/>
    <n v="1348.5638888888893"/>
    <m/>
    <m/>
    <m/>
    <m/>
  </r>
  <r>
    <n v="2349"/>
    <x v="394"/>
    <x v="1"/>
    <x v="1"/>
    <x v="13"/>
    <x v="1"/>
    <x v="0"/>
    <s v="PWEGPL"/>
    <s v="MSEDCL"/>
    <n v="2.5000000000000001E-2"/>
    <n v="205"/>
    <x v="312"/>
    <s v="BD"/>
    <d v="1899-12-30T16:49:00"/>
    <d v="1899-12-30T17:05:00"/>
    <d v="1899-12-30T17:20:00"/>
    <n v="0.26666666666666572"/>
    <n v="0.25000000000000178"/>
    <n v="0.5166666666666675"/>
    <s v="Reset and restored "/>
    <s v="Close"/>
    <n v="1.2916666666666687E-2"/>
    <s v="G16"/>
    <n v="127.72430555555576"/>
    <s v="None"/>
    <s v="WTG Breakdown Maintenance"/>
    <n v="5933"/>
    <n v="127.72430555555576"/>
    <m/>
    <m/>
    <m/>
    <m/>
  </r>
  <r>
    <n v="2350"/>
    <x v="395"/>
    <x v="1"/>
    <x v="1"/>
    <x v="13"/>
    <x v="1"/>
    <x v="35"/>
    <s v="PWEGPL"/>
    <s v="MSEDCL"/>
    <n v="2.5000000000000001E-2"/>
    <n v="804"/>
    <x v="382"/>
    <s v="BD"/>
    <d v="1899-12-30T02:47:00"/>
    <d v="1899-12-30T05:18:00"/>
    <d v="1899-12-30T11:54:00"/>
    <n v="2.5166666666666666"/>
    <n v="6.6000000000000005"/>
    <n v="9.1166666666666671"/>
    <s v="proportional valve replaced and restored"/>
    <s v="Close"/>
    <n v="0.22791666666666668"/>
    <s v="G25"/>
    <n v="2838.3222222222221"/>
    <s v="None"/>
    <s v="WTG Breakdown Maintenance"/>
    <n v="7472"/>
    <n v="2838.3222222222221"/>
    <m/>
    <m/>
    <m/>
    <m/>
  </r>
  <r>
    <n v="2351"/>
    <x v="395"/>
    <x v="1"/>
    <x v="1"/>
    <x v="13"/>
    <x v="1"/>
    <x v="21"/>
    <s v="PWEGPL"/>
    <s v="MSEDCL"/>
    <n v="2.5000000000000001E-2"/>
    <n v="205"/>
    <x v="312"/>
    <s v="BD"/>
    <d v="1899-12-30T16:18:00"/>
    <d v="1899-12-30T18:30:00"/>
    <d v="1899-12-30T18:57:00"/>
    <n v="2.2000000000000002"/>
    <n v="0.4499999999999984"/>
    <n v="2.6499999999999986"/>
    <s v="10ltr Oil top up and restored"/>
    <s v="Close"/>
    <n v="6.6249999999999962E-2"/>
    <s v="G01"/>
    <n v="913.47708333333276"/>
    <s v="None"/>
    <s v="WTG Breakdown Maintenance"/>
    <n v="8273"/>
    <n v="913.47708333333276"/>
    <m/>
    <m/>
    <m/>
    <m/>
  </r>
  <r>
    <n v="2352"/>
    <x v="395"/>
    <x v="1"/>
    <x v="1"/>
    <x v="13"/>
    <x v="1"/>
    <x v="7"/>
    <s v="PWEGPL"/>
    <s v="MSEDCL"/>
    <n v="2.5000000000000001E-2"/>
    <n v="208"/>
    <x v="366"/>
    <s v="BD"/>
    <d v="1899-12-30T13:24:00"/>
    <d v="1899-12-30T14:50:00"/>
    <d v="1899-12-30T15:38:00"/>
    <n v="1.4333333333333336"/>
    <n v="0.79999999999999982"/>
    <n v="2.2333333333333334"/>
    <s v="Checked hydraulic pump contactor and addon block found all ok then reset and restored"/>
    <s v="Close"/>
    <n v="5.5833333333333339E-2"/>
    <s v="G39"/>
    <n v="611.375"/>
    <s v="None"/>
    <s v="WTG Breakdown Maintenance"/>
    <n v="6570"/>
    <n v="611.375"/>
    <m/>
    <m/>
    <m/>
    <m/>
  </r>
  <r>
    <n v="2353"/>
    <x v="395"/>
    <x v="1"/>
    <x v="1"/>
    <x v="13"/>
    <x v="1"/>
    <x v="7"/>
    <s v="PWEGPL"/>
    <s v="MSEDCL"/>
    <n v="2.5000000000000001E-2"/>
    <n v="208"/>
    <x v="366"/>
    <s v="BD"/>
    <d v="1899-12-30T16:57:00"/>
    <d v="1899-12-30T18:24:00"/>
    <d v="1899-12-30T19:08:00"/>
    <n v="1.4500000000000002"/>
    <n v="0.73333333333333339"/>
    <n v="2.1833333333333336"/>
    <s v="Replaced hydraulic pump contactor and restored"/>
    <s v="Close"/>
    <n v="5.4583333333333345E-2"/>
    <s v="G39"/>
    <n v="597.68750000000011"/>
    <s v="None"/>
    <s v="WTG Breakdown Maintenance"/>
    <n v="6570"/>
    <n v="597.68750000000011"/>
    <m/>
    <m/>
    <m/>
    <m/>
  </r>
  <r>
    <n v="2354"/>
    <x v="396"/>
    <x v="1"/>
    <x v="1"/>
    <x v="13"/>
    <x v="1"/>
    <x v="0"/>
    <s v="PWEGPL"/>
    <s v="MSEDCL"/>
    <n v="2.5000000000000001E-2"/>
    <s v="CE100010"/>
    <x v="296"/>
    <s v="PM"/>
    <d v="1899-12-30T10:40:00"/>
    <d v="1899-12-30T10:40:00"/>
    <d v="1899-12-30T17:44:00"/>
    <n v="0"/>
    <n v="7.0666666666666682"/>
    <n v="7.0666666666666682"/>
    <s v="Half Yearly maintenance done."/>
    <s v="Close"/>
    <n v="0.17666666666666672"/>
    <s v="G16"/>
    <n v="4252.072222222223"/>
    <s v="None"/>
    <s v="WTG Scheduled Maintenance"/>
    <n v="14441"/>
    <n v="4252.072222222223"/>
    <m/>
    <m/>
    <m/>
    <m/>
  </r>
  <r>
    <n v="2355"/>
    <x v="396"/>
    <x v="1"/>
    <x v="1"/>
    <x v="13"/>
    <x v="1"/>
    <x v="34"/>
    <s v="PWEGPL"/>
    <s v="MSEDCL"/>
    <n v="2.5000000000000001E-2"/>
    <n v="441"/>
    <x v="403"/>
    <s v="BD"/>
    <d v="1899-12-30T17:38:00"/>
    <d v="1899-12-30T18:13:00"/>
    <d v="1899-12-30T23:59:00"/>
    <n v="0.58333333333333393"/>
    <n v="5.7666666666666675"/>
    <n v="6.3500000000000014"/>
    <s v="WIP"/>
    <s v="Open"/>
    <n v="0.15875000000000006"/>
    <s v="G21"/>
    <n v="3905.7791666666676"/>
    <s v="None"/>
    <s v="WTG Breakdown Maintenance"/>
    <n v="14762"/>
    <n v="3905.7791666666676"/>
    <m/>
    <m/>
    <m/>
    <m/>
  </r>
  <r>
    <n v="2356"/>
    <x v="396"/>
    <x v="1"/>
    <x v="1"/>
    <x v="13"/>
    <x v="1"/>
    <x v="31"/>
    <s v="PWEGPL"/>
    <s v="MSEDCL"/>
    <n v="2.5000000000000001E-2"/>
    <n v="800"/>
    <x v="298"/>
    <s v="BD"/>
    <d v="1899-12-30T20:25:00"/>
    <d v="1899-12-30T21:00:00"/>
    <d v="1899-12-30T22:56:00"/>
    <n v="0.58333333333333126"/>
    <n v="1.9333333333333345"/>
    <n v="2.5166666666666657"/>
    <s v="Found cable losse and replace module"/>
    <s v="Close"/>
    <n v="6.2916666666666649E-2"/>
    <s v="G14"/>
    <n v="1090.450694444444"/>
    <s v="None"/>
    <s v="WTG Breakdown Maintenance"/>
    <n v="10399"/>
    <n v="1090.450694444444"/>
    <m/>
    <m/>
    <m/>
    <m/>
  </r>
  <r>
    <n v="2357"/>
    <x v="397"/>
    <x v="1"/>
    <x v="1"/>
    <x v="13"/>
    <x v="1"/>
    <x v="34"/>
    <s v="PWEGPL"/>
    <s v="MSEDCL"/>
    <n v="2.5000000000000001E-2"/>
    <n v="441"/>
    <x v="403"/>
    <s v="BD"/>
    <d v="1899-12-30T00:00:00"/>
    <d v="1899-12-30T00:00:00"/>
    <d v="1899-12-30T02:01:00"/>
    <n v="0"/>
    <n v="2.0166666666666666"/>
    <n v="2.0166666666666666"/>
    <s v="Found KM004 contactor failure so replace with new one then restore wtg."/>
    <s v="Close"/>
    <n v="5.0416666666666665E-2"/>
    <s v="G21"/>
    <n v="1514.6847222222223"/>
    <s v="None"/>
    <s v="WTG Breakdown Maintenance"/>
    <n v="18026"/>
    <n v="1514.6847222222223"/>
    <m/>
    <m/>
    <m/>
    <m/>
  </r>
  <r>
    <n v="2358"/>
    <x v="397"/>
    <x v="1"/>
    <x v="1"/>
    <x v="13"/>
    <x v="1"/>
    <x v="15"/>
    <s v="PWEGPL"/>
    <s v="MSEDCL"/>
    <n v="2.5000000000000001E-2"/>
    <s v="CE100010"/>
    <x v="296"/>
    <s v="PM"/>
    <d v="1899-12-30T11:06:00"/>
    <d v="1899-12-30T11:06:00"/>
    <d v="1899-12-30T18:24:00"/>
    <n v="0"/>
    <n v="7.2999999999999989"/>
    <n v="7.2999999999999989"/>
    <s v="Half Yearly maintenance done."/>
    <s v="Close"/>
    <n v="0.1825"/>
    <s v="G36"/>
    <n v="3423.3958333333326"/>
    <s v="None"/>
    <s v="WTG Scheduled Maintenance"/>
    <n v="11255"/>
    <n v="3423.3958333333326"/>
    <m/>
    <m/>
    <m/>
    <m/>
  </r>
  <r>
    <n v="2359"/>
    <x v="397"/>
    <x v="1"/>
    <x v="1"/>
    <x v="13"/>
    <x v="1"/>
    <x v="0"/>
    <s v="PWEGPL"/>
    <s v="MSEDCL"/>
    <n v="2.5000000000000001E-2"/>
    <n v="205"/>
    <x v="312"/>
    <s v="Manual stop"/>
    <d v="1899-12-30T11:32:00"/>
    <d v="1899-12-30T11:32:00"/>
    <d v="1899-12-30T17:54:00"/>
    <n v="0"/>
    <n v="6.3666666666666636"/>
    <n v="6.3666666666666636"/>
    <s v="Blade A potch seal replaced and restored"/>
    <s v="Close"/>
    <n v="0.1591666666666666"/>
    <s v="G16"/>
    <n v="3734.5805555555539"/>
    <s v="None"/>
    <s v="WTG Unscheduled Maintenance"/>
    <n v="14078"/>
    <n v="3734.5805555555539"/>
    <m/>
    <m/>
    <m/>
    <m/>
  </r>
  <r>
    <n v="2360"/>
    <x v="398"/>
    <x v="1"/>
    <x v="1"/>
    <x v="13"/>
    <x v="1"/>
    <x v="16"/>
    <s v="PWEGPL"/>
    <s v="MSEDCL"/>
    <n v="2.5000000000000001E-2"/>
    <s v="CE100010"/>
    <x v="296"/>
    <s v="PM"/>
    <d v="1899-12-30T10:58:00"/>
    <d v="1899-12-30T10:58:00"/>
    <d v="1899-12-30T19:00:00"/>
    <n v="0"/>
    <n v="8.0333333333333332"/>
    <n v="8.0333333333333332"/>
    <s v="Half Yearly maintenance done."/>
    <s v="Close"/>
    <n v="0.20083333333333334"/>
    <s v="G35"/>
    <n v="2348.411111111111"/>
    <s v="None"/>
    <s v="WTG Scheduled Maintenance"/>
    <n v="7016"/>
    <n v="2348.411111111111"/>
    <m/>
    <m/>
    <m/>
    <m/>
  </r>
  <r>
    <n v="2361"/>
    <x v="398"/>
    <x v="1"/>
    <x v="1"/>
    <x v="13"/>
    <x v="1"/>
    <x v="19"/>
    <s v="PWEGPL"/>
    <s v="MSEDCL"/>
    <n v="2.5000000000000001E-2"/>
    <s v="CE100014"/>
    <x v="305"/>
    <s v="Manual stop/TCA"/>
    <d v="1899-12-30T11:51:00"/>
    <d v="1899-12-30T11:51:00"/>
    <d v="1899-12-30T13:12:00"/>
    <n v="0"/>
    <n v="1.3499999999999992"/>
    <n v="1.3499999999999992"/>
    <s v="Manual stop for endoscopic gear box"/>
    <s v="Close"/>
    <n v="3.3749999999999981E-2"/>
    <s v="G19"/>
    <n v="611.71874999999966"/>
    <s v="None"/>
    <s v="WTG Unscheduled Maintenance"/>
    <n v="10875"/>
    <n v="611.71874999999966"/>
    <m/>
    <m/>
    <m/>
    <m/>
  </r>
  <r>
    <n v="2362"/>
    <x v="398"/>
    <x v="1"/>
    <x v="1"/>
    <x v="13"/>
    <x v="1"/>
    <x v="32"/>
    <s v="PWEGPL"/>
    <s v="MSEDCL"/>
    <n v="2.5000000000000001E-2"/>
    <n v="116"/>
    <x v="361"/>
    <s v="BD"/>
    <d v="1899-12-30T15:47:00"/>
    <d v="1899-12-30T17:01:00"/>
    <d v="1899-12-30T17:49:00"/>
    <n v="1.2333333333333316"/>
    <n v="0.80000000000000249"/>
    <n v="2.0333333333333341"/>
    <s v="Reboot and reset then start wtg."/>
    <s v="Close"/>
    <n v="5.0833333333333355E-2"/>
    <s v="G15"/>
    <n v="839.93611111111136"/>
    <s v="None"/>
    <s v="WTG Breakdown Maintenance"/>
    <n v="9914"/>
    <n v="839.93611111111136"/>
    <m/>
    <m/>
    <m/>
    <m/>
  </r>
  <r>
    <n v="2363"/>
    <x v="399"/>
    <x v="1"/>
    <x v="1"/>
    <x v="13"/>
    <x v="1"/>
    <x v="4"/>
    <s v="PWEGPL"/>
    <s v="MSEDCL"/>
    <n v="2.5000000000000001E-2"/>
    <s v="CE100010"/>
    <x v="296"/>
    <s v="PM"/>
    <d v="1899-12-30T10:55:00"/>
    <d v="1899-12-30T10:55:00"/>
    <d v="1899-12-30T17:58:00"/>
    <n v="0"/>
    <n v="7.0499999999999972"/>
    <n v="7.0499999999999972"/>
    <s v="Half Yearly maintenance done."/>
    <s v="Close"/>
    <n v="0.17624999999999993"/>
    <s v="G36"/>
    <n v="2089.1499999999992"/>
    <s v="None"/>
    <s v="WTG Scheduled Maintenance"/>
    <n v="7112"/>
    <n v="2089.1499999999992"/>
    <m/>
    <m/>
    <m/>
    <m/>
  </r>
  <r>
    <n v="2364"/>
    <x v="399"/>
    <x v="1"/>
    <x v="1"/>
    <x v="13"/>
    <x v="1"/>
    <x v="3"/>
    <s v="PWEGPL"/>
    <s v="MSEDCL"/>
    <n v="2.5000000000000001E-2"/>
    <n v="700"/>
    <x v="329"/>
    <s v="BD"/>
    <d v="1899-12-30T02:14:00"/>
    <d v="1899-12-30T03:48:00"/>
    <d v="1899-12-30T05:23:00"/>
    <n v="1.5666666666666664"/>
    <n v="1.5833333333333337"/>
    <n v="3.1500000000000004"/>
    <s v="Slipring cleaned and checked all curcuit found ok then reset and restored"/>
    <s v="Close"/>
    <n v="7.8750000000000014E-2"/>
    <s v="G26"/>
    <n v="1175.7375000000002"/>
    <s v="None"/>
    <s v="WTG Breakdown Maintenance"/>
    <n v="8958"/>
    <n v="1175.7375000000002"/>
    <m/>
    <m/>
    <m/>
    <m/>
  </r>
  <r>
    <n v="2365"/>
    <x v="399"/>
    <x v="1"/>
    <x v="1"/>
    <x v="13"/>
    <x v="1"/>
    <x v="3"/>
    <s v="PWEGPL"/>
    <s v="MSEDCL"/>
    <n v="2.5000000000000001E-2"/>
    <n v="203"/>
    <x v="290"/>
    <s v="BD"/>
    <d v="1899-12-30T06:35:00"/>
    <d v="1899-12-30T07:04:00"/>
    <d v="1899-12-30T09:25:00"/>
    <n v="0.48333333333333428"/>
    <n v="2.3499999999999996"/>
    <n v="2.8333333333333339"/>
    <s v="Checked all pressure relief values and tunning done then restored the turbine"/>
    <s v="Close"/>
    <n v="7.0833333333333345E-2"/>
    <s v="G26"/>
    <n v="1057.541666666667"/>
    <s v="None"/>
    <s v="WTG Breakdown Maintenance"/>
    <n v="8958"/>
    <n v="1057.541666666667"/>
    <m/>
    <m/>
    <m/>
    <m/>
  </r>
  <r>
    <n v="2366"/>
    <x v="399"/>
    <x v="1"/>
    <x v="1"/>
    <x v="13"/>
    <x v="1"/>
    <x v="5"/>
    <s v="PWEGPL"/>
    <s v="MSEDCL"/>
    <n v="2.5000000000000001E-2"/>
    <n v="905"/>
    <x v="350"/>
    <s v="BD"/>
    <d v="1899-12-30T20:59:00"/>
    <d v="1899-12-30T21:52:00"/>
    <d v="1899-12-30T23:39:00"/>
    <n v="0.88333333333333286"/>
    <n v="1.7833333333333323"/>
    <n v="2.6666666666666652"/>
    <s v="Replaced brake batter power supply and restored"/>
    <s v="Close"/>
    <n v="6.6666666666666638E-2"/>
    <s v="G39"/>
    <n v="774.22222222222172"/>
    <s v="None"/>
    <s v="WTG Breakdown Maintenance"/>
    <n v="6968"/>
    <n v="774.22222222222172"/>
    <m/>
    <m/>
    <m/>
    <m/>
  </r>
  <r>
    <n v="2367"/>
    <x v="400"/>
    <x v="1"/>
    <x v="1"/>
    <x v="13"/>
    <x v="1"/>
    <x v="6"/>
    <s v="PWEGPL"/>
    <s v="MSEDCL"/>
    <n v="2.5000000000000001E-2"/>
    <s v="CE100010"/>
    <x v="296"/>
    <s v="PM"/>
    <d v="1899-12-30T10:44:00"/>
    <d v="1899-12-30T10:44:00"/>
    <d v="1899-12-30T17:32:00"/>
    <n v="0"/>
    <n v="6.8000000000000025"/>
    <n v="6.8000000000000025"/>
    <s v="Half Yearly maintenance done."/>
    <s v="Close"/>
    <n v="0.17000000000000007"/>
    <s v="G38"/>
    <n v="1098.2000000000005"/>
    <s v="None"/>
    <s v="WTG Scheduled Maintenance"/>
    <n v="3876"/>
    <n v="1098.2000000000005"/>
    <m/>
    <m/>
    <m/>
    <m/>
  </r>
  <r>
    <n v="2368"/>
    <x v="400"/>
    <x v="1"/>
    <x v="1"/>
    <x v="13"/>
    <x v="1"/>
    <x v="3"/>
    <s v="PWEGPL"/>
    <s v="MSEDCL"/>
    <n v="2.5000000000000001E-2"/>
    <n v="2118"/>
    <x v="293"/>
    <s v="BD"/>
    <d v="1899-12-30T14:42:00"/>
    <d v="1899-12-30T15:30:00"/>
    <d v="1899-12-30T21:10:00"/>
    <n v="0.80000000000000249"/>
    <n v="5.6666666666666679"/>
    <n v="6.4666666666666703"/>
    <s v="Slip ring clean then found HU pump O ring damage so replace with new one then restore wtg."/>
    <s v="Close"/>
    <n v="0.16166666666666676"/>
    <s v="G26"/>
    <n v="1177.4722222222229"/>
    <s v="None"/>
    <s v="WTG Breakdown Maintenance"/>
    <n v="4370"/>
    <n v="1177.4722222222229"/>
    <m/>
    <m/>
    <m/>
    <m/>
  </r>
  <r>
    <n v="2369"/>
    <x v="400"/>
    <x v="1"/>
    <x v="1"/>
    <x v="13"/>
    <x v="1"/>
    <x v="24"/>
    <s v="PWEGPL"/>
    <s v="MSEDCL"/>
    <n v="2.5000000000000001E-2"/>
    <n v="205"/>
    <x v="312"/>
    <s v="BD"/>
    <d v="1899-12-30T09:45:00"/>
    <d v="1899-12-30T09:45:00"/>
    <d v="1899-12-30T10:25:00"/>
    <n v="0"/>
    <n v="0.66666666666666563"/>
    <n v="0.66666666666666563"/>
    <s v="Reset and restored "/>
    <s v="Close"/>
    <n v="1.6666666666666642E-2"/>
    <s v="G22"/>
    <n v="143.9444444444442"/>
    <s v="None"/>
    <s v="WTG Breakdown Maintenance"/>
    <n v="5182"/>
    <n v="143.9444444444442"/>
    <m/>
    <m/>
    <m/>
    <m/>
  </r>
  <r>
    <n v="2370"/>
    <x v="400"/>
    <x v="1"/>
    <x v="1"/>
    <x v="13"/>
    <x v="1"/>
    <x v="25"/>
    <s v="PWEGPL"/>
    <s v="MSEDCL"/>
    <n v="2.5000000000000001E-2"/>
    <n v="205"/>
    <x v="312"/>
    <s v="BD"/>
    <d v="1899-12-30T10:02:00"/>
    <d v="1899-12-30T10:31:00"/>
    <d v="1899-12-30T11:16:00"/>
    <n v="0.48333333333333428"/>
    <n v="0.75"/>
    <n v="1.2333333333333343"/>
    <s v="10 liter Oil top up then restore the turbine."/>
    <s v="Close"/>
    <n v="3.0833333333333358E-2"/>
    <s v="G03"/>
    <n v="197.74444444444461"/>
    <s v="None"/>
    <s v="WTG Breakdown Maintenance"/>
    <n v="3848"/>
    <n v="197.74444444444461"/>
    <m/>
    <m/>
    <m/>
    <m/>
  </r>
  <r>
    <n v="2371"/>
    <x v="401"/>
    <x v="1"/>
    <x v="1"/>
    <x v="13"/>
    <x v="1"/>
    <x v="5"/>
    <s v="PWEGPL"/>
    <s v="MSEDCL"/>
    <n v="2.5000000000000001E-2"/>
    <s v="CE100010"/>
    <x v="296"/>
    <s v="PM"/>
    <d v="1899-12-30T10:56:00"/>
    <d v="1899-12-30T10:56:00"/>
    <d v="1899-12-30T18:14:00"/>
    <n v="0"/>
    <n v="7.3000000000000025"/>
    <n v="7.3000000000000025"/>
    <s v="Half Yearly maintenance done."/>
    <s v="Close"/>
    <n v="0.18250000000000008"/>
    <s v="G39"/>
    <n v="897.90000000000032"/>
    <s v="None"/>
    <s v="WTG Scheduled Maintenance"/>
    <n v="2952"/>
    <n v="897.90000000000032"/>
    <m/>
    <m/>
    <m/>
    <m/>
  </r>
  <r>
    <n v="2372"/>
    <x v="401"/>
    <x v="1"/>
    <x v="1"/>
    <x v="13"/>
    <x v="1"/>
    <x v="28"/>
    <s v="PWEGPL"/>
    <s v="MSEDCL"/>
    <n v="2.5000000000000001E-2"/>
    <n v="205"/>
    <x v="312"/>
    <s v="Manual stop"/>
    <d v="1899-12-30T10:06:00"/>
    <d v="1899-12-30T10:06:00"/>
    <d v="1899-12-30T17:32:00"/>
    <n v="0"/>
    <n v="7.4333333333333353"/>
    <n v="7.4333333333333353"/>
    <s v="Blade B pitch seal replaced and restored"/>
    <s v="Close"/>
    <n v="0.18583333333333341"/>
    <s v="G11"/>
    <n v="857.31111111111136"/>
    <s v="None"/>
    <s v="WTG Unscheduled Maintenance"/>
    <n v="2768"/>
    <n v="857.31111111111136"/>
    <m/>
    <m/>
    <m/>
    <m/>
  </r>
  <r>
    <n v="2373"/>
    <x v="401"/>
    <x v="1"/>
    <x v="1"/>
    <x v="13"/>
    <x v="1"/>
    <x v="37"/>
    <s v="PWEGPL"/>
    <s v="MSEDCL"/>
    <n v="2.5000000000000001E-2"/>
    <n v="5225"/>
    <x v="407"/>
    <s v="BD"/>
    <d v="1899-12-30T18:23:00"/>
    <d v="1899-12-30T18:41:00"/>
    <d v="1899-12-30T23:05:00"/>
    <n v="0.3000000000000016"/>
    <n v="4.3999999999999977"/>
    <n v="4.6999999999999993"/>
    <s v="Found lamada power supply and ccu failure so replace with new one then restore wtg."/>
    <s v="Close"/>
    <n v="0.11749999999999999"/>
    <s v="G17"/>
    <n v="448.84999999999991"/>
    <s v="None"/>
    <s v="WTG Breakdown Maintenance"/>
    <n v="2292"/>
    <n v="448.84999999999991"/>
    <m/>
    <m/>
    <m/>
    <m/>
  </r>
  <r>
    <n v="2374"/>
    <x v="402"/>
    <x v="1"/>
    <x v="1"/>
    <x v="13"/>
    <x v="1"/>
    <x v="11"/>
    <s v="PWEGPL"/>
    <s v="MSEDCL"/>
    <n v="2.5000000000000001E-2"/>
    <s v="CE100001"/>
    <x v="288"/>
    <s v="Manual stop"/>
    <d v="1899-12-30T12:23:00"/>
    <d v="1899-12-30T12:23:00"/>
    <d v="1899-12-30T13:12:00"/>
    <n v="0"/>
    <n v="0.81666666666666643"/>
    <n v="0.81666666666666643"/>
    <s v="Manual stop for blade stud inspection work"/>
    <s v="Close"/>
    <n v="2.0416666666666663E-2"/>
    <s v="G31"/>
    <n v="186.13194444444437"/>
    <s v="None"/>
    <s v="WTG Unscheduled Maintenance"/>
    <n v="5470"/>
    <n v="186.13194444444437"/>
    <m/>
    <m/>
    <m/>
    <m/>
  </r>
  <r>
    <n v="2375"/>
    <x v="402"/>
    <x v="1"/>
    <x v="1"/>
    <x v="13"/>
    <x v="1"/>
    <x v="35"/>
    <s v="PWEGPL"/>
    <s v="MSEDCL"/>
    <n v="2.5000000000000001E-2"/>
    <n v="205"/>
    <x v="312"/>
    <s v="BD"/>
    <d v="1899-12-30T13:29:00"/>
    <d v="1899-12-30T14:12:00"/>
    <d v="1899-12-30T15:42:00"/>
    <n v="0.71666666666666679"/>
    <n v="1.5"/>
    <n v="2.2166666666666668"/>
    <s v="10 liter Oil top up then restore the turbine."/>
    <s v="Close"/>
    <n v="5.541666666666667E-2"/>
    <s v="G25"/>
    <n v="363.3486111111111"/>
    <s v="None"/>
    <s v="WTG Breakdown Maintenance"/>
    <n v="3934"/>
    <n v="363.3486111111111"/>
    <m/>
    <m/>
    <m/>
    <m/>
  </r>
  <r>
    <n v="2376"/>
    <x v="403"/>
    <x v="1"/>
    <x v="1"/>
    <x v="13"/>
    <x v="1"/>
    <x v="7"/>
    <s v="PWEGPL"/>
    <s v="MSEDCL"/>
    <n v="2.5000000000000001E-2"/>
    <s v="CE100010"/>
    <x v="296"/>
    <s v="PM"/>
    <d v="1899-12-30T10:28:00"/>
    <d v="1899-12-30T10:28:00"/>
    <d v="1899-12-30T17:16:00"/>
    <n v="0"/>
    <n v="6.8"/>
    <n v="6.8"/>
    <s v="Half Yearly maintenance done."/>
    <s v="Close"/>
    <n v="0.17"/>
    <s v="G39"/>
    <n v="653.93333333333339"/>
    <s v="None"/>
    <s v="WTG Scheduled Maintenance"/>
    <n v="2308"/>
    <n v="653.93333333333339"/>
    <m/>
    <m/>
    <m/>
    <m/>
  </r>
  <r>
    <n v="2377"/>
    <x v="403"/>
    <x v="1"/>
    <x v="1"/>
    <x v="13"/>
    <x v="1"/>
    <x v="28"/>
    <s v="PWEGPL"/>
    <s v="MSEDCL"/>
    <n v="2.5000000000000001E-2"/>
    <n v="205"/>
    <x v="312"/>
    <s v="Manual stop"/>
    <d v="1899-12-30T10:52:00"/>
    <d v="1899-12-30T10:52:00"/>
    <d v="1899-12-30T17:59:00"/>
    <n v="0"/>
    <n v="7.1166666666666671"/>
    <n v="7.1166666666666671"/>
    <s v="Blade C pitch seal replaced and restored"/>
    <s v="Close"/>
    <n v="0.1779166666666667"/>
    <s v="G11"/>
    <n v="523.07500000000005"/>
    <s v="None"/>
    <s v="WTG Unscheduled Maintenance"/>
    <n v="1764"/>
    <n v="523.07500000000005"/>
    <m/>
    <m/>
    <m/>
    <m/>
  </r>
  <r>
    <n v="2378"/>
    <x v="403"/>
    <x v="1"/>
    <x v="1"/>
    <x v="13"/>
    <x v="1"/>
    <x v="36"/>
    <s v="PWEGPL"/>
    <s v="MSEDCL"/>
    <n v="2.5000000000000001E-2"/>
    <n v="205"/>
    <x v="312"/>
    <s v="BD"/>
    <d v="1899-12-30T21:29:00"/>
    <d v="1899-12-30T22:15:00"/>
    <d v="1899-12-30T23:50:00"/>
    <n v="0.76666666666666661"/>
    <n v="1.5833333333333304"/>
    <n v="2.349999999999997"/>
    <s v="10 liter Oil top up then restore the turbine."/>
    <s v="Close"/>
    <n v="5.8749999999999927E-2"/>
    <s v="G24"/>
    <n v="260.26249999999965"/>
    <s v="None"/>
    <s v="WTG Breakdown Maintenance"/>
    <n v="2658"/>
    <n v="260.26249999999965"/>
    <m/>
    <m/>
    <m/>
    <m/>
  </r>
  <r>
    <n v="2379"/>
    <x v="403"/>
    <x v="1"/>
    <x v="1"/>
    <x v="13"/>
    <x v="1"/>
    <x v="29"/>
    <s v="PWEGPL"/>
    <s v="MSEDCL"/>
    <n v="2.5000000000000001E-2"/>
    <n v="208"/>
    <x v="366"/>
    <s v="BD"/>
    <d v="1899-12-30T21:15:00"/>
    <d v="1899-12-30T23:59:00"/>
    <d v="1899-12-30T23:59:00"/>
    <n v="2.7333333333333343"/>
    <n v="0"/>
    <n v="2.7333333333333343"/>
    <s v="WIP"/>
    <s v="Open"/>
    <n v="6.8333333333333357E-2"/>
    <s v="G10"/>
    <n v="328.45555555555569"/>
    <s v="None"/>
    <s v="WTG Breakdown Maintenance"/>
    <n v="2884"/>
    <n v="328.45555555555569"/>
    <m/>
    <m/>
    <m/>
    <m/>
  </r>
  <r>
    <n v="2380"/>
    <x v="404"/>
    <x v="1"/>
    <x v="1"/>
    <x v="13"/>
    <x v="1"/>
    <x v="2"/>
    <s v="PWEGPL"/>
    <s v="MSEDCL"/>
    <n v="2.5000000000000001E-2"/>
    <s v="CE100010"/>
    <x v="296"/>
    <s v="PM"/>
    <d v="1899-12-30T10:33:00"/>
    <d v="1899-12-30T10:33:00"/>
    <d v="1899-12-30T17:43:00"/>
    <n v="0"/>
    <n v="7.1666666666666643"/>
    <n v="7.1666666666666643"/>
    <s v="Half Yearly maintenance done."/>
    <s v="Close"/>
    <n v="0.17916666666666661"/>
    <s v="G32"/>
    <n v="388.19444444444429"/>
    <s v="None"/>
    <s v="WTG Scheduled Maintenance"/>
    <n v="1300"/>
    <n v="388.19444444444429"/>
    <m/>
    <m/>
    <m/>
    <m/>
  </r>
  <r>
    <n v="2381"/>
    <x v="404"/>
    <x v="1"/>
    <x v="1"/>
    <x v="13"/>
    <x v="1"/>
    <x v="21"/>
    <s v="PWEGPL"/>
    <s v="MSEDCL"/>
    <n v="2.5000000000000001E-2"/>
    <n v="205"/>
    <x v="312"/>
    <s v="Manual stop"/>
    <d v="1899-12-30T11:02:00"/>
    <d v="1899-12-30T11:02:00"/>
    <d v="1899-12-30T23:59:00"/>
    <n v="0"/>
    <n v="12.95"/>
    <n v="12.95"/>
    <s v="WIP"/>
    <s v="Open"/>
    <n v="0.32374999999999998"/>
    <s v="G01"/>
    <n v="1809.7624999999998"/>
    <s v="Material Shortage - Pitch Cylinder."/>
    <s v="WTG Unscheduled Maintenance"/>
    <n v="3354"/>
    <n v="1809.7624999999998"/>
    <m/>
    <m/>
    <m/>
    <m/>
  </r>
  <r>
    <n v="2382"/>
    <x v="404"/>
    <x v="1"/>
    <x v="1"/>
    <x v="13"/>
    <x v="1"/>
    <x v="29"/>
    <s v="PWEGPL"/>
    <s v="MSEDCL"/>
    <n v="2.5000000000000001E-2"/>
    <n v="208"/>
    <x v="366"/>
    <s v="BD"/>
    <d v="1899-12-30T00:00:00"/>
    <d v="1899-12-30T00:00:00"/>
    <d v="1899-12-30T02:43:00"/>
    <n v="0"/>
    <n v="2.7166666666666668"/>
    <n v="2.7166666666666668"/>
    <s v="HU Contactor failure so replace with new one then restore."/>
    <s v="Close"/>
    <n v="6.7916666666666667E-2"/>
    <s v="G10"/>
    <n v="395.27500000000003"/>
    <s v="None"/>
    <s v="WTG Breakdown Maintenance"/>
    <n v="3492"/>
    <n v="395.27500000000003"/>
    <m/>
    <m/>
    <m/>
    <m/>
  </r>
  <r>
    <n v="2383"/>
    <x v="405"/>
    <x v="1"/>
    <x v="1"/>
    <x v="13"/>
    <x v="1"/>
    <x v="9"/>
    <s v="PWEGPL"/>
    <s v="MSEDCL"/>
    <n v="2.5000000000000001E-2"/>
    <s v="CE100010"/>
    <x v="296"/>
    <s v="PM"/>
    <d v="1899-12-30T10:58:00"/>
    <d v="1899-12-30T10:58:00"/>
    <d v="1899-12-30T21:31:00"/>
    <n v="0"/>
    <n v="10.549999999999999"/>
    <n v="10.549999999999999"/>
    <s v="Half Yearly maintenance done."/>
    <s v="Close"/>
    <n v="0.26374999999999998"/>
    <s v="G29"/>
    <n v="3358.4166666666661"/>
    <s v="None"/>
    <s v="WTG Scheduled Maintenance"/>
    <n v="7640"/>
    <n v="3358.4166666666661"/>
    <m/>
    <m/>
    <m/>
    <m/>
  </r>
  <r>
    <n v="2384"/>
    <x v="405"/>
    <x v="1"/>
    <x v="1"/>
    <x v="13"/>
    <x v="1"/>
    <x v="21"/>
    <s v="PWEGPL"/>
    <s v="MSEDCL"/>
    <n v="2.5000000000000001E-2"/>
    <n v="205"/>
    <x v="312"/>
    <s v="Manual stop"/>
    <d v="1899-12-30T00:00:00"/>
    <d v="1899-12-30T00:00:00"/>
    <d v="1899-12-30T23:59:00"/>
    <n v="0"/>
    <n v="23.983333333333334"/>
    <n v="23.983333333333334"/>
    <s v="WIP"/>
    <s v="Open"/>
    <n v="0.59958333333333336"/>
    <s v="G04"/>
    <n v="6081.7736111111117"/>
    <s v="Material Shortage - Pitch Cylinder."/>
    <s v="WTG Unscheduled Maintenance"/>
    <n v="6086"/>
    <n v="6081.7736111111117"/>
    <m/>
    <m/>
    <m/>
    <m/>
  </r>
  <r>
    <n v="2385"/>
    <x v="405"/>
    <x v="1"/>
    <x v="1"/>
    <x v="13"/>
    <x v="1"/>
    <x v="29"/>
    <s v="PWEGPL"/>
    <s v="MSEDCL"/>
    <n v="2.5000000000000001E-2"/>
    <n v="2118"/>
    <x v="293"/>
    <s v="BD"/>
    <d v="1899-12-30T20:05:00"/>
    <d v="1899-12-30T22:15:00"/>
    <d v="1899-12-30T22:20:00"/>
    <n v="2.1666666666666696"/>
    <n v="8.3333333333330373E-2"/>
    <n v="2.25"/>
    <s v="Reboot and reset then start wtg."/>
    <s v="Close"/>
    <n v="5.6250000000000001E-2"/>
    <s v="G10"/>
    <n v="673.875"/>
    <s v="None"/>
    <s v="WTG Breakdown Maintenance"/>
    <n v="7188"/>
    <n v="673.875"/>
    <m/>
    <m/>
    <m/>
    <m/>
  </r>
  <r>
    <n v="2386"/>
    <x v="405"/>
    <x v="1"/>
    <x v="1"/>
    <x v="13"/>
    <x v="1"/>
    <x v="26"/>
    <s v="PWEGPL"/>
    <s v="MSEDCL"/>
    <n v="2.5000000000000001E-2"/>
    <n v="2118"/>
    <x v="293"/>
    <s v="BD"/>
    <d v="1899-12-30T20:23:00"/>
    <d v="1899-12-30T22:45:00"/>
    <d v="1899-12-30T22:50:00"/>
    <n v="2.3666666666666663"/>
    <n v="8.3333333333333037E-2"/>
    <n v="2.4499999999999993"/>
    <s v="Reboot and reset then start wtg."/>
    <s v="Close"/>
    <n v="6.1249999999999985E-2"/>
    <s v="G01"/>
    <n v="471.21666666666653"/>
    <s v="None"/>
    <s v="WTG Breakdown Maintenance"/>
    <n v="4616"/>
    <n v="471.21666666666653"/>
    <m/>
    <m/>
    <m/>
    <m/>
  </r>
  <r>
    <n v="2387"/>
    <x v="406"/>
    <x v="1"/>
    <x v="1"/>
    <x v="13"/>
    <x v="1"/>
    <x v="21"/>
    <s v="PWEGPL"/>
    <s v="MSEDCL"/>
    <n v="2.5000000000000001E-2"/>
    <n v="205"/>
    <x v="312"/>
    <s v="Manual stop"/>
    <d v="1899-12-30T00:00:00"/>
    <d v="1899-12-30T00:00:00"/>
    <d v="1899-12-30T23:59:00"/>
    <n v="0"/>
    <n v="23.983333333333334"/>
    <n v="23.983333333333334"/>
    <s v="WIP"/>
    <s v="Open"/>
    <n v="0.59958333333333336"/>
    <s v="G04"/>
    <n v="3051.8791666666666"/>
    <s v="Material Shortage - Pitch Cylinder."/>
    <s v="WTG Unscheduled Maintenance"/>
    <n v="3054"/>
    <n v="3051.8791666666666"/>
    <m/>
    <m/>
    <m/>
    <m/>
  </r>
  <r>
    <n v="2388"/>
    <x v="406"/>
    <x v="1"/>
    <x v="1"/>
    <x v="13"/>
    <x v="1"/>
    <x v="28"/>
    <s v="PWEGPL"/>
    <s v="MSEDCL"/>
    <n v="2.5000000000000001E-2"/>
    <n v="800"/>
    <x v="298"/>
    <s v="BD"/>
    <d v="1899-12-30T21:30:00"/>
    <d v="1899-12-30T22:15:00"/>
    <d v="1899-12-30T23:59:00"/>
    <n v="0.75"/>
    <n v="1.7333333333333325"/>
    <n v="2.4833333333333325"/>
    <s v="WIP"/>
    <s v="Open"/>
    <n v="6.2083333333333317E-2"/>
    <s v="G11"/>
    <n v="181.28333333333327"/>
    <s v="None"/>
    <s v="WTG Breakdown Maintenance"/>
    <n v="1752"/>
    <n v="181.28333333333327"/>
    <m/>
    <m/>
    <m/>
    <m/>
  </r>
  <r>
    <n v="2389"/>
    <x v="406"/>
    <x v="1"/>
    <x v="1"/>
    <x v="13"/>
    <x v="1"/>
    <x v="37"/>
    <s v="PWEGPL"/>
    <s v="MSEDCL"/>
    <n v="2.5000000000000001E-2"/>
    <n v="401"/>
    <x v="331"/>
    <s v="BD"/>
    <d v="1899-12-30T14:00:00"/>
    <d v="1899-12-30T14:10:00"/>
    <d v="1899-12-30T15:10:00"/>
    <n v="0.16666666666666607"/>
    <n v="0.99999999999999911"/>
    <n v="1.1666666666666652"/>
    <s v="Reboot and reset then start wtg."/>
    <s v="Close"/>
    <n v="2.9166666666666632E-2"/>
    <s v="G17"/>
    <n v="197.94444444444417"/>
    <s v="None"/>
    <s v="WTG Breakdown Maintenance"/>
    <n v="4072"/>
    <n v="197.94444444444417"/>
    <m/>
    <m/>
    <m/>
    <m/>
  </r>
  <r>
    <n v="2390"/>
    <x v="407"/>
    <x v="1"/>
    <x v="1"/>
    <x v="13"/>
    <x v="1"/>
    <x v="21"/>
    <s v="PWEGPL"/>
    <s v="MSEDCL"/>
    <n v="2.5000000000000001E-2"/>
    <n v="205"/>
    <x v="312"/>
    <s v="Manual stop"/>
    <d v="1899-12-30T00:00:00"/>
    <d v="1899-12-30T00:00:00"/>
    <d v="1899-12-30T23:59:00"/>
    <n v="0"/>
    <n v="23.983333333333334"/>
    <n v="23.983333333333334"/>
    <s v="WIP"/>
    <s v="Open"/>
    <n v="0.59958333333333336"/>
    <s v="G04"/>
    <n v="7822.5638888888898"/>
    <s v="Material Shortage - Pitch Cylinder."/>
    <s v="WTG Unscheduled Maintenance"/>
    <n v="7828"/>
    <n v="7822.5638888888898"/>
    <m/>
    <m/>
    <m/>
    <m/>
  </r>
  <r>
    <n v="2391"/>
    <x v="407"/>
    <x v="1"/>
    <x v="1"/>
    <x v="13"/>
    <x v="1"/>
    <x v="33"/>
    <s v="PWEGPL"/>
    <s v="MSEDCL"/>
    <n v="2.5000000000000001E-2"/>
    <s v="CE100010"/>
    <x v="296"/>
    <s v="PM"/>
    <d v="1899-12-30T10:41:00"/>
    <d v="1899-12-30T10:41:00"/>
    <d v="1899-12-30T18:34:00"/>
    <n v="0"/>
    <n v="7.8833333333333329"/>
    <n v="7.8833333333333329"/>
    <s v="Half Yearly maintenance done."/>
    <s v="Close"/>
    <n v="0.19708333333333333"/>
    <s v="G22"/>
    <n v="1910.0659722222219"/>
    <s v="None"/>
    <s v="WTG Scheduled Maintenance"/>
    <n v="5815"/>
    <n v="1910.0659722222219"/>
    <m/>
    <m/>
    <m/>
    <m/>
  </r>
  <r>
    <n v="2392"/>
    <x v="407"/>
    <x v="1"/>
    <x v="1"/>
    <x v="13"/>
    <x v="1"/>
    <x v="12"/>
    <s v="PWEGPL"/>
    <s v="MSEDCL"/>
    <n v="2.5000000000000001E-2"/>
    <n v="402"/>
    <x v="300"/>
    <s v="Manual stop"/>
    <d v="1899-12-30T11:33:00"/>
    <d v="1899-12-30T11:33:00"/>
    <d v="1899-12-30T14:57:00"/>
    <n v="0"/>
    <n v="3.4"/>
    <n v="3.4"/>
    <s v="Gear oil top up and restored"/>
    <s v="Close"/>
    <n v="8.5000000000000006E-2"/>
    <s v="G29"/>
    <n v="963.33333333333326"/>
    <s v="None"/>
    <s v="WTG Unscheduled Maintenance"/>
    <n v="6800"/>
    <n v="963.33333333333326"/>
    <m/>
    <m/>
    <m/>
    <m/>
  </r>
  <r>
    <n v="2393"/>
    <x v="407"/>
    <x v="1"/>
    <x v="1"/>
    <x v="13"/>
    <x v="1"/>
    <x v="7"/>
    <s v="PWEGPL"/>
    <s v="MSEDCL"/>
    <n v="2.5000000000000001E-2"/>
    <n v="205"/>
    <x v="312"/>
    <s v="BD"/>
    <d v="1899-12-30T13:51:00"/>
    <d v="1899-12-30T15:23:00"/>
    <d v="1899-12-30T15:40:00"/>
    <n v="1.5333333333333332"/>
    <n v="0.28333333333333499"/>
    <n v="1.8166666666666682"/>
    <s v="10 liter Oil top up then restore the turbine."/>
    <s v="Close"/>
    <n v="4.5416666666666709E-2"/>
    <s v="G39"/>
    <n v="526.68194444444498"/>
    <s v="None"/>
    <s v="WTG Breakdown Maintenance"/>
    <n v="6958"/>
    <n v="526.68194444444498"/>
    <m/>
    <m/>
    <m/>
    <m/>
  </r>
  <r>
    <n v="2394"/>
    <x v="407"/>
    <x v="1"/>
    <x v="1"/>
    <x v="13"/>
    <x v="1"/>
    <x v="37"/>
    <s v="PWEGPL"/>
    <s v="MSEDCL"/>
    <n v="2.5000000000000001E-2"/>
    <n v="223"/>
    <x v="408"/>
    <s v="BD"/>
    <d v="1899-12-30T16:26:00"/>
    <d v="1899-12-30T16:49:00"/>
    <d v="1899-12-30T17:00:00"/>
    <n v="0.38333333333333197"/>
    <n v="0.18333333333333535"/>
    <n v="0.56666666666666732"/>
    <s v="Reboot and reset then start wtg."/>
    <s v="Close"/>
    <n v="1.4166666666666683E-2"/>
    <s v="G17"/>
    <n v="191.60416666666688"/>
    <s v="None"/>
    <s v="WTG Breakdown Maintenance"/>
    <n v="8115"/>
    <n v="191.60416666666688"/>
    <m/>
    <m/>
    <m/>
    <m/>
  </r>
  <r>
    <n v="2395"/>
    <x v="408"/>
    <x v="1"/>
    <x v="1"/>
    <x v="13"/>
    <x v="1"/>
    <x v="21"/>
    <s v="PWEGPL"/>
    <s v="MSEDCL"/>
    <n v="2.5000000000000001E-2"/>
    <n v="205"/>
    <x v="312"/>
    <s v="Manual stop"/>
    <d v="1899-12-30T00:00:00"/>
    <d v="1899-12-30T00:00:00"/>
    <d v="1899-12-30T23:59:00"/>
    <n v="0"/>
    <n v="23.983333333333334"/>
    <n v="23.983333333333334"/>
    <s v="WIP"/>
    <s v="Open"/>
    <n v="0.59958333333333336"/>
    <s v="G04"/>
    <n v="5121.4409722222226"/>
    <s v="Material Shortage - Pitch Cylinder."/>
    <s v="WTG Unscheduled Maintenance"/>
    <n v="5125"/>
    <n v="5121.4409722222226"/>
    <m/>
    <m/>
    <m/>
    <m/>
  </r>
  <r>
    <n v="2396"/>
    <x v="408"/>
    <x v="1"/>
    <x v="1"/>
    <x v="13"/>
    <x v="1"/>
    <x v="34"/>
    <s v="PWEGPL"/>
    <s v="MSEDCL"/>
    <n v="2.5000000000000001E-2"/>
    <s v="CE100010"/>
    <x v="296"/>
    <s v="PM"/>
    <d v="1899-12-30T10:52:00"/>
    <d v="1899-12-30T10:52:00"/>
    <d v="1899-12-30T18:03:00"/>
    <n v="0"/>
    <n v="7.1833333333333336"/>
    <n v="7.1833333333333336"/>
    <s v="Half Yearly maintenance done."/>
    <s v="Close"/>
    <n v="0.17958333333333334"/>
    <s v="G21"/>
    <n v="1327.7194444444447"/>
    <s v="None"/>
    <s v="WTG Scheduled Maintenance"/>
    <n v="4436"/>
    <n v="1327.7194444444447"/>
    <m/>
    <m/>
    <m/>
    <m/>
  </r>
  <r>
    <n v="2397"/>
    <x v="408"/>
    <x v="1"/>
    <x v="1"/>
    <x v="13"/>
    <x v="1"/>
    <x v="24"/>
    <s v="PWEGPL"/>
    <s v="MSEDCL"/>
    <n v="2.5000000000000001E-2"/>
    <n v="205"/>
    <x v="312"/>
    <s v="BD"/>
    <d v="1899-12-30T21:33:00"/>
    <d v="1899-12-30T22:01:00"/>
    <d v="1899-12-30T23:40:00"/>
    <n v="0.46666666666666501"/>
    <n v="1.6500000000000021"/>
    <n v="2.1166666666666671"/>
    <s v="10 liter Oil top up then restore the turbine."/>
    <s v="Close"/>
    <n v="5.2916666666666681E-2"/>
    <s v="G23"/>
    <n v="427.12569444444455"/>
    <s v="None"/>
    <s v="WTG Breakdown Maintenance"/>
    <n v="4843"/>
    <n v="427.12569444444455"/>
    <m/>
    <m/>
    <m/>
    <m/>
  </r>
  <r>
    <n v="2398"/>
    <x v="408"/>
    <x v="1"/>
    <x v="1"/>
    <x v="13"/>
    <x v="1"/>
    <x v="7"/>
    <s v="PWEGPL"/>
    <s v="MSEDCL"/>
    <n v="2.5000000000000001E-2"/>
    <n v="804"/>
    <x v="382"/>
    <s v="BD"/>
    <d v="1899-12-30T21:30:00"/>
    <d v="1899-12-30T23:59:00"/>
    <d v="1899-12-30T23:59:00"/>
    <n v="2.4833333333333325"/>
    <n v="0"/>
    <n v="2.4833333333333325"/>
    <s v="WIP"/>
    <s v="Open"/>
    <n v="6.2083333333333317E-2"/>
    <s v="G39"/>
    <n v="464.9006944444443"/>
    <s v="None"/>
    <s v="WTG Breakdown Maintenance"/>
    <n v="4493"/>
    <n v="464.9006944444443"/>
    <m/>
    <m/>
    <m/>
    <m/>
  </r>
  <r>
    <n v="2399"/>
    <x v="408"/>
    <x v="1"/>
    <x v="1"/>
    <x v="13"/>
    <x v="1"/>
    <x v="37"/>
    <s v="PWEGPL"/>
    <s v="MSEDCL"/>
    <n v="2.5000000000000001E-2"/>
    <n v="223"/>
    <x v="408"/>
    <s v="BD"/>
    <d v="1899-12-30T16:21:00"/>
    <d v="1899-12-30T17:30:00"/>
    <d v="1899-12-30T18:10:00"/>
    <n v="1.1499999999999986"/>
    <n v="0.66666666666666963"/>
    <n v="1.8166666666666682"/>
    <s v="Reboot and reset then start wtg."/>
    <s v="Close"/>
    <n v="4.5416666666666709E-2"/>
    <s v="G17"/>
    <n v="431.004166666667"/>
    <s v="None"/>
    <s v="WTG Breakdown Maintenance"/>
    <n v="5694"/>
    <n v="431.004166666667"/>
    <m/>
    <m/>
    <m/>
    <m/>
  </r>
  <r>
    <n v="2400"/>
    <x v="409"/>
    <x v="1"/>
    <x v="1"/>
    <x v="13"/>
    <x v="1"/>
    <x v="21"/>
    <s v="PWEGPL"/>
    <s v="MSEDCL"/>
    <n v="2.5000000000000001E-2"/>
    <n v="205"/>
    <x v="312"/>
    <s v="Manual stop"/>
    <d v="1899-12-30T00:00:00"/>
    <d v="1899-12-30T00:00:00"/>
    <d v="1899-12-30T23:59:00"/>
    <n v="0"/>
    <n v="23.983333333333334"/>
    <n v="23.983333333333334"/>
    <s v="WIP"/>
    <s v="Open"/>
    <n v="0.59958333333333336"/>
    <s v="G04"/>
    <n v="1888.6875"/>
    <s v="Material Shortage - Pitch Cylinder."/>
    <s v="WTG Unscheduled Maintenance"/>
    <n v="1890"/>
    <n v="1888.6875"/>
    <m/>
    <m/>
    <m/>
    <m/>
  </r>
  <r>
    <n v="2401"/>
    <x v="409"/>
    <x v="1"/>
    <x v="1"/>
    <x v="13"/>
    <x v="1"/>
    <x v="37"/>
    <s v="PWEGPL"/>
    <s v="MSEDCL"/>
    <n v="2.5000000000000001E-2"/>
    <n v="401"/>
    <x v="331"/>
    <s v="Manual stop"/>
    <d v="1899-12-30T10:21:00"/>
    <d v="1899-12-30T10:21:00"/>
    <d v="1899-12-30T11:48:00"/>
    <n v="0"/>
    <n v="1.4500000000000015"/>
    <n v="1.4500000000000015"/>
    <s v="Set gear box pressure switch then restore wtg."/>
    <s v="Close"/>
    <n v="3.6250000000000039E-2"/>
    <s v="G17"/>
    <n v="204.02708333333356"/>
    <s v="None"/>
    <s v="WTG Breakdown Maintenance"/>
    <n v="3377"/>
    <n v="204.02708333333356"/>
    <m/>
    <m/>
    <m/>
    <m/>
  </r>
  <r>
    <n v="2402"/>
    <x v="409"/>
    <x v="1"/>
    <x v="1"/>
    <x v="13"/>
    <x v="1"/>
    <x v="7"/>
    <s v="PWEGPL"/>
    <s v="MSEDCL"/>
    <n v="2.5000000000000001E-2"/>
    <n v="804"/>
    <x v="382"/>
    <s v="BD"/>
    <d v="1899-12-30T00:00:00"/>
    <d v="1899-12-30T00:00:00"/>
    <d v="1899-12-30T01:45:00"/>
    <n v="0"/>
    <n v="1.75"/>
    <n v="1.75"/>
    <s v="Check related circuit found relay failure so replace with new one the restore wtg."/>
    <s v="Close"/>
    <n v="4.3750000000000004E-2"/>
    <s v="G39"/>
    <n v="83.78125"/>
    <s v="None"/>
    <s v="WTG Breakdown Maintenance"/>
    <n v="1149"/>
    <n v="83.78125"/>
    <m/>
    <m/>
    <m/>
    <m/>
  </r>
  <r>
    <n v="2403"/>
    <x v="409"/>
    <x v="1"/>
    <x v="1"/>
    <x v="13"/>
    <x v="1"/>
    <x v="3"/>
    <s v="PWEGPL"/>
    <s v="MSEDCL"/>
    <n v="2.5000000000000001E-2"/>
    <n v="2118"/>
    <x v="293"/>
    <s v="BD"/>
    <d v="1899-12-30T14:45:00"/>
    <d v="1899-12-30T15:10:00"/>
    <d v="1899-12-30T15:30:00"/>
    <n v="0.41666666666666519"/>
    <n v="0.33333333333333481"/>
    <n v="0.75"/>
    <s v="Slipring clean then restore wtg."/>
    <s v="Close"/>
    <n v="1.8750000000000003E-2"/>
    <s v="G26"/>
    <n v="39.40625"/>
    <s v="None"/>
    <s v="WTG Breakdown Maintenance"/>
    <n v="1261"/>
    <n v="39.40625"/>
    <m/>
    <m/>
    <m/>
    <m/>
  </r>
  <r>
    <n v="2404"/>
    <x v="410"/>
    <x v="2"/>
    <x v="1"/>
    <x v="14"/>
    <x v="2"/>
    <x v="21"/>
    <s v="PWEGPL"/>
    <s v="MSEDCL"/>
    <n v="2.5000000000000001E-2"/>
    <n v="205"/>
    <x v="312"/>
    <s v="Manual stop"/>
    <d v="1899-12-30T00:00:00"/>
    <d v="1899-12-30T00:00:00"/>
    <d v="1899-12-30T23:59:00"/>
    <n v="0"/>
    <n v="23.983333333333334"/>
    <n v="23.983333333333334"/>
    <s v="WIP"/>
    <s v="Open"/>
    <n v="0.59958333333333336"/>
    <s v="G04"/>
    <n v="5977.8458333333338"/>
    <s v="Material Shortage - Pitch Cylinder."/>
    <s v="WTG Unscheduled Maintenance"/>
    <n v="5982"/>
    <n v="5977.8458333333338"/>
    <m/>
    <m/>
    <m/>
    <m/>
  </r>
  <r>
    <n v="2405"/>
    <x v="410"/>
    <x v="2"/>
    <x v="1"/>
    <x v="14"/>
    <x v="2"/>
    <x v="24"/>
    <s v="PWEGPL"/>
    <s v="MSEDCL"/>
    <n v="2.5000000000000001E-2"/>
    <s v="CE100010"/>
    <x v="296"/>
    <s v="PM"/>
    <d v="1899-12-30T10:30:00"/>
    <d v="1899-12-30T10:30:00"/>
    <d v="1899-12-30T18:20:00"/>
    <n v="0"/>
    <n v="7.8333333333333321"/>
    <n v="7.8333333333333321"/>
    <s v="Half Yearly maintenance done."/>
    <s v="Close"/>
    <n v="0.1958333333333333"/>
    <s v="G22"/>
    <n v="1576.458333333333"/>
    <s v="None"/>
    <s v="WTG Scheduled Maintenance"/>
    <n v="4830"/>
    <n v="1576.458333333333"/>
    <m/>
    <m/>
    <m/>
    <m/>
  </r>
  <r>
    <n v="2406"/>
    <x v="411"/>
    <x v="2"/>
    <x v="1"/>
    <x v="14"/>
    <x v="2"/>
    <x v="21"/>
    <s v="PWEGPL"/>
    <s v="MSEDCL"/>
    <n v="2.5000000000000001E-2"/>
    <n v="205"/>
    <x v="312"/>
    <s v="Manual stop"/>
    <d v="1899-12-30T00:00:00"/>
    <d v="1899-12-30T00:00:00"/>
    <d v="1899-12-30T23:59:00"/>
    <n v="0"/>
    <n v="23.983333333333334"/>
    <n v="23.983333333333334"/>
    <s v="WIP"/>
    <s v="Open"/>
    <n v="0.59958333333333336"/>
    <s v="G04"/>
    <n v="4101.1500000000005"/>
    <s v="Material Shortage - Pitch Cylinder."/>
    <s v="WTG Unscheduled Maintenance"/>
    <n v="4104"/>
    <n v="4101.1500000000005"/>
    <m/>
    <m/>
    <m/>
    <m/>
  </r>
  <r>
    <n v="2407"/>
    <x v="411"/>
    <x v="2"/>
    <x v="1"/>
    <x v="14"/>
    <x v="2"/>
    <x v="19"/>
    <s v="PWEGPL"/>
    <s v="MSEDCL"/>
    <n v="2.5000000000000001E-2"/>
    <n v="2102"/>
    <x v="320"/>
    <s v="BD"/>
    <d v="1899-12-30T00:14:00"/>
    <d v="1899-12-30T00:29:00"/>
    <d v="1899-12-30T02:39:00"/>
    <n v="0.25"/>
    <n v="2.1666666666666665"/>
    <n v="2.416666666666667"/>
    <s v="Check related circuit found RTD &amp; CAB module failure so replace with new one then restore wtg."/>
    <s v="Close"/>
    <n v="6.0416666666666674E-2"/>
    <s v="G19"/>
    <n v="484.13888888888897"/>
    <s v="None"/>
    <s v="WTG Breakdown Maintenance"/>
    <n v="4808"/>
    <n v="484.13888888888897"/>
    <m/>
    <m/>
    <m/>
    <m/>
  </r>
  <r>
    <n v="2408"/>
    <x v="411"/>
    <x v="2"/>
    <x v="1"/>
    <x v="14"/>
    <x v="2"/>
    <x v="39"/>
    <s v="PWEGPL"/>
    <s v="MSEDCL"/>
    <n v="2.5000000000000001E-2"/>
    <s v="CE100010"/>
    <x v="296"/>
    <s v="PM"/>
    <d v="1899-12-30T09:54:00"/>
    <d v="1899-12-30T09:54:00"/>
    <d v="1899-12-30T18:12:00"/>
    <n v="0"/>
    <n v="8.2999999999999989"/>
    <n v="8.2999999999999989"/>
    <s v="Half Yearly maintenance done."/>
    <s v="Close"/>
    <n v="0.20749999999999999"/>
    <s v="G16"/>
    <n v="1523.0499999999997"/>
    <s v="None"/>
    <s v="WTG Scheduled Maintenance"/>
    <n v="4404"/>
    <n v="1523.0499999999997"/>
    <m/>
    <m/>
    <m/>
    <m/>
  </r>
  <r>
    <n v="2409"/>
    <x v="412"/>
    <x v="2"/>
    <x v="1"/>
    <x v="14"/>
    <x v="2"/>
    <x v="21"/>
    <s v="PWEGPL"/>
    <s v="MSEDCL"/>
    <n v="2.5000000000000001E-2"/>
    <n v="205"/>
    <x v="312"/>
    <s v="Manual stop"/>
    <d v="1899-12-30T00:00:00"/>
    <d v="1899-12-30T00:00:00"/>
    <d v="1899-12-30T23:59:00"/>
    <n v="0"/>
    <n v="23.983333333333334"/>
    <n v="23.983333333333334"/>
    <s v="WIP"/>
    <s v="Open"/>
    <n v="0.59958333333333336"/>
    <s v="G04"/>
    <n v="7330.905555555556"/>
    <s v="Material Shortage - Pitch Cylinder."/>
    <s v="WTG Unscheduled Maintenance"/>
    <n v="7336"/>
    <n v="7330.905555555556"/>
    <m/>
    <m/>
    <m/>
    <m/>
  </r>
  <r>
    <n v="2410"/>
    <x v="412"/>
    <x v="2"/>
    <x v="1"/>
    <x v="14"/>
    <x v="2"/>
    <x v="37"/>
    <s v="PWEGPL"/>
    <s v="MSEDCL"/>
    <n v="2.5000000000000001E-2"/>
    <s v="CE100010"/>
    <x v="296"/>
    <s v="PM"/>
    <d v="1899-12-30T09:48:00"/>
    <d v="1899-12-30T09:48:00"/>
    <d v="1899-12-30T17:15:00"/>
    <n v="0"/>
    <n v="7.4499999999999993"/>
    <n v="7.4499999999999993"/>
    <s v="Half Yearly maintenance done."/>
    <s v="Close"/>
    <n v="0.18625"/>
    <s v="G17"/>
    <n v="2161.7416666666668"/>
    <s v="None"/>
    <s v="WTG Scheduled Maintenance"/>
    <n v="6964"/>
    <n v="2161.7416666666668"/>
    <m/>
    <m/>
    <m/>
    <m/>
  </r>
  <r>
    <n v="2411"/>
    <x v="412"/>
    <x v="2"/>
    <x v="1"/>
    <x v="14"/>
    <x v="2"/>
    <x v="7"/>
    <s v="PWEGPL"/>
    <s v="MSEDCL"/>
    <n v="2.5000000000000001E-2"/>
    <n v="205"/>
    <x v="312"/>
    <s v="Manual stop"/>
    <d v="1899-12-30T11:38:00"/>
    <d v="1899-12-30T11:38:00"/>
    <d v="1899-12-30T16:54:00"/>
    <n v="0"/>
    <n v="5.2666666666666657"/>
    <n v="5.2666666666666657"/>
    <s v="Blade C pitch seal replaced and restored"/>
    <s v="Close"/>
    <n v="0.13166666666666665"/>
    <s v="G39"/>
    <n v="1347.3888888888887"/>
    <s v="None"/>
    <s v="WTG Unscheduled Maintenance"/>
    <n v="6140"/>
    <n v="1347.3888888888887"/>
    <m/>
    <m/>
    <m/>
    <m/>
  </r>
  <r>
    <n v="2412"/>
    <x v="413"/>
    <x v="2"/>
    <x v="1"/>
    <x v="14"/>
    <x v="2"/>
    <x v="21"/>
    <s v="PWEGPL"/>
    <s v="MSEDCL"/>
    <n v="2.5000000000000001E-2"/>
    <n v="205"/>
    <x v="312"/>
    <s v="Manual stop"/>
    <d v="1899-12-30T00:00:00"/>
    <d v="1899-12-30T00:00:00"/>
    <d v="1899-12-30T19:38:00"/>
    <n v="0"/>
    <n v="19.633333333333333"/>
    <n v="19.633333333333333"/>
    <s v="Blade B pitch cylender replaced then restore wtg."/>
    <s v="Close"/>
    <n v="0.49083333333333334"/>
    <s v="G04"/>
    <n v="7216.8861111111109"/>
    <s v="None"/>
    <s v="WTG Unscheduled Maintenance"/>
    <n v="8822"/>
    <n v="7216.8861111111109"/>
    <m/>
    <m/>
    <m/>
    <m/>
  </r>
  <r>
    <n v="2413"/>
    <x v="413"/>
    <x v="2"/>
    <x v="1"/>
    <x v="14"/>
    <x v="2"/>
    <x v="38"/>
    <s v="PWEGPL"/>
    <s v="MSEDCL"/>
    <n v="2.5000000000000001E-2"/>
    <s v="CE100010"/>
    <x v="296"/>
    <s v="PM"/>
    <d v="1899-12-30T10:20:00"/>
    <d v="1899-12-30T10:20:00"/>
    <d v="1899-12-30T17:49:00"/>
    <n v="0"/>
    <n v="7.4833333333333334"/>
    <n v="7.4833333333333334"/>
    <s v="Half Yearly maintenance done."/>
    <s v="Close"/>
    <n v="0.18708333333333335"/>
    <s v="G19"/>
    <n v="2913.5111111111109"/>
    <s v="None"/>
    <s v="WTG Scheduled Maintenance"/>
    <n v="9344"/>
    <n v="2913.5111111111109"/>
    <m/>
    <m/>
    <m/>
    <m/>
  </r>
  <r>
    <n v="2414"/>
    <x v="413"/>
    <x v="2"/>
    <x v="1"/>
    <x v="14"/>
    <x v="2"/>
    <x v="4"/>
    <s v="PWEGPL"/>
    <s v="MSEDCL"/>
    <n v="2.5000000000000001E-2"/>
    <n v="5238"/>
    <x v="349"/>
    <s v="BD"/>
    <d v="1899-12-30T12:15:00"/>
    <d v="1899-12-30T12:50:00"/>
    <d v="1899-12-30T15:00:00"/>
    <n v="0.58333333333333393"/>
    <n v="2.166666666666667"/>
    <n v="2.7500000000000009"/>
    <s v="Check related circuit found 2diode failure so replace with new one then restore wtg."/>
    <s v="Close"/>
    <n v="6.8750000000000019E-2"/>
    <s v="G36"/>
    <n v="1252.854166666667"/>
    <s v="None"/>
    <s v="WTG Breakdown Maintenance"/>
    <n v="10934"/>
    <n v="1252.854166666667"/>
    <m/>
    <m/>
    <m/>
    <m/>
  </r>
  <r>
    <n v="2415"/>
    <x v="413"/>
    <x v="2"/>
    <x v="1"/>
    <x v="14"/>
    <x v="2"/>
    <x v="25"/>
    <s v="PWEGPL"/>
    <s v="MSEDCL"/>
    <n v="2.5000000000000001E-2"/>
    <n v="205"/>
    <x v="312"/>
    <s v="BD"/>
    <d v="1899-12-30T16:54:00"/>
    <d v="1899-12-30T17:45:00"/>
    <d v="1899-12-30T18:02:00"/>
    <n v="0.85000000000000231"/>
    <n v="0.28333333333333499"/>
    <n v="1.1333333333333373"/>
    <s v="10 liter Oil top up then restore the turbine."/>
    <s v="Close"/>
    <n v="2.8333333333333433E-2"/>
    <s v="G03"/>
    <n v="268.1277777777787"/>
    <s v="None"/>
    <s v="WTG Breakdown Maintenance"/>
    <n v="5678"/>
    <n v="268.1277777777787"/>
    <m/>
    <m/>
    <m/>
    <m/>
  </r>
  <r>
    <n v="2416"/>
    <x v="414"/>
    <x v="2"/>
    <x v="1"/>
    <x v="14"/>
    <x v="2"/>
    <x v="18"/>
    <s v="PWEGPL"/>
    <s v="MSEDCL"/>
    <n v="2.5000000000000001E-2"/>
    <s v="CE100010"/>
    <x v="296"/>
    <s v="PM"/>
    <d v="1899-12-30T10:23:00"/>
    <d v="1899-12-30T10:23:00"/>
    <d v="1899-12-30T17:59:00"/>
    <n v="0"/>
    <n v="7.6000000000000014"/>
    <n v="7.6000000000000014"/>
    <s v="Half Yearly maintenance done."/>
    <s v="Close"/>
    <n v="0.19000000000000006"/>
    <s v="G18"/>
    <n v="2460.5000000000005"/>
    <s v="None"/>
    <s v="WTG Scheduled Maintenance"/>
    <n v="7770"/>
    <n v="2460.5000000000005"/>
    <m/>
    <m/>
    <m/>
    <m/>
  </r>
  <r>
    <n v="2417"/>
    <x v="414"/>
    <x v="2"/>
    <x v="1"/>
    <x v="14"/>
    <x v="2"/>
    <x v="31"/>
    <s v="PWEGPL"/>
    <s v="MSEDCL"/>
    <n v="2.5000000000000001E-2"/>
    <n v="5228"/>
    <x v="346"/>
    <s v="BD"/>
    <d v="1899-12-30T13:46:00"/>
    <d v="1899-12-30T14:05:00"/>
    <d v="1899-12-30T15:29:00"/>
    <n v="0.31666666666666554"/>
    <n v="1.3999999999999977"/>
    <n v="1.7166666666666632"/>
    <s v="Check releted circuit found contactor failure so replace with new one the restore wtg."/>
    <s v="Close"/>
    <n v="4.2916666666666582E-2"/>
    <s v="G12"/>
    <n v="427.16388888888804"/>
    <s v="None"/>
    <s v="WTG Breakdown Maintenance"/>
    <n v="5972"/>
    <n v="427.16388888888804"/>
    <m/>
    <m/>
    <m/>
    <m/>
  </r>
  <r>
    <n v="2418"/>
    <x v="415"/>
    <x v="2"/>
    <x v="1"/>
    <x v="14"/>
    <x v="2"/>
    <x v="19"/>
    <s v="PWEGPL"/>
    <s v="MSEDCL"/>
    <n v="2.5000000000000001E-2"/>
    <s v="CE100010"/>
    <x v="296"/>
    <s v="PM"/>
    <d v="1899-12-30T06:15:00"/>
    <d v="1899-12-30T06:15:00"/>
    <d v="1899-12-30T13:51:00"/>
    <n v="0"/>
    <n v="7.5999999999999979"/>
    <n v="7.5999999999999979"/>
    <s v="Half Yearly maintenance done."/>
    <s v="Close"/>
    <n v="0.18999999999999995"/>
    <s v="G19"/>
    <n v="3294.599999999999"/>
    <s v="None"/>
    <s v="WTG Scheduled Maintenance"/>
    <n v="10404"/>
    <n v="3294.599999999999"/>
    <m/>
    <m/>
    <m/>
    <m/>
  </r>
  <r>
    <n v="2419"/>
    <x v="415"/>
    <x v="2"/>
    <x v="1"/>
    <x v="14"/>
    <x v="2"/>
    <x v="32"/>
    <s v="PWEGPL"/>
    <s v="MSEDCL"/>
    <n v="2.5000000000000001E-2"/>
    <n v="5263"/>
    <x v="311"/>
    <s v="BD"/>
    <d v="1899-12-30T12:15:00"/>
    <d v="1899-12-30T12:42:00"/>
    <d v="1899-12-30T13:30:00"/>
    <n v="0.45000000000000107"/>
    <n v="0.79999999999999982"/>
    <n v="1.2500000000000009"/>
    <s v="slip ring clean then restore wtg."/>
    <s v="Close"/>
    <n v="3.1250000000000021E-2"/>
    <s v="G15"/>
    <n v="340.72916666666691"/>
    <s v="None"/>
    <s v="WTG Breakdown Maintenance"/>
    <n v="6542"/>
    <n v="340.72916666666691"/>
    <m/>
    <m/>
    <m/>
    <m/>
  </r>
  <r>
    <n v="2420"/>
    <x v="415"/>
    <x v="2"/>
    <x v="1"/>
    <x v="14"/>
    <x v="2"/>
    <x v="17"/>
    <s v="PWEGPL"/>
    <s v="MSEDCL"/>
    <n v="2.5000000000000001E-2"/>
    <n v="205"/>
    <x v="312"/>
    <s v="BD"/>
    <d v="1899-12-30T22:13:00"/>
    <d v="1899-12-30T23:18:00"/>
    <d v="1899-12-30T23:57:00"/>
    <n v="1.0833333333333348"/>
    <n v="0.65000000000000036"/>
    <n v="1.7333333333333352"/>
    <s v="15 liter hu oil top-up then restore wtg."/>
    <s v="Close"/>
    <n v="4.3333333333333383E-2"/>
    <s v="G09"/>
    <n v="538.05555555555611"/>
    <s v="None"/>
    <s v="WTG Breakdown Maintenance"/>
    <n v="7450"/>
    <n v="538.05555555555611"/>
    <m/>
    <m/>
    <m/>
    <m/>
  </r>
  <r>
    <n v="2421"/>
    <x v="416"/>
    <x v="2"/>
    <x v="1"/>
    <x v="14"/>
    <x v="2"/>
    <x v="17"/>
    <s v="PWEGPL"/>
    <s v="MSEDCL"/>
    <n v="2.5000000000000001E-2"/>
    <n v="103"/>
    <x v="307"/>
    <s v="BD"/>
    <d v="1899-12-30T17:07:00"/>
    <d v="1899-12-30T17:41:00"/>
    <d v="1899-12-30T17:46:00"/>
    <n v="0.56666666666666732"/>
    <n v="8.3333333333330373E-2"/>
    <n v="0.64999999999999769"/>
    <s v="Reset and restored "/>
    <s v="Close"/>
    <n v="1.6249999999999942E-2"/>
    <s v="G10"/>
    <n v="101.34583333333296"/>
    <s v="None"/>
    <s v="WTG Breakdown Maintenance"/>
    <n v="3742"/>
    <n v="101.34583333333296"/>
    <m/>
    <m/>
    <m/>
    <m/>
  </r>
  <r>
    <n v="2422"/>
    <x v="416"/>
    <x v="2"/>
    <x v="1"/>
    <x v="14"/>
    <x v="2"/>
    <x v="27"/>
    <s v="PWEGPL"/>
    <s v="MSEDCL"/>
    <n v="2.5000000000000001E-2"/>
    <n v="5263"/>
    <x v="311"/>
    <s v="BD"/>
    <d v="1899-12-30T13:42:00"/>
    <d v="1899-12-30T13:42:00"/>
    <d v="1899-12-30T13:47:00"/>
    <n v="0"/>
    <n v="8.3333333333333037E-2"/>
    <n v="8.3333333333333037E-2"/>
    <s v="Reset and restored "/>
    <s v="Close"/>
    <n v="2.0833333333333259E-3"/>
    <s v="G12"/>
    <n v="14.173611111111061"/>
    <s v="None"/>
    <s v="WTG Breakdown Maintenance"/>
    <n v="4082"/>
    <n v="14.173611111111061"/>
    <m/>
    <m/>
    <m/>
    <m/>
  </r>
  <r>
    <n v="2423"/>
    <x v="417"/>
    <x v="2"/>
    <x v="1"/>
    <x v="14"/>
    <x v="2"/>
    <x v="32"/>
    <s v="PWEGPL"/>
    <s v="MSEDCL"/>
    <n v="2.5000000000000001E-2"/>
    <s v="CE100010"/>
    <x v="296"/>
    <s v="PM"/>
    <d v="1899-12-30T10:26:00"/>
    <d v="1899-12-30T10:26:00"/>
    <d v="1899-12-30T17:42:00"/>
    <n v="0"/>
    <n v="7.2666666666666648"/>
    <n v="7.2666666666666648"/>
    <s v="Half Yearly maintenance done."/>
    <s v="Close"/>
    <n v="0.18166666666666664"/>
    <s v="G13"/>
    <n v="2298.0833333333326"/>
    <s v="None"/>
    <s v="WTG Scheduled Maintenance"/>
    <n v="7590"/>
    <n v="2298.0833333333326"/>
    <m/>
    <m/>
    <m/>
    <m/>
  </r>
  <r>
    <n v="2424"/>
    <x v="417"/>
    <x v="2"/>
    <x v="1"/>
    <x v="14"/>
    <x v="2"/>
    <x v="30"/>
    <s v="PWEGPL"/>
    <s v="MSEDCL"/>
    <n v="2.5000000000000001E-2"/>
    <n v="5212"/>
    <x v="319"/>
    <s v="BD"/>
    <d v="1899-12-30T07:20:00"/>
    <d v="1899-12-30T08:50:00"/>
    <d v="1899-12-30T09:29:00"/>
    <n v="1.5000000000000013"/>
    <n v="0.64999999999999902"/>
    <n v="2.1500000000000004"/>
    <s v="Check releted circuit found contactor failure so replace with new one the restore wtg."/>
    <s v="Close"/>
    <n v="5.3750000000000013E-2"/>
    <s v="G09"/>
    <n v="390.94166666666678"/>
    <s v="None"/>
    <s v="WTG Breakdown Maintenance"/>
    <n v="4364"/>
    <n v="390.94166666666678"/>
    <m/>
    <m/>
    <m/>
    <m/>
  </r>
  <r>
    <n v="2425"/>
    <x v="417"/>
    <x v="2"/>
    <x v="1"/>
    <x v="14"/>
    <x v="2"/>
    <x v="23"/>
    <s v="PWEGPL"/>
    <s v="MSEDCL"/>
    <n v="2.5000000000000001E-2"/>
    <n v="5263"/>
    <x v="311"/>
    <s v="BD"/>
    <d v="1899-12-30T11:05:00"/>
    <d v="1899-12-30T11:30:00"/>
    <d v="1899-12-30T12:01:00"/>
    <n v="0.41666666666666652"/>
    <n v="0.51666666666666616"/>
    <n v="0.93333333333333268"/>
    <s v="slip ring clean then restore wtg."/>
    <s v="Close"/>
    <n v="2.3333333333333317E-2"/>
    <s v="G03"/>
    <n v="270.35555555555538"/>
    <s v="None"/>
    <s v="WTG Breakdown Maintenance"/>
    <n v="6952"/>
    <n v="270.35555555555538"/>
    <m/>
    <m/>
    <m/>
    <m/>
  </r>
  <r>
    <n v="2426"/>
    <x v="417"/>
    <x v="2"/>
    <x v="1"/>
    <x v="14"/>
    <x v="2"/>
    <x v="20"/>
    <s v="PWEGPL"/>
    <s v="MSEDCL"/>
    <n v="2.5000000000000001E-2"/>
    <n v="5263"/>
    <x v="311"/>
    <s v="BD"/>
    <d v="1899-12-30T04:10:00"/>
    <d v="1899-12-30T04:54:00"/>
    <d v="1899-12-30T05:20:00"/>
    <n v="0.73333333333333339"/>
    <n v="0.43333333333333246"/>
    <n v="1.1666666666666659"/>
    <s v="slip ring clean then restore wtg."/>
    <s v="Close"/>
    <n v="2.9166666666666646E-2"/>
    <s v="G07"/>
    <n v="449.74999999999966"/>
    <s v="None"/>
    <s v="WTG Breakdown Maintenance"/>
    <n v="9252"/>
    <n v="449.74999999999966"/>
    <m/>
    <m/>
    <m/>
    <m/>
  </r>
  <r>
    <n v="2427"/>
    <x v="417"/>
    <x v="2"/>
    <x v="1"/>
    <x v="14"/>
    <x v="2"/>
    <x v="21"/>
    <s v="PWEGPL"/>
    <s v="MSEDCL"/>
    <n v="2.5000000000000001E-2"/>
    <n v="205"/>
    <x v="312"/>
    <s v="BD"/>
    <d v="1899-12-30T15:10:00"/>
    <d v="1899-12-30T16:15:00"/>
    <d v="1899-12-30T16:50:00"/>
    <n v="1.0833333333333348"/>
    <n v="0.58333333333333126"/>
    <n v="1.6666666666666661"/>
    <s v="10 liter Oil top up then restore the turbine."/>
    <s v="Close"/>
    <n v="4.1666666666666657E-2"/>
    <s v="G04"/>
    <n v="135.41666666666663"/>
    <s v="None"/>
    <s v="WTG Breakdown Maintenance"/>
    <n v="1950"/>
    <n v="135.41666666666663"/>
    <m/>
    <m/>
    <m/>
    <m/>
  </r>
  <r>
    <n v="2428"/>
    <x v="417"/>
    <x v="2"/>
    <x v="1"/>
    <x v="14"/>
    <x v="2"/>
    <x v="37"/>
    <s v="PWEGPL"/>
    <s v="MSEDCL"/>
    <n v="2.5000000000000001E-2"/>
    <n v="421"/>
    <x v="364"/>
    <s v="Manual stop"/>
    <d v="1899-12-30T11:35:00"/>
    <d v="1899-12-30T11:35:00"/>
    <d v="1899-12-30T12:28:00"/>
    <n v="0"/>
    <n v="0.88333333333333419"/>
    <n v="0.88333333333333419"/>
    <s v="Check releted circuit found contactor failure so replace with new one the restore wtg."/>
    <s v="Close"/>
    <n v="2.2083333333333358E-2"/>
    <s v="G17"/>
    <n v="285.90555555555585"/>
    <s v="None"/>
    <s v="WTG Breakdown Maintenance"/>
    <n v="7768"/>
    <n v="285.90555555555585"/>
    <m/>
    <m/>
    <m/>
    <m/>
  </r>
  <r>
    <n v="2429"/>
    <x v="417"/>
    <x v="2"/>
    <x v="1"/>
    <x v="14"/>
    <x v="2"/>
    <x v="8"/>
    <s v="PWEGPL"/>
    <s v="MSEDCL"/>
    <n v="2.5000000000000001E-2"/>
    <s v="CE100018"/>
    <x v="406"/>
    <s v="BD"/>
    <d v="1899-12-30T05:01:00"/>
    <d v="1899-12-30T05:01:00"/>
    <d v="1899-12-30T10:54:00"/>
    <n v="0"/>
    <n v="5.8833333333333329"/>
    <n v="5.8833333333333329"/>
    <s v="Sf-6 breaker Charged then restore"/>
    <s v="Close"/>
    <n v="0.14708333333333332"/>
    <s v="G25"/>
    <n v="373.10138888888883"/>
    <s v="None"/>
    <s v="WTG Breakdown Maintenance"/>
    <n v="1522"/>
    <n v="373.10138888888883"/>
    <m/>
    <m/>
    <m/>
    <m/>
  </r>
  <r>
    <n v="2430"/>
    <x v="417"/>
    <x v="2"/>
    <x v="1"/>
    <x v="14"/>
    <x v="2"/>
    <x v="10"/>
    <s v="PWEGPL"/>
    <s v="MSEDCL"/>
    <n v="2.5000000000000001E-2"/>
    <n v="700"/>
    <x v="329"/>
    <s v="BD"/>
    <d v="1899-12-30T05:01:00"/>
    <d v="1899-12-30T06:10:00"/>
    <d v="1899-12-30T10:35:00"/>
    <n v="1.1500000000000006"/>
    <n v="4.416666666666667"/>
    <n v="5.5666666666666673"/>
    <s v="Found MCB tripped so restore MCB then start wtg."/>
    <s v="Close"/>
    <n v="0.13916666666666669"/>
    <s v="G28"/>
    <n v="366.00833333333338"/>
    <s v="None"/>
    <s v="WTG Breakdown Maintenance"/>
    <n v="1578"/>
    <n v="366.00833333333338"/>
    <m/>
    <m/>
    <m/>
    <m/>
  </r>
  <r>
    <n v="2431"/>
    <x v="418"/>
    <x v="2"/>
    <x v="1"/>
    <x v="14"/>
    <x v="2"/>
    <x v="31"/>
    <s v="PWEGPL"/>
    <s v="MSEDCL"/>
    <n v="2.5000000000000001E-2"/>
    <s v="CE100010"/>
    <x v="296"/>
    <s v="PM"/>
    <d v="1899-12-30T09:53:00"/>
    <d v="1899-12-30T09:53:00"/>
    <d v="1899-12-30T19:36:00"/>
    <n v="0"/>
    <n v="9.7166666666666686"/>
    <n v="9.7166666666666686"/>
    <s v="Half Yearly maintenance done."/>
    <s v="Close"/>
    <n v="0.24291666666666673"/>
    <s v="G12"/>
    <n v="2170.0555555555561"/>
    <s v="None"/>
    <s v="WTG Scheduled Maintenance"/>
    <n v="5360"/>
    <n v="2170.0555555555561"/>
    <m/>
    <m/>
    <m/>
    <m/>
  </r>
  <r>
    <n v="2432"/>
    <x v="418"/>
    <x v="2"/>
    <x v="1"/>
    <x v="14"/>
    <x v="2"/>
    <x v="0"/>
    <s v="PWEGPL"/>
    <s v="MSEDCL"/>
    <n v="2.5000000000000001E-2"/>
    <s v="CE100018"/>
    <x v="406"/>
    <s v="BD"/>
    <d v="1899-12-30T01:30:00"/>
    <d v="1899-12-30T01:30:00"/>
    <d v="1899-12-30T12:39:00"/>
    <n v="0"/>
    <n v="11.15"/>
    <n v="11.15"/>
    <s v="B phase Tee- plug failure so replace with new one then restore wtg"/>
    <s v="Close"/>
    <n v="0.27875"/>
    <s v="G16"/>
    <n v="2366.5875000000001"/>
    <s v="None"/>
    <s v="WTG Breakdown Maintenance"/>
    <n v="5094"/>
    <n v="2366.5875000000001"/>
    <m/>
    <m/>
    <m/>
    <m/>
  </r>
  <r>
    <n v="2433"/>
    <x v="418"/>
    <x v="2"/>
    <x v="1"/>
    <x v="14"/>
    <x v="2"/>
    <x v="15"/>
    <s v="PWEGPL"/>
    <s v="MSEDCL"/>
    <n v="2.5000000000000001E-2"/>
    <n v="800"/>
    <x v="298"/>
    <s v="BD"/>
    <d v="1899-12-30T21:37:00"/>
    <d v="1899-12-30T22:27:00"/>
    <d v="1899-12-30T23:01:00"/>
    <n v="0.83333333333333304"/>
    <n v="0.56666666666666465"/>
    <n v="1.3999999999999977"/>
    <s v="Found Solenoid valve cable loose so correct it then restore it."/>
    <s v="Close"/>
    <n v="3.4999999999999941E-2"/>
    <s v="G34"/>
    <n v="164.15000000000003"/>
    <s v="None"/>
    <s v="WTG Breakdown Maintenance"/>
    <n v="2814"/>
    <n v="164.14999999999972"/>
    <m/>
    <m/>
    <m/>
    <m/>
  </r>
  <r>
    <n v="2434"/>
    <x v="419"/>
    <x v="2"/>
    <x v="1"/>
    <x v="14"/>
    <x v="2"/>
    <x v="30"/>
    <s v="PWEGPL"/>
    <s v="MSEDCL"/>
    <n v="2.5000000000000001E-2"/>
    <s v="CE100010"/>
    <x v="296"/>
    <s v="PM"/>
    <d v="1899-12-30T10:16:00"/>
    <d v="1899-12-30T10:16:00"/>
    <d v="1899-12-30T17:50:00"/>
    <n v="0"/>
    <n v="7.5666666666666638"/>
    <n v="7.5666666666666638"/>
    <s v="Half Yearly maintenance done."/>
    <s v="Close"/>
    <n v="0.18916666666666659"/>
    <s v="G13"/>
    <n v="1668.4499999999994"/>
    <s v="None"/>
    <s v="WTG Scheduled Maintenance"/>
    <n v="5292"/>
    <n v="1668.4499999999994"/>
    <m/>
    <m/>
    <m/>
    <m/>
  </r>
  <r>
    <n v="2435"/>
    <x v="419"/>
    <x v="2"/>
    <x v="1"/>
    <x v="14"/>
    <x v="2"/>
    <x v="20"/>
    <s v="PWEGPL"/>
    <s v="MSEDCL"/>
    <n v="2.5000000000000001E-2"/>
    <n v="118"/>
    <x v="313"/>
    <s v="Manual stop"/>
    <d v="1899-12-30T11:41:00"/>
    <d v="1899-12-30T11:41:00"/>
    <d v="1899-12-30T17:13:00"/>
    <n v="0"/>
    <n v="5.5333333333333314"/>
    <n v="5.5333333333333314"/>
    <s v="Manual stop for failure yaw drive replacement work"/>
    <s v="Close"/>
    <n v="0.13833333333333328"/>
    <s v="G07"/>
    <n v="914.38333333333298"/>
    <s v="None"/>
    <s v="WTG Unscheduled Maintenance"/>
    <n v="3966"/>
    <n v="914.38333333333298"/>
    <m/>
    <m/>
    <m/>
    <m/>
  </r>
  <r>
    <n v="2436"/>
    <x v="420"/>
    <x v="2"/>
    <x v="1"/>
    <x v="14"/>
    <x v="2"/>
    <x v="27"/>
    <s v="PWEGPL"/>
    <s v="MSEDCL"/>
    <n v="2.5000000000000001E-2"/>
    <s v="CE100010"/>
    <x v="296"/>
    <s v="PM"/>
    <d v="1899-12-30T11:09:00"/>
    <d v="1899-12-30T11:09:00"/>
    <d v="1899-12-30T18:11:00"/>
    <n v="0"/>
    <n v="7.0333333333333323"/>
    <n v="7.0333333333333323"/>
    <s v="Half Yearly maintenance done."/>
    <s v="Close"/>
    <n v="0.17583333333333331"/>
    <s v="G12"/>
    <n v="4210.0361111111106"/>
    <s v="None"/>
    <s v="WTG Scheduled Maintenance"/>
    <n v="14366"/>
    <n v="4210.0361111111106"/>
    <m/>
    <m/>
    <m/>
    <m/>
  </r>
  <r>
    <n v="2437"/>
    <x v="420"/>
    <x v="2"/>
    <x v="1"/>
    <x v="14"/>
    <x v="2"/>
    <x v="12"/>
    <s v="PWEGPL"/>
    <s v="MSEDCL"/>
    <n v="2.5000000000000001E-2"/>
    <n v="402"/>
    <x v="300"/>
    <s v="BD"/>
    <d v="1899-12-30T03:29:00"/>
    <d v="1899-12-30T03:29:00"/>
    <d v="1899-12-30T04:09:00"/>
    <n v="0"/>
    <n v="0.66666666666666696"/>
    <n v="0.66666666666666696"/>
    <s v="Gear box hose found leakage then replaced new hose and restored"/>
    <s v="Close"/>
    <n v="1.6666666666666673E-2"/>
    <s v="G30"/>
    <n v="325.88888888888903"/>
    <s v="None"/>
    <s v="WTG Breakdown Maintenance"/>
    <n v="11732"/>
    <n v="325.88888888888903"/>
    <m/>
    <m/>
    <m/>
    <m/>
  </r>
  <r>
    <n v="2438"/>
    <x v="420"/>
    <x v="2"/>
    <x v="1"/>
    <x v="14"/>
    <x v="2"/>
    <x v="23"/>
    <s v="PWEGPL"/>
    <s v="MSEDCL"/>
    <n v="2.5000000000000001E-2"/>
    <n v="205"/>
    <x v="312"/>
    <s v="BD"/>
    <d v="1899-12-30T06:53:00"/>
    <d v="1899-12-30T07:38:00"/>
    <d v="1899-12-30T14:35:00"/>
    <n v="0.75"/>
    <n v="6.950000000000002"/>
    <n v="7.700000000000002"/>
    <s v="Hydraulic oil top up and then checked but same error triggered then checked sensor and wiring found sensor malfuctioning then corrected and restored"/>
    <s v="Close"/>
    <n v="0.19250000000000006"/>
    <s v="G03"/>
    <n v="2459.5083333333341"/>
    <s v="None"/>
    <s v="WTG Breakdown Maintenance"/>
    <n v="7666"/>
    <n v="2459.5083333333341"/>
    <m/>
    <m/>
    <m/>
    <m/>
  </r>
  <r>
    <n v="2439"/>
    <x v="421"/>
    <x v="2"/>
    <x v="1"/>
    <x v="14"/>
    <x v="2"/>
    <x v="17"/>
    <s v="PWEGPL"/>
    <s v="MSEDCL"/>
    <n v="2.5000000000000001E-2"/>
    <s v="CE100010"/>
    <x v="296"/>
    <s v="PM"/>
    <d v="1899-12-30T10:42:00"/>
    <d v="1899-12-30T10:42:00"/>
    <d v="1899-12-30T17:42:00"/>
    <n v="0"/>
    <n v="6.9999999999999991"/>
    <n v="6.9999999999999991"/>
    <s v="Half Yearly maintenance done."/>
    <s v="Close"/>
    <n v="0.17499999999999999"/>
    <s v="G03"/>
    <n v="3468.4999999999995"/>
    <s v="None"/>
    <s v="WTG Scheduled Maintenance"/>
    <n v="11892"/>
    <n v="3468.4999999999995"/>
    <m/>
    <m/>
    <m/>
    <m/>
  </r>
  <r>
    <n v="2440"/>
    <x v="421"/>
    <x v="2"/>
    <x v="1"/>
    <x v="14"/>
    <x v="2"/>
    <x v="20"/>
    <s v="PWEGPL"/>
    <s v="MSEDCL"/>
    <n v="2.5000000000000001E-2"/>
    <n v="118"/>
    <x v="313"/>
    <s v="Manual stop"/>
    <d v="1899-12-30T13:06:00"/>
    <d v="1899-12-30T13:06:00"/>
    <d v="1899-12-30T18:25:00"/>
    <n v="0"/>
    <n v="5.3166666666666691"/>
    <n v="5.3166666666666691"/>
    <s v="Manual stop for new yaw drive fixing work."/>
    <s v="Close"/>
    <n v="0.13291666666666674"/>
    <s v="G07"/>
    <n v="2767.3250000000012"/>
    <s v="None"/>
    <s v="WTG Unscheduled Maintenance"/>
    <n v="12492"/>
    <n v="2767.3250000000012"/>
    <m/>
    <m/>
    <m/>
    <m/>
  </r>
  <r>
    <n v="2441"/>
    <x v="421"/>
    <x v="2"/>
    <x v="1"/>
    <x v="14"/>
    <x v="2"/>
    <x v="10"/>
    <s v="PWEGPL"/>
    <s v="MSEDCL"/>
    <n v="2.5000000000000001E-2"/>
    <n v="107"/>
    <x v="354"/>
    <s v="BD"/>
    <d v="1899-12-30T18:42:00"/>
    <d v="1899-12-30T19:02:00"/>
    <d v="1899-12-30T20:34:00"/>
    <n v="0.33333333333333481"/>
    <n v="1.5333333333333306"/>
    <n v="1.8666666666666654"/>
    <s v="Check related circuit found yaw thermal relay failure so replace with new one then after taking trial time error occurred PLC comunnication failure. Then found module malfunction so replace module then take trial and restore wtg."/>
    <s v="Close"/>
    <n v="4.6666666666666634E-2"/>
    <s v="G28"/>
    <n v="526.39999999999964"/>
    <s v="None"/>
    <s v="WTG Breakdown Maintenance"/>
    <n v="6768"/>
    <n v="526.39999999999964"/>
    <m/>
    <m/>
    <m/>
    <m/>
  </r>
  <r>
    <n v="2442"/>
    <x v="421"/>
    <x v="2"/>
    <x v="1"/>
    <x v="14"/>
    <x v="2"/>
    <x v="3"/>
    <s v="PWEGPL"/>
    <s v="MSEDCL"/>
    <n v="2.5000000000000001E-2"/>
    <n v="5263"/>
    <x v="311"/>
    <s v="BD"/>
    <d v="1899-12-30T22:05:00"/>
    <d v="1899-12-30T22:41:00"/>
    <d v="1899-12-30T23:05:00"/>
    <n v="0.60000000000000053"/>
    <n v="0.39999999999999858"/>
    <n v="0.99999999999999911"/>
    <s v="slip ring clean then restore wtg."/>
    <s v="Close"/>
    <n v="2.4999999999999981E-2"/>
    <s v="G26"/>
    <n v="382.33333333333297"/>
    <s v="None"/>
    <s v="WTG Breakdown Maintenance"/>
    <n v="9176"/>
    <n v="382.33333333333297"/>
    <m/>
    <m/>
    <m/>
    <m/>
  </r>
  <r>
    <n v="2443"/>
    <x v="422"/>
    <x v="2"/>
    <x v="1"/>
    <x v="14"/>
    <x v="2"/>
    <x v="25"/>
    <s v="PWEGPL"/>
    <s v="MSEDCL"/>
    <n v="2.5000000000000001E-2"/>
    <s v="CE100010"/>
    <x v="296"/>
    <s v="PM"/>
    <d v="1899-12-30T10:40:00"/>
    <d v="1899-12-30T10:40:00"/>
    <d v="1899-12-30T17:44:00"/>
    <n v="0"/>
    <n v="7.0666666666666682"/>
    <n v="7.0666666666666682"/>
    <s v="Half Yearly maintenance done."/>
    <s v="Close"/>
    <n v="0.17666666666666672"/>
    <s v="G03"/>
    <n v="2709.4777777777786"/>
    <s v="None"/>
    <s v="WTG Scheduled Maintenance"/>
    <n v="9202"/>
    <n v="2709.4777777777786"/>
    <m/>
    <m/>
    <m/>
    <m/>
  </r>
  <r>
    <n v="2444"/>
    <x v="422"/>
    <x v="2"/>
    <x v="1"/>
    <x v="14"/>
    <x v="2"/>
    <x v="10"/>
    <s v="PWEGPL"/>
    <s v="MSEDCL"/>
    <n v="2.5000000000000001E-2"/>
    <n v="102"/>
    <x v="337"/>
    <s v="BD"/>
    <d v="1899-12-30T13:20:00"/>
    <d v="1899-12-30T13:20:00"/>
    <d v="1899-12-30T20:03:00"/>
    <n v="0"/>
    <n v="6.7166666666666668"/>
    <n v="6.7166666666666668"/>
    <s v="Yaw drive replacement work"/>
    <s v="Close"/>
    <n v="0.16791666666666669"/>
    <s v="G30"/>
    <n v="1943.9152777777779"/>
    <s v="None"/>
    <s v="WTG Breakdown Maintenance"/>
    <n v="6946"/>
    <n v="1943.9152777777779"/>
    <m/>
    <m/>
    <m/>
    <m/>
  </r>
  <r>
    <n v="2445"/>
    <x v="422"/>
    <x v="2"/>
    <x v="1"/>
    <x v="14"/>
    <x v="2"/>
    <x v="29"/>
    <s v="PWEGPL"/>
    <s v="MSEDCL"/>
    <n v="2.5000000000000001E-2"/>
    <n v="2118"/>
    <x v="293"/>
    <s v="BD"/>
    <d v="1899-12-30T14:50:00"/>
    <d v="1899-12-30T15:26:00"/>
    <d v="1899-12-30T18:23:00"/>
    <n v="0.60000000000000053"/>
    <n v="2.9499999999999975"/>
    <n v="3.549999999999998"/>
    <s v="Slipring cleaned and restored"/>
    <s v="Close"/>
    <n v="8.8749999999999954E-2"/>
    <s v="G10"/>
    <n v="1438.341666666666"/>
    <s v="None"/>
    <s v="WTG Breakdown Maintenance"/>
    <n v="9724"/>
    <n v="1438.341666666666"/>
    <m/>
    <m/>
    <m/>
    <m/>
  </r>
  <r>
    <n v="2446"/>
    <x v="422"/>
    <x v="2"/>
    <x v="1"/>
    <x v="14"/>
    <x v="2"/>
    <x v="35"/>
    <s v="PWEGPL"/>
    <s v="MSEDCL"/>
    <n v="2.5000000000000001E-2"/>
    <s v="CE100018"/>
    <x v="406"/>
    <s v="BD"/>
    <d v="1899-12-30T17:45:00"/>
    <d v="1899-12-30T17:45:00"/>
    <d v="1899-12-30T23:59:00"/>
    <n v="0"/>
    <n v="6.2333333333333325"/>
    <n v="6.2333333333333325"/>
    <s v="Line side B phase T plug connector failed so replacement wip"/>
    <s v="Open"/>
    <n v="0.15583333333333332"/>
    <s v="G25"/>
    <n v="1722.997222222222"/>
    <s v="None"/>
    <s v="WTG Breakdown Maintenance"/>
    <n v="6634"/>
    <n v="1722.997222222222"/>
    <m/>
    <m/>
    <m/>
    <m/>
  </r>
  <r>
    <n v="2447"/>
    <x v="423"/>
    <x v="2"/>
    <x v="1"/>
    <x v="14"/>
    <x v="2"/>
    <x v="35"/>
    <s v="PWEGPL"/>
    <s v="MSEDCL"/>
    <n v="2.5000000000000001E-2"/>
    <s v="CE100018"/>
    <x v="406"/>
    <s v="BD"/>
    <d v="1899-12-30T00:00:00"/>
    <d v="1899-12-30T00:00:00"/>
    <d v="1899-12-30T23:59:00"/>
    <n v="0"/>
    <n v="23.983333333333334"/>
    <n v="23.983333333333334"/>
    <s v="Line side B phase T plug connector failed so replacement wip"/>
    <s v="Open"/>
    <n v="0.59958333333333336"/>
    <s v="G25"/>
    <n v="3743.3986111111117"/>
    <s v="None"/>
    <s v="WTG Breakdown Maintenance"/>
    <n v="3746"/>
    <n v="3743.3986111111117"/>
    <m/>
    <m/>
    <m/>
    <m/>
  </r>
  <r>
    <n v="2448"/>
    <x v="423"/>
    <x v="2"/>
    <x v="1"/>
    <x v="14"/>
    <x v="2"/>
    <x v="13"/>
    <s v="PWEGPL"/>
    <s v="MSEDCL"/>
    <n v="2.5000000000000001E-2"/>
    <n v="410"/>
    <x v="322"/>
    <s v="BD"/>
    <d v="1899-12-30T09:22:00"/>
    <d v="1899-12-30T10:10:00"/>
    <d v="1899-12-30T10:17:00"/>
    <n v="0.79999999999999982"/>
    <n v="0.11666666666666625"/>
    <n v="0.91666666666666607"/>
    <s v="Reboot and reset then start wtg."/>
    <s v="Close"/>
    <n v="2.2916666666666655E-2"/>
    <s v="G34"/>
    <n v="127.03472222222214"/>
    <s v="None"/>
    <s v="WTG Breakdown Maintenance"/>
    <n v="3326"/>
    <n v="127.03472222222214"/>
    <m/>
    <m/>
    <m/>
    <m/>
  </r>
  <r>
    <n v="2449"/>
    <x v="424"/>
    <x v="2"/>
    <x v="1"/>
    <x v="14"/>
    <x v="2"/>
    <x v="35"/>
    <s v="PWEGPL"/>
    <s v="MSEDCL"/>
    <n v="2.5000000000000001E-2"/>
    <s v="CE100018"/>
    <x v="406"/>
    <s v="BD"/>
    <d v="1899-12-30T00:00:00"/>
    <d v="1899-12-30T00:00:00"/>
    <d v="1899-12-30T23:59:00"/>
    <n v="0"/>
    <n v="23.983333333333334"/>
    <n v="23.983333333333334"/>
    <s v="Line side B phase T plug connector failed so replacement wip"/>
    <s v="Open"/>
    <n v="0.59958333333333336"/>
    <s v="G25"/>
    <n v="4257.041666666667"/>
    <s v="Shortage of materail-T plug connector"/>
    <s v="WTG Breakdown Maintenance"/>
    <n v="4260"/>
    <n v="4257.041666666667"/>
    <m/>
    <m/>
    <m/>
    <m/>
  </r>
  <r>
    <n v="2450"/>
    <x v="424"/>
    <x v="2"/>
    <x v="1"/>
    <x v="14"/>
    <x v="2"/>
    <x v="10"/>
    <s v="PWEGPL"/>
    <s v="MSEDCL"/>
    <n v="2.5000000000000001E-2"/>
    <s v="CE100018"/>
    <x v="406"/>
    <s v="BD"/>
    <d v="1899-12-30T00:00:00"/>
    <d v="1899-12-30T00:00:00"/>
    <d v="1899-12-30T23:59:00"/>
    <n v="0"/>
    <n v="23.983333333333334"/>
    <n v="23.983333333333334"/>
    <s v="Machine side Y phase T plug connector failed so replacement wip"/>
    <s v="Open"/>
    <n v="0.59958333333333336"/>
    <s v="G28"/>
    <n v="4229.0611111111111"/>
    <s v="Shortage of materail-T plug connector"/>
    <s v="WTG Breakdown Maintenance"/>
    <n v="4232"/>
    <n v="4229.0611111111111"/>
    <m/>
    <m/>
    <m/>
    <m/>
  </r>
  <r>
    <n v="2451"/>
    <x v="424"/>
    <x v="2"/>
    <x v="1"/>
    <x v="14"/>
    <x v="2"/>
    <x v="22"/>
    <s v="PWEGPL"/>
    <s v="MSEDCL"/>
    <n v="2.5000000000000001E-2"/>
    <s v="CE100010"/>
    <x v="296"/>
    <s v="PM"/>
    <d v="1899-12-30T10:28:00"/>
    <d v="1899-12-30T10:28:00"/>
    <d v="1899-12-30T17:42:00"/>
    <n v="0"/>
    <n v="7.2333333333333316"/>
    <n v="7.2333333333333316"/>
    <s v="Half Yearly maintenance done."/>
    <s v="Close"/>
    <n v="0.18083333333333329"/>
    <s v="G08"/>
    <n v="1187.1708333333331"/>
    <s v="None"/>
    <s v="WTG Scheduled Maintenance"/>
    <n v="3939"/>
    <n v="1187.1708333333331"/>
    <m/>
    <m/>
    <m/>
    <m/>
  </r>
  <r>
    <n v="2452"/>
    <x v="424"/>
    <x v="2"/>
    <x v="1"/>
    <x v="14"/>
    <x v="2"/>
    <x v="25"/>
    <s v="PWEGPL"/>
    <s v="MSEDCL"/>
    <n v="2.5000000000000001E-2"/>
    <n v="205"/>
    <x v="312"/>
    <s v="Manual stop"/>
    <d v="1899-12-30T10:51:00"/>
    <d v="1899-12-30T10:51:00"/>
    <d v="1899-12-30T20:46:00"/>
    <n v="0"/>
    <n v="9.9166666666666643"/>
    <n v="9.9166666666666643"/>
    <s v="Blade A pitch seal replaced and restored"/>
    <s v="Close"/>
    <n v="0.24791666666666662"/>
    <s v="G08"/>
    <n v="1627.5729166666663"/>
    <s v="None"/>
    <s v="WTG Breakdown Maintenance"/>
    <n v="3939"/>
    <n v="1627.5729166666663"/>
    <m/>
    <m/>
    <m/>
    <m/>
  </r>
  <r>
    <n v="2453"/>
    <x v="425"/>
    <x v="2"/>
    <x v="1"/>
    <x v="14"/>
    <x v="2"/>
    <x v="35"/>
    <s v="PWEGPL"/>
    <s v="MSEDCL"/>
    <n v="2.5000000000000001E-2"/>
    <s v="CE100018"/>
    <x v="406"/>
    <s v="BD"/>
    <d v="1899-12-30T00:00:00"/>
    <d v="1899-12-30T00:00:00"/>
    <d v="1899-12-30T19:59:00"/>
    <n v="0"/>
    <n v="19.983333333333334"/>
    <n v="19.983333333333334"/>
    <s v="Line side B phase T plug connector failed so replacement wip"/>
    <s v="Close"/>
    <n v="0.49958333333333338"/>
    <s v="G25"/>
    <n v="4727.7236111111115"/>
    <s v="Shortage of materail-T plug connector"/>
    <s v="WTG Breakdown Maintenance"/>
    <n v="5678"/>
    <n v="4727.7236111111115"/>
    <m/>
    <m/>
    <m/>
    <m/>
  </r>
  <r>
    <n v="2454"/>
    <x v="425"/>
    <x v="2"/>
    <x v="1"/>
    <x v="14"/>
    <x v="2"/>
    <x v="10"/>
    <s v="PWEGPL"/>
    <s v="MSEDCL"/>
    <n v="2.5000000000000001E-2"/>
    <s v="CE100018"/>
    <x v="406"/>
    <s v="BD"/>
    <d v="1899-12-30T00:00:00"/>
    <d v="1899-12-30T00:00:00"/>
    <d v="1899-12-30T23:59:00"/>
    <n v="0"/>
    <n v="23.983333333333334"/>
    <n v="23.983333333333334"/>
    <s v="Machine side Y phase T plug connector failed so replacement wip"/>
    <s v="Open"/>
    <n v="0.59958333333333336"/>
    <s v="G28"/>
    <n v="4666.7569444444453"/>
    <s v="Shortage of materail-T plug connector"/>
    <s v="WTG Breakdown Maintenance"/>
    <n v="4670"/>
    <n v="4666.7569444444453"/>
    <m/>
    <m/>
    <m/>
    <m/>
  </r>
  <r>
    <n v="2455"/>
    <x v="425"/>
    <x v="2"/>
    <x v="1"/>
    <x v="14"/>
    <x v="2"/>
    <x v="23"/>
    <s v="PWEGPL"/>
    <s v="MSEDCL"/>
    <n v="2.5000000000000001E-2"/>
    <s v="CE100010"/>
    <x v="296"/>
    <s v="PM"/>
    <d v="1899-12-30T10:27:00"/>
    <d v="1899-12-30T10:27:00"/>
    <d v="1899-12-30T17:42:00"/>
    <n v="0"/>
    <n v="7.25"/>
    <n v="7.25"/>
    <s v="Half Yearly maintenance done."/>
    <s v="Close"/>
    <n v="0.18125000000000002"/>
    <s v="G08"/>
    <n v="1810.0833333333333"/>
    <s v="None"/>
    <s v="WTG Scheduled Maintenance"/>
    <n v="5992"/>
    <n v="1810.0833333333333"/>
    <m/>
    <m/>
    <m/>
    <m/>
  </r>
  <r>
    <n v="2456"/>
    <x v="425"/>
    <x v="2"/>
    <x v="1"/>
    <x v="14"/>
    <x v="2"/>
    <x v="24"/>
    <s v="PWEGPL"/>
    <s v="MSEDCL"/>
    <n v="2.5000000000000001E-2"/>
    <n v="205"/>
    <x v="312"/>
    <s v="Manual stop"/>
    <d v="1899-12-30T10:49:00"/>
    <d v="1899-12-30T10:49:00"/>
    <d v="1899-12-30T17:03:00"/>
    <n v="0"/>
    <n v="6.2333333333333343"/>
    <n v="6.2333333333333343"/>
    <s v="Blade B pitch seal replaced and restored"/>
    <s v="Close"/>
    <n v="0.15583333333333338"/>
    <s v="G22"/>
    <n v="3950.1111111111113"/>
    <s v="None"/>
    <s v="WTG Unscheduled Maintenance"/>
    <n v="5840"/>
    <n v="1516.7777777777781"/>
    <m/>
    <m/>
    <m/>
    <m/>
  </r>
  <r>
    <n v="2457"/>
    <x v="426"/>
    <x v="2"/>
    <x v="1"/>
    <x v="14"/>
    <x v="2"/>
    <x v="10"/>
    <s v="PWEGPL"/>
    <s v="MSEDCL"/>
    <n v="2.5000000000000001E-2"/>
    <n v="108"/>
    <x v="310"/>
    <s v="BD"/>
    <d v="1899-12-30T16:58:00"/>
    <d v="1899-12-30T19:10:00"/>
    <d v="1899-12-30T19:49:00"/>
    <n v="2.2000000000000028"/>
    <n v="0.64999999999999769"/>
    <n v="2.8500000000000005"/>
    <s v="Manually unwinding done and restored the turbine"/>
    <s v="Close"/>
    <n v="7.1250000000000022E-2"/>
    <s v="G31"/>
    <n v="525.35000000000014"/>
    <s v="None"/>
    <s v="WTG Breakdown Maintenance"/>
    <n v="4424"/>
    <n v="525.35000000000014"/>
    <m/>
    <m/>
    <m/>
    <m/>
  </r>
  <r>
    <n v="2458"/>
    <x v="426"/>
    <x v="2"/>
    <x v="1"/>
    <x v="14"/>
    <x v="2"/>
    <x v="11"/>
    <s v="PWEGPL"/>
    <s v="MSEDCL"/>
    <n v="2.5000000000000001E-2"/>
    <n v="524"/>
    <x v="409"/>
    <s v="BD"/>
    <d v="1899-12-30T15:38:00"/>
    <d v="1899-12-30T19:14:00"/>
    <d v="1899-12-30T19:42:00"/>
    <n v="3.6000000000000005"/>
    <n v="0.46666666666666501"/>
    <n v="4.0666666666666655"/>
    <s v="Found FM001 MCB trpped condition then manually switched on and restored the turbine"/>
    <s v="Close"/>
    <n v="0.10166666666666664"/>
    <s v="G28"/>
    <n v="441.91111111111098"/>
    <s v="None"/>
    <s v="WTG Breakdown Maintenance"/>
    <n v="2608"/>
    <n v="441.91111111111098"/>
    <m/>
    <m/>
    <m/>
    <m/>
  </r>
  <r>
    <n v="2459"/>
    <x v="426"/>
    <x v="2"/>
    <x v="1"/>
    <x v="14"/>
    <x v="2"/>
    <x v="10"/>
    <s v="PWEGPL"/>
    <s v="MSEDCL"/>
    <n v="2.5000000000000001E-2"/>
    <s v="CE100018"/>
    <x v="406"/>
    <s v="BD"/>
    <d v="1899-12-30T00:00:00"/>
    <d v="1899-12-30T00:00:00"/>
    <d v="1899-12-30T01:13:00"/>
    <n v="0"/>
    <n v="1.2166666666666668"/>
    <n v="1.2166666666666668"/>
    <s v="185 sq mm T plug connector replaced and restored the turbineacement wip"/>
    <s v="Close"/>
    <n v="3.0416666666666672E-2"/>
    <s v="G28"/>
    <n v="132.21111111111114"/>
    <s v="Shortage of materail-T plug connector"/>
    <s v="WTG Breakdown Maintenance"/>
    <n v="2608"/>
    <n v="132.21111111111114"/>
    <m/>
    <m/>
    <m/>
    <m/>
  </r>
  <r>
    <n v="2460"/>
    <x v="427"/>
    <x v="2"/>
    <x v="1"/>
    <x v="14"/>
    <x v="2"/>
    <x v="21"/>
    <s v="PWEGPL"/>
    <s v="MSEDCL"/>
    <n v="2.5000000000000001E-2"/>
    <s v="CE100010"/>
    <x v="296"/>
    <s v="PM"/>
    <d v="1899-12-30T10:56:00"/>
    <d v="1899-12-30T10:56:00"/>
    <d v="1899-12-30T17:59:00"/>
    <n v="0"/>
    <n v="7.0500000000000007"/>
    <n v="7.0500000000000007"/>
    <s v="Half Yearly maintenance done."/>
    <s v="Close"/>
    <n v="0.17625000000000002"/>
    <s v="G01"/>
    <n v="1630.9000000000003"/>
    <s v="None"/>
    <s v="WTG Scheduled Maintenance"/>
    <n v="5552"/>
    <n v="1630.9000000000003"/>
    <m/>
    <m/>
    <m/>
    <m/>
  </r>
  <r>
    <n v="2461"/>
    <x v="427"/>
    <x v="2"/>
    <x v="1"/>
    <x v="14"/>
    <x v="2"/>
    <x v="23"/>
    <s v="PWEGPL"/>
    <s v="MSEDCL"/>
    <n v="2.5000000000000001E-2"/>
    <n v="205"/>
    <x v="312"/>
    <s v="Manual stop"/>
    <d v="1899-12-30T11:51:00"/>
    <d v="1899-12-30T11:51:00"/>
    <d v="1899-12-30T17:40:00"/>
    <n v="0"/>
    <n v="5.8166666666666682"/>
    <n v="5.8166666666666682"/>
    <s v="Blade B pitch seal replaced and restored"/>
    <s v="Close"/>
    <n v="0.14541666666666672"/>
    <s v="G03"/>
    <n v="2002.3875000000005"/>
    <s v="None"/>
    <s v="WTG Unscheduled Maintenance"/>
    <n v="8262"/>
    <n v="2002.3875000000005"/>
    <m/>
    <m/>
    <m/>
    <m/>
  </r>
  <r>
    <n v="2462"/>
    <x v="427"/>
    <x v="2"/>
    <x v="1"/>
    <x v="14"/>
    <x v="2"/>
    <x v="17"/>
    <s v="PWEGPL"/>
    <s v="MSEDCL"/>
    <n v="2.5000000000000001E-2"/>
    <n v="5228"/>
    <x v="346"/>
    <s v="BD"/>
    <d v="1899-12-30T23:19:00"/>
    <d v="1899-12-30T23:59:00"/>
    <d v="1899-12-30T23:59:00"/>
    <n v="0.66666666666666696"/>
    <n v="0"/>
    <n v="0.66666666666666696"/>
    <s v="WIP"/>
    <s v="Open"/>
    <n v="1.6666666666666673E-2"/>
    <s v="G09"/>
    <n v="162.61111111111117"/>
    <s v="None"/>
    <s v="WTG Breakdown Maintenance"/>
    <n v="5854"/>
    <n v="162.61111111111117"/>
    <m/>
    <m/>
    <m/>
    <m/>
  </r>
  <r>
    <n v="2463"/>
    <x v="428"/>
    <x v="2"/>
    <x v="1"/>
    <x v="14"/>
    <x v="2"/>
    <x v="26"/>
    <s v="PWEGPL"/>
    <s v="MSEDCL"/>
    <n v="2.5000000000000001E-2"/>
    <s v="CE100010"/>
    <x v="296"/>
    <s v="PM"/>
    <d v="1899-12-30T10:50:00"/>
    <d v="1899-12-30T10:50:00"/>
    <d v="1899-12-30T17:44:00"/>
    <n v="0"/>
    <n v="6.9"/>
    <n v="6.9"/>
    <s v="Half Yearly maintenance done."/>
    <s v="Close"/>
    <n v="0.17250000000000001"/>
    <s v="G01"/>
    <n v="837.77500000000009"/>
    <s v="None"/>
    <s v="WTG Scheduled Maintenance"/>
    <n v="2914"/>
    <n v="837.77500000000009"/>
    <m/>
    <m/>
    <m/>
    <m/>
  </r>
  <r>
    <n v="2464"/>
    <x v="428"/>
    <x v="2"/>
    <x v="1"/>
    <x v="14"/>
    <x v="2"/>
    <x v="23"/>
    <s v="PWEGPL"/>
    <s v="MSEDCL"/>
    <n v="2.5000000000000001E-2"/>
    <n v="203"/>
    <x v="290"/>
    <s v="Manual stop"/>
    <d v="1899-12-30T10:32:00"/>
    <d v="1899-12-30T10:32:00"/>
    <d v="1899-12-30T17:09:00"/>
    <n v="0"/>
    <n v="6.6166666666666645"/>
    <n v="6.6166666666666645"/>
    <s v="HU main accumulator replaced and restorfed"/>
    <s v="Close"/>
    <n v="0.16541666666666663"/>
    <s v="G03"/>
    <n v="527.12777777777762"/>
    <s v="None"/>
    <s v="WTG Unscheduled Maintenance"/>
    <n v="1912"/>
    <n v="527.12777777777762"/>
    <m/>
    <m/>
    <m/>
    <m/>
  </r>
  <r>
    <n v="2465"/>
    <x v="428"/>
    <x v="2"/>
    <x v="1"/>
    <x v="14"/>
    <x v="2"/>
    <x v="27"/>
    <s v="PWEGPL"/>
    <s v="MSEDCL"/>
    <n v="2.5000000000000001E-2"/>
    <n v="205"/>
    <x v="312"/>
    <s v="Manual stop"/>
    <d v="1899-12-30T11:52:00"/>
    <d v="1899-12-30T11:52:00"/>
    <d v="1899-12-30T17:33:00"/>
    <n v="0"/>
    <n v="5.6833333333333345"/>
    <n v="5.6833333333333345"/>
    <s v="Yaw caliper seals replaced and restored"/>
    <s v="Close"/>
    <n v="0.14208333333333337"/>
    <s v="G12"/>
    <n v="670.1597222222224"/>
    <s v="None"/>
    <s v="WTG Unscheduled Maintenance"/>
    <n v="2830"/>
    <n v="670.1597222222224"/>
    <m/>
    <m/>
    <m/>
    <m/>
  </r>
  <r>
    <n v="2466"/>
    <x v="429"/>
    <x v="2"/>
    <x v="1"/>
    <x v="14"/>
    <x v="2"/>
    <x v="20"/>
    <s v="PWEGPL"/>
    <s v="MSEDCL"/>
    <n v="2.5000000000000001E-2"/>
    <n v="205"/>
    <x v="312"/>
    <s v="BD"/>
    <d v="1899-12-30T17:42:00"/>
    <d v="1899-12-30T21:28:00"/>
    <d v="1899-12-30T22:12:00"/>
    <n v="3.7666666666666666"/>
    <n v="0.73333333333333339"/>
    <n v="4.5"/>
    <s v="Oil top up and restored the WTG"/>
    <s v="Close"/>
    <n v="0.1125"/>
    <s v="G07"/>
    <n v="2140.3125"/>
    <s v="None"/>
    <s v="WTG Breakdown Maintenance"/>
    <n v="11415"/>
    <n v="2140.3125"/>
    <m/>
    <m/>
    <m/>
    <m/>
  </r>
  <r>
    <n v="2467"/>
    <x v="429"/>
    <x v="2"/>
    <x v="1"/>
    <x v="14"/>
    <x v="2"/>
    <x v="21"/>
    <s v="PWEGPL"/>
    <s v="MSEDCL"/>
    <n v="2.5000000000000001E-2"/>
    <n v="119"/>
    <x v="344"/>
    <s v="BD"/>
    <d v="1899-12-30T17:30:00"/>
    <d v="1899-12-30T20:12:00"/>
    <d v="1899-12-30T21:09:00"/>
    <n v="2.7000000000000011"/>
    <n v="0.94999999999999929"/>
    <n v="3.6500000000000004"/>
    <s v="Yaw contactor replaced and restored"/>
    <s v="Close"/>
    <n v="9.1250000000000012E-2"/>
    <s v="G04"/>
    <n v="1547.6000000000001"/>
    <s v="None"/>
    <s v="WTG Breakdown Maintenance"/>
    <n v="10176"/>
    <n v="1547.6000000000001"/>
    <m/>
    <m/>
    <m/>
    <m/>
  </r>
  <r>
    <n v="2468"/>
    <x v="429"/>
    <x v="2"/>
    <x v="1"/>
    <x v="14"/>
    <x v="2"/>
    <x v="24"/>
    <s v="PWEGPL"/>
    <s v="MSEDCL"/>
    <n v="2.5000000000000001E-2"/>
    <n v="907"/>
    <x v="292"/>
    <s v="BD"/>
    <d v="1899-12-30T21:31:00"/>
    <d v="1899-12-30T23:59:00"/>
    <d v="1899-12-30T23:59:00"/>
    <n v="2.4666666666666686"/>
    <n v="0"/>
    <n v="2.4666666666666686"/>
    <s v="WIP"/>
    <s v="Open"/>
    <n v="6.1666666666666717E-2"/>
    <s v="G22"/>
    <n v="536.80833333333374"/>
    <s v="Delay due to lightning &amp; gusty wind at site"/>
    <s v="WTG Breakdown Maintenance"/>
    <n v="5223"/>
    <n v="536.80833333333374"/>
    <m/>
    <m/>
    <m/>
    <m/>
  </r>
  <r>
    <n v="2469"/>
    <x v="429"/>
    <x v="2"/>
    <x v="1"/>
    <x v="14"/>
    <x v="2"/>
    <x v="29"/>
    <s v="PWEGPL"/>
    <s v="MSEDCL"/>
    <n v="2.5000000000000001E-2"/>
    <n v="2118"/>
    <x v="293"/>
    <s v="BD"/>
    <d v="1899-12-30T19:31:00"/>
    <d v="1899-12-30T23:59:00"/>
    <d v="1899-12-30T23:59:00"/>
    <n v="4.4666666666666668"/>
    <n v="0"/>
    <n v="4.4666666666666668"/>
    <s v="WIP"/>
    <s v="Open"/>
    <n v="0.11166666666666668"/>
    <s v="G10"/>
    <n v="1963.1000000000001"/>
    <s v="Delay due to lightning &amp; gusty wind at site"/>
    <s v="WTG Breakdown Maintenance"/>
    <n v="10548"/>
    <n v="1963.1000000000001"/>
    <m/>
    <m/>
    <m/>
    <m/>
  </r>
  <r>
    <n v="2470"/>
    <x v="429"/>
    <x v="2"/>
    <x v="1"/>
    <x v="14"/>
    <x v="2"/>
    <x v="31"/>
    <s v="PWEGPL"/>
    <s v="MSEDCL"/>
    <n v="2.5000000000000001E-2"/>
    <n v="2118"/>
    <x v="293"/>
    <s v="BD"/>
    <d v="1899-12-30T19:21:00"/>
    <d v="1899-12-30T23:10:00"/>
    <d v="1899-12-30T23:25:00"/>
    <n v="3.8166666666666664"/>
    <n v="0.25000000000000178"/>
    <n v="4.0666666666666682"/>
    <s v="Reset and restored "/>
    <s v="Close"/>
    <n v="0.10166666666666671"/>
    <s v="G14"/>
    <n v="1680.3805555555562"/>
    <s v="None"/>
    <s v="WTG Breakdown Maintenance"/>
    <n v="9917"/>
    <n v="1680.3805555555562"/>
    <m/>
    <m/>
    <m/>
    <m/>
  </r>
  <r>
    <n v="2471"/>
    <x v="429"/>
    <x v="2"/>
    <x v="1"/>
    <x v="14"/>
    <x v="2"/>
    <x v="9"/>
    <s v="PWEGPL"/>
    <s v="MSEDCL"/>
    <n v="2.5000000000000001E-2"/>
    <n v="205"/>
    <x v="312"/>
    <s v="BD"/>
    <d v="1899-12-30T17:50:00"/>
    <d v="1899-12-30T23:59:00"/>
    <d v="1899-12-30T23:59:00"/>
    <n v="6.1500000000000021"/>
    <n v="0"/>
    <n v="6.1500000000000021"/>
    <s v="WIP"/>
    <s v="Open"/>
    <n v="0.15375000000000005"/>
    <s v="G29"/>
    <n v="2334.181250000001"/>
    <s v="Delay due to lightning &amp; gusty wind at site"/>
    <s v="WTG Breakdown Maintenance"/>
    <n v="9109"/>
    <n v="2334.181250000001"/>
    <m/>
    <m/>
    <m/>
    <m/>
  </r>
  <r>
    <n v="2472"/>
    <x v="429"/>
    <x v="2"/>
    <x v="1"/>
    <x v="14"/>
    <x v="2"/>
    <x v="3"/>
    <s v="PWEGPL"/>
    <s v="MSEDCL"/>
    <n v="2.5000000000000001E-2"/>
    <n v="205"/>
    <x v="312"/>
    <s v="Manual stop"/>
    <d v="1899-12-30T11:21:00"/>
    <d v="1899-12-30T11:21:00"/>
    <d v="1899-12-30T18:15:00"/>
    <n v="0"/>
    <n v="6.8999999999999995"/>
    <n v="6.8999999999999995"/>
    <s v="Yaw caliper seals replaced and restored"/>
    <s v="Close"/>
    <n v="0.17249999999999999"/>
    <s v="G26"/>
    <n v="2809.1624999999999"/>
    <s v="None"/>
    <s v="WTG Unscheduled Maintenance"/>
    <n v="9771"/>
    <n v="2809.1624999999999"/>
    <m/>
    <m/>
    <m/>
    <m/>
  </r>
  <r>
    <n v="2473"/>
    <x v="430"/>
    <x v="2"/>
    <x v="1"/>
    <x v="14"/>
    <x v="2"/>
    <x v="29"/>
    <s v="PWEGPL"/>
    <s v="MSEDCL"/>
    <n v="2.5000000000000001E-2"/>
    <n v="2118"/>
    <x v="293"/>
    <s v="BD"/>
    <d v="1899-12-30T00:00:00"/>
    <d v="1899-12-30T00:00:00"/>
    <d v="1899-12-30T10:25:00"/>
    <n v="0"/>
    <n v="10.416666666666666"/>
    <n v="10.416666666666666"/>
    <s v="Reset and restored "/>
    <s v="Close"/>
    <n v="0.26041666666666669"/>
    <s v="G10"/>
    <n v="3262.1527777777778"/>
    <s v="Delay due to lightning &amp; gusty wind at site"/>
    <s v="WTG Breakdown Maintenance"/>
    <n v="7516"/>
    <n v="3262.1527777777778"/>
    <m/>
    <m/>
    <m/>
    <m/>
  </r>
  <r>
    <n v="2474"/>
    <x v="430"/>
    <x v="2"/>
    <x v="1"/>
    <x v="14"/>
    <x v="2"/>
    <x v="24"/>
    <s v="PWEGPL"/>
    <s v="MSEDCL"/>
    <n v="2.5000000000000001E-2"/>
    <n v="907"/>
    <x v="292"/>
    <s v="BD"/>
    <d v="1899-12-30T00:00:00"/>
    <d v="1899-12-30T00:00:00"/>
    <d v="1899-12-30T01:23:00"/>
    <n v="0"/>
    <n v="1.3833333333333333"/>
    <n v="1.3833333333333333"/>
    <s v="Reset and restored "/>
    <s v="Close"/>
    <n v="3.4583333333333334E-2"/>
    <s v="G22"/>
    <n v="223.17777777777778"/>
    <s v="Delay due to lightning &amp; gusty wind at site"/>
    <s v="WTG Breakdown Maintenance"/>
    <n v="3872"/>
    <n v="223.17777777777778"/>
    <m/>
    <m/>
    <m/>
    <m/>
  </r>
  <r>
    <n v="2475"/>
    <x v="430"/>
    <x v="2"/>
    <x v="1"/>
    <x v="14"/>
    <x v="2"/>
    <x v="9"/>
    <s v="PWEGPL"/>
    <s v="MSEDCL"/>
    <n v="2.5000000000000001E-2"/>
    <n v="205"/>
    <x v="312"/>
    <s v="BD"/>
    <d v="1899-12-30T00:00:00"/>
    <d v="1899-12-30T00:00:00"/>
    <d v="1899-12-30T11:28:00"/>
    <n v="0"/>
    <n v="11.466666666666667"/>
    <n v="11.466666666666667"/>
    <s v="Oil top up and restored the WTG"/>
    <s v="Close"/>
    <n v="0.28666666666666668"/>
    <s v="G29"/>
    <n v="2319.1333333333332"/>
    <s v="Delay due to lightning &amp; gusty wind at site"/>
    <s v="WTG Breakdown Maintenance"/>
    <n v="4854"/>
    <n v="2319.1333333333332"/>
    <m/>
    <m/>
    <m/>
    <m/>
  </r>
  <r>
    <n v="2476"/>
    <x v="430"/>
    <x v="2"/>
    <x v="1"/>
    <x v="14"/>
    <x v="2"/>
    <x v="20"/>
    <s v="PWEGPL"/>
    <s v="MSEDCL"/>
    <n v="2.5000000000000001E-2"/>
    <s v="CE100010"/>
    <x v="296"/>
    <s v="PM"/>
    <d v="1899-12-30T10:59:00"/>
    <d v="1899-12-30T10:59:00"/>
    <d v="1899-12-30T18:16:00"/>
    <n v="0"/>
    <n v="7.2833333333333332"/>
    <n v="7.2833333333333332"/>
    <s v="Half Yearly maintenance done."/>
    <s v="Close"/>
    <n v="0.18208333333333335"/>
    <s v="G07"/>
    <n v="2301.15"/>
    <s v="None"/>
    <s v="WTG Scheduled Maintenance"/>
    <n v="8004"/>
    <n v="2428.9916666666668"/>
    <m/>
    <m/>
    <m/>
    <m/>
  </r>
  <r>
    <n v="2477"/>
    <x v="431"/>
    <x v="2"/>
    <x v="1"/>
    <x v="14"/>
    <x v="2"/>
    <x v="28"/>
    <s v="PWEGPL"/>
    <s v="MSEDCL"/>
    <n v="2.5000000000000001E-2"/>
    <s v="CE100010"/>
    <x v="296"/>
    <s v="PM"/>
    <d v="1899-12-30T10:59:00"/>
    <d v="1899-12-30T10:59:00"/>
    <d v="1899-12-30T18:16:00"/>
    <n v="0"/>
    <n v="7.2833333333333332"/>
    <n v="7.2833333333333332"/>
    <s v="Half Yearly maintenance done."/>
    <s v="Close"/>
    <n v="0.18208333333333335"/>
    <s v="G11"/>
    <n v="1272.1555555555556"/>
    <s v="None"/>
    <s v="WTG Scheduled Maintenance"/>
    <n v="4192"/>
    <n v="1272.1555555555556"/>
    <m/>
    <m/>
    <m/>
    <m/>
  </r>
  <r>
    <n v="2478"/>
    <x v="431"/>
    <x v="2"/>
    <x v="1"/>
    <x v="14"/>
    <x v="2"/>
    <x v="22"/>
    <s v="PWEGPL"/>
    <s v="MSEDCL"/>
    <n v="2.5000000000000001E-2"/>
    <n v="812"/>
    <x v="327"/>
    <s v="BD"/>
    <d v="1899-12-30T11:09:00"/>
    <d v="1899-12-30T11:24:00"/>
    <d v="1899-12-30T17:07:00"/>
    <n v="0.25000000000000044"/>
    <n v="5.7166666666666668"/>
    <n v="5.9666666666666668"/>
    <s v="Found blade B pitch manifold solonoid coil supply cable internally short then corrected and restored"/>
    <s v="Close"/>
    <n v="0.14916666666666667"/>
    <s v="G04"/>
    <n v="1053.1166666666668"/>
    <s v="None"/>
    <s v="WTG Breakdown Maintenance"/>
    <n v="4236"/>
    <n v="1053.1166666666668"/>
    <m/>
    <m/>
    <m/>
    <m/>
  </r>
  <r>
    <n v="2479"/>
    <x v="432"/>
    <x v="2"/>
    <x v="1"/>
    <x v="14"/>
    <x v="2"/>
    <x v="29"/>
    <s v="PWEGPL"/>
    <s v="MSEDCL"/>
    <n v="2.5000000000000001E-2"/>
    <s v="CE100010"/>
    <x v="296"/>
    <s v="PM"/>
    <d v="1899-12-30T10:30:00"/>
    <d v="1899-12-30T10:30:00"/>
    <d v="1899-12-30T18:03:00"/>
    <n v="0"/>
    <n v="7.55"/>
    <n v="7.55"/>
    <s v="Half Yearly maintenance done."/>
    <s v="Close"/>
    <n v="0.18875"/>
    <s v="G10"/>
    <n v="2166.2208333333333"/>
    <s v="None"/>
    <s v="WTG Scheduled Maintenance"/>
    <n v="6886"/>
    <n v="2166.2208333333333"/>
    <m/>
    <m/>
    <m/>
    <m/>
  </r>
  <r>
    <n v="2480"/>
    <x v="432"/>
    <x v="2"/>
    <x v="1"/>
    <x v="14"/>
    <x v="2"/>
    <x v="35"/>
    <s v="PWEGPL"/>
    <s v="MSEDCL"/>
    <n v="2.5000000000000001E-2"/>
    <n v="205"/>
    <x v="312"/>
    <s v="BD"/>
    <d v="1899-12-30T12:32:00"/>
    <d v="1899-12-30T14:00:00"/>
    <d v="1899-12-30T21:51:00"/>
    <n v="1.4666666666666668"/>
    <n v="7.8500000000000014"/>
    <n v="9.3166666666666682"/>
    <s v="Oil top up and then KC001 contactor addon block malfuctiong then replaced and restored"/>
    <s v="Close"/>
    <n v="0.23291666666666672"/>
    <s v="G25"/>
    <n v="2702.6097222222224"/>
    <s v="None"/>
    <s v="WTG Breakdown Maintenance"/>
    <n v="6962"/>
    <n v="2702.6097222222224"/>
    <m/>
    <m/>
    <m/>
    <m/>
  </r>
  <r>
    <n v="2481"/>
    <x v="432"/>
    <x v="2"/>
    <x v="1"/>
    <x v="14"/>
    <x v="2"/>
    <x v="13"/>
    <s v="PWEGPL"/>
    <s v="MSEDCL"/>
    <n v="2.5000000000000001E-2"/>
    <n v="205"/>
    <x v="312"/>
    <s v="BD"/>
    <d v="1899-12-30T14:31:00"/>
    <d v="1899-12-30T14:55:00"/>
    <d v="1899-12-30T16:12:00"/>
    <n v="0.39999999999999858"/>
    <n v="1.2833333333333314"/>
    <n v="1.68333333333333"/>
    <s v="Oil top up and restored the WTG"/>
    <s v="Close"/>
    <n v="4.208333333333325E-2"/>
    <s v="G34"/>
    <n v="511.31249999999898"/>
    <s v="None"/>
    <s v="WTG Breakdown Maintenance"/>
    <n v="7290"/>
    <n v="511.31249999999898"/>
    <m/>
    <m/>
    <m/>
    <m/>
  </r>
  <r>
    <n v="2482"/>
    <x v="432"/>
    <x v="2"/>
    <x v="1"/>
    <x v="14"/>
    <x v="2"/>
    <x v="30"/>
    <s v="PWEGPL"/>
    <s v="MSEDCL"/>
    <n v="2.5000000000000001E-2"/>
    <s v="CE100018"/>
    <x v="406"/>
    <s v="BD"/>
    <d v="1899-12-30T19:21:00"/>
    <d v="1899-12-30T19:21:00"/>
    <d v="1899-12-30T23:59:00"/>
    <n v="0"/>
    <n v="4.6333333333333329"/>
    <n v="4.6333333333333329"/>
    <s v="T plug connector failure wip"/>
    <s v="Open"/>
    <n v="0.11583333333333333"/>
    <s v="G13"/>
    <n v="990.76111111111106"/>
    <s v="None"/>
    <s v="WTG Breakdown Maintenance"/>
    <n v="5132"/>
    <n v="990.76111111111106"/>
    <m/>
    <m/>
    <m/>
    <m/>
  </r>
  <r>
    <n v="2483"/>
    <x v="433"/>
    <x v="2"/>
    <x v="1"/>
    <x v="14"/>
    <x v="2"/>
    <x v="30"/>
    <s v="PWEGPL"/>
    <s v="MSEDCL"/>
    <n v="2.5000000000000001E-2"/>
    <s v="CE100018"/>
    <x v="406"/>
    <s v="BD"/>
    <d v="1899-12-30T00:00:00"/>
    <d v="1899-12-30T00:00:00"/>
    <d v="1899-12-30T01:25:00"/>
    <n v="0"/>
    <n v="1.4166666666666667"/>
    <n v="1.4166666666666667"/>
    <s v="T plug connector replaced and restored"/>
    <s v="Close"/>
    <n v="3.5416666666666673E-2"/>
    <s v="G13"/>
    <n v="274.47916666666669"/>
    <s v="None"/>
    <s v="WTG Breakdown Maintenance"/>
    <n v="4650"/>
    <n v="274.47916666666669"/>
    <m/>
    <m/>
    <m/>
    <m/>
  </r>
  <r>
    <n v="2484"/>
    <x v="433"/>
    <x v="2"/>
    <x v="1"/>
    <x v="14"/>
    <x v="2"/>
    <x v="22"/>
    <s v="PWEGPL"/>
    <s v="MSEDCL"/>
    <n v="2.5000000000000001E-2"/>
    <n v="812"/>
    <x v="327"/>
    <s v="BD"/>
    <d v="1899-12-30T14:39:00"/>
    <d v="1899-12-30T15:42:00"/>
    <d v="1899-12-30T16:33:00"/>
    <n v="1.0499999999999989"/>
    <n v="0.84999999999999964"/>
    <n v="1.8999999999999986"/>
    <s v="Check related circuit and its connection interchange modules then start wtg."/>
    <s v="Close"/>
    <n v="4.7499999999999966E-2"/>
    <s v="G04"/>
    <n v="290.2249999999998"/>
    <s v="None"/>
    <s v="WTG Breakdown Maintenance"/>
    <n v="3666"/>
    <n v="290.2249999999998"/>
    <m/>
    <m/>
    <m/>
    <m/>
  </r>
  <r>
    <n v="2485"/>
    <x v="434"/>
    <x v="2"/>
    <x v="1"/>
    <x v="14"/>
    <x v="2"/>
    <x v="24"/>
    <s v="PWEGPL"/>
    <s v="MSEDCL"/>
    <n v="2.5000000000000001E-2"/>
    <n v="205"/>
    <x v="312"/>
    <s v="BD"/>
    <d v="1899-12-30T14:00:00"/>
    <d v="1899-12-30T14:24:00"/>
    <d v="1899-12-30T16:02:00"/>
    <n v="0.39999999999999858"/>
    <n v="1.6333333333333355"/>
    <n v="2.0333333333333341"/>
    <s v="oil top up andr restored"/>
    <s v="Close"/>
    <n v="5.0833333333333355E-2"/>
    <s v="G21"/>
    <n v="289.58055555555563"/>
    <s v="None"/>
    <s v="WTG Breakdown Maintenance"/>
    <n v="3418"/>
    <n v="289.58055555555563"/>
    <m/>
    <m/>
    <m/>
    <m/>
  </r>
  <r>
    <n v="2486"/>
    <x v="435"/>
    <x v="2"/>
    <x v="1"/>
    <x v="14"/>
    <x v="2"/>
    <x v="22"/>
    <s v="PWEGPL"/>
    <s v="MSEDCL"/>
    <n v="2.5000000000000001E-2"/>
    <s v="CE100001"/>
    <x v="288"/>
    <s v="Manual stop/TCA"/>
    <d v="1899-12-30T10:48:00"/>
    <d v="1899-12-30T10:48:00"/>
    <d v="1899-12-30T23:59:59"/>
    <n v="0"/>
    <n v="13.199722222222219"/>
    <n v="13.199722222222219"/>
    <s v="Generator bearing replacement WIP"/>
    <s v="Open"/>
    <n v="0.32999305555555547"/>
    <s v="G04"/>
    <n v="3856.5188425925917"/>
    <s v="None"/>
    <s v="WTG Unscheduled Maintenance"/>
    <n v="7012"/>
    <n v="3856.5188425925917"/>
    <m/>
    <m/>
    <m/>
    <m/>
  </r>
  <r>
    <n v="2487"/>
    <x v="436"/>
    <x v="2"/>
    <x v="1"/>
    <x v="14"/>
    <x v="2"/>
    <x v="22"/>
    <s v="PWEGPL"/>
    <s v="MSEDCL"/>
    <n v="2.5000000000000001E-2"/>
    <s v="CE100001"/>
    <x v="288"/>
    <s v="Manual stop/TCA"/>
    <d v="1899-12-30T00:00:00"/>
    <d v="1899-12-30T00:00:00"/>
    <d v="1899-12-30T23:59:59"/>
    <n v="0"/>
    <n v="23.999722222222221"/>
    <n v="23.999722222222221"/>
    <s v="Generator bearing replacement WIP"/>
    <s v="Open"/>
    <n v="0.5999930555555556"/>
    <s v="G04"/>
    <n v="2757.9680787037037"/>
    <s v="None"/>
    <s v="WTG Unscheduled Maintenance"/>
    <n v="2758"/>
    <n v="2757.9680787037037"/>
    <m/>
    <m/>
    <m/>
    <m/>
  </r>
  <r>
    <n v="2488"/>
    <x v="436"/>
    <x v="2"/>
    <x v="1"/>
    <x v="14"/>
    <x v="2"/>
    <x v="24"/>
    <s v="PWEGPL"/>
    <s v="MSEDCL"/>
    <n v="2.5000000000000001E-2"/>
    <n v="205"/>
    <x v="312"/>
    <s v="BD"/>
    <d v="1899-12-30T13:24:00"/>
    <d v="1899-12-30T15:28:00"/>
    <d v="1899-12-30T15:55:00"/>
    <n v="2.0666666666666673"/>
    <n v="0.4499999999999984"/>
    <n v="2.5166666666666657"/>
    <s v="Oil top up and restored the WTG"/>
    <s v="Close"/>
    <n v="6.2916666666666649E-2"/>
    <s v="G21"/>
    <n v="230.06527777777771"/>
    <s v="None"/>
    <s v="WTG Breakdown Maintenance"/>
    <n v="2194"/>
    <n v="230.06527777777771"/>
    <m/>
    <m/>
    <m/>
    <m/>
  </r>
  <r>
    <n v="2489"/>
    <x v="437"/>
    <x v="3"/>
    <x v="2"/>
    <x v="15"/>
    <x v="3"/>
    <x v="43"/>
    <s v=""/>
    <s v=""/>
    <s v=""/>
    <m/>
    <x v="410"/>
    <m/>
    <m/>
    <m/>
    <m/>
    <s v=""/>
    <n v="0"/>
    <n v="0"/>
    <m/>
    <m/>
    <s v=""/>
    <m/>
    <m/>
    <m/>
    <m/>
    <m/>
    <n v="0"/>
    <m/>
    <m/>
    <m/>
    <m/>
  </r>
  <r>
    <n v="2490"/>
    <x v="437"/>
    <x v="3"/>
    <x v="2"/>
    <x v="15"/>
    <x v="3"/>
    <x v="43"/>
    <s v=""/>
    <s v=""/>
    <s v=""/>
    <m/>
    <x v="410"/>
    <m/>
    <m/>
    <m/>
    <m/>
    <s v=""/>
    <n v="0"/>
    <n v="0"/>
    <m/>
    <m/>
    <s v=""/>
    <m/>
    <m/>
    <m/>
    <m/>
    <m/>
    <n v="0"/>
    <m/>
    <m/>
    <m/>
    <m/>
  </r>
  <r>
    <n v="2491"/>
    <x v="437"/>
    <x v="3"/>
    <x v="2"/>
    <x v="15"/>
    <x v="3"/>
    <x v="43"/>
    <s v=""/>
    <s v=""/>
    <s v=""/>
    <m/>
    <x v="410"/>
    <m/>
    <m/>
    <m/>
    <m/>
    <s v=""/>
    <n v="0"/>
    <n v="0"/>
    <m/>
    <m/>
    <s v=""/>
    <m/>
    <m/>
    <m/>
    <m/>
    <m/>
    <n v="0"/>
    <m/>
    <m/>
    <m/>
    <m/>
  </r>
  <r>
    <n v="2492"/>
    <x v="437"/>
    <x v="3"/>
    <x v="2"/>
    <x v="15"/>
    <x v="3"/>
    <x v="43"/>
    <s v=""/>
    <s v=""/>
    <s v=""/>
    <m/>
    <x v="410"/>
    <m/>
    <m/>
    <m/>
    <m/>
    <s v=""/>
    <n v="0"/>
    <n v="0"/>
    <m/>
    <m/>
    <s v=""/>
    <m/>
    <m/>
    <m/>
    <m/>
    <m/>
    <n v="0"/>
    <m/>
    <m/>
    <m/>
    <m/>
  </r>
  <r>
    <n v="2493"/>
    <x v="437"/>
    <x v="3"/>
    <x v="2"/>
    <x v="15"/>
    <x v="3"/>
    <x v="43"/>
    <s v=""/>
    <s v=""/>
    <s v=""/>
    <m/>
    <x v="410"/>
    <m/>
    <m/>
    <m/>
    <m/>
    <s v=""/>
    <n v="0"/>
    <n v="0"/>
    <m/>
    <m/>
    <s v=""/>
    <m/>
    <m/>
    <m/>
    <m/>
    <m/>
    <n v="0"/>
    <m/>
    <m/>
    <m/>
    <m/>
  </r>
  <r>
    <n v="2494"/>
    <x v="437"/>
    <x v="3"/>
    <x v="2"/>
    <x v="15"/>
    <x v="3"/>
    <x v="43"/>
    <s v=""/>
    <s v=""/>
    <s v=""/>
    <m/>
    <x v="410"/>
    <m/>
    <m/>
    <m/>
    <m/>
    <s v=""/>
    <n v="0"/>
    <n v="0"/>
    <m/>
    <m/>
    <s v=""/>
    <m/>
    <m/>
    <m/>
    <m/>
    <m/>
    <n v="0"/>
    <m/>
    <m/>
    <m/>
    <m/>
  </r>
  <r>
    <n v="2495"/>
    <x v="437"/>
    <x v="3"/>
    <x v="2"/>
    <x v="15"/>
    <x v="3"/>
    <x v="43"/>
    <s v=""/>
    <s v=""/>
    <s v=""/>
    <m/>
    <x v="410"/>
    <m/>
    <m/>
    <m/>
    <m/>
    <s v=""/>
    <n v="0"/>
    <n v="0"/>
    <m/>
    <m/>
    <s v=""/>
    <m/>
    <m/>
    <m/>
    <m/>
    <m/>
    <n v="0"/>
    <m/>
    <m/>
    <m/>
    <m/>
  </r>
  <r>
    <n v="2496"/>
    <x v="437"/>
    <x v="3"/>
    <x v="2"/>
    <x v="15"/>
    <x v="3"/>
    <x v="43"/>
    <s v=""/>
    <s v=""/>
    <s v=""/>
    <m/>
    <x v="410"/>
    <m/>
    <m/>
    <m/>
    <m/>
    <s v=""/>
    <n v="0"/>
    <n v="0"/>
    <m/>
    <m/>
    <s v=""/>
    <m/>
    <m/>
    <m/>
    <m/>
    <m/>
    <n v="0"/>
    <m/>
    <m/>
    <m/>
    <m/>
  </r>
  <r>
    <n v="2497"/>
    <x v="437"/>
    <x v="3"/>
    <x v="2"/>
    <x v="15"/>
    <x v="3"/>
    <x v="43"/>
    <s v=""/>
    <s v=""/>
    <s v=""/>
    <m/>
    <x v="410"/>
    <m/>
    <m/>
    <m/>
    <m/>
    <s v=""/>
    <n v="0"/>
    <n v="0"/>
    <m/>
    <m/>
    <s v=""/>
    <m/>
    <m/>
    <m/>
    <m/>
    <m/>
    <n v="0"/>
    <m/>
    <m/>
    <m/>
    <m/>
  </r>
  <r>
    <n v="2498"/>
    <x v="437"/>
    <x v="3"/>
    <x v="2"/>
    <x v="15"/>
    <x v="3"/>
    <x v="43"/>
    <s v=""/>
    <s v=""/>
    <s v=""/>
    <m/>
    <x v="410"/>
    <m/>
    <m/>
    <m/>
    <m/>
    <s v=""/>
    <n v="0"/>
    <n v="0"/>
    <m/>
    <m/>
    <s v=""/>
    <m/>
    <m/>
    <m/>
    <m/>
    <m/>
    <n v="0"/>
    <m/>
    <m/>
    <m/>
    <m/>
  </r>
  <r>
    <n v="2499"/>
    <x v="437"/>
    <x v="3"/>
    <x v="2"/>
    <x v="15"/>
    <x v="3"/>
    <x v="43"/>
    <s v=""/>
    <s v=""/>
    <s v=""/>
    <m/>
    <x v="410"/>
    <m/>
    <m/>
    <m/>
    <m/>
    <s v=""/>
    <n v="0"/>
    <n v="0"/>
    <m/>
    <m/>
    <s v=""/>
    <m/>
    <m/>
    <m/>
    <m/>
    <m/>
    <n v="0"/>
    <m/>
    <m/>
    <m/>
    <m/>
  </r>
  <r>
    <n v="2500"/>
    <x v="437"/>
    <x v="3"/>
    <x v="2"/>
    <x v="15"/>
    <x v="3"/>
    <x v="43"/>
    <s v=""/>
    <s v=""/>
    <s v=""/>
    <m/>
    <x v="410"/>
    <m/>
    <m/>
    <m/>
    <m/>
    <s v=""/>
    <n v="0"/>
    <n v="0"/>
    <m/>
    <m/>
    <s v=""/>
    <m/>
    <m/>
    <m/>
    <m/>
    <m/>
    <n v="0"/>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9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156" firstHeaderRow="0" firstDataRow="1" firstDataCol="1" rowPageCount="1" colPageCount="1"/>
  <pivotFields count="32">
    <pivotField showAll="0"/>
    <pivotField showAll="0">
      <items count="4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m="1" x="438"/>
        <item x="437"/>
        <item t="default"/>
      </items>
    </pivotField>
    <pivotField axis="axisPage" multipleItemSelectionAllowed="1" showAll="0">
      <items count="5">
        <item h="1" x="0"/>
        <item x="1"/>
        <item x="3"/>
        <item x="2"/>
        <item t="default"/>
      </items>
    </pivotField>
    <pivotField showAll="0">
      <items count="4">
        <item x="0"/>
        <item x="1"/>
        <item x="2"/>
        <item t="default"/>
      </items>
    </pivotField>
    <pivotField showAll="0">
      <items count="19">
        <item x="15"/>
        <item x="0"/>
        <item x="1"/>
        <item x="2"/>
        <item x="3"/>
        <item x="4"/>
        <item x="5"/>
        <item x="6"/>
        <item x="7"/>
        <item x="8"/>
        <item x="9"/>
        <item x="10"/>
        <item x="11"/>
        <item x="12"/>
        <item x="13"/>
        <item x="14"/>
        <item m="1" x="17"/>
        <item x="16"/>
        <item t="default"/>
      </items>
    </pivotField>
    <pivotField showAll="0">
      <items count="5">
        <item x="0"/>
        <item x="1"/>
        <item x="2"/>
        <item x="3"/>
        <item t="default"/>
      </items>
    </pivotField>
    <pivotField showAll="0">
      <items count="45">
        <item x="20"/>
        <item x="21"/>
        <item x="22"/>
        <item x="23"/>
        <item x="24"/>
        <item x="25"/>
        <item x="26"/>
        <item x="17"/>
        <item x="27"/>
        <item x="28"/>
        <item x="29"/>
        <item x="30"/>
        <item x="31"/>
        <item x="32"/>
        <item x="39"/>
        <item x="37"/>
        <item x="0"/>
        <item x="42"/>
        <item x="38"/>
        <item x="18"/>
        <item x="19"/>
        <item x="33"/>
        <item x="34"/>
        <item x="1"/>
        <item x="35"/>
        <item x="36"/>
        <item x="40"/>
        <item x="2"/>
        <item x="8"/>
        <item x="9"/>
        <item x="10"/>
        <item x="11"/>
        <item x="41"/>
        <item x="12"/>
        <item x="3"/>
        <item x="13"/>
        <item x="14"/>
        <item x="15"/>
        <item x="16"/>
        <item x="4"/>
        <item x="5"/>
        <item x="6"/>
        <item x="7"/>
        <item x="43"/>
        <item t="default"/>
      </items>
    </pivotField>
    <pivotField showAll="0"/>
    <pivotField showAll="0"/>
    <pivotField showAll="0"/>
    <pivotField showAll="0"/>
    <pivotField axis="axisRow" dataField="1" showAll="0">
      <items count="421">
        <item x="194"/>
        <item x="119"/>
        <item x="247"/>
        <item x="114"/>
        <item x="221"/>
        <item m="1" x="417"/>
        <item x="228"/>
        <item x="203"/>
        <item x="215"/>
        <item x="160"/>
        <item x="220"/>
        <item x="223"/>
        <item x="155"/>
        <item m="1" x="412"/>
        <item m="1" x="416"/>
        <item m="1" x="411"/>
        <item m="1" x="415"/>
        <item x="64"/>
        <item x="41"/>
        <item x="197"/>
        <item x="109"/>
        <item x="275"/>
        <item x="152"/>
        <item x="142"/>
        <item x="132"/>
        <item x="112"/>
        <item x="107"/>
        <item x="141"/>
        <item x="124"/>
        <item x="130"/>
        <item x="70"/>
        <item x="151"/>
        <item x="122"/>
        <item x="165"/>
        <item x="254"/>
        <item x="246"/>
        <item x="173"/>
        <item x="260"/>
        <item m="1" x="414"/>
        <item x="229"/>
        <item x="202"/>
        <item x="208"/>
        <item x="230"/>
        <item x="224"/>
        <item x="225"/>
        <item x="222"/>
        <item x="207"/>
        <item x="209"/>
        <item x="226"/>
        <item x="227"/>
        <item x="359"/>
        <item x="356"/>
        <item x="286"/>
        <item x="325"/>
        <item x="310"/>
        <item x="327"/>
        <item x="293"/>
        <item x="319"/>
        <item x="311"/>
        <item x="307"/>
        <item x="345"/>
        <item x="350"/>
        <item x="355"/>
        <item x="358"/>
        <item x="337"/>
        <item x="332"/>
        <item x="292"/>
        <item x="369"/>
        <item x="33"/>
        <item x="86"/>
        <item x="279"/>
        <item x="273"/>
        <item x="282"/>
        <item x="264"/>
        <item x="244"/>
        <item x="214"/>
        <item x="257"/>
        <item x="183"/>
        <item x="274"/>
        <item x="163"/>
        <item x="170"/>
        <item x="115"/>
        <item x="116"/>
        <item x="261"/>
        <item x="169"/>
        <item x="8"/>
        <item x="14"/>
        <item x="85"/>
        <item x="60"/>
        <item x="20"/>
        <item x="166"/>
        <item x="31"/>
        <item x="27"/>
        <item x="32"/>
        <item x="26"/>
        <item x="48"/>
        <item x="3"/>
        <item x="47"/>
        <item x="29"/>
        <item x="28"/>
        <item x="46"/>
        <item x="44"/>
        <item x="18"/>
        <item x="49"/>
        <item x="7"/>
        <item x="17"/>
        <item x="34"/>
        <item x="6"/>
        <item x="36"/>
        <item x="50"/>
        <item x="35"/>
        <item x="15"/>
        <item x="16"/>
        <item x="37"/>
        <item x="51"/>
        <item x="5"/>
        <item x="38"/>
        <item x="39"/>
        <item x="10"/>
        <item x="4"/>
        <item x="13"/>
        <item x="11"/>
        <item x="12"/>
        <item x="285"/>
        <item x="66"/>
        <item x="154"/>
        <item x="249"/>
        <item x="284"/>
        <item x="21"/>
        <item x="159"/>
        <item x="238"/>
        <item x="234"/>
        <item x="251"/>
        <item x="184"/>
        <item x="178"/>
        <item x="57"/>
        <item x="63"/>
        <item x="62"/>
        <item x="185"/>
        <item x="281"/>
        <item x="278"/>
        <item x="283"/>
        <item x="236"/>
        <item x="237"/>
        <item x="217"/>
        <item x="158"/>
        <item x="67"/>
        <item x="89"/>
        <item x="71"/>
        <item x="93"/>
        <item x="253"/>
        <item x="262"/>
        <item x="277"/>
        <item x="212"/>
        <item x="77"/>
        <item x="149"/>
        <item x="69"/>
        <item x="61"/>
        <item x="216"/>
        <item x="55"/>
        <item x="78"/>
        <item x="1"/>
        <item x="59"/>
        <item x="128"/>
        <item x="9"/>
        <item x="23"/>
        <item x="82"/>
        <item x="135"/>
        <item x="263"/>
        <item x="125"/>
        <item x="242"/>
        <item x="138"/>
        <item x="179"/>
        <item x="205"/>
        <item x="146"/>
        <item x="72"/>
        <item x="235"/>
        <item x="233"/>
        <item x="218"/>
        <item x="272"/>
        <item x="19"/>
        <item x="168"/>
        <item x="265"/>
        <item x="161"/>
        <item x="256"/>
        <item x="252"/>
        <item x="156"/>
        <item x="162"/>
        <item m="1" x="418"/>
        <item m="1" x="413"/>
        <item x="167"/>
        <item x="258"/>
        <item x="110"/>
        <item x="105"/>
        <item x="123"/>
        <item x="56"/>
        <item x="52"/>
        <item x="53"/>
        <item x="24"/>
        <item x="219"/>
        <item x="80"/>
        <item x="54"/>
        <item x="177"/>
        <item x="280"/>
        <item x="22"/>
        <item x="25"/>
        <item x="276"/>
        <item x="232"/>
        <item x="153"/>
        <item x="143"/>
        <item x="145"/>
        <item x="83"/>
        <item x="192"/>
        <item x="75"/>
        <item x="30"/>
        <item x="40"/>
        <item x="190"/>
        <item x="199"/>
        <item x="198"/>
        <item x="200"/>
        <item x="108"/>
        <item x="74"/>
        <item x="195"/>
        <item x="196"/>
        <item x="87"/>
        <item x="191"/>
        <item x="193"/>
        <item x="133"/>
        <item x="140"/>
        <item x="0"/>
        <item x="231"/>
        <item x="188"/>
        <item x="88"/>
        <item x="92"/>
        <item x="45"/>
        <item x="243"/>
        <item x="271"/>
        <item x="189"/>
        <item x="176"/>
        <item x="129"/>
        <item x="174"/>
        <item x="91"/>
        <item x="134"/>
        <item x="101"/>
        <item x="97"/>
        <item x="144"/>
        <item x="126"/>
        <item x="94"/>
        <item x="73"/>
        <item x="172"/>
        <item x="175"/>
        <item x="113"/>
        <item x="58"/>
        <item x="79"/>
        <item x="102"/>
        <item x="95"/>
        <item x="65"/>
        <item x="103"/>
        <item x="100"/>
        <item x="84"/>
        <item x="120"/>
        <item x="90"/>
        <item x="68"/>
        <item x="104"/>
        <item x="98"/>
        <item x="96"/>
        <item x="99"/>
        <item x="248"/>
        <item x="121"/>
        <item x="150"/>
        <item x="139"/>
        <item x="111"/>
        <item x="117"/>
        <item x="127"/>
        <item x="157"/>
        <item x="106"/>
        <item x="131"/>
        <item x="148"/>
        <item x="137"/>
        <item x="213"/>
        <item x="206"/>
        <item x="187"/>
        <item x="268"/>
        <item x="270"/>
        <item x="266"/>
        <item x="267"/>
        <item x="269"/>
        <item x="118"/>
        <item x="164"/>
        <item x="181"/>
        <item x="182"/>
        <item x="180"/>
        <item x="171"/>
        <item x="186"/>
        <item x="2"/>
        <item x="81"/>
        <item x="43"/>
        <item x="240"/>
        <item x="204"/>
        <item x="250"/>
        <item x="255"/>
        <item x="259"/>
        <item x="239"/>
        <item x="241"/>
        <item x="211"/>
        <item x="210"/>
        <item x="245"/>
        <item x="147"/>
        <item x="42"/>
        <item x="76"/>
        <item x="136"/>
        <item x="363"/>
        <item x="372"/>
        <item x="349"/>
        <item x="351"/>
        <item x="357"/>
        <item x="348"/>
        <item x="333"/>
        <item x="371"/>
        <item x="339"/>
        <item x="336"/>
        <item x="338"/>
        <item x="297"/>
        <item x="347"/>
        <item x="301"/>
        <item x="306"/>
        <item x="289"/>
        <item x="294"/>
        <item x="365"/>
        <item x="360"/>
        <item x="302"/>
        <item x="342"/>
        <item x="335"/>
        <item x="308"/>
        <item x="366"/>
        <item x="309"/>
        <item x="312"/>
        <item x="324"/>
        <item x="376"/>
        <item x="290"/>
        <item x="326"/>
        <item x="299"/>
        <item x="288"/>
        <item x="328"/>
        <item x="322"/>
        <item x="361"/>
        <item x="375"/>
        <item x="373"/>
        <item x="298"/>
        <item x="320"/>
        <item x="329"/>
        <item x="346"/>
        <item x="370"/>
        <item x="374"/>
        <item x="353"/>
        <item x="315"/>
        <item x="321"/>
        <item x="330"/>
        <item x="362"/>
        <item x="367"/>
        <item x="323"/>
        <item x="334"/>
        <item x="304"/>
        <item x="368"/>
        <item x="344"/>
        <item x="313"/>
        <item x="343"/>
        <item x="287"/>
        <item x="354"/>
        <item x="303"/>
        <item m="1" x="419"/>
        <item x="410"/>
        <item x="377"/>
        <item x="378"/>
        <item x="379"/>
        <item x="316"/>
        <item x="382"/>
        <item x="383"/>
        <item x="384"/>
        <item x="385"/>
        <item x="386"/>
        <item x="300"/>
        <item x="201"/>
        <item x="291"/>
        <item x="295"/>
        <item x="296"/>
        <item x="305"/>
        <item x="314"/>
        <item x="317"/>
        <item x="318"/>
        <item x="331"/>
        <item x="340"/>
        <item x="341"/>
        <item x="352"/>
        <item x="364"/>
        <item x="380"/>
        <item x="381"/>
        <item x="387"/>
        <item x="388"/>
        <item x="389"/>
        <item x="390"/>
        <item x="391"/>
        <item x="392"/>
        <item x="393"/>
        <item x="394"/>
        <item x="395"/>
        <item x="396"/>
        <item x="397"/>
        <item x="398"/>
        <item x="399"/>
        <item x="400"/>
        <item x="401"/>
        <item x="402"/>
        <item x="403"/>
        <item x="404"/>
        <item x="405"/>
        <item x="406"/>
        <item x="407"/>
        <item x="408"/>
        <item x="40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27">
    <i>
      <x v="50"/>
    </i>
    <i>
      <x v="51"/>
    </i>
    <i>
      <x v="52"/>
    </i>
    <i>
      <x v="53"/>
    </i>
    <i>
      <x v="54"/>
    </i>
    <i>
      <x v="55"/>
    </i>
    <i>
      <x v="56"/>
    </i>
    <i>
      <x v="57"/>
    </i>
    <i>
      <x v="58"/>
    </i>
    <i>
      <x v="59"/>
    </i>
    <i>
      <x v="60"/>
    </i>
    <i>
      <x v="61"/>
    </i>
    <i>
      <x v="62"/>
    </i>
    <i>
      <x v="63"/>
    </i>
    <i>
      <x v="64"/>
    </i>
    <i>
      <x v="65"/>
    </i>
    <i>
      <x v="66"/>
    </i>
    <i>
      <x v="67"/>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390">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391">
      <pivotArea type="all" dataOnly="0" outline="0" fieldPosition="0"/>
    </format>
    <format dxfId="392">
      <pivotArea outline="0" collapsedLevelsAreSubtotals="1" fieldPosition="0"/>
    </format>
    <format dxfId="393">
      <pivotArea field="11" type="button" dataOnly="0" labelOnly="1" outline="0" axis="axisRow" fieldPosition="0"/>
    </format>
    <format dxfId="394">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395">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396">
      <pivotArea dataOnly="0" labelOnly="1" grandRow="1" outline="0" fieldPosition="0"/>
    </format>
    <format dxfId="397">
      <pivotArea dataOnly="0" labelOnly="1" outline="0" fieldPosition="0">
        <references count="1">
          <reference field="4294967294" count="2">
            <x v="0"/>
            <x v="1"/>
          </reference>
        </references>
      </pivotArea>
    </format>
  </formats>
  <chartFormats count="25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 chart="0" format="180">
      <pivotArea type="data" outline="0" fieldPosition="0">
        <references count="2">
          <reference field="4294967294" count="1" selected="0">
            <x v="0"/>
          </reference>
          <reference field="11" count="1" selected="0">
            <x v="382"/>
          </reference>
        </references>
      </pivotArea>
    </chartFormat>
    <chartFormat chart="0" format="181">
      <pivotArea type="data" outline="0" fieldPosition="0">
        <references count="2">
          <reference field="4294967294" count="1" selected="0">
            <x v="0"/>
          </reference>
          <reference field="11" count="1" selected="0">
            <x v="383"/>
          </reference>
        </references>
      </pivotArea>
    </chartFormat>
    <chartFormat chart="0" format="182">
      <pivotArea type="data" outline="0" fieldPosition="0">
        <references count="2">
          <reference field="4294967294" count="1" selected="0">
            <x v="0"/>
          </reference>
          <reference field="11" count="1" selected="0">
            <x v="384"/>
          </reference>
        </references>
      </pivotArea>
    </chartFormat>
    <chartFormat chart="0" format="183">
      <pivotArea type="data" outline="0" fieldPosition="0">
        <references count="2">
          <reference field="4294967294" count="1" selected="0">
            <x v="0"/>
          </reference>
          <reference field="11" count="1" selected="0">
            <x v="385"/>
          </reference>
        </references>
      </pivotArea>
    </chartFormat>
    <chartFormat chart="0" format="184">
      <pivotArea type="data" outline="0" fieldPosition="0">
        <references count="2">
          <reference field="4294967294" count="1" selected="0">
            <x v="0"/>
          </reference>
          <reference field="11" count="1" selected="0">
            <x v="386"/>
          </reference>
        </references>
      </pivotArea>
    </chartFormat>
    <chartFormat chart="0" format="185">
      <pivotArea type="data" outline="0" fieldPosition="0">
        <references count="2">
          <reference field="4294967294" count="1" selected="0">
            <x v="0"/>
          </reference>
          <reference field="11" count="1" selected="0">
            <x v="387"/>
          </reference>
        </references>
      </pivotArea>
    </chartFormat>
    <chartFormat chart="0" format="186">
      <pivotArea type="data" outline="0" fieldPosition="0">
        <references count="2">
          <reference field="4294967294" count="1" selected="0">
            <x v="0"/>
          </reference>
          <reference field="11" count="1" selected="0">
            <x v="388"/>
          </reference>
        </references>
      </pivotArea>
    </chartFormat>
    <chartFormat chart="0" format="187">
      <pivotArea type="data" outline="0" fieldPosition="0">
        <references count="2">
          <reference field="4294967294" count="1" selected="0">
            <x v="0"/>
          </reference>
          <reference field="11" count="1" selected="0">
            <x v="389"/>
          </reference>
        </references>
      </pivotArea>
    </chartFormat>
    <chartFormat chart="0" format="188">
      <pivotArea type="data" outline="0" fieldPosition="0">
        <references count="2">
          <reference field="4294967294" count="1" selected="0">
            <x v="0"/>
          </reference>
          <reference field="11" count="1" selected="0">
            <x v="390"/>
          </reference>
        </references>
      </pivotArea>
    </chartFormat>
    <chartFormat chart="0" format="189">
      <pivotArea type="data" outline="0" fieldPosition="0">
        <references count="2">
          <reference field="4294967294" count="1" selected="0">
            <x v="0"/>
          </reference>
          <reference field="11" count="1" selected="0">
            <x v="391"/>
          </reference>
        </references>
      </pivotArea>
    </chartFormat>
    <chartFormat chart="0" format="190">
      <pivotArea type="data" outline="0" fieldPosition="0">
        <references count="2">
          <reference field="4294967294" count="1" selected="0">
            <x v="0"/>
          </reference>
          <reference field="11" count="1" selected="0">
            <x v="392"/>
          </reference>
        </references>
      </pivotArea>
    </chartFormat>
    <chartFormat chart="0" format="191">
      <pivotArea type="data" outline="0" fieldPosition="0">
        <references count="2">
          <reference field="4294967294" count="1" selected="0">
            <x v="0"/>
          </reference>
          <reference field="11" count="1" selected="0">
            <x v="393"/>
          </reference>
        </references>
      </pivotArea>
    </chartFormat>
    <chartFormat chart="0" format="192">
      <pivotArea type="data" outline="0" fieldPosition="0">
        <references count="2">
          <reference field="4294967294" count="1" selected="0">
            <x v="0"/>
          </reference>
          <reference field="11" count="1" selected="0">
            <x v="394"/>
          </reference>
        </references>
      </pivotArea>
    </chartFormat>
    <chartFormat chart="0" format="193">
      <pivotArea type="data" outline="0" fieldPosition="0">
        <references count="2">
          <reference field="4294967294" count="1" selected="0">
            <x v="0"/>
          </reference>
          <reference field="11" count="1" selected="0">
            <x v="395"/>
          </reference>
        </references>
      </pivotArea>
    </chartFormat>
    <chartFormat chart="0" format="194">
      <pivotArea type="data" outline="0" fieldPosition="0">
        <references count="2">
          <reference field="4294967294" count="1" selected="0">
            <x v="0"/>
          </reference>
          <reference field="11" count="1" selected="0">
            <x v="396"/>
          </reference>
        </references>
      </pivotArea>
    </chartFormat>
    <chartFormat chart="0" format="195">
      <pivotArea type="data" outline="0" fieldPosition="0">
        <references count="2">
          <reference field="4294967294" count="1" selected="0">
            <x v="0"/>
          </reference>
          <reference field="11" count="1" selected="0">
            <x v="397"/>
          </reference>
        </references>
      </pivotArea>
    </chartFormat>
    <chartFormat chart="0" format="196">
      <pivotArea type="data" outline="0" fieldPosition="0">
        <references count="2">
          <reference field="4294967294" count="1" selected="0">
            <x v="0"/>
          </reference>
          <reference field="11" count="1" selected="0">
            <x v="398"/>
          </reference>
        </references>
      </pivotArea>
    </chartFormat>
    <chartFormat chart="0" format="197">
      <pivotArea type="data" outline="0" fieldPosition="0">
        <references count="2">
          <reference field="4294967294" count="1" selected="0">
            <x v="0"/>
          </reference>
          <reference field="11" count="1" selected="0">
            <x v="399"/>
          </reference>
        </references>
      </pivotArea>
    </chartFormat>
    <chartFormat chart="0" format="198">
      <pivotArea type="data" outline="0" fieldPosition="0">
        <references count="2">
          <reference field="4294967294" count="1" selected="0">
            <x v="0"/>
          </reference>
          <reference field="11" count="1" selected="0">
            <x v="400"/>
          </reference>
        </references>
      </pivotArea>
    </chartFormat>
    <chartFormat chart="0" format="199">
      <pivotArea type="data" outline="0" fieldPosition="0">
        <references count="2">
          <reference field="4294967294" count="1" selected="0">
            <x v="0"/>
          </reference>
          <reference field="11" count="1" selected="0">
            <x v="401"/>
          </reference>
        </references>
      </pivotArea>
    </chartFormat>
    <chartFormat chart="0" format="200">
      <pivotArea type="data" outline="0" fieldPosition="0">
        <references count="2">
          <reference field="4294967294" count="1" selected="0">
            <x v="0"/>
          </reference>
          <reference field="11" count="1" selected="0">
            <x v="402"/>
          </reference>
        </references>
      </pivotArea>
    </chartFormat>
    <chartFormat chart="0" format="201">
      <pivotArea type="data" outline="0" fieldPosition="0">
        <references count="2">
          <reference field="4294967294" count="1" selected="0">
            <x v="0"/>
          </reference>
          <reference field="11" count="1" selected="0">
            <x v="403"/>
          </reference>
        </references>
      </pivotArea>
    </chartFormat>
    <chartFormat chart="0" format="202">
      <pivotArea type="data" outline="0" fieldPosition="0">
        <references count="2">
          <reference field="4294967294" count="1" selected="0">
            <x v="0"/>
          </reference>
          <reference field="11" count="1" selected="0">
            <x v="404"/>
          </reference>
        </references>
      </pivotArea>
    </chartFormat>
    <chartFormat chart="0" format="203">
      <pivotArea type="data" outline="0" fieldPosition="0">
        <references count="2">
          <reference field="4294967294" count="1" selected="0">
            <x v="0"/>
          </reference>
          <reference field="11" count="1" selected="0">
            <x v="405"/>
          </reference>
        </references>
      </pivotArea>
    </chartFormat>
    <chartFormat chart="0" format="204">
      <pivotArea type="data" outline="0" fieldPosition="0">
        <references count="2">
          <reference field="4294967294" count="1" selected="0">
            <x v="0"/>
          </reference>
          <reference field="11" count="1" selected="0">
            <x v="406"/>
          </reference>
        </references>
      </pivotArea>
    </chartFormat>
    <chartFormat chart="0" format="205">
      <pivotArea type="data" outline="0" fieldPosition="0">
        <references count="2">
          <reference field="4294967294" count="1" selected="0">
            <x v="0"/>
          </reference>
          <reference field="11" count="1" selected="0">
            <x v="407"/>
          </reference>
        </references>
      </pivotArea>
    </chartFormat>
    <chartFormat chart="0" format="206">
      <pivotArea type="data" outline="0" fieldPosition="0">
        <references count="2">
          <reference field="4294967294" count="1" selected="0">
            <x v="0"/>
          </reference>
          <reference field="11" count="1" selected="0">
            <x v="408"/>
          </reference>
        </references>
      </pivotArea>
    </chartFormat>
    <chartFormat chart="0" format="207">
      <pivotArea type="data" outline="0" fieldPosition="0">
        <references count="2">
          <reference field="4294967294" count="1" selected="0">
            <x v="0"/>
          </reference>
          <reference field="11" count="1" selected="0">
            <x v="409"/>
          </reference>
        </references>
      </pivotArea>
    </chartFormat>
    <chartFormat chart="0" format="208">
      <pivotArea type="data" outline="0" fieldPosition="0">
        <references count="2">
          <reference field="4294967294" count="1" selected="0">
            <x v="0"/>
          </reference>
          <reference field="11" count="1" selected="0">
            <x v="410"/>
          </reference>
        </references>
      </pivotArea>
    </chartFormat>
    <chartFormat chart="0" format="209">
      <pivotArea type="data" outline="0" fieldPosition="0">
        <references count="2">
          <reference field="4294967294" count="1" selected="0">
            <x v="0"/>
          </reference>
          <reference field="11" count="1" selected="0">
            <x v="411"/>
          </reference>
        </references>
      </pivotArea>
    </chartFormat>
    <chartFormat chart="0" format="210">
      <pivotArea type="data" outline="0" fieldPosition="0">
        <references count="2">
          <reference field="4294967294" count="1" selected="0">
            <x v="0"/>
          </reference>
          <reference field="11" count="1" selected="0">
            <x v="412"/>
          </reference>
        </references>
      </pivotArea>
    </chartFormat>
    <chartFormat chart="0" format="211">
      <pivotArea type="data" outline="0" fieldPosition="0">
        <references count="2">
          <reference field="4294967294" count="1" selected="0">
            <x v="0"/>
          </reference>
          <reference field="11" count="1" selected="0">
            <x v="413"/>
          </reference>
        </references>
      </pivotArea>
    </chartFormat>
    <chartFormat chart="0" format="212">
      <pivotArea type="data" outline="0" fieldPosition="0">
        <references count="2">
          <reference field="4294967294" count="1" selected="0">
            <x v="0"/>
          </reference>
          <reference field="11" count="1" selected="0">
            <x v="414"/>
          </reference>
        </references>
      </pivotArea>
    </chartFormat>
    <chartFormat chart="0" format="213">
      <pivotArea type="data" outline="0" fieldPosition="0">
        <references count="2">
          <reference field="4294967294" count="1" selected="0">
            <x v="0"/>
          </reference>
          <reference field="11" count="1" selected="0">
            <x v="415"/>
          </reference>
        </references>
      </pivotArea>
    </chartFormat>
    <chartFormat chart="0" format="214">
      <pivotArea type="data" outline="0" fieldPosition="0">
        <references count="2">
          <reference field="4294967294" count="1" selected="0">
            <x v="0"/>
          </reference>
          <reference field="11" count="1" selected="0">
            <x v="416"/>
          </reference>
        </references>
      </pivotArea>
    </chartFormat>
    <chartFormat chart="0" format="215">
      <pivotArea type="data" outline="0" fieldPosition="0">
        <references count="2">
          <reference field="4294967294" count="1" selected="0">
            <x v="0"/>
          </reference>
          <reference field="11" count="1" selected="0">
            <x v="417"/>
          </reference>
        </references>
      </pivotArea>
    </chartFormat>
    <chartFormat chart="0" format="216">
      <pivotArea type="data" outline="0" fieldPosition="0">
        <references count="2">
          <reference field="4294967294" count="1" selected="0">
            <x v="0"/>
          </reference>
          <reference field="11" count="1" selected="0">
            <x v="418"/>
          </reference>
        </references>
      </pivotArea>
    </chartFormat>
    <chartFormat chart="0" format="217">
      <pivotArea type="data" outline="0" fieldPosition="0">
        <references count="2">
          <reference field="4294967294" count="1" selected="0">
            <x v="1"/>
          </reference>
          <reference field="11" count="1" selected="0">
            <x v="382"/>
          </reference>
        </references>
      </pivotArea>
    </chartFormat>
    <chartFormat chart="0" format="218">
      <pivotArea type="data" outline="0" fieldPosition="0">
        <references count="2">
          <reference field="4294967294" count="1" selected="0">
            <x v="1"/>
          </reference>
          <reference field="11" count="1" selected="0">
            <x v="383"/>
          </reference>
        </references>
      </pivotArea>
    </chartFormat>
    <chartFormat chart="0" format="219">
      <pivotArea type="data" outline="0" fieldPosition="0">
        <references count="2">
          <reference field="4294967294" count="1" selected="0">
            <x v="1"/>
          </reference>
          <reference field="11" count="1" selected="0">
            <x v="384"/>
          </reference>
        </references>
      </pivotArea>
    </chartFormat>
    <chartFormat chart="0" format="220">
      <pivotArea type="data" outline="0" fieldPosition="0">
        <references count="2">
          <reference field="4294967294" count="1" selected="0">
            <x v="1"/>
          </reference>
          <reference field="11" count="1" selected="0">
            <x v="385"/>
          </reference>
        </references>
      </pivotArea>
    </chartFormat>
    <chartFormat chart="0" format="221">
      <pivotArea type="data" outline="0" fieldPosition="0">
        <references count="2">
          <reference field="4294967294" count="1" selected="0">
            <x v="1"/>
          </reference>
          <reference field="11" count="1" selected="0">
            <x v="386"/>
          </reference>
        </references>
      </pivotArea>
    </chartFormat>
    <chartFormat chart="0" format="222">
      <pivotArea type="data" outline="0" fieldPosition="0">
        <references count="2">
          <reference field="4294967294" count="1" selected="0">
            <x v="1"/>
          </reference>
          <reference field="11" count="1" selected="0">
            <x v="387"/>
          </reference>
        </references>
      </pivotArea>
    </chartFormat>
    <chartFormat chart="0" format="223">
      <pivotArea type="data" outline="0" fieldPosition="0">
        <references count="2">
          <reference field="4294967294" count="1" selected="0">
            <x v="1"/>
          </reference>
          <reference field="11" count="1" selected="0">
            <x v="388"/>
          </reference>
        </references>
      </pivotArea>
    </chartFormat>
    <chartFormat chart="0" format="224">
      <pivotArea type="data" outline="0" fieldPosition="0">
        <references count="2">
          <reference field="4294967294" count="1" selected="0">
            <x v="1"/>
          </reference>
          <reference field="11" count="1" selected="0">
            <x v="389"/>
          </reference>
        </references>
      </pivotArea>
    </chartFormat>
    <chartFormat chart="0" format="225">
      <pivotArea type="data" outline="0" fieldPosition="0">
        <references count="2">
          <reference field="4294967294" count="1" selected="0">
            <x v="1"/>
          </reference>
          <reference field="11" count="1" selected="0">
            <x v="390"/>
          </reference>
        </references>
      </pivotArea>
    </chartFormat>
    <chartFormat chart="0" format="226">
      <pivotArea type="data" outline="0" fieldPosition="0">
        <references count="2">
          <reference field="4294967294" count="1" selected="0">
            <x v="1"/>
          </reference>
          <reference field="11" count="1" selected="0">
            <x v="391"/>
          </reference>
        </references>
      </pivotArea>
    </chartFormat>
    <chartFormat chart="0" format="227">
      <pivotArea type="data" outline="0" fieldPosition="0">
        <references count="2">
          <reference field="4294967294" count="1" selected="0">
            <x v="1"/>
          </reference>
          <reference field="11" count="1" selected="0">
            <x v="392"/>
          </reference>
        </references>
      </pivotArea>
    </chartFormat>
    <chartFormat chart="0" format="228">
      <pivotArea type="data" outline="0" fieldPosition="0">
        <references count="2">
          <reference field="4294967294" count="1" selected="0">
            <x v="1"/>
          </reference>
          <reference field="11" count="1" selected="0">
            <x v="393"/>
          </reference>
        </references>
      </pivotArea>
    </chartFormat>
    <chartFormat chart="0" format="229">
      <pivotArea type="data" outline="0" fieldPosition="0">
        <references count="2">
          <reference field="4294967294" count="1" selected="0">
            <x v="1"/>
          </reference>
          <reference field="11" count="1" selected="0">
            <x v="394"/>
          </reference>
        </references>
      </pivotArea>
    </chartFormat>
    <chartFormat chart="0" format="230">
      <pivotArea type="data" outline="0" fieldPosition="0">
        <references count="2">
          <reference field="4294967294" count="1" selected="0">
            <x v="1"/>
          </reference>
          <reference field="11" count="1" selected="0">
            <x v="395"/>
          </reference>
        </references>
      </pivotArea>
    </chartFormat>
    <chartFormat chart="0" format="231">
      <pivotArea type="data" outline="0" fieldPosition="0">
        <references count="2">
          <reference field="4294967294" count="1" selected="0">
            <x v="1"/>
          </reference>
          <reference field="11" count="1" selected="0">
            <x v="396"/>
          </reference>
        </references>
      </pivotArea>
    </chartFormat>
    <chartFormat chart="0" format="232">
      <pivotArea type="data" outline="0" fieldPosition="0">
        <references count="2">
          <reference field="4294967294" count="1" selected="0">
            <x v="1"/>
          </reference>
          <reference field="11" count="1" selected="0">
            <x v="397"/>
          </reference>
        </references>
      </pivotArea>
    </chartFormat>
    <chartFormat chart="0" format="233">
      <pivotArea type="data" outline="0" fieldPosition="0">
        <references count="2">
          <reference field="4294967294" count="1" selected="0">
            <x v="1"/>
          </reference>
          <reference field="11" count="1" selected="0">
            <x v="398"/>
          </reference>
        </references>
      </pivotArea>
    </chartFormat>
    <chartFormat chart="0" format="234">
      <pivotArea type="data" outline="0" fieldPosition="0">
        <references count="2">
          <reference field="4294967294" count="1" selected="0">
            <x v="1"/>
          </reference>
          <reference field="11" count="1" selected="0">
            <x v="399"/>
          </reference>
        </references>
      </pivotArea>
    </chartFormat>
    <chartFormat chart="0" format="235">
      <pivotArea type="data" outline="0" fieldPosition="0">
        <references count="2">
          <reference field="4294967294" count="1" selected="0">
            <x v="1"/>
          </reference>
          <reference field="11" count="1" selected="0">
            <x v="400"/>
          </reference>
        </references>
      </pivotArea>
    </chartFormat>
    <chartFormat chart="0" format="236">
      <pivotArea type="data" outline="0" fieldPosition="0">
        <references count="2">
          <reference field="4294967294" count="1" selected="0">
            <x v="1"/>
          </reference>
          <reference field="11" count="1" selected="0">
            <x v="401"/>
          </reference>
        </references>
      </pivotArea>
    </chartFormat>
    <chartFormat chart="0" format="237">
      <pivotArea type="data" outline="0" fieldPosition="0">
        <references count="2">
          <reference field="4294967294" count="1" selected="0">
            <x v="1"/>
          </reference>
          <reference field="11" count="1" selected="0">
            <x v="402"/>
          </reference>
        </references>
      </pivotArea>
    </chartFormat>
    <chartFormat chart="0" format="238">
      <pivotArea type="data" outline="0" fieldPosition="0">
        <references count="2">
          <reference field="4294967294" count="1" selected="0">
            <x v="1"/>
          </reference>
          <reference field="11" count="1" selected="0">
            <x v="403"/>
          </reference>
        </references>
      </pivotArea>
    </chartFormat>
    <chartFormat chart="0" format="239">
      <pivotArea type="data" outline="0" fieldPosition="0">
        <references count="2">
          <reference field="4294967294" count="1" selected="0">
            <x v="1"/>
          </reference>
          <reference field="11" count="1" selected="0">
            <x v="404"/>
          </reference>
        </references>
      </pivotArea>
    </chartFormat>
    <chartFormat chart="0" format="240">
      <pivotArea type="data" outline="0" fieldPosition="0">
        <references count="2">
          <reference field="4294967294" count="1" selected="0">
            <x v="1"/>
          </reference>
          <reference field="11" count="1" selected="0">
            <x v="405"/>
          </reference>
        </references>
      </pivotArea>
    </chartFormat>
    <chartFormat chart="0" format="241">
      <pivotArea type="data" outline="0" fieldPosition="0">
        <references count="2">
          <reference field="4294967294" count="1" selected="0">
            <x v="1"/>
          </reference>
          <reference field="11" count="1" selected="0">
            <x v="406"/>
          </reference>
        </references>
      </pivotArea>
    </chartFormat>
    <chartFormat chart="0" format="242">
      <pivotArea type="data" outline="0" fieldPosition="0">
        <references count="2">
          <reference field="4294967294" count="1" selected="0">
            <x v="1"/>
          </reference>
          <reference field="11" count="1" selected="0">
            <x v="407"/>
          </reference>
        </references>
      </pivotArea>
    </chartFormat>
    <chartFormat chart="0" format="243">
      <pivotArea type="data" outline="0" fieldPosition="0">
        <references count="2">
          <reference field="4294967294" count="1" selected="0">
            <x v="1"/>
          </reference>
          <reference field="11" count="1" selected="0">
            <x v="408"/>
          </reference>
        </references>
      </pivotArea>
    </chartFormat>
    <chartFormat chart="0" format="244">
      <pivotArea type="data" outline="0" fieldPosition="0">
        <references count="2">
          <reference field="4294967294" count="1" selected="0">
            <x v="1"/>
          </reference>
          <reference field="11" count="1" selected="0">
            <x v="409"/>
          </reference>
        </references>
      </pivotArea>
    </chartFormat>
    <chartFormat chart="0" format="245">
      <pivotArea type="data" outline="0" fieldPosition="0">
        <references count="2">
          <reference field="4294967294" count="1" selected="0">
            <x v="1"/>
          </reference>
          <reference field="11" count="1" selected="0">
            <x v="410"/>
          </reference>
        </references>
      </pivotArea>
    </chartFormat>
    <chartFormat chart="0" format="246">
      <pivotArea type="data" outline="0" fieldPosition="0">
        <references count="2">
          <reference field="4294967294" count="1" selected="0">
            <x v="1"/>
          </reference>
          <reference field="11" count="1" selected="0">
            <x v="411"/>
          </reference>
        </references>
      </pivotArea>
    </chartFormat>
    <chartFormat chart="0" format="247">
      <pivotArea type="data" outline="0" fieldPosition="0">
        <references count="2">
          <reference field="4294967294" count="1" selected="0">
            <x v="1"/>
          </reference>
          <reference field="11" count="1" selected="0">
            <x v="412"/>
          </reference>
        </references>
      </pivotArea>
    </chartFormat>
    <chartFormat chart="0" format="248">
      <pivotArea type="data" outline="0" fieldPosition="0">
        <references count="2">
          <reference field="4294967294" count="1" selected="0">
            <x v="1"/>
          </reference>
          <reference field="11" count="1" selected="0">
            <x v="413"/>
          </reference>
        </references>
      </pivotArea>
    </chartFormat>
    <chartFormat chart="0" format="249">
      <pivotArea type="data" outline="0" fieldPosition="0">
        <references count="2">
          <reference field="4294967294" count="1" selected="0">
            <x v="1"/>
          </reference>
          <reference field="11" count="1" selected="0">
            <x v="414"/>
          </reference>
        </references>
      </pivotArea>
    </chartFormat>
    <chartFormat chart="0" format="250">
      <pivotArea type="data" outline="0" fieldPosition="0">
        <references count="2">
          <reference field="4294967294" count="1" selected="0">
            <x v="1"/>
          </reference>
          <reference field="11" count="1" selected="0">
            <x v="415"/>
          </reference>
        </references>
      </pivotArea>
    </chartFormat>
    <chartFormat chart="0" format="251">
      <pivotArea type="data" outline="0" fieldPosition="0">
        <references count="2">
          <reference field="4294967294" count="1" selected="0">
            <x v="1"/>
          </reference>
          <reference field="11" count="1" selected="0">
            <x v="416"/>
          </reference>
        </references>
      </pivotArea>
    </chartFormat>
    <chartFormat chart="0" format="252">
      <pivotArea type="data" outline="0" fieldPosition="0">
        <references count="2">
          <reference field="4294967294" count="1" selected="0">
            <x v="1"/>
          </reference>
          <reference field="11" count="1" selected="0">
            <x v="417"/>
          </reference>
        </references>
      </pivotArea>
    </chartFormat>
    <chartFormat chart="0" format="253">
      <pivotArea type="data" outline="0" fieldPosition="0">
        <references count="2">
          <reference field="4294967294" count="1" selected="0">
            <x v="1"/>
          </reference>
          <reference field="11" count="1" selected="0">
            <x v="418"/>
          </reference>
        </references>
      </pivotArea>
    </chartFormat>
    <chartFormat chart="0" format="254">
      <pivotArea type="data" outline="0" fieldPosition="0">
        <references count="2">
          <reference field="4294967294" count="1" selected="0">
            <x v="0"/>
          </reference>
          <reference field="11" count="1" selected="0">
            <x v="419"/>
          </reference>
        </references>
      </pivotArea>
    </chartFormat>
    <chartFormat chart="0" format="255">
      <pivotArea type="data" outline="0" fieldPosition="0">
        <references count="2">
          <reference field="4294967294" count="1" selected="0">
            <x v="1"/>
          </reference>
          <reference field="11" count="1" selected="0">
            <x v="4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0000000-0013-0000-FFFF-FFFF01000000}" sourceName="Date">
  <pivotTables>
    <pivotTable tabId="12" name="PivotTable3"/>
  </pivotTables>
  <data>
    <tabular pivotCacheId="861024963">
      <items count="439">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0"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 x="40" s="1" nd="1"/>
        <i x="41" s="1" nd="1"/>
        <i x="42" s="1" nd="1"/>
        <i x="43" s="1" nd="1"/>
        <i x="44" s="1" nd="1"/>
        <i x="45" s="1" nd="1"/>
        <i x="43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cial_Year" xr10:uid="{00000000-0013-0000-FFFF-FFFF02000000}" sourceName="Finacial Year">
  <pivotTables>
    <pivotTable tabId="12" name="PivotTable3"/>
  </pivotTables>
  <data>
    <tabular pivotCacheId="861024963">
      <items count="4">
        <i x="0"/>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or_Year" xr10:uid="{00000000-0013-0000-FFFF-FFFF03000000}" sourceName="Calendor Year">
  <pivotTables>
    <pivotTable tabId="12" name="PivotTable3"/>
  </pivotTables>
  <data>
    <tabular pivotCacheId="86102496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8">
        <i x="15" s="1"/>
        <i x="2" s="1"/>
        <i x="3" s="1"/>
        <i x="4" s="1"/>
        <i x="5" s="1"/>
        <i x="6" s="1"/>
        <i x="7" s="1"/>
        <i x="8" s="1"/>
        <i x="9" s="1"/>
        <i x="10" s="1"/>
        <i x="11" s="1"/>
        <i x="12" s="1"/>
        <i x="13" s="1"/>
        <i x="14" s="1"/>
        <i x="0" s="1" nd="1"/>
        <i x="1" s="1" nd="1"/>
        <i x="17" s="1" nd="1"/>
        <i x="1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1" s="1"/>
        <i x="2" s="1"/>
        <i x="3" s="1"/>
        <i x="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ffected_WTG" xr10:uid="{00000000-0013-0000-FFFF-FFFF06000000}" sourceName="Affected WTG">
  <pivotTables>
    <pivotTable tabId="12" name="PivotTable3"/>
  </pivotTables>
  <data>
    <tabular pivotCacheId="861024963">
      <items count="44">
        <i x="20" s="1"/>
        <i x="21" s="1"/>
        <i x="22" s="1"/>
        <i x="23" s="1"/>
        <i x="24" s="1"/>
        <i x="25" s="1"/>
        <i x="26" s="1"/>
        <i x="17" s="1"/>
        <i x="27" s="1"/>
        <i x="28" s="1"/>
        <i x="29" s="1"/>
        <i x="30" s="1"/>
        <i x="31" s="1"/>
        <i x="32" s="1"/>
        <i x="39" s="1"/>
        <i x="37" s="1"/>
        <i x="0" s="1"/>
        <i x="42" s="1"/>
        <i x="38" s="1"/>
        <i x="18" s="1"/>
        <i x="19" s="1"/>
        <i x="33" s="1"/>
        <i x="34" s="1"/>
        <i x="1" s="1"/>
        <i x="35" s="1"/>
        <i x="36" s="1"/>
        <i x="40" s="1"/>
        <i x="2" s="1"/>
        <i x="8" s="1"/>
        <i x="9" s="1"/>
        <i x="10" s="1"/>
        <i x="11" s="1"/>
        <i x="41" s="1"/>
        <i x="12" s="1"/>
        <i x="3" s="1"/>
        <i x="13" s="1"/>
        <i x="14" s="1"/>
        <i x="15" s="1"/>
        <i x="16" s="1"/>
        <i x="4" s="1"/>
        <i x="5" s="1"/>
        <i x="6" s="1"/>
        <i x="7" s="1"/>
        <i x="4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rror_Text" xr10:uid="{00000000-0013-0000-FFFF-FFFF07000000}" sourceName="Error Text">
  <pivotTables>
    <pivotTable tabId="12" name="PivotTable3"/>
  </pivotTables>
  <data>
    <tabular pivotCacheId="861024963">
      <items count="420">
        <i x="359" s="1"/>
        <i x="356" s="1"/>
        <i x="286" s="1"/>
        <i x="325" s="1"/>
        <i x="310" s="1"/>
        <i x="402" s="1"/>
        <i x="327" s="1"/>
        <i x="293" s="1"/>
        <i x="319" s="1"/>
        <i x="311" s="1"/>
        <i x="307" s="1"/>
        <i x="384" s="1"/>
        <i x="345" s="1"/>
        <i x="350" s="1"/>
        <i x="355" s="1"/>
        <i x="358" s="1"/>
        <i x="337" s="1"/>
        <i x="382" s="1"/>
        <i x="332" s="1"/>
        <i x="292" s="1"/>
        <i x="369" s="1"/>
        <i x="393" s="1"/>
        <i x="391" s="1"/>
        <i x="363" s="1"/>
        <i x="372" s="1"/>
        <i x="349" s="1"/>
        <i x="351" s="1"/>
        <i x="357" s="1"/>
        <i x="348" s="1"/>
        <i x="333" s="1"/>
        <i x="387" s="1"/>
        <i x="371" s="1"/>
        <i x="340" s="1"/>
        <i x="407" s="1"/>
        <i x="339" s="1"/>
        <i x="398" s="1"/>
        <i x="401" s="1"/>
        <i x="336" s="1"/>
        <i x="403" s="1"/>
        <i x="316" s="1"/>
        <i x="300" s="1"/>
        <i x="364" s="1"/>
        <i x="338" s="1"/>
        <i x="400" s="1"/>
        <i x="317" s="1"/>
        <i x="297" s="1"/>
        <i x="347" s="1"/>
        <i x="301" s="1"/>
        <i x="318" s="1"/>
        <i x="306" s="1"/>
        <i x="289" s="1"/>
        <i x="294" s="1"/>
        <i x="352" s="1"/>
        <i x="365" s="1"/>
        <i x="360" s="1"/>
        <i x="302" s="1"/>
        <i x="342" s="1"/>
        <i x="395" s="1"/>
        <i x="335" s="1"/>
        <i x="409" s="1"/>
        <i x="308" s="1"/>
        <i x="366" s="1"/>
        <i x="378" s="1"/>
        <i x="309" s="1"/>
        <i x="397" s="1"/>
        <i x="405" s="1"/>
        <i x="386" s="1"/>
        <i x="383" s="1"/>
        <i x="312" s="1"/>
        <i x="324" s="1"/>
        <i x="331" s="1"/>
        <i x="376" s="1"/>
        <i x="291" s="1"/>
        <i x="290" s="1"/>
        <i x="326" s="1"/>
        <i x="396" s="1"/>
        <i x="299" s="1"/>
        <i x="381" s="1"/>
        <i x="380" s="1"/>
        <i x="288" s="1"/>
        <i x="305" s="1"/>
        <i x="296" s="1"/>
        <i x="399" s="1"/>
        <i x="328" s="1"/>
        <i x="390" s="1"/>
        <i x="394" s="1"/>
        <i x="314" s="1"/>
        <i x="322" s="1"/>
        <i x="361" s="1"/>
        <i x="375" s="1"/>
        <i x="341" s="1"/>
        <i x="373" s="1"/>
        <i x="298" s="1"/>
        <i x="320" s="1"/>
        <i x="329" s="1"/>
        <i x="346" s="1"/>
        <i x="388" s="1"/>
        <i x="370" s="1"/>
        <i x="374" s="1"/>
        <i x="353" s="1"/>
        <i x="406" s="1"/>
        <i x="201" s="1"/>
        <i x="379" s="1"/>
        <i x="315" s="1"/>
        <i x="377" s="1"/>
        <i x="321" s="1"/>
        <i x="330" s="1"/>
        <i x="362" s="1"/>
        <i x="392" s="1"/>
        <i x="295" s="1"/>
        <i x="385" s="1"/>
        <i x="389" s="1"/>
        <i x="367" s="1"/>
        <i x="408" s="1"/>
        <i x="323" s="1"/>
        <i x="334" s="1"/>
        <i x="404" s="1"/>
        <i x="304" s="1"/>
        <i x="368" s="1"/>
        <i x="344" s="1"/>
        <i x="313" s="1"/>
        <i x="343" s="1"/>
        <i x="287" s="1"/>
        <i x="354" s="1"/>
        <i x="303" s="1"/>
        <i x="410" s="1"/>
        <i x="194" s="1" nd="1"/>
        <i x="119" s="1" nd="1"/>
        <i x="247" s="1" nd="1"/>
        <i x="114" s="1" nd="1"/>
        <i x="221" s="1" nd="1"/>
        <i x="417" s="1" nd="1"/>
        <i x="228" s="1" nd="1"/>
        <i x="203" s="1" nd="1"/>
        <i x="215" s="1" nd="1"/>
        <i x="160" s="1" nd="1"/>
        <i x="220" s="1" nd="1"/>
        <i x="223" s="1" nd="1"/>
        <i x="155" s="1" nd="1"/>
        <i x="412" s="1" nd="1"/>
        <i x="416" s="1" nd="1"/>
        <i x="411" s="1" nd="1"/>
        <i x="415" s="1" nd="1"/>
        <i x="64" s="1" nd="1"/>
        <i x="41" s="1" nd="1"/>
        <i x="197" s="1" nd="1"/>
        <i x="109" s="1" nd="1"/>
        <i x="275" s="1" nd="1"/>
        <i x="152" s="1" nd="1"/>
        <i x="142" s="1" nd="1"/>
        <i x="132" s="1" nd="1"/>
        <i x="112" s="1" nd="1"/>
        <i x="107" s="1" nd="1"/>
        <i x="141" s="1" nd="1"/>
        <i x="124" s="1" nd="1"/>
        <i x="130" s="1" nd="1"/>
        <i x="70" s="1" nd="1"/>
        <i x="151" s="1" nd="1"/>
        <i x="122" s="1" nd="1"/>
        <i x="165" s="1" nd="1"/>
        <i x="254" s="1" nd="1"/>
        <i x="246" s="1" nd="1"/>
        <i x="173" s="1" nd="1"/>
        <i x="260" s="1" nd="1"/>
        <i x="414" s="1" nd="1"/>
        <i x="229" s="1" nd="1"/>
        <i x="202" s="1" nd="1"/>
        <i x="208" s="1" nd="1"/>
        <i x="230" s="1" nd="1"/>
        <i x="224" s="1" nd="1"/>
        <i x="225" s="1" nd="1"/>
        <i x="222" s="1" nd="1"/>
        <i x="207" s="1" nd="1"/>
        <i x="209" s="1" nd="1"/>
        <i x="226" s="1" nd="1"/>
        <i x="227" s="1" nd="1"/>
        <i x="33" s="1" nd="1"/>
        <i x="86" s="1" nd="1"/>
        <i x="279" s="1" nd="1"/>
        <i x="273" s="1" nd="1"/>
        <i x="282" s="1" nd="1"/>
        <i x="264" s="1" nd="1"/>
        <i x="244" s="1" nd="1"/>
        <i x="214" s="1" nd="1"/>
        <i x="257" s="1" nd="1"/>
        <i x="183" s="1" nd="1"/>
        <i x="274" s="1" nd="1"/>
        <i x="163" s="1" nd="1"/>
        <i x="170" s="1" nd="1"/>
        <i x="115" s="1" nd="1"/>
        <i x="116" s="1" nd="1"/>
        <i x="261" s="1" nd="1"/>
        <i x="169" s="1" nd="1"/>
        <i x="8" s="1" nd="1"/>
        <i x="14" s="1" nd="1"/>
        <i x="85" s="1" nd="1"/>
        <i x="60" s="1" nd="1"/>
        <i x="20" s="1" nd="1"/>
        <i x="166" s="1" nd="1"/>
        <i x="31" s="1" nd="1"/>
        <i x="27" s="1" nd="1"/>
        <i x="32" s="1" nd="1"/>
        <i x="26" s="1" nd="1"/>
        <i x="48" s="1" nd="1"/>
        <i x="3" s="1" nd="1"/>
        <i x="47" s="1" nd="1"/>
        <i x="29" s="1" nd="1"/>
        <i x="28" s="1" nd="1"/>
        <i x="46" s="1" nd="1"/>
        <i x="44" s="1" nd="1"/>
        <i x="18" s="1" nd="1"/>
        <i x="49" s="1" nd="1"/>
        <i x="7" s="1" nd="1"/>
        <i x="17" s="1" nd="1"/>
        <i x="34" s="1" nd="1"/>
        <i x="6" s="1" nd="1"/>
        <i x="36" s="1" nd="1"/>
        <i x="50" s="1" nd="1"/>
        <i x="35" s="1" nd="1"/>
        <i x="15" s="1" nd="1"/>
        <i x="16" s="1" nd="1"/>
        <i x="37" s="1" nd="1"/>
        <i x="51" s="1" nd="1"/>
        <i x="5" s="1" nd="1"/>
        <i x="38" s="1" nd="1"/>
        <i x="39" s="1" nd="1"/>
        <i x="10" s="1" nd="1"/>
        <i x="4" s="1" nd="1"/>
        <i x="13" s="1" nd="1"/>
        <i x="11" s="1" nd="1"/>
        <i x="12" s="1" nd="1"/>
        <i x="285" s="1" nd="1"/>
        <i x="66" s="1" nd="1"/>
        <i x="154" s="1" nd="1"/>
        <i x="249" s="1" nd="1"/>
        <i x="284" s="1" nd="1"/>
        <i x="21" s="1" nd="1"/>
        <i x="159" s="1" nd="1"/>
        <i x="238" s="1" nd="1"/>
        <i x="234" s="1" nd="1"/>
        <i x="251" s="1" nd="1"/>
        <i x="184" s="1" nd="1"/>
        <i x="178" s="1" nd="1"/>
        <i x="57" s="1" nd="1"/>
        <i x="63" s="1" nd="1"/>
        <i x="62" s="1" nd="1"/>
        <i x="185" s="1" nd="1"/>
        <i x="281" s="1" nd="1"/>
        <i x="278" s="1" nd="1"/>
        <i x="283" s="1" nd="1"/>
        <i x="236" s="1" nd="1"/>
        <i x="237" s="1" nd="1"/>
        <i x="217" s="1" nd="1"/>
        <i x="158" s="1" nd="1"/>
        <i x="67" s="1" nd="1"/>
        <i x="89" s="1" nd="1"/>
        <i x="71" s="1" nd="1"/>
        <i x="93" s="1" nd="1"/>
        <i x="253" s="1" nd="1"/>
        <i x="262" s="1" nd="1"/>
        <i x="277" s="1" nd="1"/>
        <i x="212" s="1" nd="1"/>
        <i x="77" s="1" nd="1"/>
        <i x="149" s="1" nd="1"/>
        <i x="69" s="1" nd="1"/>
        <i x="61" s="1" nd="1"/>
        <i x="216" s="1" nd="1"/>
        <i x="55" s="1" nd="1"/>
        <i x="78" s="1" nd="1"/>
        <i x="1" s="1" nd="1"/>
        <i x="59" s="1" nd="1"/>
        <i x="128" s="1" nd="1"/>
        <i x="9" s="1" nd="1"/>
        <i x="23" s="1" nd="1"/>
        <i x="82" s="1" nd="1"/>
        <i x="135" s="1" nd="1"/>
        <i x="263" s="1" nd="1"/>
        <i x="125" s="1" nd="1"/>
        <i x="242" s="1" nd="1"/>
        <i x="138" s="1" nd="1"/>
        <i x="179" s="1" nd="1"/>
        <i x="205" s="1" nd="1"/>
        <i x="146" s="1" nd="1"/>
        <i x="72" s="1" nd="1"/>
        <i x="235" s="1" nd="1"/>
        <i x="233" s="1" nd="1"/>
        <i x="218" s="1" nd="1"/>
        <i x="19" s="1" nd="1"/>
        <i x="272" s="1" nd="1"/>
        <i x="168" s="1" nd="1"/>
        <i x="265" s="1" nd="1"/>
        <i x="161" s="1" nd="1"/>
        <i x="256" s="1" nd="1"/>
        <i x="252" s="1" nd="1"/>
        <i x="156" s="1" nd="1"/>
        <i x="162" s="1" nd="1"/>
        <i x="418" s="1" nd="1"/>
        <i x="413" s="1" nd="1"/>
        <i x="167" s="1" nd="1"/>
        <i x="258" s="1" nd="1"/>
        <i x="110" s="1" nd="1"/>
        <i x="105" s="1" nd="1"/>
        <i x="123" s="1" nd="1"/>
        <i x="56" s="1" nd="1"/>
        <i x="52" s="1" nd="1"/>
        <i x="53" s="1" nd="1"/>
        <i x="24" s="1" nd="1"/>
        <i x="219" s="1" nd="1"/>
        <i x="80" s="1" nd="1"/>
        <i x="54" s="1" nd="1"/>
        <i x="177" s="1" nd="1"/>
        <i x="280" s="1" nd="1"/>
        <i x="22" s="1" nd="1"/>
        <i x="25" s="1" nd="1"/>
        <i x="276" s="1" nd="1"/>
        <i x="232" s="1" nd="1"/>
        <i x="153" s="1" nd="1"/>
        <i x="143" s="1" nd="1"/>
        <i x="145" s="1" nd="1"/>
        <i x="83" s="1" nd="1"/>
        <i x="192" s="1" nd="1"/>
        <i x="75" s="1" nd="1"/>
        <i x="30" s="1" nd="1"/>
        <i x="40" s="1" nd="1"/>
        <i x="190" s="1" nd="1"/>
        <i x="199" s="1" nd="1"/>
        <i x="198" s="1" nd="1"/>
        <i x="200" s="1" nd="1"/>
        <i x="108" s="1" nd="1"/>
        <i x="74" s="1" nd="1"/>
        <i x="195" s="1" nd="1"/>
        <i x="196" s="1" nd="1"/>
        <i x="87" s="1" nd="1"/>
        <i x="191" s="1" nd="1"/>
        <i x="193" s="1" nd="1"/>
        <i x="133" s="1" nd="1"/>
        <i x="140" s="1" nd="1"/>
        <i x="0" s="1" nd="1"/>
        <i x="231" s="1" nd="1"/>
        <i x="188" s="1" nd="1"/>
        <i x="88" s="1" nd="1"/>
        <i x="92" s="1" nd="1"/>
        <i x="45" s="1" nd="1"/>
        <i x="243" s="1" nd="1"/>
        <i x="271" s="1" nd="1"/>
        <i x="189" s="1" nd="1"/>
        <i x="176" s="1" nd="1"/>
        <i x="129" s="1" nd="1"/>
        <i x="174" s="1" nd="1"/>
        <i x="91" s="1" nd="1"/>
        <i x="134" s="1" nd="1"/>
        <i x="101" s="1" nd="1"/>
        <i x="97" s="1" nd="1"/>
        <i x="144" s="1" nd="1"/>
        <i x="126" s="1" nd="1"/>
        <i x="94" s="1" nd="1"/>
        <i x="73" s="1" nd="1"/>
        <i x="172" s="1" nd="1"/>
        <i x="175" s="1" nd="1"/>
        <i x="113" s="1" nd="1"/>
        <i x="58" s="1" nd="1"/>
        <i x="79" s="1" nd="1"/>
        <i x="102" s="1" nd="1"/>
        <i x="95" s="1" nd="1"/>
        <i x="65" s="1" nd="1"/>
        <i x="103" s="1" nd="1"/>
        <i x="100" s="1" nd="1"/>
        <i x="84" s="1" nd="1"/>
        <i x="120" s="1" nd="1"/>
        <i x="90" s="1" nd="1"/>
        <i x="68" s="1" nd="1"/>
        <i x="104" s="1" nd="1"/>
        <i x="98" s="1" nd="1"/>
        <i x="96" s="1" nd="1"/>
        <i x="99" s="1" nd="1"/>
        <i x="248" s="1" nd="1"/>
        <i x="121" s="1" nd="1"/>
        <i x="150" s="1" nd="1"/>
        <i x="139" s="1" nd="1"/>
        <i x="111" s="1" nd="1"/>
        <i x="117" s="1" nd="1"/>
        <i x="127" s="1" nd="1"/>
        <i x="157" s="1" nd="1"/>
        <i x="106" s="1" nd="1"/>
        <i x="131" s="1" nd="1"/>
        <i x="148" s="1" nd="1"/>
        <i x="137" s="1" nd="1"/>
        <i x="213" s="1" nd="1"/>
        <i x="206" s="1" nd="1"/>
        <i x="187" s="1" nd="1"/>
        <i x="268" s="1" nd="1"/>
        <i x="270" s="1" nd="1"/>
        <i x="266" s="1" nd="1"/>
        <i x="267" s="1" nd="1"/>
        <i x="269" s="1" nd="1"/>
        <i x="118" s="1" nd="1"/>
        <i x="164" s="1" nd="1"/>
        <i x="181" s="1" nd="1"/>
        <i x="182" s="1" nd="1"/>
        <i x="180" s="1" nd="1"/>
        <i x="171" s="1" nd="1"/>
        <i x="186" s="1" nd="1"/>
        <i x="2" s="1" nd="1"/>
        <i x="81" s="1" nd="1"/>
        <i x="43" s="1" nd="1"/>
        <i x="240" s="1" nd="1"/>
        <i x="204" s="1" nd="1"/>
        <i x="250" s="1" nd="1"/>
        <i x="255" s="1" nd="1"/>
        <i x="259" s="1" nd="1"/>
        <i x="239" s="1" nd="1"/>
        <i x="241" s="1" nd="1"/>
        <i x="211" s="1" nd="1"/>
        <i x="210" s="1" nd="1"/>
        <i x="245" s="1" nd="1"/>
        <i x="147" s="1" nd="1"/>
        <i x="42" s="1" nd="1"/>
        <i x="76" s="1" nd="1"/>
        <i x="136" s="1" nd="1"/>
        <i x="41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0000000-0014-0000-FFFF-FFFF01000000}" cache="Slicer_Date" caption="Date" rowHeight="230716"/>
  <slicer name="Finacial Year" xr10:uid="{00000000-0014-0000-FFFF-FFFF02000000}" cache="Slicer_Finacial_Year" caption="Finacial Year" rowHeight="230716"/>
  <slicer name="Calendor Year" xr10:uid="{00000000-0014-0000-FFFF-FFFF03000000}" cache="Slicer_Calendor_Year" caption="Calendor Year" rowHeight="230716"/>
  <slicer name="Month" xr10:uid="{00000000-0014-0000-FFFF-FFFF04000000}" cache="Slicer_Month" caption="Month" rowHeight="230716"/>
  <slicer name="Operating Year" xr10:uid="{00000000-0014-0000-FFFF-FFFF05000000}" cache="Slicer_Operating_Year" caption="Operating Year" rowHeight="230716"/>
  <slicer name="Affected WTG" xr10:uid="{00000000-0014-0000-FFFF-FFFF06000000}" cache="Slicer_Affected_WTG" caption="Affected WTG" rowHeight="230716"/>
  <slicer name="Error Text" xr10:uid="{00000000-0014-0000-FFFF-FFFF07000000}" cache="Slicer_Error_Text" caption="Error Text"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80D9381-7091-4537-B4AE-C325347E0261}" name="Table13" displayName="Table13" ref="A1:AS369" totalsRowShown="0" headerRowDxfId="389" totalsRowDxfId="388" headerRowBorderDxfId="386" tableBorderDxfId="387" totalsRowBorderDxfId="385">
  <autoFilter ref="A1:AS369" xr:uid="{3B203726-2095-49D8-A694-A659B4A14C0A}"/>
  <tableColumns count="45">
    <tableColumn id="1" xr3:uid="{AC3ABD98-75D2-4582-B623-8D21C5F487DB}" name="Date" dataDxfId="383" totalsRowDxfId="384" dataCellStyle="Normal 26"/>
    <tableColumn id="2" xr3:uid="{AE12600E-6A58-426A-AE7A-0EA1D6D50FEB}" name="Financial Year" dataDxfId="381" totalsRowDxfId="382" dataCellStyle="Normal 26">
      <calculatedColumnFormula>YEAR(Table13[[#This Row],[Date]])+IF(MONTH(Table13[[#This Row],[Date]])&gt;=4,1,0)</calculatedColumnFormula>
    </tableColumn>
    <tableColumn id="3" xr3:uid="{3B7DF0EB-73EF-4B84-A0F0-967A6567AAD8}" name="Calendar Year" dataDxfId="379" totalsRowDxfId="380" dataCellStyle="Normal 26">
      <calculatedColumnFormula>YEAR(Table13[[#This Row],[Date]])</calculatedColumnFormula>
    </tableColumn>
    <tableColumn id="4" xr3:uid="{33EE5C98-2106-4920-9087-176A2E9499F5}" name="Month Year" dataDxfId="377" totalsRowDxfId="378" dataCellStyle="Normal 26">
      <calculatedColumnFormula>Table13[[#This Row],[Date]]-DAY(Table13[[#This Row],[Date]])+1</calculatedColumnFormula>
    </tableColumn>
    <tableColumn id="5" xr3:uid="{309D9189-9689-4C56-90B1-6A720ECABFE7}" name="Days" dataDxfId="375" totalsRowDxfId="376" dataCellStyle="Normal 26">
      <calculatedColumnFormula>DAY(EOMONTH(A2,0))</calculatedColumnFormula>
    </tableColumn>
    <tableColumn id="6" xr3:uid="{A40C93A6-18E6-4FFF-9809-94F158C9A482}" name="Operating Hours" dataDxfId="374" dataCellStyle="Percent 43"/>
    <tableColumn id="7" xr3:uid="{817A90A3-B44C-4B1C-A295-5BE26E74D036}" name="GHI-UP (KWh/m2)" dataDxfId="372" totalsRowDxfId="373" dataCellStyle="Percent 43"/>
    <tableColumn id="8" xr3:uid="{C3004E13-246D-40AE-ABA4-084A45E50F25}" name="GHI-Down(KWh/m2)" dataDxfId="370" totalsRowDxfId="371" dataCellStyle="Percent 43"/>
    <tableColumn id="9" xr3:uid="{0572E0E2-532A-434A-B608-A2CDF5FDB89B}" name="POA-UP(KWh/m2)" dataDxfId="368" totalsRowDxfId="369" dataCellStyle="Percent 43"/>
    <tableColumn id="10" xr3:uid="{B72B660B-30B6-481B-9EB4-5101A661AE6C}" name="POA-Down(KWh/m2)" dataDxfId="366" totalsRowDxfId="367" dataCellStyle="Percent 43"/>
    <tableColumn id="11" xr3:uid="{8E29DBE0-F45A-411B-B249-A73F226D2AEB}" name="Amb_Temp(°C)" dataDxfId="364" totalsRowDxfId="365" dataCellStyle="Percent 43"/>
    <tableColumn id="12" xr3:uid="{4E5D4AFC-3F73-460A-B892-44B44D34BF84}" name="Mod_Temp(°C)" dataDxfId="362" totalsRowDxfId="363" dataCellStyle="Percent 43"/>
    <tableColumn id="13" xr3:uid="{6619600E-B5E0-4203-9262-A709569C0B9C}" name="WS_Avg(m/s)" dataDxfId="360" totalsRowDxfId="361" dataCellStyle="Percent 43">
      <calculatedColumnFormula>IFERROR(_xlfn.XLOOKUP($A2,Input_Raw!$A:$A,Input_Raw!CG:CG),"")</calculatedColumnFormula>
    </tableColumn>
    <tableColumn id="14" xr3:uid="{739A885C-D4EA-4114-B4EA-D923ADBD0003}" name="WS_Max(m/s)" dataDxfId="358" totalsRowDxfId="359" dataCellStyle="Percent 43">
      <calculatedColumnFormula>IFERROR(_xlfn.XLOOKUP($A2,Input_Raw!$A:$A,Input_Raw!CH:CH),"")</calculatedColumnFormula>
    </tableColumn>
    <tableColumn id="15" xr3:uid="{03B07319-2335-4615-94A5-348B7323ECEE}" name="PA(%)" dataDxfId="356" totalsRowDxfId="357" dataCellStyle="Percent 43">
      <calculatedColumnFormula>IFERROR(P2*Q2,"")</calculatedColumnFormula>
    </tableColumn>
    <tableColumn id="16" xr3:uid="{9F5EFF93-DF1A-499F-A105-3EEA358BFB94}" name="MA (%)" dataDxfId="354" totalsRowDxfId="355" dataCellStyle="Percent 43">
      <calculatedColumnFormula>IFERROR(1-SUMIF(WTG_BD!$B:$B,$A2,WTG_BD!$AB:$AB)/($AA2+SUMIF(WTG_BD!$B:$B,$A2,WTG_BD!$AB:$AB)),"")</calculatedColumnFormula>
    </tableColumn>
    <tableColumn id="17" xr3:uid="{0CBB892E-409F-4D49-9600-9AF3544321E2}" name="IGA (%)" dataDxfId="353" dataCellStyle="Percent 43">
      <calculatedColumnFormula>IFERROR(1-SUMIF(IGA_BD!$B:$B,$A2,IGA_BD!$X:$X)/($AA2+SUMIF(IGA_BD!$B:$B,$A2,IGA_BD!$X:$X)),"")</calculatedColumnFormula>
    </tableColumn>
    <tableColumn id="18" xr3:uid="{3FC07FA2-E934-4C5C-9FCD-520F0458DEA5}" name="EGA(%)" dataDxfId="352" dataCellStyle="Percent">
      <calculatedColumnFormula>IFERROR(1-SUMIF(Grid_BD!$B:$B,$A2,Grid_BD!$V:$V)/($AA2+SUMIF(Grid_BD!$B:$B,$A2,Grid_BD!$V:$V)),"")</calculatedColumnFormula>
    </tableColumn>
    <tableColumn id="19" xr3:uid="{CCF758F8-D160-4388-A69A-657F596F26FC}" name="EMA (%)" dataDxfId="350" totalsRowDxfId="351"/>
    <tableColumn id="20" xr3:uid="{CC370C35-7BF1-48A2-A6C8-5F9A479115CC}" name="TA (%)" dataDxfId="348" totalsRowDxfId="349" dataCellStyle="Percent 43"/>
    <tableColumn id="21" xr3:uid="{ACBCAA42-6639-4255-A2E1-C528E248ECAD}" name="PR(%)" dataDxfId="346" totalsRowDxfId="347" dataCellStyle="Percent 43"/>
    <tableColumn id="22" xr3:uid="{F5326693-37E3-47B2-8E2B-E9FC9155A0AB}" name="WPR(%)" dataDxfId="344" totalsRowDxfId="345"/>
    <tableColumn id="23" xr3:uid="{5B9629D4-3C0B-4D5E-ACD1-944F977B15BB}" name="CUF(%)" dataDxfId="342" totalsRowDxfId="343" dataCellStyle="Percent 43">
      <calculatedColumnFormula>IFERROR(Table13[[#This Row],[Mtr_Net_Exp (KWh)]]/(24*AR2*1000),"")</calculatedColumnFormula>
    </tableColumn>
    <tableColumn id="24" xr3:uid="{3E0DE83D-827F-46C8-82DE-E57A81F3BD1A}" name="Gen_Exp (kWh)" dataDxfId="340" totalsRowDxfId="341">
      <calculatedColumnFormula>IFERROR(_xlfn.XLOOKUP($A2,Input_Raw!$A:$A,Input_Raw!$CF:$CF),"")</calculatedColumnFormula>
    </tableColumn>
    <tableColumn id="25" xr3:uid="{C4A6016D-E849-4610-89B5-AE52CCA585F0}" name="Mtr_Export (kWh)" dataDxfId="338" totalsRowDxfId="339">
      <calculatedColumnFormula>IFERROR(_xlfn.XLOOKUP($A2,Input_Raw!$A:$A,Input_Raw!$CZ:$CZ),"")</calculatedColumnFormula>
    </tableColumn>
    <tableColumn id="26" xr3:uid="{DD8F3C03-6E56-4C0B-8192-7121DE5F80BE}" name="Mtr_Import (kWh)" dataDxfId="336" totalsRowDxfId="337">
      <calculatedColumnFormula>IFERROR(_xlfn.XLOOKUP($A2,Input_Raw!$A:$A,Input_Raw!$DA:$DA),"")</calculatedColumnFormula>
    </tableColumn>
    <tableColumn id="27" xr3:uid="{E8744429-ED52-4FD6-9D6E-93494DD7676D}" name="Mtr_Net_Exp (KWh)" dataDxfId="334" totalsRowDxfId="335">
      <calculatedColumnFormula>IFERROR(Y2-Z2,"")</calculatedColumnFormula>
    </tableColumn>
    <tableColumn id="28" xr3:uid="{5351EE1B-C5E5-45F9-8A3C-3090EB4F8F00}" name="Operational Capacity (MW)" dataDxfId="332" totalsRowDxfId="333">
      <calculatedColumnFormula>IFERROR(_xlfn.XLOOKUP($A2,Input_Raw!$A:$A,Input_Raw!$DG:$DG),"")</calculatedColumnFormula>
    </tableColumn>
    <tableColumn id="29" xr3:uid="{19E214DF-B9EC-4D16-9BF9-60E4FBE2688A}" name="Bugt_Resource" dataDxfId="330" totalsRowDxfId="331">
      <calculatedColumnFormula>IFERROR(_xlfn.XLOOKUP($D2,'Modelling New'!$D:$D,'Modelling New'!$J:$J),"")</calculatedColumnFormula>
    </tableColumn>
    <tableColumn id="30" xr3:uid="{1FFAB7FA-C3DF-44B5-B1F6-7BF5CA55DA8E}" name="Bugt_Energy" dataDxfId="329">
      <calculatedColumnFormula>IFERROR(_xlfn.XLOOKUP($D2,'Modelling New'!$D:$D,'Modelling New'!$T:$T)*1000,"")</calculatedColumnFormula>
    </tableColumn>
    <tableColumn id="43" xr3:uid="{2CBF4F34-C61C-44F4-A343-1FCD272EB855}" name="Bugt PR" dataDxfId="327" totalsRowDxfId="328" dataCellStyle="Percent 43"/>
    <tableColumn id="42" xr3:uid="{3D468F67-441F-4B82-98D0-CE59D982CC40}" name="Bugt CUF" dataDxfId="325" totalsRowDxfId="326" dataCellStyle="Percent 43">
      <calculatedColumnFormula>IFERROR(_xlfn.XLOOKUP($D2,'Modelling New'!$D:$D,'Modelling New'!$W:$W),"")</calculatedColumnFormula>
    </tableColumn>
    <tableColumn id="31" xr3:uid="{575C0A5C-4326-4C28-A3A1-12CD36E489EF}" name="Bugt_PA" dataDxfId="323" totalsRowDxfId="324" dataCellStyle="Percent 43">
      <calculatedColumnFormula>IFERROR(_xlfn.XLOOKUP($D2,'Modelling New'!$D:$D,'Modelling New'!$AE:$AE),"")</calculatedColumnFormula>
    </tableColumn>
    <tableColumn id="32" xr3:uid="{AB86F7B4-46F2-48EA-8C0D-71A214CA26A9}" name="Bugt_EGA" dataDxfId="321" totalsRowDxfId="322" dataCellStyle="Percent 43">
      <calculatedColumnFormula>IFERROR(_xlfn.XLOOKUP($D2,'Modelling New'!$D:$D,'Modelling New'!$AF:$AF),"")</calculatedColumnFormula>
    </tableColumn>
    <tableColumn id="33" xr3:uid="{D44A5CAE-7ED1-4A93-BFEF-E6B04AFA6F97}" name="Expected Energy" dataDxfId="319" totalsRowDxfId="320">
      <calculatedColumnFormula>IFERROR(_xlfn.XLOOKUP($A2,Input_Raw!$A:$A,Input_Raw!$DE:$DE),"")</calculatedColumnFormula>
    </tableColumn>
    <tableColumn id="34" xr3:uid="{C32C7F92-FD11-4B0C-9BF8-3FAC460BEA06}" name="Actual Energy WPR" dataDxfId="317" totalsRowDxfId="318"/>
    <tableColumn id="35" xr3:uid="{896B94FF-779A-4C29-80B0-77D7E810FB01}" name="RA (%)" dataDxfId="315" totalsRowDxfId="316"/>
    <tableColumn id="36" xr3:uid="{5239203F-BCB7-4E84-941B-2A28FADB596A}" name="Mod Clean Dry (Num)" dataDxfId="313" totalsRowDxfId="314"/>
    <tableColumn id="37" xr3:uid="{9A55FF03-0C92-4807-A3C0-AA7BB3E1E678}" name="Mod Clean Wet (Num)" dataDxfId="311" totalsRowDxfId="312"/>
    <tableColumn id="38" xr3:uid="{BFE39E7D-94ED-40BE-BD0E-A6834D70844D}" name="Line Loss(%)" dataDxfId="309" totalsRowDxfId="310" dataCellStyle="Percent">
      <calculatedColumnFormula>IFERROR(_xlfn.XLOOKUP($A2,Input_Raw!$A:$A,Input_Raw!$DB:$DB),"")</calculatedColumnFormula>
    </tableColumn>
    <tableColumn id="39" xr3:uid="{6F2E99AC-3E10-4847-80B1-E454DF7A5317}" name="Reactive Power (%)" dataDxfId="308" dataCellStyle="Percent 43">
      <calculatedColumnFormula>IFERROR((_xlfn.XLOOKUP($A2,'WTG Reactive Power'!$A:$A,'WTG Reactive Power'!$AR:$AR))/X2/1000,"")</calculatedColumnFormula>
    </tableColumn>
    <tableColumn id="40" xr3:uid="{94EF6993-3780-4013-B832-4050720A56E9}" name="Bugt Line loss (%) (Wind)" dataDxfId="306" totalsRowDxfId="307" dataCellStyle="Percent 43">
      <calculatedColumnFormula>IFERROR(_xlfn.XLOOKUP($D2,'Modelling New'!$D:$D,'Modelling New'!$AK:$AK),"")</calculatedColumnFormula>
    </tableColumn>
    <tableColumn id="41" xr3:uid="{ADCBE4A1-5D0E-4F97-9881-BD238E97EBC7}" name="Bugt Reactive Power (%) (Wind)" dataDxfId="304" totalsRowDxfId="305" dataCellStyle="Percent 43">
      <calculatedColumnFormula>IFERROR(_xlfn.XLOOKUP($D2,'Modelling New'!$D:$D,'Modelling New'!$AL:$AL),"")</calculatedColumnFormula>
    </tableColumn>
    <tableColumn id="44" xr3:uid="{D081797F-6A13-4377-AD22-D00F4F3F47B8}" name="Bugt Capacity" dataDxfId="302" totalsRowDxfId="303">
      <calculatedColumnFormula>IFERROR(_xlfn.XLOOKUP($D2,'Modelling New'!$D:$D,'Modelling New'!$N:$N),"")</calculatedColumnFormula>
    </tableColumn>
    <tableColumn id="45" xr3:uid="{2141F03A-98E6-4E7F-A56D-72C24C630C9C}" name="CC*Bugt" totalsRowDxfId="301"/>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4:DH144" totalsRowShown="0" headerRowDxfId="298" dataDxfId="297" headerRowBorderDxfId="295" tableBorderDxfId="296" totalsRowBorderDxfId="294">
  <tableColumns count="112">
    <tableColumn id="5" xr3:uid="{00000000-0010-0000-0100-000005000000}" name="Date" dataDxfId="293"/>
    <tableColumn id="1" xr3:uid="{00000000-0010-0000-0100-000001000000}" name="Finacial Year" dataDxfId="292">
      <calculatedColumnFormula>YEAR(Input_Raw[[#This Row],[Date]])+IF(MONTH(Input_Raw[[#This Row],[Date]])&gt;=4,1,0)</calculatedColumnFormula>
    </tableColumn>
    <tableColumn id="2" xr3:uid="{00000000-0010-0000-0100-000002000000}" name="Calendor Year" dataDxfId="291">
      <calculatedColumnFormula>YEAR(Input_Raw[[#This Row],[Date]])</calculatedColumnFormula>
    </tableColumn>
    <tableColumn id="3" xr3:uid="{00000000-0010-0000-0100-000003000000}" name="Month Year" dataDxfId="290">
      <calculatedColumnFormula>A5-DAY(A5)+1</calculatedColumnFormula>
    </tableColumn>
    <tableColumn id="4" xr3:uid="{00000000-0010-0000-0100-000004000000}" name="Days" dataDxfId="289">
      <calculatedColumnFormula>DAY(EOMONTH(Input_Raw[[#This Row],[Date]],0))</calculatedColumnFormula>
    </tableColumn>
    <tableColumn id="6" xr3:uid="{00000000-0010-0000-0100-000006000000}" name="G01" dataDxfId="288"/>
    <tableColumn id="7" xr3:uid="{00000000-0010-0000-0100-000007000000}" name="G02" dataDxfId="287"/>
    <tableColumn id="8" xr3:uid="{00000000-0010-0000-0100-000008000000}" name="G03" dataDxfId="286"/>
    <tableColumn id="9" xr3:uid="{00000000-0010-0000-0100-000009000000}" name="G04" dataDxfId="285"/>
    <tableColumn id="10" xr3:uid="{00000000-0010-0000-0100-00000A000000}" name="G05" dataDxfId="284"/>
    <tableColumn id="11" xr3:uid="{00000000-0010-0000-0100-00000B000000}" name="G06" dataDxfId="283"/>
    <tableColumn id="12" xr3:uid="{00000000-0010-0000-0100-00000C000000}" name="G07" dataDxfId="282"/>
    <tableColumn id="13" xr3:uid="{00000000-0010-0000-0100-00000D000000}" name="G08" dataDxfId="281"/>
    <tableColumn id="14" xr3:uid="{00000000-0010-0000-0100-00000E000000}" name="G09" dataDxfId="280"/>
    <tableColumn id="15" xr3:uid="{00000000-0010-0000-0100-00000F000000}" name="G10" dataDxfId="279"/>
    <tableColumn id="16" xr3:uid="{00000000-0010-0000-0100-000010000000}" name="G11" dataDxfId="278"/>
    <tableColumn id="17" xr3:uid="{00000000-0010-0000-0100-000011000000}" name="G12" dataDxfId="277"/>
    <tableColumn id="18" xr3:uid="{00000000-0010-0000-0100-000012000000}" name="G13" dataDxfId="276"/>
    <tableColumn id="19" xr3:uid="{00000000-0010-0000-0100-000013000000}" name="G14" dataDxfId="275"/>
    <tableColumn id="20" xr3:uid="{00000000-0010-0000-0100-000014000000}" name="G15" dataDxfId="274"/>
    <tableColumn id="21" xr3:uid="{00000000-0010-0000-0100-000015000000}" name="G16" dataDxfId="273"/>
    <tableColumn id="22" xr3:uid="{00000000-0010-0000-0100-000016000000}" name="G17" dataDxfId="272"/>
    <tableColumn id="23" xr3:uid="{00000000-0010-0000-0100-000017000000}" name="G18" dataDxfId="271"/>
    <tableColumn id="24" xr3:uid="{00000000-0010-0000-0100-000018000000}" name="G19" dataDxfId="270"/>
    <tableColumn id="25" xr3:uid="{00000000-0010-0000-0100-000019000000}" name="G20" dataDxfId="269"/>
    <tableColumn id="26" xr3:uid="{00000000-0010-0000-0100-00001A000000}" name="G21" dataDxfId="268"/>
    <tableColumn id="27" xr3:uid="{00000000-0010-0000-0100-00001B000000}" name="G22" dataDxfId="267"/>
    <tableColumn id="28" xr3:uid="{00000000-0010-0000-0100-00001C000000}" name="G23" dataDxfId="266"/>
    <tableColumn id="79" xr3:uid="{00000000-0010-0000-0100-00004F000000}" name="G25" dataDxfId="265"/>
    <tableColumn id="80" xr3:uid="{00000000-0010-0000-0100-000050000000}" name="G26" dataDxfId="264"/>
    <tableColumn id="81" xr3:uid="{00000000-0010-0000-0100-000051000000}" name="G27" dataDxfId="263"/>
    <tableColumn id="82" xr3:uid="{00000000-0010-0000-0100-000052000000}" name="G28" dataDxfId="262"/>
    <tableColumn id="83" xr3:uid="{00000000-0010-0000-0100-000053000000}" name="G29" dataDxfId="261"/>
    <tableColumn id="84" xr3:uid="{00000000-0010-0000-0100-000054000000}" name="G30" dataDxfId="260"/>
    <tableColumn id="85" xr3:uid="{00000000-0010-0000-0100-000055000000}" name="G31" dataDxfId="259"/>
    <tableColumn id="110" xr3:uid="{00000000-0010-0000-0100-00006E000000}" name="G32" dataDxfId="258"/>
    <tableColumn id="111" xr3:uid="{00000000-0010-0000-0100-00006F000000}" name="G33" dataDxfId="257"/>
    <tableColumn id="112" xr3:uid="{00000000-0010-0000-0100-000070000000}" name="G34" dataDxfId="256"/>
    <tableColumn id="113" xr3:uid="{00000000-0010-0000-0100-000071000000}" name="G35" dataDxfId="255"/>
    <tableColumn id="114" xr3:uid="{00000000-0010-0000-0100-000072000000}" name="G36" dataDxfId="254"/>
    <tableColumn id="115" xr3:uid="{00000000-0010-0000-0100-000073000000}" name="G37" dataDxfId="253"/>
    <tableColumn id="116" xr3:uid="{00000000-0010-0000-0100-000074000000}" name="G38" dataDxfId="252"/>
    <tableColumn id="117" xr3:uid="{00000000-0010-0000-0100-000075000000}" name="G39" dataDxfId="251"/>
    <tableColumn id="118" xr3:uid="{00000000-0010-0000-0100-000076000000}" name="G40" dataDxfId="250"/>
    <tableColumn id="29" xr3:uid="{00000000-0010-0000-0100-00001D000000}" name="WS_G01" dataDxfId="249"/>
    <tableColumn id="30" xr3:uid="{00000000-0010-0000-0100-00001E000000}" name="WS_G02" dataDxfId="248"/>
    <tableColumn id="31" xr3:uid="{00000000-0010-0000-0100-00001F000000}" name="WS_G03" dataDxfId="247"/>
    <tableColumn id="32" xr3:uid="{00000000-0010-0000-0100-000020000000}" name="WS_G04" dataDxfId="246"/>
    <tableColumn id="33" xr3:uid="{00000000-0010-0000-0100-000021000000}" name="WS_G05" dataDxfId="245"/>
    <tableColumn id="34" xr3:uid="{00000000-0010-0000-0100-000022000000}" name="WS_G06" dataDxfId="244"/>
    <tableColumn id="35" xr3:uid="{00000000-0010-0000-0100-000023000000}" name="WS_G07" dataDxfId="243"/>
    <tableColumn id="36" xr3:uid="{00000000-0010-0000-0100-000024000000}" name="WS_G08" dataDxfId="242"/>
    <tableColumn id="37" xr3:uid="{00000000-0010-0000-0100-000025000000}" name="WS_G09" dataDxfId="241"/>
    <tableColumn id="38" xr3:uid="{00000000-0010-0000-0100-000026000000}" name="WS_G10" dataDxfId="240"/>
    <tableColumn id="39" xr3:uid="{00000000-0010-0000-0100-000027000000}" name="WS_G11" dataDxfId="239"/>
    <tableColumn id="40" xr3:uid="{00000000-0010-0000-0100-000028000000}" name="WS_G12" dataDxfId="238"/>
    <tableColumn id="41" xr3:uid="{00000000-0010-0000-0100-000029000000}" name="WS_G13" dataDxfId="237"/>
    <tableColumn id="42" xr3:uid="{00000000-0010-0000-0100-00002A000000}" name="WS_G14" dataDxfId="236"/>
    <tableColumn id="43" xr3:uid="{00000000-0010-0000-0100-00002B000000}" name="WS_G15" dataDxfId="235"/>
    <tableColumn id="44" xr3:uid="{00000000-0010-0000-0100-00002C000000}" name="WS_G16" dataDxfId="234"/>
    <tableColumn id="45" xr3:uid="{00000000-0010-0000-0100-00002D000000}" name="WS_G17" dataDxfId="233"/>
    <tableColumn id="46" xr3:uid="{00000000-0010-0000-0100-00002E000000}" name="WS_G18" dataDxfId="232"/>
    <tableColumn id="47" xr3:uid="{00000000-0010-0000-0100-00002F000000}" name="WS_G19" dataDxfId="231"/>
    <tableColumn id="48" xr3:uid="{00000000-0010-0000-0100-000030000000}" name="WS_G20" dataDxfId="230"/>
    <tableColumn id="49" xr3:uid="{00000000-0010-0000-0100-000031000000}" name="WS_G21" dataDxfId="229"/>
    <tableColumn id="50" xr3:uid="{00000000-0010-0000-0100-000032000000}" name="WS_G22" dataDxfId="228"/>
    <tableColumn id="51" xr3:uid="{00000000-0010-0000-0100-000033000000}" name="WS_G23" dataDxfId="227"/>
    <tableColumn id="120" xr3:uid="{00000000-0010-0000-0100-000078000000}" name="WS_G25" dataDxfId="226"/>
    <tableColumn id="121" xr3:uid="{00000000-0010-0000-0100-000079000000}" name="WS_G26" dataDxfId="225"/>
    <tableColumn id="122" xr3:uid="{00000000-0010-0000-0100-00007A000000}" name="WS_G27" dataDxfId="224"/>
    <tableColumn id="123" xr3:uid="{00000000-0010-0000-0100-00007B000000}" name="WS_G28" dataDxfId="223"/>
    <tableColumn id="124" xr3:uid="{00000000-0010-0000-0100-00007C000000}" name="WS_G29" dataDxfId="222"/>
    <tableColumn id="125" xr3:uid="{00000000-0010-0000-0100-00007D000000}" name="WS_G30" dataDxfId="221"/>
    <tableColumn id="126" xr3:uid="{00000000-0010-0000-0100-00007E000000}" name="WS_G31" dataDxfId="220"/>
    <tableColumn id="127" xr3:uid="{00000000-0010-0000-0100-00007F000000}" name="WS_G32" dataDxfId="219"/>
    <tableColumn id="128" xr3:uid="{00000000-0010-0000-0100-000080000000}" name="WS_G33" dataDxfId="218"/>
    <tableColumn id="129" xr3:uid="{00000000-0010-0000-0100-000081000000}" name="WS_G34" dataDxfId="217"/>
    <tableColumn id="130" xr3:uid="{00000000-0010-0000-0100-000082000000}" name="WS_G35" dataDxfId="216"/>
    <tableColumn id="131" xr3:uid="{00000000-0010-0000-0100-000083000000}" name="WS_G36" dataDxfId="215"/>
    <tableColumn id="132" xr3:uid="{00000000-0010-0000-0100-000084000000}" name="WS_G37" dataDxfId="214"/>
    <tableColumn id="133" xr3:uid="{00000000-0010-0000-0100-000085000000}" name="WS_G38" dataDxfId="213"/>
    <tableColumn id="134" xr3:uid="{00000000-0010-0000-0100-000086000000}" name="WS_G39" dataDxfId="212"/>
    <tableColumn id="135" xr3:uid="{00000000-0010-0000-0100-000087000000}" name="WS_G40" dataDxfId="211"/>
    <tableColumn id="106" xr3:uid="{00000000-0010-0000-0100-00006A000000}" name="WTG Total Gneration (KWh)" dataDxfId="210">
      <calculatedColumnFormula>SUM(Input_Raw[[#This Row],[G01]:[G40]])</calculatedColumnFormula>
    </tableColumn>
    <tableColumn id="107" xr3:uid="{00000000-0010-0000-0100-00006B000000}" name="Wind Speed Average cumulative (m/S)2" dataDxfId="209">
      <calculatedColumnFormula>IFERROR(AVERAGE(Input_Raw[[#This Row],[WS_G01]:[WS_G40]]),"")</calculatedColumnFormula>
    </tableColumn>
    <tableColumn id="108" xr3:uid="{00000000-0010-0000-0100-00006C000000}" name="Wind Speed Max (m/S)" dataDxfId="208"/>
    <tableColumn id="109" xr3:uid="{00000000-0010-0000-0100-00006D000000}" name="Rain (mm)" dataDxfId="207"/>
    <tableColumn id="52" xr3:uid="{00000000-0010-0000-0100-000034000000}" name="33 kV_Wind_F1_Export reading" dataDxfId="206"/>
    <tableColumn id="145" xr3:uid="{00000000-0010-0000-0100-000091000000}" name="33 kV_Wind_F1_Import reading" dataDxfId="205"/>
    <tableColumn id="53" xr3:uid="{00000000-0010-0000-0100-000035000000}" name="33 kV_Wind_F2_Export_reading" dataDxfId="204"/>
    <tableColumn id="146" xr3:uid="{00000000-0010-0000-0100-000092000000}" name="33 kV_Wind_F2_Import_reading" dataDxfId="203"/>
    <tableColumn id="54" xr3:uid="{00000000-0010-0000-0100-000036000000}" name="33 kV_Wind_F3_Export_Reading" dataDxfId="202"/>
    <tableColumn id="147" xr3:uid="{00000000-0010-0000-0100-000093000000}" name="33 kV_Wind_F3_Import_Reading" dataDxfId="201"/>
    <tableColumn id="55" xr3:uid="{00000000-0010-0000-0100-000037000000}" name="33 kV_Wind_F4_Export Reading" dataDxfId="200"/>
    <tableColumn id="148" xr3:uid="{00000000-0010-0000-0100-000094000000}" name="33 kV_Wind_F4_Import Reading" dataDxfId="199"/>
    <tableColumn id="86" xr3:uid="{00000000-0010-0000-0100-000056000000}" name="33 kV_F1_Total_Export (KWh)" dataDxfId="198" dataCellStyle="Normal 26">
      <calculatedColumnFormula>(Input_Raw[[#This Row],[33 kV_Wind_F1_Export reading]]-CJ4)*1200</calculatedColumnFormula>
    </tableColumn>
    <tableColumn id="149" xr3:uid="{00000000-0010-0000-0100-000095000000}" name="33 kV_Wind_F1_Import (KWh)" dataDxfId="197" dataCellStyle="Normal 26"/>
    <tableColumn id="151" xr3:uid="{00000000-0010-0000-0100-000097000000}" name="33 kV_F2_Total_Export (KWh)2" dataDxfId="196" dataCellStyle="Normal 26"/>
    <tableColumn id="152" xr3:uid="{00000000-0010-0000-0100-000098000000}" name="33 kV_Wind_F2_Import (KWh)" dataDxfId="195" dataCellStyle="Normal 26"/>
    <tableColumn id="153" xr3:uid="{00000000-0010-0000-0100-000099000000}" name="33 kV_Wind_F3_Export (KWh)" dataDxfId="194" dataCellStyle="Normal 26"/>
    <tableColumn id="154" xr3:uid="{00000000-0010-0000-0100-00009A000000}" name="33 kV_Wind_F3_Import (KWh)2" dataDxfId="193" dataCellStyle="Normal 26"/>
    <tableColumn id="155" xr3:uid="{00000000-0010-0000-0100-00009B000000}" name="33 kV_Wind_F4_Export (KWh)" dataDxfId="192" dataCellStyle="Normal 26"/>
    <tableColumn id="156" xr3:uid="{00000000-0010-0000-0100-00009C000000}" name="33 kV_Wind_F4_Import (KWh)2" dataDxfId="191" dataCellStyle="Normal 26"/>
    <tableColumn id="157" xr3:uid="{00000000-0010-0000-0100-00009D000000}" name="33 kV_Wind_Total_Export (KWh)" dataDxfId="190" dataCellStyle="Normal 26">
      <calculatedColumnFormula>Input_Raw[[#This Row],[33 kV_F1_Total_Export (KWh)]]+Input_Raw[[#This Row],[33 kV_F2_Total_Export (KWh)2]]+Input_Raw[[#This Row],[33 kV_Wind_F3_Export (KWh)]]+Input_Raw[[#This Row],[33 kV_Wind_F4_Export (KWh)]]</calculatedColumnFormula>
    </tableColumn>
    <tableColumn id="158" xr3:uid="{00000000-0010-0000-0100-00009E000000}" name="33 kV_Wind_Total_Import (KWh)" dataDxfId="189" dataCellStyle="Normal 26">
      <calculatedColumnFormula>Input_Raw[[#This Row],[33 kV_Wind_F1_Import (KWh)]]+Input_Raw[[#This Row],[33 kV_Wind_F2_Import (KWh)]]+Input_Raw[[#This Row],[33 kV_Wind_F3_Import (KWh)2]]+Input_Raw[[#This Row],[33 kV_Wind_F4_Import (KWh)2]]</calculatedColumnFormula>
    </tableColumn>
    <tableColumn id="105" xr3:uid="{00000000-0010-0000-0100-000069000000}" name="33 kV Line Loss (%)" dataDxfId="188">
      <calculatedColumnFormula>IFERROR(#REF!/Input_Raw[[#This Row],[WTG Total Gneration (KWh)]]-1,"")</calculatedColumnFormula>
    </tableColumn>
    <tableColumn id="56" xr3:uid="{00000000-0010-0000-0100-000038000000}" name="Forecasting Data count received on Forecasting Portal" dataDxfId="187" dataCellStyle="Normal 26"/>
    <tableColumn id="57" xr3:uid="{00000000-0010-0000-0100-000039000000}" name="Forecasting Penalties (INR)" dataDxfId="186" dataCellStyle="Normal 26"/>
    <tableColumn id="58" xr3:uid="{00000000-0010-0000-0100-00003A000000}" name="Expected Energy As Per Power Curve  (MWh)" dataDxfId="185"/>
    <tableColumn id="59" xr3:uid="{45EB7B0C-FCA4-4200-9B6D-3BE20AEBB825}" name="Reactive Energy (MVArH)" dataDxfId="184"/>
    <tableColumn id="60" xr3:uid="{B882E9A7-BD2F-46BB-A2E4-FEB19DA2C282}" name="Operational Capacity" dataDxfId="183"/>
    <tableColumn id="61" xr3:uid="{F18A1240-D45D-47F8-90FE-07EA4A241D4B}" name="Column1" dataDxfId="18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1CE53B8-AB04-40C1-997B-A4CCB0C82A0F}" name="Table14" displayName="Table14" ref="A1:AN61" totalsRowShown="0" headerRowDxfId="181" dataDxfId="180" headerRowBorderDxfId="178" tableBorderDxfId="179" totalsRowBorderDxfId="177">
  <tableColumns count="40">
    <tableColumn id="1" xr3:uid="{E1AA9795-3804-4583-8B4E-46730556DEDB}" name="Sr. No." dataDxfId="176"/>
    <tableColumn id="2" xr3:uid="{9E23B903-2554-4616-9932-98F644CE3491}" name="Month Name" dataDxfId="175" dataCellStyle="Comma 42"/>
    <tableColumn id="3" xr3:uid="{5C3447DE-6C05-4333-BC66-1C88DE5925BD}" name="Month Number" dataDxfId="174"/>
    <tableColumn id="4" xr3:uid="{E8F67060-F022-455F-8630-F9155FD20001}" name="Month" dataDxfId="173" dataCellStyle="Comma 42"/>
    <tableColumn id="5" xr3:uid="{95352203-B85E-4A4B-9822-1ECFD14627C9}" name="CY" dataDxfId="172">
      <calculatedColumnFormula>YEAR(D2)</calculatedColumnFormula>
    </tableColumn>
    <tableColumn id="6" xr3:uid="{9B2AA251-4DE5-4BE9-850E-4CA0A0A76017}" name="FY" dataDxfId="171"/>
    <tableColumn id="7" xr3:uid="{CE450720-6890-4E25-877D-9BD864DBF55E}" name="No. of Days in Month" dataDxfId="170">
      <calculatedColumnFormula>DAY(EOMONTH(D2,0))</calculatedColumnFormula>
    </tableColumn>
    <tableColumn id="8" xr3:uid="{A5C69865-2F0D-4BFE-B0FB-B8D049BF63F1}" name="GHI" dataDxfId="169"/>
    <tableColumn id="9" xr3:uid="{B0213999-07EB-450D-AF60-1CA5A04802AC}" name="POA" dataDxfId="168"/>
    <tableColumn id="10" xr3:uid="{C8B5BC69-55F4-4E82-BF83-DDE4BF05FB78}" name="WS" dataDxfId="167"/>
    <tableColumn id="11" xr3:uid="{0F111C6B-FD4C-47C4-A415-A313B9445CA7}" name="Tamb" dataDxfId="166"/>
    <tableColumn id="12" xr3:uid="{385CAFED-7AF9-46FE-9DB3-E0B81E3CBBEE}" name="Tmod" dataDxfId="165"/>
    <tableColumn id="13" xr3:uid="{E90687D9-CDF8-4A27-ACC4-03D5BDA424FA}" name="Egrid (MWh)" dataDxfId="164"/>
    <tableColumn id="14" xr3:uid="{C48D2E87-4922-4A99-9CC2-5507E89ED533}" name="Bugt_Capacity" dataDxfId="163"/>
    <tableColumn id="15" xr3:uid="{B5D015EA-3880-457C-B47E-EAD301AC03F3}" name="PR" dataDxfId="162"/>
    <tableColumn id="16" xr3:uid="{0BF5D0A4-DD65-4ACC-AE3E-A75031B43D8F}" name="Daily POA" dataDxfId="161"/>
    <tableColumn id="17" xr3:uid="{4232A9A7-5EA5-4E87-B60A-15985EDDBB9E}" name="Days Operated" dataDxfId="160">
      <calculatedColumnFormula>COUNTIFS('Daily KPI'!$D:$D,D2,'Daily KPI'!$M:$M,"&gt;0")</calculatedColumnFormula>
    </tableColumn>
    <tableColumn id="18" xr3:uid="{51B9ABAA-1597-4F4A-8253-6D63A4D3A0CC}" name="MTD POA" dataDxfId="159"/>
    <tableColumn id="27" xr3:uid="{6AF41C3A-5FFF-472A-91BD-F6F3579E771C}" name="YTD POA" dataDxfId="158"/>
    <tableColumn id="19" xr3:uid="{173FC5D9-0D27-46B6-A552-513B97DDB4FB}" name="Daily Energy (MWh)" dataDxfId="157">
      <calculatedColumnFormula>M2/G2</calculatedColumnFormula>
    </tableColumn>
    <tableColumn id="20" xr3:uid="{AAF5781B-73C7-4B05-91F4-CFDF9CF000F2}" name="MTD Energy (MWh)" dataDxfId="156">
      <calculatedColumnFormula>M2/G2*Q2</calculatedColumnFormula>
    </tableColumn>
    <tableColumn id="28" xr3:uid="{7C366C19-CF86-4EE5-A9C3-C9C9E861A7E8}" name="YTD Energy (MWh)" dataDxfId="155">
      <calculatedColumnFormula>SUMIF($F$2:F2,F2,$U$2:U2)</calculatedColumnFormula>
    </tableColumn>
    <tableColumn id="38" xr3:uid="{1325F146-1FA0-4697-AC7F-ADF1C28F38D7}" name="Bugt CUF (%)" dataDxfId="154" dataCellStyle="Percent">
      <calculatedColumnFormula>IFERROR(T2/(24*N2),"")</calculatedColumnFormula>
    </tableColumn>
    <tableColumn id="37" xr3:uid="{29786BB7-0C3D-4FE8-8AC2-8844304AB764}" name="Bugt CUF (%) MTD" dataDxfId="153" dataCellStyle="Percent">
      <calculatedColumnFormula>IFERROR(U2/(24*N2*Q2),"")</calculatedColumnFormula>
    </tableColumn>
    <tableColumn id="36" xr3:uid="{468E0A2C-DD21-48DC-9E6F-079329174AE0}" name="Bugt CUF (%)YTD" dataDxfId="152" dataCellStyle="Percent">
      <calculatedColumnFormula>IFERROR(V2/(24*N2*SUMIFS($Q:$Q,$F:$F,$F2,$D:$D,"&lt;="&amp;D2)),"")</calculatedColumnFormula>
    </tableColumn>
    <tableColumn id="21" xr3:uid="{1C626EC1-BD1E-466E-A7DE-A7024C36A2BD}" name="Ave. Cap MTD" dataDxfId="151">
      <calculatedColumnFormula>IFERROR(AVERAGEIF('Daily KPI'!D:D,Table14[[#This Row],[Month]],'Daily KPI'!AB:AB),"")</calculatedColumnFormula>
    </tableColumn>
    <tableColumn id="29" xr3:uid="{9DB5FA5A-CFBA-4E9F-9391-745AB2029D93}" name="Ave. Cap YTD" dataDxfId="150">
      <calculatedColumnFormula>IFERROR(AVERAGEIF($F$2:F2,F2,$Z$2:Z2),"")</calculatedColumnFormula>
    </tableColumn>
    <tableColumn id="22" xr3:uid="{C4F7D6F8-81AC-46DF-B3DD-CA545D757096}" name="CC Energy MTD" dataDxfId="149"/>
    <tableColumn id="31" xr3:uid="{94683812-9761-4404-80FC-8264E9B49726}" name="WS MTD" dataDxfId="148"/>
    <tableColumn id="23" xr3:uid="{96B0CB3F-D1BB-4636-B424-847ADE427B13}" name="WS YTD" dataDxfId="147">
      <calculatedColumnFormula>AVERAGEIF($F$2:F2,F2,$AC$2:AC2)</calculatedColumnFormula>
    </tableColumn>
    <tableColumn id="24" xr3:uid="{72D0EEE5-75DB-4D96-9E27-FE2815765996}" name="Bugt PA" dataDxfId="146" dataCellStyle="Percent 43">
      <calculatedColumnFormula>IFERROR(AH2*AI2,"")</calculatedColumnFormula>
    </tableColumn>
    <tableColumn id="25" xr3:uid="{75139D73-ACC8-4980-A26E-5023674A2EA5}" name="Bugt EGA" dataDxfId="145" dataCellStyle="Percent 43"/>
    <tableColumn id="35" xr3:uid="{9391FCF3-B060-4BB6-A10E-FD9A351D153E}" name="Bugt TA" dataDxfId="144" dataCellStyle="Percent"/>
    <tableColumn id="26" xr3:uid="{8B5AE488-62F8-4F64-B74B-424DFCDD8576}" name="Bugt MA" dataDxfId="143" dataCellStyle="Percent"/>
    <tableColumn id="30" xr3:uid="{855EB78D-1C9F-419C-993A-1B7C9DA78F90}" name="Bugt IGA" dataDxfId="142" dataCellStyle="Percent"/>
    <tableColumn id="32" xr3:uid="{649BEC9A-0822-4AE7-BE4C-6B281BD95D9A}" name="Corelation" dataDxfId="141" dataCellStyle="Percent"/>
    <tableColumn id="33" xr3:uid="{FFB69321-1883-433A-9307-4552563D9C42}" name="Bugt Line loss" dataDxfId="140" dataCellStyle="Percent"/>
    <tableColumn id="34" xr3:uid="{29B1EF0B-AF67-46A7-BF21-8C633732C368}" name="Bugt Reactive Power" dataDxfId="139" dataCellStyle="Percent"/>
    <tableColumn id="39" xr3:uid="{6532083B-4EEB-4D84-BFBA-C41587DCA37E}" name="Bugt Capacity" dataDxfId="138" dataCellStyle="Percent"/>
    <tableColumn id="40" xr3:uid="{AE8FF153-DF1D-4118-B552-696C5B6B5E80}" name="CC*Bugt" dataDxfId="137" dataCellStyle="Percent"/>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WTG_BD" displayName="WTG_BD" ref="A1:AD1060" totalsRowShown="0" headerRowDxfId="134" headerRowBorderDxfId="132" tableBorderDxfId="133" totalsRowBorderDxfId="131">
  <autoFilter ref="A1:AD1060" xr:uid="{00000000-000C-0000-FFFF-FFFF02000000}"/>
  <tableColumns count="30">
    <tableColumn id="1" xr3:uid="{00000000-0010-0000-0200-000001000000}" name="Sr. No." dataDxfId="130"/>
    <tableColumn id="6" xr3:uid="{00000000-0010-0000-0200-000006000000}" name="Date" dataDxfId="129"/>
    <tableColumn id="2" xr3:uid="{00000000-0010-0000-0200-000002000000}" name="Finacial Year" dataDxfId="128"/>
    <tableColumn id="3" xr3:uid="{00000000-0010-0000-0200-000003000000}" name="Calendor Year" dataDxfId="127"/>
    <tableColumn id="24" xr3:uid="{00000000-0010-0000-0200-000018000000}" name="Month" dataDxfId="126">
      <calculatedColumnFormula>B2-DAY(B2)+1</calculatedColumnFormula>
    </tableColumn>
    <tableColumn id="5" xr3:uid="{00000000-0010-0000-0200-000005000000}" name="Operating Year" dataDxfId="125"/>
    <tableColumn id="7" xr3:uid="{00000000-0010-0000-0200-000007000000}" name="Affected WTG" dataDxfId="124"/>
    <tableColumn id="21" xr3:uid="{00000000-0010-0000-0200-000015000000}" name="SPV" dataDxfId="123">
      <calculatedColumnFormula>IFERROR(VLOOKUP(WTG_BD[[#This Row],[Affected WTG]],'Basic Data'!$A$3:$E$56,2,0),"")</calculatedColumnFormula>
    </tableColumn>
    <tableColumn id="10" xr3:uid="{00000000-0010-0000-0200-00000A000000}" name="Concumaer" dataDxfId="122">
      <calculatedColumnFormula>IFERROR(VLOOKUP(WTG_BD[[#This Row],[Affected WTG]],'Basic Data'!$A$3:$E$56,3,0),"")</calculatedColumnFormula>
    </tableColumn>
    <tableColumn id="4" xr3:uid="{00000000-0010-0000-0200-000004000000}" name="Plant Equivalent Weightage" dataDxfId="121">
      <calculatedColumnFormula>IFERROR(VLOOKUP(WTG_BD[[#This Row],[Affected WTG]],'Basic Data'!$A$3:$E$56,5,0),"")</calculatedColumnFormula>
    </tableColumn>
    <tableColumn id="8" xr3:uid="{00000000-0010-0000-0200-000008000000}" name="Error Code" dataDxfId="120"/>
    <tableColumn id="9" xr3:uid="{00000000-0010-0000-0200-000009000000}" name="Error Text" dataDxfId="119"/>
    <tableColumn id="11" xr3:uid="{00000000-0010-0000-0200-00000B000000}" name="Breakdown Description" dataDxfId="118"/>
    <tableColumn id="12" xr3:uid="{00000000-0010-0000-0200-00000C000000}" name="Fault Start TimeStamp" dataDxfId="117"/>
    <tableColumn id="13" xr3:uid="{00000000-0010-0000-0200-00000D000000}" name="Work Start TimeStamp" dataDxfId="116"/>
    <tableColumn id="14" xr3:uid="{00000000-0010-0000-0200-00000E000000}" name="Fault Clearance time" dataDxfId="115"/>
    <tableColumn id="15" xr3:uid="{00000000-0010-0000-0200-00000F000000}" name="Response Time" dataDxfId="114">
      <calculatedColumnFormula>IF(WTG_BD[[#This Row],[Work Start TimeStamp]]="","",(WTG_BD[[#This Row],[Work Start TimeStamp]]-WTG_BD[[#This Row],[Fault Start TimeStamp]])*24)</calculatedColumnFormula>
    </tableColumn>
    <tableColumn id="16" xr3:uid="{00000000-0010-0000-0200-000010000000}" name="Resolution Time" dataDxfId="113">
      <calculatedColumnFormula>(WTG_BD[[#This Row],[Fault Clearance time]]-WTG_BD[[#This Row],[Work Start TimeStamp]])*24</calculatedColumnFormula>
    </tableColumn>
    <tableColumn id="17" xr3:uid="{00000000-0010-0000-0200-000011000000}" name="Breakdown Time" dataDxfId="112">
      <calculatedColumnFormula>(WTG_BD[[#This Row],[Fault Clearance time]]-WTG_BD[[#This Row],[Fault Start TimeStamp]])*24</calculatedColumnFormula>
    </tableColumn>
    <tableColumn id="18" xr3:uid="{00000000-0010-0000-0200-000012000000}" name="Action taken" dataDxfId="111"/>
    <tableColumn id="19" xr3:uid="{00000000-0010-0000-0200-000013000000}" name="Status" dataDxfId="110"/>
    <tableColumn id="22" xr3:uid="{00000000-0010-0000-0200-000016000000}" name="Plant Equivalent breakdown" dataDxfId="109">
      <calculatedColumnFormula>WTG_BD[[#This Row],[Breakdown Time]]*(1/39)</calculatedColumnFormula>
    </tableColumn>
    <tableColumn id="23" xr3:uid="{00000000-0010-0000-0200-000017000000}" name="Paired WTG for Enegy based MA" dataDxfId="108"/>
    <tableColumn id="20" xr3:uid="{00000000-0010-0000-0200-000014000000}" name="Energy Production during breakdwon of paired WTG" dataDxfId="107"/>
    <tableColumn id="25" xr3:uid="{00000000-0010-0000-0200-000019000000}" name="Special remarks" dataDxfId="106"/>
    <tableColumn id="32" xr3:uid="{00000000-0010-0000-0200-000020000000}" name="Fault Category" dataDxfId="105"/>
    <tableColumn id="26" xr3:uid="{00000000-0010-0000-0200-00001A000000}" name="Paired WTG Generation for loss calculation." dataDxfId="104"/>
    <tableColumn id="27" xr3:uid="{00000000-0010-0000-0200-00001B000000}" name="loss" dataDxfId="103"/>
    <tableColumn id="28" xr3:uid="{22EA8175-2C2F-4CFF-B7E1-2119EEE7B800}" name="PTW No." dataDxfId="102"/>
    <tableColumn id="29" xr3:uid="{7BF606C5-40A3-499E-9672-1B9914605555}" name="Job Card No." dataDxfId="10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E010D77-2EF0-4B35-9265-3747DC4079BA}" name="Table7" displayName="Table7" ref="A2:AS280" totalsRowShown="0" headerRowDxfId="100" dataDxfId="99" headerRowBorderDxfId="97" tableBorderDxfId="98" totalsRowBorderDxfId="96" headerRowCellStyle="Normal 26 41">
  <tableColumns count="45">
    <tableColumn id="1" xr3:uid="{DC219965-73B9-4F7C-915E-2446A96D6C48}" name="Date" dataDxfId="95"/>
    <tableColumn id="2" xr3:uid="{E9D3CD44-3CB2-4F3F-A952-3DBCE5BAA736}" name="Financial Year" dataDxfId="94">
      <calculatedColumnFormula>YEAR(Table7[[#This Row],[Date]])+IF(MONTH(Table7[[#This Row],[Date]])&gt;=4,1,0)</calculatedColumnFormula>
    </tableColumn>
    <tableColumn id="3" xr3:uid="{E369CB7D-29DA-4BE5-BB5C-36C0186036DD}" name="Calendar Year" dataDxfId="93">
      <calculatedColumnFormula>YEAR(Table7[[#This Row],[Date]])</calculatedColumnFormula>
    </tableColumn>
    <tableColumn id="4" xr3:uid="{017512A1-1218-4A45-A171-E61F41146B17}" name="Month Year" dataDxfId="92">
      <calculatedColumnFormula>A3-DAY(A3)+1</calculatedColumnFormula>
    </tableColumn>
    <tableColumn id="5" xr3:uid="{1BE74533-1857-4977-88D5-6532EBABC10F}" name="G01" dataDxfId="91"/>
    <tableColumn id="6" xr3:uid="{EBC5786F-F5DA-440C-A7EA-62F87472F5E7}" name="G02" dataDxfId="90"/>
    <tableColumn id="7" xr3:uid="{2D4F55E8-5F40-43D0-888A-B0EEED04F007}" name="G03" dataDxfId="89"/>
    <tableColumn id="8" xr3:uid="{C3B9D759-2EA4-4D89-8A4E-1CD11080A6DD}" name="G04" dataDxfId="88"/>
    <tableColumn id="9" xr3:uid="{7E457302-5D3B-4DBA-B194-7DE89E5B45A0}" name="G05" dataDxfId="87"/>
    <tableColumn id="10" xr3:uid="{A345136C-EA13-4EB6-962A-3466A4EFE7BE}" name="G06" dataDxfId="86"/>
    <tableColumn id="11" xr3:uid="{1E2F5408-DBEC-4CBF-9895-DB95C09FC136}" name="G07" dataDxfId="85"/>
    <tableColumn id="12" xr3:uid="{8988E71D-12FC-4967-A6BD-D90A6BBA1497}" name="G08" dataDxfId="84"/>
    <tableColumn id="13" xr3:uid="{4F2462D8-FF4F-4AE8-BBFE-5A649C0666AD}" name="G09" dataDxfId="83"/>
    <tableColumn id="14" xr3:uid="{70780244-BB33-49BB-9B8E-304BB4BBD25D}" name="G10" dataDxfId="82"/>
    <tableColumn id="15" xr3:uid="{34686208-9572-4E0D-8D23-916134F3F887}" name="G11" dataDxfId="81"/>
    <tableColumn id="16" xr3:uid="{7817F84A-4856-4AC2-BD04-2BECF8A11345}" name="G12" dataDxfId="80"/>
    <tableColumn id="17" xr3:uid="{4A4181FC-C8A1-4E8E-84F9-CAB842204A81}" name="G13" dataDxfId="79"/>
    <tableColumn id="18" xr3:uid="{E920AEB6-6179-42B6-8DD8-E49BD12AE0E5}" name="G14" dataDxfId="78"/>
    <tableColumn id="19" xr3:uid="{5598AE94-480D-442B-B378-539C711CD97C}" name="G15" dataDxfId="77"/>
    <tableColumn id="20" xr3:uid="{C1916A31-3F74-427D-8DE2-A7E25C0D96DB}" name="G16" dataDxfId="76"/>
    <tableColumn id="21" xr3:uid="{B9446923-E0EF-421E-84C0-58E9ED9DF29B}" name="G17" dataDxfId="75"/>
    <tableColumn id="22" xr3:uid="{95EDC25E-168C-4844-84EB-49A5E26FFCB7}" name="G18" dataDxfId="74"/>
    <tableColumn id="23" xr3:uid="{471023B4-A2D1-4664-A7C0-7398CBA15CC0}" name="G19" dataDxfId="73"/>
    <tableColumn id="24" xr3:uid="{A9FA4ED6-B019-4BA7-9E21-5AC34EEE0BA9}" name="G20" dataDxfId="72"/>
    <tableColumn id="25" xr3:uid="{94D783AD-24B5-4213-BF4B-148168F6AB04}" name="G21" dataDxfId="71"/>
    <tableColumn id="26" xr3:uid="{98843B16-E3BC-4CAC-B49D-B4F3D9432FB5}" name="G22" dataDxfId="70"/>
    <tableColumn id="27" xr3:uid="{D6AE3C3B-6BB7-4C93-B69C-94E01B4DBF9F}" name="G23" dataDxfId="69"/>
    <tableColumn id="29" xr3:uid="{D8E7F86B-3F2D-46CA-A137-CF7D10B56731}" name="G25" dataDxfId="68"/>
    <tableColumn id="30" xr3:uid="{4850E404-43E8-47DE-B29C-BD9CEC45D481}" name="G26" dataDxfId="67"/>
    <tableColumn id="31" xr3:uid="{3CDC62D9-B2E6-4255-9F3D-3E6EE8A01CFE}" name="G27" dataDxfId="66"/>
    <tableColumn id="32" xr3:uid="{D2F27884-2A8A-46A6-ACF0-4D2EEB014D1D}" name="G28" dataDxfId="65"/>
    <tableColumn id="33" xr3:uid="{B181092D-8262-476C-AA74-4303075A05FC}" name="G29" dataDxfId="64"/>
    <tableColumn id="34" xr3:uid="{AF30CA2B-24E7-451A-B2E4-33E3EFB20FC0}" name="G30" dataDxfId="63"/>
    <tableColumn id="35" xr3:uid="{69EF0A3E-4BED-4C8A-B8A8-2549669B009A}" name="G31" dataDxfId="62"/>
    <tableColumn id="36" xr3:uid="{0DC9A21D-9EC4-4743-BDD4-12605D90506F}" name="G32" dataDxfId="61"/>
    <tableColumn id="37" xr3:uid="{E3284188-8FBD-4023-97F3-F4A005BB4F4F}" name="G33" dataDxfId="60"/>
    <tableColumn id="38" xr3:uid="{9BCDAAA5-E16E-40A3-B1AC-A522B31D8830}" name="G34" dataDxfId="59"/>
    <tableColumn id="39" xr3:uid="{06AB873F-DAE9-423C-9A55-DE41E9515446}" name="G35" dataDxfId="58"/>
    <tableColumn id="40" xr3:uid="{BA880A4E-72D3-4C44-BB36-F75A9E8109BB}" name="G36" dataDxfId="57"/>
    <tableColumn id="41" xr3:uid="{E2C3F5BA-769F-4526-BDB4-618FC1D57A1E}" name="G37" dataDxfId="56"/>
    <tableColumn id="42" xr3:uid="{1BAE7550-6A34-4524-BD33-245541878E4D}" name="G38" dataDxfId="55"/>
    <tableColumn id="43" xr3:uid="{427E24E4-909A-4183-8D54-85D38B32E987}" name="G39" dataDxfId="54"/>
    <tableColumn id="44" xr3:uid="{9E8D1ACE-6C6F-4E5E-B583-2B85B8F74C43}" name="G40" dataDxfId="53"/>
    <tableColumn id="51" xr3:uid="{0BE913FF-FF72-490E-A5E1-053703C379F7}" name="Total Reactive Power (kVArh)" dataDxfId="52">
      <calculatedColumnFormula>SUM(E3:AQ3)</calculatedColumnFormula>
    </tableColumn>
    <tableColumn id="45" xr3:uid="{158C240E-B77B-4528-B67D-7DC21D730F4F}" name="Column1" dataDxfId="51"/>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IGA_BD" displayName="IGA_BD" ref="A1:X1195" totalsRowShown="0" headerRowDxfId="50" headerRowBorderDxfId="48" tableBorderDxfId="49">
  <autoFilter ref="A1:X1195" xr:uid="{00000000-0009-0000-0100-000003000000}"/>
  <tableColumns count="24">
    <tableColumn id="1" xr3:uid="{00000000-0010-0000-0300-000001000000}" name="Sr. No." dataDxfId="47"/>
    <tableColumn id="6" xr3:uid="{00000000-0010-0000-0300-000006000000}" name="Date" dataDxfId="46"/>
    <tableColumn id="2" xr3:uid="{00000000-0010-0000-0300-000002000000}" name="Finacial Year" dataDxfId="45">
      <calculatedColumnFormula>YEAR(WTG_BD[[#This Row],[Date]])+IF(MONTH(WTG_BD[[#This Row],[Date]])&gt;=4,1,0)</calculatedColumnFormula>
    </tableColumn>
    <tableColumn id="3" xr3:uid="{00000000-0010-0000-0300-000003000000}" name="Calendor Year" dataDxfId="44">
      <calculatedColumnFormula>YEAR(IGA_BD[[#This Row],[Date]])</calculatedColumnFormula>
    </tableColumn>
    <tableColumn id="8" xr3:uid="{00000000-0010-0000-0300-000008000000}" name="Month" dataDxfId="43">
      <calculatedColumnFormula>B2-DAY(B2)+1</calculatedColumnFormula>
    </tableColumn>
    <tableColumn id="5" xr3:uid="{00000000-0010-0000-0300-000005000000}" name="Operating Year" dataDxfId="42"/>
    <tableColumn id="7" xr3:uid="{00000000-0010-0000-0300-000007000000}" name="Affected Feeder " dataDxfId="41"/>
    <tableColumn id="21" xr3:uid="{00000000-0010-0000-0300-000015000000}" name="SPV" dataDxfId="40">
      <calculatedColumnFormula>IFERROR(VLOOKUP(IGA_BD[[#This Row],[Affected Feeder ]],'Basic Data'!$A$42:$E$53,2,0),"")</calculatedColumnFormula>
    </tableColumn>
    <tableColumn id="10" xr3:uid="{00000000-0010-0000-0300-00000A000000}" name="Concumaer" dataDxfId="39">
      <calculatedColumnFormula>IFERROR(VLOOKUP(IGA_BD[[#This Row],[Affected Feeder ]],'Basic Data'!$A$42:$E$53,3,0),"")</calculatedColumnFormula>
    </tableColumn>
    <tableColumn id="4" xr3:uid="{00000000-0010-0000-0300-000004000000}" name="Plant Equivalent Weightage" dataDxfId="38">
      <calculatedColumnFormula>IFERROR(VLOOKUP(IGA_BD[[#This Row],[Affected Feeder ]],'Basic Data'!$A$42:$E$53,5,0),"")</calculatedColumnFormula>
    </tableColumn>
    <tableColumn id="11" xr3:uid="{00000000-0010-0000-0300-00000B000000}" name="Breakdown Description" dataDxfId="37"/>
    <tableColumn id="12" xr3:uid="{00000000-0010-0000-0300-00000C000000}" name="Fault Start TimeStamp" dataDxfId="36"/>
    <tableColumn id="13" xr3:uid="{00000000-0010-0000-0300-00000D000000}" name="Work Start TimeStamp" dataDxfId="35"/>
    <tableColumn id="14" xr3:uid="{00000000-0010-0000-0300-00000E000000}" name="Fault Clearance time" dataDxfId="34"/>
    <tableColumn id="15" xr3:uid="{00000000-0010-0000-0300-00000F000000}" name="Response Time" dataDxfId="33">
      <calculatedColumnFormula>(IGA_BD[[#This Row],[Work Start TimeStamp]]-IGA_BD[[#This Row],[Fault Start TimeStamp]])*24</calculatedColumnFormula>
    </tableColumn>
    <tableColumn id="16" xr3:uid="{00000000-0010-0000-0300-000010000000}" name="Resolution Time" dataDxfId="32">
      <calculatedColumnFormula>IF(IGA_BD[[#This Row],[Work Start TimeStamp]]="","",(IGA_BD[[#This Row],[Fault Clearance time]]-IGA_BD[[#This Row],[Work Start TimeStamp]])*24)</calculatedColumnFormula>
    </tableColumn>
    <tableColumn id="17" xr3:uid="{00000000-0010-0000-0300-000011000000}" name="Breakdown Time" dataDxfId="31">
      <calculatedColumnFormula>(IGA_BD[[#This Row],[Fault Clearance time]]-IGA_BD[[#This Row],[Fault Start TimeStamp]])*24</calculatedColumnFormula>
    </tableColumn>
    <tableColumn id="18" xr3:uid="{00000000-0010-0000-0300-000012000000}" name="Action taken" dataDxfId="30"/>
    <tableColumn id="19" xr3:uid="{00000000-0010-0000-0300-000013000000}" name="Status" dataDxfId="29"/>
    <tableColumn id="22" xr3:uid="{00000000-0010-0000-0300-000016000000}" name="Plant Equivalent breakdown" dataDxfId="28">
      <calculatedColumnFormula>IFERROR(IGA_BD[[#This Row],[Breakdown Time]]*IGA_BD[[#This Row],[Plant Equivalent Weightage]],"")</calculatedColumnFormula>
    </tableColumn>
    <tableColumn id="9" xr3:uid="{00000000-0010-0000-0300-000009000000}" name="Column1"/>
    <tableColumn id="20" xr3:uid="{00000000-0010-0000-0300-000014000000}" name="Fault category"/>
    <tableColumn id="23" xr3:uid="{00000000-0010-0000-0300-000017000000}" name="Scope"/>
    <tableColumn id="24" xr3:uid="{00000000-0010-0000-0300-000018000000}" name="KWH lost during BD/SD"/>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Grid_BD" displayName="Grid_BD" ref="A1:V183" totalsRowShown="0" headerRowDxfId="27" headerRowBorderDxfId="25" tableBorderDxfId="26">
  <tableColumns count="22">
    <tableColumn id="1" xr3:uid="{00000000-0010-0000-0400-000001000000}" name="Sr. No." dataDxfId="24"/>
    <tableColumn id="6" xr3:uid="{00000000-0010-0000-0400-000006000000}" name="Date" dataDxfId="23"/>
    <tableColumn id="2" xr3:uid="{00000000-0010-0000-0400-000002000000}" name="Finacial Year" dataDxfId="22">
      <calculatedColumnFormula>YEAR(Grid_BD[[#This Row],[Date]])+IF(MONTH(Grid_BD[[#This Row],[Date]])&gt;=4,1,0)</calculatedColumnFormula>
    </tableColumn>
    <tableColumn id="3" xr3:uid="{00000000-0010-0000-0400-000003000000}" name="Calendor Year" dataDxfId="21">
      <calculatedColumnFormula>YEAR(Grid_BD[[#This Row],[Date]])</calculatedColumnFormula>
    </tableColumn>
    <tableColumn id="8" xr3:uid="{00000000-0010-0000-0400-000008000000}" name="Month" dataDxfId="20">
      <calculatedColumnFormula>B2-DAY(B2)+1</calculatedColumnFormula>
    </tableColumn>
    <tableColumn id="5" xr3:uid="{00000000-0010-0000-0400-000005000000}" name="Operating Year" dataDxfId="19"/>
    <tableColumn id="7" xr3:uid="{00000000-0010-0000-0400-000007000000}" name="Affected System" dataDxfId="18"/>
    <tableColumn id="21" xr3:uid="{00000000-0010-0000-0400-000015000000}" name="SPV" dataDxfId="17">
      <calculatedColumnFormula>IFERROR(VLOOKUP(Grid_BD[[#This Row],[Affected System]],'Basic Data'!$A$54:$E$56,2,0),"")</calculatedColumnFormula>
    </tableColumn>
    <tableColumn id="10" xr3:uid="{00000000-0010-0000-0400-00000A000000}" name="Concumaer" dataDxfId="16">
      <calculatedColumnFormula>IFERROR(VLOOKUP(Grid_BD[[#This Row],[Affected System]],'Basic Data'!$A$54:$E$56,3,0),"")</calculatedColumnFormula>
    </tableColumn>
    <tableColumn id="4" xr3:uid="{00000000-0010-0000-0400-000004000000}" name="Plant Equivalent Weightage" dataDxfId="15">
      <calculatedColumnFormula>IFERROR(VLOOKUP(Grid_BD[[#This Row],[Affected System]],'Basic Data'!$A$54:$E$56,5,0),"")</calculatedColumnFormula>
    </tableColumn>
    <tableColumn id="11" xr3:uid="{00000000-0010-0000-0400-00000B000000}" name="Breakdown Description" dataDxfId="14"/>
    <tableColumn id="12" xr3:uid="{00000000-0010-0000-0400-00000C000000}" name="Fault Start TimeStamp" dataDxfId="13"/>
    <tableColumn id="13" xr3:uid="{00000000-0010-0000-0400-00000D000000}" name="Work Start TimeStamp" dataDxfId="12"/>
    <tableColumn id="14" xr3:uid="{00000000-0010-0000-0400-00000E000000}" name="Fault Clearance time" dataDxfId="11"/>
    <tableColumn id="15" xr3:uid="{00000000-0010-0000-0400-00000F000000}" name="Response Time" dataDxfId="10">
      <calculatedColumnFormula>(Grid_BD[[#This Row],[Work Start TimeStamp]]-Grid_BD[[#This Row],[Fault Start TimeStamp]])*24</calculatedColumnFormula>
    </tableColumn>
    <tableColumn id="16" xr3:uid="{00000000-0010-0000-0400-000010000000}" name="Resolution Time" dataDxfId="9">
      <calculatedColumnFormula>IF(Grid_BD[[#This Row],[Work Start TimeStamp]]="","",(Grid_BD[[#This Row],[Fault Clearance time]]-Grid_BD[[#This Row],[Work Start TimeStamp]])*24)</calculatedColumnFormula>
    </tableColumn>
    <tableColumn id="17" xr3:uid="{00000000-0010-0000-0400-000011000000}" name="Breakdown Time" dataDxfId="8">
      <calculatedColumnFormula>(Grid_BD[[#This Row],[Fault Clearance time]]-Grid_BD[[#This Row],[Fault Start TimeStamp]])*24</calculatedColumnFormula>
    </tableColumn>
    <tableColumn id="18" xr3:uid="{00000000-0010-0000-0400-000012000000}" name="Action taken" dataDxfId="7"/>
    <tableColumn id="19" xr3:uid="{00000000-0010-0000-0400-000013000000}" name="Status" dataDxfId="6"/>
    <tableColumn id="22" xr3:uid="{00000000-0010-0000-0400-000016000000}" name="Plant Equivalent breakdown" dataDxfId="5">
      <calculatedColumnFormula>IFERROR(Grid_BD[[#This Row],[Breakdown Time]]*Grid_BD[[#This Row],[Plant Equivalent Weightage]],"")</calculatedColumnFormula>
    </tableColumn>
    <tableColumn id="20" xr3:uid="{3F65ED86-8334-47D5-934B-ECE14D7F9C7B}" name="Fault Category" dataDxfId="4"/>
    <tableColumn id="9" xr3:uid="{09A92B25-A9D0-4D75-AEA1-B50813F85087}" name="Approx. Energy loss (kWh)"/>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Spares" displayName="Spares" ref="A2:G147" totalsRowShown="0" headerRowDxfId="3">
  <autoFilter ref="A2:G147" xr:uid="{00000000-0009-0000-0100-000007000000}"/>
  <tableColumns count="7">
    <tableColumn id="1" xr3:uid="{00000000-0010-0000-0500-000001000000}" name="Sr. No." dataDxfId="2"/>
    <tableColumn id="2" xr3:uid="{00000000-0010-0000-0500-000002000000}" name="Date" dataDxfId="1"/>
    <tableColumn id="3" xr3:uid="{00000000-0010-0000-0500-000003000000}" name="Location"/>
    <tableColumn id="4" xr3:uid="{00000000-0010-0000-0500-000004000000}" name="Material Name"/>
    <tableColumn id="5" xr3:uid="{00000000-0010-0000-0500-000005000000}" name="Quantity"/>
    <tableColumn id="6" xr3:uid="{00000000-0010-0000-0500-000006000000}" name="UoM"/>
    <tableColumn id="7" xr3:uid="{00000000-0010-0000-0500-000007000000}" name="Remar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3" Type="http://schemas.openxmlformats.org/officeDocument/2006/relationships/hyperlink" Target="mailto:O@R1" TargetMode="External"/><Relationship Id="rId7" Type="http://schemas.openxmlformats.org/officeDocument/2006/relationships/hyperlink" Target="mailto:O@R1" TargetMode="External"/><Relationship Id="rId2"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5" Type="http://schemas.openxmlformats.org/officeDocument/2006/relationships/hyperlink" Target="mailto:O@R1" TargetMode="External"/><Relationship Id="rId4"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39"/>
  <sheetViews>
    <sheetView showGridLines="0" tabSelected="1" topLeftCell="A2" zoomScale="90" zoomScaleNormal="90" workbookViewId="0">
      <selection activeCell="H27" sqref="H27"/>
    </sheetView>
  </sheetViews>
  <sheetFormatPr defaultColWidth="9" defaultRowHeight="15"/>
  <cols>
    <col min="1" max="1" width="17" style="75" customWidth="1"/>
    <col min="2" max="2" width="22.140625" style="76" customWidth="1"/>
    <col min="3" max="3" width="13.7109375" style="76" customWidth="1"/>
    <col min="4" max="4" width="12" style="77" customWidth="1"/>
    <col min="5" max="5" width="11.7109375" style="75" bestFit="1" customWidth="1"/>
    <col min="6" max="6" width="31.85546875" style="76" customWidth="1"/>
    <col min="7" max="7" width="11.140625" style="76" customWidth="1"/>
    <col min="8" max="8" width="12.5703125" style="76" customWidth="1"/>
    <col min="9" max="9" width="11" style="76" customWidth="1"/>
    <col min="10" max="10" width="11.85546875" style="76" customWidth="1"/>
    <col min="11" max="11" width="10.28515625" style="76" customWidth="1"/>
    <col min="12" max="16384" width="9" style="76"/>
  </cols>
  <sheetData>
    <row r="1" spans="1:18" ht="3.95" hidden="1" customHeight="1"/>
    <row r="2" spans="1:18" ht="25.5" customHeight="1">
      <c r="A2" s="446" t="s">
        <v>0</v>
      </c>
      <c r="B2" s="447"/>
      <c r="C2" s="447"/>
      <c r="D2" s="447"/>
      <c r="E2" s="447"/>
      <c r="F2" s="448"/>
    </row>
    <row r="3" spans="1:18">
      <c r="A3" s="78" t="s">
        <v>1</v>
      </c>
      <c r="B3" s="275">
        <v>45809</v>
      </c>
      <c r="C3" s="80"/>
      <c r="D3" s="80"/>
      <c r="E3" s="80"/>
      <c r="F3" s="81"/>
    </row>
    <row r="4" spans="1:18">
      <c r="A4" s="78" t="s">
        <v>2</v>
      </c>
      <c r="B4" s="276">
        <v>45820</v>
      </c>
      <c r="C4" s="80"/>
      <c r="D4" s="80"/>
      <c r="E4" s="80"/>
      <c r="F4" s="81"/>
      <c r="G4" s="83"/>
      <c r="H4" s="83"/>
      <c r="I4" s="83"/>
      <c r="J4" s="83"/>
      <c r="K4" s="83"/>
      <c r="L4" s="83"/>
      <c r="M4" s="83"/>
      <c r="N4" s="83"/>
      <c r="O4" s="83"/>
      <c r="P4" s="83"/>
      <c r="Q4" s="83"/>
      <c r="R4" s="83"/>
    </row>
    <row r="5" spans="1:18" s="84" customFormat="1">
      <c r="A5" s="78" t="s">
        <v>3</v>
      </c>
      <c r="B5" s="79" t="s">
        <v>4</v>
      </c>
      <c r="C5" s="80"/>
      <c r="D5" s="80"/>
      <c r="E5" s="80"/>
      <c r="F5" s="81"/>
      <c r="G5" s="76"/>
      <c r="H5" s="76"/>
      <c r="I5" s="76"/>
      <c r="J5" s="76"/>
      <c r="K5" s="76"/>
      <c r="L5" s="76"/>
      <c r="M5" s="76"/>
      <c r="N5" s="76"/>
      <c r="O5" s="76"/>
      <c r="P5" s="76"/>
    </row>
    <row r="6" spans="1:18">
      <c r="A6" s="155" t="s">
        <v>5</v>
      </c>
      <c r="B6" s="82">
        <v>45748</v>
      </c>
      <c r="C6" s="80"/>
      <c r="D6" s="80"/>
      <c r="E6" s="80"/>
      <c r="F6" s="81"/>
    </row>
    <row r="7" spans="1:18" ht="15.75" thickBot="1">
      <c r="A7" s="85" t="s">
        <v>6</v>
      </c>
      <c r="B7" s="86">
        <v>46112</v>
      </c>
      <c r="C7" s="87"/>
      <c r="D7" s="87"/>
      <c r="E7" s="87"/>
      <c r="F7" s="88"/>
    </row>
    <row r="8" spans="1:18" ht="4.5" customHeight="1" thickBot="1">
      <c r="A8" s="89"/>
      <c r="B8" s="90"/>
      <c r="C8" s="90"/>
      <c r="D8" s="90"/>
      <c r="E8" s="90"/>
      <c r="F8" s="90"/>
    </row>
    <row r="9" spans="1:18" ht="19.5" customHeight="1" thickBot="1">
      <c r="A9" s="91" t="s">
        <v>7</v>
      </c>
      <c r="B9" s="92" t="s">
        <v>8</v>
      </c>
      <c r="C9" s="92" t="s">
        <v>9</v>
      </c>
      <c r="D9" s="92" t="s">
        <v>10</v>
      </c>
      <c r="E9" s="92" t="s">
        <v>11</v>
      </c>
      <c r="F9" s="93" t="s">
        <v>12</v>
      </c>
    </row>
    <row r="10" spans="1:18">
      <c r="A10" s="443">
        <v>1</v>
      </c>
      <c r="B10" s="94" t="s">
        <v>13</v>
      </c>
      <c r="C10" s="95">
        <f>_xlfn.XLOOKUP($B$4,'Daily KPI'!$A:$A,'Daily KPI'!$AD:$AD)/1000</f>
        <v>501.27534211348041</v>
      </c>
      <c r="D10" s="96">
        <f>_xlfn.XLOOKUP($B$4,'Daily KPI'!$A:$A,'Daily KPI'!$AA:$AA)/1000</f>
        <v>420</v>
      </c>
      <c r="E10" s="97">
        <f>D10/C10-1</f>
        <v>-0.16213712362313049</v>
      </c>
      <c r="F10" s="277"/>
    </row>
    <row r="11" spans="1:18">
      <c r="A11" s="444"/>
      <c r="B11" s="98" t="s">
        <v>14</v>
      </c>
      <c r="C11" s="99">
        <f>MonthlyKPI!E4</f>
        <v>6015.3041053617653</v>
      </c>
      <c r="D11" s="100">
        <f>MonthlyKPI!F4</f>
        <v>6106.8</v>
      </c>
      <c r="E11" s="101">
        <f>D11/C11-1</f>
        <v>1.5210518543306906E-2</v>
      </c>
      <c r="F11" s="278"/>
    </row>
    <row r="12" spans="1:18" ht="15.75" thickBot="1">
      <c r="A12" s="445"/>
      <c r="B12" s="102" t="s">
        <v>15</v>
      </c>
      <c r="C12" s="103">
        <f>AnnualKPI!E4</f>
        <v>33551.99845590425</v>
      </c>
      <c r="D12" s="104">
        <f>AnnualKPI!F4</f>
        <v>25573.200000000001</v>
      </c>
      <c r="E12" s="105">
        <f>D12/C12-1</f>
        <v>-0.23780397064545633</v>
      </c>
      <c r="F12" s="279"/>
    </row>
    <row r="13" spans="1:18">
      <c r="A13" s="443">
        <v>2</v>
      </c>
      <c r="B13" s="94" t="s">
        <v>16</v>
      </c>
      <c r="C13" s="106">
        <f>_xlfn.XLOOKUP($B$3,'Modelling New'!$D:$D,'Modelling New'!AC:AC)</f>
        <v>5.6310997427836513</v>
      </c>
      <c r="D13" s="107">
        <f>_xlfn.XLOOKUP($B$4,'Daily KPI'!$A:$A,'Daily KPI'!M:M)</f>
        <v>4.6823076923076918</v>
      </c>
      <c r="E13" s="97">
        <f t="shared" ref="E13:E39" si="0">(D13-C13)/(C13)</f>
        <v>-0.16849143041585304</v>
      </c>
      <c r="F13" s="277"/>
    </row>
    <row r="14" spans="1:18">
      <c r="A14" s="444"/>
      <c r="B14" s="98" t="s">
        <v>17</v>
      </c>
      <c r="C14" s="108">
        <f>MonthlyKPI!C4</f>
        <v>5.6310997427836513</v>
      </c>
      <c r="D14" s="109">
        <f>MonthlyKPI!D4</f>
        <v>5.2194593241123606</v>
      </c>
      <c r="E14" s="101">
        <f t="shared" si="0"/>
        <v>-7.3101247975373707E-2</v>
      </c>
      <c r="F14" s="278"/>
    </row>
    <row r="15" spans="1:18" ht="15.75" thickBot="1">
      <c r="A15" s="445"/>
      <c r="B15" s="102" t="s">
        <v>18</v>
      </c>
      <c r="C15" s="110">
        <f>AnnualKPI!C4</f>
        <v>6.0011277507859377</v>
      </c>
      <c r="D15" s="111">
        <f>AnnualKPI!D4</f>
        <v>4.6888239062689046</v>
      </c>
      <c r="E15" s="105">
        <f t="shared" si="0"/>
        <v>-0.21867620537575913</v>
      </c>
      <c r="F15" s="279"/>
    </row>
    <row r="16" spans="1:18">
      <c r="A16" s="443">
        <v>3</v>
      </c>
      <c r="B16" s="94" t="s">
        <v>19</v>
      </c>
      <c r="C16" s="112">
        <f>_xlfn.XLOOKUP($B$3,'Modelling New'!$D:$D,'Modelling New'!$AE:$AE)</f>
        <v>0.96029999999999993</v>
      </c>
      <c r="D16" s="112">
        <f>_xlfn.XLOOKUP($B$4,'Daily KPI'!$A:$A,'Daily KPI'!$O:$O)</f>
        <v>0.94319150358571413</v>
      </c>
      <c r="E16" s="97">
        <f t="shared" si="0"/>
        <v>-1.7815782999360409E-2</v>
      </c>
      <c r="F16" s="285"/>
    </row>
    <row r="17" spans="1:6">
      <c r="A17" s="444"/>
      <c r="B17" s="98" t="s">
        <v>20</v>
      </c>
      <c r="C17" s="113">
        <f>_xlfn.XLOOKUP($B$3,'Modelling New'!$D:$D,'Modelling New'!$AE:$AE)</f>
        <v>0.96029999999999993</v>
      </c>
      <c r="D17" s="113">
        <f>MonthlyKPI!$P$4</f>
        <v>0.92928029108454868</v>
      </c>
      <c r="E17" s="101">
        <f t="shared" si="0"/>
        <v>-3.2302102379934659E-2</v>
      </c>
      <c r="F17" s="285"/>
    </row>
    <row r="18" spans="1:6" ht="15.75" thickBot="1">
      <c r="A18" s="445"/>
      <c r="B18" s="102" t="s">
        <v>21</v>
      </c>
      <c r="C18" s="114">
        <f>_xlfn.XLOOKUP($B$3,'Modelling New'!$D:$D,'Modelling New'!$AE:$AE)</f>
        <v>0.96029999999999993</v>
      </c>
      <c r="D18" s="114">
        <f>AnnualKPI!$P$4</f>
        <v>0.92156709310748453</v>
      </c>
      <c r="E18" s="105">
        <f t="shared" si="0"/>
        <v>-4.0334173583791946E-2</v>
      </c>
      <c r="F18" s="285"/>
    </row>
    <row r="19" spans="1:6">
      <c r="A19" s="443">
        <v>4</v>
      </c>
      <c r="B19" s="94" t="s">
        <v>22</v>
      </c>
      <c r="C19" s="112">
        <f>_xlfn.XLOOKUP($B$3,'Modelling New'!$D:$D,'Modelling New'!$AH:$AH)</f>
        <v>0.97</v>
      </c>
      <c r="D19" s="112">
        <f>_xlfn.XLOOKUP($B$4,'Daily KPI'!$A:$A,'Daily KPI'!$P:$P)</f>
        <v>0.94319150358571413</v>
      </c>
      <c r="E19" s="97">
        <f t="shared" si="0"/>
        <v>-2.7637625169366849E-2</v>
      </c>
      <c r="F19" s="277"/>
    </row>
    <row r="20" spans="1:6">
      <c r="A20" s="444"/>
      <c r="B20" s="98" t="s">
        <v>23</v>
      </c>
      <c r="C20" s="113">
        <f>_xlfn.XLOOKUP($B$3,'Modelling New'!$D:$D,'Modelling New'!$AH:$AH)</f>
        <v>0.97</v>
      </c>
      <c r="D20" s="113">
        <f>MonthlyKPI!L4</f>
        <v>0.94173293603657171</v>
      </c>
      <c r="E20" s="101">
        <f t="shared" si="0"/>
        <v>-2.9141303055080683E-2</v>
      </c>
      <c r="F20" s="278"/>
    </row>
    <row r="21" spans="1:6" ht="15.75" thickBot="1">
      <c r="A21" s="445"/>
      <c r="B21" s="102" t="s">
        <v>24</v>
      </c>
      <c r="C21" s="114">
        <f>_xlfn.XLOOKUP($B$3,'Modelling New'!$D:$D,'Modelling New'!$AH:$AH)</f>
        <v>0.97</v>
      </c>
      <c r="D21" s="114">
        <f>AnnualKPI!L4</f>
        <v>0.9285454028605391</v>
      </c>
      <c r="E21" s="105">
        <f t="shared" si="0"/>
        <v>-4.273669808191842E-2</v>
      </c>
      <c r="F21" s="279"/>
    </row>
    <row r="22" spans="1:6">
      <c r="A22" s="443">
        <v>5</v>
      </c>
      <c r="B22" s="94" t="s">
        <v>25</v>
      </c>
      <c r="C22" s="112">
        <f>_xlfn.XLOOKUP($B$3,'Modelling New'!$D:$D,'Modelling New'!$AF:$AF)</f>
        <v>0.995</v>
      </c>
      <c r="D22" s="112">
        <f>_xlfn.XLOOKUP($B$4,'Daily KPI'!$A:$A,'Daily KPI'!$R:$R)</f>
        <v>1</v>
      </c>
      <c r="E22" s="97">
        <f t="shared" si="0"/>
        <v>5.0251256281407079E-3</v>
      </c>
      <c r="F22" s="277"/>
    </row>
    <row r="23" spans="1:6">
      <c r="A23" s="444"/>
      <c r="B23" s="98" t="s">
        <v>26</v>
      </c>
      <c r="C23" s="113">
        <f>_xlfn.XLOOKUP($B$3,'Modelling New'!$D:$D,'Modelling New'!$AF:$AF)</f>
        <v>0.995</v>
      </c>
      <c r="D23" s="113">
        <f>MonthlyKPI!J4</f>
        <v>1</v>
      </c>
      <c r="E23" s="101">
        <f t="shared" si="0"/>
        <v>5.0251256281407079E-3</v>
      </c>
      <c r="F23" s="278"/>
    </row>
    <row r="24" spans="1:6" ht="15.75" thickBot="1">
      <c r="A24" s="445"/>
      <c r="B24" s="102" t="s">
        <v>27</v>
      </c>
      <c r="C24" s="114">
        <f>_xlfn.XLOOKUP($B$3,'Modelling New'!$D:$D,'Modelling New'!$AF:$AF)</f>
        <v>0.995</v>
      </c>
      <c r="D24" s="114">
        <f>AnnualKPI!J4</f>
        <v>1</v>
      </c>
      <c r="E24" s="105">
        <f t="shared" si="0"/>
        <v>5.0251256281407079E-3</v>
      </c>
      <c r="F24" s="279"/>
    </row>
    <row r="25" spans="1:6">
      <c r="A25" s="443">
        <v>6</v>
      </c>
      <c r="B25" s="94" t="s">
        <v>28</v>
      </c>
      <c r="C25" s="112">
        <f>_xlfn.XLOOKUP($B$3,'Modelling New'!$D:$D,'Modelling New'!$AI:$AI)</f>
        <v>0.99</v>
      </c>
      <c r="D25" s="112">
        <f>_xlfn.XLOOKUP($B$4,'Daily KPI'!$A:$A,'Daily KPI'!$Q:$Q)</f>
        <v>1</v>
      </c>
      <c r="E25" s="97">
        <f t="shared" si="0"/>
        <v>1.0101010101010111E-2</v>
      </c>
      <c r="F25" s="277"/>
    </row>
    <row r="26" spans="1:6">
      <c r="A26" s="444"/>
      <c r="B26" s="98" t="s">
        <v>29</v>
      </c>
      <c r="C26" s="113">
        <f>_xlfn.XLOOKUP($B$3,'Modelling New'!$D:$D,'Modelling New'!$AI:$AI)</f>
        <v>0.99</v>
      </c>
      <c r="D26" s="113">
        <f>MonthlyKPI!N4</f>
        <v>0.98677688283428644</v>
      </c>
      <c r="E26" s="101">
        <f t="shared" si="0"/>
        <v>-3.2556739047611633E-3</v>
      </c>
      <c r="F26" s="278"/>
    </row>
    <row r="27" spans="1:6" ht="15.75" thickBot="1">
      <c r="A27" s="445"/>
      <c r="B27" s="102" t="s">
        <v>30</v>
      </c>
      <c r="C27" s="114">
        <f>_xlfn.XLOOKUP($B$3,'Modelling New'!$D:$D,'Modelling New'!$AI:$AI)</f>
        <v>0.99</v>
      </c>
      <c r="D27" s="114">
        <f>AnnualKPI!N4</f>
        <v>0.99248468655215272</v>
      </c>
      <c r="E27" s="105">
        <f t="shared" si="0"/>
        <v>2.5097843961138649E-3</v>
      </c>
      <c r="F27" s="279"/>
    </row>
    <row r="28" spans="1:6">
      <c r="A28" s="443">
        <v>7</v>
      </c>
      <c r="B28" s="94" t="s">
        <v>31</v>
      </c>
      <c r="C28" s="209">
        <f>IFERROR(_xlfn.XLOOKUP($B$4,'Daily KPI'!$A:$A,'Daily KPI'!$AF:$AF),"")</f>
        <v>0.26777528959053443</v>
      </c>
      <c r="D28" s="112">
        <f>_xlfn.XLOOKUP($B$4,'Daily KPI'!$A:$A,'Daily KPI'!$W:$W)</f>
        <v>0.22435897435897437</v>
      </c>
      <c r="E28" s="97">
        <f>D28/C28-1</f>
        <v>-0.16213712362313049</v>
      </c>
      <c r="F28" s="277"/>
    </row>
    <row r="29" spans="1:6">
      <c r="A29" s="444"/>
      <c r="B29" s="98" t="s">
        <v>32</v>
      </c>
      <c r="C29" s="210">
        <f>MonthlyKPI!$G$4</f>
        <v>0.26777528959053443</v>
      </c>
      <c r="D29" s="113">
        <f>MonthlyKPI!H4</f>
        <v>0.27184829059829063</v>
      </c>
      <c r="E29" s="101">
        <f t="shared" si="0"/>
        <v>1.5210518543306923E-2</v>
      </c>
      <c r="F29" s="278"/>
    </row>
    <row r="30" spans="1:6" ht="15.75" thickBot="1">
      <c r="A30" s="445"/>
      <c r="B30" s="102" t="s">
        <v>33</v>
      </c>
      <c r="C30" s="211">
        <f>AnnualKPI!$G$4</f>
        <v>0.24552159038684176</v>
      </c>
      <c r="D30" s="114">
        <f>AnnualKPI!H4</f>
        <v>0.18713558131366351</v>
      </c>
      <c r="E30" s="105">
        <f t="shared" si="0"/>
        <v>-0.23780397064545628</v>
      </c>
      <c r="F30" s="279"/>
    </row>
    <row r="31" spans="1:6">
      <c r="A31" s="443">
        <v>8</v>
      </c>
      <c r="B31" s="94" t="s">
        <v>34</v>
      </c>
      <c r="C31" s="113">
        <v>0.05</v>
      </c>
      <c r="D31" s="112">
        <f>_xlfn.XLOOKUP($B$4,'Daily KPI'!$A:$A,'Daily KPI'!$AN:$AN)</f>
        <v>1.4417411959055437E-2</v>
      </c>
      <c r="E31" s="97">
        <f>-(D31-C31)/(C31)</f>
        <v>0.71165176081889125</v>
      </c>
      <c r="F31" s="277"/>
    </row>
    <row r="32" spans="1:6">
      <c r="A32" s="444"/>
      <c r="B32" s="98" t="s">
        <v>35</v>
      </c>
      <c r="C32" s="113">
        <v>0.05</v>
      </c>
      <c r="D32" s="213">
        <f>MonthlyKPI!$U$4</f>
        <v>1.0148533168198109E-2</v>
      </c>
      <c r="E32" s="101">
        <f t="shared" ref="E32:E33" si="1">-(D32-C32)/(C32)</f>
        <v>0.79702933663603781</v>
      </c>
      <c r="F32" s="278"/>
    </row>
    <row r="33" spans="1:6" ht="15.75" thickBot="1">
      <c r="A33" s="445"/>
      <c r="B33" s="102" t="s">
        <v>36</v>
      </c>
      <c r="C33" s="113">
        <v>0.05</v>
      </c>
      <c r="D33" s="114">
        <f>AnnualKPI!$R$4</f>
        <v>1.8055193611050395E-2</v>
      </c>
      <c r="E33" s="105">
        <f t="shared" si="1"/>
        <v>0.63889612777899207</v>
      </c>
      <c r="F33" s="279"/>
    </row>
    <row r="34" spans="1:6">
      <c r="A34" s="443">
        <v>9</v>
      </c>
      <c r="B34" s="94" t="s">
        <v>37</v>
      </c>
      <c r="C34" s="112">
        <v>0.05</v>
      </c>
      <c r="D34" s="217">
        <f>_xlfn.XLOOKUP($B$4,'Daily KPI'!$A:$A,'Daily KPI'!$AO:$AO)</f>
        <v>1.4072084726503166E-5</v>
      </c>
      <c r="E34" s="97">
        <f>-(D34-C34)/(C34)</f>
        <v>0.99971855830546996</v>
      </c>
      <c r="F34" s="277"/>
    </row>
    <row r="35" spans="1:6">
      <c r="A35" s="444"/>
      <c r="B35" s="98" t="s">
        <v>38</v>
      </c>
      <c r="C35" s="113">
        <v>0.05</v>
      </c>
      <c r="D35" s="218">
        <f>MonthlyKPI!$V$4</f>
        <v>5.422376963996128E-6</v>
      </c>
      <c r="E35" s="101">
        <f>-(D35-C35)/(C35)</f>
        <v>0.99989155246072015</v>
      </c>
      <c r="F35" s="278"/>
    </row>
    <row r="36" spans="1:6" ht="15.75" thickBot="1">
      <c r="A36" s="445"/>
      <c r="B36" s="102" t="s">
        <v>39</v>
      </c>
      <c r="C36" s="113">
        <v>0.05</v>
      </c>
      <c r="D36" s="219">
        <f>AnnualKPI!$S$4</f>
        <v>5.9296796675817177E-5</v>
      </c>
      <c r="E36" s="105">
        <f>-(D36-C36)/(C36)</f>
        <v>0.99881406406648365</v>
      </c>
      <c r="F36" s="279"/>
    </row>
    <row r="37" spans="1:6">
      <c r="A37" s="443">
        <v>10</v>
      </c>
      <c r="B37" s="94" t="s">
        <v>40</v>
      </c>
      <c r="C37" s="214">
        <f>IFERROR(_xlfn.XLOOKUP($B$4,'Daily KPI'!$A:$A,'Daily KPI'!$AI:$AI),"")</f>
        <v>428.57</v>
      </c>
      <c r="D37" s="95">
        <f>IFERROR(_xlfn.XLOOKUP($B$4,'Daily KPI'!$A:$A,'Daily KPI'!$X:$X)/1000,"")</f>
        <v>428.57900000000001</v>
      </c>
      <c r="E37" s="97">
        <f t="shared" si="0"/>
        <v>2.100007000026729E-5</v>
      </c>
      <c r="F37" s="277"/>
    </row>
    <row r="38" spans="1:6">
      <c r="A38" s="444"/>
      <c r="B38" s="98" t="s">
        <v>41</v>
      </c>
      <c r="C38" s="215">
        <f>MonthlyKPI!$T$4</f>
        <v>6163.3200000000006</v>
      </c>
      <c r="D38" s="99">
        <f>IFERROR(SUMIF('Daily KPI'!$D:$D,O2Summary!$B$3,'Daily KPI'!$X:$X)/1000,"")</f>
        <v>6163.384</v>
      </c>
      <c r="E38" s="101">
        <f t="shared" si="0"/>
        <v>1.0384013810640383E-5</v>
      </c>
      <c r="F38" s="278"/>
    </row>
    <row r="39" spans="1:6" ht="15.75" thickBot="1">
      <c r="A39" s="445"/>
      <c r="B39" s="102" t="s">
        <v>42</v>
      </c>
      <c r="C39" s="216">
        <f>AnnualKPI!$Q$4</f>
        <v>26036.987999999998</v>
      </c>
      <c r="D39" s="103">
        <f>IFERROR(SUMIFS('Daily KPI'!$X:$X,'Daily KPI'!$A:$A,"&gt;="&amp;O2Summary!$B$6,'Daily KPI'!$A:$A,"&lt;="&amp;O2Summary!B4)/1000,"")</f>
        <v>26059.81</v>
      </c>
      <c r="E39" s="105">
        <f t="shared" si="0"/>
        <v>8.7652227669359286E-4</v>
      </c>
      <c r="F39" s="279"/>
    </row>
  </sheetData>
  <mergeCells count="11">
    <mergeCell ref="A2:F2"/>
    <mergeCell ref="A10:A12"/>
    <mergeCell ref="A13:A15"/>
    <mergeCell ref="A19:A21"/>
    <mergeCell ref="A22:A24"/>
    <mergeCell ref="A16:A18"/>
    <mergeCell ref="A37:A39"/>
    <mergeCell ref="A25:A27"/>
    <mergeCell ref="A28:A30"/>
    <mergeCell ref="A31:A33"/>
    <mergeCell ref="A34:A36"/>
  </mergeCells>
  <conditionalFormatting sqref="E10:E12">
    <cfRule type="iconSet" priority="11">
      <iconSet iconSet="3Arrows">
        <cfvo type="percent" val="0"/>
        <cfvo type="num" val="-5.0000000000000001E-3"/>
        <cfvo type="num" val="0"/>
      </iconSet>
    </cfRule>
    <cfRule type="dataBar" priority="12">
      <dataBar>
        <cfvo type="min"/>
        <cfvo type="max"/>
        <color theme="4" tint="0.79998168889431442"/>
      </dataBar>
      <extLst>
        <ext xmlns:x14="http://schemas.microsoft.com/office/spreadsheetml/2009/9/main" uri="{B025F937-C7B1-47D3-B67F-A62EFF666E3E}">
          <x14:id>{645D4AC3-9D51-4EFE-8C31-AB3C68E7AA20}</x14:id>
        </ext>
      </extLst>
    </cfRule>
  </conditionalFormatting>
  <conditionalFormatting sqref="E13:E21">
    <cfRule type="iconSet" priority="9">
      <iconSet iconSet="3Arrows">
        <cfvo type="percent" val="0"/>
        <cfvo type="num" val="-5.0000000000000001E-3"/>
        <cfvo type="num" val="0"/>
      </iconSet>
    </cfRule>
    <cfRule type="dataBar" priority="10">
      <dataBar>
        <cfvo type="min"/>
        <cfvo type="max"/>
        <color theme="4" tint="0.79998168889431442"/>
      </dataBar>
      <extLst>
        <ext xmlns:x14="http://schemas.microsoft.com/office/spreadsheetml/2009/9/main" uri="{B025F937-C7B1-47D3-B67F-A62EFF666E3E}">
          <x14:id>{2EB42984-3FBC-4867-A843-8FCBF00ABBF1}</x14:id>
        </ext>
      </extLst>
    </cfRule>
  </conditionalFormatting>
  <conditionalFormatting sqref="E22:E27 E29:E30 E37:E39">
    <cfRule type="iconSet" priority="7">
      <iconSet iconSet="3Arrows">
        <cfvo type="percent" val="0"/>
        <cfvo type="num" val="-5.0000000000000001E-3"/>
        <cfvo type="num" val="0"/>
      </iconSet>
    </cfRule>
    <cfRule type="dataBar" priority="8">
      <dataBar>
        <cfvo type="min"/>
        <cfvo type="max"/>
        <color theme="4" tint="0.79998168889431442"/>
      </dataBar>
      <extLst>
        <ext xmlns:x14="http://schemas.microsoft.com/office/spreadsheetml/2009/9/main" uri="{B025F937-C7B1-47D3-B67F-A62EFF666E3E}">
          <x14:id>{03F3BB45-0252-4F90-B3CD-D9F4E11E333C}</x14:id>
        </ext>
      </extLst>
    </cfRule>
  </conditionalFormatting>
  <conditionalFormatting sqref="E28">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{AB0BDD3B-83F0-48F5-AE46-0C01DC671DCB}</x14:id>
        </ext>
      </extLst>
    </cfRule>
  </conditionalFormatting>
  <conditionalFormatting sqref="E31:E33">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{AA885838-ABC2-4265-A360-03565956E444}</x14:id>
        </ext>
      </extLst>
    </cfRule>
  </conditionalFormatting>
  <conditionalFormatting sqref="E34:E36">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{A8E0FFC3-01FE-4A28-B85B-DCE951B2EFCA}</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645D4AC3-9D51-4EFE-8C31-AB3C68E7AA20}">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2EB42984-3FBC-4867-A843-8FCBF00ABBF1}">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E13:E21</xm:sqref>
        </x14:conditionalFormatting>
        <x14:conditionalFormatting xmlns:xm="http://schemas.microsoft.com/office/excel/2006/main">
          <x14:cfRule type="dataBar" id="{03F3BB45-0252-4F90-B3CD-D9F4E11E333C}">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E22:E27 E29:E30 E37:E39</xm:sqref>
        </x14:conditionalFormatting>
        <x14:conditionalFormatting xmlns:xm="http://schemas.microsoft.com/office/excel/2006/main">
          <x14:cfRule type="dataBar" id="{AB0BDD3B-83F0-48F5-AE46-0C01DC671DCB}">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E28</xm:sqref>
        </x14:conditionalFormatting>
        <x14:conditionalFormatting xmlns:xm="http://schemas.microsoft.com/office/excel/2006/main">
          <x14:cfRule type="dataBar" id="{AA885838-ABC2-4265-A360-03565956E44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E31:E33</xm:sqref>
        </x14:conditionalFormatting>
        <x14:conditionalFormatting xmlns:xm="http://schemas.microsoft.com/office/excel/2006/main">
          <x14:cfRule type="dataBar" id="{A8E0FFC3-01FE-4A28-B85B-DCE951B2EFCA}">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E34:E36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S5"/>
  <sheetViews>
    <sheetView workbookViewId="0">
      <selection activeCell="F4" sqref="F4"/>
    </sheetView>
  </sheetViews>
  <sheetFormatPr defaultColWidth="8.85546875" defaultRowHeight="15"/>
  <cols>
    <col min="1" max="1" width="11" customWidth="1"/>
    <col min="2" max="2" width="10.42578125" customWidth="1"/>
    <col min="3" max="5" width="13.42578125" customWidth="1"/>
    <col min="6" max="6" width="14" customWidth="1"/>
    <col min="7" max="7" width="9.85546875" customWidth="1"/>
    <col min="8" max="8" width="10.42578125" customWidth="1"/>
    <col min="10" max="10" width="9.42578125" customWidth="1"/>
    <col min="11" max="11" width="9" customWidth="1"/>
    <col min="12" max="12" width="9.42578125" customWidth="1"/>
    <col min="14" max="14" width="9.42578125" customWidth="1"/>
    <col min="16" max="16" width="10.28515625" customWidth="1"/>
    <col min="19" max="19" width="9.5703125" customWidth="1"/>
  </cols>
  <sheetData>
    <row r="1" spans="1:19">
      <c r="A1" s="59" t="s">
        <v>43</v>
      </c>
      <c r="B1" s="60">
        <f>O2Summary!B4</f>
        <v>45820</v>
      </c>
      <c r="C1" s="64">
        <f>O2Summary!B3</f>
        <v>45809</v>
      </c>
    </row>
    <row r="2" spans="1:19" ht="21">
      <c r="A2" s="449" t="s">
        <v>44</v>
      </c>
      <c r="B2" s="450"/>
      <c r="C2" s="450"/>
      <c r="D2" s="450"/>
      <c r="E2" s="450"/>
      <c r="F2" s="450"/>
      <c r="G2" s="450"/>
      <c r="H2" s="450"/>
      <c r="I2" s="450"/>
      <c r="J2" s="450"/>
      <c r="K2" s="450"/>
      <c r="L2" s="450"/>
      <c r="M2" s="450"/>
      <c r="N2" s="450"/>
      <c r="O2" s="450"/>
      <c r="P2" s="450"/>
    </row>
    <row r="3" spans="1:19" ht="30.95" customHeight="1">
      <c r="A3" s="74" t="s">
        <v>45</v>
      </c>
      <c r="B3" s="74" t="s">
        <v>46</v>
      </c>
      <c r="C3" s="63" t="s">
        <v>47</v>
      </c>
      <c r="D3" s="63" t="s">
        <v>48</v>
      </c>
      <c r="E3" s="63" t="s">
        <v>49</v>
      </c>
      <c r="F3" s="63" t="s">
        <v>50</v>
      </c>
      <c r="G3" s="63" t="s">
        <v>51</v>
      </c>
      <c r="H3" s="63" t="s">
        <v>52</v>
      </c>
      <c r="I3" s="63" t="s">
        <v>53</v>
      </c>
      <c r="J3" s="63" t="s">
        <v>54</v>
      </c>
      <c r="K3" s="63" t="s">
        <v>55</v>
      </c>
      <c r="L3" s="63" t="s">
        <v>56</v>
      </c>
      <c r="M3" s="63" t="s">
        <v>57</v>
      </c>
      <c r="N3" s="63" t="s">
        <v>58</v>
      </c>
      <c r="O3" s="63" t="s">
        <v>59</v>
      </c>
      <c r="P3" s="63" t="s">
        <v>60</v>
      </c>
      <c r="Q3" s="207" t="s">
        <v>61</v>
      </c>
      <c r="R3" s="207" t="s">
        <v>62</v>
      </c>
      <c r="S3" s="207" t="s">
        <v>63</v>
      </c>
    </row>
    <row r="4" spans="1:19" s="72" customFormat="1" ht="15.75" customHeight="1">
      <c r="A4" s="115">
        <f>YEAR(B1)+IF(MONTH(B1)&gt;=4,1,0)</f>
        <v>2026</v>
      </c>
      <c r="B4" s="65">
        <f>B1-(O2Summary!B6)+1</f>
        <v>73</v>
      </c>
      <c r="C4" s="66">
        <f>_xlfn.XLOOKUP($C$1,'Modelling New'!$D:$D,'Modelling New'!$AD:$AD)</f>
        <v>6.0011277507859377</v>
      </c>
      <c r="D4" s="67">
        <f>AVERAGEIFS('Daily KPI'!$M:$M,'Daily KPI'!$A:$A,"&gt;="&amp;O2Summary!$B$6,'Daily KPI'!$A:$A,"&lt;="&amp;AnnualKPI!$B$1)</f>
        <v>4.6888239062689046</v>
      </c>
      <c r="E4" s="65">
        <f>_xlfn.XLOOKUP($C$1,'Modelling New'!$D:$D,'Modelling New'!$V:$V)</f>
        <v>33551.99845590425</v>
      </c>
      <c r="F4" s="68">
        <f>SUMIFS('Daily KPI'!$AA:$AA,'Daily KPI'!$A:$A,"&gt;="&amp;O2Summary!$B$6,'Daily KPI'!$A:$A,"&lt;="&amp;AnnualKPI!$B$1)/1000</f>
        <v>25573.200000000001</v>
      </c>
      <c r="G4" s="69">
        <f>_xlfn.XLOOKUP($C$1,'Modelling New'!$D:$D,'Modelling New'!$Y:$Y)</f>
        <v>0.24552159038684176</v>
      </c>
      <c r="H4" s="70">
        <f>IFERROR(F4/(B4*24*'Basic Data'!$K$3),"")</f>
        <v>0.18713558131366351</v>
      </c>
      <c r="I4" s="69">
        <f>_xlfn.XLOOKUP($C$1,'Modelling New'!$D:$D,'Modelling New'!$AF:$AF)</f>
        <v>0.995</v>
      </c>
      <c r="J4" s="71">
        <f>AVERAGEIFS('Daily KPI'!$R:$R,'Daily KPI'!$A:$A,"&gt;="&amp;O2Summary!$B$6,'Daily KPI'!$A:$A,"&lt;="&amp;AnnualKPI!$B$1)</f>
        <v>1</v>
      </c>
      <c r="K4" s="69">
        <f>_xlfn.XLOOKUP($C$1,'Modelling New'!$D:$D,'Modelling New'!$AH:$AH)</f>
        <v>0.97</v>
      </c>
      <c r="L4" s="71">
        <f>AVERAGEIFS('Daily KPI'!$P:$P,'Daily KPI'!$A:$A,"&gt;="&amp;O2Summary!$B$6,'Daily KPI'!$A:$A,"&lt;="&amp;AnnualKPI!$B$1)</f>
        <v>0.9285454028605391</v>
      </c>
      <c r="M4" s="69">
        <f>_xlfn.XLOOKUP($C$1,'Modelling New'!$D:$D,'Modelling New'!$AI:$AI)</f>
        <v>0.99</v>
      </c>
      <c r="N4" s="71">
        <f>AVERAGEIFS('Daily KPI'!$Q:$Q,'Daily KPI'!$A:$A,"&gt;="&amp;O2Summary!$B$6,'Daily KPI'!$A:$A,"&lt;="&amp;AnnualKPI!$B$1)</f>
        <v>0.99248468655215272</v>
      </c>
      <c r="O4" s="69">
        <f>K4*M4</f>
        <v>0.96029999999999993</v>
      </c>
      <c r="P4" s="71">
        <f>L4*N4</f>
        <v>0.92156709310748453</v>
      </c>
      <c r="Q4" s="68">
        <f>SUMIFS('Daily KPI'!$AI:$AI,'Daily KPI'!$A:$A,"&gt;="&amp;O2Summary!$B$6,'Daily KPI'!$A:$A,"&lt;="&amp;AnnualKPI!$B$1)</f>
        <v>26036.987999999998</v>
      </c>
      <c r="R4" s="71">
        <f>AVERAGEIFS('Daily KPI'!$AN:$AN,'Daily KPI'!$A:$A,"&gt;="&amp;O2Summary!$B$6,'Daily KPI'!$A:$A,"&lt;="&amp;AnnualKPI!$B$1)</f>
        <v>1.8055193611050395E-2</v>
      </c>
      <c r="S4" s="71">
        <f>AVERAGEIFS('Daily KPI'!$AO:$AO,'Daily KPI'!$A:$A,"&gt;="&amp;O2Summary!$B$6,'Daily KPI'!$A:$A,"&lt;="&amp;AnnualKPI!$B$1)</f>
        <v>5.9296796675817177E-5</v>
      </c>
    </row>
    <row r="5" spans="1:19" ht="26.25" customHeight="1"/>
  </sheetData>
  <sheetProtection algorithmName="SHA-512" hashValue="PDEGxeCQnjx7B3FM5pPV0ee/C6TV/ULrD6XonfMwgcnCk5uedIQQuVKj3mbVmVeeg5i6/P0HVHXRzi9UVZUlrQ==" saltValue="nKlvbCKukBXLW0+7lXDvJA==" spinCount="100000" sheet="1" objects="1" scenarios="1"/>
  <mergeCells count="1">
    <mergeCell ref="A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V18"/>
  <sheetViews>
    <sheetView zoomScale="79" workbookViewId="0">
      <selection activeCell="F11" sqref="F11"/>
    </sheetView>
  </sheetViews>
  <sheetFormatPr defaultColWidth="8.85546875" defaultRowHeight="29.1" customHeight="1"/>
  <cols>
    <col min="1" max="1" width="15" bestFit="1" customWidth="1"/>
    <col min="2" max="3" width="12.28515625" customWidth="1"/>
    <col min="4" max="4" width="12" customWidth="1"/>
    <col min="5" max="5" width="14.85546875" customWidth="1"/>
    <col min="6" max="16" width="12.140625" customWidth="1"/>
    <col min="17" max="17" width="12" customWidth="1"/>
  </cols>
  <sheetData>
    <row r="1" spans="1:22" ht="29.1" customHeight="1">
      <c r="A1" s="59" t="s">
        <v>43</v>
      </c>
      <c r="B1" s="60">
        <f>O2Summary!B4</f>
        <v>45820</v>
      </c>
      <c r="C1" s="61">
        <v>0</v>
      </c>
      <c r="D1" s="61">
        <v>0</v>
      </c>
      <c r="E1" s="61">
        <v>0</v>
      </c>
      <c r="F1" s="61">
        <v>0</v>
      </c>
    </row>
    <row r="2" spans="1:22" ht="29.1" customHeight="1">
      <c r="A2" s="449" t="s">
        <v>64</v>
      </c>
      <c r="B2" s="450"/>
      <c r="C2" s="450"/>
      <c r="D2" s="450"/>
      <c r="E2" s="450"/>
      <c r="F2" s="450"/>
      <c r="G2" s="450"/>
      <c r="H2" s="450"/>
      <c r="I2" s="450"/>
      <c r="J2" s="450"/>
      <c r="K2" s="450"/>
      <c r="L2" s="450"/>
      <c r="M2" s="450"/>
      <c r="N2" s="450"/>
      <c r="O2" s="450"/>
      <c r="P2" s="450"/>
      <c r="Q2" s="450"/>
      <c r="R2" s="450"/>
    </row>
    <row r="3" spans="1:22" ht="29.1" customHeight="1">
      <c r="A3" s="62" t="s">
        <v>45</v>
      </c>
      <c r="B3" s="62" t="s">
        <v>46</v>
      </c>
      <c r="C3" s="63" t="s">
        <v>47</v>
      </c>
      <c r="D3" s="63" t="s">
        <v>48</v>
      </c>
      <c r="E3" s="63" t="s">
        <v>49</v>
      </c>
      <c r="F3" s="63" t="s">
        <v>50</v>
      </c>
      <c r="G3" s="63" t="s">
        <v>51</v>
      </c>
      <c r="H3" s="63" t="s">
        <v>52</v>
      </c>
      <c r="I3" s="63" t="s">
        <v>53</v>
      </c>
      <c r="J3" s="63" t="s">
        <v>54</v>
      </c>
      <c r="K3" s="63" t="s">
        <v>55</v>
      </c>
      <c r="L3" s="63" t="s">
        <v>56</v>
      </c>
      <c r="M3" s="63" t="s">
        <v>65</v>
      </c>
      <c r="N3" s="63" t="s">
        <v>58</v>
      </c>
      <c r="O3" s="63" t="s">
        <v>59</v>
      </c>
      <c r="P3" s="63" t="s">
        <v>60</v>
      </c>
      <c r="Q3" s="63" t="s">
        <v>66</v>
      </c>
      <c r="R3" s="63" t="s">
        <v>67</v>
      </c>
      <c r="S3" s="63" t="s">
        <v>68</v>
      </c>
      <c r="T3" s="207" t="s">
        <v>61</v>
      </c>
      <c r="U3" s="207" t="s">
        <v>62</v>
      </c>
      <c r="V3" s="207" t="s">
        <v>63</v>
      </c>
    </row>
    <row r="4" spans="1:22" s="72" customFormat="1" ht="29.1" customHeight="1">
      <c r="A4" s="64">
        <f>O2Summary!B3</f>
        <v>45809</v>
      </c>
      <c r="B4" s="65">
        <f>DAY(B1)</f>
        <v>12</v>
      </c>
      <c r="C4" s="66">
        <f>_xlfn.XLOOKUP($A$4,'Modelling New'!$D:$D,'Modelling New'!$AC:$AC)</f>
        <v>5.6310997427836513</v>
      </c>
      <c r="D4" s="67">
        <f>AVERAGEIF('Daily KPI'!$D:$D,$A$4,'Daily KPI'!$M:$M)</f>
        <v>5.2194593241123606</v>
      </c>
      <c r="E4" s="65">
        <f>_xlfn.XLOOKUP($A$4,'Modelling New'!$D:$D,'Modelling New'!$U:$U)</f>
        <v>6015.3041053617653</v>
      </c>
      <c r="F4" s="68">
        <f>SUMIFS('Daily KPI'!$AA:$AA,'Daily KPI'!$D:$D,$A$4)/1000</f>
        <v>6106.8</v>
      </c>
      <c r="G4" s="69">
        <f>_xlfn.XLOOKUP($A$4,'Modelling New'!$D:$D,'Modelling New'!$X:$X)</f>
        <v>0.26777528959053443</v>
      </c>
      <c r="H4" s="70">
        <f>F4/(24*B4*'Basic Data'!$K$3)</f>
        <v>0.27184829059829063</v>
      </c>
      <c r="I4" s="69">
        <f>_xlfn.XLOOKUP($A$4,'Modelling New'!$D:$D,'Modelling New'!$AF:$AF)</f>
        <v>0.995</v>
      </c>
      <c r="J4" s="70">
        <f>AVERAGEIFS('Daily KPI'!$R:$R,'Daily KPI'!$A:$A,"&lt;="&amp;MonthlyKPI!$B$1,'Daily KPI'!$D:$D,$A$4)</f>
        <v>1</v>
      </c>
      <c r="K4" s="69">
        <f>_xlfn.XLOOKUP($A$4,'Modelling New'!$D:$D,'Modelling New'!$AH:$AH)</f>
        <v>0.97</v>
      </c>
      <c r="L4" s="70">
        <f>AVERAGEIFS('Daily KPI'!$P:$P,'Daily KPI'!$A:$A,"&lt;="&amp;MonthlyKPI!$B$1,'Daily KPI'!$D:$D,$A$4)</f>
        <v>0.94173293603657171</v>
      </c>
      <c r="M4" s="69">
        <f>_xlfn.XLOOKUP($A$4,'Modelling New'!$D:$D,'Modelling New'!$AI:$AI)</f>
        <v>0.99</v>
      </c>
      <c r="N4" s="70">
        <f>AVERAGEIFS('Daily KPI'!$Q:$Q,'Daily KPI'!$A:$A,"&lt;="&amp;MonthlyKPI!$B$1,'Daily KPI'!$D:$D,$A$4)</f>
        <v>0.98677688283428644</v>
      </c>
      <c r="O4" s="69">
        <f>K4*M4</f>
        <v>0.96029999999999993</v>
      </c>
      <c r="P4" s="71">
        <f>L4*N4</f>
        <v>0.92928029108454868</v>
      </c>
      <c r="Q4" s="65">
        <f>SUMIFS('Daily KPI'!$X:$X,'Daily KPI'!$D:$D,$A$4)/1000</f>
        <v>6163.384</v>
      </c>
      <c r="R4" s="71">
        <f>Q4/F4-1</f>
        <v>9.2657365559702942E-3</v>
      </c>
      <c r="S4" s="65">
        <f>SUMIFS(Input_Raw!DE:DE,Input_Raw!A:A,"&gt;="&amp;A4,Input_Raw!A:A,"&lt;="&amp;B1)/1000</f>
        <v>6.1633200000000006</v>
      </c>
      <c r="T4" s="68">
        <f>SUMIFS('Daily KPI'!$AI:$AI,'Daily KPI'!$D:$D,$A$4)</f>
        <v>6163.3200000000006</v>
      </c>
      <c r="U4" s="70">
        <f>IFERROR(AVERAGEIFS('Daily KPI'!$AN:$AN,'Daily KPI'!$D:$D,MonthlyKPI!$A$4,'Daily KPI'!$A:$A,"&lt;="&amp;MonthlyKPI!$B$1),"")</f>
        <v>1.0148533168198109E-2</v>
      </c>
      <c r="V4" s="71">
        <f>AVERAGEIFS('Daily KPI'!$AO:$AO,'Daily KPI'!$A:$A,"&lt;="&amp;MonthlyKPI!$B$1,'Daily KPI'!$D:$D,$A$4)</f>
        <v>5.422376963996128E-6</v>
      </c>
    </row>
    <row r="6" spans="1:22" ht="29.1" customHeight="1">
      <c r="Q6" s="3"/>
    </row>
    <row r="7" spans="1:22" ht="29.1" customHeight="1">
      <c r="A7" s="59" t="s">
        <v>69</v>
      </c>
      <c r="B7" s="60">
        <f>B8-6</f>
        <v>45814</v>
      </c>
      <c r="D7" s="73"/>
      <c r="F7" s="73"/>
    </row>
    <row r="8" spans="1:22" ht="29.1" customHeight="1">
      <c r="A8" s="59" t="s">
        <v>70</v>
      </c>
      <c r="B8" s="60">
        <f>B1</f>
        <v>45820</v>
      </c>
    </row>
    <row r="9" spans="1:22" ht="29.1" customHeight="1">
      <c r="A9" s="449" t="s">
        <v>71</v>
      </c>
      <c r="B9" s="450"/>
      <c r="C9" s="450"/>
      <c r="D9" s="450"/>
      <c r="E9" s="450"/>
      <c r="F9" s="450"/>
      <c r="G9" s="450"/>
      <c r="H9" s="450"/>
      <c r="I9" s="450"/>
      <c r="J9" s="450"/>
      <c r="K9" s="450"/>
      <c r="L9" s="450"/>
      <c r="M9" s="450"/>
      <c r="N9" s="450"/>
      <c r="O9" s="450"/>
      <c r="P9" s="450"/>
    </row>
    <row r="10" spans="1:22" ht="29.1" customHeight="1">
      <c r="A10" s="62" t="s">
        <v>45</v>
      </c>
      <c r="B10" s="62" t="s">
        <v>46</v>
      </c>
      <c r="C10" s="63" t="s">
        <v>47</v>
      </c>
      <c r="D10" s="63" t="s">
        <v>48</v>
      </c>
      <c r="E10" s="63" t="s">
        <v>49</v>
      </c>
      <c r="F10" s="63" t="s">
        <v>50</v>
      </c>
      <c r="G10" s="63" t="s">
        <v>51</v>
      </c>
      <c r="H10" s="63" t="s">
        <v>52</v>
      </c>
      <c r="I10" s="63" t="s">
        <v>53</v>
      </c>
      <c r="J10" s="63" t="s">
        <v>54</v>
      </c>
      <c r="K10" s="63" t="s">
        <v>55</v>
      </c>
      <c r="L10" s="63" t="s">
        <v>56</v>
      </c>
      <c r="M10" s="63" t="s">
        <v>65</v>
      </c>
      <c r="N10" s="63" t="s">
        <v>58</v>
      </c>
      <c r="O10" s="63" t="s">
        <v>59</v>
      </c>
      <c r="P10" s="63" t="s">
        <v>60</v>
      </c>
      <c r="Q10" s="63" t="s">
        <v>68</v>
      </c>
    </row>
    <row r="11" spans="1:22" s="72" customFormat="1" ht="29.1" customHeight="1">
      <c r="A11" s="64">
        <f>A4</f>
        <v>45809</v>
      </c>
      <c r="B11" s="65">
        <f>(B8-B7)+1</f>
        <v>7</v>
      </c>
      <c r="C11" s="66">
        <f>_xlfn.XLOOKUP($A$11,'Modelling New'!$D:$D,'Modelling New'!$AC:$AC)</f>
        <v>5.6310997427836513</v>
      </c>
      <c r="D11" s="67">
        <f>AVERAGEIFS('Daily KPI'!$M:$M,'Daily KPI'!$A:$A,"&gt;="&amp;$B$7,'Daily KPI'!$A:$A,"&lt;="&amp;$B$8)</f>
        <v>5.3327545257069762</v>
      </c>
      <c r="E11" s="65">
        <f>SUMIFS('Daily KPI'!$AD:$AD,'Daily KPI'!$A:$A,"&gt;="&amp;$B$7,'Daily KPI'!$A:$A,"&lt;="&amp;$B$8)/1000</f>
        <v>3508.9273947943625</v>
      </c>
      <c r="F11" s="68">
        <f>SUMIFS('Daily KPI'!$AA:$AA,'Daily KPI'!$A:$A,"&gt;="&amp;$B$7,'Daily KPI'!$A:$A,"&lt;="&amp;$B$8)/1000</f>
        <v>3790.8</v>
      </c>
      <c r="G11" s="69">
        <f>E11/(24*$B$11*'Basic Data'!$K$3)</f>
        <v>0.26777528959053437</v>
      </c>
      <c r="H11" s="70">
        <f>F11/(24*B11*'Basic Data'!$K$3)</f>
        <v>0.28928571428571431</v>
      </c>
      <c r="I11" s="69">
        <f>_xlfn.XLOOKUP($A$4,'Modelling New'!$D:$D,'Modelling New'!$AF:$AF)</f>
        <v>0.995</v>
      </c>
      <c r="J11" s="70">
        <f>AVERAGEIFS('Daily KPI'!$R:$R,'Daily KPI'!$A:$A,"&gt;="&amp;$B$7,'Daily KPI'!$A:$A,"&lt;="&amp;$B$8)</f>
        <v>1</v>
      </c>
      <c r="K11" s="69">
        <f>_xlfn.XLOOKUP($A$4,'Modelling New'!$D:$D,'Modelling New'!$AH:$AH)</f>
        <v>0.97</v>
      </c>
      <c r="L11" s="70">
        <f>AVERAGEIFS('Daily KPI'!$P:$P,'Daily KPI'!$A:$A,"&gt;="&amp;$B$7,'Daily KPI'!$A:$A,"&lt;="&amp;$B$8)</f>
        <v>0.93987414565547933</v>
      </c>
      <c r="M11" s="69">
        <f>_xlfn.XLOOKUP($A$4,'Modelling New'!$D:$D,'Modelling New'!$AI:$AI)</f>
        <v>0.99</v>
      </c>
      <c r="N11" s="70">
        <f>AVERAGEIFS('Daily KPI'!$Q:$Q,'Daily KPI'!$A:$A,"&gt;="&amp;$B$7,'Daily KPI'!$A:$A,"&lt;="&amp;$B$8)</f>
        <v>0.99706953251757191</v>
      </c>
      <c r="O11" s="69">
        <f>K11*M11</f>
        <v>0.96029999999999993</v>
      </c>
      <c r="P11" s="71">
        <f>L11*N11</f>
        <v>0.93711987503406102</v>
      </c>
      <c r="Q11" s="65">
        <f>SUMIFS(Input_Raw!DE:DE,Input_Raw!A:A,"&gt;="&amp;B7,Input_Raw!A:A,"&lt;="&amp;B8)/1000</f>
        <v>3.8287999999999998</v>
      </c>
      <c r="R11"/>
    </row>
    <row r="14" spans="1:22" ht="29.1" customHeight="1">
      <c r="A14" s="59" t="s">
        <v>69</v>
      </c>
      <c r="B14" s="60">
        <f>B15-29</f>
        <v>45791</v>
      </c>
      <c r="D14" s="73"/>
      <c r="F14" s="73"/>
    </row>
    <row r="15" spans="1:22" ht="29.1" customHeight="1">
      <c r="A15" s="59" t="s">
        <v>70</v>
      </c>
      <c r="B15" s="60">
        <f>B8</f>
        <v>45820</v>
      </c>
    </row>
    <row r="16" spans="1:22" ht="29.1" customHeight="1">
      <c r="A16" s="449" t="s">
        <v>72</v>
      </c>
      <c r="B16" s="450"/>
      <c r="C16" s="450"/>
      <c r="D16" s="450"/>
      <c r="E16" s="450"/>
      <c r="F16" s="450"/>
      <c r="G16" s="450"/>
      <c r="H16" s="450"/>
      <c r="I16" s="450"/>
      <c r="J16" s="450"/>
      <c r="K16" s="450"/>
      <c r="L16" s="450"/>
      <c r="M16" s="450"/>
      <c r="N16" s="450"/>
      <c r="O16" s="450"/>
      <c r="P16" s="450"/>
    </row>
    <row r="17" spans="1:18" ht="29.1" customHeight="1">
      <c r="A17" s="62" t="s">
        <v>45</v>
      </c>
      <c r="B17" s="62" t="s">
        <v>46</v>
      </c>
      <c r="C17" s="63" t="s">
        <v>47</v>
      </c>
      <c r="D17" s="63" t="s">
        <v>48</v>
      </c>
      <c r="E17" s="63" t="s">
        <v>49</v>
      </c>
      <c r="F17" s="63" t="s">
        <v>50</v>
      </c>
      <c r="G17" s="63" t="s">
        <v>51</v>
      </c>
      <c r="H17" s="63" t="s">
        <v>52</v>
      </c>
      <c r="I17" s="63" t="s">
        <v>53</v>
      </c>
      <c r="J17" s="63" t="s">
        <v>54</v>
      </c>
      <c r="K17" s="63" t="s">
        <v>55</v>
      </c>
      <c r="L17" s="63" t="s">
        <v>56</v>
      </c>
      <c r="M17" s="63" t="s">
        <v>65</v>
      </c>
      <c r="N17" s="63" t="s">
        <v>58</v>
      </c>
      <c r="O17" s="63" t="s">
        <v>59</v>
      </c>
      <c r="P17" s="63" t="s">
        <v>60</v>
      </c>
    </row>
    <row r="18" spans="1:18" s="72" customFormat="1" ht="29.1" customHeight="1">
      <c r="A18" s="64">
        <f>A11</f>
        <v>45809</v>
      </c>
      <c r="B18" s="65">
        <f>(B15-B14)+1</f>
        <v>30</v>
      </c>
      <c r="C18" s="66">
        <f>_xlfn.XLOOKUP($A$18,'Modelling New'!$D:$D,'Modelling New'!$AC:$AC)</f>
        <v>5.6310997427836513</v>
      </c>
      <c r="D18" s="67">
        <f>AVERAGEIFS('Daily KPI'!$M:$M,'Daily KPI'!$A:$A,"&gt;="&amp;$B$14,'Daily KPI'!$A:$A,"&lt;="&amp;$B$15)</f>
        <v>4.6345190641578231</v>
      </c>
      <c r="E18" s="65">
        <f>SUMIFS('Daily KPI'!$AD:$AD,'Daily KPI'!$A:$A,"&gt;="&amp;$B$14,'Daily KPI'!$A:$A,"&lt;="&amp;$B$15)/1000</f>
        <v>16066.295173230683</v>
      </c>
      <c r="F18" s="68">
        <f>SUMIFS('Daily KPI'!$AA:$AA,'Daily KPI'!$A:$A,"&gt;="&amp;$B$14,'Daily KPI'!$A:$A,"&lt;="&amp;$B$15)/1000</f>
        <v>11270.4</v>
      </c>
      <c r="G18" s="69">
        <f>E18/(24*$B$18*'Basic Data'!$K$3)</f>
        <v>0.28608075450909337</v>
      </c>
      <c r="H18" s="70">
        <f>F18/(24*B18*'Basic Data'!$K$3)</f>
        <v>0.20068376068376068</v>
      </c>
      <c r="I18" s="69">
        <f>_xlfn.XLOOKUP($A$4,'Modelling New'!$D:$D,'Modelling New'!$AF:$AF)</f>
        <v>0.995</v>
      </c>
      <c r="J18" s="70">
        <f>AVERAGEIFS('Daily KPI'!$R:$R,'Daily KPI'!$A:$A,"&gt;="&amp;$B$14,'Daily KPI'!$A:$A,"&lt;="&amp;$B$15)</f>
        <v>1</v>
      </c>
      <c r="K18" s="69">
        <f>_xlfn.XLOOKUP($A$4,'Modelling New'!$D:$D,'Modelling New'!$AH:$AH)</f>
        <v>0.97</v>
      </c>
      <c r="L18" s="70">
        <f>AVERAGEIFS('Daily KPI'!$P:$P,'Daily KPI'!$A:$A,"&gt;="&amp;$B$14,'Daily KPI'!$A:$A,"&lt;="&amp;$B$15)</f>
        <v>0.93290597940714948</v>
      </c>
      <c r="M18" s="69">
        <f>_xlfn.XLOOKUP($A$4,'Modelling New'!$D:$D,'Modelling New'!$AI:$AI)</f>
        <v>0.99</v>
      </c>
      <c r="N18" s="70">
        <f>AVERAGEIFS('Daily KPI'!$Q:$Q,'Daily KPI'!$A:$A,"&gt;="&amp;$B$14,'Daily KPI'!$A:$A,"&lt;="&amp;$B$15)</f>
        <v>0.9850473225407772</v>
      </c>
      <c r="O18" s="69">
        <f>K18*M18</f>
        <v>0.96029999999999993</v>
      </c>
      <c r="P18" s="71">
        <f>L18*N18</f>
        <v>0.91895653719729398</v>
      </c>
      <c r="Q18"/>
      <c r="R18"/>
    </row>
  </sheetData>
  <sheetProtection algorithmName="SHA-512" hashValue="IHJFjhSmYIt3Ml7WQxdKFa43Epb+U5exvLAIN/vYDF2kHYoXM9xwsY7y2X5yBYN3RRuvPAnCrV6AV/dQFioICg==" saltValue="vi5sAfMpxsZNCHVcAqBsMg==" spinCount="100000" sheet="1" objects="1" scenarios="1"/>
  <mergeCells count="3">
    <mergeCell ref="A2:R2"/>
    <mergeCell ref="A9:P9"/>
    <mergeCell ref="A16:P16"/>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014D3-A9B3-483F-9B0B-E5DB3F5F354E}">
  <dimension ref="A1:AS369"/>
  <sheetViews>
    <sheetView workbookViewId="0">
      <pane xSplit="1" ySplit="1" topLeftCell="M50" activePane="bottomRight" state="frozen"/>
      <selection pane="bottomRight" activeCell="AU63" sqref="AU63"/>
      <selection pane="bottomLeft" activeCell="AB39" sqref="AB39"/>
      <selection pane="topRight" activeCell="AB39" sqref="AB39"/>
    </sheetView>
  </sheetViews>
  <sheetFormatPr defaultRowHeight="15"/>
  <cols>
    <col min="1" max="1" width="13" customWidth="1"/>
    <col min="2" max="5" width="9" customWidth="1"/>
    <col min="6" max="9" width="10.28515625" customWidth="1"/>
    <col min="10" max="12" width="11.28515625" customWidth="1"/>
    <col min="13" max="13" width="15.140625" bestFit="1" customWidth="1"/>
    <col min="14" max="39" width="11.28515625" customWidth="1"/>
    <col min="40" max="40" width="11.28515625" style="190" customWidth="1"/>
    <col min="41" max="43" width="11.28515625" customWidth="1"/>
  </cols>
  <sheetData>
    <row r="1" spans="1:45" ht="60">
      <c r="A1" s="176" t="s">
        <v>73</v>
      </c>
      <c r="B1" s="177" t="s">
        <v>3</v>
      </c>
      <c r="C1" s="177" t="s">
        <v>74</v>
      </c>
      <c r="D1" s="177" t="s">
        <v>75</v>
      </c>
      <c r="E1" s="177" t="s">
        <v>46</v>
      </c>
      <c r="F1" s="178" t="s">
        <v>76</v>
      </c>
      <c r="G1" s="178" t="s">
        <v>77</v>
      </c>
      <c r="H1" s="178" t="s">
        <v>78</v>
      </c>
      <c r="I1" s="178" t="s">
        <v>79</v>
      </c>
      <c r="J1" s="178" t="s">
        <v>80</v>
      </c>
      <c r="K1" s="178" t="s">
        <v>81</v>
      </c>
      <c r="L1" s="178" t="s">
        <v>82</v>
      </c>
      <c r="M1" s="178" t="s">
        <v>83</v>
      </c>
      <c r="N1" s="178" t="s">
        <v>84</v>
      </c>
      <c r="O1" s="178" t="s">
        <v>85</v>
      </c>
      <c r="P1" s="178" t="s">
        <v>86</v>
      </c>
      <c r="Q1" s="178" t="s">
        <v>87</v>
      </c>
      <c r="R1" s="178" t="s">
        <v>88</v>
      </c>
      <c r="S1" s="178" t="s">
        <v>89</v>
      </c>
      <c r="T1" s="178" t="s">
        <v>90</v>
      </c>
      <c r="U1" s="178" t="s">
        <v>91</v>
      </c>
      <c r="V1" s="178" t="s">
        <v>92</v>
      </c>
      <c r="W1" s="178" t="s">
        <v>93</v>
      </c>
      <c r="X1" s="178" t="s">
        <v>94</v>
      </c>
      <c r="Y1" s="178" t="s">
        <v>95</v>
      </c>
      <c r="Z1" s="178" t="s">
        <v>96</v>
      </c>
      <c r="AA1" s="178" t="s">
        <v>97</v>
      </c>
      <c r="AB1" s="178" t="s">
        <v>98</v>
      </c>
      <c r="AC1" s="178" t="s">
        <v>99</v>
      </c>
      <c r="AD1" s="178" t="s">
        <v>100</v>
      </c>
      <c r="AE1" s="178" t="s">
        <v>101</v>
      </c>
      <c r="AF1" s="178" t="s">
        <v>102</v>
      </c>
      <c r="AG1" s="178" t="s">
        <v>103</v>
      </c>
      <c r="AH1" s="178" t="s">
        <v>104</v>
      </c>
      <c r="AI1" s="178" t="s">
        <v>61</v>
      </c>
      <c r="AJ1" s="178" t="s">
        <v>105</v>
      </c>
      <c r="AK1" s="178" t="s">
        <v>106</v>
      </c>
      <c r="AL1" s="178" t="s">
        <v>107</v>
      </c>
      <c r="AM1" s="178" t="s">
        <v>108</v>
      </c>
      <c r="AN1" s="179" t="s">
        <v>109</v>
      </c>
      <c r="AO1" s="178" t="s">
        <v>63</v>
      </c>
      <c r="AP1" s="178" t="s">
        <v>110</v>
      </c>
      <c r="AQ1" s="178" t="s">
        <v>111</v>
      </c>
      <c r="AR1" s="178" t="s">
        <v>112</v>
      </c>
      <c r="AS1" s="178" t="s">
        <v>113</v>
      </c>
    </row>
    <row r="2" spans="1:45">
      <c r="A2" s="180">
        <v>45745</v>
      </c>
      <c r="B2" s="169">
        <f>YEAR(Table13[[#This Row],[Date]])+IF(MONTH(Table13[[#This Row],[Date]])&gt;=4,1,0)</f>
        <v>2025</v>
      </c>
      <c r="C2" s="167">
        <f>YEAR(Table13[[#This Row],[Date]])</f>
        <v>2025</v>
      </c>
      <c r="D2" s="181">
        <f>Table13[[#This Row],[Date]]-DAY(Table13[[#This Row],[Date]])+1</f>
        <v>45717</v>
      </c>
      <c r="E2" s="167">
        <f t="shared" ref="E2:E35" si="0">DAY(EOMONTH(A2,0))</f>
        <v>31</v>
      </c>
      <c r="F2" s="170"/>
      <c r="G2" s="171"/>
      <c r="H2" s="171"/>
      <c r="I2" s="171"/>
      <c r="J2" s="171"/>
      <c r="K2" s="182"/>
      <c r="L2" s="171"/>
      <c r="M2" s="171">
        <f>IFERROR(_xlfn.XLOOKUP($A2,Input_Raw!$A:$A,Input_Raw!CG:CG),"")</f>
        <v>3.5474358974358982</v>
      </c>
      <c r="N2" s="171">
        <f>IFERROR(_xlfn.XLOOKUP($A2,Input_Raw!$A:$A,Input_Raw!CH:CH),"")</f>
        <v>0</v>
      </c>
      <c r="O2" s="183" t="str">
        <f t="shared" ref="O2:O36" si="1">IFERROR(P2*Q2,"")</f>
        <v/>
      </c>
      <c r="P2" s="183" t="str">
        <f>IFERROR(1-SUMIF(WTG_BD!$B:$B,$A2,WTG_BD!$AB:$AB)/($AA2+SUMIF(WTG_BD!$B:$B,$A2,WTG_BD!$AB:$AB)),"")</f>
        <v/>
      </c>
      <c r="Q2" s="184" t="str">
        <f>IFERROR(1-SUMIF(IGA_BD!$B:$B,$A2,IGA_BD!$X:$X)/($AA2+SUMIF(IGA_BD!$B:$B,$A2,IGA_BD!$X:$X)),"")</f>
        <v/>
      </c>
      <c r="R2" s="189" t="str">
        <f>IFERROR(1-SUMIF(Grid_BD!$B:$B,$A2,Grid_BD!$V:$V)/($AA2+SUMIF(Grid_BD!$B:$B,$A2,Grid_BD!$V:$V)),"")</f>
        <v/>
      </c>
      <c r="S2" s="167"/>
      <c r="T2" s="184"/>
      <c r="U2" s="185"/>
      <c r="V2" s="167"/>
      <c r="W2" s="186" t="str">
        <f>IFERROR(Table13[[#This Row],[Mtr_Net_Exp (KWh)]]/(24*AR2*1000),"")</f>
        <v/>
      </c>
      <c r="X2" s="167">
        <f>IFERROR(_xlfn.XLOOKUP($A2,Input_Raw!$A:$A,Input_Raw!$CF:$CF),"")</f>
        <v>125761</v>
      </c>
      <c r="Y2" s="167" t="str">
        <f>IFERROR(_xlfn.XLOOKUP($A2,Input_Raw!$A:$A,Input_Raw!$CZ:$CZ),"")</f>
        <v/>
      </c>
      <c r="Z2" s="167" t="str">
        <f>IFERROR(_xlfn.XLOOKUP($A2,Input_Raw!$A:$A,Input_Raw!$DA:$DA),"")</f>
        <v/>
      </c>
      <c r="AA2" s="169" t="str">
        <f t="shared" ref="AA2:AA35" si="2">IFERROR(Y2-Z2,"")</f>
        <v/>
      </c>
      <c r="AB2" s="167">
        <f>IFERROR(_xlfn.XLOOKUP($A2,Input_Raw!$A:$A,Input_Raw!$DG:$DG),"")</f>
        <v>80</v>
      </c>
      <c r="AC2" s="187">
        <f>IFERROR(_xlfn.XLOOKUP($D2,'Modelling New'!$D:$D,'Modelling New'!$J:$J),"")</f>
        <v>4.5999999999999996</v>
      </c>
      <c r="AD2" s="169">
        <f>IFERROR(_xlfn.XLOOKUP($D2,'Modelling New'!$D:$D,'Modelling New'!$T:$T)*1000,"")</f>
        <v>257758.06451612903</v>
      </c>
      <c r="AE2" s="186"/>
      <c r="AF2" s="186">
        <f>IFERROR(_xlfn.XLOOKUP($D2,'Modelling New'!$D:$D,'Modelling New'!$W:$W),"")</f>
        <v>0.13424899193548387</v>
      </c>
      <c r="AG2" s="186">
        <f>IFERROR(_xlfn.XLOOKUP($D2,'Modelling New'!$D:$D,'Modelling New'!$AE:$AE),"")</f>
        <v>0.96029999999999993</v>
      </c>
      <c r="AH2" s="186">
        <f>IFERROR(_xlfn.XLOOKUP($D2,'Modelling New'!$D:$D,'Modelling New'!$AF:$AF),"")</f>
        <v>0.995</v>
      </c>
      <c r="AI2" s="167">
        <f>IFERROR(_xlfn.XLOOKUP($A2,Input_Raw!$A:$A,Input_Raw!$DE:$DE),"")</f>
        <v>0</v>
      </c>
      <c r="AJ2" s="167"/>
      <c r="AK2" s="167"/>
      <c r="AL2" s="167"/>
      <c r="AM2" s="167"/>
      <c r="AN2" s="188">
        <f>IFERROR(_xlfn.XLOOKUP($A2,Input_Raw!$A:$A,Input_Raw!$DB:$DB),"")</f>
        <v>0</v>
      </c>
      <c r="AO2" s="186">
        <f>IFERROR((_xlfn.XLOOKUP($A2,'WTG Reactive Power'!$A:$A,'WTG Reactive Power'!$AR:$AR))/X2/1000,"")</f>
        <v>0</v>
      </c>
      <c r="AP2" s="186">
        <f>IFERROR(_xlfn.XLOOKUP($D2,'Modelling New'!$D:$D,'Modelling New'!$AK:$AK),"")</f>
        <v>0.05</v>
      </c>
      <c r="AQ2" s="186">
        <f>IFERROR(_xlfn.XLOOKUP($D2,'Modelling New'!$D:$D,'Modelling New'!$AL:$AL),"")</f>
        <v>0.05</v>
      </c>
      <c r="AR2">
        <f>IFERROR(_xlfn.XLOOKUP($D2,'Modelling New'!$D:$D,'Modelling New'!$N:$N),"")</f>
        <v>80</v>
      </c>
    </row>
    <row r="3" spans="1:45">
      <c r="A3" s="180">
        <f t="shared" ref="A3:A37" si="3">A2+1</f>
        <v>45746</v>
      </c>
      <c r="B3" s="169">
        <f>YEAR(Table13[[#This Row],[Date]])+IF(MONTH(Table13[[#This Row],[Date]])&gt;=4,1,0)</f>
        <v>2025</v>
      </c>
      <c r="C3" s="167">
        <f>YEAR(Table13[[#This Row],[Date]])</f>
        <v>2025</v>
      </c>
      <c r="D3" s="181">
        <f>Table13[[#This Row],[Date]]-DAY(Table13[[#This Row],[Date]])+1</f>
        <v>45717</v>
      </c>
      <c r="E3" s="167">
        <f t="shared" si="0"/>
        <v>31</v>
      </c>
      <c r="F3" s="170"/>
      <c r="G3" s="171"/>
      <c r="H3" s="171"/>
      <c r="I3" s="171"/>
      <c r="J3" s="171"/>
      <c r="K3" s="182"/>
      <c r="L3" s="171"/>
      <c r="M3" s="171">
        <f>IFERROR(_xlfn.XLOOKUP($A3,Input_Raw!$A:$A,Input_Raw!CG:CG),"")</f>
        <v>3.5682051282051273</v>
      </c>
      <c r="N3" s="171">
        <f>IFERROR(_xlfn.XLOOKUP($A3,Input_Raw!$A:$A,Input_Raw!CH:CH),"")</f>
        <v>0</v>
      </c>
      <c r="O3" s="183">
        <f t="shared" si="1"/>
        <v>0.92812029492023151</v>
      </c>
      <c r="P3" s="183">
        <f>IFERROR(1-SUMIF(WTG_BD!$B:$B,$A3,WTG_BD!$AB:$AB)/($AA3+SUMIF(WTG_BD!$B:$B,$A3,WTG_BD!$AB:$AB)),"")</f>
        <v>0.92812029492023151</v>
      </c>
      <c r="Q3" s="184">
        <f>IFERROR(1-SUMIF(IGA_BD!$B:$B,$A3,IGA_BD!$X:$X)/($AA3+SUMIF(IGA_BD!$B:$B,$A3,IGA_BD!$X:$X)),"")</f>
        <v>1</v>
      </c>
      <c r="R3" s="189">
        <f>IFERROR(1-SUMIF(Grid_BD!$B:$B,$A3,Grid_BD!$V:$V)/($AA3+SUMIF(Grid_BD!$B:$B,$A3,Grid_BD!$V:$V)),"")</f>
        <v>1</v>
      </c>
      <c r="S3" s="167"/>
      <c r="T3" s="184"/>
      <c r="U3" s="185"/>
      <c r="V3" s="167"/>
      <c r="W3" s="186">
        <f>IFERROR(Table13[[#This Row],[Mtr_Net_Exp (KWh)]]/(24*AR3*1000),"")</f>
        <v>4.9375000000000002E-2</v>
      </c>
      <c r="X3" s="167">
        <f>IFERROR(_xlfn.XLOOKUP($A3,Input_Raw!$A:$A,Input_Raw!$CF:$CF),"")</f>
        <v>111431</v>
      </c>
      <c r="Y3" s="167">
        <f>IFERROR(_xlfn.XLOOKUP($A3,Input_Raw!$A:$A,Input_Raw!$CZ:$CZ),"")</f>
        <v>99600</v>
      </c>
      <c r="Z3" s="167">
        <f>IFERROR(_xlfn.XLOOKUP($A3,Input_Raw!$A:$A,Input_Raw!$DA:$DA),"")</f>
        <v>4800</v>
      </c>
      <c r="AA3" s="169">
        <f t="shared" si="2"/>
        <v>94800</v>
      </c>
      <c r="AB3" s="167">
        <f>IFERROR(_xlfn.XLOOKUP($A3,Input_Raw!$A:$A,Input_Raw!$DG:$DG),"")</f>
        <v>80</v>
      </c>
      <c r="AC3" s="187">
        <f>IFERROR(_xlfn.XLOOKUP($D3,'Modelling New'!$D:$D,'Modelling New'!$J:$J),"")</f>
        <v>4.5999999999999996</v>
      </c>
      <c r="AD3" s="169">
        <f>IFERROR(_xlfn.XLOOKUP($D3,'Modelling New'!$D:$D,'Modelling New'!$T:$T)*1000,"")</f>
        <v>257758.06451612903</v>
      </c>
      <c r="AE3" s="186"/>
      <c r="AF3" s="186">
        <f>IFERROR(_xlfn.XLOOKUP($D3,'Modelling New'!$D:$D,'Modelling New'!$W:$W),"")</f>
        <v>0.13424899193548387</v>
      </c>
      <c r="AG3" s="186">
        <f>IFERROR(_xlfn.XLOOKUP($D3,'Modelling New'!$D:$D,'Modelling New'!$AE:$AE),"")</f>
        <v>0.96029999999999993</v>
      </c>
      <c r="AH3" s="186">
        <f>IFERROR(_xlfn.XLOOKUP($D3,'Modelling New'!$D:$D,'Modelling New'!$AF:$AF),"")</f>
        <v>0.995</v>
      </c>
      <c r="AI3" s="167">
        <f>IFERROR(_xlfn.XLOOKUP($A3,Input_Raw!$A:$A,Input_Raw!$DE:$DE),"")</f>
        <v>0</v>
      </c>
      <c r="AJ3" s="167"/>
      <c r="AK3" s="167"/>
      <c r="AL3" s="167"/>
      <c r="AM3" s="167"/>
      <c r="AN3" s="188">
        <f>IFERROR(_xlfn.XLOOKUP($A3,Input_Raw!$A:$A,Input_Raw!$DB:$DB),"")</f>
        <v>0.10617332699159121</v>
      </c>
      <c r="AO3" s="186">
        <f>IFERROR((_xlfn.XLOOKUP($A3,'WTG Reactive Power'!$A:$A,'WTG Reactive Power'!$AR:$AR))/X3/1000,"")</f>
        <v>0</v>
      </c>
      <c r="AP3" s="186">
        <f>IFERROR(_xlfn.XLOOKUP($D3,'Modelling New'!$D:$D,'Modelling New'!$AK:$AK),"")</f>
        <v>0.05</v>
      </c>
      <c r="AQ3" s="186">
        <f>IFERROR(_xlfn.XLOOKUP($D3,'Modelling New'!$D:$D,'Modelling New'!$AL:$AL),"")</f>
        <v>0.05</v>
      </c>
      <c r="AR3">
        <f>IFERROR(_xlfn.XLOOKUP($D3,'Modelling New'!$D:$D,'Modelling New'!$N:$N),"")</f>
        <v>80</v>
      </c>
    </row>
    <row r="4" spans="1:45">
      <c r="A4" s="180">
        <f t="shared" si="3"/>
        <v>45747</v>
      </c>
      <c r="B4" s="169">
        <f>YEAR(Table13[[#This Row],[Date]])+IF(MONTH(Table13[[#This Row],[Date]])&gt;=4,1,0)</f>
        <v>2025</v>
      </c>
      <c r="C4" s="167">
        <f>YEAR(Table13[[#This Row],[Date]])</f>
        <v>2025</v>
      </c>
      <c r="D4" s="181">
        <f>Table13[[#This Row],[Date]]-DAY(Table13[[#This Row],[Date]])+1</f>
        <v>45717</v>
      </c>
      <c r="E4" s="167">
        <f t="shared" si="0"/>
        <v>31</v>
      </c>
      <c r="F4" s="170"/>
      <c r="G4" s="171"/>
      <c r="H4" s="171"/>
      <c r="I4" s="171"/>
      <c r="J4" s="171"/>
      <c r="K4" s="182"/>
      <c r="L4" s="171"/>
      <c r="M4" s="171">
        <f>IFERROR(_xlfn.XLOOKUP($A4,Input_Raw!$A:$A,Input_Raw!CG:CG),"")</f>
        <v>4.3910256410256414</v>
      </c>
      <c r="N4" s="171">
        <f>IFERROR(_xlfn.XLOOKUP($A4,Input_Raw!$A:$A,Input_Raw!CH:CH),"")</f>
        <v>0</v>
      </c>
      <c r="O4" s="183">
        <f t="shared" si="1"/>
        <v>0.88583219706992067</v>
      </c>
      <c r="P4" s="183">
        <f>IFERROR(1-SUMIF(WTG_BD!$B:$B,$A4,WTG_BD!$AB:$AB)/($AA4+SUMIF(WTG_BD!$B:$B,$A4,WTG_BD!$AB:$AB)),"")</f>
        <v>0.88790056532394868</v>
      </c>
      <c r="Q4" s="184">
        <f>IFERROR(1-SUMIF(IGA_BD!$B:$B,$A4,IGA_BD!$X:$X)/($AA4+SUMIF(IGA_BD!$B:$B,$A4,IGA_BD!$X:$X)),"")</f>
        <v>0.99767049562213828</v>
      </c>
      <c r="R4" s="189">
        <f>IFERROR(1-SUMIF(Grid_BD!$B:$B,$A4,Grid_BD!$V:$V)/($AA4+SUMIF(Grid_BD!$B:$B,$A4,Grid_BD!$V:$V)),"")</f>
        <v>1</v>
      </c>
      <c r="S4" s="167"/>
      <c r="T4" s="184"/>
      <c r="U4" s="185"/>
      <c r="V4" s="167"/>
      <c r="W4" s="186">
        <f>IFERROR(Table13[[#This Row],[Mtr_Net_Exp (KWh)]]/(24*AR4*1000),"")</f>
        <v>0.12937499999999999</v>
      </c>
      <c r="X4" s="167">
        <f>IFERROR(_xlfn.XLOOKUP($A4,Input_Raw!$A:$A,Input_Raw!$CF:$CF),"")</f>
        <v>258117</v>
      </c>
      <c r="Y4" s="167">
        <f>IFERROR(_xlfn.XLOOKUP($A4,Input_Raw!$A:$A,Input_Raw!$CZ:$CZ),"")</f>
        <v>250800</v>
      </c>
      <c r="Z4" s="167">
        <f>IFERROR(_xlfn.XLOOKUP($A4,Input_Raw!$A:$A,Input_Raw!$DA:$DA),"")</f>
        <v>2400</v>
      </c>
      <c r="AA4" s="169">
        <f t="shared" si="2"/>
        <v>248400</v>
      </c>
      <c r="AB4" s="167">
        <f>IFERROR(_xlfn.XLOOKUP($A4,Input_Raw!$A:$A,Input_Raw!$DG:$DG),"")</f>
        <v>80</v>
      </c>
      <c r="AC4" s="187">
        <f>IFERROR(_xlfn.XLOOKUP($D4,'Modelling New'!$D:$D,'Modelling New'!$J:$J),"")</f>
        <v>4.5999999999999996</v>
      </c>
      <c r="AD4" s="169">
        <f>IFERROR(_xlfn.XLOOKUP($D4,'Modelling New'!$D:$D,'Modelling New'!$T:$T)*1000,"")</f>
        <v>257758.06451612903</v>
      </c>
      <c r="AE4" s="186"/>
      <c r="AF4" s="186">
        <f>IFERROR(_xlfn.XLOOKUP($D4,'Modelling New'!$D:$D,'Modelling New'!$W:$W),"")</f>
        <v>0.13424899193548387</v>
      </c>
      <c r="AG4" s="186">
        <f>IFERROR(_xlfn.XLOOKUP($D4,'Modelling New'!$D:$D,'Modelling New'!$AE:$AE),"")</f>
        <v>0.96029999999999993</v>
      </c>
      <c r="AH4" s="186">
        <f>IFERROR(_xlfn.XLOOKUP($D4,'Modelling New'!$D:$D,'Modelling New'!$AF:$AF),"")</f>
        <v>0.995</v>
      </c>
      <c r="AI4" s="167">
        <f>IFERROR(_xlfn.XLOOKUP($A4,Input_Raw!$A:$A,Input_Raw!$DE:$DE),"")</f>
        <v>0</v>
      </c>
      <c r="AJ4" s="167"/>
      <c r="AK4" s="167"/>
      <c r="AL4" s="167"/>
      <c r="AM4" s="167"/>
      <c r="AN4" s="188">
        <f>IFERROR(_xlfn.XLOOKUP($A4,Input_Raw!$A:$A,Input_Raw!$DB:$DB),"")</f>
        <v>2.8347609804855955E-2</v>
      </c>
      <c r="AO4" s="186">
        <f>IFERROR((_xlfn.XLOOKUP($A4,'WTG Reactive Power'!$A:$A,'WTG Reactive Power'!$AR:$AR))/X4/1000,"")</f>
        <v>1.851952074059438E-4</v>
      </c>
      <c r="AP4" s="186">
        <f>IFERROR(_xlfn.XLOOKUP($D4,'Modelling New'!$D:$D,'Modelling New'!$AK:$AK),"")</f>
        <v>0.05</v>
      </c>
      <c r="AQ4" s="186">
        <f>IFERROR(_xlfn.XLOOKUP($D4,'Modelling New'!$D:$D,'Modelling New'!$AL:$AL),"")</f>
        <v>0.05</v>
      </c>
      <c r="AR4">
        <f>IFERROR(_xlfn.XLOOKUP($D4,'Modelling New'!$D:$D,'Modelling New'!$N:$N),"")</f>
        <v>80</v>
      </c>
      <c r="AS4" s="212"/>
    </row>
    <row r="5" spans="1:45">
      <c r="A5" s="180">
        <f t="shared" si="3"/>
        <v>45748</v>
      </c>
      <c r="B5" s="169">
        <f>YEAR(Table13[[#This Row],[Date]])+IF(MONTH(Table13[[#This Row],[Date]])&gt;=4,1,0)</f>
        <v>2026</v>
      </c>
      <c r="C5" s="167">
        <f>YEAR(Table13[[#This Row],[Date]])</f>
        <v>2025</v>
      </c>
      <c r="D5" s="181">
        <f>Table13[[#This Row],[Date]]-DAY(Table13[[#This Row],[Date]])+1</f>
        <v>45748</v>
      </c>
      <c r="E5" s="167">
        <f t="shared" si="0"/>
        <v>30</v>
      </c>
      <c r="F5" s="170"/>
      <c r="G5" s="171"/>
      <c r="H5" s="171"/>
      <c r="I5" s="171"/>
      <c r="J5" s="171"/>
      <c r="K5" s="182"/>
      <c r="L5" s="171"/>
      <c r="M5" s="171">
        <f>IFERROR(_xlfn.XLOOKUP($A5,Input_Raw!$A:$A,Input_Raw!CG:CG),"")</f>
        <v>4.056923076923078</v>
      </c>
      <c r="N5" s="171">
        <f>IFERROR(_xlfn.XLOOKUP($A5,Input_Raw!$A:$A,Input_Raw!CH:CH),"")</f>
        <v>0</v>
      </c>
      <c r="O5" s="183">
        <f t="shared" si="1"/>
        <v>0.83810550456386168</v>
      </c>
      <c r="P5" s="183">
        <f>IFERROR(1-SUMIF(WTG_BD!$B:$B,$A5,WTG_BD!$AB:$AB)/($AA5+SUMIF(WTG_BD!$B:$B,$A5,WTG_BD!$AB:$AB)),"")</f>
        <v>0.85327863618012079</v>
      </c>
      <c r="Q5" s="184">
        <f>IFERROR(1-SUMIF(IGA_BD!$B:$B,$A5,IGA_BD!$X:$X)/($AA5+SUMIF(IGA_BD!$B:$B,$A5,IGA_BD!$X:$X)),"")</f>
        <v>0.98221784658270039</v>
      </c>
      <c r="R5" s="189">
        <f>IFERROR(1-SUMIF(Grid_BD!$B:$B,$A5,Grid_BD!$V:$V)/($AA5+SUMIF(Grid_BD!$B:$B,$A5,Grid_BD!$V:$V)),"")</f>
        <v>1</v>
      </c>
      <c r="S5" s="167"/>
      <c r="T5" s="184"/>
      <c r="U5" s="185"/>
      <c r="V5" s="167"/>
      <c r="W5" s="186">
        <f>IFERROR(Table13[[#This Row],[Mtr_Net_Exp (KWh)]]/(24*AR5*1000),"")</f>
        <v>0.10641025641025641</v>
      </c>
      <c r="X5" s="167">
        <f>IFERROR(_xlfn.XLOOKUP($A5,Input_Raw!$A:$A,Input_Raw!$CF:$CF),"")</f>
        <v>216864</v>
      </c>
      <c r="Y5" s="167">
        <f>IFERROR(_xlfn.XLOOKUP($A5,Input_Raw!$A:$A,Input_Raw!$CZ:$CZ),"")</f>
        <v>202800</v>
      </c>
      <c r="Z5" s="167">
        <f>IFERROR(_xlfn.XLOOKUP($A5,Input_Raw!$A:$A,Input_Raw!$DA:$DA),"")</f>
        <v>3600</v>
      </c>
      <c r="AA5" s="169">
        <f t="shared" si="2"/>
        <v>199200</v>
      </c>
      <c r="AB5" s="167">
        <f>IFERROR(_xlfn.XLOOKUP($A5,Input_Raw!$A:$A,Input_Raw!$DG:$DG),"")</f>
        <v>78</v>
      </c>
      <c r="AC5" s="187">
        <f>IFERROR(_xlfn.XLOOKUP($D5,'Modelling New'!$D:$D,'Modelling New'!$J:$J),"")</f>
        <v>5.6333333333333329</v>
      </c>
      <c r="AD5" s="169">
        <f>IFERROR(_xlfn.XLOOKUP($D5,'Modelling New'!$D:$D,'Modelling New'!$T:$T)*1000,"")</f>
        <v>340888.47260338557</v>
      </c>
      <c r="AE5" s="186"/>
      <c r="AF5" s="186">
        <f>IFERROR(_xlfn.XLOOKUP($D5,'Modelling New'!$D:$D,'Modelling New'!$W:$W),"")</f>
        <v>0.18209854305736409</v>
      </c>
      <c r="AG5" s="186">
        <f>IFERROR(_xlfn.XLOOKUP($D5,'Modelling New'!$D:$D,'Modelling New'!$AE:$AE),"")</f>
        <v>0.96029999999999993</v>
      </c>
      <c r="AH5" s="186">
        <f>IFERROR(_xlfn.XLOOKUP($D5,'Modelling New'!$D:$D,'Modelling New'!$AF:$AF),"")</f>
        <v>0.995</v>
      </c>
      <c r="AI5" s="167">
        <f>IFERROR(_xlfn.XLOOKUP($A5,Input_Raw!$A:$A,Input_Raw!$DE:$DE),"")</f>
        <v>217.953</v>
      </c>
      <c r="AJ5" s="167"/>
      <c r="AK5" s="167"/>
      <c r="AL5" s="167"/>
      <c r="AM5" s="167"/>
      <c r="AN5" s="188">
        <f>IFERROR(_xlfn.XLOOKUP($A5,Input_Raw!$A:$A,Input_Raw!$DB:$DB),"")</f>
        <v>6.4851704293935386E-2</v>
      </c>
      <c r="AO5" s="186">
        <f>IFERROR((_xlfn.XLOOKUP($A5,'WTG Reactive Power'!$A:$A,'WTG Reactive Power'!$AR:$AR))/X5/1000,"")</f>
        <v>2.2132939853241357E-4</v>
      </c>
      <c r="AP5" s="186">
        <f>IFERROR(_xlfn.XLOOKUP($D5,'Modelling New'!$D:$D,'Modelling New'!$AK:$AK),"")</f>
        <v>0.05</v>
      </c>
      <c r="AQ5" s="186">
        <f>IFERROR(_xlfn.XLOOKUP($D5,'Modelling New'!$D:$D,'Modelling New'!$AL:$AL),"")</f>
        <v>0.05</v>
      </c>
      <c r="AR5">
        <f>IFERROR(_xlfn.XLOOKUP($D5,'Modelling New'!$D:$D,'Modelling New'!$N:$N),"")</f>
        <v>78</v>
      </c>
    </row>
    <row r="6" spans="1:45">
      <c r="A6" s="180">
        <f t="shared" si="3"/>
        <v>45749</v>
      </c>
      <c r="B6" s="169">
        <f>YEAR(Table13[[#This Row],[Date]])+IF(MONTH(Table13[[#This Row],[Date]])&gt;=4,1,0)</f>
        <v>2026</v>
      </c>
      <c r="C6" s="167">
        <f>YEAR(Table13[[#This Row],[Date]])</f>
        <v>2025</v>
      </c>
      <c r="D6" s="181">
        <f>Table13[[#This Row],[Date]]-DAY(Table13[[#This Row],[Date]])+1</f>
        <v>45748</v>
      </c>
      <c r="E6" s="167">
        <f t="shared" si="0"/>
        <v>30</v>
      </c>
      <c r="F6" s="170"/>
      <c r="G6" s="171"/>
      <c r="H6" s="171"/>
      <c r="I6" s="171"/>
      <c r="J6" s="171"/>
      <c r="K6" s="182"/>
      <c r="L6" s="171"/>
      <c r="M6" s="171">
        <f>IFERROR(_xlfn.XLOOKUP($A6,Input_Raw!$A:$A,Input_Raw!CG:CG),"")</f>
        <v>5.5428205128205121</v>
      </c>
      <c r="N6" s="171">
        <f>IFERROR(_xlfn.XLOOKUP($A6,Input_Raw!$A:$A,Input_Raw!CH:CH),"")</f>
        <v>0</v>
      </c>
      <c r="O6" s="183">
        <f t="shared" si="1"/>
        <v>0.87366895837199343</v>
      </c>
      <c r="P6" s="183">
        <f>IFERROR(1-SUMIF(WTG_BD!$B:$B,$A6,WTG_BD!$AB:$AB)/($AA6+SUMIF(WTG_BD!$B:$B,$A6,WTG_BD!$AB:$AB)),"")</f>
        <v>0.88824314595658349</v>
      </c>
      <c r="Q6" s="184">
        <f>IFERROR(1-SUMIF(IGA_BD!$B:$B,$A6,IGA_BD!$X:$X)/($AA6+SUMIF(IGA_BD!$B:$B,$A6,IGA_BD!$X:$X)),"")</f>
        <v>0.98359211928520474</v>
      </c>
      <c r="R6" s="189">
        <f>IFERROR(1-SUMIF(Grid_BD!$B:$B,$A6,Grid_BD!$V:$V)/($AA6+SUMIF(Grid_BD!$B:$B,$A6,Grid_BD!$V:$V)),"")</f>
        <v>1</v>
      </c>
      <c r="S6" s="167"/>
      <c r="T6" s="184"/>
      <c r="U6" s="185"/>
      <c r="V6" s="167"/>
      <c r="W6" s="186">
        <f>IFERROR(Table13[[#This Row],[Mtr_Net_Exp (KWh)]]/(24*AR6*1000),"")</f>
        <v>0.22371794871794873</v>
      </c>
      <c r="X6" s="167">
        <f>IFERROR(_xlfn.XLOOKUP($A6,Input_Raw!$A:$A,Input_Raw!$CF:$CF),"")</f>
        <v>428910</v>
      </c>
      <c r="Y6" s="167">
        <f>IFERROR(_xlfn.XLOOKUP($A6,Input_Raw!$A:$A,Input_Raw!$CZ:$CZ),"")</f>
        <v>418800</v>
      </c>
      <c r="Z6" s="167">
        <f>IFERROR(_xlfn.XLOOKUP($A6,Input_Raw!$A:$A,Input_Raw!$DA:$DA),"")</f>
        <v>0</v>
      </c>
      <c r="AA6" s="169">
        <f t="shared" si="2"/>
        <v>418800</v>
      </c>
      <c r="AB6" s="167">
        <f>IFERROR(_xlfn.XLOOKUP($A6,Input_Raw!$A:$A,Input_Raw!$DG:$DG),"")</f>
        <v>78</v>
      </c>
      <c r="AC6" s="187">
        <f>IFERROR(_xlfn.XLOOKUP($D6,'Modelling New'!$D:$D,'Modelling New'!$J:$J),"")</f>
        <v>5.6333333333333329</v>
      </c>
      <c r="AD6" s="169">
        <f>IFERROR(_xlfn.XLOOKUP($D6,'Modelling New'!$D:$D,'Modelling New'!$T:$T)*1000,"")</f>
        <v>340888.47260338557</v>
      </c>
      <c r="AE6" s="186"/>
      <c r="AF6" s="186">
        <f>IFERROR(_xlfn.XLOOKUP($D6,'Modelling New'!$D:$D,'Modelling New'!$W:$W),"")</f>
        <v>0.18209854305736409</v>
      </c>
      <c r="AG6" s="186">
        <f>IFERROR(_xlfn.XLOOKUP($D6,'Modelling New'!$D:$D,'Modelling New'!$AE:$AE),"")</f>
        <v>0.96029999999999993</v>
      </c>
      <c r="AH6" s="186">
        <f>IFERROR(_xlfn.XLOOKUP($D6,'Modelling New'!$D:$D,'Modelling New'!$AF:$AF),"")</f>
        <v>0.995</v>
      </c>
      <c r="AI6" s="167">
        <f>IFERROR(_xlfn.XLOOKUP($A6,Input_Raw!$A:$A,Input_Raw!$DE:$DE),"")</f>
        <v>422.85899999999998</v>
      </c>
      <c r="AJ6" s="167"/>
      <c r="AK6" s="167"/>
      <c r="AL6" s="167"/>
      <c r="AM6" s="167"/>
      <c r="AN6" s="188">
        <f>IFERROR(_xlfn.XLOOKUP($A6,Input_Raw!$A:$A,Input_Raw!$DB:$DB),"")</f>
        <v>2.357137861089742E-2</v>
      </c>
      <c r="AO6" s="186">
        <f>IFERROR((_xlfn.XLOOKUP($A6,'WTG Reactive Power'!$A:$A,'WTG Reactive Power'!$AR:$AR))/X6/1000,"")</f>
        <v>1.5414116644517492E-4</v>
      </c>
      <c r="AP6" s="186">
        <f>IFERROR(_xlfn.XLOOKUP($D6,'Modelling New'!$D:$D,'Modelling New'!$AK:$AK),"")</f>
        <v>0.05</v>
      </c>
      <c r="AQ6" s="186">
        <f>IFERROR(_xlfn.XLOOKUP($D6,'Modelling New'!$D:$D,'Modelling New'!$AL:$AL),"")</f>
        <v>0.05</v>
      </c>
      <c r="AR6">
        <f>IFERROR(_xlfn.XLOOKUP($D6,'Modelling New'!$D:$D,'Modelling New'!$N:$N),"")</f>
        <v>78</v>
      </c>
    </row>
    <row r="7" spans="1:45">
      <c r="A7" s="180">
        <f t="shared" si="3"/>
        <v>45750</v>
      </c>
      <c r="B7" s="169">
        <f>YEAR(Table13[[#This Row],[Date]])+IF(MONTH(Table13[[#This Row],[Date]])&gt;=4,1,0)</f>
        <v>2026</v>
      </c>
      <c r="C7" s="167">
        <f>YEAR(Table13[[#This Row],[Date]])</f>
        <v>2025</v>
      </c>
      <c r="D7" s="181">
        <f>Table13[[#This Row],[Date]]-DAY(Table13[[#This Row],[Date]])+1</f>
        <v>45748</v>
      </c>
      <c r="E7" s="167">
        <f t="shared" si="0"/>
        <v>30</v>
      </c>
      <c r="F7" s="170"/>
      <c r="G7" s="171"/>
      <c r="H7" s="171"/>
      <c r="I7" s="171"/>
      <c r="J7" s="171"/>
      <c r="K7" s="182"/>
      <c r="L7" s="171"/>
      <c r="M7" s="171">
        <f>IFERROR(_xlfn.XLOOKUP($A7,Input_Raw!$A:$A,Input_Raw!CG:CG),"")</f>
        <v>4.3910256410256414</v>
      </c>
      <c r="N7" s="171">
        <f>IFERROR(_xlfn.XLOOKUP($A7,Input_Raw!$A:$A,Input_Raw!CH:CH),"")</f>
        <v>0</v>
      </c>
      <c r="O7" s="183">
        <f t="shared" si="1"/>
        <v>0.90000380141160463</v>
      </c>
      <c r="P7" s="183">
        <f>IFERROR(1-SUMIF(WTG_BD!$B:$B,$A7,WTG_BD!$AB:$AB)/($AA7+SUMIF(WTG_BD!$B:$B,$A7,WTG_BD!$AB:$AB)),"")</f>
        <v>0.903125780617553</v>
      </c>
      <c r="Q7" s="184">
        <f>IFERROR(1-SUMIF(IGA_BD!$B:$B,$A7,IGA_BD!$X:$X)/($AA7+SUMIF(IGA_BD!$B:$B,$A7,IGA_BD!$X:$X)),"")</f>
        <v>0.99654314019934898</v>
      </c>
      <c r="R7" s="189">
        <f>IFERROR(1-SUMIF(Grid_BD!$B:$B,$A7,Grid_BD!$V:$V)/($AA7+SUMIF(Grid_BD!$B:$B,$A7,Grid_BD!$V:$V)),"")</f>
        <v>1</v>
      </c>
      <c r="S7" s="167"/>
      <c r="T7" s="184"/>
      <c r="U7" s="185"/>
      <c r="V7" s="167"/>
      <c r="W7" s="186">
        <f>IFERROR(Table13[[#This Row],[Mtr_Net_Exp (KWh)]]/(24*AR7*1000),"")</f>
        <v>0.13205128205128205</v>
      </c>
      <c r="X7" s="167">
        <f>IFERROR(_xlfn.XLOOKUP($A7,Input_Raw!$A:$A,Input_Raw!$CF:$CF),"")</f>
        <v>257492</v>
      </c>
      <c r="Y7" s="167">
        <f>IFERROR(_xlfn.XLOOKUP($A7,Input_Raw!$A:$A,Input_Raw!$CZ:$CZ),"")</f>
        <v>250800</v>
      </c>
      <c r="Z7" s="167">
        <f>IFERROR(_xlfn.XLOOKUP($A7,Input_Raw!$A:$A,Input_Raw!$DA:$DA),"")</f>
        <v>3600</v>
      </c>
      <c r="AA7" s="169">
        <f t="shared" si="2"/>
        <v>247200</v>
      </c>
      <c r="AB7" s="167">
        <f>IFERROR(_xlfn.XLOOKUP($A7,Input_Raw!$A:$A,Input_Raw!$DG:$DG),"")</f>
        <v>78</v>
      </c>
      <c r="AC7" s="187">
        <f>IFERROR(_xlfn.XLOOKUP($D7,'Modelling New'!$D:$D,'Modelling New'!$J:$J),"")</f>
        <v>5.6333333333333329</v>
      </c>
      <c r="AD7" s="169">
        <f>IFERROR(_xlfn.XLOOKUP($D7,'Modelling New'!$D:$D,'Modelling New'!$T:$T)*1000,"")</f>
        <v>340888.47260338557</v>
      </c>
      <c r="AE7" s="186"/>
      <c r="AF7" s="186">
        <f>IFERROR(_xlfn.XLOOKUP($D7,'Modelling New'!$D:$D,'Modelling New'!$W:$W),"")</f>
        <v>0.18209854305736409</v>
      </c>
      <c r="AG7" s="186">
        <f>IFERROR(_xlfn.XLOOKUP($D7,'Modelling New'!$D:$D,'Modelling New'!$AE:$AE),"")</f>
        <v>0.96029999999999993</v>
      </c>
      <c r="AH7" s="186">
        <f>IFERROR(_xlfn.XLOOKUP($D7,'Modelling New'!$D:$D,'Modelling New'!$AF:$AF),"")</f>
        <v>0.995</v>
      </c>
      <c r="AI7" s="167">
        <f>IFERROR(_xlfn.XLOOKUP($A7,Input_Raw!$A:$A,Input_Raw!$DE:$DE),"")</f>
        <v>255.178</v>
      </c>
      <c r="AJ7" s="167"/>
      <c r="AK7" s="167"/>
      <c r="AL7" s="167"/>
      <c r="AM7" s="167"/>
      <c r="AN7" s="188">
        <f>IFERROR(_xlfn.XLOOKUP($A7,Input_Raw!$A:$A,Input_Raw!$DB:$DB),"")</f>
        <v>2.5989156944681735E-2</v>
      </c>
      <c r="AO7" s="186">
        <f>IFERROR((_xlfn.XLOOKUP($A7,'WTG Reactive Power'!$A:$A,'WTG Reactive Power'!$AR:$AR))/X7/1000,"")</f>
        <v>2.0118712374235577E-4</v>
      </c>
      <c r="AP7" s="186">
        <f>IFERROR(_xlfn.XLOOKUP($D7,'Modelling New'!$D:$D,'Modelling New'!$AK:$AK),"")</f>
        <v>0.05</v>
      </c>
      <c r="AQ7" s="186">
        <f>IFERROR(_xlfn.XLOOKUP($D7,'Modelling New'!$D:$D,'Modelling New'!$AL:$AL),"")</f>
        <v>0.05</v>
      </c>
      <c r="AR7">
        <f>IFERROR(_xlfn.XLOOKUP($D7,'Modelling New'!$D:$D,'Modelling New'!$N:$N),"")</f>
        <v>78</v>
      </c>
    </row>
    <row r="8" spans="1:45">
      <c r="A8" s="180">
        <f t="shared" si="3"/>
        <v>45751</v>
      </c>
      <c r="B8" s="169">
        <f>YEAR(Table13[[#This Row],[Date]])+IF(MONTH(Table13[[#This Row],[Date]])&gt;=4,1,0)</f>
        <v>2026</v>
      </c>
      <c r="C8" s="167">
        <f>YEAR(Table13[[#This Row],[Date]])</f>
        <v>2025</v>
      </c>
      <c r="D8" s="181">
        <f>Table13[[#This Row],[Date]]-DAY(Table13[[#This Row],[Date]])+1</f>
        <v>45748</v>
      </c>
      <c r="E8" s="167">
        <f t="shared" si="0"/>
        <v>30</v>
      </c>
      <c r="F8" s="170"/>
      <c r="G8" s="171"/>
      <c r="H8" s="171"/>
      <c r="I8" s="171"/>
      <c r="J8" s="171"/>
      <c r="K8" s="182"/>
      <c r="L8" s="171"/>
      <c r="M8" s="171">
        <f>IFERROR(_xlfn.XLOOKUP($A8,Input_Raw!$A:$A,Input_Raw!CG:CG),"")</f>
        <v>4.057948717948717</v>
      </c>
      <c r="N8" s="171">
        <f>IFERROR(_xlfn.XLOOKUP($A8,Input_Raw!$A:$A,Input_Raw!CH:CH),"")</f>
        <v>0</v>
      </c>
      <c r="O8" s="183">
        <f t="shared" si="1"/>
        <v>0.85596585328939345</v>
      </c>
      <c r="P8" s="183">
        <f>IFERROR(1-SUMIF(WTG_BD!$B:$B,$A8,WTG_BD!$AB:$AB)/($AA8+SUMIF(WTG_BD!$B:$B,$A8,WTG_BD!$AB:$AB)),"")</f>
        <v>0.85596585328939345</v>
      </c>
      <c r="Q8" s="184">
        <f>IFERROR(1-SUMIF(IGA_BD!$B:$B,$A8,IGA_BD!$X:$X)/($AA8+SUMIF(IGA_BD!$B:$B,$A8,IGA_BD!$X:$X)),"")</f>
        <v>1</v>
      </c>
      <c r="R8" s="189">
        <f>IFERROR(1-SUMIF(Grid_BD!$B:$B,$A8,Grid_BD!$V:$V)/($AA8+SUMIF(Grid_BD!$B:$B,$A8,Grid_BD!$V:$V)),"")</f>
        <v>1</v>
      </c>
      <c r="S8" s="167"/>
      <c r="T8" s="184"/>
      <c r="U8" s="185"/>
      <c r="V8" s="167"/>
      <c r="W8" s="186">
        <f>IFERROR(Table13[[#This Row],[Mtr_Net_Exp (KWh)]]/(24*AR8*1000),"")</f>
        <v>7.4999999999999997E-2</v>
      </c>
      <c r="X8" s="167">
        <f>IFERROR(_xlfn.XLOOKUP($A8,Input_Raw!$A:$A,Input_Raw!$CF:$CF),"")</f>
        <v>161561</v>
      </c>
      <c r="Y8" s="167">
        <f>IFERROR(_xlfn.XLOOKUP($A8,Input_Raw!$A:$A,Input_Raw!$CZ:$CZ),"")</f>
        <v>144000</v>
      </c>
      <c r="Z8" s="167">
        <f>IFERROR(_xlfn.XLOOKUP($A8,Input_Raw!$A:$A,Input_Raw!$DA:$DA),"")</f>
        <v>3600</v>
      </c>
      <c r="AA8" s="169">
        <f t="shared" si="2"/>
        <v>140400</v>
      </c>
      <c r="AB8" s="167">
        <f>IFERROR(_xlfn.XLOOKUP($A8,Input_Raw!$A:$A,Input_Raw!$DG:$DG),"")</f>
        <v>78</v>
      </c>
      <c r="AC8" s="187">
        <f>IFERROR(_xlfn.XLOOKUP($D8,'Modelling New'!$D:$D,'Modelling New'!$J:$J),"")</f>
        <v>5.6333333333333329</v>
      </c>
      <c r="AD8" s="169">
        <f>IFERROR(_xlfn.XLOOKUP($D8,'Modelling New'!$D:$D,'Modelling New'!$T:$T)*1000,"")</f>
        <v>340888.47260338557</v>
      </c>
      <c r="AE8" s="186"/>
      <c r="AF8" s="186">
        <f>IFERROR(_xlfn.XLOOKUP($D8,'Modelling New'!$D:$D,'Modelling New'!$W:$W),"")</f>
        <v>0.18209854305736409</v>
      </c>
      <c r="AG8" s="186">
        <f>IFERROR(_xlfn.XLOOKUP($D8,'Modelling New'!$D:$D,'Modelling New'!$AE:$AE),"")</f>
        <v>0.96029999999999993</v>
      </c>
      <c r="AH8" s="186">
        <f>IFERROR(_xlfn.XLOOKUP($D8,'Modelling New'!$D:$D,'Modelling New'!$AF:$AF),"")</f>
        <v>0.995</v>
      </c>
      <c r="AI8" s="167">
        <f>IFERROR(_xlfn.XLOOKUP($A8,Input_Raw!$A:$A,Input_Raw!$DE:$DE),"")</f>
        <v>165.1</v>
      </c>
      <c r="AJ8" s="167"/>
      <c r="AK8" s="167"/>
      <c r="AL8" s="167"/>
      <c r="AM8" s="167"/>
      <c r="AN8" s="188">
        <f>IFERROR(_xlfn.XLOOKUP($A8,Input_Raw!$A:$A,Input_Raw!$DB:$DB),"")</f>
        <v>0.10869578673070857</v>
      </c>
      <c r="AO8" s="186">
        <f>IFERROR((_xlfn.XLOOKUP($A8,'WTG Reactive Power'!$A:$A,'WTG Reactive Power'!$AR:$AR))/X8/1000,"")</f>
        <v>2.8019829765021676E-4</v>
      </c>
      <c r="AP8" s="186">
        <f>IFERROR(_xlfn.XLOOKUP($D8,'Modelling New'!$D:$D,'Modelling New'!$AK:$AK),"")</f>
        <v>0.05</v>
      </c>
      <c r="AQ8" s="186">
        <f>IFERROR(_xlfn.XLOOKUP($D8,'Modelling New'!$D:$D,'Modelling New'!$AL:$AL),"")</f>
        <v>0.05</v>
      </c>
      <c r="AR8">
        <f>IFERROR(_xlfn.XLOOKUP($D8,'Modelling New'!$D:$D,'Modelling New'!$N:$N),"")</f>
        <v>78</v>
      </c>
    </row>
    <row r="9" spans="1:45">
      <c r="A9" s="180">
        <f t="shared" si="3"/>
        <v>45752</v>
      </c>
      <c r="B9" s="169">
        <f>YEAR(Table13[[#This Row],[Date]])+IF(MONTH(Table13[[#This Row],[Date]])&gt;=4,1,0)</f>
        <v>2026</v>
      </c>
      <c r="C9" s="167">
        <f>YEAR(Table13[[#This Row],[Date]])</f>
        <v>2025</v>
      </c>
      <c r="D9" s="181">
        <f>Table13[[#This Row],[Date]]-DAY(Table13[[#This Row],[Date]])+1</f>
        <v>45748</v>
      </c>
      <c r="E9" s="167">
        <f t="shared" si="0"/>
        <v>30</v>
      </c>
      <c r="F9" s="170"/>
      <c r="G9" s="171"/>
      <c r="H9" s="171"/>
      <c r="I9" s="171"/>
      <c r="J9" s="171"/>
      <c r="K9" s="182"/>
      <c r="L9" s="171"/>
      <c r="M9" s="171">
        <f>IFERROR(_xlfn.XLOOKUP($A9,Input_Raw!$A:$A,Input_Raw!CG:CG),"")</f>
        <v>2.9131756820653378</v>
      </c>
      <c r="N9" s="171">
        <f>IFERROR(_xlfn.XLOOKUP($A9,Input_Raw!$A:$A,Input_Raw!CH:CH),"")</f>
        <v>0</v>
      </c>
      <c r="O9" s="183">
        <f t="shared" si="1"/>
        <v>0.92495844573013719</v>
      </c>
      <c r="P9" s="183">
        <f>IFERROR(1-SUMIF(WTG_BD!$B:$B,$A9,WTG_BD!$AB:$AB)/($AA9+SUMIF(WTG_BD!$B:$B,$A9,WTG_BD!$AB:$AB)),"")</f>
        <v>0.92495844573013719</v>
      </c>
      <c r="Q9" s="184">
        <f>IFERROR(1-SUMIF(IGA_BD!$B:$B,$A9,IGA_BD!$X:$X)/($AA9+SUMIF(IGA_BD!$B:$B,$A9,IGA_BD!$X:$X)),"")</f>
        <v>1</v>
      </c>
      <c r="R9" s="189">
        <f>IFERROR(1-SUMIF(Grid_BD!$B:$B,$A9,Grid_BD!$V:$V)/($AA9+SUMIF(Grid_BD!$B:$B,$A9,Grid_BD!$V:$V)),"")</f>
        <v>1</v>
      </c>
      <c r="S9" s="167"/>
      <c r="T9" s="184"/>
      <c r="U9" s="185"/>
      <c r="V9" s="167"/>
      <c r="W9" s="186">
        <f>IFERROR(Table13[[#This Row],[Mtr_Net_Exp (KWh)]]/(24*AR9*1000),"")</f>
        <v>3.7820512820512818E-2</v>
      </c>
      <c r="X9" s="167">
        <f>IFERROR(_xlfn.XLOOKUP($A9,Input_Raw!$A:$A,Input_Raw!$CF:$CF),"")</f>
        <v>81163</v>
      </c>
      <c r="Y9" s="167">
        <f>IFERROR(_xlfn.XLOOKUP($A9,Input_Raw!$A:$A,Input_Raw!$CZ:$CZ),"")</f>
        <v>75600</v>
      </c>
      <c r="Z9" s="167">
        <f>IFERROR(_xlfn.XLOOKUP($A9,Input_Raw!$A:$A,Input_Raw!$DA:$DA),"")</f>
        <v>4800</v>
      </c>
      <c r="AA9" s="169">
        <f t="shared" si="2"/>
        <v>70800</v>
      </c>
      <c r="AB9" s="167">
        <f>IFERROR(_xlfn.XLOOKUP($A9,Input_Raw!$A:$A,Input_Raw!$DG:$DG),"")</f>
        <v>78</v>
      </c>
      <c r="AC9" s="187">
        <f>IFERROR(_xlfn.XLOOKUP($D9,'Modelling New'!$D:$D,'Modelling New'!$J:$J),"")</f>
        <v>5.6333333333333329</v>
      </c>
      <c r="AD9" s="169">
        <f>IFERROR(_xlfn.XLOOKUP($D9,'Modelling New'!$D:$D,'Modelling New'!$T:$T)*1000,"")</f>
        <v>340888.47260338557</v>
      </c>
      <c r="AE9" s="186"/>
      <c r="AF9" s="186">
        <f>IFERROR(_xlfn.XLOOKUP($D9,'Modelling New'!$D:$D,'Modelling New'!$W:$W),"")</f>
        <v>0.18209854305736409</v>
      </c>
      <c r="AG9" s="186">
        <f>IFERROR(_xlfn.XLOOKUP($D9,'Modelling New'!$D:$D,'Modelling New'!$AE:$AE),"")</f>
        <v>0.96029999999999993</v>
      </c>
      <c r="AH9" s="186">
        <f>IFERROR(_xlfn.XLOOKUP($D9,'Modelling New'!$D:$D,'Modelling New'!$AF:$AF),"")</f>
        <v>0.995</v>
      </c>
      <c r="AI9" s="167">
        <f>IFERROR(_xlfn.XLOOKUP($A9,Input_Raw!$A:$A,Input_Raw!$DE:$DE),"")</f>
        <v>77.212000000000003</v>
      </c>
      <c r="AJ9" s="167"/>
      <c r="AK9" s="167"/>
      <c r="AL9" s="167"/>
      <c r="AM9" s="167"/>
      <c r="AN9" s="188">
        <f>IFERROR(_xlfn.XLOOKUP($A9,Input_Raw!$A:$A,Input_Raw!$DB:$DB),"")</f>
        <v>6.8541083991473961E-2</v>
      </c>
      <c r="AO9" s="186">
        <f>IFERROR((_xlfn.XLOOKUP($A9,'WTG Reactive Power'!$A:$A,'WTG Reactive Power'!$AR:$AR))/X9/1000,"")</f>
        <v>9.4278173551987944E-4</v>
      </c>
      <c r="AP9" s="186">
        <f>IFERROR(_xlfn.XLOOKUP($D9,'Modelling New'!$D:$D,'Modelling New'!$AK:$AK),"")</f>
        <v>0.05</v>
      </c>
      <c r="AQ9" s="186">
        <f>IFERROR(_xlfn.XLOOKUP($D9,'Modelling New'!$D:$D,'Modelling New'!$AL:$AL),"")</f>
        <v>0.05</v>
      </c>
      <c r="AR9">
        <f>IFERROR(_xlfn.XLOOKUP($D9,'Modelling New'!$D:$D,'Modelling New'!$N:$N),"")</f>
        <v>78</v>
      </c>
    </row>
    <row r="10" spans="1:45">
      <c r="A10" s="180">
        <f t="shared" si="3"/>
        <v>45753</v>
      </c>
      <c r="B10" s="169">
        <f>YEAR(Table13[[#This Row],[Date]])+IF(MONTH(Table13[[#This Row],[Date]])&gt;=4,1,0)</f>
        <v>2026</v>
      </c>
      <c r="C10" s="167">
        <f>YEAR(Table13[[#This Row],[Date]])</f>
        <v>2025</v>
      </c>
      <c r="D10" s="181">
        <f>Table13[[#This Row],[Date]]-DAY(Table13[[#This Row],[Date]])+1</f>
        <v>45748</v>
      </c>
      <c r="E10" s="167">
        <f t="shared" si="0"/>
        <v>30</v>
      </c>
      <c r="F10" s="170"/>
      <c r="G10" s="171"/>
      <c r="H10" s="171"/>
      <c r="I10" s="171"/>
      <c r="J10" s="171"/>
      <c r="K10" s="182"/>
      <c r="L10" s="171"/>
      <c r="M10" s="171">
        <f>IFERROR(_xlfn.XLOOKUP($A10,Input_Raw!$A:$A,Input_Raw!CG:CG),"")</f>
        <v>3.3879487179487193</v>
      </c>
      <c r="N10" s="171">
        <f>IFERROR(_xlfn.XLOOKUP($A10,Input_Raw!$A:$A,Input_Raw!CH:CH),"")</f>
        <v>0</v>
      </c>
      <c r="O10" s="183">
        <f t="shared" si="1"/>
        <v>0.91343384344381273</v>
      </c>
      <c r="P10" s="183">
        <f>IFERROR(1-SUMIF(WTG_BD!$B:$B,$A10,WTG_BD!$AB:$AB)/($AA10+SUMIF(WTG_BD!$B:$B,$A10,WTG_BD!$AB:$AB)),"")</f>
        <v>0.91343384344381273</v>
      </c>
      <c r="Q10" s="184">
        <f>IFERROR(1-SUMIF(IGA_BD!$B:$B,$A10,IGA_BD!$X:$X)/($AA10+SUMIF(IGA_BD!$B:$B,$A10,IGA_BD!$X:$X)),"")</f>
        <v>1</v>
      </c>
      <c r="R10" s="189">
        <f>IFERROR(1-SUMIF(Grid_BD!$B:$B,$A10,Grid_BD!$V:$V)/($AA10+SUMIF(Grid_BD!$B:$B,$A10,Grid_BD!$V:$V)),"")</f>
        <v>1</v>
      </c>
      <c r="S10" s="167"/>
      <c r="T10" s="184"/>
      <c r="U10" s="185"/>
      <c r="V10" s="167"/>
      <c r="W10" s="186">
        <f>IFERROR(Table13[[#This Row],[Mtr_Net_Exp (KWh)]]/(24*AR10*1000),"")</f>
        <v>5.3846153846153849E-2</v>
      </c>
      <c r="X10" s="167">
        <f>IFERROR(_xlfn.XLOOKUP($A10,Input_Raw!$A:$A,Input_Raw!$CF:$CF),"")</f>
        <v>111449</v>
      </c>
      <c r="Y10" s="167">
        <f>IFERROR(_xlfn.XLOOKUP($A10,Input_Raw!$A:$A,Input_Raw!$CZ:$CZ),"")</f>
        <v>104400</v>
      </c>
      <c r="Z10" s="167">
        <f>IFERROR(_xlfn.XLOOKUP($A10,Input_Raw!$A:$A,Input_Raw!$DA:$DA),"")</f>
        <v>3600</v>
      </c>
      <c r="AA10" s="169">
        <f t="shared" si="2"/>
        <v>100800</v>
      </c>
      <c r="AB10" s="167">
        <f>IFERROR(_xlfn.XLOOKUP($A10,Input_Raw!$A:$A,Input_Raw!$DG:$DG),"")</f>
        <v>78</v>
      </c>
      <c r="AC10" s="187">
        <f>IFERROR(_xlfn.XLOOKUP($D10,'Modelling New'!$D:$D,'Modelling New'!$J:$J),"")</f>
        <v>5.6333333333333329</v>
      </c>
      <c r="AD10" s="169">
        <f>IFERROR(_xlfn.XLOOKUP($D10,'Modelling New'!$D:$D,'Modelling New'!$T:$T)*1000,"")</f>
        <v>340888.47260338557</v>
      </c>
      <c r="AE10" s="186"/>
      <c r="AF10" s="186">
        <f>IFERROR(_xlfn.XLOOKUP($D10,'Modelling New'!$D:$D,'Modelling New'!$W:$W),"")</f>
        <v>0.18209854305736409</v>
      </c>
      <c r="AG10" s="186">
        <f>IFERROR(_xlfn.XLOOKUP($D10,'Modelling New'!$D:$D,'Modelling New'!$AE:$AE),"")</f>
        <v>0.96029999999999993</v>
      </c>
      <c r="AH10" s="186">
        <f>IFERROR(_xlfn.XLOOKUP($D10,'Modelling New'!$D:$D,'Modelling New'!$AF:$AF),"")</f>
        <v>0.995</v>
      </c>
      <c r="AI10" s="167">
        <f>IFERROR(_xlfn.XLOOKUP($A10,Input_Raw!$A:$A,Input_Raw!$DE:$DE),"")</f>
        <v>106.01900000000001</v>
      </c>
      <c r="AJ10" s="167"/>
      <c r="AK10" s="167"/>
      <c r="AL10" s="167"/>
      <c r="AM10" s="167"/>
      <c r="AN10" s="188">
        <f>IFERROR(_xlfn.XLOOKUP($A10,Input_Raw!$A:$A,Input_Raw!$DB:$DB),"")</f>
        <v>6.3248660822438962E-2</v>
      </c>
      <c r="AO10" s="186">
        <f>IFERROR((_xlfn.XLOOKUP($A10,'WTG Reactive Power'!$A:$A,'WTG Reactive Power'!$AR:$AR))/X10/1000,"")</f>
        <v>3.9601172045808689E-4</v>
      </c>
      <c r="AP10" s="186">
        <f>IFERROR(_xlfn.XLOOKUP($D10,'Modelling New'!$D:$D,'Modelling New'!$AK:$AK),"")</f>
        <v>0.05</v>
      </c>
      <c r="AQ10" s="186">
        <f>IFERROR(_xlfn.XLOOKUP($D10,'Modelling New'!$D:$D,'Modelling New'!$AL:$AL),"")</f>
        <v>0.05</v>
      </c>
      <c r="AR10">
        <f>IFERROR(_xlfn.XLOOKUP($D10,'Modelling New'!$D:$D,'Modelling New'!$N:$N),"")</f>
        <v>78</v>
      </c>
    </row>
    <row r="11" spans="1:45">
      <c r="A11" s="180">
        <f t="shared" si="3"/>
        <v>45754</v>
      </c>
      <c r="B11" s="169">
        <f>YEAR(Table13[[#This Row],[Date]])+IF(MONTH(Table13[[#This Row],[Date]])&gt;=4,1,0)</f>
        <v>2026</v>
      </c>
      <c r="C11" s="167">
        <f>YEAR(Table13[[#This Row],[Date]])</f>
        <v>2025</v>
      </c>
      <c r="D11" s="181">
        <f>Table13[[#This Row],[Date]]-DAY(Table13[[#This Row],[Date]])+1</f>
        <v>45748</v>
      </c>
      <c r="E11" s="167">
        <f t="shared" si="0"/>
        <v>30</v>
      </c>
      <c r="F11" s="170"/>
      <c r="G11" s="171"/>
      <c r="H11" s="171"/>
      <c r="I11" s="171"/>
      <c r="J11" s="171"/>
      <c r="K11" s="182"/>
      <c r="L11" s="171"/>
      <c r="M11" s="171">
        <f>IFERROR(_xlfn.XLOOKUP($A11,Input_Raw!$A:$A,Input_Raw!CG:CG),"")</f>
        <v>4.1233333333333331</v>
      </c>
      <c r="N11" s="171">
        <f>IFERROR(_xlfn.XLOOKUP($A11,Input_Raw!$A:$A,Input_Raw!CH:CH),"")</f>
        <v>0</v>
      </c>
      <c r="O11" s="183">
        <f t="shared" si="1"/>
        <v>0.87012463786860128</v>
      </c>
      <c r="P11" s="183">
        <f>IFERROR(1-SUMIF(WTG_BD!$B:$B,$A11,WTG_BD!$AB:$AB)/($AA11+SUMIF(WTG_BD!$B:$B,$A11,WTG_BD!$AB:$AB)),"")</f>
        <v>0.9046571407682602</v>
      </c>
      <c r="Q11" s="184">
        <f>IFERROR(1-SUMIF(IGA_BD!$B:$B,$A11,IGA_BD!$X:$X)/($AA11+SUMIF(IGA_BD!$B:$B,$A11,IGA_BD!$X:$X)),"")</f>
        <v>0.96182807680008697</v>
      </c>
      <c r="R11" s="189">
        <f>IFERROR(1-SUMIF(Grid_BD!$B:$B,$A11,Grid_BD!$V:$V)/($AA11+SUMIF(Grid_BD!$B:$B,$A11,Grid_BD!$V:$V)),"")</f>
        <v>1</v>
      </c>
      <c r="S11" s="167"/>
      <c r="T11" s="184"/>
      <c r="U11" s="185"/>
      <c r="V11" s="167"/>
      <c r="W11" s="186">
        <f>IFERROR(Table13[[#This Row],[Mtr_Net_Exp (KWh)]]/(24*AR11*1000),"")</f>
        <v>0.11730769230769231</v>
      </c>
      <c r="X11" s="167">
        <f>IFERROR(_xlfn.XLOOKUP($A11,Input_Raw!$A:$A,Input_Raw!$CF:$CF),"")</f>
        <v>236100</v>
      </c>
      <c r="Y11" s="167">
        <f>IFERROR(_xlfn.XLOOKUP($A11,Input_Raw!$A:$A,Input_Raw!$CZ:$CZ),"")</f>
        <v>222000</v>
      </c>
      <c r="Z11" s="167">
        <f>IFERROR(_xlfn.XLOOKUP($A11,Input_Raw!$A:$A,Input_Raw!$DA:$DA),"")</f>
        <v>2400</v>
      </c>
      <c r="AA11" s="169">
        <f t="shared" si="2"/>
        <v>219600</v>
      </c>
      <c r="AB11" s="167">
        <f>IFERROR(_xlfn.XLOOKUP($A11,Input_Raw!$A:$A,Input_Raw!$DG:$DG),"")</f>
        <v>78</v>
      </c>
      <c r="AC11" s="187">
        <f>IFERROR(_xlfn.XLOOKUP($D11,'Modelling New'!$D:$D,'Modelling New'!$J:$J),"")</f>
        <v>5.6333333333333329</v>
      </c>
      <c r="AD11" s="169">
        <f>IFERROR(_xlfn.XLOOKUP($D11,'Modelling New'!$D:$D,'Modelling New'!$T:$T)*1000,"")</f>
        <v>340888.47260338557</v>
      </c>
      <c r="AE11" s="186"/>
      <c r="AF11" s="186">
        <f>IFERROR(_xlfn.XLOOKUP($D11,'Modelling New'!$D:$D,'Modelling New'!$W:$W),"")</f>
        <v>0.18209854305736409</v>
      </c>
      <c r="AG11" s="186">
        <f>IFERROR(_xlfn.XLOOKUP($D11,'Modelling New'!$D:$D,'Modelling New'!$AE:$AE),"")</f>
        <v>0.96029999999999993</v>
      </c>
      <c r="AH11" s="186">
        <f>IFERROR(_xlfn.XLOOKUP($D11,'Modelling New'!$D:$D,'Modelling New'!$AF:$AF),"")</f>
        <v>0.995</v>
      </c>
      <c r="AI11" s="167">
        <f>IFERROR(_xlfn.XLOOKUP($A11,Input_Raw!$A:$A,Input_Raw!$DE:$DE),"")</f>
        <v>238.17599999999999</v>
      </c>
      <c r="AJ11" s="167"/>
      <c r="AK11" s="167"/>
      <c r="AL11" s="167"/>
      <c r="AM11" s="167"/>
      <c r="AN11" s="188">
        <f>IFERROR(_xlfn.XLOOKUP($A11,Input_Raw!$A:$A,Input_Raw!$DB:$DB),"")</f>
        <v>5.9720457433291019E-2</v>
      </c>
      <c r="AO11" s="186">
        <f>IFERROR((_xlfn.XLOOKUP($A11,'WTG Reactive Power'!$A:$A,'WTG Reactive Power'!$AR:$AR))/X11/1000,"")</f>
        <v>1.324060207539178E-4</v>
      </c>
      <c r="AP11" s="186">
        <f>IFERROR(_xlfn.XLOOKUP($D11,'Modelling New'!$D:$D,'Modelling New'!$AK:$AK),"")</f>
        <v>0.05</v>
      </c>
      <c r="AQ11" s="186">
        <f>IFERROR(_xlfn.XLOOKUP($D11,'Modelling New'!$D:$D,'Modelling New'!$AL:$AL),"")</f>
        <v>0.05</v>
      </c>
      <c r="AR11">
        <f>IFERROR(_xlfn.XLOOKUP($D11,'Modelling New'!$D:$D,'Modelling New'!$N:$N),"")</f>
        <v>78</v>
      </c>
    </row>
    <row r="12" spans="1:45">
      <c r="A12" s="180">
        <f t="shared" si="3"/>
        <v>45755</v>
      </c>
      <c r="B12" s="169">
        <f>YEAR(Table13[[#This Row],[Date]])+IF(MONTH(Table13[[#This Row],[Date]])&gt;=4,1,0)</f>
        <v>2026</v>
      </c>
      <c r="C12" s="167">
        <f>YEAR(Table13[[#This Row],[Date]])</f>
        <v>2025</v>
      </c>
      <c r="D12" s="181">
        <f>Table13[[#This Row],[Date]]-DAY(Table13[[#This Row],[Date]])+1</f>
        <v>45748</v>
      </c>
      <c r="E12" s="167">
        <f t="shared" si="0"/>
        <v>30</v>
      </c>
      <c r="F12" s="170"/>
      <c r="G12" s="171"/>
      <c r="H12" s="171"/>
      <c r="I12" s="171"/>
      <c r="J12" s="171"/>
      <c r="K12" s="182"/>
      <c r="L12" s="171"/>
      <c r="M12" s="171">
        <f>IFERROR(_xlfn.XLOOKUP($A12,Input_Raw!$A:$A,Input_Raw!CG:CG),"")</f>
        <v>3.4951282051282053</v>
      </c>
      <c r="N12" s="171">
        <f>IFERROR(_xlfn.XLOOKUP($A12,Input_Raw!$A:$A,Input_Raw!CH:CH),"")</f>
        <v>0</v>
      </c>
      <c r="O12" s="183">
        <f t="shared" si="1"/>
        <v>0.92263967613779985</v>
      </c>
      <c r="P12" s="183">
        <f>IFERROR(1-SUMIF(WTG_BD!$B:$B,$A12,WTG_BD!$AB:$AB)/($AA12+SUMIF(WTG_BD!$B:$B,$A12,WTG_BD!$AB:$AB)),"")</f>
        <v>0.92263967613779985</v>
      </c>
      <c r="Q12" s="184">
        <f>IFERROR(1-SUMIF(IGA_BD!$B:$B,$A12,IGA_BD!$X:$X)/($AA12+SUMIF(IGA_BD!$B:$B,$A12,IGA_BD!$X:$X)),"")</f>
        <v>1</v>
      </c>
      <c r="R12" s="189">
        <f>IFERROR(1-SUMIF(Grid_BD!$B:$B,$A12,Grid_BD!$V:$V)/($AA12+SUMIF(Grid_BD!$B:$B,$A12,Grid_BD!$V:$V)),"")</f>
        <v>1</v>
      </c>
      <c r="S12" s="167"/>
      <c r="T12" s="184"/>
      <c r="U12" s="185"/>
      <c r="V12" s="167"/>
      <c r="W12" s="186">
        <f>IFERROR(Table13[[#This Row],[Mtr_Net_Exp (KWh)]]/(24*AR12*1000),"")</f>
        <v>7.7564102564102566E-2</v>
      </c>
      <c r="X12" s="167">
        <f>IFERROR(_xlfn.XLOOKUP($A12,Input_Raw!$A:$A,Input_Raw!$CF:$CF),"")</f>
        <v>151284</v>
      </c>
      <c r="Y12" s="167">
        <f>IFERROR(_xlfn.XLOOKUP($A12,Input_Raw!$A:$A,Input_Raw!$CZ:$CZ),"")</f>
        <v>150000</v>
      </c>
      <c r="Z12" s="167">
        <f>IFERROR(_xlfn.XLOOKUP($A12,Input_Raw!$A:$A,Input_Raw!$DA:$DA),"")</f>
        <v>4800</v>
      </c>
      <c r="AA12" s="169">
        <f t="shared" si="2"/>
        <v>145200</v>
      </c>
      <c r="AB12" s="167">
        <f>IFERROR(_xlfn.XLOOKUP($A12,Input_Raw!$A:$A,Input_Raw!$DG:$DG),"")</f>
        <v>78</v>
      </c>
      <c r="AC12" s="187">
        <f>IFERROR(_xlfn.XLOOKUP($D12,'Modelling New'!$D:$D,'Modelling New'!$J:$J),"")</f>
        <v>5.6333333333333329</v>
      </c>
      <c r="AD12" s="169">
        <f>IFERROR(_xlfn.XLOOKUP($D12,'Modelling New'!$D:$D,'Modelling New'!$T:$T)*1000,"")</f>
        <v>340888.47260338557</v>
      </c>
      <c r="AE12" s="186"/>
      <c r="AF12" s="186">
        <f>IFERROR(_xlfn.XLOOKUP($D12,'Modelling New'!$D:$D,'Modelling New'!$W:$W),"")</f>
        <v>0.18209854305736409</v>
      </c>
      <c r="AG12" s="186">
        <f>IFERROR(_xlfn.XLOOKUP($D12,'Modelling New'!$D:$D,'Modelling New'!$AE:$AE),"")</f>
        <v>0.96029999999999993</v>
      </c>
      <c r="AH12" s="186">
        <f>IFERROR(_xlfn.XLOOKUP($D12,'Modelling New'!$D:$D,'Modelling New'!$AF:$AF),"")</f>
        <v>0.995</v>
      </c>
      <c r="AI12" s="167">
        <f>IFERROR(_xlfn.XLOOKUP($A12,Input_Raw!$A:$A,Input_Raw!$DE:$DE),"")</f>
        <v>149.33000000000001</v>
      </c>
      <c r="AJ12" s="167"/>
      <c r="AK12" s="167"/>
      <c r="AL12" s="167"/>
      <c r="AM12" s="167"/>
      <c r="AN12" s="188">
        <f>IFERROR(_xlfn.XLOOKUP($A12,Input_Raw!$A:$A,Input_Raw!$DB:$DB),"")</f>
        <v>8.4873482985642346E-3</v>
      </c>
      <c r="AO12" s="186">
        <f>IFERROR((_xlfn.XLOOKUP($A12,'WTG Reactive Power'!$A:$A,'WTG Reactive Power'!$AR:$AR))/X12/1000,"")</f>
        <v>2.6192165628883429E-4</v>
      </c>
      <c r="AP12" s="186">
        <f>IFERROR(_xlfn.XLOOKUP($D12,'Modelling New'!$D:$D,'Modelling New'!$AK:$AK),"")</f>
        <v>0.05</v>
      </c>
      <c r="AQ12" s="186">
        <f>IFERROR(_xlfn.XLOOKUP($D12,'Modelling New'!$D:$D,'Modelling New'!$AL:$AL),"")</f>
        <v>0.05</v>
      </c>
      <c r="AR12">
        <f>IFERROR(_xlfn.XLOOKUP($D12,'Modelling New'!$D:$D,'Modelling New'!$N:$N),"")</f>
        <v>78</v>
      </c>
    </row>
    <row r="13" spans="1:45">
      <c r="A13" s="180">
        <f t="shared" si="3"/>
        <v>45756</v>
      </c>
      <c r="B13" s="169">
        <f>YEAR(Table13[[#This Row],[Date]])+IF(MONTH(Table13[[#This Row],[Date]])&gt;=4,1,0)</f>
        <v>2026</v>
      </c>
      <c r="C13" s="167">
        <f>YEAR(Table13[[#This Row],[Date]])</f>
        <v>2025</v>
      </c>
      <c r="D13" s="181">
        <f>Table13[[#This Row],[Date]]-DAY(Table13[[#This Row],[Date]])+1</f>
        <v>45748</v>
      </c>
      <c r="E13" s="167">
        <f t="shared" si="0"/>
        <v>30</v>
      </c>
      <c r="F13" s="170"/>
      <c r="G13" s="171"/>
      <c r="H13" s="171"/>
      <c r="I13" s="171"/>
      <c r="J13" s="171"/>
      <c r="K13" s="182"/>
      <c r="L13" s="171"/>
      <c r="M13" s="171">
        <f>IFERROR(_xlfn.XLOOKUP($A13,Input_Raw!$A:$A,Input_Raw!CG:CG),"")</f>
        <v>4.8151282051282047</v>
      </c>
      <c r="N13" s="171">
        <f>IFERROR(_xlfn.XLOOKUP($A13,Input_Raw!$A:$A,Input_Raw!CH:CH),"")</f>
        <v>0</v>
      </c>
      <c r="O13" s="183">
        <f t="shared" si="1"/>
        <v>0.8935197389681363</v>
      </c>
      <c r="P13" s="183">
        <f>IFERROR(1-SUMIF(WTG_BD!$B:$B,$A13,WTG_BD!$AB:$AB)/($AA13+SUMIF(WTG_BD!$B:$B,$A13,WTG_BD!$AB:$AB)),"")</f>
        <v>0.8935197389681363</v>
      </c>
      <c r="Q13" s="184">
        <f>IFERROR(1-SUMIF(IGA_BD!$B:$B,$A13,IGA_BD!$X:$X)/($AA13+SUMIF(IGA_BD!$B:$B,$A13,IGA_BD!$X:$X)),"")</f>
        <v>1</v>
      </c>
      <c r="R13" s="189">
        <f>IFERROR(1-SUMIF(Grid_BD!$B:$B,$A13,Grid_BD!$V:$V)/($AA13+SUMIF(Grid_BD!$B:$B,$A13,Grid_BD!$V:$V)),"")</f>
        <v>1</v>
      </c>
      <c r="S13" s="167"/>
      <c r="T13" s="184"/>
      <c r="U13" s="185"/>
      <c r="V13" s="167"/>
      <c r="W13" s="186">
        <f>IFERROR(Table13[[#This Row],[Mtr_Net_Exp (KWh)]]/(24*AR13*1000),"")</f>
        <v>0.16346153846153846</v>
      </c>
      <c r="X13" s="167">
        <f>IFERROR(_xlfn.XLOOKUP($A13,Input_Raw!$A:$A,Input_Raw!$CF:$CF),"")</f>
        <v>327786</v>
      </c>
      <c r="Y13" s="167">
        <f>IFERROR(_xlfn.XLOOKUP($A13,Input_Raw!$A:$A,Input_Raw!$CZ:$CZ),"")</f>
        <v>308400</v>
      </c>
      <c r="Z13" s="167">
        <f>IFERROR(_xlfn.XLOOKUP($A13,Input_Raw!$A:$A,Input_Raw!$DA:$DA),"")</f>
        <v>2400</v>
      </c>
      <c r="AA13" s="169">
        <f t="shared" si="2"/>
        <v>306000</v>
      </c>
      <c r="AB13" s="167">
        <f>IFERROR(_xlfn.XLOOKUP($A13,Input_Raw!$A:$A,Input_Raw!$DG:$DG),"")</f>
        <v>78</v>
      </c>
      <c r="AC13" s="187">
        <f>IFERROR(_xlfn.XLOOKUP($D13,'Modelling New'!$D:$D,'Modelling New'!$J:$J),"")</f>
        <v>5.6333333333333329</v>
      </c>
      <c r="AD13" s="169">
        <f>IFERROR(_xlfn.XLOOKUP($D13,'Modelling New'!$D:$D,'Modelling New'!$T:$T)*1000,"")</f>
        <v>340888.47260338557</v>
      </c>
      <c r="AE13" s="186"/>
      <c r="AF13" s="186">
        <f>IFERROR(_xlfn.XLOOKUP($D13,'Modelling New'!$D:$D,'Modelling New'!$W:$W),"")</f>
        <v>0.18209854305736409</v>
      </c>
      <c r="AG13" s="186">
        <f>IFERROR(_xlfn.XLOOKUP($D13,'Modelling New'!$D:$D,'Modelling New'!$AE:$AE),"")</f>
        <v>0.96029999999999993</v>
      </c>
      <c r="AH13" s="186">
        <f>IFERROR(_xlfn.XLOOKUP($D13,'Modelling New'!$D:$D,'Modelling New'!$AF:$AF),"")</f>
        <v>0.995</v>
      </c>
      <c r="AI13" s="167">
        <f>IFERROR(_xlfn.XLOOKUP($A13,Input_Raw!$A:$A,Input_Raw!$DE:$DE),"")</f>
        <v>327.512</v>
      </c>
      <c r="AJ13" s="167"/>
      <c r="AK13" s="167"/>
      <c r="AL13" s="167"/>
      <c r="AM13" s="167"/>
      <c r="AN13" s="188">
        <f>IFERROR(_xlfn.XLOOKUP($A13,Input_Raw!$A:$A,Input_Raw!$DB:$DB),"")</f>
        <v>5.9142245245373481E-2</v>
      </c>
      <c r="AO13" s="186">
        <f>IFERROR((_xlfn.XLOOKUP($A13,'WTG Reactive Power'!$A:$A,'WTG Reactive Power'!$AR:$AR))/X13/1000,"")</f>
        <v>1.298790179670069E-4</v>
      </c>
      <c r="AP13" s="186">
        <f>IFERROR(_xlfn.XLOOKUP($D13,'Modelling New'!$D:$D,'Modelling New'!$AK:$AK),"")</f>
        <v>0.05</v>
      </c>
      <c r="AQ13" s="186">
        <f>IFERROR(_xlfn.XLOOKUP($D13,'Modelling New'!$D:$D,'Modelling New'!$AL:$AL),"")</f>
        <v>0.05</v>
      </c>
      <c r="AR13">
        <f>IFERROR(_xlfn.XLOOKUP($D13,'Modelling New'!$D:$D,'Modelling New'!$N:$N),"")</f>
        <v>78</v>
      </c>
    </row>
    <row r="14" spans="1:45">
      <c r="A14" s="180">
        <f t="shared" si="3"/>
        <v>45757</v>
      </c>
      <c r="B14" s="169">
        <f>YEAR(Table13[[#This Row],[Date]])+IF(MONTH(Table13[[#This Row],[Date]])&gt;=4,1,0)</f>
        <v>2026</v>
      </c>
      <c r="C14" s="167">
        <f>YEAR(Table13[[#This Row],[Date]])</f>
        <v>2025</v>
      </c>
      <c r="D14" s="181">
        <f>Table13[[#This Row],[Date]]-DAY(Table13[[#This Row],[Date]])+1</f>
        <v>45748</v>
      </c>
      <c r="E14" s="167">
        <f t="shared" si="0"/>
        <v>30</v>
      </c>
      <c r="F14" s="170"/>
      <c r="G14" s="171"/>
      <c r="H14" s="171"/>
      <c r="I14" s="171"/>
      <c r="J14" s="171"/>
      <c r="K14" s="182"/>
      <c r="L14" s="171"/>
      <c r="M14" s="171">
        <f>IFERROR(_xlfn.XLOOKUP($A14,Input_Raw!$A:$A,Input_Raw!CG:CG),"")</f>
        <v>5.5674358974358968</v>
      </c>
      <c r="N14" s="171">
        <f>IFERROR(_xlfn.XLOOKUP($A14,Input_Raw!$A:$A,Input_Raw!CH:CH),"")</f>
        <v>0</v>
      </c>
      <c r="O14" s="183">
        <f t="shared" si="1"/>
        <v>0.94529692461520531</v>
      </c>
      <c r="P14" s="183">
        <f>IFERROR(1-SUMIF(WTG_BD!$B:$B,$A14,WTG_BD!$AB:$AB)/($AA14+SUMIF(WTG_BD!$B:$B,$A14,WTG_BD!$AB:$AB)),"")</f>
        <v>0.94529692461520531</v>
      </c>
      <c r="Q14" s="184">
        <f>IFERROR(1-SUMIF(IGA_BD!$B:$B,$A14,IGA_BD!$X:$X)/($AA14+SUMIF(IGA_BD!$B:$B,$A14,IGA_BD!$X:$X)),"")</f>
        <v>1</v>
      </c>
      <c r="R14" s="189">
        <f>IFERROR(1-SUMIF(Grid_BD!$B:$B,$A14,Grid_BD!$V:$V)/($AA14+SUMIF(Grid_BD!$B:$B,$A14,Grid_BD!$V:$V)),"")</f>
        <v>1</v>
      </c>
      <c r="S14" s="167"/>
      <c r="T14" s="184"/>
      <c r="U14" s="185"/>
      <c r="V14" s="167"/>
      <c r="W14" s="186">
        <f>IFERROR(Table13[[#This Row],[Mtr_Net_Exp (KWh)]]/(24*AR14*1000),"")</f>
        <v>0.27307692307692305</v>
      </c>
      <c r="X14" s="167">
        <f>IFERROR(_xlfn.XLOOKUP($A14,Input_Raw!$A:$A,Input_Raw!$CF:$CF),"")</f>
        <v>519730</v>
      </c>
      <c r="Y14" s="167">
        <f>IFERROR(_xlfn.XLOOKUP($A14,Input_Raw!$A:$A,Input_Raw!$CZ:$CZ),"")</f>
        <v>513600</v>
      </c>
      <c r="Z14" s="167">
        <f>IFERROR(_xlfn.XLOOKUP($A14,Input_Raw!$A:$A,Input_Raw!$DA:$DA),"")</f>
        <v>2400</v>
      </c>
      <c r="AA14" s="169">
        <f t="shared" si="2"/>
        <v>511200</v>
      </c>
      <c r="AB14" s="167">
        <f>IFERROR(_xlfn.XLOOKUP($A14,Input_Raw!$A:$A,Input_Raw!$DG:$DG),"")</f>
        <v>78</v>
      </c>
      <c r="AC14" s="187">
        <f>IFERROR(_xlfn.XLOOKUP($D14,'Modelling New'!$D:$D,'Modelling New'!$J:$J),"")</f>
        <v>5.6333333333333329</v>
      </c>
      <c r="AD14" s="169">
        <f>IFERROR(_xlfn.XLOOKUP($D14,'Modelling New'!$D:$D,'Modelling New'!$T:$T)*1000,"")</f>
        <v>340888.47260338557</v>
      </c>
      <c r="AE14" s="186"/>
      <c r="AF14" s="186">
        <f>IFERROR(_xlfn.XLOOKUP($D14,'Modelling New'!$D:$D,'Modelling New'!$W:$W),"")</f>
        <v>0.18209854305736409</v>
      </c>
      <c r="AG14" s="186">
        <f>IFERROR(_xlfn.XLOOKUP($D14,'Modelling New'!$D:$D,'Modelling New'!$AE:$AE),"")</f>
        <v>0.96029999999999993</v>
      </c>
      <c r="AH14" s="186">
        <f>IFERROR(_xlfn.XLOOKUP($D14,'Modelling New'!$D:$D,'Modelling New'!$AF:$AF),"")</f>
        <v>0.995</v>
      </c>
      <c r="AI14" s="167">
        <f>IFERROR(_xlfn.XLOOKUP($A14,Input_Raw!$A:$A,Input_Raw!$DE:$DE),"")</f>
        <v>511</v>
      </c>
      <c r="AJ14" s="167"/>
      <c r="AK14" s="167"/>
      <c r="AL14" s="167"/>
      <c r="AM14" s="167"/>
      <c r="AN14" s="188">
        <f>IFERROR(_xlfn.XLOOKUP($A14,Input_Raw!$A:$A,Input_Raw!$DB:$DB),"")</f>
        <v>1.1794585650241496E-2</v>
      </c>
      <c r="AO14" s="186">
        <f>IFERROR((_xlfn.XLOOKUP($A14,'WTG Reactive Power'!$A:$A,'WTG Reactive Power'!$AR:$AR))/X14/1000,"")</f>
        <v>8.9257883901256427E-6</v>
      </c>
      <c r="AP14" s="186">
        <f>IFERROR(_xlfn.XLOOKUP($D14,'Modelling New'!$D:$D,'Modelling New'!$AK:$AK),"")</f>
        <v>0.05</v>
      </c>
      <c r="AQ14" s="186">
        <f>IFERROR(_xlfn.XLOOKUP($D14,'Modelling New'!$D:$D,'Modelling New'!$AL:$AL),"")</f>
        <v>0.05</v>
      </c>
      <c r="AR14">
        <f>IFERROR(_xlfn.XLOOKUP($D14,'Modelling New'!$D:$D,'Modelling New'!$N:$N),"")</f>
        <v>78</v>
      </c>
    </row>
    <row r="15" spans="1:45">
      <c r="A15" s="180">
        <f t="shared" si="3"/>
        <v>45758</v>
      </c>
      <c r="B15" s="169">
        <f>YEAR(Table13[[#This Row],[Date]])+IF(MONTH(Table13[[#This Row],[Date]])&gt;=4,1,0)</f>
        <v>2026</v>
      </c>
      <c r="C15" s="167">
        <f>YEAR(Table13[[#This Row],[Date]])</f>
        <v>2025</v>
      </c>
      <c r="D15" s="181">
        <f>Table13[[#This Row],[Date]]-DAY(Table13[[#This Row],[Date]])+1</f>
        <v>45748</v>
      </c>
      <c r="E15" s="167">
        <f t="shared" si="0"/>
        <v>30</v>
      </c>
      <c r="F15" s="170"/>
      <c r="G15" s="171"/>
      <c r="H15" s="171"/>
      <c r="I15" s="171"/>
      <c r="J15" s="171"/>
      <c r="K15" s="182"/>
      <c r="L15" s="171"/>
      <c r="M15" s="171">
        <f>IFERROR(_xlfn.XLOOKUP($A15,Input_Raw!$A:$A,Input_Raw!CG:CG),"")</f>
        <v>5.5761538461538445</v>
      </c>
      <c r="N15" s="171">
        <f>IFERROR(_xlfn.XLOOKUP($A15,Input_Raw!$A:$A,Input_Raw!CH:CH),"")</f>
        <v>0</v>
      </c>
      <c r="O15" s="183">
        <f t="shared" si="1"/>
        <v>0.94227750508764418</v>
      </c>
      <c r="P15" s="183">
        <f>IFERROR(1-SUMIF(WTG_BD!$B:$B,$A15,WTG_BD!$AB:$AB)/($AA15+SUMIF(WTG_BD!$B:$B,$A15,WTG_BD!$AB:$AB)),"")</f>
        <v>0.94227750508764418</v>
      </c>
      <c r="Q15" s="184">
        <f>IFERROR(1-SUMIF(IGA_BD!$B:$B,$A15,IGA_BD!$X:$X)/($AA15+SUMIF(IGA_BD!$B:$B,$A15,IGA_BD!$X:$X)),"")</f>
        <v>1</v>
      </c>
      <c r="R15" s="189">
        <f>IFERROR(1-SUMIF(Grid_BD!$B:$B,$A15,Grid_BD!$V:$V)/($AA15+SUMIF(Grid_BD!$B:$B,$A15,Grid_BD!$V:$V)),"")</f>
        <v>1</v>
      </c>
      <c r="S15" s="167"/>
      <c r="T15" s="184"/>
      <c r="U15" s="185"/>
      <c r="V15" s="167"/>
      <c r="W15" s="186">
        <f>IFERROR(Table13[[#This Row],[Mtr_Net_Exp (KWh)]]/(24*AR15*1000),"")</f>
        <v>0.27307692307692305</v>
      </c>
      <c r="X15" s="167">
        <f>IFERROR(_xlfn.XLOOKUP($A15,Input_Raw!$A:$A,Input_Raw!$CF:$CF),"")</f>
        <v>514588</v>
      </c>
      <c r="Y15" s="167">
        <f>IFERROR(_xlfn.XLOOKUP($A15,Input_Raw!$A:$A,Input_Raw!$CZ:$CZ),"")</f>
        <v>511200</v>
      </c>
      <c r="Z15" s="167">
        <f>IFERROR(_xlfn.XLOOKUP($A15,Input_Raw!$A:$A,Input_Raw!$DA:$DA),"")</f>
        <v>0</v>
      </c>
      <c r="AA15" s="169">
        <f t="shared" si="2"/>
        <v>511200</v>
      </c>
      <c r="AB15" s="167">
        <f>IFERROR(_xlfn.XLOOKUP($A15,Input_Raw!$A:$A,Input_Raw!$DG:$DG),"")</f>
        <v>78</v>
      </c>
      <c r="AC15" s="187">
        <f>IFERROR(_xlfn.XLOOKUP($D15,'Modelling New'!$D:$D,'Modelling New'!$J:$J),"")</f>
        <v>5.6333333333333329</v>
      </c>
      <c r="AD15" s="169">
        <f>IFERROR(_xlfn.XLOOKUP($D15,'Modelling New'!$D:$D,'Modelling New'!$T:$T)*1000,"")</f>
        <v>340888.47260338557</v>
      </c>
      <c r="AE15" s="186"/>
      <c r="AF15" s="186">
        <f>IFERROR(_xlfn.XLOOKUP($D15,'Modelling New'!$D:$D,'Modelling New'!$W:$W),"")</f>
        <v>0.18209854305736409</v>
      </c>
      <c r="AG15" s="186">
        <f>IFERROR(_xlfn.XLOOKUP($D15,'Modelling New'!$D:$D,'Modelling New'!$AE:$AE),"")</f>
        <v>0.96029999999999993</v>
      </c>
      <c r="AH15" s="186">
        <f>IFERROR(_xlfn.XLOOKUP($D15,'Modelling New'!$D:$D,'Modelling New'!$AF:$AF),"")</f>
        <v>0.995</v>
      </c>
      <c r="AI15" s="167">
        <f>IFERROR(_xlfn.XLOOKUP($A15,Input_Raw!$A:$A,Input_Raw!$DE:$DE),"")</f>
        <v>514</v>
      </c>
      <c r="AJ15" s="167"/>
      <c r="AK15" s="167"/>
      <c r="AL15" s="167"/>
      <c r="AM15" s="167"/>
      <c r="AN15" s="188">
        <f>IFERROR(_xlfn.XLOOKUP($A15,Input_Raw!$A:$A,Input_Raw!$DB:$DB),"")</f>
        <v>6.5839079030214354E-3</v>
      </c>
      <c r="AO15" s="186">
        <f>IFERROR((_xlfn.XLOOKUP($A15,'WTG Reactive Power'!$A:$A,'WTG Reactive Power'!$AR:$AR))/X15/1000,"")</f>
        <v>0</v>
      </c>
      <c r="AP15" s="186">
        <f>IFERROR(_xlfn.XLOOKUP($D15,'Modelling New'!$D:$D,'Modelling New'!$AK:$AK),"")</f>
        <v>0.05</v>
      </c>
      <c r="AQ15" s="186">
        <f>IFERROR(_xlfn.XLOOKUP($D15,'Modelling New'!$D:$D,'Modelling New'!$AL:$AL),"")</f>
        <v>0.05</v>
      </c>
      <c r="AR15">
        <f>IFERROR(_xlfn.XLOOKUP($D15,'Modelling New'!$D:$D,'Modelling New'!$N:$N),"")</f>
        <v>78</v>
      </c>
    </row>
    <row r="16" spans="1:45">
      <c r="A16" s="180">
        <f t="shared" si="3"/>
        <v>45759</v>
      </c>
      <c r="B16" s="169">
        <f>YEAR(Table13[[#This Row],[Date]])+IF(MONTH(Table13[[#This Row],[Date]])&gt;=4,1,0)</f>
        <v>2026</v>
      </c>
      <c r="C16" s="167">
        <f>YEAR(Table13[[#This Row],[Date]])</f>
        <v>2025</v>
      </c>
      <c r="D16" s="181">
        <f>Table13[[#This Row],[Date]]-DAY(Table13[[#This Row],[Date]])+1</f>
        <v>45748</v>
      </c>
      <c r="E16" s="167">
        <f t="shared" si="0"/>
        <v>30</v>
      </c>
      <c r="F16" s="170"/>
      <c r="G16" s="171"/>
      <c r="H16" s="171"/>
      <c r="I16" s="171"/>
      <c r="J16" s="171"/>
      <c r="K16" s="182"/>
      <c r="L16" s="171"/>
      <c r="M16" s="171">
        <f>IFERROR(_xlfn.XLOOKUP($A16,Input_Raw!$A:$A,Input_Raw!CG:CG),"")</f>
        <v>5.4376923076923074</v>
      </c>
      <c r="N16" s="171">
        <f>IFERROR(_xlfn.XLOOKUP($A16,Input_Raw!$A:$A,Input_Raw!CH:CH),"")</f>
        <v>0</v>
      </c>
      <c r="O16" s="183">
        <f t="shared" si="1"/>
        <v>0.94025891978443088</v>
      </c>
      <c r="P16" s="183">
        <f>IFERROR(1-SUMIF(WTG_BD!$B:$B,$A16,WTG_BD!$AB:$AB)/($AA16+SUMIF(WTG_BD!$B:$B,$A16,WTG_BD!$AB:$AB)),"")</f>
        <v>0.94025891978443088</v>
      </c>
      <c r="Q16" s="184">
        <f>IFERROR(1-SUMIF(IGA_BD!$B:$B,$A16,IGA_BD!$X:$X)/($AA16+SUMIF(IGA_BD!$B:$B,$A16,IGA_BD!$X:$X)),"")</f>
        <v>1</v>
      </c>
      <c r="R16" s="189">
        <f>IFERROR(1-SUMIF(Grid_BD!$B:$B,$A16,Grid_BD!$V:$V)/($AA16+SUMIF(Grid_BD!$B:$B,$A16,Grid_BD!$V:$V)),"")</f>
        <v>1</v>
      </c>
      <c r="S16" s="167"/>
      <c r="T16" s="184"/>
      <c r="U16" s="185"/>
      <c r="V16" s="167"/>
      <c r="W16" s="186">
        <f>IFERROR(Table13[[#This Row],[Mtr_Net_Exp (KWh)]]/(24*AR16*1000),"")</f>
        <v>0.24807692307692308</v>
      </c>
      <c r="X16" s="167">
        <f>IFERROR(_xlfn.XLOOKUP($A16,Input_Raw!$A:$A,Input_Raw!$CF:$CF),"")</f>
        <v>469515</v>
      </c>
      <c r="Y16" s="167">
        <f>IFERROR(_xlfn.XLOOKUP($A16,Input_Raw!$A:$A,Input_Raw!$CZ:$CZ),"")</f>
        <v>465600</v>
      </c>
      <c r="Z16" s="167">
        <f>IFERROR(_xlfn.XLOOKUP($A16,Input_Raw!$A:$A,Input_Raw!$DA:$DA),"")</f>
        <v>1200</v>
      </c>
      <c r="AA16" s="169">
        <f t="shared" si="2"/>
        <v>464400</v>
      </c>
      <c r="AB16" s="167">
        <f>IFERROR(_xlfn.XLOOKUP($A16,Input_Raw!$A:$A,Input_Raw!$DG:$DG),"")</f>
        <v>78</v>
      </c>
      <c r="AC16" s="187">
        <f>IFERROR(_xlfn.XLOOKUP($D16,'Modelling New'!$D:$D,'Modelling New'!$J:$J),"")</f>
        <v>5.6333333333333329</v>
      </c>
      <c r="AD16" s="169">
        <f>IFERROR(_xlfn.XLOOKUP($D16,'Modelling New'!$D:$D,'Modelling New'!$T:$T)*1000,"")</f>
        <v>340888.47260338557</v>
      </c>
      <c r="AE16" s="186"/>
      <c r="AF16" s="186">
        <f>IFERROR(_xlfn.XLOOKUP($D16,'Modelling New'!$D:$D,'Modelling New'!$W:$W),"")</f>
        <v>0.18209854305736409</v>
      </c>
      <c r="AG16" s="186">
        <f>IFERROR(_xlfn.XLOOKUP($D16,'Modelling New'!$D:$D,'Modelling New'!$AE:$AE),"")</f>
        <v>0.96029999999999993</v>
      </c>
      <c r="AH16" s="186">
        <f>IFERROR(_xlfn.XLOOKUP($D16,'Modelling New'!$D:$D,'Modelling New'!$AF:$AF),"")</f>
        <v>0.995</v>
      </c>
      <c r="AI16" s="167">
        <f>IFERROR(_xlfn.XLOOKUP($A16,Input_Raw!$A:$A,Input_Raw!$DE:$DE),"")</f>
        <v>469.51</v>
      </c>
      <c r="AJ16" s="167"/>
      <c r="AK16" s="167"/>
      <c r="AL16" s="167"/>
      <c r="AM16" s="167"/>
      <c r="AN16" s="188">
        <f>IFERROR(_xlfn.XLOOKUP($A16,Input_Raw!$A:$A,Input_Raw!$DB:$DB),"")</f>
        <v>8.3383917446726574E-3</v>
      </c>
      <c r="AO16" s="186">
        <f>IFERROR((_xlfn.XLOOKUP($A16,'WTG Reactive Power'!$A:$A,'WTG Reactive Power'!$AR:$AR))/X16/1000,"")</f>
        <v>7.8016676783489344E-6</v>
      </c>
      <c r="AP16" s="186">
        <f>IFERROR(_xlfn.XLOOKUP($D16,'Modelling New'!$D:$D,'Modelling New'!$AK:$AK),"")</f>
        <v>0.05</v>
      </c>
      <c r="AQ16" s="186">
        <f>IFERROR(_xlfn.XLOOKUP($D16,'Modelling New'!$D:$D,'Modelling New'!$AL:$AL),"")</f>
        <v>0.05</v>
      </c>
      <c r="AR16">
        <f>IFERROR(_xlfn.XLOOKUP($D16,'Modelling New'!$D:$D,'Modelling New'!$N:$N),"")</f>
        <v>78</v>
      </c>
    </row>
    <row r="17" spans="1:44">
      <c r="A17" s="180">
        <f t="shared" si="3"/>
        <v>45760</v>
      </c>
      <c r="B17" s="169">
        <f>YEAR(Table13[[#This Row],[Date]])+IF(MONTH(Table13[[#This Row],[Date]])&gt;=4,1,0)</f>
        <v>2026</v>
      </c>
      <c r="C17" s="167">
        <f>YEAR(Table13[[#This Row],[Date]])</f>
        <v>2025</v>
      </c>
      <c r="D17" s="181">
        <f>Table13[[#This Row],[Date]]-DAY(Table13[[#This Row],[Date]])+1</f>
        <v>45748</v>
      </c>
      <c r="E17" s="167">
        <f t="shared" si="0"/>
        <v>30</v>
      </c>
      <c r="F17" s="170"/>
      <c r="G17" s="171"/>
      <c r="H17" s="171"/>
      <c r="I17" s="171"/>
      <c r="J17" s="171"/>
      <c r="K17" s="182"/>
      <c r="L17" s="171"/>
      <c r="M17" s="171">
        <f>IFERROR(_xlfn.XLOOKUP($A17,Input_Raw!$A:$A,Input_Raw!CG:CG),"")</f>
        <v>4.8151282051282047</v>
      </c>
      <c r="N17" s="171">
        <f>IFERROR(_xlfn.XLOOKUP($A17,Input_Raw!$A:$A,Input_Raw!CH:CH),"")</f>
        <v>0</v>
      </c>
      <c r="O17" s="183">
        <f t="shared" si="1"/>
        <v>0.94726332883375941</v>
      </c>
      <c r="P17" s="183">
        <f>IFERROR(1-SUMIF(WTG_BD!$B:$B,$A17,WTG_BD!$AB:$AB)/($AA17+SUMIF(WTG_BD!$B:$B,$A17,WTG_BD!$AB:$AB)),"")</f>
        <v>0.94726332883375941</v>
      </c>
      <c r="Q17" s="184">
        <f>IFERROR(1-SUMIF(IGA_BD!$B:$B,$A17,IGA_BD!$X:$X)/($AA17+SUMIF(IGA_BD!$B:$B,$A17,IGA_BD!$X:$X)),"")</f>
        <v>1</v>
      </c>
      <c r="R17" s="189">
        <f>IFERROR(1-SUMIF(Grid_BD!$B:$B,$A17,Grid_BD!$V:$V)/($AA17+SUMIF(Grid_BD!$B:$B,$A17,Grid_BD!$V:$V)),"")</f>
        <v>1</v>
      </c>
      <c r="S17" s="167"/>
      <c r="T17" s="184"/>
      <c r="U17" s="185"/>
      <c r="V17" s="167"/>
      <c r="W17" s="186">
        <f>IFERROR(Table13[[#This Row],[Mtr_Net_Exp (KWh)]]/(24*AR17*1000),"")</f>
        <v>0.17628205128205129</v>
      </c>
      <c r="X17" s="167">
        <f>IFERROR(_xlfn.XLOOKUP($A17,Input_Raw!$A:$A,Input_Raw!$CF:$CF),"")</f>
        <v>333663</v>
      </c>
      <c r="Y17" s="167">
        <f>IFERROR(_xlfn.XLOOKUP($A17,Input_Raw!$A:$A,Input_Raw!$CZ:$CZ),"")</f>
        <v>331200</v>
      </c>
      <c r="Z17" s="167">
        <f>IFERROR(_xlfn.XLOOKUP($A17,Input_Raw!$A:$A,Input_Raw!$DA:$DA),"")</f>
        <v>1200</v>
      </c>
      <c r="AA17" s="169">
        <f t="shared" si="2"/>
        <v>330000</v>
      </c>
      <c r="AB17" s="167">
        <f>IFERROR(_xlfn.XLOOKUP($A17,Input_Raw!$A:$A,Input_Raw!$DG:$DG),"")</f>
        <v>78</v>
      </c>
      <c r="AC17" s="187">
        <f>IFERROR(_xlfn.XLOOKUP($D17,'Modelling New'!$D:$D,'Modelling New'!$J:$J),"")</f>
        <v>5.6333333333333329</v>
      </c>
      <c r="AD17" s="169">
        <f>IFERROR(_xlfn.XLOOKUP($D17,'Modelling New'!$D:$D,'Modelling New'!$T:$T)*1000,"")</f>
        <v>340888.47260338557</v>
      </c>
      <c r="AE17" s="186"/>
      <c r="AF17" s="186">
        <f>IFERROR(_xlfn.XLOOKUP($D17,'Modelling New'!$D:$D,'Modelling New'!$W:$W),"")</f>
        <v>0.18209854305736409</v>
      </c>
      <c r="AG17" s="186">
        <f>IFERROR(_xlfn.XLOOKUP($D17,'Modelling New'!$D:$D,'Modelling New'!$AE:$AE),"")</f>
        <v>0.96029999999999993</v>
      </c>
      <c r="AH17" s="186">
        <f>IFERROR(_xlfn.XLOOKUP($D17,'Modelling New'!$D:$D,'Modelling New'!$AF:$AF),"")</f>
        <v>0.995</v>
      </c>
      <c r="AI17" s="167">
        <f>IFERROR(_xlfn.XLOOKUP($A17,Input_Raw!$A:$A,Input_Raw!$DE:$DE),"")</f>
        <v>333.66</v>
      </c>
      <c r="AJ17" s="167"/>
      <c r="AK17" s="167"/>
      <c r="AL17" s="167"/>
      <c r="AM17" s="167"/>
      <c r="AN17" s="188">
        <f>IFERROR(_xlfn.XLOOKUP($A17,Input_Raw!$A:$A,Input_Raw!$DB:$DB),"")</f>
        <v>7.3816994991953155E-3</v>
      </c>
      <c r="AO17" s="186">
        <f>IFERROR((_xlfn.XLOOKUP($A17,'WTG Reactive Power'!$A:$A,'WTG Reactive Power'!$AR:$AR))/X17/1000,"")</f>
        <v>1.4304852500876633E-5</v>
      </c>
      <c r="AP17" s="186">
        <f>IFERROR(_xlfn.XLOOKUP($D17,'Modelling New'!$D:$D,'Modelling New'!$AK:$AK),"")</f>
        <v>0.05</v>
      </c>
      <c r="AQ17" s="186">
        <f>IFERROR(_xlfn.XLOOKUP($D17,'Modelling New'!$D:$D,'Modelling New'!$AL:$AL),"")</f>
        <v>0.05</v>
      </c>
      <c r="AR17">
        <f>IFERROR(_xlfn.XLOOKUP($D17,'Modelling New'!$D:$D,'Modelling New'!$N:$N),"")</f>
        <v>78</v>
      </c>
    </row>
    <row r="18" spans="1:44">
      <c r="A18" s="180">
        <f t="shared" si="3"/>
        <v>45761</v>
      </c>
      <c r="B18" s="169">
        <f>YEAR(Table13[[#This Row],[Date]])+IF(MONTH(Table13[[#This Row],[Date]])&gt;=4,1,0)</f>
        <v>2026</v>
      </c>
      <c r="C18" s="167">
        <f>YEAR(Table13[[#This Row],[Date]])</f>
        <v>2025</v>
      </c>
      <c r="D18" s="181">
        <f>Table13[[#This Row],[Date]]-DAY(Table13[[#This Row],[Date]])+1</f>
        <v>45748</v>
      </c>
      <c r="E18" s="167">
        <f t="shared" si="0"/>
        <v>30</v>
      </c>
      <c r="F18" s="170"/>
      <c r="G18" s="171"/>
      <c r="H18" s="171"/>
      <c r="I18" s="171"/>
      <c r="J18" s="171"/>
      <c r="K18" s="182"/>
      <c r="L18" s="171"/>
      <c r="M18" s="171">
        <f>IFERROR(_xlfn.XLOOKUP($A18,Input_Raw!$A:$A,Input_Raw!CG:CG),"")</f>
        <v>6.7597435897435894</v>
      </c>
      <c r="N18" s="171">
        <f>IFERROR(_xlfn.XLOOKUP($A18,Input_Raw!$A:$A,Input_Raw!CH:CH),"")</f>
        <v>0</v>
      </c>
      <c r="O18" s="183">
        <f t="shared" si="1"/>
        <v>0.94675948932826615</v>
      </c>
      <c r="P18" s="183">
        <f>IFERROR(1-SUMIF(WTG_BD!$B:$B,$A18,WTG_BD!$AB:$AB)/($AA18+SUMIF(WTG_BD!$B:$B,$A18,WTG_BD!$AB:$AB)),"")</f>
        <v>0.94675948932826615</v>
      </c>
      <c r="Q18" s="184">
        <f>IFERROR(1-SUMIF(IGA_BD!$B:$B,$A18,IGA_BD!$X:$X)/($AA18+SUMIF(IGA_BD!$B:$B,$A18,IGA_BD!$X:$X)),"")</f>
        <v>1</v>
      </c>
      <c r="R18" s="189">
        <f>IFERROR(1-SUMIF(Grid_BD!$B:$B,$A18,Grid_BD!$V:$V)/($AA18+SUMIF(Grid_BD!$B:$B,$A18,Grid_BD!$V:$V)),"")</f>
        <v>1</v>
      </c>
      <c r="S18" s="167"/>
      <c r="T18" s="184"/>
      <c r="U18" s="185"/>
      <c r="V18" s="167"/>
      <c r="W18" s="186">
        <f>IFERROR(Table13[[#This Row],[Mtr_Net_Exp (KWh)]]/(24*AR18*1000),"")</f>
        <v>0.31923076923076921</v>
      </c>
      <c r="X18" s="167">
        <f>IFERROR(_xlfn.XLOOKUP($A18,Input_Raw!$A:$A,Input_Raw!$CF:$CF),"")</f>
        <v>601869</v>
      </c>
      <c r="Y18" s="167">
        <f>IFERROR(_xlfn.XLOOKUP($A18,Input_Raw!$A:$A,Input_Raw!$CZ:$CZ),"")</f>
        <v>598800</v>
      </c>
      <c r="Z18" s="167">
        <f>IFERROR(_xlfn.XLOOKUP($A18,Input_Raw!$A:$A,Input_Raw!$DA:$DA),"")</f>
        <v>1200</v>
      </c>
      <c r="AA18" s="169">
        <f t="shared" si="2"/>
        <v>597600</v>
      </c>
      <c r="AB18" s="167">
        <f>IFERROR(_xlfn.XLOOKUP($A18,Input_Raw!$A:$A,Input_Raw!$DG:$DG),"")</f>
        <v>78</v>
      </c>
      <c r="AC18" s="187">
        <f>IFERROR(_xlfn.XLOOKUP($D18,'Modelling New'!$D:$D,'Modelling New'!$J:$J),"")</f>
        <v>5.6333333333333329</v>
      </c>
      <c r="AD18" s="169">
        <f>IFERROR(_xlfn.XLOOKUP($D18,'Modelling New'!$D:$D,'Modelling New'!$T:$T)*1000,"")</f>
        <v>340888.47260338557</v>
      </c>
      <c r="AE18" s="186"/>
      <c r="AF18" s="186">
        <f>IFERROR(_xlfn.XLOOKUP($D18,'Modelling New'!$D:$D,'Modelling New'!$W:$W),"")</f>
        <v>0.18209854305736409</v>
      </c>
      <c r="AG18" s="186">
        <f>IFERROR(_xlfn.XLOOKUP($D18,'Modelling New'!$D:$D,'Modelling New'!$AE:$AE),"")</f>
        <v>0.96029999999999993</v>
      </c>
      <c r="AH18" s="186">
        <f>IFERROR(_xlfn.XLOOKUP($D18,'Modelling New'!$D:$D,'Modelling New'!$AF:$AF),"")</f>
        <v>0.995</v>
      </c>
      <c r="AI18" s="167">
        <f>IFERROR(_xlfn.XLOOKUP($A18,Input_Raw!$A:$A,Input_Raw!$DE:$DE),"")</f>
        <v>601.86900000000003</v>
      </c>
      <c r="AJ18" s="167"/>
      <c r="AK18" s="167"/>
      <c r="AL18" s="167"/>
      <c r="AM18" s="167"/>
      <c r="AN18" s="188">
        <f>IFERROR(_xlfn.XLOOKUP($A18,Input_Raw!$A:$A,Input_Raw!$DB:$DB),"")</f>
        <v>5.0991162528722933E-3</v>
      </c>
      <c r="AO18" s="186">
        <f>IFERROR((_xlfn.XLOOKUP($A18,'WTG Reactive Power'!$A:$A,'WTG Reactive Power'!$AR:$AR))/X18/1000,"")</f>
        <v>7.9302971244573151E-6</v>
      </c>
      <c r="AP18" s="186">
        <f>IFERROR(_xlfn.XLOOKUP($D18,'Modelling New'!$D:$D,'Modelling New'!$AK:$AK),"")</f>
        <v>0.05</v>
      </c>
      <c r="AQ18" s="186">
        <f>IFERROR(_xlfn.XLOOKUP($D18,'Modelling New'!$D:$D,'Modelling New'!$AL:$AL),"")</f>
        <v>0.05</v>
      </c>
      <c r="AR18">
        <f>IFERROR(_xlfn.XLOOKUP($D18,'Modelling New'!$D:$D,'Modelling New'!$N:$N),"")</f>
        <v>78</v>
      </c>
    </row>
    <row r="19" spans="1:44">
      <c r="A19" s="180">
        <f t="shared" si="3"/>
        <v>45762</v>
      </c>
      <c r="B19" s="169">
        <f>YEAR(Table13[[#This Row],[Date]])+IF(MONTH(Table13[[#This Row],[Date]])&gt;=4,1,0)</f>
        <v>2026</v>
      </c>
      <c r="C19" s="167">
        <f>YEAR(Table13[[#This Row],[Date]])</f>
        <v>2025</v>
      </c>
      <c r="D19" s="181">
        <f>Table13[[#This Row],[Date]]-DAY(Table13[[#This Row],[Date]])+1</f>
        <v>45748</v>
      </c>
      <c r="E19" s="167">
        <f t="shared" si="0"/>
        <v>30</v>
      </c>
      <c r="F19" s="170"/>
      <c r="G19" s="171"/>
      <c r="H19" s="171"/>
      <c r="I19" s="171"/>
      <c r="J19" s="171"/>
      <c r="K19" s="182"/>
      <c r="L19" s="171"/>
      <c r="M19" s="171">
        <f>IFERROR(_xlfn.XLOOKUP($A19,Input_Raw!$A:$A,Input_Raw!CG:CG),"")</f>
        <v>5.9428205128205125</v>
      </c>
      <c r="N19" s="171">
        <f>IFERROR(_xlfn.XLOOKUP($A19,Input_Raw!$A:$A,Input_Raw!CH:CH),"")</f>
        <v>0</v>
      </c>
      <c r="O19" s="183">
        <f t="shared" si="1"/>
        <v>0.93748485228023004</v>
      </c>
      <c r="P19" s="183">
        <f>IFERROR(1-SUMIF(WTG_BD!$B:$B,$A19,WTG_BD!$AB:$AB)/($AA19+SUMIF(WTG_BD!$B:$B,$A19,WTG_BD!$AB:$AB)),"")</f>
        <v>0.93748485228023004</v>
      </c>
      <c r="Q19" s="184">
        <f>IFERROR(1-SUMIF(IGA_BD!$B:$B,$A19,IGA_BD!$X:$X)/($AA19+SUMIF(IGA_BD!$B:$B,$A19,IGA_BD!$X:$X)),"")</f>
        <v>1</v>
      </c>
      <c r="R19" s="189">
        <f>IFERROR(1-SUMIF(Grid_BD!$B:$B,$A19,Grid_BD!$V:$V)/($AA19+SUMIF(Grid_BD!$B:$B,$A19,Grid_BD!$V:$V)),"")</f>
        <v>1</v>
      </c>
      <c r="S19" s="167"/>
      <c r="T19" s="184"/>
      <c r="U19" s="185"/>
      <c r="V19" s="167"/>
      <c r="W19" s="186">
        <f>IFERROR(Table13[[#This Row],[Mtr_Net_Exp (KWh)]]/(24*AR19*1000),"")</f>
        <v>0.27948717948717949</v>
      </c>
      <c r="X19" s="167">
        <f>IFERROR(_xlfn.XLOOKUP($A19,Input_Raw!$A:$A,Input_Raw!$CF:$CF),"")</f>
        <v>530337</v>
      </c>
      <c r="Y19" s="167">
        <f>IFERROR(_xlfn.XLOOKUP($A19,Input_Raw!$A:$A,Input_Raw!$CZ:$CZ),"")</f>
        <v>526800</v>
      </c>
      <c r="Z19" s="167">
        <f>IFERROR(_xlfn.XLOOKUP($A19,Input_Raw!$A:$A,Input_Raw!$DA:$DA),"")</f>
        <v>3600</v>
      </c>
      <c r="AA19" s="169">
        <f t="shared" si="2"/>
        <v>523200</v>
      </c>
      <c r="AB19" s="167">
        <f>IFERROR(_xlfn.XLOOKUP($A19,Input_Raw!$A:$A,Input_Raw!$DG:$DG),"")</f>
        <v>78</v>
      </c>
      <c r="AC19" s="187">
        <f>IFERROR(_xlfn.XLOOKUP($D19,'Modelling New'!$D:$D,'Modelling New'!$J:$J),"")</f>
        <v>5.6333333333333329</v>
      </c>
      <c r="AD19" s="169">
        <f>IFERROR(_xlfn.XLOOKUP($D19,'Modelling New'!$D:$D,'Modelling New'!$T:$T)*1000,"")</f>
        <v>340888.47260338557</v>
      </c>
      <c r="AE19" s="186"/>
      <c r="AF19" s="186">
        <f>IFERROR(_xlfn.XLOOKUP($D19,'Modelling New'!$D:$D,'Modelling New'!$W:$W),"")</f>
        <v>0.18209854305736409</v>
      </c>
      <c r="AG19" s="186">
        <f>IFERROR(_xlfn.XLOOKUP($D19,'Modelling New'!$D:$D,'Modelling New'!$AE:$AE),"")</f>
        <v>0.96029999999999993</v>
      </c>
      <c r="AH19" s="186">
        <f>IFERROR(_xlfn.XLOOKUP($D19,'Modelling New'!$D:$D,'Modelling New'!$AF:$AF),"")</f>
        <v>0.995</v>
      </c>
      <c r="AI19" s="167">
        <f>IFERROR(_xlfn.XLOOKUP($A19,Input_Raw!$A:$A,Input_Raw!$DE:$DE),"")</f>
        <v>530.33699999999999</v>
      </c>
      <c r="AJ19" s="167"/>
      <c r="AK19" s="167"/>
      <c r="AL19" s="167"/>
      <c r="AM19" s="167"/>
      <c r="AN19" s="188">
        <f>IFERROR(_xlfn.XLOOKUP($A19,Input_Raw!$A:$A,Input_Raw!$DB:$DB),"")</f>
        <v>6.6693442094366562E-3</v>
      </c>
      <c r="AO19" s="186">
        <f>IFERROR((_xlfn.XLOOKUP($A19,'WTG Reactive Power'!$A:$A,'WTG Reactive Power'!$AR:$AR))/X19/1000,"")</f>
        <v>8.9999377754145018E-6</v>
      </c>
      <c r="AP19" s="186">
        <f>IFERROR(_xlfn.XLOOKUP($D19,'Modelling New'!$D:$D,'Modelling New'!$AK:$AK),"")</f>
        <v>0.05</v>
      </c>
      <c r="AQ19" s="186">
        <f>IFERROR(_xlfn.XLOOKUP($D19,'Modelling New'!$D:$D,'Modelling New'!$AL:$AL),"")</f>
        <v>0.05</v>
      </c>
      <c r="AR19">
        <f>IFERROR(_xlfn.XLOOKUP($D19,'Modelling New'!$D:$D,'Modelling New'!$N:$N),"")</f>
        <v>78</v>
      </c>
    </row>
    <row r="20" spans="1:44">
      <c r="A20" s="180">
        <f t="shared" si="3"/>
        <v>45763</v>
      </c>
      <c r="B20" s="169">
        <f>YEAR(Table13[[#This Row],[Date]])+IF(MONTH(Table13[[#This Row],[Date]])&gt;=4,1,0)</f>
        <v>2026</v>
      </c>
      <c r="C20" s="167">
        <f>YEAR(Table13[[#This Row],[Date]])</f>
        <v>2025</v>
      </c>
      <c r="D20" s="181">
        <f>Table13[[#This Row],[Date]]-DAY(Table13[[#This Row],[Date]])+1</f>
        <v>45748</v>
      </c>
      <c r="E20" s="167">
        <f t="shared" si="0"/>
        <v>30</v>
      </c>
      <c r="F20" s="170"/>
      <c r="G20" s="171"/>
      <c r="H20" s="171"/>
      <c r="I20" s="171"/>
      <c r="J20" s="171"/>
      <c r="K20" s="182"/>
      <c r="L20" s="171"/>
      <c r="M20" s="171">
        <f>IFERROR(_xlfn.XLOOKUP($A20,Input_Raw!$A:$A,Input_Raw!CG:CG),"")</f>
        <v>5.5674358974358968</v>
      </c>
      <c r="N20" s="171">
        <f>IFERROR(_xlfn.XLOOKUP($A20,Input_Raw!$A:$A,Input_Raw!CH:CH),"")</f>
        <v>0</v>
      </c>
      <c r="O20" s="183">
        <f t="shared" si="1"/>
        <v>0.94300973238477903</v>
      </c>
      <c r="P20" s="183">
        <f>IFERROR(1-SUMIF(WTG_BD!$B:$B,$A20,WTG_BD!$AB:$AB)/($AA20+SUMIF(WTG_BD!$B:$B,$A20,WTG_BD!$AB:$AB)),"")</f>
        <v>0.94300973238477903</v>
      </c>
      <c r="Q20" s="184">
        <f>IFERROR(1-SUMIF(IGA_BD!$B:$B,$A20,IGA_BD!$X:$X)/($AA20+SUMIF(IGA_BD!$B:$B,$A20,IGA_BD!$X:$X)),"")</f>
        <v>1</v>
      </c>
      <c r="R20" s="189">
        <f>IFERROR(1-SUMIF(Grid_BD!$B:$B,$A20,Grid_BD!$V:$V)/($AA20+SUMIF(Grid_BD!$B:$B,$A20,Grid_BD!$V:$V)),"")</f>
        <v>1</v>
      </c>
      <c r="S20" s="167"/>
      <c r="T20" s="184"/>
      <c r="U20" s="185"/>
      <c r="V20" s="167"/>
      <c r="W20" s="186">
        <f>IFERROR(Table13[[#This Row],[Mtr_Net_Exp (KWh)]]/(24*AR20*1000),"")</f>
        <v>0.29423076923076924</v>
      </c>
      <c r="X20" s="167">
        <f>IFERROR(_xlfn.XLOOKUP($A20,Input_Raw!$A:$A,Input_Raw!$CF:$CF),"")</f>
        <v>552581</v>
      </c>
      <c r="Y20" s="167">
        <f>IFERROR(_xlfn.XLOOKUP($A20,Input_Raw!$A:$A,Input_Raw!$CZ:$CZ),"")</f>
        <v>550800</v>
      </c>
      <c r="Z20" s="167">
        <f>IFERROR(_xlfn.XLOOKUP($A20,Input_Raw!$A:$A,Input_Raw!$DA:$DA),"")</f>
        <v>0</v>
      </c>
      <c r="AA20" s="169">
        <f t="shared" si="2"/>
        <v>550800</v>
      </c>
      <c r="AB20" s="167">
        <f>IFERROR(_xlfn.XLOOKUP($A20,Input_Raw!$A:$A,Input_Raw!$DG:$DG),"")</f>
        <v>78</v>
      </c>
      <c r="AC20" s="187">
        <f>IFERROR(_xlfn.XLOOKUP($D20,'Modelling New'!$D:$D,'Modelling New'!$J:$J),"")</f>
        <v>5.6333333333333329</v>
      </c>
      <c r="AD20" s="169">
        <f>IFERROR(_xlfn.XLOOKUP($D20,'Modelling New'!$D:$D,'Modelling New'!$T:$T)*1000,"")</f>
        <v>340888.47260338557</v>
      </c>
      <c r="AE20" s="186"/>
      <c r="AF20" s="186">
        <f>IFERROR(_xlfn.XLOOKUP($D20,'Modelling New'!$D:$D,'Modelling New'!$W:$W),"")</f>
        <v>0.18209854305736409</v>
      </c>
      <c r="AG20" s="186">
        <f>IFERROR(_xlfn.XLOOKUP($D20,'Modelling New'!$D:$D,'Modelling New'!$AE:$AE),"")</f>
        <v>0.96029999999999993</v>
      </c>
      <c r="AH20" s="186">
        <f>IFERROR(_xlfn.XLOOKUP($D20,'Modelling New'!$D:$D,'Modelling New'!$AF:$AF),"")</f>
        <v>0.995</v>
      </c>
      <c r="AI20" s="167">
        <f>IFERROR(_xlfn.XLOOKUP($A20,Input_Raw!$A:$A,Input_Raw!$DE:$DE),"")</f>
        <v>552.58100000000002</v>
      </c>
      <c r="AJ20" s="167"/>
      <c r="AK20" s="167"/>
      <c r="AL20" s="167"/>
      <c r="AM20" s="167"/>
      <c r="AN20" s="188">
        <f>IFERROR(_xlfn.XLOOKUP($A20,Input_Raw!$A:$A,Input_Raw!$DB:$DB),"")</f>
        <v>3.2230568912069435E-3</v>
      </c>
      <c r="AO20" s="186">
        <f>IFERROR((_xlfn.XLOOKUP($A20,'WTG Reactive Power'!$A:$A,'WTG Reactive Power'!$AR:$AR))/X20/1000,"")</f>
        <v>6.4949753972720738E-6</v>
      </c>
      <c r="AP20" s="186">
        <f>IFERROR(_xlfn.XLOOKUP($D20,'Modelling New'!$D:$D,'Modelling New'!$AK:$AK),"")</f>
        <v>0.05</v>
      </c>
      <c r="AQ20" s="186">
        <f>IFERROR(_xlfn.XLOOKUP($D20,'Modelling New'!$D:$D,'Modelling New'!$AL:$AL),"")</f>
        <v>0.05</v>
      </c>
      <c r="AR20">
        <f>IFERROR(_xlfn.XLOOKUP($D20,'Modelling New'!$D:$D,'Modelling New'!$N:$N),"")</f>
        <v>78</v>
      </c>
    </row>
    <row r="21" spans="1:44">
      <c r="A21" s="180">
        <f t="shared" si="3"/>
        <v>45764</v>
      </c>
      <c r="B21" s="169">
        <f>YEAR(Table13[[#This Row],[Date]])+IF(MONTH(Table13[[#This Row],[Date]])&gt;=4,1,0)</f>
        <v>2026</v>
      </c>
      <c r="C21" s="167">
        <f>YEAR(Table13[[#This Row],[Date]])</f>
        <v>2025</v>
      </c>
      <c r="D21" s="181">
        <f>Table13[[#This Row],[Date]]-DAY(Table13[[#This Row],[Date]])+1</f>
        <v>45748</v>
      </c>
      <c r="E21" s="167">
        <f t="shared" si="0"/>
        <v>30</v>
      </c>
      <c r="F21" s="170"/>
      <c r="G21" s="171"/>
      <c r="H21" s="171"/>
      <c r="I21" s="171"/>
      <c r="J21" s="171"/>
      <c r="K21" s="182"/>
      <c r="L21" s="171"/>
      <c r="M21" s="171">
        <f>IFERROR(_xlfn.XLOOKUP($A21,Input_Raw!$A:$A,Input_Raw!CG:CG),"")</f>
        <v>5.5761538461538445</v>
      </c>
      <c r="N21" s="171">
        <f>IFERROR(_xlfn.XLOOKUP($A21,Input_Raw!$A:$A,Input_Raw!CH:CH),"")</f>
        <v>0</v>
      </c>
      <c r="O21" s="183">
        <f t="shared" si="1"/>
        <v>0.94450453231704179</v>
      </c>
      <c r="P21" s="183">
        <f>IFERROR(1-SUMIF(WTG_BD!$B:$B,$A21,WTG_BD!$AB:$AB)/($AA21+SUMIF(WTG_BD!$B:$B,$A21,WTG_BD!$AB:$AB)),"")</f>
        <v>0.94450453231704179</v>
      </c>
      <c r="Q21" s="184">
        <f>IFERROR(1-SUMIF(IGA_BD!$B:$B,$A21,IGA_BD!$X:$X)/($AA21+SUMIF(IGA_BD!$B:$B,$A21,IGA_BD!$X:$X)),"")</f>
        <v>1</v>
      </c>
      <c r="R21" s="189">
        <f>IFERROR(1-SUMIF(Grid_BD!$B:$B,$A21,Grid_BD!$V:$V)/($AA21+SUMIF(Grid_BD!$B:$B,$A21,Grid_BD!$V:$V)),"")</f>
        <v>1</v>
      </c>
      <c r="S21" s="167"/>
      <c r="T21" s="184"/>
      <c r="U21" s="185"/>
      <c r="V21" s="167"/>
      <c r="W21" s="186">
        <f>IFERROR(Table13[[#This Row],[Mtr_Net_Exp (KWh)]]/(24*AR21*1000),"")</f>
        <v>0.27884615384615385</v>
      </c>
      <c r="X21" s="167">
        <f>IFERROR(_xlfn.XLOOKUP($A21,Input_Raw!$A:$A,Input_Raw!$CF:$CF),"")</f>
        <v>522462</v>
      </c>
      <c r="Y21" s="167">
        <f>IFERROR(_xlfn.XLOOKUP($A21,Input_Raw!$A:$A,Input_Raw!$CZ:$CZ),"")</f>
        <v>522000</v>
      </c>
      <c r="Z21" s="167">
        <f>IFERROR(_xlfn.XLOOKUP($A21,Input_Raw!$A:$A,Input_Raw!$DA:$DA),"")</f>
        <v>0</v>
      </c>
      <c r="AA21" s="169">
        <f t="shared" si="2"/>
        <v>522000</v>
      </c>
      <c r="AB21" s="167">
        <f>IFERROR(_xlfn.XLOOKUP($A21,Input_Raw!$A:$A,Input_Raw!$DG:$DG),"")</f>
        <v>78</v>
      </c>
      <c r="AC21" s="187">
        <f>IFERROR(_xlfn.XLOOKUP($D21,'Modelling New'!$D:$D,'Modelling New'!$J:$J),"")</f>
        <v>5.6333333333333329</v>
      </c>
      <c r="AD21" s="169">
        <f>IFERROR(_xlfn.XLOOKUP($D21,'Modelling New'!$D:$D,'Modelling New'!$T:$T)*1000,"")</f>
        <v>340888.47260338557</v>
      </c>
      <c r="AE21" s="186"/>
      <c r="AF21" s="186">
        <f>IFERROR(_xlfn.XLOOKUP($D21,'Modelling New'!$D:$D,'Modelling New'!$W:$W),"")</f>
        <v>0.18209854305736409</v>
      </c>
      <c r="AG21" s="186">
        <f>IFERROR(_xlfn.XLOOKUP($D21,'Modelling New'!$D:$D,'Modelling New'!$AE:$AE),"")</f>
        <v>0.96029999999999993</v>
      </c>
      <c r="AH21" s="186">
        <f>IFERROR(_xlfn.XLOOKUP($D21,'Modelling New'!$D:$D,'Modelling New'!$AF:$AF),"")</f>
        <v>0.995</v>
      </c>
      <c r="AI21" s="167">
        <f>IFERROR(_xlfn.XLOOKUP($A21,Input_Raw!$A:$A,Input_Raw!$DE:$DE),"")</f>
        <v>522.46199999999999</v>
      </c>
      <c r="AJ21" s="167"/>
      <c r="AK21" s="167"/>
      <c r="AL21" s="167"/>
      <c r="AM21" s="167"/>
      <c r="AN21" s="188">
        <f>IFERROR(_xlfn.XLOOKUP($A21,Input_Raw!$A:$A,Input_Raw!$DB:$DB),"")</f>
        <v>8.8427483721309486E-4</v>
      </c>
      <c r="AO21" s="186">
        <f>IFERROR((_xlfn.XLOOKUP($A21,'WTG Reactive Power'!$A:$A,'WTG Reactive Power'!$AR:$AR))/X21/1000,"")</f>
        <v>6.8693991141939508E-6</v>
      </c>
      <c r="AP21" s="186">
        <f>IFERROR(_xlfn.XLOOKUP($D21,'Modelling New'!$D:$D,'Modelling New'!$AK:$AK),"")</f>
        <v>0.05</v>
      </c>
      <c r="AQ21" s="186">
        <f>IFERROR(_xlfn.XLOOKUP($D21,'Modelling New'!$D:$D,'Modelling New'!$AL:$AL),"")</f>
        <v>0.05</v>
      </c>
      <c r="AR21">
        <f>IFERROR(_xlfn.XLOOKUP($D21,'Modelling New'!$D:$D,'Modelling New'!$N:$N),"")</f>
        <v>78</v>
      </c>
    </row>
    <row r="22" spans="1:44">
      <c r="A22" s="180">
        <f t="shared" si="3"/>
        <v>45765</v>
      </c>
      <c r="B22" s="169">
        <f>YEAR(Table13[[#This Row],[Date]])+IF(MONTH(Table13[[#This Row],[Date]])&gt;=4,1,0)</f>
        <v>2026</v>
      </c>
      <c r="C22" s="167">
        <f>YEAR(Table13[[#This Row],[Date]])</f>
        <v>2025</v>
      </c>
      <c r="D22" s="181">
        <f>Table13[[#This Row],[Date]]-DAY(Table13[[#This Row],[Date]])+1</f>
        <v>45748</v>
      </c>
      <c r="E22" s="167">
        <f t="shared" si="0"/>
        <v>30</v>
      </c>
      <c r="F22" s="170"/>
      <c r="G22" s="171"/>
      <c r="H22" s="171"/>
      <c r="I22" s="171"/>
      <c r="J22" s="171"/>
      <c r="K22" s="182"/>
      <c r="L22" s="171"/>
      <c r="M22" s="171">
        <f>IFERROR(_xlfn.XLOOKUP($A22,Input_Raw!$A:$A,Input_Raw!CG:CG),"")</f>
        <v>4.8151282051282047</v>
      </c>
      <c r="N22" s="171">
        <f>IFERROR(_xlfn.XLOOKUP($A22,Input_Raw!$A:$A,Input_Raw!CH:CH),"")</f>
        <v>0</v>
      </c>
      <c r="O22" s="183">
        <f t="shared" si="1"/>
        <v>0.93842865723042967</v>
      </c>
      <c r="P22" s="183">
        <f>IFERROR(1-SUMIF(WTG_BD!$B:$B,$A22,WTG_BD!$AB:$AB)/($AA22+SUMIF(WTG_BD!$B:$B,$A22,WTG_BD!$AB:$AB)),"")</f>
        <v>0.93842865723042967</v>
      </c>
      <c r="Q22" s="184">
        <f>IFERROR(1-SUMIF(IGA_BD!$B:$B,$A22,IGA_BD!$X:$X)/($AA22+SUMIF(IGA_BD!$B:$B,$A22,IGA_BD!$X:$X)),"")</f>
        <v>1</v>
      </c>
      <c r="R22" s="189">
        <f>IFERROR(1-SUMIF(Grid_BD!$B:$B,$A22,Grid_BD!$V:$V)/($AA22+SUMIF(Grid_BD!$B:$B,$A22,Grid_BD!$V:$V)),"")</f>
        <v>1</v>
      </c>
      <c r="S22" s="167"/>
      <c r="T22" s="184"/>
      <c r="U22" s="185"/>
      <c r="V22" s="167"/>
      <c r="W22" s="186">
        <f>IFERROR(Table13[[#This Row],[Mtr_Net_Exp (KWh)]]/(24*AR22*1000),"")</f>
        <v>0.1685897435897436</v>
      </c>
      <c r="X22" s="167">
        <f>IFERROR(_xlfn.XLOOKUP($A22,Input_Raw!$A:$A,Input_Raw!$CF:$CF),"")</f>
        <v>320599</v>
      </c>
      <c r="Y22" s="167">
        <f>IFERROR(_xlfn.XLOOKUP($A22,Input_Raw!$A:$A,Input_Raw!$CZ:$CZ),"")</f>
        <v>316800</v>
      </c>
      <c r="Z22" s="167">
        <f>IFERROR(_xlfn.XLOOKUP($A22,Input_Raw!$A:$A,Input_Raw!$DA:$DA),"")</f>
        <v>1200</v>
      </c>
      <c r="AA22" s="169">
        <f t="shared" si="2"/>
        <v>315600</v>
      </c>
      <c r="AB22" s="167">
        <f>IFERROR(_xlfn.XLOOKUP($A22,Input_Raw!$A:$A,Input_Raw!$DG:$DG),"")</f>
        <v>78</v>
      </c>
      <c r="AC22" s="187">
        <f>IFERROR(_xlfn.XLOOKUP($D22,'Modelling New'!$D:$D,'Modelling New'!$J:$J),"")</f>
        <v>5.6333333333333329</v>
      </c>
      <c r="AD22" s="169">
        <f>IFERROR(_xlfn.XLOOKUP($D22,'Modelling New'!$D:$D,'Modelling New'!$T:$T)*1000,"")</f>
        <v>340888.47260338557</v>
      </c>
      <c r="AE22" s="186"/>
      <c r="AF22" s="186">
        <f>IFERROR(_xlfn.XLOOKUP($D22,'Modelling New'!$D:$D,'Modelling New'!$W:$W),"")</f>
        <v>0.18209854305736409</v>
      </c>
      <c r="AG22" s="186">
        <f>IFERROR(_xlfn.XLOOKUP($D22,'Modelling New'!$D:$D,'Modelling New'!$AE:$AE),"")</f>
        <v>0.96029999999999993</v>
      </c>
      <c r="AH22" s="186">
        <f>IFERROR(_xlfn.XLOOKUP($D22,'Modelling New'!$D:$D,'Modelling New'!$AF:$AF),"")</f>
        <v>0.995</v>
      </c>
      <c r="AI22" s="167">
        <f>IFERROR(_xlfn.XLOOKUP($A22,Input_Raw!$A:$A,Input_Raw!$DE:$DE),"")</f>
        <v>320.58999999999997</v>
      </c>
      <c r="AJ22" s="167"/>
      <c r="AK22" s="167"/>
      <c r="AL22" s="167"/>
      <c r="AM22" s="167"/>
      <c r="AN22" s="188">
        <f>IFERROR(_xlfn.XLOOKUP($A22,Input_Raw!$A:$A,Input_Raw!$DB:$DB),"")</f>
        <v>1.1849693854316445E-2</v>
      </c>
      <c r="AO22" s="186">
        <f>IFERROR((_xlfn.XLOOKUP($A22,'WTG Reactive Power'!$A:$A,'WTG Reactive Power'!$AR:$AR))/X22/1000,"")</f>
        <v>2.2457961503311007E-5</v>
      </c>
      <c r="AP22" s="186">
        <f>IFERROR(_xlfn.XLOOKUP($D22,'Modelling New'!$D:$D,'Modelling New'!$AK:$AK),"")</f>
        <v>0.05</v>
      </c>
      <c r="AQ22" s="186">
        <f>IFERROR(_xlfn.XLOOKUP($D22,'Modelling New'!$D:$D,'Modelling New'!$AL:$AL),"")</f>
        <v>0.05</v>
      </c>
      <c r="AR22">
        <f>IFERROR(_xlfn.XLOOKUP($D22,'Modelling New'!$D:$D,'Modelling New'!$N:$N),"")</f>
        <v>78</v>
      </c>
    </row>
    <row r="23" spans="1:44">
      <c r="A23" s="180">
        <f t="shared" si="3"/>
        <v>45766</v>
      </c>
      <c r="B23" s="169">
        <f>YEAR(Table13[[#This Row],[Date]])+IF(MONTH(Table13[[#This Row],[Date]])&gt;=4,1,0)</f>
        <v>2026</v>
      </c>
      <c r="C23" s="167">
        <f>YEAR(Table13[[#This Row],[Date]])</f>
        <v>2025</v>
      </c>
      <c r="D23" s="181">
        <f>Table13[[#This Row],[Date]]-DAY(Table13[[#This Row],[Date]])+1</f>
        <v>45748</v>
      </c>
      <c r="E23" s="167">
        <f t="shared" si="0"/>
        <v>30</v>
      </c>
      <c r="F23" s="170"/>
      <c r="G23" s="171"/>
      <c r="H23" s="171"/>
      <c r="I23" s="171"/>
      <c r="J23" s="171"/>
      <c r="K23" s="182"/>
      <c r="L23" s="171"/>
      <c r="M23" s="171">
        <f>IFERROR(_xlfn.XLOOKUP($A23,Input_Raw!$A:$A,Input_Raw!CG:CG),"")</f>
        <v>4.5097435897435885</v>
      </c>
      <c r="N23" s="171">
        <f>IFERROR(_xlfn.XLOOKUP($A23,Input_Raw!$A:$A,Input_Raw!CH:CH),"")</f>
        <v>0</v>
      </c>
      <c r="O23" s="183">
        <f t="shared" si="1"/>
        <v>0.94174271672284748</v>
      </c>
      <c r="P23" s="183">
        <f>IFERROR(1-SUMIF(WTG_BD!$B:$B,$A23,WTG_BD!$AB:$AB)/($AA23+SUMIF(WTG_BD!$B:$B,$A23,WTG_BD!$AB:$AB)),"")</f>
        <v>0.94174271672284748</v>
      </c>
      <c r="Q23" s="184">
        <f>IFERROR(1-SUMIF(IGA_BD!$B:$B,$A23,IGA_BD!$X:$X)/($AA23+SUMIF(IGA_BD!$B:$B,$A23,IGA_BD!$X:$X)),"")</f>
        <v>1</v>
      </c>
      <c r="R23" s="189">
        <f>IFERROR(1-SUMIF(Grid_BD!$B:$B,$A23,Grid_BD!$V:$V)/($AA23+SUMIF(Grid_BD!$B:$B,$A23,Grid_BD!$V:$V)),"")</f>
        <v>1</v>
      </c>
      <c r="S23" s="167"/>
      <c r="T23" s="184"/>
      <c r="U23" s="185"/>
      <c r="V23" s="167"/>
      <c r="W23" s="186">
        <f>IFERROR(Table13[[#This Row],[Mtr_Net_Exp (KWh)]]/(24*AR23*1000),"")</f>
        <v>0.2153846153846154</v>
      </c>
      <c r="X23" s="167">
        <f>IFERROR(_xlfn.XLOOKUP($A23,Input_Raw!$A:$A,Input_Raw!$CF:$CF),"")</f>
        <v>407326</v>
      </c>
      <c r="Y23" s="167">
        <f>IFERROR(_xlfn.XLOOKUP($A23,Input_Raw!$A:$A,Input_Raw!$CZ:$CZ),"")</f>
        <v>405600</v>
      </c>
      <c r="Z23" s="167">
        <f>IFERROR(_xlfn.XLOOKUP($A23,Input_Raw!$A:$A,Input_Raw!$DA:$DA),"")</f>
        <v>2400</v>
      </c>
      <c r="AA23" s="169">
        <f t="shared" si="2"/>
        <v>403200</v>
      </c>
      <c r="AB23" s="167">
        <f>IFERROR(_xlfn.XLOOKUP($A23,Input_Raw!$A:$A,Input_Raw!$DG:$DG),"")</f>
        <v>78</v>
      </c>
      <c r="AC23" s="187">
        <f>IFERROR(_xlfn.XLOOKUP($D23,'Modelling New'!$D:$D,'Modelling New'!$J:$J),"")</f>
        <v>5.6333333333333329</v>
      </c>
      <c r="AD23" s="169">
        <f>IFERROR(_xlfn.XLOOKUP($D23,'Modelling New'!$D:$D,'Modelling New'!$T:$T)*1000,"")</f>
        <v>340888.47260338557</v>
      </c>
      <c r="AE23" s="186"/>
      <c r="AF23" s="186">
        <f>IFERROR(_xlfn.XLOOKUP($D23,'Modelling New'!$D:$D,'Modelling New'!$W:$W),"")</f>
        <v>0.18209854305736409</v>
      </c>
      <c r="AG23" s="186">
        <f>IFERROR(_xlfn.XLOOKUP($D23,'Modelling New'!$D:$D,'Modelling New'!$AE:$AE),"")</f>
        <v>0.96029999999999993</v>
      </c>
      <c r="AH23" s="186">
        <f>IFERROR(_xlfn.XLOOKUP($D23,'Modelling New'!$D:$D,'Modelling New'!$AF:$AF),"")</f>
        <v>0.995</v>
      </c>
      <c r="AI23" s="167">
        <f>IFERROR(_xlfn.XLOOKUP($A23,Input_Raw!$A:$A,Input_Raw!$DE:$DE),"")</f>
        <v>407.32</v>
      </c>
      <c r="AJ23" s="167"/>
      <c r="AK23" s="167"/>
      <c r="AL23" s="167"/>
      <c r="AM23" s="167"/>
      <c r="AN23" s="188">
        <f>IFERROR(_xlfn.XLOOKUP($A23,Input_Raw!$A:$A,Input_Raw!$DB:$DB),"")</f>
        <v>4.2373921625430411E-3</v>
      </c>
      <c r="AO23" s="186">
        <f>IFERROR((_xlfn.XLOOKUP($A23,'WTG Reactive Power'!$A:$A,'WTG Reactive Power'!$AR:$AR))/X23/1000,"")</f>
        <v>0</v>
      </c>
      <c r="AP23" s="186">
        <f>IFERROR(_xlfn.XLOOKUP($D23,'Modelling New'!$D:$D,'Modelling New'!$AK:$AK),"")</f>
        <v>0.05</v>
      </c>
      <c r="AQ23" s="186">
        <f>IFERROR(_xlfn.XLOOKUP($D23,'Modelling New'!$D:$D,'Modelling New'!$AL:$AL),"")</f>
        <v>0.05</v>
      </c>
      <c r="AR23">
        <f>IFERROR(_xlfn.XLOOKUP($D23,'Modelling New'!$D:$D,'Modelling New'!$N:$N),"")</f>
        <v>78</v>
      </c>
    </row>
    <row r="24" spans="1:44">
      <c r="A24" s="180">
        <f t="shared" si="3"/>
        <v>45767</v>
      </c>
      <c r="B24" s="169">
        <f>YEAR(Table13[[#This Row],[Date]])+IF(MONTH(Table13[[#This Row],[Date]])&gt;=4,1,0)</f>
        <v>2026</v>
      </c>
      <c r="C24" s="167">
        <f>YEAR(Table13[[#This Row],[Date]])</f>
        <v>2025</v>
      </c>
      <c r="D24" s="181">
        <f>Table13[[#This Row],[Date]]-DAY(Table13[[#This Row],[Date]])+1</f>
        <v>45748</v>
      </c>
      <c r="E24" s="167">
        <f t="shared" si="0"/>
        <v>30</v>
      </c>
      <c r="F24" s="170"/>
      <c r="G24" s="171"/>
      <c r="H24" s="171"/>
      <c r="I24" s="171"/>
      <c r="J24" s="171"/>
      <c r="K24" s="182"/>
      <c r="L24" s="171"/>
      <c r="M24" s="171">
        <f>IFERROR(_xlfn.XLOOKUP($A24,Input_Raw!$A:$A,Input_Raw!CG:CG),"")</f>
        <v>6.7210256410256397</v>
      </c>
      <c r="N24" s="171">
        <f>IFERROR(_xlfn.XLOOKUP($A24,Input_Raw!$A:$A,Input_Raw!CH:CH),"")</f>
        <v>0</v>
      </c>
      <c r="O24" s="183">
        <f t="shared" si="1"/>
        <v>0.94175509881912511</v>
      </c>
      <c r="P24" s="183">
        <f>IFERROR(1-SUMIF(WTG_BD!$B:$B,$A24,WTG_BD!$AB:$AB)/($AA24+SUMIF(WTG_BD!$B:$B,$A24,WTG_BD!$AB:$AB)),"")</f>
        <v>0.94175509881912511</v>
      </c>
      <c r="Q24" s="184">
        <f>IFERROR(1-SUMIF(IGA_BD!$B:$B,$A24,IGA_BD!$X:$X)/($AA24+SUMIF(IGA_BD!$B:$B,$A24,IGA_BD!$X:$X)),"")</f>
        <v>1</v>
      </c>
      <c r="R24" s="189">
        <f>IFERROR(1-SUMIF(Grid_BD!$B:$B,$A24,Grid_BD!$V:$V)/($AA24+SUMIF(Grid_BD!$B:$B,$A24,Grid_BD!$V:$V)),"")</f>
        <v>1</v>
      </c>
      <c r="S24" s="167"/>
      <c r="T24" s="184"/>
      <c r="U24" s="185"/>
      <c r="V24" s="167"/>
      <c r="W24" s="186">
        <f>IFERROR(Table13[[#This Row],[Mtr_Net_Exp (KWh)]]/(24*AR24*1000),"")</f>
        <v>0.4012820512820513</v>
      </c>
      <c r="X24" s="167">
        <f>IFERROR(_xlfn.XLOOKUP($A24,Input_Raw!$A:$A,Input_Raw!$CF:$CF),"")</f>
        <v>752099</v>
      </c>
      <c r="Y24" s="167">
        <f>IFERROR(_xlfn.XLOOKUP($A24,Input_Raw!$A:$A,Input_Raw!$CZ:$CZ),"")</f>
        <v>751200</v>
      </c>
      <c r="Z24" s="167">
        <f>IFERROR(_xlfn.XLOOKUP($A24,Input_Raw!$A:$A,Input_Raw!$DA:$DA),"")</f>
        <v>0</v>
      </c>
      <c r="AA24" s="169">
        <f t="shared" si="2"/>
        <v>751200</v>
      </c>
      <c r="AB24" s="167">
        <f>IFERROR(_xlfn.XLOOKUP($A24,Input_Raw!$A:$A,Input_Raw!$DG:$DG),"")</f>
        <v>78</v>
      </c>
      <c r="AC24" s="187">
        <f>IFERROR(_xlfn.XLOOKUP($D24,'Modelling New'!$D:$D,'Modelling New'!$J:$J),"")</f>
        <v>5.6333333333333329</v>
      </c>
      <c r="AD24" s="169">
        <f>IFERROR(_xlfn.XLOOKUP($D24,'Modelling New'!$D:$D,'Modelling New'!$T:$T)*1000,"")</f>
        <v>340888.47260338557</v>
      </c>
      <c r="AE24" s="186"/>
      <c r="AF24" s="186">
        <f>IFERROR(_xlfn.XLOOKUP($D24,'Modelling New'!$D:$D,'Modelling New'!$W:$W),"")</f>
        <v>0.18209854305736409</v>
      </c>
      <c r="AG24" s="186">
        <f>IFERROR(_xlfn.XLOOKUP($D24,'Modelling New'!$D:$D,'Modelling New'!$AE:$AE),"")</f>
        <v>0.96029999999999993</v>
      </c>
      <c r="AH24" s="186">
        <f>IFERROR(_xlfn.XLOOKUP($D24,'Modelling New'!$D:$D,'Modelling New'!$AF:$AF),"")</f>
        <v>0.995</v>
      </c>
      <c r="AI24" s="167">
        <f>IFERROR(_xlfn.XLOOKUP($A24,Input_Raw!$A:$A,Input_Raw!$DE:$DE),"")</f>
        <v>752.09</v>
      </c>
      <c r="AJ24" s="167"/>
      <c r="AK24" s="167"/>
      <c r="AL24" s="167"/>
      <c r="AM24" s="167"/>
      <c r="AN24" s="188">
        <f>IFERROR(_xlfn.XLOOKUP($A24,Input_Raw!$A:$A,Input_Raw!$DB:$DB),"")</f>
        <v>1.1953213606187285E-3</v>
      </c>
      <c r="AO24" s="186">
        <f>IFERROR((_xlfn.XLOOKUP($A24,'WTG Reactive Power'!$A:$A,'WTG Reactive Power'!$AR:$AR))/X24/1000,"")</f>
        <v>0</v>
      </c>
      <c r="AP24" s="186">
        <f>IFERROR(_xlfn.XLOOKUP($D24,'Modelling New'!$D:$D,'Modelling New'!$AK:$AK),"")</f>
        <v>0.05</v>
      </c>
      <c r="AQ24" s="186">
        <f>IFERROR(_xlfn.XLOOKUP($D24,'Modelling New'!$D:$D,'Modelling New'!$AL:$AL),"")</f>
        <v>0.05</v>
      </c>
      <c r="AR24">
        <f>IFERROR(_xlfn.XLOOKUP($D24,'Modelling New'!$D:$D,'Modelling New'!$N:$N),"")</f>
        <v>78</v>
      </c>
    </row>
    <row r="25" spans="1:44">
      <c r="A25" s="180">
        <f t="shared" si="3"/>
        <v>45768</v>
      </c>
      <c r="B25" s="169">
        <f>YEAR(Table13[[#This Row],[Date]])+IF(MONTH(Table13[[#This Row],[Date]])&gt;=4,1,0)</f>
        <v>2026</v>
      </c>
      <c r="C25" s="167">
        <f>YEAR(Table13[[#This Row],[Date]])</f>
        <v>2025</v>
      </c>
      <c r="D25" s="181">
        <f>Table13[[#This Row],[Date]]-DAY(Table13[[#This Row],[Date]])+1</f>
        <v>45748</v>
      </c>
      <c r="E25" s="167">
        <f t="shared" si="0"/>
        <v>30</v>
      </c>
      <c r="F25" s="170"/>
      <c r="G25" s="171"/>
      <c r="H25" s="171"/>
      <c r="I25" s="171"/>
      <c r="J25" s="171"/>
      <c r="K25" s="182"/>
      <c r="L25" s="171"/>
      <c r="M25" s="171">
        <f>IFERROR(_xlfn.XLOOKUP($A25,Input_Raw!$A:$A,Input_Raw!CG:CG),"")</f>
        <v>5.25979450046166</v>
      </c>
      <c r="N25" s="171">
        <f>IFERROR(_xlfn.XLOOKUP($A25,Input_Raw!$A:$A,Input_Raw!CH:CH),"")</f>
        <v>0</v>
      </c>
      <c r="O25" s="183">
        <f t="shared" si="1"/>
        <v>0.9428951388204837</v>
      </c>
      <c r="P25" s="183">
        <f>IFERROR(1-SUMIF(WTG_BD!$B:$B,$A25,WTG_BD!$AB:$AB)/($AA25+SUMIF(WTG_BD!$B:$B,$A25,WTG_BD!$AB:$AB)),"")</f>
        <v>0.9428951388204837</v>
      </c>
      <c r="Q25" s="184">
        <f>IFERROR(1-SUMIF(IGA_BD!$B:$B,$A25,IGA_BD!$X:$X)/($AA25+SUMIF(IGA_BD!$B:$B,$A25,IGA_BD!$X:$X)),"")</f>
        <v>1</v>
      </c>
      <c r="R25" s="189">
        <f>IFERROR(1-SUMIF(Grid_BD!$B:$B,$A25,Grid_BD!$V:$V)/($AA25+SUMIF(Grid_BD!$B:$B,$A25,Grid_BD!$V:$V)),"")</f>
        <v>1</v>
      </c>
      <c r="S25" s="167"/>
      <c r="T25" s="184"/>
      <c r="U25" s="185"/>
      <c r="V25" s="167"/>
      <c r="W25" s="186">
        <f>IFERROR(Table13[[#This Row],[Mtr_Net_Exp (KWh)]]/(24*AR25*1000),"")</f>
        <v>0.15448717948717949</v>
      </c>
      <c r="X25" s="167">
        <f>IFERROR(_xlfn.XLOOKUP($A25,Input_Raw!$A:$A,Input_Raw!$CF:$CF),"")</f>
        <v>299034</v>
      </c>
      <c r="Y25" s="167">
        <f>IFERROR(_xlfn.XLOOKUP($A25,Input_Raw!$A:$A,Input_Raw!$CZ:$CZ),"")</f>
        <v>291600</v>
      </c>
      <c r="Z25" s="167">
        <f>IFERROR(_xlfn.XLOOKUP($A25,Input_Raw!$A:$A,Input_Raw!$DA:$DA),"")</f>
        <v>2400</v>
      </c>
      <c r="AA25" s="169">
        <f t="shared" si="2"/>
        <v>289200</v>
      </c>
      <c r="AB25" s="167">
        <f>IFERROR(_xlfn.XLOOKUP($A25,Input_Raw!$A:$A,Input_Raw!$DG:$DG),"")</f>
        <v>78</v>
      </c>
      <c r="AC25" s="187">
        <f>IFERROR(_xlfn.XLOOKUP($D25,'Modelling New'!$D:$D,'Modelling New'!$J:$J),"")</f>
        <v>5.6333333333333329</v>
      </c>
      <c r="AD25" s="169">
        <f>IFERROR(_xlfn.XLOOKUP($D25,'Modelling New'!$D:$D,'Modelling New'!$T:$T)*1000,"")</f>
        <v>340888.47260338557</v>
      </c>
      <c r="AE25" s="186"/>
      <c r="AF25" s="186">
        <f>IFERROR(_xlfn.XLOOKUP($D25,'Modelling New'!$D:$D,'Modelling New'!$W:$W),"")</f>
        <v>0.18209854305736409</v>
      </c>
      <c r="AG25" s="186">
        <f>IFERROR(_xlfn.XLOOKUP($D25,'Modelling New'!$D:$D,'Modelling New'!$AE:$AE),"")</f>
        <v>0.96029999999999993</v>
      </c>
      <c r="AH25" s="186">
        <f>IFERROR(_xlfn.XLOOKUP($D25,'Modelling New'!$D:$D,'Modelling New'!$AF:$AF),"")</f>
        <v>0.995</v>
      </c>
      <c r="AI25" s="167">
        <f>IFERROR(_xlfn.XLOOKUP($A25,Input_Raw!$A:$A,Input_Raw!$DE:$DE),"")</f>
        <v>299.02999999999997</v>
      </c>
      <c r="AJ25" s="167"/>
      <c r="AK25" s="167"/>
      <c r="AL25" s="167"/>
      <c r="AM25" s="167"/>
      <c r="AN25" s="188">
        <f>IFERROR(_xlfn.XLOOKUP($A25,Input_Raw!$A:$A,Input_Raw!$DB:$DB),"")</f>
        <v>2.4860049358935821E-2</v>
      </c>
      <c r="AO25" s="186">
        <f>IFERROR((_xlfn.XLOOKUP($A25,'WTG Reactive Power'!$A:$A,'WTG Reactive Power'!$AR:$AR))/X25/1000,"")</f>
        <v>2.8087107151695124E-5</v>
      </c>
      <c r="AP25" s="186">
        <f>IFERROR(_xlfn.XLOOKUP($D25,'Modelling New'!$D:$D,'Modelling New'!$AK:$AK),"")</f>
        <v>0.05</v>
      </c>
      <c r="AQ25" s="186">
        <f>IFERROR(_xlfn.XLOOKUP($D25,'Modelling New'!$D:$D,'Modelling New'!$AL:$AL),"")</f>
        <v>0.05</v>
      </c>
      <c r="AR25">
        <f>IFERROR(_xlfn.XLOOKUP($D25,'Modelling New'!$D:$D,'Modelling New'!$N:$N),"")</f>
        <v>78</v>
      </c>
    </row>
    <row r="26" spans="1:44">
      <c r="A26" s="180">
        <f t="shared" si="3"/>
        <v>45769</v>
      </c>
      <c r="B26" s="169">
        <f>YEAR(Table13[[#This Row],[Date]])+IF(MONTH(Table13[[#This Row],[Date]])&gt;=4,1,0)</f>
        <v>2026</v>
      </c>
      <c r="C26" s="167">
        <f>YEAR(Table13[[#This Row],[Date]])</f>
        <v>2025</v>
      </c>
      <c r="D26" s="181">
        <f>Table13[[#This Row],[Date]]-DAY(Table13[[#This Row],[Date]])+1</f>
        <v>45748</v>
      </c>
      <c r="E26" s="167">
        <f t="shared" si="0"/>
        <v>30</v>
      </c>
      <c r="F26" s="170"/>
      <c r="G26" s="171"/>
      <c r="H26" s="171"/>
      <c r="I26" s="171"/>
      <c r="J26" s="171"/>
      <c r="K26" s="182"/>
      <c r="L26" s="171"/>
      <c r="M26" s="171">
        <f>IFERROR(_xlfn.XLOOKUP($A26,Input_Raw!$A:$A,Input_Raw!CG:CG),"")</f>
        <v>4.056923076923078</v>
      </c>
      <c r="N26" s="171">
        <f>IFERROR(_xlfn.XLOOKUP($A26,Input_Raw!$A:$A,Input_Raw!CH:CH),"")</f>
        <v>0</v>
      </c>
      <c r="O26" s="183">
        <f t="shared" si="1"/>
        <v>0.93433376353694308</v>
      </c>
      <c r="P26" s="183">
        <f>IFERROR(1-SUMIF(WTG_BD!$B:$B,$A26,WTG_BD!$AB:$AB)/($AA26+SUMIF(WTG_BD!$B:$B,$A26,WTG_BD!$AB:$AB)),"")</f>
        <v>0.93433376353694308</v>
      </c>
      <c r="Q26" s="184">
        <f>IFERROR(1-SUMIF(IGA_BD!$B:$B,$A26,IGA_BD!$X:$X)/($AA26+SUMIF(IGA_BD!$B:$B,$A26,IGA_BD!$X:$X)),"")</f>
        <v>1</v>
      </c>
      <c r="R26" s="189">
        <f>IFERROR(1-SUMIF(Grid_BD!$B:$B,$A26,Grid_BD!$V:$V)/($AA26+SUMIF(Grid_BD!$B:$B,$A26,Grid_BD!$V:$V)),"")</f>
        <v>1</v>
      </c>
      <c r="S26" s="167"/>
      <c r="T26" s="184"/>
      <c r="U26" s="185"/>
      <c r="V26" s="167"/>
      <c r="W26" s="186">
        <f>IFERROR(Table13[[#This Row],[Mtr_Net_Exp (KWh)]]/(24*AR26*1000),"")</f>
        <v>0.11346153846153846</v>
      </c>
      <c r="X26" s="167">
        <f>IFERROR(_xlfn.XLOOKUP($A26,Input_Raw!$A:$A,Input_Raw!$CF:$CF),"")</f>
        <v>215096</v>
      </c>
      <c r="Y26" s="167">
        <f>IFERROR(_xlfn.XLOOKUP($A26,Input_Raw!$A:$A,Input_Raw!$CZ:$CZ),"")</f>
        <v>213600</v>
      </c>
      <c r="Z26" s="167">
        <f>IFERROR(_xlfn.XLOOKUP($A26,Input_Raw!$A:$A,Input_Raw!$DA:$DA),"")</f>
        <v>1200</v>
      </c>
      <c r="AA26" s="169">
        <f t="shared" si="2"/>
        <v>212400</v>
      </c>
      <c r="AB26" s="167">
        <f>IFERROR(_xlfn.XLOOKUP($A26,Input_Raw!$A:$A,Input_Raw!$DG:$DG),"")</f>
        <v>78</v>
      </c>
      <c r="AC26" s="187">
        <f>IFERROR(_xlfn.XLOOKUP($D26,'Modelling New'!$D:$D,'Modelling New'!$J:$J),"")</f>
        <v>5.6333333333333329</v>
      </c>
      <c r="AD26" s="169">
        <f>IFERROR(_xlfn.XLOOKUP($D26,'Modelling New'!$D:$D,'Modelling New'!$T:$T)*1000,"")</f>
        <v>340888.47260338557</v>
      </c>
      <c r="AE26" s="186"/>
      <c r="AF26" s="186">
        <f>IFERROR(_xlfn.XLOOKUP($D26,'Modelling New'!$D:$D,'Modelling New'!$W:$W),"")</f>
        <v>0.18209854305736409</v>
      </c>
      <c r="AG26" s="186">
        <f>IFERROR(_xlfn.XLOOKUP($D26,'Modelling New'!$D:$D,'Modelling New'!$AE:$AE),"")</f>
        <v>0.96029999999999993</v>
      </c>
      <c r="AH26" s="186">
        <f>IFERROR(_xlfn.XLOOKUP($D26,'Modelling New'!$D:$D,'Modelling New'!$AF:$AF),"")</f>
        <v>0.995</v>
      </c>
      <c r="AI26" s="167">
        <f>IFERROR(_xlfn.XLOOKUP($A26,Input_Raw!$A:$A,Input_Raw!$DE:$DE),"")</f>
        <v>215.09</v>
      </c>
      <c r="AJ26" s="167"/>
      <c r="AK26" s="167"/>
      <c r="AL26" s="167"/>
      <c r="AM26" s="167"/>
      <c r="AN26" s="188">
        <f>IFERROR(_xlfn.XLOOKUP($A26,Input_Raw!$A:$A,Input_Raw!$DB:$DB),"")</f>
        <v>6.955034031316254E-3</v>
      </c>
      <c r="AO26" s="186">
        <f>IFERROR((_xlfn.XLOOKUP($A26,'WTG Reactive Power'!$A:$A,'WTG Reactive Power'!$AR:$AR))/X26/1000,"")</f>
        <v>3.9047681035444639E-5</v>
      </c>
      <c r="AP26" s="186">
        <f>IFERROR(_xlfn.XLOOKUP($D26,'Modelling New'!$D:$D,'Modelling New'!$AK:$AK),"")</f>
        <v>0.05</v>
      </c>
      <c r="AQ26" s="186">
        <f>IFERROR(_xlfn.XLOOKUP($D26,'Modelling New'!$D:$D,'Modelling New'!$AL:$AL),"")</f>
        <v>0.05</v>
      </c>
      <c r="AR26">
        <f>IFERROR(_xlfn.XLOOKUP($D26,'Modelling New'!$D:$D,'Modelling New'!$N:$N),"")</f>
        <v>78</v>
      </c>
    </row>
    <row r="27" spans="1:44">
      <c r="A27" s="180">
        <f t="shared" si="3"/>
        <v>45770</v>
      </c>
      <c r="B27" s="169">
        <f>YEAR(Table13[[#This Row],[Date]])+IF(MONTH(Table13[[#This Row],[Date]])&gt;=4,1,0)</f>
        <v>2026</v>
      </c>
      <c r="C27" s="167">
        <f>YEAR(Table13[[#This Row],[Date]])</f>
        <v>2025</v>
      </c>
      <c r="D27" s="181">
        <f>Table13[[#This Row],[Date]]-DAY(Table13[[#This Row],[Date]])+1</f>
        <v>45748</v>
      </c>
      <c r="E27" s="167">
        <f t="shared" si="0"/>
        <v>30</v>
      </c>
      <c r="F27" s="170"/>
      <c r="G27" s="171"/>
      <c r="H27" s="171"/>
      <c r="I27" s="171"/>
      <c r="J27" s="171"/>
      <c r="K27" s="182"/>
      <c r="L27" s="171"/>
      <c r="M27" s="171">
        <f>IFERROR(_xlfn.XLOOKUP($A27,Input_Raw!$A:$A,Input_Raw!CG:CG),"")</f>
        <v>3.4902564102564111</v>
      </c>
      <c r="N27" s="171">
        <f>IFERROR(_xlfn.XLOOKUP($A27,Input_Raw!$A:$A,Input_Raw!CH:CH),"")</f>
        <v>0</v>
      </c>
      <c r="O27" s="183">
        <f t="shared" si="1"/>
        <v>0.9424764391420497</v>
      </c>
      <c r="P27" s="183">
        <f>IFERROR(1-SUMIF(WTG_BD!$B:$B,$A27,WTG_BD!$AB:$AB)/($AA27+SUMIF(WTG_BD!$B:$B,$A27,WTG_BD!$AB:$AB)),"")</f>
        <v>0.9424764391420497</v>
      </c>
      <c r="Q27" s="184">
        <f>IFERROR(1-SUMIF(IGA_BD!$B:$B,$A27,IGA_BD!$X:$X)/($AA27+SUMIF(IGA_BD!$B:$B,$A27,IGA_BD!$X:$X)),"")</f>
        <v>1</v>
      </c>
      <c r="R27" s="189">
        <f>IFERROR(1-SUMIF(Grid_BD!$B:$B,$A27,Grid_BD!$V:$V)/($AA27+SUMIF(Grid_BD!$B:$B,$A27,Grid_BD!$V:$V)),"")</f>
        <v>1</v>
      </c>
      <c r="S27" s="167"/>
      <c r="T27" s="184"/>
      <c r="U27" s="185"/>
      <c r="V27" s="167"/>
      <c r="W27" s="186">
        <f>IFERROR(Table13[[#This Row],[Mtr_Net_Exp (KWh)]]/(24*AR27*1000),"")</f>
        <v>6.4743589743589749E-2</v>
      </c>
      <c r="X27" s="167">
        <f>IFERROR(_xlfn.XLOOKUP($A27,Input_Raw!$A:$A,Input_Raw!$CF:$CF),"")</f>
        <v>128167</v>
      </c>
      <c r="Y27" s="167">
        <f>IFERROR(_xlfn.XLOOKUP($A27,Input_Raw!$A:$A,Input_Raw!$CZ:$CZ),"")</f>
        <v>126000</v>
      </c>
      <c r="Z27" s="167">
        <f>IFERROR(_xlfn.XLOOKUP($A27,Input_Raw!$A:$A,Input_Raw!$DA:$DA),"")</f>
        <v>4800</v>
      </c>
      <c r="AA27" s="169">
        <f t="shared" si="2"/>
        <v>121200</v>
      </c>
      <c r="AB27" s="167">
        <f>IFERROR(_xlfn.XLOOKUP($A27,Input_Raw!$A:$A,Input_Raw!$DG:$DG),"")</f>
        <v>78</v>
      </c>
      <c r="AC27" s="187">
        <f>IFERROR(_xlfn.XLOOKUP($D27,'Modelling New'!$D:$D,'Modelling New'!$J:$J),"")</f>
        <v>5.6333333333333329</v>
      </c>
      <c r="AD27" s="169">
        <f>IFERROR(_xlfn.XLOOKUP($D27,'Modelling New'!$D:$D,'Modelling New'!$T:$T)*1000,"")</f>
        <v>340888.47260338557</v>
      </c>
      <c r="AE27" s="186"/>
      <c r="AF27" s="186">
        <f>IFERROR(_xlfn.XLOOKUP($D27,'Modelling New'!$D:$D,'Modelling New'!$W:$W),"")</f>
        <v>0.18209854305736409</v>
      </c>
      <c r="AG27" s="186">
        <f>IFERROR(_xlfn.XLOOKUP($D27,'Modelling New'!$D:$D,'Modelling New'!$AE:$AE),"")</f>
        <v>0.96029999999999993</v>
      </c>
      <c r="AH27" s="186">
        <f>IFERROR(_xlfn.XLOOKUP($D27,'Modelling New'!$D:$D,'Modelling New'!$AF:$AF),"")</f>
        <v>0.995</v>
      </c>
      <c r="AI27" s="167">
        <f>IFERROR(_xlfn.XLOOKUP($A27,Input_Raw!$A:$A,Input_Raw!$DE:$DE),"")</f>
        <v>128.16</v>
      </c>
      <c r="AJ27" s="167"/>
      <c r="AK27" s="167"/>
      <c r="AL27" s="167"/>
      <c r="AM27" s="167"/>
      <c r="AN27" s="188">
        <f>IFERROR(_xlfn.XLOOKUP($A27,Input_Raw!$A:$A,Input_Raw!$DB:$DB),"")</f>
        <v>1.6907628328664992E-2</v>
      </c>
      <c r="AO27" s="186">
        <f>IFERROR((_xlfn.XLOOKUP($A27,'WTG Reactive Power'!$A:$A,'WTG Reactive Power'!$AR:$AR))/X27/1000,"")</f>
        <v>5.617670695264772E-5</v>
      </c>
      <c r="AP27" s="186">
        <f>IFERROR(_xlfn.XLOOKUP($D27,'Modelling New'!$D:$D,'Modelling New'!$AK:$AK),"")</f>
        <v>0.05</v>
      </c>
      <c r="AQ27" s="186">
        <f>IFERROR(_xlfn.XLOOKUP($D27,'Modelling New'!$D:$D,'Modelling New'!$AL:$AL),"")</f>
        <v>0.05</v>
      </c>
      <c r="AR27">
        <f>IFERROR(_xlfn.XLOOKUP($D27,'Modelling New'!$D:$D,'Modelling New'!$N:$N),"")</f>
        <v>78</v>
      </c>
    </row>
    <row r="28" spans="1:44">
      <c r="A28" s="180">
        <f t="shared" si="3"/>
        <v>45771</v>
      </c>
      <c r="B28" s="169">
        <f>YEAR(Table13[[#This Row],[Date]])+IF(MONTH(Table13[[#This Row],[Date]])&gt;=4,1,0)</f>
        <v>2026</v>
      </c>
      <c r="C28" s="167">
        <f>YEAR(Table13[[#This Row],[Date]])</f>
        <v>2025</v>
      </c>
      <c r="D28" s="181">
        <f>Table13[[#This Row],[Date]]-DAY(Table13[[#This Row],[Date]])+1</f>
        <v>45748</v>
      </c>
      <c r="E28" s="167">
        <f t="shared" si="0"/>
        <v>30</v>
      </c>
      <c r="F28" s="170"/>
      <c r="G28" s="171"/>
      <c r="H28" s="171"/>
      <c r="I28" s="171"/>
      <c r="J28" s="171"/>
      <c r="K28" s="182"/>
      <c r="L28" s="171"/>
      <c r="M28" s="171">
        <f>IFERROR(_xlfn.XLOOKUP($A28,Input_Raw!$A:$A,Input_Raw!CG:CG),"")</f>
        <v>4.2943589743589747</v>
      </c>
      <c r="N28" s="171">
        <f>IFERROR(_xlfn.XLOOKUP($A28,Input_Raw!$A:$A,Input_Raw!CH:CH),"")</f>
        <v>0</v>
      </c>
      <c r="O28" s="183">
        <f t="shared" si="1"/>
        <v>0.93054678518910039</v>
      </c>
      <c r="P28" s="183">
        <f>IFERROR(1-SUMIF(WTG_BD!$B:$B,$A28,WTG_BD!$AB:$AB)/($AA28+SUMIF(WTG_BD!$B:$B,$A28,WTG_BD!$AB:$AB)),"")</f>
        <v>0.93054678518910039</v>
      </c>
      <c r="Q28" s="184">
        <f>IFERROR(1-SUMIF(IGA_BD!$B:$B,$A28,IGA_BD!$X:$X)/($AA28+SUMIF(IGA_BD!$B:$B,$A28,IGA_BD!$X:$X)),"")</f>
        <v>1</v>
      </c>
      <c r="R28" s="189">
        <f>IFERROR(1-SUMIF(Grid_BD!$B:$B,$A28,Grid_BD!$V:$V)/($AA28+SUMIF(Grid_BD!$B:$B,$A28,Grid_BD!$V:$V)),"")</f>
        <v>1</v>
      </c>
      <c r="S28" s="167"/>
      <c r="T28" s="184"/>
      <c r="U28" s="185"/>
      <c r="V28" s="167"/>
      <c r="W28" s="186">
        <f>IFERROR(Table13[[#This Row],[Mtr_Net_Exp (KWh)]]/(24*AR28*1000),"")</f>
        <v>0.10512820512820513</v>
      </c>
      <c r="X28" s="167">
        <f>IFERROR(_xlfn.XLOOKUP($A28,Input_Raw!$A:$A,Input_Raw!$CF:$CF),"")</f>
        <v>203962</v>
      </c>
      <c r="Y28" s="167">
        <f>IFERROR(_xlfn.XLOOKUP($A28,Input_Raw!$A:$A,Input_Raw!$CZ:$CZ),"")</f>
        <v>198000</v>
      </c>
      <c r="Z28" s="167">
        <f>IFERROR(_xlfn.XLOOKUP($A28,Input_Raw!$A:$A,Input_Raw!$DA:$DA),"")</f>
        <v>1200</v>
      </c>
      <c r="AA28" s="169">
        <f t="shared" si="2"/>
        <v>196800</v>
      </c>
      <c r="AB28" s="167">
        <f>IFERROR(_xlfn.XLOOKUP($A28,Input_Raw!$A:$A,Input_Raw!$DG:$DG),"")</f>
        <v>78</v>
      </c>
      <c r="AC28" s="187">
        <f>IFERROR(_xlfn.XLOOKUP($D28,'Modelling New'!$D:$D,'Modelling New'!$J:$J),"")</f>
        <v>5.6333333333333329</v>
      </c>
      <c r="AD28" s="169">
        <f>IFERROR(_xlfn.XLOOKUP($D28,'Modelling New'!$D:$D,'Modelling New'!$T:$T)*1000,"")</f>
        <v>340888.47260338557</v>
      </c>
      <c r="AE28" s="186"/>
      <c r="AF28" s="186">
        <f>IFERROR(_xlfn.XLOOKUP($D28,'Modelling New'!$D:$D,'Modelling New'!$W:$W),"")</f>
        <v>0.18209854305736409</v>
      </c>
      <c r="AG28" s="186">
        <f>IFERROR(_xlfn.XLOOKUP($D28,'Modelling New'!$D:$D,'Modelling New'!$AE:$AE),"")</f>
        <v>0.96029999999999993</v>
      </c>
      <c r="AH28" s="186">
        <f>IFERROR(_xlfn.XLOOKUP($D28,'Modelling New'!$D:$D,'Modelling New'!$AF:$AF),"")</f>
        <v>0.995</v>
      </c>
      <c r="AI28" s="167">
        <f>IFERROR(_xlfn.XLOOKUP($A28,Input_Raw!$A:$A,Input_Raw!$DE:$DE),"")</f>
        <v>203.96</v>
      </c>
      <c r="AJ28" s="167"/>
      <c r="AK28" s="167"/>
      <c r="AL28" s="167"/>
      <c r="AM28" s="167"/>
      <c r="AN28" s="188">
        <f>IFERROR(_xlfn.XLOOKUP($A28,Input_Raw!$A:$A,Input_Raw!$DB:$DB),"")</f>
        <v>2.9230935174199169E-2</v>
      </c>
      <c r="AO28" s="186">
        <f>IFERROR((_xlfn.XLOOKUP($A28,'WTG Reactive Power'!$A:$A,'WTG Reactive Power'!$AR:$AR))/X28/1000,"")</f>
        <v>4.6984242162755807E-5</v>
      </c>
      <c r="AP28" s="186">
        <f>IFERROR(_xlfn.XLOOKUP($D28,'Modelling New'!$D:$D,'Modelling New'!$AK:$AK),"")</f>
        <v>0.05</v>
      </c>
      <c r="AQ28" s="186">
        <f>IFERROR(_xlfn.XLOOKUP($D28,'Modelling New'!$D:$D,'Modelling New'!$AL:$AL),"")</f>
        <v>0.05</v>
      </c>
      <c r="AR28">
        <f>IFERROR(_xlfn.XLOOKUP($D28,'Modelling New'!$D:$D,'Modelling New'!$N:$N),"")</f>
        <v>78</v>
      </c>
    </row>
    <row r="29" spans="1:44">
      <c r="A29" s="180">
        <f t="shared" si="3"/>
        <v>45772</v>
      </c>
      <c r="B29" s="169">
        <f>YEAR(Table13[[#This Row],[Date]])+IF(MONTH(Table13[[#This Row],[Date]])&gt;=4,1,0)</f>
        <v>2026</v>
      </c>
      <c r="C29" s="167">
        <f>YEAR(Table13[[#This Row],[Date]])</f>
        <v>2025</v>
      </c>
      <c r="D29" s="181">
        <f>Table13[[#This Row],[Date]]-DAY(Table13[[#This Row],[Date]])+1</f>
        <v>45748</v>
      </c>
      <c r="E29" s="167">
        <f t="shared" si="0"/>
        <v>30</v>
      </c>
      <c r="F29" s="170"/>
      <c r="G29" s="171"/>
      <c r="H29" s="171"/>
      <c r="I29" s="171"/>
      <c r="J29" s="171"/>
      <c r="K29" s="182"/>
      <c r="L29" s="171"/>
      <c r="M29" s="171">
        <f>IFERROR(_xlfn.XLOOKUP($A29,Input_Raw!$A:$A,Input_Raw!CG:CG),"")</f>
        <v>4.2261538461538448</v>
      </c>
      <c r="N29" s="171">
        <f>IFERROR(_xlfn.XLOOKUP($A29,Input_Raw!$A:$A,Input_Raw!CH:CH),"")</f>
        <v>0</v>
      </c>
      <c r="O29" s="183">
        <f t="shared" si="1"/>
        <v>0.93129773655152626</v>
      </c>
      <c r="P29" s="183">
        <f>IFERROR(1-SUMIF(WTG_BD!$B:$B,$A29,WTG_BD!$AB:$AB)/($AA29+SUMIF(WTG_BD!$B:$B,$A29,WTG_BD!$AB:$AB)),"")</f>
        <v>0.93129773655152626</v>
      </c>
      <c r="Q29" s="184">
        <f>IFERROR(1-SUMIF(IGA_BD!$B:$B,$A29,IGA_BD!$X:$X)/($AA29+SUMIF(IGA_BD!$B:$B,$A29,IGA_BD!$X:$X)),"")</f>
        <v>1</v>
      </c>
      <c r="R29" s="189">
        <f>IFERROR(1-SUMIF(Grid_BD!$B:$B,$A29,Grid_BD!$V:$V)/($AA29+SUMIF(Grid_BD!$B:$B,$A29,Grid_BD!$V:$V)),"")</f>
        <v>1</v>
      </c>
      <c r="S29" s="167"/>
      <c r="T29" s="184"/>
      <c r="U29" s="185"/>
      <c r="V29" s="167"/>
      <c r="W29" s="186">
        <f>IFERROR(Table13[[#This Row],[Mtr_Net_Exp (KWh)]]/(24*AR29*1000),"")</f>
        <v>0.12756410256410255</v>
      </c>
      <c r="X29" s="167">
        <f>IFERROR(_xlfn.XLOOKUP($A29,Input_Raw!$A:$A,Input_Raw!$CF:$CF),"")</f>
        <v>243861</v>
      </c>
      <c r="Y29" s="167">
        <f>IFERROR(_xlfn.XLOOKUP($A29,Input_Raw!$A:$A,Input_Raw!$CZ:$CZ),"")</f>
        <v>242400</v>
      </c>
      <c r="Z29" s="167">
        <f>IFERROR(_xlfn.XLOOKUP($A29,Input_Raw!$A:$A,Input_Raw!$DA:$DA),"")</f>
        <v>3600</v>
      </c>
      <c r="AA29" s="169">
        <f t="shared" si="2"/>
        <v>238800</v>
      </c>
      <c r="AB29" s="167">
        <f>IFERROR(_xlfn.XLOOKUP($A29,Input_Raw!$A:$A,Input_Raw!$DG:$DG),"")</f>
        <v>78</v>
      </c>
      <c r="AC29" s="187">
        <f>IFERROR(_xlfn.XLOOKUP($D29,'Modelling New'!$D:$D,'Modelling New'!$J:$J),"")</f>
        <v>5.6333333333333329</v>
      </c>
      <c r="AD29" s="169">
        <f>IFERROR(_xlfn.XLOOKUP($D29,'Modelling New'!$D:$D,'Modelling New'!$T:$T)*1000,"")</f>
        <v>340888.47260338557</v>
      </c>
      <c r="AE29" s="186"/>
      <c r="AF29" s="186">
        <f>IFERROR(_xlfn.XLOOKUP($D29,'Modelling New'!$D:$D,'Modelling New'!$W:$W),"")</f>
        <v>0.18209854305736409</v>
      </c>
      <c r="AG29" s="186">
        <f>IFERROR(_xlfn.XLOOKUP($D29,'Modelling New'!$D:$D,'Modelling New'!$AE:$AE),"")</f>
        <v>0.96029999999999993</v>
      </c>
      <c r="AH29" s="186">
        <f>IFERROR(_xlfn.XLOOKUP($D29,'Modelling New'!$D:$D,'Modelling New'!$AF:$AF),"")</f>
        <v>0.995</v>
      </c>
      <c r="AI29" s="167">
        <f>IFERROR(_xlfn.XLOOKUP($A29,Input_Raw!$A:$A,Input_Raw!$DE:$DE),"")</f>
        <v>243.86</v>
      </c>
      <c r="AJ29" s="167"/>
      <c r="AK29" s="167"/>
      <c r="AL29" s="167"/>
      <c r="AM29" s="167"/>
      <c r="AN29" s="188">
        <f>IFERROR(_xlfn.XLOOKUP($A29,Input_Raw!$A:$A,Input_Raw!$DB:$DB),"")</f>
        <v>5.9911178909296536E-3</v>
      </c>
      <c r="AO29" s="186">
        <f>IFERROR((_xlfn.XLOOKUP($A29,'WTG Reactive Power'!$A:$A,'WTG Reactive Power'!$AR:$AR))/X29/1000,"")</f>
        <v>9.862175583631659E-6</v>
      </c>
      <c r="AP29" s="186">
        <f>IFERROR(_xlfn.XLOOKUP($D29,'Modelling New'!$D:$D,'Modelling New'!$AK:$AK),"")</f>
        <v>0.05</v>
      </c>
      <c r="AQ29" s="186">
        <f>IFERROR(_xlfn.XLOOKUP($D29,'Modelling New'!$D:$D,'Modelling New'!$AL:$AL),"")</f>
        <v>0.05</v>
      </c>
      <c r="AR29">
        <f>IFERROR(_xlfn.XLOOKUP($D29,'Modelling New'!$D:$D,'Modelling New'!$N:$N),"")</f>
        <v>78</v>
      </c>
    </row>
    <row r="30" spans="1:44">
      <c r="A30" s="180">
        <f t="shared" si="3"/>
        <v>45773</v>
      </c>
      <c r="B30" s="169">
        <f>YEAR(Table13[[#This Row],[Date]])+IF(MONTH(Table13[[#This Row],[Date]])&gt;=4,1,0)</f>
        <v>2026</v>
      </c>
      <c r="C30" s="167">
        <f>YEAR(Table13[[#This Row],[Date]])</f>
        <v>2025</v>
      </c>
      <c r="D30" s="181">
        <f>Table13[[#This Row],[Date]]-DAY(Table13[[#This Row],[Date]])+1</f>
        <v>45748</v>
      </c>
      <c r="E30" s="167">
        <f t="shared" si="0"/>
        <v>30</v>
      </c>
      <c r="F30" s="170"/>
      <c r="G30" s="171"/>
      <c r="H30" s="171"/>
      <c r="I30" s="171"/>
      <c r="J30" s="171"/>
      <c r="K30" s="182"/>
      <c r="L30" s="171"/>
      <c r="M30" s="171">
        <f>IFERROR(_xlfn.XLOOKUP($A30,Input_Raw!$A:$A,Input_Raw!CG:CG),"")</f>
        <v>4.8151282051282047</v>
      </c>
      <c r="N30" s="171">
        <f>IFERROR(_xlfn.XLOOKUP($A30,Input_Raw!$A:$A,Input_Raw!CH:CH),"")</f>
        <v>0</v>
      </c>
      <c r="O30" s="183">
        <f t="shared" si="1"/>
        <v>0.94182762101859263</v>
      </c>
      <c r="P30" s="183">
        <f>IFERROR(1-SUMIF(WTG_BD!$B:$B,$A30,WTG_BD!$AB:$AB)/($AA30+SUMIF(WTG_BD!$B:$B,$A30,WTG_BD!$AB:$AB)),"")</f>
        <v>0.94182762101859263</v>
      </c>
      <c r="Q30" s="184">
        <f>IFERROR(1-SUMIF(IGA_BD!$B:$B,$A30,IGA_BD!$X:$X)/($AA30+SUMIF(IGA_BD!$B:$B,$A30,IGA_BD!$X:$X)),"")</f>
        <v>1</v>
      </c>
      <c r="R30" s="189">
        <f>IFERROR(1-SUMIF(Grid_BD!$B:$B,$A30,Grid_BD!$V:$V)/($AA30+SUMIF(Grid_BD!$B:$B,$A30,Grid_BD!$V:$V)),"")</f>
        <v>1</v>
      </c>
      <c r="S30" s="167"/>
      <c r="T30" s="184"/>
      <c r="U30" s="185"/>
      <c r="V30" s="167"/>
      <c r="W30" s="186">
        <f>IFERROR(Table13[[#This Row],[Mtr_Net_Exp (KWh)]]/(24*AR30*1000),"")</f>
        <v>0.20128205128205129</v>
      </c>
      <c r="X30" s="167">
        <f>IFERROR(_xlfn.XLOOKUP($A30,Input_Raw!$A:$A,Input_Raw!$CF:$CF),"")</f>
        <v>379529</v>
      </c>
      <c r="Y30" s="167">
        <f>IFERROR(_xlfn.XLOOKUP($A30,Input_Raw!$A:$A,Input_Raw!$CZ:$CZ),"")</f>
        <v>376800</v>
      </c>
      <c r="Z30" s="167">
        <f>IFERROR(_xlfn.XLOOKUP($A30,Input_Raw!$A:$A,Input_Raw!$DA:$DA),"")</f>
        <v>0</v>
      </c>
      <c r="AA30" s="169">
        <f t="shared" si="2"/>
        <v>376800</v>
      </c>
      <c r="AB30" s="167">
        <f>IFERROR(_xlfn.XLOOKUP($A30,Input_Raw!$A:$A,Input_Raw!$DG:$DG),"")</f>
        <v>78</v>
      </c>
      <c r="AC30" s="187">
        <f>IFERROR(_xlfn.XLOOKUP($D30,'Modelling New'!$D:$D,'Modelling New'!$J:$J),"")</f>
        <v>5.6333333333333329</v>
      </c>
      <c r="AD30" s="169">
        <f>IFERROR(_xlfn.XLOOKUP($D30,'Modelling New'!$D:$D,'Modelling New'!$T:$T)*1000,"")</f>
        <v>340888.47260338557</v>
      </c>
      <c r="AE30" s="186"/>
      <c r="AF30" s="186">
        <f>IFERROR(_xlfn.XLOOKUP($D30,'Modelling New'!$D:$D,'Modelling New'!$W:$W),"")</f>
        <v>0.18209854305736409</v>
      </c>
      <c r="AG30" s="186">
        <f>IFERROR(_xlfn.XLOOKUP($D30,'Modelling New'!$D:$D,'Modelling New'!$AE:$AE),"")</f>
        <v>0.96029999999999993</v>
      </c>
      <c r="AH30" s="186">
        <f>IFERROR(_xlfn.XLOOKUP($D30,'Modelling New'!$D:$D,'Modelling New'!$AF:$AF),"")</f>
        <v>0.995</v>
      </c>
      <c r="AI30" s="167">
        <f>IFERROR(_xlfn.XLOOKUP($A30,Input_Raw!$A:$A,Input_Raw!$DE:$DE),"")</f>
        <v>379.52</v>
      </c>
      <c r="AJ30" s="167"/>
      <c r="AK30" s="167"/>
      <c r="AL30" s="167"/>
      <c r="AM30" s="167"/>
      <c r="AN30" s="188">
        <f>IFERROR(_xlfn.XLOOKUP($A30,Input_Raw!$A:$A,Input_Raw!$DB:$DB),"")</f>
        <v>7.1904913722008468E-3</v>
      </c>
      <c r="AO30" s="186">
        <f>IFERROR((_xlfn.XLOOKUP($A30,'WTG Reactive Power'!$A:$A,'WTG Reactive Power'!$AR:$AR))/X30/1000,"")</f>
        <v>6.3368016673297688E-6</v>
      </c>
      <c r="AP30" s="186">
        <f>IFERROR(_xlfn.XLOOKUP($D30,'Modelling New'!$D:$D,'Modelling New'!$AK:$AK),"")</f>
        <v>0.05</v>
      </c>
      <c r="AQ30" s="186">
        <f>IFERROR(_xlfn.XLOOKUP($D30,'Modelling New'!$D:$D,'Modelling New'!$AL:$AL),"")</f>
        <v>0.05</v>
      </c>
      <c r="AR30">
        <f>IFERROR(_xlfn.XLOOKUP($D30,'Modelling New'!$D:$D,'Modelling New'!$N:$N),"")</f>
        <v>78</v>
      </c>
    </row>
    <row r="31" spans="1:44">
      <c r="A31" s="180">
        <f t="shared" si="3"/>
        <v>45774</v>
      </c>
      <c r="B31" s="169">
        <f>YEAR(Table13[[#This Row],[Date]])+IF(MONTH(Table13[[#This Row],[Date]])&gt;=4,1,0)</f>
        <v>2026</v>
      </c>
      <c r="C31" s="167">
        <f>YEAR(Table13[[#This Row],[Date]])</f>
        <v>2025</v>
      </c>
      <c r="D31" s="181">
        <f>Table13[[#This Row],[Date]]-DAY(Table13[[#This Row],[Date]])+1</f>
        <v>45748</v>
      </c>
      <c r="E31" s="167">
        <f t="shared" si="0"/>
        <v>30</v>
      </c>
      <c r="F31" s="170"/>
      <c r="G31" s="171"/>
      <c r="H31" s="171"/>
      <c r="I31" s="171"/>
      <c r="J31" s="171"/>
      <c r="K31" s="182"/>
      <c r="L31" s="171"/>
      <c r="M31" s="171">
        <f>IFERROR(_xlfn.XLOOKUP($A31,Input_Raw!$A:$A,Input_Raw!CG:CG),"")</f>
        <v>4.2369230769230759</v>
      </c>
      <c r="N31" s="171">
        <f>IFERROR(_xlfn.XLOOKUP($A31,Input_Raw!$A:$A,Input_Raw!CH:CH),"")</f>
        <v>0</v>
      </c>
      <c r="O31" s="183">
        <f t="shared" si="1"/>
        <v>0.93396408860146529</v>
      </c>
      <c r="P31" s="183">
        <f>IFERROR(1-SUMIF(WTG_BD!$B:$B,$A31,WTG_BD!$AB:$AB)/($AA31+SUMIF(WTG_BD!$B:$B,$A31,WTG_BD!$AB:$AB)),"")</f>
        <v>0.93396408860146529</v>
      </c>
      <c r="Q31" s="184">
        <f>IFERROR(1-SUMIF(IGA_BD!$B:$B,$A31,IGA_BD!$X:$X)/($AA31+SUMIF(IGA_BD!$B:$B,$A31,IGA_BD!$X:$X)),"")</f>
        <v>1</v>
      </c>
      <c r="R31" s="189">
        <f>IFERROR(1-SUMIF(Grid_BD!$B:$B,$A31,Grid_BD!$V:$V)/($AA31+SUMIF(Grid_BD!$B:$B,$A31,Grid_BD!$V:$V)),"")</f>
        <v>1</v>
      </c>
      <c r="S31" s="167"/>
      <c r="T31" s="184"/>
      <c r="U31" s="185"/>
      <c r="V31" s="167"/>
      <c r="W31" s="186">
        <f>IFERROR(Table13[[#This Row],[Mtr_Net_Exp (KWh)]]/(24*AR31*1000),"")</f>
        <v>9.7435897435897437E-2</v>
      </c>
      <c r="X31" s="167">
        <f>IFERROR(_xlfn.XLOOKUP($A31,Input_Raw!$A:$A,Input_Raw!$CF:$CF),"")</f>
        <v>190112</v>
      </c>
      <c r="Y31" s="167">
        <f>IFERROR(_xlfn.XLOOKUP($A31,Input_Raw!$A:$A,Input_Raw!$CZ:$CZ),"")</f>
        <v>187200</v>
      </c>
      <c r="Z31" s="167">
        <f>IFERROR(_xlfn.XLOOKUP($A31,Input_Raw!$A:$A,Input_Raw!$DA:$DA),"")</f>
        <v>4800</v>
      </c>
      <c r="AA31" s="169">
        <f t="shared" si="2"/>
        <v>182400</v>
      </c>
      <c r="AB31" s="167">
        <f>IFERROR(_xlfn.XLOOKUP($A31,Input_Raw!$A:$A,Input_Raw!$DG:$DG),"")</f>
        <v>78</v>
      </c>
      <c r="AC31" s="187">
        <f>IFERROR(_xlfn.XLOOKUP($D31,'Modelling New'!$D:$D,'Modelling New'!$J:$J),"")</f>
        <v>5.6333333333333329</v>
      </c>
      <c r="AD31" s="169">
        <f>IFERROR(_xlfn.XLOOKUP($D31,'Modelling New'!$D:$D,'Modelling New'!$T:$T)*1000,"")</f>
        <v>340888.47260338557</v>
      </c>
      <c r="AE31" s="186"/>
      <c r="AF31" s="186">
        <f>IFERROR(_xlfn.XLOOKUP($D31,'Modelling New'!$D:$D,'Modelling New'!$W:$W),"")</f>
        <v>0.18209854305736409</v>
      </c>
      <c r="AG31" s="186">
        <f>IFERROR(_xlfn.XLOOKUP($D31,'Modelling New'!$D:$D,'Modelling New'!$AE:$AE),"")</f>
        <v>0.96029999999999993</v>
      </c>
      <c r="AH31" s="186">
        <f>IFERROR(_xlfn.XLOOKUP($D31,'Modelling New'!$D:$D,'Modelling New'!$AF:$AF),"")</f>
        <v>0.995</v>
      </c>
      <c r="AI31" s="167">
        <f>IFERROR(_xlfn.XLOOKUP($A31,Input_Raw!$A:$A,Input_Raw!$DE:$DE),"")</f>
        <v>190.11</v>
      </c>
      <c r="AJ31" s="167"/>
      <c r="AK31" s="167"/>
      <c r="AL31" s="167"/>
      <c r="AM31" s="167"/>
      <c r="AN31" s="188">
        <f>IFERROR(_xlfn.XLOOKUP($A31,Input_Raw!$A:$A,Input_Raw!$DB:$DB),"")</f>
        <v>1.5317286652078765E-2</v>
      </c>
      <c r="AO31" s="186">
        <f>IFERROR((_xlfn.XLOOKUP($A31,'WTG Reactive Power'!$A:$A,'WTG Reactive Power'!$AR:$AR))/X31/1000,"")</f>
        <v>4.4179220669920886E-5</v>
      </c>
      <c r="AP31" s="186">
        <f>IFERROR(_xlfn.XLOOKUP($D31,'Modelling New'!$D:$D,'Modelling New'!$AK:$AK),"")</f>
        <v>0.05</v>
      </c>
      <c r="AQ31" s="186">
        <f>IFERROR(_xlfn.XLOOKUP($D31,'Modelling New'!$D:$D,'Modelling New'!$AL:$AL),"")</f>
        <v>0.05</v>
      </c>
      <c r="AR31">
        <f>IFERROR(_xlfn.XLOOKUP($D31,'Modelling New'!$D:$D,'Modelling New'!$N:$N),"")</f>
        <v>78</v>
      </c>
    </row>
    <row r="32" spans="1:44">
      <c r="A32" s="180">
        <f t="shared" si="3"/>
        <v>45775</v>
      </c>
      <c r="B32" s="169">
        <f>YEAR(Table13[[#This Row],[Date]])+IF(MONTH(Table13[[#This Row],[Date]])&gt;=4,1,0)</f>
        <v>2026</v>
      </c>
      <c r="C32" s="167">
        <f>YEAR(Table13[[#This Row],[Date]])</f>
        <v>2025</v>
      </c>
      <c r="D32" s="181">
        <f>Table13[[#This Row],[Date]]-DAY(Table13[[#This Row],[Date]])+1</f>
        <v>45748</v>
      </c>
      <c r="E32" s="167">
        <f t="shared" si="0"/>
        <v>30</v>
      </c>
      <c r="F32" s="170"/>
      <c r="G32" s="171"/>
      <c r="H32" s="171"/>
      <c r="I32" s="171"/>
      <c r="J32" s="171"/>
      <c r="K32" s="182"/>
      <c r="L32" s="171"/>
      <c r="M32" s="171">
        <f>IFERROR(_xlfn.XLOOKUP($A32,Input_Raw!$A:$A,Input_Raw!CG:CG),"")</f>
        <v>4.056923076923078</v>
      </c>
      <c r="N32" s="171">
        <f>IFERROR(_xlfn.XLOOKUP($A32,Input_Raw!$A:$A,Input_Raw!CH:CH),"")</f>
        <v>0</v>
      </c>
      <c r="O32" s="183">
        <f t="shared" si="1"/>
        <v>0.93917095840528986</v>
      </c>
      <c r="P32" s="183">
        <f>IFERROR(1-SUMIF(WTG_BD!$B:$B,$A32,WTG_BD!$AB:$AB)/($AA32+SUMIF(WTG_BD!$B:$B,$A32,WTG_BD!$AB:$AB)),"")</f>
        <v>0.93917095840528986</v>
      </c>
      <c r="Q32" s="184">
        <f>IFERROR(1-SUMIF(IGA_BD!$B:$B,$A32,IGA_BD!$X:$X)/($AA32+SUMIF(IGA_BD!$B:$B,$A32,IGA_BD!$X:$X)),"")</f>
        <v>1</v>
      </c>
      <c r="R32" s="189">
        <f>IFERROR(1-SUMIF(Grid_BD!$B:$B,$A32,Grid_BD!$V:$V)/($AA32+SUMIF(Grid_BD!$B:$B,$A32,Grid_BD!$V:$V)),"")</f>
        <v>1</v>
      </c>
      <c r="S32" s="167"/>
      <c r="T32" s="184"/>
      <c r="U32" s="185"/>
      <c r="V32" s="167"/>
      <c r="W32" s="186">
        <f>IFERROR(Table13[[#This Row],[Mtr_Net_Exp (KWh)]]/(24*AR32*1000),"")</f>
        <v>0.14358974358974358</v>
      </c>
      <c r="X32" s="167">
        <f>IFERROR(_xlfn.XLOOKUP($A32,Input_Raw!$A:$A,Input_Raw!$CF:$CF),"")</f>
        <v>271844</v>
      </c>
      <c r="Y32" s="167">
        <f>IFERROR(_xlfn.XLOOKUP($A32,Input_Raw!$A:$A,Input_Raw!$CZ:$CZ),"")</f>
        <v>268800</v>
      </c>
      <c r="Z32" s="167">
        <f>IFERROR(_xlfn.XLOOKUP($A32,Input_Raw!$A:$A,Input_Raw!$DA:$DA),"")</f>
        <v>0</v>
      </c>
      <c r="AA32" s="169">
        <f t="shared" si="2"/>
        <v>268800</v>
      </c>
      <c r="AB32" s="167">
        <f>IFERROR(_xlfn.XLOOKUP($A32,Input_Raw!$A:$A,Input_Raw!$DG:$DG),"")</f>
        <v>78</v>
      </c>
      <c r="AC32" s="187">
        <f>IFERROR(_xlfn.XLOOKUP($D32,'Modelling New'!$D:$D,'Modelling New'!$J:$J),"")</f>
        <v>5.6333333333333329</v>
      </c>
      <c r="AD32" s="169">
        <f>IFERROR(_xlfn.XLOOKUP($D32,'Modelling New'!$D:$D,'Modelling New'!$T:$T)*1000,"")</f>
        <v>340888.47260338557</v>
      </c>
      <c r="AE32" s="186"/>
      <c r="AF32" s="186">
        <f>IFERROR(_xlfn.XLOOKUP($D32,'Modelling New'!$D:$D,'Modelling New'!$W:$W),"")</f>
        <v>0.18209854305736409</v>
      </c>
      <c r="AG32" s="186">
        <f>IFERROR(_xlfn.XLOOKUP($D32,'Modelling New'!$D:$D,'Modelling New'!$AE:$AE),"")</f>
        <v>0.96029999999999993</v>
      </c>
      <c r="AH32" s="186">
        <f>IFERROR(_xlfn.XLOOKUP($D32,'Modelling New'!$D:$D,'Modelling New'!$AF:$AF),"")</f>
        <v>0.995</v>
      </c>
      <c r="AI32" s="167">
        <f>IFERROR(_xlfn.XLOOKUP($A32,Input_Raw!$A:$A,Input_Raw!$DE:$DE),"")</f>
        <v>271.83999999999997</v>
      </c>
      <c r="AJ32" s="167"/>
      <c r="AK32" s="167"/>
      <c r="AL32" s="167"/>
      <c r="AM32" s="167"/>
      <c r="AN32" s="188">
        <f>IFERROR(_xlfn.XLOOKUP($A32,Input_Raw!$A:$A,Input_Raw!$DB:$DB),"")</f>
        <v>1.1197598622739502E-2</v>
      </c>
      <c r="AO32" s="186">
        <f>IFERROR((_xlfn.XLOOKUP($A32,'WTG Reactive Power'!$A:$A,'WTG Reactive Power'!$AR:$AR))/X32/1000,"")</f>
        <v>2.2049410691425964E-5</v>
      </c>
      <c r="AP32" s="186">
        <f>IFERROR(_xlfn.XLOOKUP($D32,'Modelling New'!$D:$D,'Modelling New'!$AK:$AK),"")</f>
        <v>0.05</v>
      </c>
      <c r="AQ32" s="186">
        <f>IFERROR(_xlfn.XLOOKUP($D32,'Modelling New'!$D:$D,'Modelling New'!$AL:$AL),"")</f>
        <v>0.05</v>
      </c>
      <c r="AR32">
        <f>IFERROR(_xlfn.XLOOKUP($D32,'Modelling New'!$D:$D,'Modelling New'!$N:$N),"")</f>
        <v>78</v>
      </c>
    </row>
    <row r="33" spans="1:44">
      <c r="A33" s="180">
        <f t="shared" si="3"/>
        <v>45776</v>
      </c>
      <c r="B33" s="169">
        <f>YEAR(Table13[[#This Row],[Date]])+IF(MONTH(Table13[[#This Row],[Date]])&gt;=4,1,0)</f>
        <v>2026</v>
      </c>
      <c r="C33" s="167">
        <f>YEAR(Table13[[#This Row],[Date]])</f>
        <v>2025</v>
      </c>
      <c r="D33" s="181">
        <f>Table13[[#This Row],[Date]]-DAY(Table13[[#This Row],[Date]])+1</f>
        <v>45748</v>
      </c>
      <c r="E33" s="167">
        <f t="shared" si="0"/>
        <v>30</v>
      </c>
      <c r="F33" s="170"/>
      <c r="G33" s="171"/>
      <c r="H33" s="171"/>
      <c r="I33" s="171"/>
      <c r="J33" s="171"/>
      <c r="K33" s="182"/>
      <c r="L33" s="171"/>
      <c r="M33" s="171">
        <f>IFERROR(_xlfn.XLOOKUP($A33,Input_Raw!$A:$A,Input_Raw!CG:CG),"")</f>
        <v>4.056923076923078</v>
      </c>
      <c r="N33" s="171">
        <f>IFERROR(_xlfn.XLOOKUP($A33,Input_Raw!$A:$A,Input_Raw!CH:CH),"")</f>
        <v>0</v>
      </c>
      <c r="O33" s="183">
        <f t="shared" si="1"/>
        <v>0.94442033183744634</v>
      </c>
      <c r="P33" s="183">
        <f>IFERROR(1-SUMIF(WTG_BD!$B:$B,$A33,WTG_BD!$AB:$AB)/($AA33+SUMIF(WTG_BD!$B:$B,$A33,WTG_BD!$AB:$AB)),"")</f>
        <v>0.94442033183744634</v>
      </c>
      <c r="Q33" s="184">
        <f>IFERROR(1-SUMIF(IGA_BD!$B:$B,$A33,IGA_BD!$X:$X)/($AA33+SUMIF(IGA_BD!$B:$B,$A33,IGA_BD!$X:$X)),"")</f>
        <v>1</v>
      </c>
      <c r="R33" s="189">
        <f>IFERROR(1-SUMIF(Grid_BD!$B:$B,$A33,Grid_BD!$V:$V)/($AA33+SUMIF(Grid_BD!$B:$B,$A33,Grid_BD!$V:$V)),"")</f>
        <v>1</v>
      </c>
      <c r="S33" s="167"/>
      <c r="T33" s="184"/>
      <c r="U33" s="185"/>
      <c r="V33" s="167"/>
      <c r="W33" s="186">
        <f>IFERROR(Table13[[#This Row],[Mtr_Net_Exp (KWh)]]/(24*AR33*1000),"")</f>
        <v>0.14102564102564102</v>
      </c>
      <c r="X33" s="167">
        <f>IFERROR(_xlfn.XLOOKUP($A33,Input_Raw!$A:$A,Input_Raw!$CF:$CF),"")</f>
        <v>271570</v>
      </c>
      <c r="Y33" s="167">
        <f>IFERROR(_xlfn.XLOOKUP($A33,Input_Raw!$A:$A,Input_Raw!$CZ:$CZ),"")</f>
        <v>268800</v>
      </c>
      <c r="Z33" s="167">
        <f>IFERROR(_xlfn.XLOOKUP($A33,Input_Raw!$A:$A,Input_Raw!$DA:$DA),"")</f>
        <v>4800</v>
      </c>
      <c r="AA33" s="169">
        <f t="shared" si="2"/>
        <v>264000</v>
      </c>
      <c r="AB33" s="167">
        <f>IFERROR(_xlfn.XLOOKUP($A33,Input_Raw!$A:$A,Input_Raw!$DG:$DG),"")</f>
        <v>78</v>
      </c>
      <c r="AC33" s="187">
        <f>IFERROR(_xlfn.XLOOKUP($D33,'Modelling New'!$D:$D,'Modelling New'!$J:$J),"")</f>
        <v>5.6333333333333329</v>
      </c>
      <c r="AD33" s="169">
        <f>IFERROR(_xlfn.XLOOKUP($D33,'Modelling New'!$D:$D,'Modelling New'!$T:$T)*1000,"")</f>
        <v>340888.47260338557</v>
      </c>
      <c r="AE33" s="186"/>
      <c r="AF33" s="186">
        <f>IFERROR(_xlfn.XLOOKUP($D33,'Modelling New'!$D:$D,'Modelling New'!$W:$W),"")</f>
        <v>0.18209854305736409</v>
      </c>
      <c r="AG33" s="186">
        <f>IFERROR(_xlfn.XLOOKUP($D33,'Modelling New'!$D:$D,'Modelling New'!$AE:$AE),"")</f>
        <v>0.96029999999999993</v>
      </c>
      <c r="AH33" s="186">
        <f>IFERROR(_xlfn.XLOOKUP($D33,'Modelling New'!$D:$D,'Modelling New'!$AF:$AF),"")</f>
        <v>0.995</v>
      </c>
      <c r="AI33" s="167">
        <f>IFERROR(_xlfn.XLOOKUP($A33,Input_Raw!$A:$A,Input_Raw!$DE:$DE),"")</f>
        <v>271.54000000000002</v>
      </c>
      <c r="AJ33" s="167"/>
      <c r="AK33" s="167"/>
      <c r="AL33" s="167"/>
      <c r="AM33" s="167"/>
      <c r="AN33" s="188">
        <f>IFERROR(_xlfn.XLOOKUP($A33,Input_Raw!$A:$A,Input_Raw!$DB:$DB),"")</f>
        <v>1.0199948447913942E-2</v>
      </c>
      <c r="AO33" s="186">
        <f>IFERROR((_xlfn.XLOOKUP($A33,'WTG Reactive Power'!$A:$A,'WTG Reactive Power'!$AR:$AR))/X33/1000,"")</f>
        <v>2.6567735758736239E-5</v>
      </c>
      <c r="AP33" s="186">
        <f>IFERROR(_xlfn.XLOOKUP($D33,'Modelling New'!$D:$D,'Modelling New'!$AK:$AK),"")</f>
        <v>0.05</v>
      </c>
      <c r="AQ33" s="186">
        <f>IFERROR(_xlfn.XLOOKUP($D33,'Modelling New'!$D:$D,'Modelling New'!$AL:$AL),"")</f>
        <v>0.05</v>
      </c>
      <c r="AR33">
        <f>IFERROR(_xlfn.XLOOKUP($D33,'Modelling New'!$D:$D,'Modelling New'!$N:$N),"")</f>
        <v>78</v>
      </c>
    </row>
    <row r="34" spans="1:44">
      <c r="A34" s="180">
        <f t="shared" si="3"/>
        <v>45777</v>
      </c>
      <c r="B34" s="169">
        <f>YEAR(Table13[[#This Row],[Date]])+IF(MONTH(Table13[[#This Row],[Date]])&gt;=4,1,0)</f>
        <v>2026</v>
      </c>
      <c r="C34" s="167">
        <f>YEAR(Table13[[#This Row],[Date]])</f>
        <v>2025</v>
      </c>
      <c r="D34" s="181">
        <f>Table13[[#This Row],[Date]]-DAY(Table13[[#This Row],[Date]])+1</f>
        <v>45748</v>
      </c>
      <c r="E34" s="167">
        <f t="shared" si="0"/>
        <v>30</v>
      </c>
      <c r="F34" s="170"/>
      <c r="G34" s="171"/>
      <c r="H34" s="171"/>
      <c r="I34" s="171"/>
      <c r="J34" s="171"/>
      <c r="K34" s="182"/>
      <c r="L34" s="171"/>
      <c r="M34" s="171">
        <f>IFERROR(_xlfn.XLOOKUP($A34,Input_Raw!$A:$A,Input_Raw!CG:CG),"")</f>
        <v>5.9428205128205125</v>
      </c>
      <c r="N34" s="171">
        <f>IFERROR(_xlfn.XLOOKUP($A34,Input_Raw!$A:$A,Input_Raw!CH:CH),"")</f>
        <v>0</v>
      </c>
      <c r="O34" s="183">
        <f t="shared" si="1"/>
        <v>0.93000871528024676</v>
      </c>
      <c r="P34" s="183">
        <f>IFERROR(1-SUMIF(WTG_BD!$B:$B,$A34,WTG_BD!$AB:$AB)/($AA34+SUMIF(WTG_BD!$B:$B,$A34,WTG_BD!$AB:$AB)),"")</f>
        <v>0.93000871528024676</v>
      </c>
      <c r="Q34" s="184">
        <f>IFERROR(1-SUMIF(IGA_BD!$B:$B,$A34,IGA_BD!$X:$X)/($AA34+SUMIF(IGA_BD!$B:$B,$A34,IGA_BD!$X:$X)),"")</f>
        <v>1</v>
      </c>
      <c r="R34" s="189">
        <f>IFERROR(1-SUMIF(Grid_BD!$B:$B,$A34,Grid_BD!$V:$V)/($AA34+SUMIF(Grid_BD!$B:$B,$A34,Grid_BD!$V:$V)),"")</f>
        <v>1</v>
      </c>
      <c r="S34" s="167"/>
      <c r="T34" s="184"/>
      <c r="U34" s="185"/>
      <c r="V34" s="167"/>
      <c r="W34" s="186">
        <f>IFERROR(Table13[[#This Row],[Mtr_Net_Exp (KWh)]]/(24*AR34*1000),"")</f>
        <v>0.31474358974358974</v>
      </c>
      <c r="X34" s="167">
        <f>IFERROR(_xlfn.XLOOKUP($A34,Input_Raw!$A:$A,Input_Raw!$CF:$CF),"")</f>
        <v>590942</v>
      </c>
      <c r="Y34" s="167">
        <f>IFERROR(_xlfn.XLOOKUP($A34,Input_Raw!$A:$A,Input_Raw!$CZ:$CZ),"")</f>
        <v>589200</v>
      </c>
      <c r="Z34" s="167">
        <f>IFERROR(_xlfn.XLOOKUP($A34,Input_Raw!$A:$A,Input_Raw!$DA:$DA),"")</f>
        <v>0</v>
      </c>
      <c r="AA34" s="169">
        <f t="shared" si="2"/>
        <v>589200</v>
      </c>
      <c r="AB34" s="167">
        <f>IFERROR(_xlfn.XLOOKUP($A34,Input_Raw!$A:$A,Input_Raw!$DG:$DG),"")</f>
        <v>78</v>
      </c>
      <c r="AC34" s="187">
        <f>IFERROR(_xlfn.XLOOKUP($D34,'Modelling New'!$D:$D,'Modelling New'!$J:$J),"")</f>
        <v>5.6333333333333329</v>
      </c>
      <c r="AD34" s="169">
        <f>IFERROR(_xlfn.XLOOKUP($D34,'Modelling New'!$D:$D,'Modelling New'!$T:$T)*1000,"")</f>
        <v>340888.47260338557</v>
      </c>
      <c r="AE34" s="186"/>
      <c r="AF34" s="186">
        <f>IFERROR(_xlfn.XLOOKUP($D34,'Modelling New'!$D:$D,'Modelling New'!$W:$W),"")</f>
        <v>0.18209854305736409</v>
      </c>
      <c r="AG34" s="186">
        <f>IFERROR(_xlfn.XLOOKUP($D34,'Modelling New'!$D:$D,'Modelling New'!$AE:$AE),"")</f>
        <v>0.96029999999999993</v>
      </c>
      <c r="AH34" s="186">
        <f>IFERROR(_xlfn.XLOOKUP($D34,'Modelling New'!$D:$D,'Modelling New'!$AF:$AF),"")</f>
        <v>0.995</v>
      </c>
      <c r="AI34" s="167">
        <f>IFERROR(_xlfn.XLOOKUP($A34,Input_Raw!$A:$A,Input_Raw!$DE:$DE),"")</f>
        <v>590.94000000000005</v>
      </c>
      <c r="AJ34" s="167"/>
      <c r="AK34" s="167"/>
      <c r="AL34" s="167"/>
      <c r="AM34" s="167"/>
      <c r="AN34" s="188">
        <f>IFERROR(_xlfn.XLOOKUP($A34,Input_Raw!$A:$A,Input_Raw!$DB:$DB),"")</f>
        <v>2.9478358282200023E-3</v>
      </c>
      <c r="AO34" s="186">
        <f>IFERROR((_xlfn.XLOOKUP($A34,'WTG Reactive Power'!$A:$A,'WTG Reactive Power'!$AR:$AR))/X34/1000,"")</f>
        <v>4.0697733449306354E-6</v>
      </c>
      <c r="AP34" s="186">
        <f>IFERROR(_xlfn.XLOOKUP($D34,'Modelling New'!$D:$D,'Modelling New'!$AK:$AK),"")</f>
        <v>0.05</v>
      </c>
      <c r="AQ34" s="186">
        <f>IFERROR(_xlfn.XLOOKUP($D34,'Modelling New'!$D:$D,'Modelling New'!$AL:$AL),"")</f>
        <v>0.05</v>
      </c>
      <c r="AR34">
        <f>IFERROR(_xlfn.XLOOKUP($D34,'Modelling New'!$D:$D,'Modelling New'!$N:$N),"")</f>
        <v>78</v>
      </c>
    </row>
    <row r="35" spans="1:44">
      <c r="A35" s="180">
        <f t="shared" si="3"/>
        <v>45778</v>
      </c>
      <c r="B35" s="169">
        <f>YEAR(Table13[[#This Row],[Date]])+IF(MONTH(Table13[[#This Row],[Date]])&gt;=4,1,0)</f>
        <v>2026</v>
      </c>
      <c r="C35" s="167">
        <f>YEAR(Table13[[#This Row],[Date]])</f>
        <v>2025</v>
      </c>
      <c r="D35" s="181">
        <f>Table13[[#This Row],[Date]]-DAY(Table13[[#This Row],[Date]])+1</f>
        <v>45778</v>
      </c>
      <c r="E35" s="167">
        <f t="shared" si="0"/>
        <v>31</v>
      </c>
      <c r="F35" s="170"/>
      <c r="G35" s="171"/>
      <c r="H35" s="171"/>
      <c r="I35" s="171"/>
      <c r="J35" s="171"/>
      <c r="K35" s="182"/>
      <c r="L35" s="171"/>
      <c r="M35" s="171">
        <f>IFERROR(_xlfn.XLOOKUP($A35,Input_Raw!$A:$A,Input_Raw!CG:CG),"")</f>
        <v>5.8866666666666667</v>
      </c>
      <c r="N35" s="171">
        <f>IFERROR(_xlfn.XLOOKUP($A35,Input_Raw!$A:$A,Input_Raw!CH:CH),"")</f>
        <v>0</v>
      </c>
      <c r="O35" s="183">
        <f t="shared" si="1"/>
        <v>0.90989765915924115</v>
      </c>
      <c r="P35" s="183">
        <f>IFERROR(1-SUMIF(WTG_BD!$B:$B,$A35,WTG_BD!$AB:$AB)/($AA35+SUMIF(WTG_BD!$B:$B,$A35,WTG_BD!$AB:$AB)),"")</f>
        <v>0.92868713404960523</v>
      </c>
      <c r="Q35" s="184">
        <f>IFERROR(1-SUMIF(IGA_BD!$B:$B,$A35,IGA_BD!$X:$X)/($AA35+SUMIF(IGA_BD!$B:$B,$A35,IGA_BD!$X:$X)),"")</f>
        <v>0.97976770195099905</v>
      </c>
      <c r="R35" s="189">
        <f>IFERROR(1-SUMIF(Grid_BD!$B:$B,$A35,Grid_BD!$V:$V)/($AA35+SUMIF(Grid_BD!$B:$B,$A35,Grid_BD!$V:$V)),"")</f>
        <v>1</v>
      </c>
      <c r="S35" s="167"/>
      <c r="T35" s="184"/>
      <c r="U35" s="185"/>
      <c r="V35" s="167"/>
      <c r="W35" s="186">
        <f>IFERROR(Table13[[#This Row],[Mtr_Net_Exp (KWh)]]/(24*AR35*1000),"")</f>
        <v>0.31217948717948718</v>
      </c>
      <c r="X35" s="167">
        <f>IFERROR(_xlfn.XLOOKUP($A35,Input_Raw!$A:$A,Input_Raw!$CF:$CF),"")</f>
        <v>588285</v>
      </c>
      <c r="Y35" s="167">
        <f>IFERROR(_xlfn.XLOOKUP($A35,Input_Raw!$A:$A,Input_Raw!$CZ:$CZ),"")</f>
        <v>584400</v>
      </c>
      <c r="Z35" s="167">
        <f>IFERROR(_xlfn.XLOOKUP($A35,Input_Raw!$A:$A,Input_Raw!$DA:$DA),"")</f>
        <v>0</v>
      </c>
      <c r="AA35" s="169">
        <f t="shared" si="2"/>
        <v>584400</v>
      </c>
      <c r="AB35" s="167">
        <f>IFERROR(_xlfn.XLOOKUP($A35,Input_Raw!$A:$A,Input_Raw!$DG:$DG),"")</f>
        <v>78</v>
      </c>
      <c r="AC35" s="187">
        <f>IFERROR(_xlfn.XLOOKUP($D35,'Modelling New'!$D:$D,'Modelling New'!$J:$J),"")</f>
        <v>6.5666666666666664</v>
      </c>
      <c r="AD35" s="169">
        <f>IFERROR(_xlfn.XLOOKUP($D35,'Modelling New'!$D:$D,'Modelling New'!$T:$T)*1000,"")</f>
        <v>558388.39265938452</v>
      </c>
      <c r="AE35" s="186"/>
      <c r="AF35" s="186">
        <f>IFERROR(_xlfn.XLOOKUP($D35,'Modelling New'!$D:$D,'Modelling New'!$W:$W),"")</f>
        <v>0.29828439778813276</v>
      </c>
      <c r="AG35" s="186">
        <f>IFERROR(_xlfn.XLOOKUP($D35,'Modelling New'!$D:$D,'Modelling New'!$AE:$AE),"")</f>
        <v>0.96029999999999993</v>
      </c>
      <c r="AH35" s="186">
        <f>IFERROR(_xlfn.XLOOKUP($D35,'Modelling New'!$D:$D,'Modelling New'!$AF:$AF),"")</f>
        <v>0.995</v>
      </c>
      <c r="AI35" s="167">
        <f>IFERROR(_xlfn.XLOOKUP($A35,Input_Raw!$A:$A,Input_Raw!$DE:$DE),"")</f>
        <v>588.28</v>
      </c>
      <c r="AJ35" s="167"/>
      <c r="AK35" s="167"/>
      <c r="AL35" s="167"/>
      <c r="AM35" s="167"/>
      <c r="AN35" s="188">
        <f>IFERROR(_xlfn.XLOOKUP($A35,Input_Raw!$A:$A,Input_Raw!$DB:$DB),"")</f>
        <v>6.6039419669038368E-3</v>
      </c>
      <c r="AO35" s="186">
        <f>IFERROR((_xlfn.XLOOKUP($A35,'WTG Reactive Power'!$A:$A,'WTG Reactive Power'!$AR:$AR))/X35/1000,"")</f>
        <v>0</v>
      </c>
      <c r="AP35" s="186">
        <f>IFERROR(_xlfn.XLOOKUP($D35,'Modelling New'!$D:$D,'Modelling New'!$AK:$AK),"")</f>
        <v>0.05</v>
      </c>
      <c r="AQ35" s="186">
        <f>IFERROR(_xlfn.XLOOKUP($D35,'Modelling New'!$D:$D,'Modelling New'!$AL:$AL),"")</f>
        <v>0.05</v>
      </c>
      <c r="AR35">
        <f>IFERROR(_xlfn.XLOOKUP($D35,'Modelling New'!$D:$D,'Modelling New'!$N:$N),"")</f>
        <v>78</v>
      </c>
    </row>
    <row r="36" spans="1:44">
      <c r="A36" s="180">
        <f t="shared" si="3"/>
        <v>45779</v>
      </c>
      <c r="B36" s="169">
        <f>YEAR(Table13[[#This Row],[Date]])+IF(MONTH(Table13[[#This Row],[Date]])&gt;=4,1,0)</f>
        <v>2026</v>
      </c>
      <c r="C36" s="167">
        <f>YEAR(Table13[[#This Row],[Date]])</f>
        <v>2025</v>
      </c>
      <c r="D36" s="181">
        <f>Table13[[#This Row],[Date]]-DAY(Table13[[#This Row],[Date]])+1</f>
        <v>45778</v>
      </c>
      <c r="E36" s="167">
        <f t="shared" ref="E36:E99" si="4">DAY(EOMONTH(A36,0))</f>
        <v>31</v>
      </c>
      <c r="F36" s="170"/>
      <c r="G36" s="171"/>
      <c r="H36" s="171"/>
      <c r="I36" s="171"/>
      <c r="J36" s="171"/>
      <c r="K36" s="182"/>
      <c r="L36" s="171"/>
      <c r="M36" s="171">
        <f>IFERROR(_xlfn.XLOOKUP($A36,Input_Raw!$A:$A,Input_Raw!CG:CG),"")</f>
        <v>4.5097435897435885</v>
      </c>
      <c r="N36" s="171">
        <f>IFERROR(_xlfn.XLOOKUP($A36,Input_Raw!$A:$A,Input_Raw!CH:CH),"")</f>
        <v>0</v>
      </c>
      <c r="O36" s="183">
        <f t="shared" si="1"/>
        <v>0.92464466111144605</v>
      </c>
      <c r="P36" s="183">
        <f>IFERROR(1-SUMIF(WTG_BD!$B:$B,$A36,WTG_BD!$AB:$AB)/($AA36+SUMIF(WTG_BD!$B:$B,$A36,WTG_BD!$AB:$AB)),"")</f>
        <v>0.92464466111144605</v>
      </c>
      <c r="Q36" s="184">
        <f>IFERROR(1-SUMIF(IGA_BD!$B:$B,$A36,IGA_BD!$X:$X)/($AA36+SUMIF(IGA_BD!$B:$B,$A36,IGA_BD!$X:$X)),"")</f>
        <v>1</v>
      </c>
      <c r="R36" s="189">
        <f>IFERROR(1-SUMIF(Grid_BD!$B:$B,$A36,Grid_BD!$V:$V)/($AA36+SUMIF(Grid_BD!$B:$B,$A36,Grid_BD!$V:$V)),"")</f>
        <v>1</v>
      </c>
      <c r="S36" s="167"/>
      <c r="T36" s="184"/>
      <c r="U36" s="185"/>
      <c r="V36" s="167"/>
      <c r="W36" s="186">
        <f>IFERROR(Table13[[#This Row],[Mtr_Net_Exp (KWh)]]/(24*AR36*1000),"")</f>
        <v>0.25064102564102564</v>
      </c>
      <c r="X36" s="167">
        <f>IFERROR(_xlfn.XLOOKUP($A36,Input_Raw!$A:$A,Input_Raw!$CF:$CF),"")</f>
        <v>491493</v>
      </c>
      <c r="Y36" s="167">
        <f>IFERROR(_xlfn.XLOOKUP($A36,Input_Raw!$A:$A,Input_Raw!$CZ:$CZ),"")</f>
        <v>469200</v>
      </c>
      <c r="Z36" s="167">
        <f>IFERROR(_xlfn.XLOOKUP($A36,Input_Raw!$A:$A,Input_Raw!$DA:$DA),"")</f>
        <v>0</v>
      </c>
      <c r="AA36" s="169">
        <f t="shared" ref="AA36:AA99" si="5">IFERROR(Y36-Z36,"")</f>
        <v>469200</v>
      </c>
      <c r="AB36" s="167">
        <f>IFERROR(_xlfn.XLOOKUP($A36,Input_Raw!$A:$A,Input_Raw!$DG:$DG),"")</f>
        <v>78</v>
      </c>
      <c r="AC36" s="187">
        <f>IFERROR(_xlfn.XLOOKUP($D36,'Modelling New'!$D:$D,'Modelling New'!$J:$J),"")</f>
        <v>6.5666666666666664</v>
      </c>
      <c r="AD36" s="169">
        <f>IFERROR(_xlfn.XLOOKUP($D36,'Modelling New'!$D:$D,'Modelling New'!$T:$T)*1000,"")</f>
        <v>558388.39265938452</v>
      </c>
      <c r="AE36" s="186"/>
      <c r="AF36" s="186">
        <f>IFERROR(_xlfn.XLOOKUP($D36,'Modelling New'!$D:$D,'Modelling New'!$W:$W),"")</f>
        <v>0.29828439778813276</v>
      </c>
      <c r="AG36" s="186">
        <f>IFERROR(_xlfn.XLOOKUP($D36,'Modelling New'!$D:$D,'Modelling New'!$AE:$AE),"")</f>
        <v>0.96029999999999993</v>
      </c>
      <c r="AH36" s="186">
        <f>IFERROR(_xlfn.XLOOKUP($D36,'Modelling New'!$D:$D,'Modelling New'!$AF:$AF),"")</f>
        <v>0.995</v>
      </c>
      <c r="AI36" s="167">
        <f>IFERROR(_xlfn.XLOOKUP($A36,Input_Raw!$A:$A,Input_Raw!$DE:$DE),"")</f>
        <v>491.49</v>
      </c>
      <c r="AJ36" s="167"/>
      <c r="AK36" s="167"/>
      <c r="AL36" s="167"/>
      <c r="AM36" s="167"/>
      <c r="AN36" s="188">
        <f>IFERROR(_xlfn.XLOOKUP($A36,Input_Raw!$A:$A,Input_Raw!$DB:$DB),"")</f>
        <v>4.5357716183139996E-2</v>
      </c>
      <c r="AO36" s="186">
        <f>IFERROR((_xlfn.XLOOKUP($A36,'WTG Reactive Power'!$A:$A,'WTG Reactive Power'!$AR:$AR))/X36/1000,"")</f>
        <v>1.2195494137251193E-5</v>
      </c>
      <c r="AP36" s="186">
        <f>IFERROR(_xlfn.XLOOKUP($D36,'Modelling New'!$D:$D,'Modelling New'!$AK:$AK),"")</f>
        <v>0.05</v>
      </c>
      <c r="AQ36" s="186">
        <f>IFERROR(_xlfn.XLOOKUP($D36,'Modelling New'!$D:$D,'Modelling New'!$AL:$AL),"")</f>
        <v>0.05</v>
      </c>
      <c r="AR36">
        <f>IFERROR(_xlfn.XLOOKUP($D36,'Modelling New'!$D:$D,'Modelling New'!$N:$N),"")</f>
        <v>78</v>
      </c>
    </row>
    <row r="37" spans="1:44">
      <c r="A37" s="180">
        <f t="shared" si="3"/>
        <v>45780</v>
      </c>
      <c r="B37" s="169">
        <f>YEAR(Table13[[#This Row],[Date]])+IF(MONTH(Table13[[#This Row],[Date]])&gt;=4,1,0)</f>
        <v>2026</v>
      </c>
      <c r="C37" s="167">
        <f>YEAR(Table13[[#This Row],[Date]])</f>
        <v>2025</v>
      </c>
      <c r="D37" s="181">
        <f>Table13[[#This Row],[Date]]-DAY(Table13[[#This Row],[Date]])+1</f>
        <v>45778</v>
      </c>
      <c r="E37" s="167">
        <f t="shared" si="4"/>
        <v>31</v>
      </c>
      <c r="F37" s="170"/>
      <c r="G37" s="171"/>
      <c r="H37" s="171"/>
      <c r="I37" s="171"/>
      <c r="J37" s="171"/>
      <c r="K37" s="182"/>
      <c r="L37" s="171"/>
      <c r="M37" s="171">
        <f>IFERROR(_xlfn.XLOOKUP($A37,Input_Raw!$A:$A,Input_Raw!CG:CG),"")</f>
        <v>6.9187179487179487</v>
      </c>
      <c r="N37" s="171">
        <f>IFERROR(_xlfn.XLOOKUP($A37,Input_Raw!$A:$A,Input_Raw!CH:CH),"")</f>
        <v>0</v>
      </c>
      <c r="O37" s="183">
        <f t="shared" ref="O37:O100" si="6">IFERROR(P37*Q37,"")</f>
        <v>0.93552772471843271</v>
      </c>
      <c r="P37" s="183">
        <f>IFERROR(1-SUMIF(WTG_BD!$B:$B,$A37,WTG_BD!$AB:$AB)/($AA37+SUMIF(WTG_BD!$B:$B,$A37,WTG_BD!$AB:$AB)),"")</f>
        <v>0.93552772471843271</v>
      </c>
      <c r="Q37" s="184">
        <f>IFERROR(1-SUMIF(IGA_BD!$B:$B,$A37,IGA_BD!$X:$X)/($AA37+SUMIF(IGA_BD!$B:$B,$A37,IGA_BD!$X:$X)),"")</f>
        <v>1</v>
      </c>
      <c r="R37" s="189">
        <f>IFERROR(1-SUMIF(Grid_BD!$B:$B,$A37,Grid_BD!$V:$V)/($AA37+SUMIF(Grid_BD!$B:$B,$A37,Grid_BD!$V:$V)),"")</f>
        <v>1</v>
      </c>
      <c r="S37" s="167"/>
      <c r="T37" s="184"/>
      <c r="U37" s="185"/>
      <c r="V37" s="167"/>
      <c r="W37" s="186">
        <f>IFERROR(Table13[[#This Row],[Mtr_Net_Exp (KWh)]]/(24*AR37*1000),"")</f>
        <v>0.32756410256410257</v>
      </c>
      <c r="X37" s="167">
        <f>IFERROR(_xlfn.XLOOKUP($A37,Input_Raw!$A:$A,Input_Raw!$CF:$CF),"")</f>
        <v>616130</v>
      </c>
      <c r="Y37" s="167">
        <f>IFERROR(_xlfn.XLOOKUP($A37,Input_Raw!$A:$A,Input_Raw!$CZ:$CZ),"")</f>
        <v>614400</v>
      </c>
      <c r="Z37" s="167">
        <f>IFERROR(_xlfn.XLOOKUP($A37,Input_Raw!$A:$A,Input_Raw!$DA:$DA),"")</f>
        <v>1200</v>
      </c>
      <c r="AA37" s="169">
        <f t="shared" si="5"/>
        <v>613200</v>
      </c>
      <c r="AB37" s="167">
        <f>IFERROR(_xlfn.XLOOKUP($A37,Input_Raw!$A:$A,Input_Raw!$DG:$DG),"")</f>
        <v>78</v>
      </c>
      <c r="AC37" s="187">
        <f>IFERROR(_xlfn.XLOOKUP($D37,'Modelling New'!$D:$D,'Modelling New'!$J:$J),"")</f>
        <v>6.5666666666666664</v>
      </c>
      <c r="AD37" s="169">
        <f>IFERROR(_xlfn.XLOOKUP($D37,'Modelling New'!$D:$D,'Modelling New'!$T:$T)*1000,"")</f>
        <v>558388.39265938452</v>
      </c>
      <c r="AE37" s="186"/>
      <c r="AF37" s="186">
        <f>IFERROR(_xlfn.XLOOKUP($D37,'Modelling New'!$D:$D,'Modelling New'!$W:$W),"")</f>
        <v>0.29828439778813276</v>
      </c>
      <c r="AG37" s="186">
        <f>IFERROR(_xlfn.XLOOKUP($D37,'Modelling New'!$D:$D,'Modelling New'!$AE:$AE),"")</f>
        <v>0.96029999999999993</v>
      </c>
      <c r="AH37" s="186">
        <f>IFERROR(_xlfn.XLOOKUP($D37,'Modelling New'!$D:$D,'Modelling New'!$AF:$AF),"")</f>
        <v>0.995</v>
      </c>
      <c r="AI37" s="167">
        <f>IFERROR(_xlfn.XLOOKUP($A37,Input_Raw!$A:$A,Input_Raw!$DE:$DE),"")</f>
        <v>616.13</v>
      </c>
      <c r="AJ37" s="167"/>
      <c r="AK37" s="167"/>
      <c r="AL37" s="167"/>
      <c r="AM37" s="167"/>
      <c r="AN37" s="188">
        <f>IFERROR(_xlfn.XLOOKUP($A37,Input_Raw!$A:$A,Input_Raw!$DB:$DB),"")</f>
        <v>2.8078489929073136E-3</v>
      </c>
      <c r="AO37" s="186">
        <f>IFERROR((_xlfn.XLOOKUP($A37,'WTG Reactive Power'!$A:$A,'WTG Reactive Power'!$AR:$AR))/X37/1000,"")</f>
        <v>1.9216723743365848E-6</v>
      </c>
      <c r="AP37" s="186">
        <f>IFERROR(_xlfn.XLOOKUP($D37,'Modelling New'!$D:$D,'Modelling New'!$AK:$AK),"")</f>
        <v>0.05</v>
      </c>
      <c r="AQ37" s="186">
        <f>IFERROR(_xlfn.XLOOKUP($D37,'Modelling New'!$D:$D,'Modelling New'!$AL:$AL),"")</f>
        <v>0.05</v>
      </c>
      <c r="AR37">
        <f>IFERROR(_xlfn.XLOOKUP($D37,'Modelling New'!$D:$D,'Modelling New'!$N:$N),"")</f>
        <v>78</v>
      </c>
    </row>
    <row r="38" spans="1:44">
      <c r="A38" s="180">
        <f t="shared" ref="A38:A101" si="7">A37+1</f>
        <v>45781</v>
      </c>
      <c r="B38" s="169">
        <f>YEAR(Table13[[#This Row],[Date]])+IF(MONTH(Table13[[#This Row],[Date]])&gt;=4,1,0)</f>
        <v>2026</v>
      </c>
      <c r="C38" s="167">
        <f>YEAR(Table13[[#This Row],[Date]])</f>
        <v>2025</v>
      </c>
      <c r="D38" s="181">
        <f>Table13[[#This Row],[Date]]-DAY(Table13[[#This Row],[Date]])+1</f>
        <v>45778</v>
      </c>
      <c r="E38" s="167">
        <f t="shared" si="4"/>
        <v>31</v>
      </c>
      <c r="F38" s="170"/>
      <c r="G38" s="171"/>
      <c r="H38" s="171"/>
      <c r="I38" s="171"/>
      <c r="J38" s="171"/>
      <c r="K38" s="182"/>
      <c r="L38" s="171"/>
      <c r="M38" s="171">
        <f>IFERROR(_xlfn.XLOOKUP($A38,Input_Raw!$A:$A,Input_Raw!CG:CG),"")</f>
        <v>4.8151282051282047</v>
      </c>
      <c r="N38" s="171">
        <f>IFERROR(_xlfn.XLOOKUP($A38,Input_Raw!$A:$A,Input_Raw!CH:CH),"")</f>
        <v>0</v>
      </c>
      <c r="O38" s="183">
        <f t="shared" si="6"/>
        <v>0.92907467770644425</v>
      </c>
      <c r="P38" s="183">
        <f>IFERROR(1-SUMIF(WTG_BD!$B:$B,$A38,WTG_BD!$AB:$AB)/($AA38+SUMIF(WTG_BD!$B:$B,$A38,WTG_BD!$AB:$AB)),"")</f>
        <v>0.92907467770644425</v>
      </c>
      <c r="Q38" s="184">
        <f>IFERROR(1-SUMIF(IGA_BD!$B:$B,$A38,IGA_BD!$X:$X)/($AA38+SUMIF(IGA_BD!$B:$B,$A38,IGA_BD!$X:$X)),"")</f>
        <v>1</v>
      </c>
      <c r="R38" s="189">
        <f>IFERROR(1-SUMIF(Grid_BD!$B:$B,$A38,Grid_BD!$V:$V)/($AA38+SUMIF(Grid_BD!$B:$B,$A38,Grid_BD!$V:$V)),"")</f>
        <v>1</v>
      </c>
      <c r="S38" s="167"/>
      <c r="T38" s="184"/>
      <c r="U38" s="185"/>
      <c r="V38" s="167"/>
      <c r="W38" s="186">
        <f>IFERROR(Table13[[#This Row],[Mtr_Net_Exp (KWh)]]/(24*AR38*1000),"")</f>
        <v>0.21025641025641026</v>
      </c>
      <c r="X38" s="167">
        <f>IFERROR(_xlfn.XLOOKUP($A38,Input_Raw!$A:$A,Input_Raw!$CF:$CF),"")</f>
        <v>404176</v>
      </c>
      <c r="Y38" s="167">
        <f>IFERROR(_xlfn.XLOOKUP($A38,Input_Raw!$A:$A,Input_Raw!$CZ:$CZ),"")</f>
        <v>397200</v>
      </c>
      <c r="Z38" s="167">
        <f>IFERROR(_xlfn.XLOOKUP($A38,Input_Raw!$A:$A,Input_Raw!$DA:$DA),"")</f>
        <v>3600</v>
      </c>
      <c r="AA38" s="169">
        <f t="shared" si="5"/>
        <v>393600</v>
      </c>
      <c r="AB38" s="167">
        <f>IFERROR(_xlfn.XLOOKUP($A38,Input_Raw!$A:$A,Input_Raw!$DG:$DG),"")</f>
        <v>78</v>
      </c>
      <c r="AC38" s="187">
        <f>IFERROR(_xlfn.XLOOKUP($D38,'Modelling New'!$D:$D,'Modelling New'!$J:$J),"")</f>
        <v>6.5666666666666664</v>
      </c>
      <c r="AD38" s="169">
        <f>IFERROR(_xlfn.XLOOKUP($D38,'Modelling New'!$D:$D,'Modelling New'!$T:$T)*1000,"")</f>
        <v>558388.39265938452</v>
      </c>
      <c r="AE38" s="186"/>
      <c r="AF38" s="186">
        <f>IFERROR(_xlfn.XLOOKUP($D38,'Modelling New'!$D:$D,'Modelling New'!$W:$W),"")</f>
        <v>0.29828439778813276</v>
      </c>
      <c r="AG38" s="186">
        <f>IFERROR(_xlfn.XLOOKUP($D38,'Modelling New'!$D:$D,'Modelling New'!$AE:$AE),"")</f>
        <v>0.96029999999999993</v>
      </c>
      <c r="AH38" s="186">
        <f>IFERROR(_xlfn.XLOOKUP($D38,'Modelling New'!$D:$D,'Modelling New'!$AF:$AF),"")</f>
        <v>0.995</v>
      </c>
      <c r="AI38" s="167">
        <f>IFERROR(_xlfn.XLOOKUP($A38,Input_Raw!$A:$A,Input_Raw!$DE:$DE),"")</f>
        <v>404.17</v>
      </c>
      <c r="AJ38" s="167"/>
      <c r="AK38" s="167"/>
      <c r="AL38" s="167"/>
      <c r="AM38" s="167"/>
      <c r="AN38" s="188">
        <f>IFERROR(_xlfn.XLOOKUP($A38,Input_Raw!$A:$A,Input_Raw!$DB:$DB),"")</f>
        <v>1.7259807608566602E-2</v>
      </c>
      <c r="AO38" s="186">
        <f>IFERROR((_xlfn.XLOOKUP($A38,'WTG Reactive Power'!$A:$A,'WTG Reactive Power'!$AR:$AR))/X38/1000,"")</f>
        <v>5.9503780531253716E-6</v>
      </c>
      <c r="AP38" s="186">
        <f>IFERROR(_xlfn.XLOOKUP($D38,'Modelling New'!$D:$D,'Modelling New'!$AK:$AK),"")</f>
        <v>0.05</v>
      </c>
      <c r="AQ38" s="186">
        <f>IFERROR(_xlfn.XLOOKUP($D38,'Modelling New'!$D:$D,'Modelling New'!$AL:$AL),"")</f>
        <v>0.05</v>
      </c>
      <c r="AR38">
        <f>IFERROR(_xlfn.XLOOKUP($D38,'Modelling New'!$D:$D,'Modelling New'!$N:$N),"")</f>
        <v>78</v>
      </c>
    </row>
    <row r="39" spans="1:44">
      <c r="A39" s="180">
        <f t="shared" si="7"/>
        <v>45782</v>
      </c>
      <c r="B39" s="169">
        <f>YEAR(Table13[[#This Row],[Date]])+IF(MONTH(Table13[[#This Row],[Date]])&gt;=4,1,0)</f>
        <v>2026</v>
      </c>
      <c r="C39" s="167">
        <f>YEAR(Table13[[#This Row],[Date]])</f>
        <v>2025</v>
      </c>
      <c r="D39" s="181">
        <f>Table13[[#This Row],[Date]]-DAY(Table13[[#This Row],[Date]])+1</f>
        <v>45778</v>
      </c>
      <c r="E39" s="167">
        <f t="shared" si="4"/>
        <v>31</v>
      </c>
      <c r="F39" s="170"/>
      <c r="G39" s="171"/>
      <c r="H39" s="171"/>
      <c r="I39" s="171"/>
      <c r="J39" s="171"/>
      <c r="K39" s="182"/>
      <c r="L39" s="171"/>
      <c r="M39" s="171">
        <f>IFERROR(_xlfn.XLOOKUP($A39,Input_Raw!$A:$A,Input_Raw!CG:CG),"")</f>
        <v>4.056923076923078</v>
      </c>
      <c r="N39" s="171">
        <f>IFERROR(_xlfn.XLOOKUP($A39,Input_Raw!$A:$A,Input_Raw!CH:CH),"")</f>
        <v>0</v>
      </c>
      <c r="O39" s="183">
        <f t="shared" si="6"/>
        <v>0.910762387818014</v>
      </c>
      <c r="P39" s="183">
        <f>IFERROR(1-SUMIF(WTG_BD!$B:$B,$A39,WTG_BD!$AB:$AB)/($AA39+SUMIF(WTG_BD!$B:$B,$A39,WTG_BD!$AB:$AB)),"")</f>
        <v>0.910762387818014</v>
      </c>
      <c r="Q39" s="184">
        <f>IFERROR(1-SUMIF(IGA_BD!$B:$B,$A39,IGA_BD!$X:$X)/($AA39+SUMIF(IGA_BD!$B:$B,$A39,IGA_BD!$X:$X)),"")</f>
        <v>1</v>
      </c>
      <c r="R39" s="189">
        <f>IFERROR(1-SUMIF(Grid_BD!$B:$B,$A39,Grid_BD!$V:$V)/($AA39+SUMIF(Grid_BD!$B:$B,$A39,Grid_BD!$V:$V)),"")</f>
        <v>1</v>
      </c>
      <c r="S39" s="167"/>
      <c r="T39" s="184"/>
      <c r="U39" s="185"/>
      <c r="V39" s="167"/>
      <c r="W39" s="186">
        <f>IFERROR(Table13[[#This Row],[Mtr_Net_Exp (KWh)]]/(24*AR39*1000),"")</f>
        <v>0.14038461538461539</v>
      </c>
      <c r="X39" s="167">
        <f>IFERROR(_xlfn.XLOOKUP($A39,Input_Raw!$A:$A,Input_Raw!$CF:$CF),"")</f>
        <v>266316</v>
      </c>
      <c r="Y39" s="167">
        <f>IFERROR(_xlfn.XLOOKUP($A39,Input_Raw!$A:$A,Input_Raw!$CZ:$CZ),"")</f>
        <v>262800</v>
      </c>
      <c r="Z39" s="167">
        <f>IFERROR(_xlfn.XLOOKUP($A39,Input_Raw!$A:$A,Input_Raw!$DA:$DA),"")</f>
        <v>0</v>
      </c>
      <c r="AA39" s="169">
        <f t="shared" si="5"/>
        <v>262800</v>
      </c>
      <c r="AB39" s="167">
        <f>IFERROR(_xlfn.XLOOKUP($A39,Input_Raw!$A:$A,Input_Raw!$DG:$DG),"")</f>
        <v>78</v>
      </c>
      <c r="AC39" s="187">
        <f>IFERROR(_xlfn.XLOOKUP($D39,'Modelling New'!$D:$D,'Modelling New'!$J:$J),"")</f>
        <v>6.5666666666666664</v>
      </c>
      <c r="AD39" s="169">
        <f>IFERROR(_xlfn.XLOOKUP($D39,'Modelling New'!$D:$D,'Modelling New'!$T:$T)*1000,"")</f>
        <v>558388.39265938452</v>
      </c>
      <c r="AE39" s="186"/>
      <c r="AF39" s="186">
        <f>IFERROR(_xlfn.XLOOKUP($D39,'Modelling New'!$D:$D,'Modelling New'!$W:$W),"")</f>
        <v>0.29828439778813276</v>
      </c>
      <c r="AG39" s="186">
        <f>IFERROR(_xlfn.XLOOKUP($D39,'Modelling New'!$D:$D,'Modelling New'!$AE:$AE),"")</f>
        <v>0.96029999999999993</v>
      </c>
      <c r="AH39" s="186">
        <f>IFERROR(_xlfn.XLOOKUP($D39,'Modelling New'!$D:$D,'Modelling New'!$AF:$AF),"")</f>
        <v>0.995</v>
      </c>
      <c r="AI39" s="167">
        <f>IFERROR(_xlfn.XLOOKUP($A39,Input_Raw!$A:$A,Input_Raw!$DE:$DE),"")</f>
        <v>266.31</v>
      </c>
      <c r="AJ39" s="167"/>
      <c r="AK39" s="167"/>
      <c r="AL39" s="167"/>
      <c r="AM39" s="167"/>
      <c r="AN39" s="188">
        <f>IFERROR(_xlfn.XLOOKUP($A39,Input_Raw!$A:$A,Input_Raw!$DB:$DB),"")</f>
        <v>1.3202361104852844E-2</v>
      </c>
      <c r="AO39" s="186">
        <f>IFERROR((_xlfn.XLOOKUP($A39,'WTG Reactive Power'!$A:$A,'WTG Reactive Power'!$AR:$AR))/X39/1000,"")</f>
        <v>2.1898796917947101E-5</v>
      </c>
      <c r="AP39" s="186">
        <f>IFERROR(_xlfn.XLOOKUP($D39,'Modelling New'!$D:$D,'Modelling New'!$AK:$AK),"")</f>
        <v>0.05</v>
      </c>
      <c r="AQ39" s="186">
        <f>IFERROR(_xlfn.XLOOKUP($D39,'Modelling New'!$D:$D,'Modelling New'!$AL:$AL),"")</f>
        <v>0.05</v>
      </c>
      <c r="AR39">
        <f>IFERROR(_xlfn.XLOOKUP($D39,'Modelling New'!$D:$D,'Modelling New'!$N:$N),"")</f>
        <v>78</v>
      </c>
    </row>
    <row r="40" spans="1:44">
      <c r="A40" s="180">
        <f t="shared" si="7"/>
        <v>45783</v>
      </c>
      <c r="B40" s="169">
        <f>YEAR(Table13[[#This Row],[Date]])+IF(MONTH(Table13[[#This Row],[Date]])&gt;=4,1,0)</f>
        <v>2026</v>
      </c>
      <c r="C40" s="167">
        <f>YEAR(Table13[[#This Row],[Date]])</f>
        <v>2025</v>
      </c>
      <c r="D40" s="181">
        <f>Table13[[#This Row],[Date]]-DAY(Table13[[#This Row],[Date]])+1</f>
        <v>45778</v>
      </c>
      <c r="E40" s="167">
        <f t="shared" si="4"/>
        <v>31</v>
      </c>
      <c r="F40" s="170"/>
      <c r="G40" s="171"/>
      <c r="H40" s="171"/>
      <c r="I40" s="171"/>
      <c r="J40" s="171"/>
      <c r="K40" s="182"/>
      <c r="L40" s="171"/>
      <c r="M40" s="171">
        <f>IFERROR(_xlfn.XLOOKUP($A40,Input_Raw!$A:$A,Input_Raw!CG:CG),"")</f>
        <v>4.3910256410256414</v>
      </c>
      <c r="N40" s="171">
        <f>IFERROR(_xlfn.XLOOKUP($A40,Input_Raw!$A:$A,Input_Raw!CH:CH),"")</f>
        <v>0</v>
      </c>
      <c r="O40" s="183">
        <f t="shared" si="6"/>
        <v>0.92291518705242637</v>
      </c>
      <c r="P40" s="183">
        <f>IFERROR(1-SUMIF(WTG_BD!$B:$B,$A40,WTG_BD!$AB:$AB)/($AA40+SUMIF(WTG_BD!$B:$B,$A40,WTG_BD!$AB:$AB)),"")</f>
        <v>0.92373042880098932</v>
      </c>
      <c r="Q40" s="184">
        <f>IFERROR(1-SUMIF(IGA_BD!$B:$B,$A40,IGA_BD!$X:$X)/($AA40+SUMIF(IGA_BD!$B:$B,$A40,IGA_BD!$X:$X)),"")</f>
        <v>0.99911744625580734</v>
      </c>
      <c r="R40" s="189">
        <f>IFERROR(1-SUMIF(Grid_BD!$B:$B,$A40,Grid_BD!$V:$V)/($AA40+SUMIF(Grid_BD!$B:$B,$A40,Grid_BD!$V:$V)),"")</f>
        <v>1</v>
      </c>
      <c r="S40" s="167"/>
      <c r="T40" s="184"/>
      <c r="U40" s="185"/>
      <c r="V40" s="167"/>
      <c r="W40" s="186">
        <f>IFERROR(Table13[[#This Row],[Mtr_Net_Exp (KWh)]]/(24*AR40*1000),"")</f>
        <v>0.16025641025641027</v>
      </c>
      <c r="X40" s="167">
        <f>IFERROR(_xlfn.XLOOKUP($A40,Input_Raw!$A:$A,Input_Raw!$CF:$CF),"")</f>
        <v>306808</v>
      </c>
      <c r="Y40" s="167">
        <f>IFERROR(_xlfn.XLOOKUP($A40,Input_Raw!$A:$A,Input_Raw!$CZ:$CZ),"")</f>
        <v>304800</v>
      </c>
      <c r="Z40" s="167">
        <f>IFERROR(_xlfn.XLOOKUP($A40,Input_Raw!$A:$A,Input_Raw!$DA:$DA),"")</f>
        <v>4800</v>
      </c>
      <c r="AA40" s="169">
        <f t="shared" si="5"/>
        <v>300000</v>
      </c>
      <c r="AB40" s="167">
        <f>IFERROR(_xlfn.XLOOKUP($A40,Input_Raw!$A:$A,Input_Raw!$DG:$DG),"")</f>
        <v>78</v>
      </c>
      <c r="AC40" s="187">
        <f>IFERROR(_xlfn.XLOOKUP($D40,'Modelling New'!$D:$D,'Modelling New'!$J:$J),"")</f>
        <v>6.5666666666666664</v>
      </c>
      <c r="AD40" s="169">
        <f>IFERROR(_xlfn.XLOOKUP($D40,'Modelling New'!$D:$D,'Modelling New'!$T:$T)*1000,"")</f>
        <v>558388.39265938452</v>
      </c>
      <c r="AE40" s="186"/>
      <c r="AF40" s="186">
        <f>IFERROR(_xlfn.XLOOKUP($D40,'Modelling New'!$D:$D,'Modelling New'!$W:$W),"")</f>
        <v>0.29828439778813276</v>
      </c>
      <c r="AG40" s="186">
        <f>IFERROR(_xlfn.XLOOKUP($D40,'Modelling New'!$D:$D,'Modelling New'!$AE:$AE),"")</f>
        <v>0.96029999999999993</v>
      </c>
      <c r="AH40" s="186">
        <f>IFERROR(_xlfn.XLOOKUP($D40,'Modelling New'!$D:$D,'Modelling New'!$AF:$AF),"")</f>
        <v>0.995</v>
      </c>
      <c r="AI40" s="167">
        <f>IFERROR(_xlfn.XLOOKUP($A40,Input_Raw!$A:$A,Input_Raw!$DE:$DE),"")</f>
        <v>306.8</v>
      </c>
      <c r="AJ40" s="167"/>
      <c r="AK40" s="167"/>
      <c r="AL40" s="167"/>
      <c r="AM40" s="167"/>
      <c r="AN40" s="188">
        <f>IFERROR(_xlfn.XLOOKUP($A40,Input_Raw!$A:$A,Input_Raw!$DB:$DB),"")</f>
        <v>6.5448097833172847E-3</v>
      </c>
      <c r="AO40" s="186">
        <f>IFERROR((_xlfn.XLOOKUP($A40,'WTG Reactive Power'!$A:$A,'WTG Reactive Power'!$AR:$AR))/X40/1000,"")</f>
        <v>1.1733722719094678E-5</v>
      </c>
      <c r="AP40" s="186">
        <f>IFERROR(_xlfn.XLOOKUP($D40,'Modelling New'!$D:$D,'Modelling New'!$AK:$AK),"")</f>
        <v>0.05</v>
      </c>
      <c r="AQ40" s="186">
        <f>IFERROR(_xlfn.XLOOKUP($D40,'Modelling New'!$D:$D,'Modelling New'!$AL:$AL),"")</f>
        <v>0.05</v>
      </c>
      <c r="AR40">
        <f>IFERROR(_xlfn.XLOOKUP($D40,'Modelling New'!$D:$D,'Modelling New'!$N:$N),"")</f>
        <v>78</v>
      </c>
    </row>
    <row r="41" spans="1:44">
      <c r="A41" s="180">
        <f t="shared" si="7"/>
        <v>45784</v>
      </c>
      <c r="B41" s="169">
        <f>YEAR(Table13[[#This Row],[Date]])+IF(MONTH(Table13[[#This Row],[Date]])&gt;=4,1,0)</f>
        <v>2026</v>
      </c>
      <c r="C41" s="167">
        <f>YEAR(Table13[[#This Row],[Date]])</f>
        <v>2025</v>
      </c>
      <c r="D41" s="181">
        <f>Table13[[#This Row],[Date]]-DAY(Table13[[#This Row],[Date]])+1</f>
        <v>45778</v>
      </c>
      <c r="E41" s="167">
        <f t="shared" si="4"/>
        <v>31</v>
      </c>
      <c r="F41" s="170"/>
      <c r="G41" s="171"/>
      <c r="H41" s="171"/>
      <c r="I41" s="171"/>
      <c r="J41" s="171"/>
      <c r="K41" s="182"/>
      <c r="L41" s="171"/>
      <c r="M41" s="171">
        <f>IFERROR(_xlfn.XLOOKUP($A41,Input_Raw!$A:$A,Input_Raw!CG:CG),"")</f>
        <v>4.8151282051282047</v>
      </c>
      <c r="N41" s="171">
        <f>IFERROR(_xlfn.XLOOKUP($A41,Input_Raw!$A:$A,Input_Raw!CH:CH),"")</f>
        <v>0</v>
      </c>
      <c r="O41" s="183">
        <f t="shared" si="6"/>
        <v>0.92202489014423306</v>
      </c>
      <c r="P41" s="183">
        <f>IFERROR(1-SUMIF(WTG_BD!$B:$B,$A41,WTG_BD!$AB:$AB)/($AA41+SUMIF(WTG_BD!$B:$B,$A41,WTG_BD!$AB:$AB)),"")</f>
        <v>0.92202489014423306</v>
      </c>
      <c r="Q41" s="184">
        <f>IFERROR(1-SUMIF(IGA_BD!$B:$B,$A41,IGA_BD!$X:$X)/($AA41+SUMIF(IGA_BD!$B:$B,$A41,IGA_BD!$X:$X)),"")</f>
        <v>1</v>
      </c>
      <c r="R41" s="189">
        <f>IFERROR(1-SUMIF(Grid_BD!$B:$B,$A41,Grid_BD!$V:$V)/($AA41+SUMIF(Grid_BD!$B:$B,$A41,Grid_BD!$V:$V)),"")</f>
        <v>1</v>
      </c>
      <c r="S41" s="167"/>
      <c r="T41" s="184"/>
      <c r="U41" s="185"/>
      <c r="V41" s="167"/>
      <c r="W41" s="186">
        <f>IFERROR(Table13[[#This Row],[Mtr_Net_Exp (KWh)]]/(24*AR41*1000),"")</f>
        <v>0.17948717948717949</v>
      </c>
      <c r="X41" s="167">
        <f>IFERROR(_xlfn.XLOOKUP($A41,Input_Raw!$A:$A,Input_Raw!$CF:$CF),"")</f>
        <v>351123</v>
      </c>
      <c r="Y41" s="167">
        <f>IFERROR(_xlfn.XLOOKUP($A41,Input_Raw!$A:$A,Input_Raw!$CZ:$CZ),"")</f>
        <v>336000</v>
      </c>
      <c r="Z41" s="167">
        <f>IFERROR(_xlfn.XLOOKUP($A41,Input_Raw!$A:$A,Input_Raw!$DA:$DA),"")</f>
        <v>0</v>
      </c>
      <c r="AA41" s="169">
        <f t="shared" si="5"/>
        <v>336000</v>
      </c>
      <c r="AB41" s="167">
        <f>IFERROR(_xlfn.XLOOKUP($A41,Input_Raw!$A:$A,Input_Raw!$DG:$DG),"")</f>
        <v>78</v>
      </c>
      <c r="AC41" s="187">
        <f>IFERROR(_xlfn.XLOOKUP($D41,'Modelling New'!$D:$D,'Modelling New'!$J:$J),"")</f>
        <v>6.5666666666666664</v>
      </c>
      <c r="AD41" s="169">
        <f>IFERROR(_xlfn.XLOOKUP($D41,'Modelling New'!$D:$D,'Modelling New'!$T:$T)*1000,"")</f>
        <v>558388.39265938452</v>
      </c>
      <c r="AE41" s="186"/>
      <c r="AF41" s="186">
        <f>IFERROR(_xlfn.XLOOKUP($D41,'Modelling New'!$D:$D,'Modelling New'!$W:$W),"")</f>
        <v>0.29828439778813276</v>
      </c>
      <c r="AG41" s="186">
        <f>IFERROR(_xlfn.XLOOKUP($D41,'Modelling New'!$D:$D,'Modelling New'!$AE:$AE),"")</f>
        <v>0.96029999999999993</v>
      </c>
      <c r="AH41" s="186">
        <f>IFERROR(_xlfn.XLOOKUP($D41,'Modelling New'!$D:$D,'Modelling New'!$AF:$AF),"")</f>
        <v>0.995</v>
      </c>
      <c r="AI41" s="167">
        <f>IFERROR(_xlfn.XLOOKUP($A41,Input_Raw!$A:$A,Input_Raw!$DE:$DE),"")</f>
        <v>351.12</v>
      </c>
      <c r="AJ41" s="167"/>
      <c r="AK41" s="167"/>
      <c r="AL41" s="167"/>
      <c r="AM41" s="167"/>
      <c r="AN41" s="188">
        <f>IFERROR(_xlfn.XLOOKUP($A41,Input_Raw!$A:$A,Input_Raw!$DB:$DB),"")</f>
        <v>4.3070377047359498E-2</v>
      </c>
      <c r="AO41" s="186">
        <f>IFERROR((_xlfn.XLOOKUP($A41,'WTG Reactive Power'!$A:$A,'WTG Reactive Power'!$AR:$AR))/X41/1000,"")</f>
        <v>1.3698903233339884E-5</v>
      </c>
      <c r="AP41" s="186">
        <f>IFERROR(_xlfn.XLOOKUP($D41,'Modelling New'!$D:$D,'Modelling New'!$AK:$AK),"")</f>
        <v>0.05</v>
      </c>
      <c r="AQ41" s="186">
        <f>IFERROR(_xlfn.XLOOKUP($D41,'Modelling New'!$D:$D,'Modelling New'!$AL:$AL),"")</f>
        <v>0.05</v>
      </c>
      <c r="AR41">
        <f>IFERROR(_xlfn.XLOOKUP($D41,'Modelling New'!$D:$D,'Modelling New'!$N:$N),"")</f>
        <v>78</v>
      </c>
    </row>
    <row r="42" spans="1:44">
      <c r="A42" s="180">
        <f t="shared" si="7"/>
        <v>45785</v>
      </c>
      <c r="B42" s="169">
        <f>YEAR(Table13[[#This Row],[Date]])+IF(MONTH(Table13[[#This Row],[Date]])&gt;=4,1,0)</f>
        <v>2026</v>
      </c>
      <c r="C42" s="167">
        <f>YEAR(Table13[[#This Row],[Date]])</f>
        <v>2025</v>
      </c>
      <c r="D42" s="181">
        <f>Table13[[#This Row],[Date]]-DAY(Table13[[#This Row],[Date]])+1</f>
        <v>45778</v>
      </c>
      <c r="E42" s="167">
        <f t="shared" si="4"/>
        <v>31</v>
      </c>
      <c r="F42" s="170"/>
      <c r="G42" s="171"/>
      <c r="H42" s="171"/>
      <c r="I42" s="171"/>
      <c r="J42" s="171"/>
      <c r="K42" s="182"/>
      <c r="L42" s="171"/>
      <c r="M42" s="171">
        <f>IFERROR(_xlfn.XLOOKUP($A42,Input_Raw!$A:$A,Input_Raw!CG:CG),"")</f>
        <v>4.056923076923078</v>
      </c>
      <c r="N42" s="171">
        <f>IFERROR(_xlfn.XLOOKUP($A42,Input_Raw!$A:$A,Input_Raw!CH:CH),"")</f>
        <v>0</v>
      </c>
      <c r="O42" s="183">
        <f t="shared" si="6"/>
        <v>0.937766633305959</v>
      </c>
      <c r="P42" s="183">
        <f>IFERROR(1-SUMIF(WTG_BD!$B:$B,$A42,WTG_BD!$AB:$AB)/($AA42+SUMIF(WTG_BD!$B:$B,$A42,WTG_BD!$AB:$AB)),"")</f>
        <v>0.937766633305959</v>
      </c>
      <c r="Q42" s="184">
        <f>IFERROR(1-SUMIF(IGA_BD!$B:$B,$A42,IGA_BD!$X:$X)/($AA42+SUMIF(IGA_BD!$B:$B,$A42,IGA_BD!$X:$X)),"")</f>
        <v>1</v>
      </c>
      <c r="R42" s="189">
        <f>IFERROR(1-SUMIF(Grid_BD!$B:$B,$A42,Grid_BD!$V:$V)/($AA42+SUMIF(Grid_BD!$B:$B,$A42,Grid_BD!$V:$V)),"")</f>
        <v>1</v>
      </c>
      <c r="S42" s="167"/>
      <c r="T42" s="184"/>
      <c r="U42" s="185"/>
      <c r="V42" s="167"/>
      <c r="W42" s="186">
        <f>IFERROR(Table13[[#This Row],[Mtr_Net_Exp (KWh)]]/(24*AR42*1000),"")</f>
        <v>0.16602564102564102</v>
      </c>
      <c r="X42" s="167">
        <f>IFERROR(_xlfn.XLOOKUP($A42,Input_Raw!$A:$A,Input_Raw!$CF:$CF),"")</f>
        <v>315253</v>
      </c>
      <c r="Y42" s="167">
        <f>IFERROR(_xlfn.XLOOKUP($A42,Input_Raw!$A:$A,Input_Raw!$CZ:$CZ),"")</f>
        <v>310800</v>
      </c>
      <c r="Z42" s="167">
        <f>IFERROR(_xlfn.XLOOKUP($A42,Input_Raw!$A:$A,Input_Raw!$DA:$DA),"")</f>
        <v>0</v>
      </c>
      <c r="AA42" s="169">
        <f t="shared" si="5"/>
        <v>310800</v>
      </c>
      <c r="AB42" s="167">
        <f>IFERROR(_xlfn.XLOOKUP($A42,Input_Raw!$A:$A,Input_Raw!$DG:$DG),"")</f>
        <v>78</v>
      </c>
      <c r="AC42" s="187">
        <f>IFERROR(_xlfn.XLOOKUP($D42,'Modelling New'!$D:$D,'Modelling New'!$J:$J),"")</f>
        <v>6.5666666666666664</v>
      </c>
      <c r="AD42" s="169">
        <f>IFERROR(_xlfn.XLOOKUP($D42,'Modelling New'!$D:$D,'Modelling New'!$T:$T)*1000,"")</f>
        <v>558388.39265938452</v>
      </c>
      <c r="AE42" s="186"/>
      <c r="AF42" s="186">
        <f>IFERROR(_xlfn.XLOOKUP($D42,'Modelling New'!$D:$D,'Modelling New'!$W:$W),"")</f>
        <v>0.29828439778813276</v>
      </c>
      <c r="AG42" s="186">
        <f>IFERROR(_xlfn.XLOOKUP($D42,'Modelling New'!$D:$D,'Modelling New'!$AE:$AE),"")</f>
        <v>0.96029999999999993</v>
      </c>
      <c r="AH42" s="186">
        <f>IFERROR(_xlfn.XLOOKUP($D42,'Modelling New'!$D:$D,'Modelling New'!$AF:$AF),"")</f>
        <v>0.995</v>
      </c>
      <c r="AI42" s="167">
        <f>IFERROR(_xlfn.XLOOKUP($A42,Input_Raw!$A:$A,Input_Raw!$DE:$DE),"")</f>
        <v>315.25</v>
      </c>
      <c r="AJ42" s="167"/>
      <c r="AK42" s="167"/>
      <c r="AL42" s="167"/>
      <c r="AM42" s="167"/>
      <c r="AN42" s="188">
        <f>IFERROR(_xlfn.XLOOKUP($A42,Input_Raw!$A:$A,Input_Raw!$DB:$DB),"")</f>
        <v>1.4125162964349292E-2</v>
      </c>
      <c r="AO42" s="186">
        <f>IFERROR((_xlfn.XLOOKUP($A42,'WTG Reactive Power'!$A:$A,'WTG Reactive Power'!$AR:$AR))/X42/1000,"")</f>
        <v>1.1384507046721206E-5</v>
      </c>
      <c r="AP42" s="186">
        <f>IFERROR(_xlfn.XLOOKUP($D42,'Modelling New'!$D:$D,'Modelling New'!$AK:$AK),"")</f>
        <v>0.05</v>
      </c>
      <c r="AQ42" s="186">
        <f>IFERROR(_xlfn.XLOOKUP($D42,'Modelling New'!$D:$D,'Modelling New'!$AL:$AL),"")</f>
        <v>0.05</v>
      </c>
      <c r="AR42">
        <f>IFERROR(_xlfn.XLOOKUP($D42,'Modelling New'!$D:$D,'Modelling New'!$N:$N),"")</f>
        <v>78</v>
      </c>
    </row>
    <row r="43" spans="1:44">
      <c r="A43" s="180">
        <f t="shared" si="7"/>
        <v>45786</v>
      </c>
      <c r="B43" s="169">
        <f>YEAR(Table13[[#This Row],[Date]])+IF(MONTH(Table13[[#This Row],[Date]])&gt;=4,1,0)</f>
        <v>2026</v>
      </c>
      <c r="C43" s="167">
        <f>YEAR(Table13[[#This Row],[Date]])</f>
        <v>2025</v>
      </c>
      <c r="D43" s="181">
        <f>Table13[[#This Row],[Date]]-DAY(Table13[[#This Row],[Date]])+1</f>
        <v>45778</v>
      </c>
      <c r="E43" s="167">
        <f t="shared" si="4"/>
        <v>31</v>
      </c>
      <c r="F43" s="170"/>
      <c r="G43" s="171"/>
      <c r="H43" s="171"/>
      <c r="I43" s="171"/>
      <c r="J43" s="171"/>
      <c r="K43" s="182"/>
      <c r="L43" s="171"/>
      <c r="M43" s="171">
        <f>IFERROR(_xlfn.XLOOKUP($A43,Input_Raw!$A:$A,Input_Raw!CG:CG),"")</f>
        <v>3.885204939707056</v>
      </c>
      <c r="N43" s="171">
        <f>IFERROR(_xlfn.XLOOKUP($A43,Input_Raw!$A:$A,Input_Raw!CH:CH),"")</f>
        <v>0</v>
      </c>
      <c r="O43" s="183">
        <f t="shared" si="6"/>
        <v>0.93011290239716971</v>
      </c>
      <c r="P43" s="183">
        <f>IFERROR(1-SUMIF(WTG_BD!$B:$B,$A43,WTG_BD!$AB:$AB)/($AA43+SUMIF(WTG_BD!$B:$B,$A43,WTG_BD!$AB:$AB)),"")</f>
        <v>0.93011290239716971</v>
      </c>
      <c r="Q43" s="184">
        <f>IFERROR(1-SUMIF(IGA_BD!$B:$B,$A43,IGA_BD!$X:$X)/($AA43+SUMIF(IGA_BD!$B:$B,$A43,IGA_BD!$X:$X)),"")</f>
        <v>1</v>
      </c>
      <c r="R43" s="189">
        <f>IFERROR(1-SUMIF(Grid_BD!$B:$B,$A43,Grid_BD!$V:$V)/($AA43+SUMIF(Grid_BD!$B:$B,$A43,Grid_BD!$V:$V)),"")</f>
        <v>1</v>
      </c>
      <c r="S43" s="167"/>
      <c r="T43" s="184"/>
      <c r="U43" s="185"/>
      <c r="V43" s="167"/>
      <c r="W43" s="186">
        <f>IFERROR(Table13[[#This Row],[Mtr_Net_Exp (KWh)]]/(24*AR43*1000),"")</f>
        <v>7.3076923076923081E-2</v>
      </c>
      <c r="X43" s="167">
        <f>IFERROR(_xlfn.XLOOKUP($A43,Input_Raw!$A:$A,Input_Raw!$CF:$CF),"")</f>
        <v>144826</v>
      </c>
      <c r="Y43" s="167">
        <f>IFERROR(_xlfn.XLOOKUP($A43,Input_Raw!$A:$A,Input_Raw!$CZ:$CZ),"")</f>
        <v>141600</v>
      </c>
      <c r="Z43" s="167">
        <f>IFERROR(_xlfn.XLOOKUP($A43,Input_Raw!$A:$A,Input_Raw!$DA:$DA),"")</f>
        <v>4800</v>
      </c>
      <c r="AA43" s="169">
        <f t="shared" si="5"/>
        <v>136800</v>
      </c>
      <c r="AB43" s="167">
        <f>IFERROR(_xlfn.XLOOKUP($A43,Input_Raw!$A:$A,Input_Raw!$DG:$DG),"")</f>
        <v>78</v>
      </c>
      <c r="AC43" s="187">
        <f>IFERROR(_xlfn.XLOOKUP($D43,'Modelling New'!$D:$D,'Modelling New'!$J:$J),"")</f>
        <v>6.5666666666666664</v>
      </c>
      <c r="AD43" s="169">
        <f>IFERROR(_xlfn.XLOOKUP($D43,'Modelling New'!$D:$D,'Modelling New'!$T:$T)*1000,"")</f>
        <v>558388.39265938452</v>
      </c>
      <c r="AE43" s="186"/>
      <c r="AF43" s="186">
        <f>IFERROR(_xlfn.XLOOKUP($D43,'Modelling New'!$D:$D,'Modelling New'!$W:$W),"")</f>
        <v>0.29828439778813276</v>
      </c>
      <c r="AG43" s="186">
        <f>IFERROR(_xlfn.XLOOKUP($D43,'Modelling New'!$D:$D,'Modelling New'!$AE:$AE),"")</f>
        <v>0.96029999999999993</v>
      </c>
      <c r="AH43" s="186">
        <f>IFERROR(_xlfn.XLOOKUP($D43,'Modelling New'!$D:$D,'Modelling New'!$AF:$AF),"")</f>
        <v>0.995</v>
      </c>
      <c r="AI43" s="167">
        <f>IFERROR(_xlfn.XLOOKUP($A43,Input_Raw!$A:$A,Input_Raw!$DE:$DE),"")</f>
        <v>144.82</v>
      </c>
      <c r="AJ43" s="167"/>
      <c r="AK43" s="167"/>
      <c r="AL43" s="167"/>
      <c r="AM43" s="167"/>
      <c r="AN43" s="188">
        <f>IFERROR(_xlfn.XLOOKUP($A43,Input_Raw!$A:$A,Input_Raw!$DB:$DB),"")</f>
        <v>2.2275005869111908E-2</v>
      </c>
      <c r="AO43" s="186">
        <f>IFERROR((_xlfn.XLOOKUP($A43,'WTG Reactive Power'!$A:$A,'WTG Reactive Power'!$AR:$AR))/X43/1000,"")</f>
        <v>1.0781213318050627E-4</v>
      </c>
      <c r="AP43" s="186">
        <f>IFERROR(_xlfn.XLOOKUP($D43,'Modelling New'!$D:$D,'Modelling New'!$AK:$AK),"")</f>
        <v>0.05</v>
      </c>
      <c r="AQ43" s="186">
        <f>IFERROR(_xlfn.XLOOKUP($D43,'Modelling New'!$D:$D,'Modelling New'!$AL:$AL),"")</f>
        <v>0.05</v>
      </c>
      <c r="AR43">
        <f>IFERROR(_xlfn.XLOOKUP($D43,'Modelling New'!$D:$D,'Modelling New'!$N:$N),"")</f>
        <v>78</v>
      </c>
    </row>
    <row r="44" spans="1:44">
      <c r="A44" s="180">
        <f t="shared" si="7"/>
        <v>45787</v>
      </c>
      <c r="B44" s="169">
        <f>YEAR(Table13[[#This Row],[Date]])+IF(MONTH(Table13[[#This Row],[Date]])&gt;=4,1,0)</f>
        <v>2026</v>
      </c>
      <c r="C44" s="167">
        <f>YEAR(Table13[[#This Row],[Date]])</f>
        <v>2025</v>
      </c>
      <c r="D44" s="181">
        <f>Table13[[#This Row],[Date]]-DAY(Table13[[#This Row],[Date]])+1</f>
        <v>45778</v>
      </c>
      <c r="E44" s="167">
        <f t="shared" si="4"/>
        <v>31</v>
      </c>
      <c r="F44" s="170"/>
      <c r="G44" s="171"/>
      <c r="H44" s="171"/>
      <c r="I44" s="171"/>
      <c r="J44" s="171"/>
      <c r="K44" s="182"/>
      <c r="L44" s="171"/>
      <c r="M44" s="171">
        <f>IFERROR(_xlfn.XLOOKUP($A44,Input_Raw!$A:$A,Input_Raw!CG:CG),"")</f>
        <v>4.2369230769230759</v>
      </c>
      <c r="N44" s="171">
        <f>IFERROR(_xlfn.XLOOKUP($A44,Input_Raw!$A:$A,Input_Raw!CH:CH),"")</f>
        <v>0</v>
      </c>
      <c r="O44" s="183">
        <f t="shared" si="6"/>
        <v>0.93814888254982598</v>
      </c>
      <c r="P44" s="183">
        <f>IFERROR(1-SUMIF(WTG_BD!$B:$B,$A44,WTG_BD!$AB:$AB)/($AA44+SUMIF(WTG_BD!$B:$B,$A44,WTG_BD!$AB:$AB)),"")</f>
        <v>0.93814888254982598</v>
      </c>
      <c r="Q44" s="184">
        <f>IFERROR(1-SUMIF(IGA_BD!$B:$B,$A44,IGA_BD!$X:$X)/($AA44+SUMIF(IGA_BD!$B:$B,$A44,IGA_BD!$X:$X)),"")</f>
        <v>1</v>
      </c>
      <c r="R44" s="189">
        <f>IFERROR(1-SUMIF(Grid_BD!$B:$B,$A44,Grid_BD!$V:$V)/($AA44+SUMIF(Grid_BD!$B:$B,$A44,Grid_BD!$V:$V)),"")</f>
        <v>1</v>
      </c>
      <c r="S44" s="167"/>
      <c r="T44" s="184"/>
      <c r="U44" s="185"/>
      <c r="V44" s="167"/>
      <c r="W44" s="186">
        <f>IFERROR(Table13[[#This Row],[Mtr_Net_Exp (KWh)]]/(24*AR44*1000),"")</f>
        <v>0.10064102564102564</v>
      </c>
      <c r="X44" s="167">
        <f>IFERROR(_xlfn.XLOOKUP($A44,Input_Raw!$A:$A,Input_Raw!$CF:$CF),"")</f>
        <v>194224</v>
      </c>
      <c r="Y44" s="167">
        <f>IFERROR(_xlfn.XLOOKUP($A44,Input_Raw!$A:$A,Input_Raw!$CZ:$CZ),"")</f>
        <v>192000</v>
      </c>
      <c r="Z44" s="167">
        <f>IFERROR(_xlfn.XLOOKUP($A44,Input_Raw!$A:$A,Input_Raw!$DA:$DA),"")</f>
        <v>3600</v>
      </c>
      <c r="AA44" s="169">
        <f t="shared" si="5"/>
        <v>188400</v>
      </c>
      <c r="AB44" s="167">
        <f>IFERROR(_xlfn.XLOOKUP($A44,Input_Raw!$A:$A,Input_Raw!$DG:$DG),"")</f>
        <v>78</v>
      </c>
      <c r="AC44" s="187">
        <f>IFERROR(_xlfn.XLOOKUP($D44,'Modelling New'!$D:$D,'Modelling New'!$J:$J),"")</f>
        <v>6.5666666666666664</v>
      </c>
      <c r="AD44" s="169">
        <f>IFERROR(_xlfn.XLOOKUP($D44,'Modelling New'!$D:$D,'Modelling New'!$T:$T)*1000,"")</f>
        <v>558388.39265938452</v>
      </c>
      <c r="AE44" s="186"/>
      <c r="AF44" s="186">
        <f>IFERROR(_xlfn.XLOOKUP($D44,'Modelling New'!$D:$D,'Modelling New'!$W:$W),"")</f>
        <v>0.29828439778813276</v>
      </c>
      <c r="AG44" s="186">
        <f>IFERROR(_xlfn.XLOOKUP($D44,'Modelling New'!$D:$D,'Modelling New'!$AE:$AE),"")</f>
        <v>0.96029999999999993</v>
      </c>
      <c r="AH44" s="186">
        <f>IFERROR(_xlfn.XLOOKUP($D44,'Modelling New'!$D:$D,'Modelling New'!$AF:$AF),"")</f>
        <v>0.995</v>
      </c>
      <c r="AI44" s="167">
        <f>IFERROR(_xlfn.XLOOKUP($A44,Input_Raw!$A:$A,Input_Raw!$DE:$DE),"")</f>
        <v>194.22</v>
      </c>
      <c r="AJ44" s="167"/>
      <c r="AK44" s="167"/>
      <c r="AL44" s="167"/>
      <c r="AM44" s="167"/>
      <c r="AN44" s="188">
        <f>IFERROR(_xlfn.XLOOKUP($A44,Input_Raw!$A:$A,Input_Raw!$DB:$DB),"")</f>
        <v>1.1450696103468161E-2</v>
      </c>
      <c r="AO44" s="186">
        <f>IFERROR((_xlfn.XLOOKUP($A44,'WTG Reactive Power'!$A:$A,'WTG Reactive Power'!$AR:$AR))/X44/1000,"")</f>
        <v>5.5435991432572697E-5</v>
      </c>
      <c r="AP44" s="186">
        <f>IFERROR(_xlfn.XLOOKUP($D44,'Modelling New'!$D:$D,'Modelling New'!$AK:$AK),"")</f>
        <v>0.05</v>
      </c>
      <c r="AQ44" s="186">
        <f>IFERROR(_xlfn.XLOOKUP($D44,'Modelling New'!$D:$D,'Modelling New'!$AL:$AL),"")</f>
        <v>0.05</v>
      </c>
      <c r="AR44">
        <f>IFERROR(_xlfn.XLOOKUP($D44,'Modelling New'!$D:$D,'Modelling New'!$N:$N),"")</f>
        <v>78</v>
      </c>
    </row>
    <row r="45" spans="1:44">
      <c r="A45" s="180">
        <f t="shared" si="7"/>
        <v>45788</v>
      </c>
      <c r="B45" s="169">
        <f>YEAR(Table13[[#This Row],[Date]])+IF(MONTH(Table13[[#This Row],[Date]])&gt;=4,1,0)</f>
        <v>2026</v>
      </c>
      <c r="C45" s="167">
        <f>YEAR(Table13[[#This Row],[Date]])</f>
        <v>2025</v>
      </c>
      <c r="D45" s="181">
        <f>Table13[[#This Row],[Date]]-DAY(Table13[[#This Row],[Date]])+1</f>
        <v>45778</v>
      </c>
      <c r="E45" s="167">
        <f t="shared" si="4"/>
        <v>31</v>
      </c>
      <c r="F45" s="170"/>
      <c r="G45" s="171"/>
      <c r="H45" s="171"/>
      <c r="I45" s="171"/>
      <c r="J45" s="171"/>
      <c r="K45" s="182"/>
      <c r="L45" s="171"/>
      <c r="M45" s="171">
        <f>IFERROR(_xlfn.XLOOKUP($A45,Input_Raw!$A:$A,Input_Raw!CG:CG),"")</f>
        <v>4.8151282051282047</v>
      </c>
      <c r="N45" s="171">
        <f>IFERROR(_xlfn.XLOOKUP($A45,Input_Raw!$A:$A,Input_Raw!CH:CH),"")</f>
        <v>0</v>
      </c>
      <c r="O45" s="183">
        <f t="shared" si="6"/>
        <v>0.90736641589653733</v>
      </c>
      <c r="P45" s="183">
        <f>IFERROR(1-SUMIF(WTG_BD!$B:$B,$A45,WTG_BD!$AB:$AB)/($AA45+SUMIF(WTG_BD!$B:$B,$A45,WTG_BD!$AB:$AB)),"")</f>
        <v>0.90736641589653733</v>
      </c>
      <c r="Q45" s="184">
        <f>IFERROR(1-SUMIF(IGA_BD!$B:$B,$A45,IGA_BD!$X:$X)/($AA45+SUMIF(IGA_BD!$B:$B,$A45,IGA_BD!$X:$X)),"")</f>
        <v>1</v>
      </c>
      <c r="R45" s="189">
        <f>IFERROR(1-SUMIF(Grid_BD!$B:$B,$A45,Grid_BD!$V:$V)/($AA45+SUMIF(Grid_BD!$B:$B,$A45,Grid_BD!$V:$V)),"")</f>
        <v>1</v>
      </c>
      <c r="S45" s="167"/>
      <c r="T45" s="184"/>
      <c r="U45" s="185"/>
      <c r="V45" s="167"/>
      <c r="W45" s="186">
        <f>IFERROR(Table13[[#This Row],[Mtr_Net_Exp (KWh)]]/(24*AR45*1000),"")</f>
        <v>0.17820512820512821</v>
      </c>
      <c r="X45" s="167">
        <f>IFERROR(_xlfn.XLOOKUP($A45,Input_Raw!$A:$A,Input_Raw!$CF:$CF),"")</f>
        <v>338208</v>
      </c>
      <c r="Y45" s="167">
        <f>IFERROR(_xlfn.XLOOKUP($A45,Input_Raw!$A:$A,Input_Raw!$CZ:$CZ),"")</f>
        <v>334800</v>
      </c>
      <c r="Z45" s="167">
        <f>IFERROR(_xlfn.XLOOKUP($A45,Input_Raw!$A:$A,Input_Raw!$DA:$DA),"")</f>
        <v>1200</v>
      </c>
      <c r="AA45" s="169">
        <f t="shared" si="5"/>
        <v>333600</v>
      </c>
      <c r="AB45" s="167">
        <f>IFERROR(_xlfn.XLOOKUP($A45,Input_Raw!$A:$A,Input_Raw!$DG:$DG),"")</f>
        <v>78</v>
      </c>
      <c r="AC45" s="187">
        <f>IFERROR(_xlfn.XLOOKUP($D45,'Modelling New'!$D:$D,'Modelling New'!$J:$J),"")</f>
        <v>6.5666666666666664</v>
      </c>
      <c r="AD45" s="169">
        <f>IFERROR(_xlfn.XLOOKUP($D45,'Modelling New'!$D:$D,'Modelling New'!$T:$T)*1000,"")</f>
        <v>558388.39265938452</v>
      </c>
      <c r="AE45" s="186"/>
      <c r="AF45" s="186">
        <f>IFERROR(_xlfn.XLOOKUP($D45,'Modelling New'!$D:$D,'Modelling New'!$W:$W),"")</f>
        <v>0.29828439778813276</v>
      </c>
      <c r="AG45" s="186">
        <f>IFERROR(_xlfn.XLOOKUP($D45,'Modelling New'!$D:$D,'Modelling New'!$AE:$AE),"")</f>
        <v>0.96029999999999993</v>
      </c>
      <c r="AH45" s="186">
        <f>IFERROR(_xlfn.XLOOKUP($D45,'Modelling New'!$D:$D,'Modelling New'!$AF:$AF),"")</f>
        <v>0.995</v>
      </c>
      <c r="AI45" s="167">
        <f>IFERROR(_xlfn.XLOOKUP($A45,Input_Raw!$A:$A,Input_Raw!$DE:$DE),"")</f>
        <v>338.2</v>
      </c>
      <c r="AJ45" s="167"/>
      <c r="AK45" s="167"/>
      <c r="AL45" s="167"/>
      <c r="AM45" s="167"/>
      <c r="AN45" s="188">
        <f>IFERROR(_xlfn.XLOOKUP($A45,Input_Raw!$A:$A,Input_Raw!$DB:$DB),"")</f>
        <v>1.0076639227930784E-2</v>
      </c>
      <c r="AO45" s="186">
        <f>IFERROR((_xlfn.XLOOKUP($A45,'WTG Reactive Power'!$A:$A,'WTG Reactive Power'!$AR:$AR))/X45/1000,"")</f>
        <v>1.772282145898382E-5</v>
      </c>
      <c r="AP45" s="186">
        <f>IFERROR(_xlfn.XLOOKUP($D45,'Modelling New'!$D:$D,'Modelling New'!$AK:$AK),"")</f>
        <v>0.05</v>
      </c>
      <c r="AQ45" s="186">
        <f>IFERROR(_xlfn.XLOOKUP($D45,'Modelling New'!$D:$D,'Modelling New'!$AL:$AL),"")</f>
        <v>0.05</v>
      </c>
      <c r="AR45">
        <f>IFERROR(_xlfn.XLOOKUP($D45,'Modelling New'!$D:$D,'Modelling New'!$N:$N),"")</f>
        <v>78</v>
      </c>
    </row>
    <row r="46" spans="1:44">
      <c r="A46" s="180">
        <f t="shared" si="7"/>
        <v>45789</v>
      </c>
      <c r="B46" s="169">
        <f>YEAR(Table13[[#This Row],[Date]])+IF(MONTH(Table13[[#This Row],[Date]])&gt;=4,1,0)</f>
        <v>2026</v>
      </c>
      <c r="C46" s="167">
        <f>YEAR(Table13[[#This Row],[Date]])</f>
        <v>2025</v>
      </c>
      <c r="D46" s="181">
        <f>Table13[[#This Row],[Date]]-DAY(Table13[[#This Row],[Date]])+1</f>
        <v>45778</v>
      </c>
      <c r="E46" s="167">
        <f t="shared" si="4"/>
        <v>31</v>
      </c>
      <c r="F46" s="170"/>
      <c r="G46" s="171"/>
      <c r="H46" s="171"/>
      <c r="I46" s="171"/>
      <c r="J46" s="171"/>
      <c r="K46" s="182"/>
      <c r="L46" s="171"/>
      <c r="M46" s="171">
        <f>IFERROR(_xlfn.XLOOKUP($A46,Input_Raw!$A:$A,Input_Raw!CG:CG),"")</f>
        <v>3.5474358974358982</v>
      </c>
      <c r="N46" s="171">
        <f>IFERROR(_xlfn.XLOOKUP($A46,Input_Raw!$A:$A,Input_Raw!CH:CH),"")</f>
        <v>0</v>
      </c>
      <c r="O46" s="183">
        <f t="shared" si="6"/>
        <v>0.88036995855850975</v>
      </c>
      <c r="P46" s="183">
        <f>IFERROR(1-SUMIF(WTG_BD!$B:$B,$A46,WTG_BD!$AB:$AB)/($AA46+SUMIF(WTG_BD!$B:$B,$A46,WTG_BD!$AB:$AB)),"")</f>
        <v>0.88311103718405826</v>
      </c>
      <c r="Q46" s="184">
        <f>IFERROR(1-SUMIF(IGA_BD!$B:$B,$A46,IGA_BD!$X:$X)/($AA46+SUMIF(IGA_BD!$B:$B,$A46,IGA_BD!$X:$X)),"")</f>
        <v>0.99689611100967679</v>
      </c>
      <c r="R46" s="189">
        <f>IFERROR(1-SUMIF(Grid_BD!$B:$B,$A46,Grid_BD!$V:$V)/($AA46+SUMIF(Grid_BD!$B:$B,$A46,Grid_BD!$V:$V)),"")</f>
        <v>1</v>
      </c>
      <c r="S46" s="167"/>
      <c r="T46" s="184"/>
      <c r="U46" s="185"/>
      <c r="V46" s="167"/>
      <c r="W46" s="186">
        <f>IFERROR(Table13[[#This Row],[Mtr_Net_Exp (KWh)]]/(24*AR46*1000),"")</f>
        <v>5.8333333333333334E-2</v>
      </c>
      <c r="X46" s="167">
        <f>IFERROR(_xlfn.XLOOKUP($A46,Input_Raw!$A:$A,Input_Raw!$CF:$CF),"")</f>
        <v>112662</v>
      </c>
      <c r="Y46" s="167">
        <f>IFERROR(_xlfn.XLOOKUP($A46,Input_Raw!$A:$A,Input_Raw!$CZ:$CZ),"")</f>
        <v>111600</v>
      </c>
      <c r="Z46" s="167">
        <f>IFERROR(_xlfn.XLOOKUP($A46,Input_Raw!$A:$A,Input_Raw!$DA:$DA),"")</f>
        <v>2400</v>
      </c>
      <c r="AA46" s="169">
        <f t="shared" si="5"/>
        <v>109200</v>
      </c>
      <c r="AB46" s="167">
        <f>IFERROR(_xlfn.XLOOKUP($A46,Input_Raw!$A:$A,Input_Raw!$DG:$DG),"")</f>
        <v>78</v>
      </c>
      <c r="AC46" s="187">
        <f>IFERROR(_xlfn.XLOOKUP($D46,'Modelling New'!$D:$D,'Modelling New'!$J:$J),"")</f>
        <v>6.5666666666666664</v>
      </c>
      <c r="AD46" s="169">
        <f>IFERROR(_xlfn.XLOOKUP($D46,'Modelling New'!$D:$D,'Modelling New'!$T:$T)*1000,"")</f>
        <v>558388.39265938452</v>
      </c>
      <c r="AE46" s="186"/>
      <c r="AF46" s="186">
        <f>IFERROR(_xlfn.XLOOKUP($D46,'Modelling New'!$D:$D,'Modelling New'!$W:$W),"")</f>
        <v>0.29828439778813276</v>
      </c>
      <c r="AG46" s="186">
        <f>IFERROR(_xlfn.XLOOKUP($D46,'Modelling New'!$D:$D,'Modelling New'!$AE:$AE),"")</f>
        <v>0.96029999999999993</v>
      </c>
      <c r="AH46" s="186">
        <f>IFERROR(_xlfn.XLOOKUP($D46,'Modelling New'!$D:$D,'Modelling New'!$AF:$AF),"")</f>
        <v>0.995</v>
      </c>
      <c r="AI46" s="167">
        <f>IFERROR(_xlfn.XLOOKUP($A46,Input_Raw!$A:$A,Input_Raw!$DE:$DE),"")</f>
        <v>112.66</v>
      </c>
      <c r="AJ46" s="167"/>
      <c r="AK46" s="167"/>
      <c r="AL46" s="167"/>
      <c r="AM46" s="167"/>
      <c r="AN46" s="188">
        <f>IFERROR(_xlfn.XLOOKUP($A46,Input_Raw!$A:$A,Input_Raw!$DB:$DB),"")</f>
        <v>9.426425946636896E-3</v>
      </c>
      <c r="AO46" s="186">
        <f>IFERROR((_xlfn.XLOOKUP($A46,'WTG Reactive Power'!$A:$A,'WTG Reactive Power'!$AR:$AR))/X46/1000,"")</f>
        <v>5.1765457740853173E-5</v>
      </c>
      <c r="AP46" s="186">
        <f>IFERROR(_xlfn.XLOOKUP($D46,'Modelling New'!$D:$D,'Modelling New'!$AK:$AK),"")</f>
        <v>0.05</v>
      </c>
      <c r="AQ46" s="186">
        <f>IFERROR(_xlfn.XLOOKUP($D46,'Modelling New'!$D:$D,'Modelling New'!$AL:$AL),"")</f>
        <v>0.05</v>
      </c>
      <c r="AR46">
        <f>IFERROR(_xlfn.XLOOKUP($D46,'Modelling New'!$D:$D,'Modelling New'!$N:$N),"")</f>
        <v>78</v>
      </c>
    </row>
    <row r="47" spans="1:44">
      <c r="A47" s="180">
        <f t="shared" si="7"/>
        <v>45790</v>
      </c>
      <c r="B47" s="169">
        <f>YEAR(Table13[[#This Row],[Date]])+IF(MONTH(Table13[[#This Row],[Date]])&gt;=4,1,0)</f>
        <v>2026</v>
      </c>
      <c r="C47" s="167">
        <f>YEAR(Table13[[#This Row],[Date]])</f>
        <v>2025</v>
      </c>
      <c r="D47" s="181">
        <f>Table13[[#This Row],[Date]]-DAY(Table13[[#This Row],[Date]])+1</f>
        <v>45778</v>
      </c>
      <c r="E47" s="167">
        <f t="shared" si="4"/>
        <v>31</v>
      </c>
      <c r="F47" s="170"/>
      <c r="G47" s="171"/>
      <c r="H47" s="171"/>
      <c r="I47" s="171"/>
      <c r="J47" s="171"/>
      <c r="K47" s="182"/>
      <c r="L47" s="171"/>
      <c r="M47" s="171">
        <f>IFERROR(_xlfn.XLOOKUP($A47,Input_Raw!$A:$A,Input_Raw!CG:CG),"")</f>
        <v>4.8055263157894732</v>
      </c>
      <c r="N47" s="171">
        <f>IFERROR(_xlfn.XLOOKUP($A47,Input_Raw!$A:$A,Input_Raw!CH:CH),"")</f>
        <v>0</v>
      </c>
      <c r="O47" s="183">
        <f t="shared" si="6"/>
        <v>0.92613165404344744</v>
      </c>
      <c r="P47" s="183">
        <f>IFERROR(1-SUMIF(WTG_BD!$B:$B,$A47,WTG_BD!$AB:$AB)/($AA47+SUMIF(WTG_BD!$B:$B,$A47,WTG_BD!$AB:$AB)),"")</f>
        <v>0.92613165404344744</v>
      </c>
      <c r="Q47" s="184">
        <f>IFERROR(1-SUMIF(IGA_BD!$B:$B,$A47,IGA_BD!$X:$X)/($AA47+SUMIF(IGA_BD!$B:$B,$A47,IGA_BD!$X:$X)),"")</f>
        <v>1</v>
      </c>
      <c r="R47" s="189">
        <f>IFERROR(1-SUMIF(Grid_BD!$B:$B,$A47,Grid_BD!$V:$V)/($AA47+SUMIF(Grid_BD!$B:$B,$A47,Grid_BD!$V:$V)),"")</f>
        <v>1</v>
      </c>
      <c r="S47" s="167"/>
      <c r="T47" s="184"/>
      <c r="U47" s="185"/>
      <c r="V47" s="167"/>
      <c r="W47" s="186">
        <f>IFERROR(Table13[[#This Row],[Mtr_Net_Exp (KWh)]]/(24*AR47*1000),"")</f>
        <v>0.10512820512820513</v>
      </c>
      <c r="X47" s="167">
        <f>IFERROR(_xlfn.XLOOKUP($A47,Input_Raw!$A:$A,Input_Raw!$CF:$CF),"")</f>
        <v>205550</v>
      </c>
      <c r="Y47" s="167">
        <f>IFERROR(_xlfn.XLOOKUP($A47,Input_Raw!$A:$A,Input_Raw!$CZ:$CZ),"")</f>
        <v>201600</v>
      </c>
      <c r="Z47" s="167">
        <f>IFERROR(_xlfn.XLOOKUP($A47,Input_Raw!$A:$A,Input_Raw!$DA:$DA),"")</f>
        <v>4800</v>
      </c>
      <c r="AA47" s="169">
        <f t="shared" si="5"/>
        <v>196800</v>
      </c>
      <c r="AB47" s="167">
        <f>IFERROR(_xlfn.XLOOKUP($A47,Input_Raw!$A:$A,Input_Raw!$DG:$DG),"")</f>
        <v>78</v>
      </c>
      <c r="AC47" s="187">
        <f>IFERROR(_xlfn.XLOOKUP($D47,'Modelling New'!$D:$D,'Modelling New'!$J:$J),"")</f>
        <v>6.5666666666666664</v>
      </c>
      <c r="AD47" s="169">
        <f>IFERROR(_xlfn.XLOOKUP($D47,'Modelling New'!$D:$D,'Modelling New'!$T:$T)*1000,"")</f>
        <v>558388.39265938452</v>
      </c>
      <c r="AE47" s="186"/>
      <c r="AF47" s="186">
        <f>IFERROR(_xlfn.XLOOKUP($D47,'Modelling New'!$D:$D,'Modelling New'!$W:$W),"")</f>
        <v>0.29828439778813276</v>
      </c>
      <c r="AG47" s="186">
        <f>IFERROR(_xlfn.XLOOKUP($D47,'Modelling New'!$D:$D,'Modelling New'!$AE:$AE),"")</f>
        <v>0.96029999999999993</v>
      </c>
      <c r="AH47" s="186">
        <f>IFERROR(_xlfn.XLOOKUP($D47,'Modelling New'!$D:$D,'Modelling New'!$AF:$AF),"")</f>
        <v>0.995</v>
      </c>
      <c r="AI47" s="167">
        <f>IFERROR(_xlfn.XLOOKUP($A47,Input_Raw!$A:$A,Input_Raw!$DE:$DE),"")</f>
        <v>205.55</v>
      </c>
      <c r="AJ47" s="167"/>
      <c r="AK47" s="167"/>
      <c r="AL47" s="167"/>
      <c r="AM47" s="167"/>
      <c r="AN47" s="188">
        <f>IFERROR(_xlfn.XLOOKUP($A47,Input_Raw!$A:$A,Input_Raw!$DB:$DB),"")</f>
        <v>1.9216735587448297E-2</v>
      </c>
      <c r="AO47" s="186">
        <f>IFERROR((_xlfn.XLOOKUP($A47,'WTG Reactive Power'!$A:$A,'WTG Reactive Power'!$AR:$AR))/X47/1000,"")</f>
        <v>4.0861104354171735E-5</v>
      </c>
      <c r="AP47" s="186">
        <f>IFERROR(_xlfn.XLOOKUP($D47,'Modelling New'!$D:$D,'Modelling New'!$AK:$AK),"")</f>
        <v>0.05</v>
      </c>
      <c r="AQ47" s="186">
        <f>IFERROR(_xlfn.XLOOKUP($D47,'Modelling New'!$D:$D,'Modelling New'!$AL:$AL),"")</f>
        <v>0.05</v>
      </c>
      <c r="AR47">
        <f>IFERROR(_xlfn.XLOOKUP($D47,'Modelling New'!$D:$D,'Modelling New'!$N:$N),"")</f>
        <v>78</v>
      </c>
    </row>
    <row r="48" spans="1:44">
      <c r="A48" s="180">
        <f t="shared" si="7"/>
        <v>45791</v>
      </c>
      <c r="B48" s="169">
        <f>YEAR(Table13[[#This Row],[Date]])+IF(MONTH(Table13[[#This Row],[Date]])&gt;=4,1,0)</f>
        <v>2026</v>
      </c>
      <c r="C48" s="167">
        <f>YEAR(Table13[[#This Row],[Date]])</f>
        <v>2025</v>
      </c>
      <c r="D48" s="181">
        <f>Table13[[#This Row],[Date]]-DAY(Table13[[#This Row],[Date]])+1</f>
        <v>45778</v>
      </c>
      <c r="E48" s="167">
        <f t="shared" si="4"/>
        <v>31</v>
      </c>
      <c r="F48" s="170"/>
      <c r="G48" s="171"/>
      <c r="H48" s="171"/>
      <c r="I48" s="171"/>
      <c r="J48" s="171"/>
      <c r="K48" s="182"/>
      <c r="L48" s="171"/>
      <c r="M48" s="171">
        <f>IFERROR(_xlfn.XLOOKUP($A48,Input_Raw!$A:$A,Input_Raw!CG:CG),"")</f>
        <v>3.4951282051282053</v>
      </c>
      <c r="N48" s="171">
        <f>IFERROR(_xlfn.XLOOKUP($A48,Input_Raw!$A:$A,Input_Raw!CH:CH),"")</f>
        <v>0</v>
      </c>
      <c r="O48" s="183">
        <f t="shared" si="6"/>
        <v>0.89492402156729256</v>
      </c>
      <c r="P48" s="183">
        <f>IFERROR(1-SUMIF(WTG_BD!$B:$B,$A48,WTG_BD!$AB:$AB)/($AA48+SUMIF(WTG_BD!$B:$B,$A48,WTG_BD!$AB:$AB)),"")</f>
        <v>0.89492402156729256</v>
      </c>
      <c r="Q48" s="184">
        <f>IFERROR(1-SUMIF(IGA_BD!$B:$B,$A48,IGA_BD!$X:$X)/($AA48+SUMIF(IGA_BD!$B:$B,$A48,IGA_BD!$X:$X)),"")</f>
        <v>1</v>
      </c>
      <c r="R48" s="189">
        <f>IFERROR(1-SUMIF(Grid_BD!$B:$B,$A48,Grid_BD!$V:$V)/($AA48+SUMIF(Grid_BD!$B:$B,$A48,Grid_BD!$V:$V)),"")</f>
        <v>1</v>
      </c>
      <c r="S48" s="167"/>
      <c r="T48" s="184"/>
      <c r="U48" s="185"/>
      <c r="V48" s="167"/>
      <c r="W48" s="186">
        <f>IFERROR(Table13[[#This Row],[Mtr_Net_Exp (KWh)]]/(24*AR48*1000),"")</f>
        <v>6.9871794871794873E-2</v>
      </c>
      <c r="X48" s="167">
        <f>IFERROR(_xlfn.XLOOKUP($A48,Input_Raw!$A:$A,Input_Raw!$CF:$CF),"")</f>
        <v>139230</v>
      </c>
      <c r="Y48" s="167">
        <f>IFERROR(_xlfn.XLOOKUP($A48,Input_Raw!$A:$A,Input_Raw!$CZ:$CZ),"")</f>
        <v>135600</v>
      </c>
      <c r="Z48" s="167">
        <f>IFERROR(_xlfn.XLOOKUP($A48,Input_Raw!$A:$A,Input_Raw!$DA:$DA),"")</f>
        <v>4800</v>
      </c>
      <c r="AA48" s="169">
        <f t="shared" si="5"/>
        <v>130800</v>
      </c>
      <c r="AB48" s="167">
        <f>IFERROR(_xlfn.XLOOKUP($A48,Input_Raw!$A:$A,Input_Raw!$DG:$DG),"")</f>
        <v>78</v>
      </c>
      <c r="AC48" s="187">
        <f>IFERROR(_xlfn.XLOOKUP($D48,'Modelling New'!$D:$D,'Modelling New'!$J:$J),"")</f>
        <v>6.5666666666666664</v>
      </c>
      <c r="AD48" s="169">
        <f>IFERROR(_xlfn.XLOOKUP($D48,'Modelling New'!$D:$D,'Modelling New'!$T:$T)*1000,"")</f>
        <v>558388.39265938452</v>
      </c>
      <c r="AE48" s="186"/>
      <c r="AF48" s="186">
        <f>IFERROR(_xlfn.XLOOKUP($D48,'Modelling New'!$D:$D,'Modelling New'!$W:$W),"")</f>
        <v>0.29828439778813276</v>
      </c>
      <c r="AG48" s="186">
        <f>IFERROR(_xlfn.XLOOKUP($D48,'Modelling New'!$D:$D,'Modelling New'!$AE:$AE),"")</f>
        <v>0.96029999999999993</v>
      </c>
      <c r="AH48" s="186">
        <f>IFERROR(_xlfn.XLOOKUP($D48,'Modelling New'!$D:$D,'Modelling New'!$AF:$AF),"")</f>
        <v>0.995</v>
      </c>
      <c r="AI48" s="167">
        <f>IFERROR(_xlfn.XLOOKUP($A48,Input_Raw!$A:$A,Input_Raw!$DE:$DE),"")</f>
        <v>139.22999999999999</v>
      </c>
      <c r="AJ48" s="167"/>
      <c r="AK48" s="167"/>
      <c r="AL48" s="167"/>
      <c r="AM48" s="167"/>
      <c r="AN48" s="188">
        <f>IFERROR(_xlfn.XLOOKUP($A48,Input_Raw!$A:$A,Input_Raw!$DB:$DB),"")</f>
        <v>2.6071967248437855E-2</v>
      </c>
      <c r="AO48" s="186">
        <f>IFERROR((_xlfn.XLOOKUP($A48,'WTG Reactive Power'!$A:$A,'WTG Reactive Power'!$AR:$AR))/X48/1000,"")</f>
        <v>8.3775048480930821E-5</v>
      </c>
      <c r="AP48" s="186">
        <f>IFERROR(_xlfn.XLOOKUP($D48,'Modelling New'!$D:$D,'Modelling New'!$AK:$AK),"")</f>
        <v>0.05</v>
      </c>
      <c r="AQ48" s="186">
        <f>IFERROR(_xlfn.XLOOKUP($D48,'Modelling New'!$D:$D,'Modelling New'!$AL:$AL),"")</f>
        <v>0.05</v>
      </c>
      <c r="AR48">
        <f>IFERROR(_xlfn.XLOOKUP($D48,'Modelling New'!$D:$D,'Modelling New'!$N:$N),"")</f>
        <v>78</v>
      </c>
    </row>
    <row r="49" spans="1:44">
      <c r="A49" s="180">
        <f t="shared" si="7"/>
        <v>45792</v>
      </c>
      <c r="B49" s="169">
        <f>YEAR(Table13[[#This Row],[Date]])+IF(MONTH(Table13[[#This Row],[Date]])&gt;=4,1,0)</f>
        <v>2026</v>
      </c>
      <c r="C49" s="167">
        <f>YEAR(Table13[[#This Row],[Date]])</f>
        <v>2025</v>
      </c>
      <c r="D49" s="181">
        <f>Table13[[#This Row],[Date]]-DAY(Table13[[#This Row],[Date]])+1</f>
        <v>45778</v>
      </c>
      <c r="E49" s="167">
        <f t="shared" si="4"/>
        <v>31</v>
      </c>
      <c r="F49" s="170"/>
      <c r="G49" s="171"/>
      <c r="H49" s="171"/>
      <c r="I49" s="171"/>
      <c r="J49" s="171"/>
      <c r="K49" s="182"/>
      <c r="L49" s="171"/>
      <c r="M49" s="171">
        <f>IFERROR(_xlfn.XLOOKUP($A49,Input_Raw!$A:$A,Input_Raw!CG:CG),"")</f>
        <v>3.5474358974358982</v>
      </c>
      <c r="N49" s="171">
        <f>IFERROR(_xlfn.XLOOKUP($A49,Input_Raw!$A:$A,Input_Raw!CH:CH),"")</f>
        <v>0</v>
      </c>
      <c r="O49" s="183">
        <f t="shared" si="6"/>
        <v>0.91086987496206451</v>
      </c>
      <c r="P49" s="183">
        <f>IFERROR(1-SUMIF(WTG_BD!$B:$B,$A49,WTG_BD!$AB:$AB)/($AA49+SUMIF(WTG_BD!$B:$B,$A49,WTG_BD!$AB:$AB)),"")</f>
        <v>0.91086987496206451</v>
      </c>
      <c r="Q49" s="184">
        <f>IFERROR(1-SUMIF(IGA_BD!$B:$B,$A49,IGA_BD!$X:$X)/($AA49+SUMIF(IGA_BD!$B:$B,$A49,IGA_BD!$X:$X)),"")</f>
        <v>1</v>
      </c>
      <c r="R49" s="189">
        <f>IFERROR(1-SUMIF(Grid_BD!$B:$B,$A49,Grid_BD!$V:$V)/($AA49+SUMIF(Grid_BD!$B:$B,$A49,Grid_BD!$V:$V)),"")</f>
        <v>1</v>
      </c>
      <c r="S49" s="167"/>
      <c r="T49" s="184"/>
      <c r="U49" s="185"/>
      <c r="V49" s="167"/>
      <c r="W49" s="186">
        <f>IFERROR(Table13[[#This Row],[Mtr_Net_Exp (KWh)]]/(24*AR49*1000),"")</f>
        <v>0.10192307692307692</v>
      </c>
      <c r="X49" s="167">
        <f>IFERROR(_xlfn.XLOOKUP($A49,Input_Raw!$A:$A,Input_Raw!$CF:$CF),"")</f>
        <v>194666</v>
      </c>
      <c r="Y49" s="167">
        <f>IFERROR(_xlfn.XLOOKUP($A49,Input_Raw!$A:$A,Input_Raw!$CZ:$CZ),"")</f>
        <v>192000</v>
      </c>
      <c r="Z49" s="167">
        <f>IFERROR(_xlfn.XLOOKUP($A49,Input_Raw!$A:$A,Input_Raw!$DA:$DA),"")</f>
        <v>1200</v>
      </c>
      <c r="AA49" s="169">
        <f t="shared" si="5"/>
        <v>190800</v>
      </c>
      <c r="AB49" s="167">
        <f>IFERROR(_xlfn.XLOOKUP($A49,Input_Raw!$A:$A,Input_Raw!$DG:$DG),"")</f>
        <v>78</v>
      </c>
      <c r="AC49" s="187">
        <f>IFERROR(_xlfn.XLOOKUP($D49,'Modelling New'!$D:$D,'Modelling New'!$J:$J),"")</f>
        <v>6.5666666666666664</v>
      </c>
      <c r="AD49" s="169">
        <f>IFERROR(_xlfn.XLOOKUP($D49,'Modelling New'!$D:$D,'Modelling New'!$T:$T)*1000,"")</f>
        <v>558388.39265938452</v>
      </c>
      <c r="AE49" s="186"/>
      <c r="AF49" s="186">
        <f>IFERROR(_xlfn.XLOOKUP($D49,'Modelling New'!$D:$D,'Modelling New'!$W:$W),"")</f>
        <v>0.29828439778813276</v>
      </c>
      <c r="AG49" s="186">
        <f>IFERROR(_xlfn.XLOOKUP($D49,'Modelling New'!$D:$D,'Modelling New'!$AE:$AE),"")</f>
        <v>0.96029999999999993</v>
      </c>
      <c r="AH49" s="186">
        <f>IFERROR(_xlfn.XLOOKUP($D49,'Modelling New'!$D:$D,'Modelling New'!$AF:$AF),"")</f>
        <v>0.995</v>
      </c>
      <c r="AI49" s="167">
        <f>IFERROR(_xlfn.XLOOKUP($A49,Input_Raw!$A:$A,Input_Raw!$DE:$DE),"")</f>
        <v>194.66</v>
      </c>
      <c r="AJ49" s="167"/>
      <c r="AK49" s="167"/>
      <c r="AL49" s="167"/>
      <c r="AM49" s="167"/>
      <c r="AN49" s="188">
        <f>IFERROR(_xlfn.XLOOKUP($A49,Input_Raw!$A:$A,Input_Raw!$DB:$DB),"")</f>
        <v>1.3695252381001333E-2</v>
      </c>
      <c r="AO49" s="186">
        <f>IFERROR((_xlfn.XLOOKUP($A49,'WTG Reactive Power'!$A:$A,'WTG Reactive Power'!$AR:$AR))/X49/1000,"")</f>
        <v>3.0791201339730618E-5</v>
      </c>
      <c r="AP49" s="186">
        <f>IFERROR(_xlfn.XLOOKUP($D49,'Modelling New'!$D:$D,'Modelling New'!$AK:$AK),"")</f>
        <v>0.05</v>
      </c>
      <c r="AQ49" s="186">
        <f>IFERROR(_xlfn.XLOOKUP($D49,'Modelling New'!$D:$D,'Modelling New'!$AL:$AL),"")</f>
        <v>0.05</v>
      </c>
      <c r="AR49">
        <f>IFERROR(_xlfn.XLOOKUP($D49,'Modelling New'!$D:$D,'Modelling New'!$N:$N),"")</f>
        <v>78</v>
      </c>
    </row>
    <row r="50" spans="1:44">
      <c r="A50" s="180">
        <f t="shared" si="7"/>
        <v>45793</v>
      </c>
      <c r="B50" s="169">
        <f>YEAR(Table13[[#This Row],[Date]])+IF(MONTH(Table13[[#This Row],[Date]])&gt;=4,1,0)</f>
        <v>2026</v>
      </c>
      <c r="C50" s="167">
        <f>YEAR(Table13[[#This Row],[Date]])</f>
        <v>2025</v>
      </c>
      <c r="D50" s="181">
        <f>Table13[[#This Row],[Date]]-DAY(Table13[[#This Row],[Date]])+1</f>
        <v>45778</v>
      </c>
      <c r="E50" s="167">
        <f t="shared" si="4"/>
        <v>31</v>
      </c>
      <c r="F50" s="170"/>
      <c r="G50" s="171"/>
      <c r="H50" s="171"/>
      <c r="I50" s="171"/>
      <c r="J50" s="171"/>
      <c r="K50" s="182"/>
      <c r="L50" s="171"/>
      <c r="M50" s="171">
        <f>IFERROR(_xlfn.XLOOKUP($A50,Input_Raw!$A:$A,Input_Raw!CG:CG),"")</f>
        <v>4.056923076923078</v>
      </c>
      <c r="N50" s="171">
        <f>IFERROR(_xlfn.XLOOKUP($A50,Input_Raw!$A:$A,Input_Raw!CH:CH),"")</f>
        <v>0</v>
      </c>
      <c r="O50" s="183">
        <f t="shared" si="6"/>
        <v>0.91413196247312223</v>
      </c>
      <c r="P50" s="183">
        <f>IFERROR(1-SUMIF(WTG_BD!$B:$B,$A50,WTG_BD!$AB:$AB)/($AA50+SUMIF(WTG_BD!$B:$B,$A50,WTG_BD!$AB:$AB)),"")</f>
        <v>0.92211704250870152</v>
      </c>
      <c r="Q50" s="184">
        <f>IFERROR(1-SUMIF(IGA_BD!$B:$B,$A50,IGA_BD!$X:$X)/($AA50+SUMIF(IGA_BD!$B:$B,$A50,IGA_BD!$X:$X)),"")</f>
        <v>0.99134049186006234</v>
      </c>
      <c r="R50" s="189">
        <f>IFERROR(1-SUMIF(Grid_BD!$B:$B,$A50,Grid_BD!$V:$V)/($AA50+SUMIF(Grid_BD!$B:$B,$A50,Grid_BD!$V:$V)),"")</f>
        <v>1</v>
      </c>
      <c r="S50" s="167"/>
      <c r="T50" s="184"/>
      <c r="U50" s="185"/>
      <c r="V50" s="167"/>
      <c r="W50" s="186">
        <f>IFERROR(Table13[[#This Row],[Mtr_Net_Exp (KWh)]]/(24*AR50*1000),"")</f>
        <v>0.16987179487179488</v>
      </c>
      <c r="X50" s="167">
        <f>IFERROR(_xlfn.XLOOKUP($A50,Input_Raw!$A:$A,Input_Raw!$CF:$CF),"")</f>
        <v>321526</v>
      </c>
      <c r="Y50" s="167">
        <f>IFERROR(_xlfn.XLOOKUP($A50,Input_Raw!$A:$A,Input_Raw!$CZ:$CZ),"")</f>
        <v>318000</v>
      </c>
      <c r="Z50" s="167">
        <f>IFERROR(_xlfn.XLOOKUP($A50,Input_Raw!$A:$A,Input_Raw!$DA:$DA),"")</f>
        <v>0</v>
      </c>
      <c r="AA50" s="169">
        <f t="shared" si="5"/>
        <v>318000</v>
      </c>
      <c r="AB50" s="167">
        <f>IFERROR(_xlfn.XLOOKUP($A50,Input_Raw!$A:$A,Input_Raw!$DG:$DG),"")</f>
        <v>78</v>
      </c>
      <c r="AC50" s="187">
        <f>IFERROR(_xlfn.XLOOKUP($D50,'Modelling New'!$D:$D,'Modelling New'!$J:$J),"")</f>
        <v>6.5666666666666664</v>
      </c>
      <c r="AD50" s="169">
        <f>IFERROR(_xlfn.XLOOKUP($D50,'Modelling New'!$D:$D,'Modelling New'!$T:$T)*1000,"")</f>
        <v>558388.39265938452</v>
      </c>
      <c r="AE50" s="186"/>
      <c r="AF50" s="186">
        <f>IFERROR(_xlfn.XLOOKUP($D50,'Modelling New'!$D:$D,'Modelling New'!$W:$W),"")</f>
        <v>0.29828439778813276</v>
      </c>
      <c r="AG50" s="186">
        <f>IFERROR(_xlfn.XLOOKUP($D50,'Modelling New'!$D:$D,'Modelling New'!$AE:$AE),"")</f>
        <v>0.96029999999999993</v>
      </c>
      <c r="AH50" s="186">
        <f>IFERROR(_xlfn.XLOOKUP($D50,'Modelling New'!$D:$D,'Modelling New'!$AF:$AF),"")</f>
        <v>0.995</v>
      </c>
      <c r="AI50" s="167">
        <f>IFERROR(_xlfn.XLOOKUP($A50,Input_Raw!$A:$A,Input_Raw!$DE:$DE),"")</f>
        <v>321.52</v>
      </c>
      <c r="AJ50" s="167"/>
      <c r="AK50" s="167"/>
      <c r="AL50" s="167"/>
      <c r="AM50" s="167"/>
      <c r="AN50" s="188">
        <f>IFERROR(_xlfn.XLOOKUP($A50,Input_Raw!$A:$A,Input_Raw!$DB:$DB),"")</f>
        <v>1.0966453723804559E-2</v>
      </c>
      <c r="AO50" s="186">
        <f>IFERROR((_xlfn.XLOOKUP($A50,'WTG Reactive Power'!$A:$A,'WTG Reactive Power'!$AR:$AR))/X50/1000,"")</f>
        <v>1.4959909929523585E-5</v>
      </c>
      <c r="AP50" s="186">
        <f>IFERROR(_xlfn.XLOOKUP($D50,'Modelling New'!$D:$D,'Modelling New'!$AK:$AK),"")</f>
        <v>0.05</v>
      </c>
      <c r="AQ50" s="186">
        <f>IFERROR(_xlfn.XLOOKUP($D50,'Modelling New'!$D:$D,'Modelling New'!$AL:$AL),"")</f>
        <v>0.05</v>
      </c>
      <c r="AR50">
        <f>IFERROR(_xlfn.XLOOKUP($D50,'Modelling New'!$D:$D,'Modelling New'!$N:$N),"")</f>
        <v>78</v>
      </c>
    </row>
    <row r="51" spans="1:44">
      <c r="A51" s="180">
        <f t="shared" si="7"/>
        <v>45794</v>
      </c>
      <c r="B51" s="169">
        <f>YEAR(Table13[[#This Row],[Date]])+IF(MONTH(Table13[[#This Row],[Date]])&gt;=4,1,0)</f>
        <v>2026</v>
      </c>
      <c r="C51" s="167">
        <f>YEAR(Table13[[#This Row],[Date]])</f>
        <v>2025</v>
      </c>
      <c r="D51" s="181">
        <f>Table13[[#This Row],[Date]]-DAY(Table13[[#This Row],[Date]])+1</f>
        <v>45778</v>
      </c>
      <c r="E51" s="167">
        <f t="shared" si="4"/>
        <v>31</v>
      </c>
      <c r="F51" s="170"/>
      <c r="G51" s="171"/>
      <c r="H51" s="171"/>
      <c r="I51" s="171"/>
      <c r="J51" s="171"/>
      <c r="K51" s="182"/>
      <c r="L51" s="171"/>
      <c r="M51" s="171">
        <f>IFERROR(_xlfn.XLOOKUP($A51,Input_Raw!$A:$A,Input_Raw!CG:CG),"")</f>
        <v>3.885204939707056</v>
      </c>
      <c r="N51" s="171">
        <f>IFERROR(_xlfn.XLOOKUP($A51,Input_Raw!$A:$A,Input_Raw!CH:CH),"")</f>
        <v>0</v>
      </c>
      <c r="O51" s="183">
        <f t="shared" si="6"/>
        <v>0.89141302592511762</v>
      </c>
      <c r="P51" s="183">
        <f>IFERROR(1-SUMIF(WTG_BD!$B:$B,$A51,WTG_BD!$AB:$AB)/($AA51+SUMIF(WTG_BD!$B:$B,$A51,WTG_BD!$AB:$AB)),"")</f>
        <v>0.91203084818558844</v>
      </c>
      <c r="Q51" s="184">
        <f>IFERROR(1-SUMIF(IGA_BD!$B:$B,$A51,IGA_BD!$X:$X)/($AA51+SUMIF(IGA_BD!$B:$B,$A51,IGA_BD!$X:$X)),"")</f>
        <v>0.97739350340891618</v>
      </c>
      <c r="R51" s="189">
        <f>IFERROR(1-SUMIF(Grid_BD!$B:$B,$A51,Grid_BD!$V:$V)/($AA51+SUMIF(Grid_BD!$B:$B,$A51,Grid_BD!$V:$V)),"")</f>
        <v>1</v>
      </c>
      <c r="S51" s="167"/>
      <c r="T51" s="184"/>
      <c r="U51" s="185"/>
      <c r="V51" s="167"/>
      <c r="W51" s="186">
        <f>IFERROR(Table13[[#This Row],[Mtr_Net_Exp (KWh)]]/(24*AR51*1000),"")</f>
        <v>9.166666666666666E-2</v>
      </c>
      <c r="X51" s="167">
        <f>IFERROR(_xlfn.XLOOKUP($A51,Input_Raw!$A:$A,Input_Raw!$CF:$CF),"")</f>
        <v>176988</v>
      </c>
      <c r="Y51" s="167">
        <f>IFERROR(_xlfn.XLOOKUP($A51,Input_Raw!$A:$A,Input_Raw!$CZ:$CZ),"")</f>
        <v>174000</v>
      </c>
      <c r="Z51" s="167">
        <f>IFERROR(_xlfn.XLOOKUP($A51,Input_Raw!$A:$A,Input_Raw!$DA:$DA),"")</f>
        <v>2400</v>
      </c>
      <c r="AA51" s="169">
        <f t="shared" si="5"/>
        <v>171600</v>
      </c>
      <c r="AB51" s="167">
        <f>IFERROR(_xlfn.XLOOKUP($A51,Input_Raw!$A:$A,Input_Raw!$DG:$DG),"")</f>
        <v>78</v>
      </c>
      <c r="AC51" s="187">
        <f>IFERROR(_xlfn.XLOOKUP($D51,'Modelling New'!$D:$D,'Modelling New'!$J:$J),"")</f>
        <v>6.5666666666666664</v>
      </c>
      <c r="AD51" s="169">
        <f>IFERROR(_xlfn.XLOOKUP($D51,'Modelling New'!$D:$D,'Modelling New'!$T:$T)*1000,"")</f>
        <v>558388.39265938452</v>
      </c>
      <c r="AE51" s="186"/>
      <c r="AF51" s="186">
        <f>IFERROR(_xlfn.XLOOKUP($D51,'Modelling New'!$D:$D,'Modelling New'!$W:$W),"")</f>
        <v>0.29828439778813276</v>
      </c>
      <c r="AG51" s="186">
        <f>IFERROR(_xlfn.XLOOKUP($D51,'Modelling New'!$D:$D,'Modelling New'!$AE:$AE),"")</f>
        <v>0.96029999999999993</v>
      </c>
      <c r="AH51" s="186">
        <f>IFERROR(_xlfn.XLOOKUP($D51,'Modelling New'!$D:$D,'Modelling New'!$AF:$AF),"")</f>
        <v>0.995</v>
      </c>
      <c r="AI51" s="167">
        <f>IFERROR(_xlfn.XLOOKUP($A51,Input_Raw!$A:$A,Input_Raw!$DE:$DE),"")</f>
        <v>176.98</v>
      </c>
      <c r="AJ51" s="167"/>
      <c r="AK51" s="167"/>
      <c r="AL51" s="167"/>
      <c r="AM51" s="167"/>
      <c r="AN51" s="188">
        <f>IFERROR(_xlfn.XLOOKUP($A51,Input_Raw!$A:$A,Input_Raw!$DB:$DB),"")</f>
        <v>1.6882500508509035E-2</v>
      </c>
      <c r="AO51" s="186">
        <f>IFERROR((_xlfn.XLOOKUP($A51,'WTG Reactive Power'!$A:$A,'WTG Reactive Power'!$AR:$AR))/X51/1000,"")</f>
        <v>2.0487264673311187E-5</v>
      </c>
      <c r="AP51" s="186">
        <f>IFERROR(_xlfn.XLOOKUP($D51,'Modelling New'!$D:$D,'Modelling New'!$AK:$AK),"")</f>
        <v>0.05</v>
      </c>
      <c r="AQ51" s="186">
        <f>IFERROR(_xlfn.XLOOKUP($D51,'Modelling New'!$D:$D,'Modelling New'!$AL:$AL),"")</f>
        <v>0.05</v>
      </c>
      <c r="AR51">
        <f>IFERROR(_xlfn.XLOOKUP($D51,'Modelling New'!$D:$D,'Modelling New'!$N:$N),"")</f>
        <v>78</v>
      </c>
    </row>
    <row r="52" spans="1:44">
      <c r="A52" s="180">
        <f t="shared" si="7"/>
        <v>45795</v>
      </c>
      <c r="B52" s="169">
        <f>YEAR(Table13[[#This Row],[Date]])+IF(MONTH(Table13[[#This Row],[Date]])&gt;=4,1,0)</f>
        <v>2026</v>
      </c>
      <c r="C52" s="167">
        <f>YEAR(Table13[[#This Row],[Date]])</f>
        <v>2025</v>
      </c>
      <c r="D52" s="181">
        <f>Table13[[#This Row],[Date]]-DAY(Table13[[#This Row],[Date]])+1</f>
        <v>45778</v>
      </c>
      <c r="E52" s="167">
        <f t="shared" si="4"/>
        <v>31</v>
      </c>
      <c r="F52" s="170"/>
      <c r="G52" s="171"/>
      <c r="H52" s="171"/>
      <c r="I52" s="171"/>
      <c r="J52" s="171"/>
      <c r="K52" s="182"/>
      <c r="L52" s="171"/>
      <c r="M52" s="171">
        <f>IFERROR(_xlfn.XLOOKUP($A52,Input_Raw!$A:$A,Input_Raw!CG:CG),"")</f>
        <v>3.5474358974358982</v>
      </c>
      <c r="N52" s="171">
        <f>IFERROR(_xlfn.XLOOKUP($A52,Input_Raw!$A:$A,Input_Raw!CH:CH),"")</f>
        <v>0</v>
      </c>
      <c r="O52" s="183">
        <f t="shared" si="6"/>
        <v>0.93906711056649905</v>
      </c>
      <c r="P52" s="183">
        <f>IFERROR(1-SUMIF(WTG_BD!$B:$B,$A52,WTG_BD!$AB:$AB)/($AA52+SUMIF(WTG_BD!$B:$B,$A52,WTG_BD!$AB:$AB)),"")</f>
        <v>0.93906711056649905</v>
      </c>
      <c r="Q52" s="184">
        <f>IFERROR(1-SUMIF(IGA_BD!$B:$B,$A52,IGA_BD!$X:$X)/($AA52+SUMIF(IGA_BD!$B:$B,$A52,IGA_BD!$X:$X)),"")</f>
        <v>1</v>
      </c>
      <c r="R52" s="189">
        <f>IFERROR(1-SUMIF(Grid_BD!$B:$B,$A52,Grid_BD!$V:$V)/($AA52+SUMIF(Grid_BD!$B:$B,$A52,Grid_BD!$V:$V)),"")</f>
        <v>1</v>
      </c>
      <c r="S52" s="167"/>
      <c r="T52" s="184"/>
      <c r="U52" s="185"/>
      <c r="V52" s="167"/>
      <c r="W52" s="186">
        <f>IFERROR(Table13[[#This Row],[Mtr_Net_Exp (KWh)]]/(24*AR52*1000),"")</f>
        <v>6.6666666666666666E-2</v>
      </c>
      <c r="X52" s="167">
        <f>IFERROR(_xlfn.XLOOKUP($A52,Input_Raw!$A:$A,Input_Raw!$CF:$CF),"")</f>
        <v>131285</v>
      </c>
      <c r="Y52" s="167">
        <f>IFERROR(_xlfn.XLOOKUP($A52,Input_Raw!$A:$A,Input_Raw!$CZ:$CZ),"")</f>
        <v>127200</v>
      </c>
      <c r="Z52" s="167">
        <f>IFERROR(_xlfn.XLOOKUP($A52,Input_Raw!$A:$A,Input_Raw!$DA:$DA),"")</f>
        <v>2400</v>
      </c>
      <c r="AA52" s="169">
        <f t="shared" si="5"/>
        <v>124800</v>
      </c>
      <c r="AB52" s="167">
        <f>IFERROR(_xlfn.XLOOKUP($A52,Input_Raw!$A:$A,Input_Raw!$DG:$DG),"")</f>
        <v>78</v>
      </c>
      <c r="AC52" s="187">
        <f>IFERROR(_xlfn.XLOOKUP($D52,'Modelling New'!$D:$D,'Modelling New'!$J:$J),"")</f>
        <v>6.5666666666666664</v>
      </c>
      <c r="AD52" s="169">
        <f>IFERROR(_xlfn.XLOOKUP($D52,'Modelling New'!$D:$D,'Modelling New'!$T:$T)*1000,"")</f>
        <v>558388.39265938452</v>
      </c>
      <c r="AE52" s="186"/>
      <c r="AF52" s="186">
        <f>IFERROR(_xlfn.XLOOKUP($D52,'Modelling New'!$D:$D,'Modelling New'!$W:$W),"")</f>
        <v>0.29828439778813276</v>
      </c>
      <c r="AG52" s="186">
        <f>IFERROR(_xlfn.XLOOKUP($D52,'Modelling New'!$D:$D,'Modelling New'!$AE:$AE),"")</f>
        <v>0.96029999999999993</v>
      </c>
      <c r="AH52" s="186">
        <f>IFERROR(_xlfn.XLOOKUP($D52,'Modelling New'!$D:$D,'Modelling New'!$AF:$AF),"")</f>
        <v>0.995</v>
      </c>
      <c r="AI52" s="167">
        <f>IFERROR(_xlfn.XLOOKUP($A52,Input_Raw!$A:$A,Input_Raw!$DE:$DE),"")</f>
        <v>131.28</v>
      </c>
      <c r="AJ52" s="167"/>
      <c r="AK52" s="167"/>
      <c r="AL52" s="167"/>
      <c r="AM52" s="167"/>
      <c r="AN52" s="188">
        <f>IFERROR(_xlfn.XLOOKUP($A52,Input_Raw!$A:$A,Input_Raw!$DB:$DB),"")</f>
        <v>3.1115512053928485E-2</v>
      </c>
      <c r="AO52" s="186">
        <f>IFERROR((_xlfn.XLOOKUP($A52,'WTG Reactive Power'!$A:$A,'WTG Reactive Power'!$AR:$AR))/X52/1000,"")</f>
        <v>6.3975320866816471E-5</v>
      </c>
      <c r="AP52" s="186">
        <f>IFERROR(_xlfn.XLOOKUP($D52,'Modelling New'!$D:$D,'Modelling New'!$AK:$AK),"")</f>
        <v>0.05</v>
      </c>
      <c r="AQ52" s="186">
        <f>IFERROR(_xlfn.XLOOKUP($D52,'Modelling New'!$D:$D,'Modelling New'!$AL:$AL),"")</f>
        <v>0.05</v>
      </c>
      <c r="AR52">
        <f>IFERROR(_xlfn.XLOOKUP($D52,'Modelling New'!$D:$D,'Modelling New'!$N:$N),"")</f>
        <v>78</v>
      </c>
    </row>
    <row r="53" spans="1:44">
      <c r="A53" s="180">
        <f t="shared" si="7"/>
        <v>45796</v>
      </c>
      <c r="B53" s="169">
        <f>YEAR(Table13[[#This Row],[Date]])+IF(MONTH(Table13[[#This Row],[Date]])&gt;=4,1,0)</f>
        <v>2026</v>
      </c>
      <c r="C53" s="167">
        <f>YEAR(Table13[[#This Row],[Date]])</f>
        <v>2025</v>
      </c>
      <c r="D53" s="181">
        <f>Table13[[#This Row],[Date]]-DAY(Table13[[#This Row],[Date]])+1</f>
        <v>45778</v>
      </c>
      <c r="E53" s="167">
        <f t="shared" si="4"/>
        <v>31</v>
      </c>
      <c r="F53" s="170"/>
      <c r="G53" s="171"/>
      <c r="H53" s="171"/>
      <c r="I53" s="171"/>
      <c r="J53" s="171"/>
      <c r="K53" s="182"/>
      <c r="L53" s="171"/>
      <c r="M53" s="171">
        <f>IFERROR(_xlfn.XLOOKUP($A53,Input_Raw!$A:$A,Input_Raw!CG:CG),"")</f>
        <v>3.4951282051282053</v>
      </c>
      <c r="N53" s="171">
        <f>IFERROR(_xlfn.XLOOKUP($A53,Input_Raw!$A:$A,Input_Raw!CH:CH),"")</f>
        <v>0</v>
      </c>
      <c r="O53" s="183">
        <f t="shared" si="6"/>
        <v>0.8888758991920056</v>
      </c>
      <c r="P53" s="183">
        <f>IFERROR(1-SUMIF(WTG_BD!$B:$B,$A53,WTG_BD!$AB:$AB)/($AA53+SUMIF(WTG_BD!$B:$B,$A53,WTG_BD!$AB:$AB)),"")</f>
        <v>0.93329213723508819</v>
      </c>
      <c r="Q53" s="184">
        <f>IFERROR(1-SUMIF(IGA_BD!$B:$B,$A53,IGA_BD!$X:$X)/($AA53+SUMIF(IGA_BD!$B:$B,$A53,IGA_BD!$X:$X)),"")</f>
        <v>0.95240907292472499</v>
      </c>
      <c r="R53" s="189">
        <f>IFERROR(1-SUMIF(Grid_BD!$B:$B,$A53,Grid_BD!$V:$V)/($AA53+SUMIF(Grid_BD!$B:$B,$A53,Grid_BD!$V:$V)),"")</f>
        <v>1</v>
      </c>
      <c r="S53" s="167"/>
      <c r="T53" s="184"/>
      <c r="U53" s="185"/>
      <c r="V53" s="167"/>
      <c r="W53" s="186">
        <f>IFERROR(Table13[[#This Row],[Mtr_Net_Exp (KWh)]]/(24*AR53*1000),"")</f>
        <v>7.179487179487179E-2</v>
      </c>
      <c r="X53" s="167">
        <f>IFERROR(_xlfn.XLOOKUP($A53,Input_Raw!$A:$A,Input_Raw!$CF:$CF),"")</f>
        <v>141695</v>
      </c>
      <c r="Y53" s="167">
        <f>IFERROR(_xlfn.XLOOKUP($A53,Input_Raw!$A:$A,Input_Raw!$CZ:$CZ),"")</f>
        <v>138000</v>
      </c>
      <c r="Z53" s="167">
        <f>IFERROR(_xlfn.XLOOKUP($A53,Input_Raw!$A:$A,Input_Raw!$DA:$DA),"")</f>
        <v>3600</v>
      </c>
      <c r="AA53" s="169">
        <f t="shared" si="5"/>
        <v>134400</v>
      </c>
      <c r="AB53" s="167">
        <f>IFERROR(_xlfn.XLOOKUP($A53,Input_Raw!$A:$A,Input_Raw!$DG:$DG),"")</f>
        <v>78</v>
      </c>
      <c r="AC53" s="187">
        <f>IFERROR(_xlfn.XLOOKUP($D53,'Modelling New'!$D:$D,'Modelling New'!$J:$J),"")</f>
        <v>6.5666666666666664</v>
      </c>
      <c r="AD53" s="169">
        <f>IFERROR(_xlfn.XLOOKUP($D53,'Modelling New'!$D:$D,'Modelling New'!$T:$T)*1000,"")</f>
        <v>558388.39265938452</v>
      </c>
      <c r="AE53" s="186"/>
      <c r="AF53" s="186">
        <f>IFERROR(_xlfn.XLOOKUP($D53,'Modelling New'!$D:$D,'Modelling New'!$W:$W),"")</f>
        <v>0.29828439778813276</v>
      </c>
      <c r="AG53" s="186">
        <f>IFERROR(_xlfn.XLOOKUP($D53,'Modelling New'!$D:$D,'Modelling New'!$AE:$AE),"")</f>
        <v>0.96029999999999993</v>
      </c>
      <c r="AH53" s="186">
        <f>IFERROR(_xlfn.XLOOKUP($D53,'Modelling New'!$D:$D,'Modelling New'!$AF:$AF),"")</f>
        <v>0.995</v>
      </c>
      <c r="AI53" s="167">
        <f>IFERROR(_xlfn.XLOOKUP($A53,Input_Raw!$A:$A,Input_Raw!$DE:$DE),"")</f>
        <v>141.69</v>
      </c>
      <c r="AJ53" s="167"/>
      <c r="AK53" s="167"/>
      <c r="AL53" s="167"/>
      <c r="AM53" s="167"/>
      <c r="AN53" s="188">
        <f>IFERROR(_xlfn.XLOOKUP($A53,Input_Raw!$A:$A,Input_Raw!$DB:$DB),"")</f>
        <v>2.6077137513673687E-2</v>
      </c>
      <c r="AO53" s="186">
        <f>IFERROR((_xlfn.XLOOKUP($A53,'WTG Reactive Power'!$A:$A,'WTG Reactive Power'!$AR:$AR))/X53/1000,"")</f>
        <v>1.3552348353858639E-4</v>
      </c>
      <c r="AP53" s="186">
        <f>IFERROR(_xlfn.XLOOKUP($D53,'Modelling New'!$D:$D,'Modelling New'!$AK:$AK),"")</f>
        <v>0.05</v>
      </c>
      <c r="AQ53" s="186">
        <f>IFERROR(_xlfn.XLOOKUP($D53,'Modelling New'!$D:$D,'Modelling New'!$AL:$AL),"")</f>
        <v>0.05</v>
      </c>
      <c r="AR53">
        <f>IFERROR(_xlfn.XLOOKUP($D53,'Modelling New'!$D:$D,'Modelling New'!$N:$N),"")</f>
        <v>78</v>
      </c>
    </row>
    <row r="54" spans="1:44">
      <c r="A54" s="180">
        <f t="shared" si="7"/>
        <v>45797</v>
      </c>
      <c r="B54" s="169">
        <f>YEAR(Table13[[#This Row],[Date]])+IF(MONTH(Table13[[#This Row],[Date]])&gt;=4,1,0)</f>
        <v>2026</v>
      </c>
      <c r="C54" s="167">
        <f>YEAR(Table13[[#This Row],[Date]])</f>
        <v>2025</v>
      </c>
      <c r="D54" s="181">
        <f>Table13[[#This Row],[Date]]-DAY(Table13[[#This Row],[Date]])+1</f>
        <v>45778</v>
      </c>
      <c r="E54" s="167">
        <f t="shared" si="4"/>
        <v>31</v>
      </c>
      <c r="F54" s="170"/>
      <c r="G54" s="171"/>
      <c r="H54" s="171"/>
      <c r="I54" s="171"/>
      <c r="J54" s="171"/>
      <c r="K54" s="182"/>
      <c r="L54" s="171"/>
      <c r="M54" s="171">
        <f>IFERROR(_xlfn.XLOOKUP($A54,Input_Raw!$A:$A,Input_Raw!CG:CG),"")</f>
        <v>3.885204939707056</v>
      </c>
      <c r="N54" s="171">
        <f>IFERROR(_xlfn.XLOOKUP($A54,Input_Raw!$A:$A,Input_Raw!CH:CH),"")</f>
        <v>0</v>
      </c>
      <c r="O54" s="183">
        <f t="shared" si="6"/>
        <v>0.89470644776117714</v>
      </c>
      <c r="P54" s="183">
        <f>IFERROR(1-SUMIF(WTG_BD!$B:$B,$A54,WTG_BD!$AB:$AB)/($AA54+SUMIF(WTG_BD!$B:$B,$A54,WTG_BD!$AB:$AB)),"")</f>
        <v>0.92581579135858305</v>
      </c>
      <c r="Q54" s="184">
        <f>IFERROR(1-SUMIF(IGA_BD!$B:$B,$A54,IGA_BD!$X:$X)/($AA54+SUMIF(IGA_BD!$B:$B,$A54,IGA_BD!$X:$X)),"")</f>
        <v>0.9663979121032763</v>
      </c>
      <c r="R54" s="189">
        <f>IFERROR(1-SUMIF(Grid_BD!$B:$B,$A54,Grid_BD!$V:$V)/($AA54+SUMIF(Grid_BD!$B:$B,$A54,Grid_BD!$V:$V)),"")</f>
        <v>1</v>
      </c>
      <c r="S54" s="167"/>
      <c r="T54" s="184"/>
      <c r="U54" s="185"/>
      <c r="V54" s="167"/>
      <c r="W54" s="186">
        <f>IFERROR(Table13[[#This Row],[Mtr_Net_Exp (KWh)]]/(24*AR54*1000),"")</f>
        <v>9.2307692307692313E-2</v>
      </c>
      <c r="X54" s="167">
        <f>IFERROR(_xlfn.XLOOKUP($A54,Input_Raw!$A:$A,Input_Raw!$CF:$CF),"")</f>
        <v>178470</v>
      </c>
      <c r="Y54" s="167">
        <f>IFERROR(_xlfn.XLOOKUP($A54,Input_Raw!$A:$A,Input_Raw!$CZ:$CZ),"")</f>
        <v>176400</v>
      </c>
      <c r="Z54" s="167">
        <f>IFERROR(_xlfn.XLOOKUP($A54,Input_Raw!$A:$A,Input_Raw!$DA:$DA),"")</f>
        <v>3600</v>
      </c>
      <c r="AA54" s="169">
        <f t="shared" si="5"/>
        <v>172800</v>
      </c>
      <c r="AB54" s="167">
        <f>IFERROR(_xlfn.XLOOKUP($A54,Input_Raw!$A:$A,Input_Raw!$DG:$DG),"")</f>
        <v>78</v>
      </c>
      <c r="AC54" s="187">
        <f>IFERROR(_xlfn.XLOOKUP($D54,'Modelling New'!$D:$D,'Modelling New'!$J:$J),"")</f>
        <v>6.5666666666666664</v>
      </c>
      <c r="AD54" s="169">
        <f>IFERROR(_xlfn.XLOOKUP($D54,'Modelling New'!$D:$D,'Modelling New'!$T:$T)*1000,"")</f>
        <v>558388.39265938452</v>
      </c>
      <c r="AE54" s="186"/>
      <c r="AF54" s="186">
        <f>IFERROR(_xlfn.XLOOKUP($D54,'Modelling New'!$D:$D,'Modelling New'!$W:$W),"")</f>
        <v>0.29828439778813276</v>
      </c>
      <c r="AG54" s="186">
        <f>IFERROR(_xlfn.XLOOKUP($D54,'Modelling New'!$D:$D,'Modelling New'!$AE:$AE),"")</f>
        <v>0.96029999999999993</v>
      </c>
      <c r="AH54" s="186">
        <f>IFERROR(_xlfn.XLOOKUP($D54,'Modelling New'!$D:$D,'Modelling New'!$AF:$AF),"")</f>
        <v>0.995</v>
      </c>
      <c r="AI54" s="167">
        <f>IFERROR(_xlfn.XLOOKUP($A54,Input_Raw!$A:$A,Input_Raw!$DE:$DE),"")</f>
        <v>178.47</v>
      </c>
      <c r="AJ54" s="167"/>
      <c r="AK54" s="167"/>
      <c r="AL54" s="167"/>
      <c r="AM54" s="167"/>
      <c r="AN54" s="188">
        <f>IFERROR(_xlfn.XLOOKUP($A54,Input_Raw!$A:$A,Input_Raw!$DB:$DB),"")</f>
        <v>1.1598587997982857E-2</v>
      </c>
      <c r="AO54" s="186">
        <f>IFERROR((_xlfn.XLOOKUP($A54,'WTG Reactive Power'!$A:$A,'WTG Reactive Power'!$AR:$AR))/X54/1000,"")</f>
        <v>4.0426962514708353E-5</v>
      </c>
      <c r="AP54" s="186">
        <f>IFERROR(_xlfn.XLOOKUP($D54,'Modelling New'!$D:$D,'Modelling New'!$AK:$AK),"")</f>
        <v>0.05</v>
      </c>
      <c r="AQ54" s="186">
        <f>IFERROR(_xlfn.XLOOKUP($D54,'Modelling New'!$D:$D,'Modelling New'!$AL:$AL),"")</f>
        <v>0.05</v>
      </c>
      <c r="AR54">
        <f>IFERROR(_xlfn.XLOOKUP($D54,'Modelling New'!$D:$D,'Modelling New'!$N:$N),"")</f>
        <v>78</v>
      </c>
    </row>
    <row r="55" spans="1:44">
      <c r="A55" s="180">
        <f t="shared" si="7"/>
        <v>45798</v>
      </c>
      <c r="B55" s="169">
        <f>YEAR(Table13[[#This Row],[Date]])+IF(MONTH(Table13[[#This Row],[Date]])&gt;=4,1,0)</f>
        <v>2026</v>
      </c>
      <c r="C55" s="167">
        <f>YEAR(Table13[[#This Row],[Date]])</f>
        <v>2025</v>
      </c>
      <c r="D55" s="181">
        <f>Table13[[#This Row],[Date]]-DAY(Table13[[#This Row],[Date]])+1</f>
        <v>45778</v>
      </c>
      <c r="E55" s="167">
        <f t="shared" si="4"/>
        <v>31</v>
      </c>
      <c r="F55" s="170"/>
      <c r="G55" s="171"/>
      <c r="H55" s="171"/>
      <c r="I55" s="171"/>
      <c r="J55" s="171"/>
      <c r="K55" s="182"/>
      <c r="L55" s="171"/>
      <c r="M55" s="171">
        <f>IFERROR(_xlfn.XLOOKUP($A55,Input_Raw!$A:$A,Input_Raw!CG:CG),"")</f>
        <v>3.5474358974358982</v>
      </c>
      <c r="N55" s="171">
        <f>IFERROR(_xlfn.XLOOKUP($A55,Input_Raw!$A:$A,Input_Raw!CH:CH),"")</f>
        <v>0</v>
      </c>
      <c r="O55" s="183">
        <f t="shared" si="6"/>
        <v>0.91579509966185646</v>
      </c>
      <c r="P55" s="183">
        <f>IFERROR(1-SUMIF(WTG_BD!$B:$B,$A55,WTG_BD!$AB:$AB)/($AA55+SUMIF(WTG_BD!$B:$B,$A55,WTG_BD!$AB:$AB)),"")</f>
        <v>0.92784503518372297</v>
      </c>
      <c r="Q55" s="184">
        <f>IFERROR(1-SUMIF(IGA_BD!$B:$B,$A55,IGA_BD!$X:$X)/($AA55+SUMIF(IGA_BD!$B:$B,$A55,IGA_BD!$X:$X)),"")</f>
        <v>0.98701298701298701</v>
      </c>
      <c r="R55" s="189">
        <f>IFERROR(1-SUMIF(Grid_BD!$B:$B,$A55,Grid_BD!$V:$V)/($AA55+SUMIF(Grid_BD!$B:$B,$A55,Grid_BD!$V:$V)),"")</f>
        <v>1</v>
      </c>
      <c r="S55" s="167"/>
      <c r="T55" s="184"/>
      <c r="U55" s="185"/>
      <c r="V55" s="167"/>
      <c r="W55" s="186">
        <f>IFERROR(Table13[[#This Row],[Mtr_Net_Exp (KWh)]]/(24*AR55*1000),"")</f>
        <v>9.7435897435897437E-2</v>
      </c>
      <c r="X55" s="167">
        <f>IFERROR(_xlfn.XLOOKUP($A55,Input_Raw!$A:$A,Input_Raw!$CF:$CF),"")</f>
        <v>191723</v>
      </c>
      <c r="Y55" s="167">
        <f>IFERROR(_xlfn.XLOOKUP($A55,Input_Raw!$A:$A,Input_Raw!$CZ:$CZ),"")</f>
        <v>187200</v>
      </c>
      <c r="Z55" s="167">
        <f>IFERROR(_xlfn.XLOOKUP($A55,Input_Raw!$A:$A,Input_Raw!$DA:$DA),"")</f>
        <v>4800</v>
      </c>
      <c r="AA55" s="169">
        <f t="shared" si="5"/>
        <v>182400</v>
      </c>
      <c r="AB55" s="167">
        <f>IFERROR(_xlfn.XLOOKUP($A55,Input_Raw!$A:$A,Input_Raw!$DG:$DG),"")</f>
        <v>78</v>
      </c>
      <c r="AC55" s="187">
        <f>IFERROR(_xlfn.XLOOKUP($D55,'Modelling New'!$D:$D,'Modelling New'!$J:$J),"")</f>
        <v>6.5666666666666664</v>
      </c>
      <c r="AD55" s="169">
        <f>IFERROR(_xlfn.XLOOKUP($D55,'Modelling New'!$D:$D,'Modelling New'!$T:$T)*1000,"")</f>
        <v>558388.39265938452</v>
      </c>
      <c r="AE55" s="186"/>
      <c r="AF55" s="186">
        <f>IFERROR(_xlfn.XLOOKUP($D55,'Modelling New'!$D:$D,'Modelling New'!$W:$W),"")</f>
        <v>0.29828439778813276</v>
      </c>
      <c r="AG55" s="186">
        <f>IFERROR(_xlfn.XLOOKUP($D55,'Modelling New'!$D:$D,'Modelling New'!$AE:$AE),"")</f>
        <v>0.96029999999999993</v>
      </c>
      <c r="AH55" s="186">
        <f>IFERROR(_xlfn.XLOOKUP($D55,'Modelling New'!$D:$D,'Modelling New'!$AF:$AF),"")</f>
        <v>0.995</v>
      </c>
      <c r="AI55" s="167">
        <f>IFERROR(_xlfn.XLOOKUP($A55,Input_Raw!$A:$A,Input_Raw!$DE:$DE),"")</f>
        <v>191.73</v>
      </c>
      <c r="AJ55" s="167"/>
      <c r="AK55" s="167"/>
      <c r="AL55" s="167"/>
      <c r="AM55" s="167"/>
      <c r="AN55" s="188">
        <f>IFERROR(_xlfn.XLOOKUP($A55,Input_Raw!$A:$A,Input_Raw!$DB:$DB),"")</f>
        <v>2.3591327070826118E-2</v>
      </c>
      <c r="AO55" s="186">
        <f>IFERROR((_xlfn.XLOOKUP($A55,'WTG Reactive Power'!$A:$A,'WTG Reactive Power'!$AR:$AR))/X55/1000,"")</f>
        <v>2.5088278401652383E-5</v>
      </c>
      <c r="AP55" s="186">
        <f>IFERROR(_xlfn.XLOOKUP($D55,'Modelling New'!$D:$D,'Modelling New'!$AK:$AK),"")</f>
        <v>0.05</v>
      </c>
      <c r="AQ55" s="186">
        <f>IFERROR(_xlfn.XLOOKUP($D55,'Modelling New'!$D:$D,'Modelling New'!$AL:$AL),"")</f>
        <v>0.05</v>
      </c>
      <c r="AR55">
        <f>IFERROR(_xlfn.XLOOKUP($D55,'Modelling New'!$D:$D,'Modelling New'!$N:$N),"")</f>
        <v>78</v>
      </c>
    </row>
    <row r="56" spans="1:44">
      <c r="A56" s="180">
        <f t="shared" si="7"/>
        <v>45799</v>
      </c>
      <c r="B56" s="169">
        <f>YEAR(Table13[[#This Row],[Date]])+IF(MONTH(Table13[[#This Row],[Date]])&gt;=4,1,0)</f>
        <v>2026</v>
      </c>
      <c r="C56" s="167">
        <f>YEAR(Table13[[#This Row],[Date]])</f>
        <v>2025</v>
      </c>
      <c r="D56" s="181">
        <f>Table13[[#This Row],[Date]]-DAY(Table13[[#This Row],[Date]])+1</f>
        <v>45778</v>
      </c>
      <c r="E56" s="167">
        <f t="shared" si="4"/>
        <v>31</v>
      </c>
      <c r="F56" s="170"/>
      <c r="G56" s="171"/>
      <c r="H56" s="171"/>
      <c r="I56" s="171"/>
      <c r="J56" s="171"/>
      <c r="K56" s="182"/>
      <c r="L56" s="171"/>
      <c r="M56" s="171">
        <f>IFERROR(_xlfn.XLOOKUP($A56,Input_Raw!$A:$A,Input_Raw!CG:CG),"")</f>
        <v>4.8055263157894732</v>
      </c>
      <c r="N56" s="171">
        <f>IFERROR(_xlfn.XLOOKUP($A56,Input_Raw!$A:$A,Input_Raw!CH:CH),"")</f>
        <v>0</v>
      </c>
      <c r="O56" s="183">
        <f t="shared" si="6"/>
        <v>0.9290877121601564</v>
      </c>
      <c r="P56" s="183">
        <f>IFERROR(1-SUMIF(WTG_BD!$B:$B,$A56,WTG_BD!$AB:$AB)/($AA56+SUMIF(WTG_BD!$B:$B,$A56,WTG_BD!$AB:$AB)),"")</f>
        <v>0.9290877121601564</v>
      </c>
      <c r="Q56" s="184">
        <f>IFERROR(1-SUMIF(IGA_BD!$B:$B,$A56,IGA_BD!$X:$X)/($AA56+SUMIF(IGA_BD!$B:$B,$A56,IGA_BD!$X:$X)),"")</f>
        <v>1</v>
      </c>
      <c r="R56" s="189">
        <f>IFERROR(1-SUMIF(Grid_BD!$B:$B,$A56,Grid_BD!$V:$V)/($AA56+SUMIF(Grid_BD!$B:$B,$A56,Grid_BD!$V:$V)),"")</f>
        <v>1</v>
      </c>
      <c r="S56" s="167"/>
      <c r="T56" s="184"/>
      <c r="U56" s="185"/>
      <c r="V56" s="167"/>
      <c r="W56" s="186">
        <f>IFERROR(Table13[[#This Row],[Mtr_Net_Exp (KWh)]]/(24*AR56*1000),"")</f>
        <v>0.15</v>
      </c>
      <c r="X56" s="167">
        <f>IFERROR(_xlfn.XLOOKUP($A56,Input_Raw!$A:$A,Input_Raw!$CF:$CF),"")</f>
        <v>286041</v>
      </c>
      <c r="Y56" s="167">
        <f>IFERROR(_xlfn.XLOOKUP($A56,Input_Raw!$A:$A,Input_Raw!$CZ:$CZ),"")</f>
        <v>285600</v>
      </c>
      <c r="Z56" s="167">
        <f>IFERROR(_xlfn.XLOOKUP($A56,Input_Raw!$A:$A,Input_Raw!$DA:$DA),"")</f>
        <v>4800</v>
      </c>
      <c r="AA56" s="169">
        <f t="shared" si="5"/>
        <v>280800</v>
      </c>
      <c r="AB56" s="167">
        <f>IFERROR(_xlfn.XLOOKUP($A56,Input_Raw!$A:$A,Input_Raw!$DG:$DG),"")</f>
        <v>78</v>
      </c>
      <c r="AC56" s="187">
        <f>IFERROR(_xlfn.XLOOKUP($D56,'Modelling New'!$D:$D,'Modelling New'!$J:$J),"")</f>
        <v>6.5666666666666664</v>
      </c>
      <c r="AD56" s="169">
        <f>IFERROR(_xlfn.XLOOKUP($D56,'Modelling New'!$D:$D,'Modelling New'!$T:$T)*1000,"")</f>
        <v>558388.39265938452</v>
      </c>
      <c r="AE56" s="186"/>
      <c r="AF56" s="186">
        <f>IFERROR(_xlfn.XLOOKUP($D56,'Modelling New'!$D:$D,'Modelling New'!$W:$W),"")</f>
        <v>0.29828439778813276</v>
      </c>
      <c r="AG56" s="186">
        <f>IFERROR(_xlfn.XLOOKUP($D56,'Modelling New'!$D:$D,'Modelling New'!$AE:$AE),"")</f>
        <v>0.96029999999999993</v>
      </c>
      <c r="AH56" s="186">
        <f>IFERROR(_xlfn.XLOOKUP($D56,'Modelling New'!$D:$D,'Modelling New'!$AF:$AF),"")</f>
        <v>0.995</v>
      </c>
      <c r="AI56" s="167">
        <f>IFERROR(_xlfn.XLOOKUP($A56,Input_Raw!$A:$A,Input_Raw!$DE:$DE),"")</f>
        <v>286.08</v>
      </c>
      <c r="AJ56" s="167"/>
      <c r="AK56" s="167"/>
      <c r="AL56" s="167"/>
      <c r="AM56" s="167"/>
      <c r="AN56" s="188">
        <f>IFERROR(_xlfn.XLOOKUP($A56,Input_Raw!$A:$A,Input_Raw!$DB:$DB),"")</f>
        <v>1.5417370237134076E-3</v>
      </c>
      <c r="AO56" s="186">
        <f>IFERROR((_xlfn.XLOOKUP($A56,'WTG Reactive Power'!$A:$A,'WTG Reactive Power'!$AR:$AR))/X56/1000,"")</f>
        <v>7.1402351411161338E-5</v>
      </c>
      <c r="AP56" s="186">
        <f>IFERROR(_xlfn.XLOOKUP($D56,'Modelling New'!$D:$D,'Modelling New'!$AK:$AK),"")</f>
        <v>0.05</v>
      </c>
      <c r="AQ56" s="186">
        <f>IFERROR(_xlfn.XLOOKUP($D56,'Modelling New'!$D:$D,'Modelling New'!$AL:$AL),"")</f>
        <v>0.05</v>
      </c>
      <c r="AR56">
        <f>IFERROR(_xlfn.XLOOKUP($D56,'Modelling New'!$D:$D,'Modelling New'!$N:$N),"")</f>
        <v>78</v>
      </c>
    </row>
    <row r="57" spans="1:44">
      <c r="A57" s="180">
        <f t="shared" si="7"/>
        <v>45800</v>
      </c>
      <c r="B57" s="169">
        <f>YEAR(Table13[[#This Row],[Date]])+IF(MONTH(Table13[[#This Row],[Date]])&gt;=4,1,0)</f>
        <v>2026</v>
      </c>
      <c r="C57" s="167">
        <f>YEAR(Table13[[#This Row],[Date]])</f>
        <v>2025</v>
      </c>
      <c r="D57" s="181">
        <f>Table13[[#This Row],[Date]]-DAY(Table13[[#This Row],[Date]])+1</f>
        <v>45778</v>
      </c>
      <c r="E57" s="167">
        <f t="shared" si="4"/>
        <v>31</v>
      </c>
      <c r="F57" s="170"/>
      <c r="G57" s="171"/>
      <c r="H57" s="171"/>
      <c r="I57" s="171"/>
      <c r="J57" s="171"/>
      <c r="K57" s="182"/>
      <c r="L57" s="171"/>
      <c r="M57" s="171">
        <f>IFERROR(_xlfn.XLOOKUP($A57,Input_Raw!$A:$A,Input_Raw!CG:CG),"")</f>
        <v>2.9906115795012349</v>
      </c>
      <c r="N57" s="171">
        <f>IFERROR(_xlfn.XLOOKUP($A57,Input_Raw!$A:$A,Input_Raw!CH:CH),"")</f>
        <v>0</v>
      </c>
      <c r="O57" s="183">
        <f t="shared" si="6"/>
        <v>0.87137577702775515</v>
      </c>
      <c r="P57" s="183">
        <f>IFERROR(1-SUMIF(WTG_BD!$B:$B,$A57,WTG_BD!$AB:$AB)/($AA57+SUMIF(WTG_BD!$B:$B,$A57,WTG_BD!$AB:$AB)),"")</f>
        <v>0.93583044571993867</v>
      </c>
      <c r="Q57" s="184">
        <f>IFERROR(1-SUMIF(IGA_BD!$B:$B,$A57,IGA_BD!$X:$X)/($AA57+SUMIF(IGA_BD!$B:$B,$A57,IGA_BD!$X:$X)),"")</f>
        <v>0.93112569805035761</v>
      </c>
      <c r="R57" s="189">
        <f>IFERROR(1-SUMIF(Grid_BD!$B:$B,$A57,Grid_BD!$V:$V)/($AA57+SUMIF(Grid_BD!$B:$B,$A57,Grid_BD!$V:$V)),"")</f>
        <v>1</v>
      </c>
      <c r="S57" s="167"/>
      <c r="T57" s="184"/>
      <c r="U57" s="185"/>
      <c r="V57" s="167"/>
      <c r="W57" s="186">
        <f>IFERROR(Table13[[#This Row],[Mtr_Net_Exp (KWh)]]/(24*AR57*1000),"")</f>
        <v>4.230769230769231E-2</v>
      </c>
      <c r="X57" s="167">
        <f>IFERROR(_xlfn.XLOOKUP($A57,Input_Raw!$A:$A,Input_Raw!$CF:$CF),"")</f>
        <v>87964</v>
      </c>
      <c r="Y57" s="167">
        <f>IFERROR(_xlfn.XLOOKUP($A57,Input_Raw!$A:$A,Input_Raw!$CZ:$CZ),"")</f>
        <v>84000</v>
      </c>
      <c r="Z57" s="167">
        <f>IFERROR(_xlfn.XLOOKUP($A57,Input_Raw!$A:$A,Input_Raw!$DA:$DA),"")</f>
        <v>4800</v>
      </c>
      <c r="AA57" s="169">
        <f t="shared" si="5"/>
        <v>79200</v>
      </c>
      <c r="AB57" s="167">
        <f>IFERROR(_xlfn.XLOOKUP($A57,Input_Raw!$A:$A,Input_Raw!$DG:$DG),"")</f>
        <v>78</v>
      </c>
      <c r="AC57" s="187">
        <f>IFERROR(_xlfn.XLOOKUP($D57,'Modelling New'!$D:$D,'Modelling New'!$J:$J),"")</f>
        <v>6.5666666666666664</v>
      </c>
      <c r="AD57" s="169">
        <f>IFERROR(_xlfn.XLOOKUP($D57,'Modelling New'!$D:$D,'Modelling New'!$T:$T)*1000,"")</f>
        <v>558388.39265938452</v>
      </c>
      <c r="AE57" s="186"/>
      <c r="AF57" s="186">
        <f>IFERROR(_xlfn.XLOOKUP($D57,'Modelling New'!$D:$D,'Modelling New'!$W:$W),"")</f>
        <v>0.29828439778813276</v>
      </c>
      <c r="AG57" s="186">
        <f>IFERROR(_xlfn.XLOOKUP($D57,'Modelling New'!$D:$D,'Modelling New'!$AE:$AE),"")</f>
        <v>0.96029999999999993</v>
      </c>
      <c r="AH57" s="186">
        <f>IFERROR(_xlfn.XLOOKUP($D57,'Modelling New'!$D:$D,'Modelling New'!$AF:$AF),"")</f>
        <v>0.995</v>
      </c>
      <c r="AI57" s="167">
        <f>IFERROR(_xlfn.XLOOKUP($A57,Input_Raw!$A:$A,Input_Raw!$DE:$DE),"")</f>
        <v>87.96</v>
      </c>
      <c r="AJ57" s="167"/>
      <c r="AK57" s="167"/>
      <c r="AL57" s="167"/>
      <c r="AM57" s="167"/>
      <c r="AN57" s="188">
        <f>IFERROR(_xlfn.XLOOKUP($A57,Input_Raw!$A:$A,Input_Raw!$DB:$DB),"")</f>
        <v>4.506388977308895E-2</v>
      </c>
      <c r="AO57" s="186">
        <f>IFERROR((_xlfn.XLOOKUP($A57,'WTG Reactive Power'!$A:$A,'WTG Reactive Power'!$AR:$AR))/X57/1000,"")</f>
        <v>2.0484516393069893E-4</v>
      </c>
      <c r="AP57" s="186">
        <f>IFERROR(_xlfn.XLOOKUP($D57,'Modelling New'!$D:$D,'Modelling New'!$AK:$AK),"")</f>
        <v>0.05</v>
      </c>
      <c r="AQ57" s="186">
        <f>IFERROR(_xlfn.XLOOKUP($D57,'Modelling New'!$D:$D,'Modelling New'!$AL:$AL),"")</f>
        <v>0.05</v>
      </c>
      <c r="AR57">
        <f>IFERROR(_xlfn.XLOOKUP($D57,'Modelling New'!$D:$D,'Modelling New'!$N:$N),"")</f>
        <v>78</v>
      </c>
    </row>
    <row r="58" spans="1:44">
      <c r="A58" s="180">
        <f t="shared" si="7"/>
        <v>45801</v>
      </c>
      <c r="B58" s="169">
        <f>YEAR(Table13[[#This Row],[Date]])+IF(MONTH(Table13[[#This Row],[Date]])&gt;=4,1,0)</f>
        <v>2026</v>
      </c>
      <c r="C58" s="167">
        <f>YEAR(Table13[[#This Row],[Date]])</f>
        <v>2025</v>
      </c>
      <c r="D58" s="181">
        <f>Table13[[#This Row],[Date]]-DAY(Table13[[#This Row],[Date]])+1</f>
        <v>45778</v>
      </c>
      <c r="E58" s="167">
        <f t="shared" si="4"/>
        <v>31</v>
      </c>
      <c r="F58" s="170"/>
      <c r="G58" s="171"/>
      <c r="H58" s="171"/>
      <c r="I58" s="171"/>
      <c r="J58" s="171"/>
      <c r="K58" s="182"/>
      <c r="L58" s="171"/>
      <c r="M58" s="171">
        <f>IFERROR(_xlfn.XLOOKUP($A58,Input_Raw!$A:$A,Input_Raw!CG:CG),"")</f>
        <v>4.6823076923076918</v>
      </c>
      <c r="N58" s="171">
        <f>IFERROR(_xlfn.XLOOKUP($A58,Input_Raw!$A:$A,Input_Raw!CH:CH),"")</f>
        <v>0</v>
      </c>
      <c r="O58" s="183">
        <f t="shared" si="6"/>
        <v>0.92521193114383249</v>
      </c>
      <c r="P58" s="183">
        <f>IFERROR(1-SUMIF(WTG_BD!$B:$B,$A58,WTG_BD!$AB:$AB)/($AA58+SUMIF(WTG_BD!$B:$B,$A58,WTG_BD!$AB:$AB)),"")</f>
        <v>0.93167459467230174</v>
      </c>
      <c r="Q58" s="184">
        <f>IFERROR(1-SUMIF(IGA_BD!$B:$B,$A58,IGA_BD!$X:$X)/($AA58+SUMIF(IGA_BD!$B:$B,$A58,IGA_BD!$X:$X)),"")</f>
        <v>0.99306338976566988</v>
      </c>
      <c r="R58" s="189">
        <f>IFERROR(1-SUMIF(Grid_BD!$B:$B,$A58,Grid_BD!$V:$V)/($AA58+SUMIF(Grid_BD!$B:$B,$A58,Grid_BD!$V:$V)),"")</f>
        <v>1</v>
      </c>
      <c r="S58" s="167"/>
      <c r="T58" s="184"/>
      <c r="U58" s="185"/>
      <c r="V58" s="167"/>
      <c r="W58" s="186">
        <f>IFERROR(Table13[[#This Row],[Mtr_Net_Exp (KWh)]]/(24*AR58*1000),"")</f>
        <v>0.13589743589743589</v>
      </c>
      <c r="X58" s="167">
        <f>IFERROR(_xlfn.XLOOKUP($A58,Input_Raw!$A:$A,Input_Raw!$CF:$CF),"")</f>
        <v>261720</v>
      </c>
      <c r="Y58" s="167">
        <f>IFERROR(_xlfn.XLOOKUP($A58,Input_Raw!$A:$A,Input_Raw!$CZ:$CZ),"")</f>
        <v>258000</v>
      </c>
      <c r="Z58" s="167">
        <f>IFERROR(_xlfn.XLOOKUP($A58,Input_Raw!$A:$A,Input_Raw!$DA:$DA),"")</f>
        <v>3600</v>
      </c>
      <c r="AA58" s="169">
        <f t="shared" si="5"/>
        <v>254400</v>
      </c>
      <c r="AB58" s="167">
        <f>IFERROR(_xlfn.XLOOKUP($A58,Input_Raw!$A:$A,Input_Raw!$DG:$DG),"")</f>
        <v>78</v>
      </c>
      <c r="AC58" s="187">
        <f>IFERROR(_xlfn.XLOOKUP($D58,'Modelling New'!$D:$D,'Modelling New'!$J:$J),"")</f>
        <v>6.5666666666666664</v>
      </c>
      <c r="AD58" s="169">
        <f>IFERROR(_xlfn.XLOOKUP($D58,'Modelling New'!$D:$D,'Modelling New'!$T:$T)*1000,"")</f>
        <v>558388.39265938452</v>
      </c>
      <c r="AE58" s="186"/>
      <c r="AF58" s="186">
        <f>IFERROR(_xlfn.XLOOKUP($D58,'Modelling New'!$D:$D,'Modelling New'!$W:$W),"")</f>
        <v>0.29828439778813276</v>
      </c>
      <c r="AG58" s="186">
        <f>IFERROR(_xlfn.XLOOKUP($D58,'Modelling New'!$D:$D,'Modelling New'!$AE:$AE),"")</f>
        <v>0.96029999999999993</v>
      </c>
      <c r="AH58" s="186">
        <f>IFERROR(_xlfn.XLOOKUP($D58,'Modelling New'!$D:$D,'Modelling New'!$AF:$AF),"")</f>
        <v>0.995</v>
      </c>
      <c r="AI58" s="167">
        <f>IFERROR(_xlfn.XLOOKUP($A58,Input_Raw!$A:$A,Input_Raw!$DE:$DE),"")</f>
        <v>261.72000000000003</v>
      </c>
      <c r="AJ58" s="167"/>
      <c r="AK58" s="167"/>
      <c r="AL58" s="167"/>
      <c r="AM58" s="167"/>
      <c r="AN58" s="188">
        <f>IFERROR(_xlfn.XLOOKUP($A58,Input_Raw!$A:$A,Input_Raw!$DB:$DB),"")</f>
        <v>1.421366345712971E-2</v>
      </c>
      <c r="AO58" s="186">
        <f>IFERROR((_xlfn.XLOOKUP($A58,'WTG Reactive Power'!$A:$A,'WTG Reactive Power'!$AR:$AR))/X58/1000,"")</f>
        <v>2.3043710836007948E-5</v>
      </c>
      <c r="AP58" s="186">
        <f>IFERROR(_xlfn.XLOOKUP($D58,'Modelling New'!$D:$D,'Modelling New'!$AK:$AK),"")</f>
        <v>0.05</v>
      </c>
      <c r="AQ58" s="186">
        <f>IFERROR(_xlfn.XLOOKUP($D58,'Modelling New'!$D:$D,'Modelling New'!$AL:$AL),"")</f>
        <v>0.05</v>
      </c>
      <c r="AR58">
        <f>IFERROR(_xlfn.XLOOKUP($D58,'Modelling New'!$D:$D,'Modelling New'!$N:$N),"")</f>
        <v>78</v>
      </c>
    </row>
    <row r="59" spans="1:44">
      <c r="A59" s="180">
        <f t="shared" si="7"/>
        <v>45802</v>
      </c>
      <c r="B59" s="169">
        <f>YEAR(Table13[[#This Row],[Date]])+IF(MONTH(Table13[[#This Row],[Date]])&gt;=4,1,0)</f>
        <v>2026</v>
      </c>
      <c r="C59" s="167">
        <f>YEAR(Table13[[#This Row],[Date]])</f>
        <v>2025</v>
      </c>
      <c r="D59" s="181">
        <f>Table13[[#This Row],[Date]]-DAY(Table13[[#This Row],[Date]])+1</f>
        <v>45778</v>
      </c>
      <c r="E59" s="167">
        <f t="shared" si="4"/>
        <v>31</v>
      </c>
      <c r="F59" s="170"/>
      <c r="G59" s="171"/>
      <c r="H59" s="171"/>
      <c r="I59" s="171"/>
      <c r="J59" s="171"/>
      <c r="K59" s="182"/>
      <c r="L59" s="171"/>
      <c r="M59" s="171">
        <f>IFERROR(_xlfn.XLOOKUP($A59,Input_Raw!$A:$A,Input_Raw!CG:CG),"")</f>
        <v>3.885204939707056</v>
      </c>
      <c r="N59" s="171">
        <f>IFERROR(_xlfn.XLOOKUP($A59,Input_Raw!$A:$A,Input_Raw!CH:CH),"")</f>
        <v>0</v>
      </c>
      <c r="O59" s="183">
        <f t="shared" si="6"/>
        <v>0.94276978554459556</v>
      </c>
      <c r="P59" s="183">
        <f>IFERROR(1-SUMIF(WTG_BD!$B:$B,$A59,WTG_BD!$AB:$AB)/($AA59+SUMIF(WTG_BD!$B:$B,$A59,WTG_BD!$AB:$AB)),"")</f>
        <v>0.94276978554459556</v>
      </c>
      <c r="Q59" s="184">
        <f>IFERROR(1-SUMIF(IGA_BD!$B:$B,$A59,IGA_BD!$X:$X)/($AA59+SUMIF(IGA_BD!$B:$B,$A59,IGA_BD!$X:$X)),"")</f>
        <v>1</v>
      </c>
      <c r="R59" s="189">
        <f>IFERROR(1-SUMIF(Grid_BD!$B:$B,$A59,Grid_BD!$V:$V)/($AA59+SUMIF(Grid_BD!$B:$B,$A59,Grid_BD!$V:$V)),"")</f>
        <v>1</v>
      </c>
      <c r="S59" s="167"/>
      <c r="T59" s="184"/>
      <c r="U59" s="185"/>
      <c r="V59" s="167"/>
      <c r="W59" s="186">
        <f>IFERROR(Table13[[#This Row],[Mtr_Net_Exp (KWh)]]/(24*AR59*1000),"")</f>
        <v>0.12307692307692308</v>
      </c>
      <c r="X59" s="167">
        <f>IFERROR(_xlfn.XLOOKUP($A59,Input_Raw!$A:$A,Input_Raw!$CF:$CF),"")</f>
        <v>236447</v>
      </c>
      <c r="Y59" s="167">
        <f>IFERROR(_xlfn.XLOOKUP($A59,Input_Raw!$A:$A,Input_Raw!$CZ:$CZ),"")</f>
        <v>231600</v>
      </c>
      <c r="Z59" s="167">
        <f>IFERROR(_xlfn.XLOOKUP($A59,Input_Raw!$A:$A,Input_Raw!$DA:$DA),"")</f>
        <v>1200</v>
      </c>
      <c r="AA59" s="169">
        <f t="shared" si="5"/>
        <v>230400</v>
      </c>
      <c r="AB59" s="167">
        <f>IFERROR(_xlfn.XLOOKUP($A59,Input_Raw!$A:$A,Input_Raw!$DG:$DG),"")</f>
        <v>78</v>
      </c>
      <c r="AC59" s="187">
        <f>IFERROR(_xlfn.XLOOKUP($D59,'Modelling New'!$D:$D,'Modelling New'!$J:$J),"")</f>
        <v>6.5666666666666664</v>
      </c>
      <c r="AD59" s="169">
        <f>IFERROR(_xlfn.XLOOKUP($D59,'Modelling New'!$D:$D,'Modelling New'!$T:$T)*1000,"")</f>
        <v>558388.39265938452</v>
      </c>
      <c r="AE59" s="186"/>
      <c r="AF59" s="186">
        <f>IFERROR(_xlfn.XLOOKUP($D59,'Modelling New'!$D:$D,'Modelling New'!$W:$W),"")</f>
        <v>0.29828439778813276</v>
      </c>
      <c r="AG59" s="186">
        <f>IFERROR(_xlfn.XLOOKUP($D59,'Modelling New'!$D:$D,'Modelling New'!$AE:$AE),"")</f>
        <v>0.96029999999999993</v>
      </c>
      <c r="AH59" s="186">
        <f>IFERROR(_xlfn.XLOOKUP($D59,'Modelling New'!$D:$D,'Modelling New'!$AF:$AF),"")</f>
        <v>0.995</v>
      </c>
      <c r="AI59" s="167">
        <f>IFERROR(_xlfn.XLOOKUP($A59,Input_Raw!$A:$A,Input_Raw!$DE:$DE),"")</f>
        <v>236.44</v>
      </c>
      <c r="AJ59" s="167"/>
      <c r="AK59" s="167"/>
      <c r="AL59" s="167"/>
      <c r="AM59" s="167"/>
      <c r="AN59" s="188">
        <f>IFERROR(_xlfn.XLOOKUP($A59,Input_Raw!$A:$A,Input_Raw!$DB:$DB),"")</f>
        <v>2.0499308513112879E-2</v>
      </c>
      <c r="AO59" s="186">
        <f>IFERROR((_xlfn.XLOOKUP($A59,'WTG Reactive Power'!$A:$A,'WTG Reactive Power'!$AR:$AR))/X59/1000,"")</f>
        <v>2.5506773188071747E-5</v>
      </c>
      <c r="AP59" s="186">
        <f>IFERROR(_xlfn.XLOOKUP($D59,'Modelling New'!$D:$D,'Modelling New'!$AK:$AK),"")</f>
        <v>0.05</v>
      </c>
      <c r="AQ59" s="186">
        <f>IFERROR(_xlfn.XLOOKUP($D59,'Modelling New'!$D:$D,'Modelling New'!$AL:$AL),"")</f>
        <v>0.05</v>
      </c>
      <c r="AR59">
        <f>IFERROR(_xlfn.XLOOKUP($D59,'Modelling New'!$D:$D,'Modelling New'!$N:$N),"")</f>
        <v>78</v>
      </c>
    </row>
    <row r="60" spans="1:44">
      <c r="A60" s="180">
        <f t="shared" si="7"/>
        <v>45803</v>
      </c>
      <c r="B60" s="169">
        <f>YEAR(Table13[[#This Row],[Date]])+IF(MONTH(Table13[[#This Row],[Date]])&gt;=4,1,0)</f>
        <v>2026</v>
      </c>
      <c r="C60" s="167">
        <f>YEAR(Table13[[#This Row],[Date]])</f>
        <v>2025</v>
      </c>
      <c r="D60" s="181">
        <f>Table13[[#This Row],[Date]]-DAY(Table13[[#This Row],[Date]])+1</f>
        <v>45778</v>
      </c>
      <c r="E60" s="167">
        <f t="shared" si="4"/>
        <v>31</v>
      </c>
      <c r="F60" s="170"/>
      <c r="G60" s="171"/>
      <c r="H60" s="171"/>
      <c r="I60" s="171"/>
      <c r="J60" s="171"/>
      <c r="K60" s="182"/>
      <c r="L60" s="171"/>
      <c r="M60" s="171">
        <f>IFERROR(_xlfn.XLOOKUP($A60,Input_Raw!$A:$A,Input_Raw!CG:CG),"")</f>
        <v>3.4951282051282053</v>
      </c>
      <c r="N60" s="171">
        <f>IFERROR(_xlfn.XLOOKUP($A60,Input_Raw!$A:$A,Input_Raw!CH:CH),"")</f>
        <v>0</v>
      </c>
      <c r="O60" s="183">
        <f t="shared" si="6"/>
        <v>0.92826352201155005</v>
      </c>
      <c r="P60" s="183">
        <f>IFERROR(1-SUMIF(WTG_BD!$B:$B,$A60,WTG_BD!$AB:$AB)/($AA60+SUMIF(WTG_BD!$B:$B,$A60,WTG_BD!$AB:$AB)),"")</f>
        <v>0.92826352201155005</v>
      </c>
      <c r="Q60" s="184">
        <f>IFERROR(1-SUMIF(IGA_BD!$B:$B,$A60,IGA_BD!$X:$X)/($AA60+SUMIF(IGA_BD!$B:$B,$A60,IGA_BD!$X:$X)),"")</f>
        <v>1</v>
      </c>
      <c r="R60" s="189">
        <f>IFERROR(1-SUMIF(Grid_BD!$B:$B,$A60,Grid_BD!$V:$V)/($AA60+SUMIF(Grid_BD!$B:$B,$A60,Grid_BD!$V:$V)),"")</f>
        <v>1</v>
      </c>
      <c r="S60" s="167"/>
      <c r="T60" s="184"/>
      <c r="U60" s="185"/>
      <c r="V60" s="167"/>
      <c r="W60" s="186">
        <f>IFERROR(Table13[[#This Row],[Mtr_Net_Exp (KWh)]]/(24*AR60*1000),"")</f>
        <v>7.179487179487179E-2</v>
      </c>
      <c r="X60" s="167">
        <f>IFERROR(_xlfn.XLOOKUP($A60,Input_Raw!$A:$A,Input_Raw!$CF:$CF),"")</f>
        <v>140266</v>
      </c>
      <c r="Y60" s="167">
        <f>IFERROR(_xlfn.XLOOKUP($A60,Input_Raw!$A:$A,Input_Raw!$CZ:$CZ),"")</f>
        <v>138000</v>
      </c>
      <c r="Z60" s="167">
        <f>IFERROR(_xlfn.XLOOKUP($A60,Input_Raw!$A:$A,Input_Raw!$DA:$DA),"")</f>
        <v>3600</v>
      </c>
      <c r="AA60" s="169">
        <f t="shared" si="5"/>
        <v>134400</v>
      </c>
      <c r="AB60" s="167">
        <f>IFERROR(_xlfn.XLOOKUP($A60,Input_Raw!$A:$A,Input_Raw!$DG:$DG),"")</f>
        <v>78</v>
      </c>
      <c r="AC60" s="187">
        <f>IFERROR(_xlfn.XLOOKUP($D60,'Modelling New'!$D:$D,'Modelling New'!$J:$J),"")</f>
        <v>6.5666666666666664</v>
      </c>
      <c r="AD60" s="169">
        <f>IFERROR(_xlfn.XLOOKUP($D60,'Modelling New'!$D:$D,'Modelling New'!$T:$T)*1000,"")</f>
        <v>558388.39265938452</v>
      </c>
      <c r="AE60" s="186"/>
      <c r="AF60" s="186">
        <f>IFERROR(_xlfn.XLOOKUP($D60,'Modelling New'!$D:$D,'Modelling New'!$W:$W),"")</f>
        <v>0.29828439778813276</v>
      </c>
      <c r="AG60" s="186">
        <f>IFERROR(_xlfn.XLOOKUP($D60,'Modelling New'!$D:$D,'Modelling New'!$AE:$AE),"")</f>
        <v>0.96029999999999993</v>
      </c>
      <c r="AH60" s="186">
        <f>IFERROR(_xlfn.XLOOKUP($D60,'Modelling New'!$D:$D,'Modelling New'!$AF:$AF),"")</f>
        <v>0.995</v>
      </c>
      <c r="AI60" s="167">
        <f>IFERROR(_xlfn.XLOOKUP($A60,Input_Raw!$A:$A,Input_Raw!$DE:$DE),"")</f>
        <v>140.26</v>
      </c>
      <c r="AJ60" s="167"/>
      <c r="AK60" s="167"/>
      <c r="AL60" s="167"/>
      <c r="AM60" s="167"/>
      <c r="AN60" s="188">
        <f>IFERROR(_xlfn.XLOOKUP($A60,Input_Raw!$A:$A,Input_Raw!$DB:$DB),"")</f>
        <v>1.6155019748192667E-2</v>
      </c>
      <c r="AO60" s="186">
        <f>IFERROR((_xlfn.XLOOKUP($A60,'WTG Reactive Power'!$A:$A,'WTG Reactive Power'!$AR:$AR))/X60/1000,"")</f>
        <v>6.8583976159582505E-5</v>
      </c>
      <c r="AP60" s="186">
        <f>IFERROR(_xlfn.XLOOKUP($D60,'Modelling New'!$D:$D,'Modelling New'!$AK:$AK),"")</f>
        <v>0.05</v>
      </c>
      <c r="AQ60" s="186">
        <f>IFERROR(_xlfn.XLOOKUP($D60,'Modelling New'!$D:$D,'Modelling New'!$AL:$AL),"")</f>
        <v>0.05</v>
      </c>
      <c r="AR60">
        <f>IFERROR(_xlfn.XLOOKUP($D60,'Modelling New'!$D:$D,'Modelling New'!$N:$N),"")</f>
        <v>78</v>
      </c>
    </row>
    <row r="61" spans="1:44">
      <c r="A61" s="180">
        <f t="shared" si="7"/>
        <v>45804</v>
      </c>
      <c r="B61" s="169">
        <f>YEAR(Table13[[#This Row],[Date]])+IF(MONTH(Table13[[#This Row],[Date]])&gt;=4,1,0)</f>
        <v>2026</v>
      </c>
      <c r="C61" s="167">
        <f>YEAR(Table13[[#This Row],[Date]])</f>
        <v>2025</v>
      </c>
      <c r="D61" s="181">
        <f>Table13[[#This Row],[Date]]-DAY(Table13[[#This Row],[Date]])+1</f>
        <v>45778</v>
      </c>
      <c r="E61" s="167">
        <f t="shared" si="4"/>
        <v>31</v>
      </c>
      <c r="F61" s="170"/>
      <c r="G61" s="171"/>
      <c r="H61" s="171"/>
      <c r="I61" s="171"/>
      <c r="J61" s="171"/>
      <c r="K61" s="182"/>
      <c r="L61" s="171"/>
      <c r="M61" s="171">
        <f>IFERROR(_xlfn.XLOOKUP($A61,Input_Raw!$A:$A,Input_Raw!CG:CG),"")</f>
        <v>4.8151282051282047</v>
      </c>
      <c r="N61" s="171">
        <f>IFERROR(_xlfn.XLOOKUP($A61,Input_Raw!$A:$A,Input_Raw!CH:CH),"")</f>
        <v>0</v>
      </c>
      <c r="O61" s="183">
        <f t="shared" si="6"/>
        <v>0.88224635097139881</v>
      </c>
      <c r="P61" s="183">
        <f>IFERROR(1-SUMIF(WTG_BD!$B:$B,$A61,WTG_BD!$AB:$AB)/($AA61+SUMIF(WTG_BD!$B:$B,$A61,WTG_BD!$AB:$AB)),"")</f>
        <v>0.92919692652061903</v>
      </c>
      <c r="Q61" s="184">
        <f>IFERROR(1-SUMIF(IGA_BD!$B:$B,$A61,IGA_BD!$X:$X)/($AA61+SUMIF(IGA_BD!$B:$B,$A61,IGA_BD!$X:$X)),"")</f>
        <v>0.94947187812488054</v>
      </c>
      <c r="R61" s="189">
        <f>IFERROR(1-SUMIF(Grid_BD!$B:$B,$A61,Grid_BD!$V:$V)/($AA61+SUMIF(Grid_BD!$B:$B,$A61,Grid_BD!$V:$V)),"")</f>
        <v>1</v>
      </c>
      <c r="S61" s="167"/>
      <c r="T61" s="184"/>
      <c r="U61" s="185"/>
      <c r="V61" s="167"/>
      <c r="W61" s="186">
        <f>IFERROR(Table13[[#This Row],[Mtr_Net_Exp (KWh)]]/(24*AR61*1000),"")</f>
        <v>0.23205128205128206</v>
      </c>
      <c r="X61" s="167">
        <f>IFERROR(_xlfn.XLOOKUP($A61,Input_Raw!$A:$A,Input_Raw!$CF:$CF),"")</f>
        <v>436047</v>
      </c>
      <c r="Y61" s="167">
        <f>IFERROR(_xlfn.XLOOKUP($A61,Input_Raw!$A:$A,Input_Raw!$CZ:$CZ),"")</f>
        <v>434400</v>
      </c>
      <c r="Z61" s="167">
        <f>IFERROR(_xlfn.XLOOKUP($A61,Input_Raw!$A:$A,Input_Raw!$DA:$DA),"")</f>
        <v>0</v>
      </c>
      <c r="AA61" s="169">
        <f t="shared" si="5"/>
        <v>434400</v>
      </c>
      <c r="AB61" s="167">
        <f>IFERROR(_xlfn.XLOOKUP($A61,Input_Raw!$A:$A,Input_Raw!$DG:$DG),"")</f>
        <v>78</v>
      </c>
      <c r="AC61" s="187">
        <f>IFERROR(_xlfn.XLOOKUP($D61,'Modelling New'!$D:$D,'Modelling New'!$J:$J),"")</f>
        <v>6.5666666666666664</v>
      </c>
      <c r="AD61" s="169">
        <f>IFERROR(_xlfn.XLOOKUP($D61,'Modelling New'!$D:$D,'Modelling New'!$T:$T)*1000,"")</f>
        <v>558388.39265938452</v>
      </c>
      <c r="AE61" s="186"/>
      <c r="AF61" s="186">
        <f>IFERROR(_xlfn.XLOOKUP($D61,'Modelling New'!$D:$D,'Modelling New'!$W:$W),"")</f>
        <v>0.29828439778813276</v>
      </c>
      <c r="AG61" s="186">
        <f>IFERROR(_xlfn.XLOOKUP($D61,'Modelling New'!$D:$D,'Modelling New'!$AE:$AE),"")</f>
        <v>0.96029999999999993</v>
      </c>
      <c r="AH61" s="186">
        <f>IFERROR(_xlfn.XLOOKUP($D61,'Modelling New'!$D:$D,'Modelling New'!$AF:$AF),"")</f>
        <v>0.995</v>
      </c>
      <c r="AI61" s="167">
        <f>IFERROR(_xlfn.XLOOKUP($A61,Input_Raw!$A:$A,Input_Raw!$DE:$DE),"")</f>
        <v>436.04</v>
      </c>
      <c r="AJ61" s="167"/>
      <c r="AK61" s="167"/>
      <c r="AL61" s="167"/>
      <c r="AM61" s="167"/>
      <c r="AN61" s="188">
        <f>IFERROR(_xlfn.XLOOKUP($A61,Input_Raw!$A:$A,Input_Raw!$DB:$DB),"")</f>
        <v>3.777115769630357E-3</v>
      </c>
      <c r="AO61" s="186">
        <f>IFERROR((_xlfn.XLOOKUP($A61,'WTG Reactive Power'!$A:$A,'WTG Reactive Power'!$AR:$AR))/X61/1000,"")</f>
        <v>0</v>
      </c>
      <c r="AP61" s="186">
        <f>IFERROR(_xlfn.XLOOKUP($D61,'Modelling New'!$D:$D,'Modelling New'!$AK:$AK),"")</f>
        <v>0.05</v>
      </c>
      <c r="AQ61" s="186">
        <f>IFERROR(_xlfn.XLOOKUP($D61,'Modelling New'!$D:$D,'Modelling New'!$AL:$AL),"")</f>
        <v>0.05</v>
      </c>
      <c r="AR61">
        <f>IFERROR(_xlfn.XLOOKUP($D61,'Modelling New'!$D:$D,'Modelling New'!$N:$N),"")</f>
        <v>78</v>
      </c>
    </row>
    <row r="62" spans="1:44">
      <c r="A62" s="180">
        <f t="shared" si="7"/>
        <v>45805</v>
      </c>
      <c r="B62" s="169">
        <f>YEAR(Table13[[#This Row],[Date]])+IF(MONTH(Table13[[#This Row],[Date]])&gt;=4,1,0)</f>
        <v>2026</v>
      </c>
      <c r="C62" s="167">
        <f>YEAR(Table13[[#This Row],[Date]])</f>
        <v>2025</v>
      </c>
      <c r="D62" s="181">
        <f>Table13[[#This Row],[Date]]-DAY(Table13[[#This Row],[Date]])+1</f>
        <v>45778</v>
      </c>
      <c r="E62" s="167">
        <f t="shared" si="4"/>
        <v>31</v>
      </c>
      <c r="F62" s="170"/>
      <c r="G62" s="171"/>
      <c r="H62" s="171"/>
      <c r="I62" s="171"/>
      <c r="J62" s="171"/>
      <c r="K62" s="182"/>
      <c r="L62" s="171"/>
      <c r="M62" s="171">
        <f>IFERROR(_xlfn.XLOOKUP($A62,Input_Raw!$A:$A,Input_Raw!CG:CG),"")</f>
        <v>4.5097435897435885</v>
      </c>
      <c r="N62" s="171">
        <f>IFERROR(_xlfn.XLOOKUP($A62,Input_Raw!$A:$A,Input_Raw!CH:CH),"")</f>
        <v>0</v>
      </c>
      <c r="O62" s="183">
        <f t="shared" si="6"/>
        <v>0.91792531186271265</v>
      </c>
      <c r="P62" s="183">
        <f>IFERROR(1-SUMIF(WTG_BD!$B:$B,$A62,WTG_BD!$AB:$AB)/($AA62+SUMIF(WTG_BD!$B:$B,$A62,WTG_BD!$AB:$AB)),"")</f>
        <v>0.91837281147440364</v>
      </c>
      <c r="Q62" s="184">
        <f>IFERROR(1-SUMIF(IGA_BD!$B:$B,$A62,IGA_BD!$X:$X)/($AA62+SUMIF(IGA_BD!$B:$B,$A62,IGA_BD!$X:$X)),"")</f>
        <v>0.99951272554446324</v>
      </c>
      <c r="R62" s="189">
        <f>IFERROR(1-SUMIF(Grid_BD!$B:$B,$A62,Grid_BD!$V:$V)/($AA62+SUMIF(Grid_BD!$B:$B,$A62,Grid_BD!$V:$V)),"")</f>
        <v>1</v>
      </c>
      <c r="S62" s="167"/>
      <c r="T62" s="184"/>
      <c r="U62" s="185"/>
      <c r="V62" s="167"/>
      <c r="W62" s="186">
        <f>IFERROR(Table13[[#This Row],[Mtr_Net_Exp (KWh)]]/(24*AR62*1000),"")</f>
        <v>0.22243589743589742</v>
      </c>
      <c r="X62" s="167">
        <f>IFERROR(_xlfn.XLOOKUP($A62,Input_Raw!$A:$A,Input_Raw!$CF:$CF),"")</f>
        <v>424522</v>
      </c>
      <c r="Y62" s="167">
        <f>IFERROR(_xlfn.XLOOKUP($A62,Input_Raw!$A:$A,Input_Raw!$CZ:$CZ),"")</f>
        <v>420000</v>
      </c>
      <c r="Z62" s="167">
        <f>IFERROR(_xlfn.XLOOKUP($A62,Input_Raw!$A:$A,Input_Raw!$DA:$DA),"")</f>
        <v>3600</v>
      </c>
      <c r="AA62" s="169">
        <f t="shared" si="5"/>
        <v>416400</v>
      </c>
      <c r="AB62" s="167">
        <f>IFERROR(_xlfn.XLOOKUP($A62,Input_Raw!$A:$A,Input_Raw!$DG:$DG),"")</f>
        <v>78</v>
      </c>
      <c r="AC62" s="187">
        <f>IFERROR(_xlfn.XLOOKUP($D62,'Modelling New'!$D:$D,'Modelling New'!$J:$J),"")</f>
        <v>6.5666666666666664</v>
      </c>
      <c r="AD62" s="169">
        <f>IFERROR(_xlfn.XLOOKUP($D62,'Modelling New'!$D:$D,'Modelling New'!$T:$T)*1000,"")</f>
        <v>558388.39265938452</v>
      </c>
      <c r="AE62" s="186"/>
      <c r="AF62" s="186">
        <f>IFERROR(_xlfn.XLOOKUP($D62,'Modelling New'!$D:$D,'Modelling New'!$W:$W),"")</f>
        <v>0.29828439778813276</v>
      </c>
      <c r="AG62" s="186">
        <f>IFERROR(_xlfn.XLOOKUP($D62,'Modelling New'!$D:$D,'Modelling New'!$AE:$AE),"")</f>
        <v>0.96029999999999993</v>
      </c>
      <c r="AH62" s="186">
        <f>IFERROR(_xlfn.XLOOKUP($D62,'Modelling New'!$D:$D,'Modelling New'!$AF:$AF),"")</f>
        <v>0.995</v>
      </c>
      <c r="AI62" s="167">
        <f>IFERROR(_xlfn.XLOOKUP($A62,Input_Raw!$A:$A,Input_Raw!$DE:$DE),"")</f>
        <v>424.52</v>
      </c>
      <c r="AJ62" s="167"/>
      <c r="AK62" s="167"/>
      <c r="AL62" s="167"/>
      <c r="AM62" s="167"/>
      <c r="AN62" s="188">
        <f>IFERROR(_xlfn.XLOOKUP($A62,Input_Raw!$A:$A,Input_Raw!$DB:$DB),"")</f>
        <v>1.0651980344952627E-2</v>
      </c>
      <c r="AO62" s="186">
        <f>IFERROR((_xlfn.XLOOKUP($A62,'WTG Reactive Power'!$A:$A,'WTG Reactive Power'!$AR:$AR))/X62/1000,"")</f>
        <v>1.133039041557328E-5</v>
      </c>
      <c r="AP62" s="186">
        <f>IFERROR(_xlfn.XLOOKUP($D62,'Modelling New'!$D:$D,'Modelling New'!$AK:$AK),"")</f>
        <v>0.05</v>
      </c>
      <c r="AQ62" s="186">
        <f>IFERROR(_xlfn.XLOOKUP($D62,'Modelling New'!$D:$D,'Modelling New'!$AL:$AL),"")</f>
        <v>0.05</v>
      </c>
      <c r="AR62">
        <f>IFERROR(_xlfn.XLOOKUP($D62,'Modelling New'!$D:$D,'Modelling New'!$N:$N),"")</f>
        <v>78</v>
      </c>
    </row>
    <row r="63" spans="1:44">
      <c r="A63" s="180">
        <f t="shared" si="7"/>
        <v>45806</v>
      </c>
      <c r="B63" s="169">
        <f>YEAR(Table13[[#This Row],[Date]])+IF(MONTH(Table13[[#This Row],[Date]])&gt;=4,1,0)</f>
        <v>2026</v>
      </c>
      <c r="C63" s="167">
        <f>YEAR(Table13[[#This Row],[Date]])</f>
        <v>2025</v>
      </c>
      <c r="D63" s="181">
        <f>Table13[[#This Row],[Date]]-DAY(Table13[[#This Row],[Date]])+1</f>
        <v>45778</v>
      </c>
      <c r="E63" s="167">
        <f t="shared" si="4"/>
        <v>31</v>
      </c>
      <c r="F63" s="170"/>
      <c r="G63" s="171"/>
      <c r="H63" s="171"/>
      <c r="I63" s="171"/>
      <c r="J63" s="171"/>
      <c r="K63" s="182"/>
      <c r="L63" s="171"/>
      <c r="M63" s="171">
        <f>IFERROR(_xlfn.XLOOKUP($A63,Input_Raw!$A:$A,Input_Raw!CG:CG),"")</f>
        <v>5.7389743589743594</v>
      </c>
      <c r="N63" s="171">
        <f>IFERROR(_xlfn.XLOOKUP($A63,Input_Raw!$A:$A,Input_Raw!CH:CH),"")</f>
        <v>0</v>
      </c>
      <c r="O63" s="183">
        <f t="shared" si="6"/>
        <v>0.93021167331701227</v>
      </c>
      <c r="P63" s="183">
        <f>IFERROR(1-SUMIF(WTG_BD!$B:$B,$A63,WTG_BD!$AB:$AB)/($AA63+SUMIF(WTG_BD!$B:$B,$A63,WTG_BD!$AB:$AB)),"")</f>
        <v>0.93183026962592552</v>
      </c>
      <c r="Q63" s="184">
        <f>IFERROR(1-SUMIF(IGA_BD!$B:$B,$A63,IGA_BD!$X:$X)/($AA63+SUMIF(IGA_BD!$B:$B,$A63,IGA_BD!$X:$X)),"")</f>
        <v>0.99826299234777705</v>
      </c>
      <c r="R63" s="189">
        <f>IFERROR(1-SUMIF(Grid_BD!$B:$B,$A63,Grid_BD!$V:$V)/($AA63+SUMIF(Grid_BD!$B:$B,$A63,Grid_BD!$V:$V)),"")</f>
        <v>1</v>
      </c>
      <c r="S63" s="167"/>
      <c r="T63" s="184"/>
      <c r="U63" s="185"/>
      <c r="V63" s="167"/>
      <c r="W63" s="186">
        <f>IFERROR(Table13[[#This Row],[Mtr_Net_Exp (KWh)]]/(24*AR63*1000),"")</f>
        <v>0.28397435897435896</v>
      </c>
      <c r="X63" s="167">
        <f>IFERROR(_xlfn.XLOOKUP($A63,Input_Raw!$A:$A,Input_Raw!$CF:$CF),"")</f>
        <v>539046</v>
      </c>
      <c r="Y63" s="167">
        <f>IFERROR(_xlfn.XLOOKUP($A63,Input_Raw!$A:$A,Input_Raw!$CZ:$CZ),"")</f>
        <v>531600</v>
      </c>
      <c r="Z63" s="167">
        <f>IFERROR(_xlfn.XLOOKUP($A63,Input_Raw!$A:$A,Input_Raw!$DA:$DA),"")</f>
        <v>0</v>
      </c>
      <c r="AA63" s="169">
        <f t="shared" si="5"/>
        <v>531600</v>
      </c>
      <c r="AB63" s="167">
        <f>IFERROR(_xlfn.XLOOKUP($A63,Input_Raw!$A:$A,Input_Raw!$DG:$DG),"")</f>
        <v>78</v>
      </c>
      <c r="AC63" s="187">
        <f>IFERROR(_xlfn.XLOOKUP($D63,'Modelling New'!$D:$D,'Modelling New'!$J:$J),"")</f>
        <v>6.5666666666666664</v>
      </c>
      <c r="AD63" s="169">
        <f>IFERROR(_xlfn.XLOOKUP($D63,'Modelling New'!$D:$D,'Modelling New'!$T:$T)*1000,"")</f>
        <v>558388.39265938452</v>
      </c>
      <c r="AE63" s="186"/>
      <c r="AF63" s="186">
        <f>IFERROR(_xlfn.XLOOKUP($D63,'Modelling New'!$D:$D,'Modelling New'!$W:$W),"")</f>
        <v>0.29828439778813276</v>
      </c>
      <c r="AG63" s="186">
        <f>IFERROR(_xlfn.XLOOKUP($D63,'Modelling New'!$D:$D,'Modelling New'!$AE:$AE),"")</f>
        <v>0.96029999999999993</v>
      </c>
      <c r="AH63" s="186">
        <f>IFERROR(_xlfn.XLOOKUP($D63,'Modelling New'!$D:$D,'Modelling New'!$AF:$AF),"")</f>
        <v>0.995</v>
      </c>
      <c r="AI63" s="167">
        <f>IFERROR(_xlfn.XLOOKUP($A63,Input_Raw!$A:$A,Input_Raw!$DE:$DE),"")</f>
        <v>539.04</v>
      </c>
      <c r="AJ63" s="167"/>
      <c r="AK63" s="167"/>
      <c r="AL63" s="167"/>
      <c r="AM63" s="167"/>
      <c r="AN63" s="188">
        <f>IFERROR(_xlfn.XLOOKUP($A63,Input_Raw!$A:$A,Input_Raw!$DB:$DB),"")</f>
        <v>1.3813292372079511E-2</v>
      </c>
      <c r="AO63" s="186">
        <f>IFERROR((_xlfn.XLOOKUP($A63,'WTG Reactive Power'!$A:$A,'WTG Reactive Power'!$AR:$AR))/X63/1000,"")</f>
        <v>2.2651128104095013E-6</v>
      </c>
      <c r="AP63" s="186">
        <f>IFERROR(_xlfn.XLOOKUP($D63,'Modelling New'!$D:$D,'Modelling New'!$AK:$AK),"")</f>
        <v>0.05</v>
      </c>
      <c r="AQ63" s="186">
        <f>IFERROR(_xlfn.XLOOKUP($D63,'Modelling New'!$D:$D,'Modelling New'!$AL:$AL),"")</f>
        <v>0.05</v>
      </c>
      <c r="AR63">
        <f>IFERROR(_xlfn.XLOOKUP($D63,'Modelling New'!$D:$D,'Modelling New'!$N:$N),"")</f>
        <v>78</v>
      </c>
    </row>
    <row r="64" spans="1:44">
      <c r="A64" s="180">
        <f t="shared" si="7"/>
        <v>45807</v>
      </c>
      <c r="B64" s="169">
        <f>YEAR(Table13[[#This Row],[Date]])+IF(MONTH(Table13[[#This Row],[Date]])&gt;=4,1,0)</f>
        <v>2026</v>
      </c>
      <c r="C64" s="167">
        <f>YEAR(Table13[[#This Row],[Date]])</f>
        <v>2025</v>
      </c>
      <c r="D64" s="181">
        <f>Table13[[#This Row],[Date]]-DAY(Table13[[#This Row],[Date]])+1</f>
        <v>45778</v>
      </c>
      <c r="E64" s="167">
        <f t="shared" si="4"/>
        <v>31</v>
      </c>
      <c r="F64" s="170"/>
      <c r="G64" s="171"/>
      <c r="H64" s="171"/>
      <c r="I64" s="171"/>
      <c r="J64" s="171"/>
      <c r="K64" s="182"/>
      <c r="L64" s="171"/>
      <c r="M64" s="171">
        <f>IFERROR(_xlfn.XLOOKUP($A64,Input_Raw!$A:$A,Input_Raw!CG:CG),"")</f>
        <v>5.25979450046166</v>
      </c>
      <c r="N64" s="171">
        <f>IFERROR(_xlfn.XLOOKUP($A64,Input_Raw!$A:$A,Input_Raw!CH:CH),"")</f>
        <v>0</v>
      </c>
      <c r="O64" s="183">
        <f t="shared" si="6"/>
        <v>0.94209470617302393</v>
      </c>
      <c r="P64" s="183">
        <f>IFERROR(1-SUMIF(WTG_BD!$B:$B,$A64,WTG_BD!$AB:$AB)/($AA64+SUMIF(WTG_BD!$B:$B,$A64,WTG_BD!$AB:$AB)),"")</f>
        <v>0.94209470617302393</v>
      </c>
      <c r="Q64" s="184">
        <f>IFERROR(1-SUMIF(IGA_BD!$B:$B,$A64,IGA_BD!$X:$X)/($AA64+SUMIF(IGA_BD!$B:$B,$A64,IGA_BD!$X:$X)),"")</f>
        <v>1</v>
      </c>
      <c r="R64" s="189">
        <f>IFERROR(1-SUMIF(Grid_BD!$B:$B,$A64,Grid_BD!$V:$V)/($AA64+SUMIF(Grid_BD!$B:$B,$A64,Grid_BD!$V:$V)),"")</f>
        <v>1</v>
      </c>
      <c r="S64" s="167"/>
      <c r="T64" s="184"/>
      <c r="U64" s="185"/>
      <c r="V64" s="167"/>
      <c r="W64" s="186">
        <f>IFERROR(Table13[[#This Row],[Mtr_Net_Exp (KWh)]]/(24*AR64*1000),"")</f>
        <v>0.2935897435897436</v>
      </c>
      <c r="X64" s="167">
        <f>IFERROR(_xlfn.XLOOKUP($A64,Input_Raw!$A:$A,Input_Raw!$CF:$CF),"")</f>
        <v>552531</v>
      </c>
      <c r="Y64" s="167">
        <f>IFERROR(_xlfn.XLOOKUP($A64,Input_Raw!$A:$A,Input_Raw!$CZ:$CZ),"")</f>
        <v>549600</v>
      </c>
      <c r="Z64" s="167">
        <f>IFERROR(_xlfn.XLOOKUP($A64,Input_Raw!$A:$A,Input_Raw!$DA:$DA),"")</f>
        <v>0</v>
      </c>
      <c r="AA64" s="169">
        <f t="shared" si="5"/>
        <v>549600</v>
      </c>
      <c r="AB64" s="167">
        <f>IFERROR(_xlfn.XLOOKUP($A64,Input_Raw!$A:$A,Input_Raw!$DG:$DG),"")</f>
        <v>78</v>
      </c>
      <c r="AC64" s="187">
        <f>IFERROR(_xlfn.XLOOKUP($D64,'Modelling New'!$D:$D,'Modelling New'!$J:$J),"")</f>
        <v>6.5666666666666664</v>
      </c>
      <c r="AD64" s="169">
        <f>IFERROR(_xlfn.XLOOKUP($D64,'Modelling New'!$D:$D,'Modelling New'!$T:$T)*1000,"")</f>
        <v>558388.39265938452</v>
      </c>
      <c r="AE64" s="186"/>
      <c r="AF64" s="186">
        <f>IFERROR(_xlfn.XLOOKUP($D64,'Modelling New'!$D:$D,'Modelling New'!$W:$W),"")</f>
        <v>0.29828439778813276</v>
      </c>
      <c r="AG64" s="186">
        <f>IFERROR(_xlfn.XLOOKUP($D64,'Modelling New'!$D:$D,'Modelling New'!$AE:$AE),"")</f>
        <v>0.96029999999999993</v>
      </c>
      <c r="AH64" s="186">
        <f>IFERROR(_xlfn.XLOOKUP($D64,'Modelling New'!$D:$D,'Modelling New'!$AF:$AF),"")</f>
        <v>0.995</v>
      </c>
      <c r="AI64" s="167">
        <f>IFERROR(_xlfn.XLOOKUP($A64,Input_Raw!$A:$A,Input_Raw!$DE:$DE),"")</f>
        <v>552.53</v>
      </c>
      <c r="AJ64" s="167"/>
      <c r="AK64" s="167"/>
      <c r="AL64" s="167"/>
      <c r="AM64" s="167"/>
      <c r="AN64" s="188">
        <f>IFERROR(_xlfn.XLOOKUP($A64,Input_Raw!$A:$A,Input_Raw!$DB:$DB),"")</f>
        <v>5.3046797374265431E-3</v>
      </c>
      <c r="AO64" s="186">
        <f>IFERROR((_xlfn.XLOOKUP($A64,'WTG Reactive Power'!$A:$A,'WTG Reactive Power'!$AR:$AR))/X64/1000,"")</f>
        <v>2.2098307606270057E-6</v>
      </c>
      <c r="AP64" s="186">
        <f>IFERROR(_xlfn.XLOOKUP($D64,'Modelling New'!$D:$D,'Modelling New'!$AK:$AK),"")</f>
        <v>0.05</v>
      </c>
      <c r="AQ64" s="186">
        <f>IFERROR(_xlfn.XLOOKUP($D64,'Modelling New'!$D:$D,'Modelling New'!$AL:$AL),"")</f>
        <v>0.05</v>
      </c>
      <c r="AR64">
        <f>IFERROR(_xlfn.XLOOKUP($D64,'Modelling New'!$D:$D,'Modelling New'!$N:$N),"")</f>
        <v>78</v>
      </c>
    </row>
    <row r="65" spans="1:44">
      <c r="A65" s="180">
        <f t="shared" si="7"/>
        <v>45808</v>
      </c>
      <c r="B65" s="169">
        <f>YEAR(Table13[[#This Row],[Date]])+IF(MONTH(Table13[[#This Row],[Date]])&gt;=4,1,0)</f>
        <v>2026</v>
      </c>
      <c r="C65" s="167">
        <f>YEAR(Table13[[#This Row],[Date]])</f>
        <v>2025</v>
      </c>
      <c r="D65" s="181">
        <f>Table13[[#This Row],[Date]]-DAY(Table13[[#This Row],[Date]])+1</f>
        <v>45778</v>
      </c>
      <c r="E65" s="167">
        <f t="shared" si="4"/>
        <v>31</v>
      </c>
      <c r="F65" s="170"/>
      <c r="G65" s="171"/>
      <c r="H65" s="171"/>
      <c r="I65" s="171"/>
      <c r="J65" s="171"/>
      <c r="K65" s="182"/>
      <c r="L65" s="171"/>
      <c r="M65" s="171">
        <f>IFERROR(_xlfn.XLOOKUP($A65,Input_Raw!$A:$A,Input_Raw!CG:CG),"")</f>
        <v>6.7597435897435894</v>
      </c>
      <c r="N65" s="171">
        <f>IFERROR(_xlfn.XLOOKUP($A65,Input_Raw!$A:$A,Input_Raw!CH:CH),"")</f>
        <v>0</v>
      </c>
      <c r="O65" s="183">
        <f t="shared" si="6"/>
        <v>0.89787377920608258</v>
      </c>
      <c r="P65" s="183">
        <f>IFERROR(1-SUMIF(WTG_BD!$B:$B,$A65,WTG_BD!$AB:$AB)/($AA65+SUMIF(WTG_BD!$B:$B,$A65,WTG_BD!$AB:$AB)),"")</f>
        <v>0.93130151430557695</v>
      </c>
      <c r="Q65" s="184">
        <f>IFERROR(1-SUMIF(IGA_BD!$B:$B,$A65,IGA_BD!$X:$X)/($AA65+SUMIF(IGA_BD!$B:$B,$A65,IGA_BD!$X:$X)),"")</f>
        <v>0.96410643106876115</v>
      </c>
      <c r="R65" s="189">
        <f>IFERROR(1-SUMIF(Grid_BD!$B:$B,$A65,Grid_BD!$V:$V)/($AA65+SUMIF(Grid_BD!$B:$B,$A65,Grid_BD!$V:$V)),"")</f>
        <v>1</v>
      </c>
      <c r="S65" s="167"/>
      <c r="T65" s="184"/>
      <c r="U65" s="185"/>
      <c r="V65" s="167"/>
      <c r="W65" s="186">
        <f>IFERROR(Table13[[#This Row],[Mtr_Net_Exp (KWh)]]/(24*AR65*1000),"")</f>
        <v>0.44166666666666665</v>
      </c>
      <c r="X65" s="167">
        <f>IFERROR(_xlfn.XLOOKUP($A65,Input_Raw!$A:$A,Input_Raw!$CF:$CF),"")</f>
        <v>829710</v>
      </c>
      <c r="Y65" s="167">
        <f>IFERROR(_xlfn.XLOOKUP($A65,Input_Raw!$A:$A,Input_Raw!$CZ:$CZ),"")</f>
        <v>826800</v>
      </c>
      <c r="Z65" s="167">
        <f>IFERROR(_xlfn.XLOOKUP($A65,Input_Raw!$A:$A,Input_Raw!$DA:$DA),"")</f>
        <v>0</v>
      </c>
      <c r="AA65" s="169">
        <f t="shared" si="5"/>
        <v>826800</v>
      </c>
      <c r="AB65" s="167">
        <f>IFERROR(_xlfn.XLOOKUP($A65,Input_Raw!$A:$A,Input_Raw!$DG:$DG),"")</f>
        <v>78</v>
      </c>
      <c r="AC65" s="187">
        <f>IFERROR(_xlfn.XLOOKUP($D65,'Modelling New'!$D:$D,'Modelling New'!$J:$J),"")</f>
        <v>6.5666666666666664</v>
      </c>
      <c r="AD65" s="169">
        <f>IFERROR(_xlfn.XLOOKUP($D65,'Modelling New'!$D:$D,'Modelling New'!$T:$T)*1000,"")</f>
        <v>558388.39265938452</v>
      </c>
      <c r="AE65" s="186"/>
      <c r="AF65" s="186">
        <f>IFERROR(_xlfn.XLOOKUP($D65,'Modelling New'!$D:$D,'Modelling New'!$W:$W),"")</f>
        <v>0.29828439778813276</v>
      </c>
      <c r="AG65" s="186">
        <f>IFERROR(_xlfn.XLOOKUP($D65,'Modelling New'!$D:$D,'Modelling New'!$AE:$AE),"")</f>
        <v>0.96029999999999993</v>
      </c>
      <c r="AH65" s="186">
        <f>IFERROR(_xlfn.XLOOKUP($D65,'Modelling New'!$D:$D,'Modelling New'!$AF:$AF),"")</f>
        <v>0.995</v>
      </c>
      <c r="AI65" s="167">
        <f>IFERROR(_xlfn.XLOOKUP($A65,Input_Raw!$A:$A,Input_Raw!$DE:$DE),"")</f>
        <v>829.71</v>
      </c>
      <c r="AJ65" s="167"/>
      <c r="AK65" s="167"/>
      <c r="AL65" s="167"/>
      <c r="AM65" s="167"/>
      <c r="AN65" s="188">
        <f>IFERROR(_xlfn.XLOOKUP($A65,Input_Raw!$A:$A,Input_Raw!$DB:$DB),"")</f>
        <v>3.5072495209169663E-3</v>
      </c>
      <c r="AO65" s="186">
        <f>IFERROR((_xlfn.XLOOKUP($A65,'WTG Reactive Power'!$A:$A,'WTG Reactive Power'!$AR:$AR))/X65/1000,"")</f>
        <v>0</v>
      </c>
      <c r="AP65" s="186">
        <f>IFERROR(_xlfn.XLOOKUP($D65,'Modelling New'!$D:$D,'Modelling New'!$AK:$AK),"")</f>
        <v>0.05</v>
      </c>
      <c r="AQ65" s="186">
        <f>IFERROR(_xlfn.XLOOKUP($D65,'Modelling New'!$D:$D,'Modelling New'!$AL:$AL),"")</f>
        <v>0.05</v>
      </c>
      <c r="AR65">
        <f>IFERROR(_xlfn.XLOOKUP($D65,'Modelling New'!$D:$D,'Modelling New'!$N:$N),"")</f>
        <v>78</v>
      </c>
    </row>
    <row r="66" spans="1:44">
      <c r="A66" s="180">
        <f t="shared" si="7"/>
        <v>45809</v>
      </c>
      <c r="B66" s="169">
        <f>YEAR(Table13[[#This Row],[Date]])+IF(MONTH(Table13[[#This Row],[Date]])&gt;=4,1,0)</f>
        <v>2026</v>
      </c>
      <c r="C66" s="167">
        <f>YEAR(Table13[[#This Row],[Date]])</f>
        <v>2025</v>
      </c>
      <c r="D66" s="181">
        <f>Table13[[#This Row],[Date]]-DAY(Table13[[#This Row],[Date]])+1</f>
        <v>45809</v>
      </c>
      <c r="E66" s="167">
        <f t="shared" si="4"/>
        <v>30</v>
      </c>
      <c r="F66" s="170"/>
      <c r="G66" s="171"/>
      <c r="H66" s="171"/>
      <c r="I66" s="171"/>
      <c r="J66" s="171"/>
      <c r="K66" s="182"/>
      <c r="L66" s="171"/>
      <c r="M66" s="171">
        <f>IFERROR(_xlfn.XLOOKUP($A66,Input_Raw!$A:$A,Input_Raw!CG:CG),"")</f>
        <v>6.6617948717948723</v>
      </c>
      <c r="N66" s="171">
        <f>IFERROR(_xlfn.XLOOKUP($A66,Input_Raw!$A:$A,Input_Raw!CH:CH),"")</f>
        <v>0</v>
      </c>
      <c r="O66" s="183">
        <f t="shared" si="6"/>
        <v>0.94310092863724981</v>
      </c>
      <c r="P66" s="183">
        <f>IFERROR(1-SUMIF(WTG_BD!$B:$B,$A66,WTG_BD!$AB:$AB)/($AA66+SUMIF(WTG_BD!$B:$B,$A66,WTG_BD!$AB:$AB)),"")</f>
        <v>0.94377695424752261</v>
      </c>
      <c r="Q66" s="184">
        <f>IFERROR(1-SUMIF(IGA_BD!$B:$B,$A66,IGA_BD!$X:$X)/($AA66+SUMIF(IGA_BD!$B:$B,$A66,IGA_BD!$X:$X)),"")</f>
        <v>0.9992837019305989</v>
      </c>
      <c r="R66" s="189">
        <f>IFERROR(1-SUMIF(Grid_BD!$B:$B,$A66,Grid_BD!$V:$V)/($AA66+SUMIF(Grid_BD!$B:$B,$A66,Grid_BD!$V:$V)),"")</f>
        <v>1</v>
      </c>
      <c r="S66" s="167"/>
      <c r="T66" s="184"/>
      <c r="U66" s="185"/>
      <c r="V66" s="167"/>
      <c r="W66" s="186">
        <f>IFERROR(Table13[[#This Row],[Mtr_Net_Exp (KWh)]]/(24*AR66*1000),"")</f>
        <v>0.41794871794871796</v>
      </c>
      <c r="X66" s="167">
        <f>IFERROR(_xlfn.XLOOKUP($A66,Input_Raw!$A:$A,Input_Raw!$CF:$CF),"")</f>
        <v>785959</v>
      </c>
      <c r="Y66" s="167">
        <f>IFERROR(_xlfn.XLOOKUP($A66,Input_Raw!$A:$A,Input_Raw!$CZ:$CZ),"")</f>
        <v>782400</v>
      </c>
      <c r="Z66" s="167">
        <f>IFERROR(_xlfn.XLOOKUP($A66,Input_Raw!$A:$A,Input_Raw!$DA:$DA),"")</f>
        <v>0</v>
      </c>
      <c r="AA66" s="169">
        <f t="shared" si="5"/>
        <v>782400</v>
      </c>
      <c r="AB66" s="167">
        <f>IFERROR(_xlfn.XLOOKUP($A66,Input_Raw!$A:$A,Input_Raw!$DG:$DG),"")</f>
        <v>78</v>
      </c>
      <c r="AC66" s="187">
        <f>IFERROR(_xlfn.XLOOKUP($D66,'Modelling New'!$D:$D,'Modelling New'!$J:$J),"")</f>
        <v>6.5666666666666664</v>
      </c>
      <c r="AD66" s="169">
        <f>IFERROR(_xlfn.XLOOKUP($D66,'Modelling New'!$D:$D,'Modelling New'!$T:$T)*1000,"")</f>
        <v>501275.34211348038</v>
      </c>
      <c r="AE66" s="186"/>
      <c r="AF66" s="186">
        <f>IFERROR(_xlfn.XLOOKUP($D66,'Modelling New'!$D:$D,'Modelling New'!$W:$W),"")</f>
        <v>0.26777528959053443</v>
      </c>
      <c r="AG66" s="186">
        <f>IFERROR(_xlfn.XLOOKUP($D66,'Modelling New'!$D:$D,'Modelling New'!$AE:$AE),"")</f>
        <v>0.96029999999999993</v>
      </c>
      <c r="AH66" s="186">
        <f>IFERROR(_xlfn.XLOOKUP($D66,'Modelling New'!$D:$D,'Modelling New'!$AF:$AF),"")</f>
        <v>0.995</v>
      </c>
      <c r="AI66" s="167">
        <f>IFERROR(_xlfn.XLOOKUP($A66,Input_Raw!$A:$A,Input_Raw!$DE:$DE),"")</f>
        <v>785.95</v>
      </c>
      <c r="AJ66" s="167"/>
      <c r="AK66" s="167"/>
      <c r="AL66" s="167"/>
      <c r="AM66" s="167"/>
      <c r="AN66" s="188">
        <f>IFERROR(_xlfn.XLOOKUP($A66,Input_Raw!$A:$A,Input_Raw!$DB:$DB),"")</f>
        <v>4.5282260270573804E-3</v>
      </c>
      <c r="AO66" s="186">
        <f>IFERROR((_xlfn.XLOOKUP($A66,'WTG Reactive Power'!$A:$A,'WTG Reactive Power'!$AR:$AR))/X66/1000,"")</f>
        <v>0</v>
      </c>
      <c r="AP66" s="186">
        <f>IFERROR(_xlfn.XLOOKUP($D66,'Modelling New'!$D:$D,'Modelling New'!$AK:$AK),"")</f>
        <v>0.05</v>
      </c>
      <c r="AQ66" s="186">
        <f>IFERROR(_xlfn.XLOOKUP($D66,'Modelling New'!$D:$D,'Modelling New'!$AL:$AL),"")</f>
        <v>0.05</v>
      </c>
      <c r="AR66">
        <f>IFERROR(_xlfn.XLOOKUP($D66,'Modelling New'!$D:$D,'Modelling New'!$N:$N),"")</f>
        <v>78</v>
      </c>
    </row>
    <row r="67" spans="1:44">
      <c r="A67" s="180">
        <f t="shared" si="7"/>
        <v>45810</v>
      </c>
      <c r="B67" s="169">
        <f>YEAR(Table13[[#This Row],[Date]])+IF(MONTH(Table13[[#This Row],[Date]])&gt;=4,1,0)</f>
        <v>2026</v>
      </c>
      <c r="C67" s="167">
        <f>YEAR(Table13[[#This Row],[Date]])</f>
        <v>2025</v>
      </c>
      <c r="D67" s="181">
        <f>Table13[[#This Row],[Date]]-DAY(Table13[[#This Row],[Date]])+1</f>
        <v>45809</v>
      </c>
      <c r="E67" s="167">
        <f t="shared" si="4"/>
        <v>30</v>
      </c>
      <c r="F67" s="170"/>
      <c r="G67" s="171"/>
      <c r="H67" s="171"/>
      <c r="I67" s="171"/>
      <c r="J67" s="171"/>
      <c r="K67" s="182"/>
      <c r="L67" s="171"/>
      <c r="M67" s="171">
        <f>IFERROR(_xlfn.XLOOKUP($A67,Input_Raw!$A:$A,Input_Raw!CG:CG),"")</f>
        <v>4.8151282051282047</v>
      </c>
      <c r="N67" s="171">
        <f>IFERROR(_xlfn.XLOOKUP($A67,Input_Raw!$A:$A,Input_Raw!CH:CH),"")</f>
        <v>0</v>
      </c>
      <c r="O67" s="183">
        <f t="shared" si="6"/>
        <v>0.92556107873530746</v>
      </c>
      <c r="P67" s="183">
        <f>IFERROR(1-SUMIF(WTG_BD!$B:$B,$A67,WTG_BD!$AB:$AB)/($AA67+SUMIF(WTG_BD!$B:$B,$A67,WTG_BD!$AB:$AB)),"")</f>
        <v>0.93459213356473947</v>
      </c>
      <c r="Q67" s="184">
        <f>IFERROR(1-SUMIF(IGA_BD!$B:$B,$A67,IGA_BD!$X:$X)/($AA67+SUMIF(IGA_BD!$B:$B,$A67,IGA_BD!$X:$X)),"")</f>
        <v>0.99033690258553153</v>
      </c>
      <c r="R67" s="189">
        <f>IFERROR(1-SUMIF(Grid_BD!$B:$B,$A67,Grid_BD!$V:$V)/($AA67+SUMIF(Grid_BD!$B:$B,$A67,Grid_BD!$V:$V)),"")</f>
        <v>1</v>
      </c>
      <c r="S67" s="167"/>
      <c r="T67" s="184"/>
      <c r="U67" s="185"/>
      <c r="V67" s="167"/>
      <c r="W67" s="186">
        <f>IFERROR(Table13[[#This Row],[Mtr_Net_Exp (KWh)]]/(24*AR67*1000),"")</f>
        <v>0.20256410256410257</v>
      </c>
      <c r="X67" s="167">
        <f>IFERROR(_xlfn.XLOOKUP($A67,Input_Raw!$A:$A,Input_Raw!$CF:$CF),"")</f>
        <v>381731</v>
      </c>
      <c r="Y67" s="167">
        <f>IFERROR(_xlfn.XLOOKUP($A67,Input_Raw!$A:$A,Input_Raw!$CZ:$CZ),"")</f>
        <v>379200</v>
      </c>
      <c r="Z67" s="167">
        <f>IFERROR(_xlfn.XLOOKUP($A67,Input_Raw!$A:$A,Input_Raw!$DA:$DA),"")</f>
        <v>0</v>
      </c>
      <c r="AA67" s="169">
        <f t="shared" si="5"/>
        <v>379200</v>
      </c>
      <c r="AB67" s="167">
        <f>IFERROR(_xlfn.XLOOKUP($A67,Input_Raw!$A:$A,Input_Raw!$DG:$DG),"")</f>
        <v>78</v>
      </c>
      <c r="AC67" s="187">
        <f>IFERROR(_xlfn.XLOOKUP($D67,'Modelling New'!$D:$D,'Modelling New'!$J:$J),"")</f>
        <v>6.5666666666666664</v>
      </c>
      <c r="AD67" s="169">
        <f>IFERROR(_xlfn.XLOOKUP($D67,'Modelling New'!$D:$D,'Modelling New'!$T:$T)*1000,"")</f>
        <v>501275.34211348038</v>
      </c>
      <c r="AE67" s="186"/>
      <c r="AF67" s="186">
        <f>IFERROR(_xlfn.XLOOKUP($D67,'Modelling New'!$D:$D,'Modelling New'!$W:$W),"")</f>
        <v>0.26777528959053443</v>
      </c>
      <c r="AG67" s="186">
        <f>IFERROR(_xlfn.XLOOKUP($D67,'Modelling New'!$D:$D,'Modelling New'!$AE:$AE),"")</f>
        <v>0.96029999999999993</v>
      </c>
      <c r="AH67" s="186">
        <f>IFERROR(_xlfn.XLOOKUP($D67,'Modelling New'!$D:$D,'Modelling New'!$AF:$AF),"")</f>
        <v>0.995</v>
      </c>
      <c r="AI67" s="167">
        <f>IFERROR(_xlfn.XLOOKUP($A67,Input_Raw!$A:$A,Input_Raw!$DE:$DE),"")</f>
        <v>381.73</v>
      </c>
      <c r="AJ67" s="167"/>
      <c r="AK67" s="167"/>
      <c r="AL67" s="167"/>
      <c r="AM67" s="167"/>
      <c r="AN67" s="188">
        <f>IFERROR(_xlfn.XLOOKUP($A67,Input_Raw!$A:$A,Input_Raw!$DB:$DB),"")</f>
        <v>6.6303234476634554E-3</v>
      </c>
      <c r="AO67" s="186">
        <f>IFERROR((_xlfn.XLOOKUP($A67,'WTG Reactive Power'!$A:$A,'WTG Reactive Power'!$AR:$AR))/X67/1000,"")</f>
        <v>0</v>
      </c>
      <c r="AP67" s="186">
        <f>IFERROR(_xlfn.XLOOKUP($D67,'Modelling New'!$D:$D,'Modelling New'!$AK:$AK),"")</f>
        <v>0.05</v>
      </c>
      <c r="AQ67" s="186">
        <f>IFERROR(_xlfn.XLOOKUP($D67,'Modelling New'!$D:$D,'Modelling New'!$AL:$AL),"")</f>
        <v>0.05</v>
      </c>
      <c r="AR67">
        <f>IFERROR(_xlfn.XLOOKUP($D67,'Modelling New'!$D:$D,'Modelling New'!$N:$N),"")</f>
        <v>78</v>
      </c>
    </row>
    <row r="68" spans="1:44">
      <c r="A68" s="180">
        <f t="shared" si="7"/>
        <v>45811</v>
      </c>
      <c r="B68" s="169">
        <f>YEAR(Table13[[#This Row],[Date]])+IF(MONTH(Table13[[#This Row],[Date]])&gt;=4,1,0)</f>
        <v>2026</v>
      </c>
      <c r="C68" s="167">
        <f>YEAR(Table13[[#This Row],[Date]])</f>
        <v>2025</v>
      </c>
      <c r="D68" s="181">
        <f>Table13[[#This Row],[Date]]-DAY(Table13[[#This Row],[Date]])+1</f>
        <v>45809</v>
      </c>
      <c r="E68" s="167">
        <f t="shared" si="4"/>
        <v>30</v>
      </c>
      <c r="F68" s="170"/>
      <c r="G68" s="171"/>
      <c r="H68" s="171"/>
      <c r="I68" s="171"/>
      <c r="J68" s="171"/>
      <c r="K68" s="182"/>
      <c r="L68" s="171"/>
      <c r="M68" s="171">
        <f>IFERROR(_xlfn.XLOOKUP($A68,Input_Raw!$A:$A,Input_Raw!CG:CG),"")</f>
        <v>5.25979450046166</v>
      </c>
      <c r="N68" s="171">
        <f>IFERROR(_xlfn.XLOOKUP($A68,Input_Raw!$A:$A,Input_Raw!CH:CH),"")</f>
        <v>0</v>
      </c>
      <c r="O68" s="183">
        <f t="shared" si="6"/>
        <v>0.93595020320139455</v>
      </c>
      <c r="P68" s="183">
        <f>IFERROR(1-SUMIF(WTG_BD!$B:$B,$A68,WTG_BD!$AB:$AB)/($AA68+SUMIF(WTG_BD!$B:$B,$A68,WTG_BD!$AB:$AB)),"")</f>
        <v>0.93814077972208876</v>
      </c>
      <c r="Q68" s="184">
        <f>IFERROR(1-SUMIF(IGA_BD!$B:$B,$A68,IGA_BD!$X:$X)/($AA68+SUMIF(IGA_BD!$B:$B,$A68,IGA_BD!$X:$X)),"")</f>
        <v>0.99766498102625589</v>
      </c>
      <c r="R68" s="189">
        <f>IFERROR(1-SUMIF(Grid_BD!$B:$B,$A68,Grid_BD!$V:$V)/($AA68+SUMIF(Grid_BD!$B:$B,$A68,Grid_BD!$V:$V)),"")</f>
        <v>1</v>
      </c>
      <c r="S68" s="167"/>
      <c r="T68" s="184"/>
      <c r="U68" s="185"/>
      <c r="V68" s="167"/>
      <c r="W68" s="186">
        <f>IFERROR(Table13[[#This Row],[Mtr_Net_Exp (KWh)]]/(24*AR68*1000),"")</f>
        <v>0.38846153846153847</v>
      </c>
      <c r="X68" s="167">
        <f>IFERROR(_xlfn.XLOOKUP($A68,Input_Raw!$A:$A,Input_Raw!$CF:$CF),"")</f>
        <v>730526</v>
      </c>
      <c r="Y68" s="167">
        <f>IFERROR(_xlfn.XLOOKUP($A68,Input_Raw!$A:$A,Input_Raw!$CZ:$CZ),"")</f>
        <v>727200</v>
      </c>
      <c r="Z68" s="167">
        <f>IFERROR(_xlfn.XLOOKUP($A68,Input_Raw!$A:$A,Input_Raw!$DA:$DA),"")</f>
        <v>0</v>
      </c>
      <c r="AA68" s="169">
        <f t="shared" si="5"/>
        <v>727200</v>
      </c>
      <c r="AB68" s="167">
        <f>IFERROR(_xlfn.XLOOKUP($A68,Input_Raw!$A:$A,Input_Raw!$DG:$DG),"")</f>
        <v>78</v>
      </c>
      <c r="AC68" s="187">
        <f>IFERROR(_xlfn.XLOOKUP($D68,'Modelling New'!$D:$D,'Modelling New'!$J:$J),"")</f>
        <v>6.5666666666666664</v>
      </c>
      <c r="AD68" s="169">
        <f>IFERROR(_xlfn.XLOOKUP($D68,'Modelling New'!$D:$D,'Modelling New'!$T:$T)*1000,"")</f>
        <v>501275.34211348038</v>
      </c>
      <c r="AE68" s="186"/>
      <c r="AF68" s="186">
        <f>IFERROR(_xlfn.XLOOKUP($D68,'Modelling New'!$D:$D,'Modelling New'!$W:$W),"")</f>
        <v>0.26777528959053443</v>
      </c>
      <c r="AG68" s="186">
        <f>IFERROR(_xlfn.XLOOKUP($D68,'Modelling New'!$D:$D,'Modelling New'!$AE:$AE),"")</f>
        <v>0.96029999999999993</v>
      </c>
      <c r="AH68" s="186">
        <f>IFERROR(_xlfn.XLOOKUP($D68,'Modelling New'!$D:$D,'Modelling New'!$AF:$AF),"")</f>
        <v>0.995</v>
      </c>
      <c r="AI68" s="167">
        <f>IFERROR(_xlfn.XLOOKUP($A68,Input_Raw!$A:$A,Input_Raw!$DE:$DE),"")</f>
        <v>730.52</v>
      </c>
      <c r="AJ68" s="167"/>
      <c r="AK68" s="167"/>
      <c r="AL68" s="167"/>
      <c r="AM68" s="167"/>
      <c r="AN68" s="188">
        <f>IFERROR(_xlfn.XLOOKUP($A68,Input_Raw!$A:$A,Input_Raw!$DB:$DB),"")</f>
        <v>4.5528838124857529E-3</v>
      </c>
      <c r="AO68" s="186">
        <f>IFERROR((_xlfn.XLOOKUP($A68,'WTG Reactive Power'!$A:$A,'WTG Reactive Power'!$AR:$AR))/X68/1000,"")</f>
        <v>0</v>
      </c>
      <c r="AP68" s="186">
        <f>IFERROR(_xlfn.XLOOKUP($D68,'Modelling New'!$D:$D,'Modelling New'!$AK:$AK),"")</f>
        <v>0.05</v>
      </c>
      <c r="AQ68" s="186">
        <f>IFERROR(_xlfn.XLOOKUP($D68,'Modelling New'!$D:$D,'Modelling New'!$AL:$AL),"")</f>
        <v>0.05</v>
      </c>
      <c r="AR68">
        <f>IFERROR(_xlfn.XLOOKUP($D68,'Modelling New'!$D:$D,'Modelling New'!$N:$N),"")</f>
        <v>78</v>
      </c>
    </row>
    <row r="69" spans="1:44">
      <c r="A69" s="180">
        <f t="shared" si="7"/>
        <v>45812</v>
      </c>
      <c r="B69" s="169">
        <f>YEAR(Table13[[#This Row],[Date]])+IF(MONTH(Table13[[#This Row],[Date]])&gt;=4,1,0)</f>
        <v>2026</v>
      </c>
      <c r="C69" s="167">
        <f>YEAR(Table13[[#This Row],[Date]])</f>
        <v>2025</v>
      </c>
      <c r="D69" s="181">
        <f>Table13[[#This Row],[Date]]-DAY(Table13[[#This Row],[Date]])+1</f>
        <v>45809</v>
      </c>
      <c r="E69" s="167">
        <f t="shared" si="4"/>
        <v>30</v>
      </c>
      <c r="F69" s="170"/>
      <c r="G69" s="171"/>
      <c r="H69" s="171"/>
      <c r="I69" s="171"/>
      <c r="J69" s="171"/>
      <c r="K69" s="182"/>
      <c r="L69" s="171"/>
      <c r="M69" s="171">
        <f>IFERROR(_xlfn.XLOOKUP($A69,Input_Raw!$A:$A,Input_Raw!CG:CG),"")</f>
        <v>3.885204939707056</v>
      </c>
      <c r="N69" s="171">
        <f>IFERROR(_xlfn.XLOOKUP($A69,Input_Raw!$A:$A,Input_Raw!CH:CH),"")</f>
        <v>0</v>
      </c>
      <c r="O69" s="183">
        <f t="shared" si="6"/>
        <v>0.84607777432884912</v>
      </c>
      <c r="P69" s="183">
        <f>IFERROR(1-SUMIF(WTG_BD!$B:$B,$A69,WTG_BD!$AB:$AB)/($AA69+SUMIF(WTG_BD!$B:$B,$A69,WTG_BD!$AB:$AB)),"")</f>
        <v>0.96744325953488453</v>
      </c>
      <c r="Q69" s="184">
        <f>IFERROR(1-SUMIF(IGA_BD!$B:$B,$A69,IGA_BD!$X:$X)/($AA69+SUMIF(IGA_BD!$B:$B,$A69,IGA_BD!$X:$X)),"")</f>
        <v>0.87455028084604769</v>
      </c>
      <c r="R69" s="189">
        <f>IFERROR(1-SUMIF(Grid_BD!$B:$B,$A69,Grid_BD!$V:$V)/($AA69+SUMIF(Grid_BD!$B:$B,$A69,Grid_BD!$V:$V)),"")</f>
        <v>1</v>
      </c>
      <c r="S69" s="167"/>
      <c r="T69" s="184"/>
      <c r="U69" s="185"/>
      <c r="V69" s="167"/>
      <c r="W69" s="186">
        <f>IFERROR(Table13[[#This Row],[Mtr_Net_Exp (KWh)]]/(24*AR69*1000),"")</f>
        <v>8.3974358974358967E-2</v>
      </c>
      <c r="X69" s="167">
        <f>IFERROR(_xlfn.XLOOKUP($A69,Input_Raw!$A:$A,Input_Raw!$CF:$CF),"")</f>
        <v>161209</v>
      </c>
      <c r="Y69" s="167">
        <f>IFERROR(_xlfn.XLOOKUP($A69,Input_Raw!$A:$A,Input_Raw!$CZ:$CZ),"")</f>
        <v>157200</v>
      </c>
      <c r="Z69" s="167">
        <f>IFERROR(_xlfn.XLOOKUP($A69,Input_Raw!$A:$A,Input_Raw!$DA:$DA),"")</f>
        <v>0</v>
      </c>
      <c r="AA69" s="169">
        <f t="shared" si="5"/>
        <v>157200</v>
      </c>
      <c r="AB69" s="167">
        <f>IFERROR(_xlfn.XLOOKUP($A69,Input_Raw!$A:$A,Input_Raw!$DG:$DG),"")</f>
        <v>78</v>
      </c>
      <c r="AC69" s="187">
        <f>IFERROR(_xlfn.XLOOKUP($D69,'Modelling New'!$D:$D,'Modelling New'!$J:$J),"")</f>
        <v>6.5666666666666664</v>
      </c>
      <c r="AD69" s="169">
        <f>IFERROR(_xlfn.XLOOKUP($D69,'Modelling New'!$D:$D,'Modelling New'!$T:$T)*1000,"")</f>
        <v>501275.34211348038</v>
      </c>
      <c r="AE69" s="186"/>
      <c r="AF69" s="186">
        <f>IFERROR(_xlfn.XLOOKUP($D69,'Modelling New'!$D:$D,'Modelling New'!$W:$W),"")</f>
        <v>0.26777528959053443</v>
      </c>
      <c r="AG69" s="186">
        <f>IFERROR(_xlfn.XLOOKUP($D69,'Modelling New'!$D:$D,'Modelling New'!$AE:$AE),"")</f>
        <v>0.96029999999999993</v>
      </c>
      <c r="AH69" s="186">
        <f>IFERROR(_xlfn.XLOOKUP($D69,'Modelling New'!$D:$D,'Modelling New'!$AF:$AF),"")</f>
        <v>0.995</v>
      </c>
      <c r="AI69" s="167">
        <f>IFERROR(_xlfn.XLOOKUP($A69,Input_Raw!$A:$A,Input_Raw!$DE:$DE),"")</f>
        <v>161.19999999999999</v>
      </c>
      <c r="AJ69" s="167"/>
      <c r="AK69" s="167"/>
      <c r="AL69" s="167"/>
      <c r="AM69" s="167"/>
      <c r="AN69" s="188">
        <f>IFERROR(_xlfn.XLOOKUP($A69,Input_Raw!$A:$A,Input_Raw!$DB:$DB),"")</f>
        <v>2.486833861633031E-2</v>
      </c>
      <c r="AO69" s="186">
        <f>IFERROR((_xlfn.XLOOKUP($A69,'WTG Reactive Power'!$A:$A,'WTG Reactive Power'!$AR:$AR))/X69/1000,"")</f>
        <v>1.4918521918751436E-5</v>
      </c>
      <c r="AP69" s="186">
        <f>IFERROR(_xlfn.XLOOKUP($D69,'Modelling New'!$D:$D,'Modelling New'!$AK:$AK),"")</f>
        <v>0.05</v>
      </c>
      <c r="AQ69" s="186">
        <f>IFERROR(_xlfn.XLOOKUP($D69,'Modelling New'!$D:$D,'Modelling New'!$AL:$AL),"")</f>
        <v>0.05</v>
      </c>
      <c r="AR69">
        <f>IFERROR(_xlfn.XLOOKUP($D69,'Modelling New'!$D:$D,'Modelling New'!$N:$N),"")</f>
        <v>78</v>
      </c>
    </row>
    <row r="70" spans="1:44">
      <c r="A70" s="180">
        <f t="shared" si="7"/>
        <v>45813</v>
      </c>
      <c r="B70" s="169">
        <f>YEAR(Table13[[#This Row],[Date]])+IF(MONTH(Table13[[#This Row],[Date]])&gt;=4,1,0)</f>
        <v>2026</v>
      </c>
      <c r="C70" s="167">
        <f>YEAR(Table13[[#This Row],[Date]])</f>
        <v>2025</v>
      </c>
      <c r="D70" s="181">
        <f>Table13[[#This Row],[Date]]-DAY(Table13[[#This Row],[Date]])+1</f>
        <v>45809</v>
      </c>
      <c r="E70" s="167">
        <f t="shared" si="4"/>
        <v>30</v>
      </c>
      <c r="F70" s="170"/>
      <c r="G70" s="171"/>
      <c r="H70" s="171"/>
      <c r="I70" s="171"/>
      <c r="J70" s="171"/>
      <c r="K70" s="182"/>
      <c r="L70" s="171"/>
      <c r="M70" s="171">
        <f>IFERROR(_xlfn.XLOOKUP($A70,Input_Raw!$A:$A,Input_Raw!CG:CG),"")</f>
        <v>4.6823076923076918</v>
      </c>
      <c r="N70" s="171">
        <f>IFERROR(_xlfn.XLOOKUP($A70,Input_Raw!$A:$A,Input_Raw!CH:CH),"")</f>
        <v>0</v>
      </c>
      <c r="O70" s="183">
        <f t="shared" si="6"/>
        <v>0.93772308578127006</v>
      </c>
      <c r="P70" s="183">
        <f>IFERROR(1-SUMIF(WTG_BD!$B:$B,$A70,WTG_BD!$AB:$AB)/($AA70+SUMIF(WTG_BD!$B:$B,$A70,WTG_BD!$AB:$AB)),"")</f>
        <v>0.93772308578127006</v>
      </c>
      <c r="Q70" s="184">
        <f>IFERROR(1-SUMIF(IGA_BD!$B:$B,$A70,IGA_BD!$X:$X)/($AA70+SUMIF(IGA_BD!$B:$B,$A70,IGA_BD!$X:$X)),"")</f>
        <v>1</v>
      </c>
      <c r="R70" s="189">
        <f>IFERROR(1-SUMIF(Grid_BD!$B:$B,$A70,Grid_BD!$V:$V)/($AA70+SUMIF(Grid_BD!$B:$B,$A70,Grid_BD!$V:$V)),"")</f>
        <v>1</v>
      </c>
      <c r="S70" s="167"/>
      <c r="T70" s="184"/>
      <c r="U70" s="185"/>
      <c r="V70" s="167"/>
      <c r="W70" s="186">
        <f>IFERROR(Table13[[#This Row],[Mtr_Net_Exp (KWh)]]/(24*AR70*1000),"")</f>
        <v>0.14423076923076922</v>
      </c>
      <c r="X70" s="167">
        <f>IFERROR(_xlfn.XLOOKUP($A70,Input_Raw!$A:$A,Input_Raw!$CF:$CF),"")</f>
        <v>275124</v>
      </c>
      <c r="Y70" s="167">
        <f>IFERROR(_xlfn.XLOOKUP($A70,Input_Raw!$A:$A,Input_Raw!$CZ:$CZ),"")</f>
        <v>272400</v>
      </c>
      <c r="Z70" s="167">
        <f>IFERROR(_xlfn.XLOOKUP($A70,Input_Raw!$A:$A,Input_Raw!$DA:$DA),"")</f>
        <v>2400</v>
      </c>
      <c r="AA70" s="169">
        <f t="shared" si="5"/>
        <v>270000</v>
      </c>
      <c r="AB70" s="167">
        <f>IFERROR(_xlfn.XLOOKUP($A70,Input_Raw!$A:$A,Input_Raw!$DG:$DG),"")</f>
        <v>78</v>
      </c>
      <c r="AC70" s="187">
        <f>IFERROR(_xlfn.XLOOKUP($D70,'Modelling New'!$D:$D,'Modelling New'!$J:$J),"")</f>
        <v>6.5666666666666664</v>
      </c>
      <c r="AD70" s="169">
        <f>IFERROR(_xlfn.XLOOKUP($D70,'Modelling New'!$D:$D,'Modelling New'!$T:$T)*1000,"")</f>
        <v>501275.34211348038</v>
      </c>
      <c r="AE70" s="186"/>
      <c r="AF70" s="186">
        <f>IFERROR(_xlfn.XLOOKUP($D70,'Modelling New'!$D:$D,'Modelling New'!$W:$W),"")</f>
        <v>0.26777528959053443</v>
      </c>
      <c r="AG70" s="186">
        <f>IFERROR(_xlfn.XLOOKUP($D70,'Modelling New'!$D:$D,'Modelling New'!$AE:$AE),"")</f>
        <v>0.96029999999999993</v>
      </c>
      <c r="AH70" s="186">
        <f>IFERROR(_xlfn.XLOOKUP($D70,'Modelling New'!$D:$D,'Modelling New'!$AF:$AF),"")</f>
        <v>0.995</v>
      </c>
      <c r="AI70" s="167">
        <f>IFERROR(_xlfn.XLOOKUP($A70,Input_Raw!$A:$A,Input_Raw!$DE:$DE),"")</f>
        <v>275.12</v>
      </c>
      <c r="AJ70" s="167"/>
      <c r="AK70" s="167"/>
      <c r="AL70" s="167"/>
      <c r="AM70" s="167"/>
      <c r="AN70" s="188">
        <f>IFERROR(_xlfn.XLOOKUP($A70,Input_Raw!$A:$A,Input_Raw!$DB:$DB),"")</f>
        <v>9.9009900990099098E-3</v>
      </c>
      <c r="AO70" s="186">
        <f>IFERROR((_xlfn.XLOOKUP($A70,'WTG Reactive Power'!$A:$A,'WTG Reactive Power'!$AR:$AR))/X70/1000,"")</f>
        <v>2.1921024701589101E-5</v>
      </c>
      <c r="AP70" s="186">
        <f>IFERROR(_xlfn.XLOOKUP($D70,'Modelling New'!$D:$D,'Modelling New'!$AK:$AK),"")</f>
        <v>0.05</v>
      </c>
      <c r="AQ70" s="186">
        <f>IFERROR(_xlfn.XLOOKUP($D70,'Modelling New'!$D:$D,'Modelling New'!$AL:$AL),"")</f>
        <v>0.05</v>
      </c>
      <c r="AR70">
        <f>IFERROR(_xlfn.XLOOKUP($D70,'Modelling New'!$D:$D,'Modelling New'!$N:$N),"")</f>
        <v>78</v>
      </c>
    </row>
    <row r="71" spans="1:44">
      <c r="A71" s="180">
        <f t="shared" si="7"/>
        <v>45814</v>
      </c>
      <c r="B71" s="169">
        <f>YEAR(Table13[[#This Row],[Date]])+IF(MONTH(Table13[[#This Row],[Date]])&gt;=4,1,0)</f>
        <v>2026</v>
      </c>
      <c r="C71" s="167">
        <f>YEAR(Table13[[#This Row],[Date]])</f>
        <v>2025</v>
      </c>
      <c r="D71" s="181">
        <f>Table13[[#This Row],[Date]]-DAY(Table13[[#This Row],[Date]])+1</f>
        <v>45809</v>
      </c>
      <c r="E71" s="167">
        <f t="shared" si="4"/>
        <v>30</v>
      </c>
      <c r="F71" s="170"/>
      <c r="G71" s="171"/>
      <c r="H71" s="171"/>
      <c r="I71" s="171"/>
      <c r="J71" s="171"/>
      <c r="K71" s="182"/>
      <c r="L71" s="171"/>
      <c r="M71" s="171">
        <f>IFERROR(_xlfn.XLOOKUP($A71,Input_Raw!$A:$A,Input_Raw!CG:CG),"")</f>
        <v>4.8151282051282047</v>
      </c>
      <c r="N71" s="171">
        <f>IFERROR(_xlfn.XLOOKUP($A71,Input_Raw!$A:$A,Input_Raw!CH:CH),"")</f>
        <v>0</v>
      </c>
      <c r="O71" s="183">
        <f t="shared" si="6"/>
        <v>0.94185200892899668</v>
      </c>
      <c r="P71" s="183">
        <f>IFERROR(1-SUMIF(WTG_BD!$B:$B,$A71,WTG_BD!$AB:$AB)/($AA71+SUMIF(WTG_BD!$B:$B,$A71,WTG_BD!$AB:$AB)),"")</f>
        <v>0.94185200892899668</v>
      </c>
      <c r="Q71" s="184">
        <f>IFERROR(1-SUMIF(IGA_BD!$B:$B,$A71,IGA_BD!$X:$X)/($AA71+SUMIF(IGA_BD!$B:$B,$A71,IGA_BD!$X:$X)),"")</f>
        <v>1</v>
      </c>
      <c r="R71" s="189">
        <f>IFERROR(1-SUMIF(Grid_BD!$B:$B,$A71,Grid_BD!$V:$V)/($AA71+SUMIF(Grid_BD!$B:$B,$A71,Grid_BD!$V:$V)),"")</f>
        <v>1</v>
      </c>
      <c r="S71" s="167"/>
      <c r="T71" s="184"/>
      <c r="U71" s="185"/>
      <c r="V71" s="167"/>
      <c r="W71" s="186">
        <f>IFERROR(Table13[[#This Row],[Mtr_Net_Exp (KWh)]]/(24*AR71*1000),"")</f>
        <v>0.21217948717948718</v>
      </c>
      <c r="X71" s="167">
        <f>IFERROR(_xlfn.XLOOKUP($A71,Input_Raw!$A:$A,Input_Raw!$CF:$CF),"")</f>
        <v>409156</v>
      </c>
      <c r="Y71" s="167">
        <f>IFERROR(_xlfn.XLOOKUP($A71,Input_Raw!$A:$A,Input_Raw!$CZ:$CZ),"")</f>
        <v>397200</v>
      </c>
      <c r="Z71" s="167">
        <f>IFERROR(_xlfn.XLOOKUP($A71,Input_Raw!$A:$A,Input_Raw!$DA:$DA),"")</f>
        <v>0</v>
      </c>
      <c r="AA71" s="169">
        <f t="shared" si="5"/>
        <v>397200</v>
      </c>
      <c r="AB71" s="167">
        <f>IFERROR(_xlfn.XLOOKUP($A71,Input_Raw!$A:$A,Input_Raw!$DG:$DG),"")</f>
        <v>78</v>
      </c>
      <c r="AC71" s="187">
        <f>IFERROR(_xlfn.XLOOKUP($D71,'Modelling New'!$D:$D,'Modelling New'!$J:$J),"")</f>
        <v>6.5666666666666664</v>
      </c>
      <c r="AD71" s="169">
        <f>IFERROR(_xlfn.XLOOKUP($D71,'Modelling New'!$D:$D,'Modelling New'!$T:$T)*1000,"")</f>
        <v>501275.34211348038</v>
      </c>
      <c r="AE71" s="186"/>
      <c r="AF71" s="186">
        <f>IFERROR(_xlfn.XLOOKUP($D71,'Modelling New'!$D:$D,'Modelling New'!$W:$W),"")</f>
        <v>0.26777528959053443</v>
      </c>
      <c r="AG71" s="186">
        <f>IFERROR(_xlfn.XLOOKUP($D71,'Modelling New'!$D:$D,'Modelling New'!$AE:$AE),"")</f>
        <v>0.96029999999999993</v>
      </c>
      <c r="AH71" s="186">
        <f>IFERROR(_xlfn.XLOOKUP($D71,'Modelling New'!$D:$D,'Modelling New'!$AF:$AF),"")</f>
        <v>0.995</v>
      </c>
      <c r="AI71" s="167">
        <f>IFERROR(_xlfn.XLOOKUP($A71,Input_Raw!$A:$A,Input_Raw!$DE:$DE),"")</f>
        <v>409.15</v>
      </c>
      <c r="AJ71" s="167"/>
      <c r="AK71" s="167"/>
      <c r="AL71" s="167"/>
      <c r="AM71" s="167"/>
      <c r="AN71" s="188">
        <f>IFERROR(_xlfn.XLOOKUP($A71,Input_Raw!$A:$A,Input_Raw!$DB:$DB),"")</f>
        <v>2.9221128371574645E-2</v>
      </c>
      <c r="AO71" s="186">
        <f>IFERROR((_xlfn.XLOOKUP($A71,'WTG Reactive Power'!$A:$A,'WTG Reactive Power'!$AR:$AR))/X71/1000,"")</f>
        <v>2.9841918485858692E-6</v>
      </c>
      <c r="AP71" s="186">
        <f>IFERROR(_xlfn.XLOOKUP($D71,'Modelling New'!$D:$D,'Modelling New'!$AK:$AK),"")</f>
        <v>0.05</v>
      </c>
      <c r="AQ71" s="186">
        <f>IFERROR(_xlfn.XLOOKUP($D71,'Modelling New'!$D:$D,'Modelling New'!$AL:$AL),"")</f>
        <v>0.05</v>
      </c>
      <c r="AR71">
        <f>IFERROR(_xlfn.XLOOKUP($D71,'Modelling New'!$D:$D,'Modelling New'!$N:$N),"")</f>
        <v>78</v>
      </c>
    </row>
    <row r="72" spans="1:44">
      <c r="A72" s="180">
        <f t="shared" si="7"/>
        <v>45815</v>
      </c>
      <c r="B72" s="169">
        <f>YEAR(Table13[[#This Row],[Date]])+IF(MONTH(Table13[[#This Row],[Date]])&gt;=4,1,0)</f>
        <v>2026</v>
      </c>
      <c r="C72" s="167">
        <f>YEAR(Table13[[#This Row],[Date]])</f>
        <v>2025</v>
      </c>
      <c r="D72" s="181">
        <f>Table13[[#This Row],[Date]]-DAY(Table13[[#This Row],[Date]])+1</f>
        <v>45809</v>
      </c>
      <c r="E72" s="167">
        <f t="shared" si="4"/>
        <v>30</v>
      </c>
      <c r="F72" s="170"/>
      <c r="G72" s="171"/>
      <c r="H72" s="171"/>
      <c r="I72" s="171"/>
      <c r="J72" s="171"/>
      <c r="K72" s="182"/>
      <c r="L72" s="171"/>
      <c r="M72" s="171">
        <f>IFERROR(_xlfn.XLOOKUP($A72,Input_Raw!$A:$A,Input_Raw!CG:CG),"")</f>
        <v>5.25979450046166</v>
      </c>
      <c r="N72" s="171">
        <f>IFERROR(_xlfn.XLOOKUP($A72,Input_Raw!$A:$A,Input_Raw!CH:CH),"")</f>
        <v>0</v>
      </c>
      <c r="O72" s="183">
        <f t="shared" si="6"/>
        <v>0.94307511083610718</v>
      </c>
      <c r="P72" s="183">
        <f>IFERROR(1-SUMIF(WTG_BD!$B:$B,$A72,WTG_BD!$AB:$AB)/($AA72+SUMIF(WTG_BD!$B:$B,$A72,WTG_BD!$AB:$AB)),"")</f>
        <v>0.94307511083610718</v>
      </c>
      <c r="Q72" s="184">
        <f>IFERROR(1-SUMIF(IGA_BD!$B:$B,$A72,IGA_BD!$X:$X)/($AA72+SUMIF(IGA_BD!$B:$B,$A72,IGA_BD!$X:$X)),"")</f>
        <v>1</v>
      </c>
      <c r="R72" s="189">
        <f>IFERROR(1-SUMIF(Grid_BD!$B:$B,$A72,Grid_BD!$V:$V)/($AA72+SUMIF(Grid_BD!$B:$B,$A72,Grid_BD!$V:$V)),"")</f>
        <v>1</v>
      </c>
      <c r="S72" s="167"/>
      <c r="T72" s="184"/>
      <c r="U72" s="185"/>
      <c r="V72" s="167"/>
      <c r="W72" s="186">
        <f>IFERROR(Table13[[#This Row],[Mtr_Net_Exp (KWh)]]/(24*AR72*1000),"")</f>
        <v>0.2935897435897436</v>
      </c>
      <c r="X72" s="167">
        <f>IFERROR(_xlfn.XLOOKUP($A72,Input_Raw!$A:$A,Input_Raw!$CF:$CF),"")</f>
        <v>551667</v>
      </c>
      <c r="Y72" s="167">
        <f>IFERROR(_xlfn.XLOOKUP($A72,Input_Raw!$A:$A,Input_Raw!$CZ:$CZ),"")</f>
        <v>549600</v>
      </c>
      <c r="Z72" s="167">
        <f>IFERROR(_xlfn.XLOOKUP($A72,Input_Raw!$A:$A,Input_Raw!$DA:$DA),"")</f>
        <v>0</v>
      </c>
      <c r="AA72" s="169">
        <f t="shared" si="5"/>
        <v>549600</v>
      </c>
      <c r="AB72" s="167">
        <f>IFERROR(_xlfn.XLOOKUP($A72,Input_Raw!$A:$A,Input_Raw!$DG:$DG),"")</f>
        <v>78</v>
      </c>
      <c r="AC72" s="187">
        <f>IFERROR(_xlfn.XLOOKUP($D72,'Modelling New'!$D:$D,'Modelling New'!$J:$J),"")</f>
        <v>6.5666666666666664</v>
      </c>
      <c r="AD72" s="169">
        <f>IFERROR(_xlfn.XLOOKUP($D72,'Modelling New'!$D:$D,'Modelling New'!$T:$T)*1000,"")</f>
        <v>501275.34211348038</v>
      </c>
      <c r="AE72" s="186"/>
      <c r="AF72" s="186">
        <f>IFERROR(_xlfn.XLOOKUP($D72,'Modelling New'!$D:$D,'Modelling New'!$W:$W),"")</f>
        <v>0.26777528959053443</v>
      </c>
      <c r="AG72" s="186">
        <f>IFERROR(_xlfn.XLOOKUP($D72,'Modelling New'!$D:$D,'Modelling New'!$AE:$AE),"")</f>
        <v>0.96029999999999993</v>
      </c>
      <c r="AH72" s="186">
        <f>IFERROR(_xlfn.XLOOKUP($D72,'Modelling New'!$D:$D,'Modelling New'!$AF:$AF),"")</f>
        <v>0.995</v>
      </c>
      <c r="AI72" s="167">
        <f>IFERROR(_xlfn.XLOOKUP($A72,Input_Raw!$A:$A,Input_Raw!$DE:$DE),"")</f>
        <v>551.66</v>
      </c>
      <c r="AJ72" s="167"/>
      <c r="AK72" s="167"/>
      <c r="AL72" s="167"/>
      <c r="AM72" s="167"/>
      <c r="AN72" s="188">
        <f>IFERROR(_xlfn.XLOOKUP($A72,Input_Raw!$A:$A,Input_Raw!$DB:$DB),"")</f>
        <v>3.7468255306190024E-3</v>
      </c>
      <c r="AO72" s="186">
        <f>IFERROR((_xlfn.XLOOKUP($A72,'WTG Reactive Power'!$A:$A,'WTG Reactive Power'!$AR:$AR))/X72/1000,"")</f>
        <v>0</v>
      </c>
      <c r="AP72" s="186">
        <f>IFERROR(_xlfn.XLOOKUP($D72,'Modelling New'!$D:$D,'Modelling New'!$AK:$AK),"")</f>
        <v>0.05</v>
      </c>
      <c r="AQ72" s="186">
        <f>IFERROR(_xlfn.XLOOKUP($D72,'Modelling New'!$D:$D,'Modelling New'!$AL:$AL),"")</f>
        <v>0.05</v>
      </c>
      <c r="AR72">
        <f>IFERROR(_xlfn.XLOOKUP($D72,'Modelling New'!$D:$D,'Modelling New'!$N:$N),"")</f>
        <v>78</v>
      </c>
    </row>
    <row r="73" spans="1:44">
      <c r="A73" s="180">
        <f t="shared" si="7"/>
        <v>45816</v>
      </c>
      <c r="B73" s="169">
        <f>YEAR(Table13[[#This Row],[Date]])+IF(MONTH(Table13[[#This Row],[Date]])&gt;=4,1,0)</f>
        <v>2026</v>
      </c>
      <c r="C73" s="167">
        <f>YEAR(Table13[[#This Row],[Date]])</f>
        <v>2025</v>
      </c>
      <c r="D73" s="181">
        <f>Table13[[#This Row],[Date]]-DAY(Table13[[#This Row],[Date]])+1</f>
        <v>45809</v>
      </c>
      <c r="E73" s="167">
        <f t="shared" si="4"/>
        <v>30</v>
      </c>
      <c r="F73" s="170"/>
      <c r="G73" s="171"/>
      <c r="H73" s="171"/>
      <c r="I73" s="171"/>
      <c r="J73" s="171"/>
      <c r="K73" s="182"/>
      <c r="L73" s="171"/>
      <c r="M73" s="171">
        <f>IFERROR(_xlfn.XLOOKUP($A73,Input_Raw!$A:$A,Input_Raw!CG:CG),"")</f>
        <v>5.4376923076923074</v>
      </c>
      <c r="N73" s="171">
        <f>IFERROR(_xlfn.XLOOKUP($A73,Input_Raw!$A:$A,Input_Raw!CH:CH),"")</f>
        <v>0</v>
      </c>
      <c r="O73" s="183">
        <f t="shared" si="6"/>
        <v>0.93821152725936574</v>
      </c>
      <c r="P73" s="183">
        <f>IFERROR(1-SUMIF(WTG_BD!$B:$B,$A73,WTG_BD!$AB:$AB)/($AA73+SUMIF(WTG_BD!$B:$B,$A73,WTG_BD!$AB:$AB)),"")</f>
        <v>0.95679966331378263</v>
      </c>
      <c r="Q73" s="184">
        <f>IFERROR(1-SUMIF(IGA_BD!$B:$B,$A73,IGA_BD!$X:$X)/($AA73+SUMIF(IGA_BD!$B:$B,$A73,IGA_BD!$X:$X)),"")</f>
        <v>0.98057259344130754</v>
      </c>
      <c r="R73" s="189">
        <f>IFERROR(1-SUMIF(Grid_BD!$B:$B,$A73,Grid_BD!$V:$V)/($AA73+SUMIF(Grid_BD!$B:$B,$A73,Grid_BD!$V:$V)),"")</f>
        <v>1</v>
      </c>
      <c r="S73" s="167"/>
      <c r="T73" s="184"/>
      <c r="U73" s="185"/>
      <c r="V73" s="167"/>
      <c r="W73" s="186">
        <f>IFERROR(Table13[[#This Row],[Mtr_Net_Exp (KWh)]]/(24*AR73*1000),"")</f>
        <v>0.30192307692307691</v>
      </c>
      <c r="X73" s="167">
        <f>IFERROR(_xlfn.XLOOKUP($A73,Input_Raw!$A:$A,Input_Raw!$CF:$CF),"")</f>
        <v>567412</v>
      </c>
      <c r="Y73" s="167">
        <f>IFERROR(_xlfn.XLOOKUP($A73,Input_Raw!$A:$A,Input_Raw!$CZ:$CZ),"")</f>
        <v>565200</v>
      </c>
      <c r="Z73" s="167">
        <f>IFERROR(_xlfn.XLOOKUP($A73,Input_Raw!$A:$A,Input_Raw!$DA:$DA),"")</f>
        <v>0</v>
      </c>
      <c r="AA73" s="169">
        <f t="shared" si="5"/>
        <v>565200</v>
      </c>
      <c r="AB73" s="167">
        <f>IFERROR(_xlfn.XLOOKUP($A73,Input_Raw!$A:$A,Input_Raw!$DG:$DG),"")</f>
        <v>78</v>
      </c>
      <c r="AC73" s="187">
        <f>IFERROR(_xlfn.XLOOKUP($D73,'Modelling New'!$D:$D,'Modelling New'!$J:$J),"")</f>
        <v>6.5666666666666664</v>
      </c>
      <c r="AD73" s="169">
        <f>IFERROR(_xlfn.XLOOKUP($D73,'Modelling New'!$D:$D,'Modelling New'!$T:$T)*1000,"")</f>
        <v>501275.34211348038</v>
      </c>
      <c r="AE73" s="186"/>
      <c r="AF73" s="186">
        <f>IFERROR(_xlfn.XLOOKUP($D73,'Modelling New'!$D:$D,'Modelling New'!$W:$W),"")</f>
        <v>0.26777528959053443</v>
      </c>
      <c r="AG73" s="186">
        <f>IFERROR(_xlfn.XLOOKUP($D73,'Modelling New'!$D:$D,'Modelling New'!$AE:$AE),"")</f>
        <v>0.96029999999999993</v>
      </c>
      <c r="AH73" s="186">
        <f>IFERROR(_xlfn.XLOOKUP($D73,'Modelling New'!$D:$D,'Modelling New'!$AF:$AF),"")</f>
        <v>0.995</v>
      </c>
      <c r="AI73" s="167">
        <f>IFERROR(_xlfn.XLOOKUP($A73,Input_Raw!$A:$A,Input_Raw!$DE:$DE),"")</f>
        <v>567.41</v>
      </c>
      <c r="AJ73" s="167"/>
      <c r="AK73" s="167"/>
      <c r="AL73" s="167"/>
      <c r="AM73" s="167"/>
      <c r="AN73" s="188">
        <f>IFERROR(_xlfn.XLOOKUP($A73,Input_Raw!$A:$A,Input_Raw!$DB:$DB),"")</f>
        <v>3.8984018667211906E-3</v>
      </c>
      <c r="AO73" s="186">
        <f>IFERROR((_xlfn.XLOOKUP($A73,'WTG Reactive Power'!$A:$A,'WTG Reactive Power'!$AR:$AR))/X73/1000,"")</f>
        <v>2.1518755331223168E-6</v>
      </c>
      <c r="AP73" s="186">
        <f>IFERROR(_xlfn.XLOOKUP($D73,'Modelling New'!$D:$D,'Modelling New'!$AK:$AK),"")</f>
        <v>0.05</v>
      </c>
      <c r="AQ73" s="186">
        <f>IFERROR(_xlfn.XLOOKUP($D73,'Modelling New'!$D:$D,'Modelling New'!$AL:$AL),"")</f>
        <v>0.05</v>
      </c>
      <c r="AR73">
        <f>IFERROR(_xlfn.XLOOKUP($D73,'Modelling New'!$D:$D,'Modelling New'!$N:$N),"")</f>
        <v>78</v>
      </c>
    </row>
    <row r="74" spans="1:44">
      <c r="A74" s="180">
        <f t="shared" si="7"/>
        <v>45817</v>
      </c>
      <c r="B74" s="169">
        <f>YEAR(Table13[[#This Row],[Date]])+IF(MONTH(Table13[[#This Row],[Date]])&gt;=4,1,0)</f>
        <v>2026</v>
      </c>
      <c r="C74" s="167">
        <f>YEAR(Table13[[#This Row],[Date]])</f>
        <v>2025</v>
      </c>
      <c r="D74" s="181">
        <f>Table13[[#This Row],[Date]]-DAY(Table13[[#This Row],[Date]])+1</f>
        <v>45809</v>
      </c>
      <c r="E74" s="167">
        <f t="shared" si="4"/>
        <v>30</v>
      </c>
      <c r="F74" s="170"/>
      <c r="G74" s="171"/>
      <c r="H74" s="171"/>
      <c r="I74" s="171"/>
      <c r="J74" s="171"/>
      <c r="K74" s="182"/>
      <c r="L74" s="171"/>
      <c r="M74" s="171">
        <f>IFERROR(_xlfn.XLOOKUP($A74,Input_Raw!$A:$A,Input_Raw!CG:CG),"")</f>
        <v>6.9443589743589742</v>
      </c>
      <c r="N74" s="171">
        <f>IFERROR(_xlfn.XLOOKUP($A74,Input_Raw!$A:$A,Input_Raw!CH:CH),"")</f>
        <v>0</v>
      </c>
      <c r="O74" s="183">
        <f t="shared" si="6"/>
        <v>0.9359912699702172</v>
      </c>
      <c r="P74" s="183">
        <f>IFERROR(1-SUMIF(WTG_BD!$B:$B,$A74,WTG_BD!$AB:$AB)/($AA74+SUMIF(WTG_BD!$B:$B,$A74,WTG_BD!$AB:$AB)),"")</f>
        <v>0.9359912699702172</v>
      </c>
      <c r="Q74" s="184">
        <f>IFERROR(1-SUMIF(IGA_BD!$B:$B,$A74,IGA_BD!$X:$X)/($AA74+SUMIF(IGA_BD!$B:$B,$A74,IGA_BD!$X:$X)),"")</f>
        <v>1</v>
      </c>
      <c r="R74" s="189">
        <f>IFERROR(1-SUMIF(Grid_BD!$B:$B,$A74,Grid_BD!$V:$V)/($AA74+SUMIF(Grid_BD!$B:$B,$A74,Grid_BD!$V:$V)),"")</f>
        <v>1</v>
      </c>
      <c r="S74" s="167"/>
      <c r="T74" s="184"/>
      <c r="U74" s="185"/>
      <c r="V74" s="167"/>
      <c r="W74" s="186">
        <f>IFERROR(Table13[[#This Row],[Mtr_Net_Exp (KWh)]]/(24*AR74*1000),"")</f>
        <v>0.44038461538461537</v>
      </c>
      <c r="X74" s="167">
        <f>IFERROR(_xlfn.XLOOKUP($A74,Input_Raw!$A:$A,Input_Raw!$CF:$CF),"")</f>
        <v>826022</v>
      </c>
      <c r="Y74" s="167">
        <f>IFERROR(_xlfn.XLOOKUP($A74,Input_Raw!$A:$A,Input_Raw!$CZ:$CZ),"")</f>
        <v>824400</v>
      </c>
      <c r="Z74" s="167">
        <f>IFERROR(_xlfn.XLOOKUP($A74,Input_Raw!$A:$A,Input_Raw!$DA:$DA),"")</f>
        <v>0</v>
      </c>
      <c r="AA74" s="169">
        <f t="shared" si="5"/>
        <v>824400</v>
      </c>
      <c r="AB74" s="167">
        <f>IFERROR(_xlfn.XLOOKUP($A74,Input_Raw!$A:$A,Input_Raw!$DG:$DG),"")</f>
        <v>78</v>
      </c>
      <c r="AC74" s="187">
        <f>IFERROR(_xlfn.XLOOKUP($D74,'Modelling New'!$D:$D,'Modelling New'!$J:$J),"")</f>
        <v>6.5666666666666664</v>
      </c>
      <c r="AD74" s="169">
        <f>IFERROR(_xlfn.XLOOKUP($D74,'Modelling New'!$D:$D,'Modelling New'!$T:$T)*1000,"")</f>
        <v>501275.34211348038</v>
      </c>
      <c r="AE74" s="186"/>
      <c r="AF74" s="186">
        <f>IFERROR(_xlfn.XLOOKUP($D74,'Modelling New'!$D:$D,'Modelling New'!$W:$W),"")</f>
        <v>0.26777528959053443</v>
      </c>
      <c r="AG74" s="186">
        <f>IFERROR(_xlfn.XLOOKUP($D74,'Modelling New'!$D:$D,'Modelling New'!$AE:$AE),"")</f>
        <v>0.96029999999999993</v>
      </c>
      <c r="AH74" s="186">
        <f>IFERROR(_xlfn.XLOOKUP($D74,'Modelling New'!$D:$D,'Modelling New'!$AF:$AF),"")</f>
        <v>0.995</v>
      </c>
      <c r="AI74" s="167">
        <f>IFERROR(_xlfn.XLOOKUP($A74,Input_Raw!$A:$A,Input_Raw!$DE:$DE),"")</f>
        <v>826.02</v>
      </c>
      <c r="AJ74" s="167"/>
      <c r="AK74" s="167"/>
      <c r="AL74" s="167"/>
      <c r="AM74" s="167"/>
      <c r="AN74" s="188">
        <f>IFERROR(_xlfn.XLOOKUP($A74,Input_Raw!$A:$A,Input_Raw!$DB:$DB),"")</f>
        <v>1.9636280873874812E-3</v>
      </c>
      <c r="AO74" s="186">
        <f>IFERROR((_xlfn.XLOOKUP($A74,'WTG Reactive Power'!$A:$A,'WTG Reactive Power'!$AR:$AR))/X74/1000,"")</f>
        <v>0</v>
      </c>
      <c r="AP74" s="186">
        <f>IFERROR(_xlfn.XLOOKUP($D74,'Modelling New'!$D:$D,'Modelling New'!$AK:$AK),"")</f>
        <v>0.05</v>
      </c>
      <c r="AQ74" s="186">
        <f>IFERROR(_xlfn.XLOOKUP($D74,'Modelling New'!$D:$D,'Modelling New'!$AL:$AL),"")</f>
        <v>0.05</v>
      </c>
      <c r="AR74">
        <f>IFERROR(_xlfn.XLOOKUP($D74,'Modelling New'!$D:$D,'Modelling New'!$N:$N),"")</f>
        <v>78</v>
      </c>
    </row>
    <row r="75" spans="1:44">
      <c r="A75" s="180">
        <f t="shared" si="7"/>
        <v>45818</v>
      </c>
      <c r="B75" s="169">
        <f>YEAR(Table13[[#This Row],[Date]])+IF(MONTH(Table13[[#This Row],[Date]])&gt;=4,1,0)</f>
        <v>2026</v>
      </c>
      <c r="C75" s="167">
        <f>YEAR(Table13[[#This Row],[Date]])</f>
        <v>2025</v>
      </c>
      <c r="D75" s="181">
        <f>Table13[[#This Row],[Date]]-DAY(Table13[[#This Row],[Date]])+1</f>
        <v>45809</v>
      </c>
      <c r="E75" s="167">
        <f t="shared" si="4"/>
        <v>30</v>
      </c>
      <c r="F75" s="170"/>
      <c r="G75" s="171"/>
      <c r="H75" s="171"/>
      <c r="I75" s="171"/>
      <c r="J75" s="171"/>
      <c r="K75" s="182"/>
      <c r="L75" s="171"/>
      <c r="M75" s="171">
        <f>IFERROR(_xlfn.XLOOKUP($A75,Input_Raw!$A:$A,Input_Raw!CG:CG),"")</f>
        <v>5.3748717948717948</v>
      </c>
      <c r="N75" s="171">
        <f>IFERROR(_xlfn.XLOOKUP($A75,Input_Raw!$A:$A,Input_Raw!CH:CH),"")</f>
        <v>0</v>
      </c>
      <c r="O75" s="183">
        <f t="shared" si="6"/>
        <v>0.93108979290480798</v>
      </c>
      <c r="P75" s="183">
        <f>IFERROR(1-SUMIF(WTG_BD!$B:$B,$A75,WTG_BD!$AB:$AB)/($AA75+SUMIF(WTG_BD!$B:$B,$A75,WTG_BD!$AB:$AB)),"")</f>
        <v>0.93108979290480798</v>
      </c>
      <c r="Q75" s="184">
        <f>IFERROR(1-SUMIF(IGA_BD!$B:$B,$A75,IGA_BD!$X:$X)/($AA75+SUMIF(IGA_BD!$B:$B,$A75,IGA_BD!$X:$X)),"")</f>
        <v>1</v>
      </c>
      <c r="R75" s="189">
        <f>IFERROR(1-SUMIF(Grid_BD!$B:$B,$A75,Grid_BD!$V:$V)/($AA75+SUMIF(Grid_BD!$B:$B,$A75,Grid_BD!$V:$V)),"")</f>
        <v>1</v>
      </c>
      <c r="S75" s="167"/>
      <c r="T75" s="184"/>
      <c r="U75" s="185"/>
      <c r="V75" s="167"/>
      <c r="W75" s="186">
        <f>IFERROR(Table13[[#This Row],[Mtr_Net_Exp (KWh)]]/(24*AR75*1000),"")</f>
        <v>0.2935897435897436</v>
      </c>
      <c r="X75" s="167">
        <f>IFERROR(_xlfn.XLOOKUP($A75,Input_Raw!$A:$A,Input_Raw!$CF:$CF),"")</f>
        <v>554892</v>
      </c>
      <c r="Y75" s="167">
        <f>IFERROR(_xlfn.XLOOKUP($A75,Input_Raw!$A:$A,Input_Raw!$CZ:$CZ),"")</f>
        <v>552000</v>
      </c>
      <c r="Z75" s="167">
        <f>IFERROR(_xlfn.XLOOKUP($A75,Input_Raw!$A:$A,Input_Raw!$DA:$DA),"")</f>
        <v>2400</v>
      </c>
      <c r="AA75" s="169">
        <f t="shared" si="5"/>
        <v>549600</v>
      </c>
      <c r="AB75" s="167">
        <f>IFERROR(_xlfn.XLOOKUP($A75,Input_Raw!$A:$A,Input_Raw!$DG:$DG),"")</f>
        <v>78</v>
      </c>
      <c r="AC75" s="187">
        <f>IFERROR(_xlfn.XLOOKUP($D75,'Modelling New'!$D:$D,'Modelling New'!$J:$J),"")</f>
        <v>6.5666666666666664</v>
      </c>
      <c r="AD75" s="169">
        <f>IFERROR(_xlfn.XLOOKUP($D75,'Modelling New'!$D:$D,'Modelling New'!$T:$T)*1000,"")</f>
        <v>501275.34211348038</v>
      </c>
      <c r="AE75" s="186"/>
      <c r="AF75" s="186">
        <f>IFERROR(_xlfn.XLOOKUP($D75,'Modelling New'!$D:$D,'Modelling New'!$W:$W),"")</f>
        <v>0.26777528959053443</v>
      </c>
      <c r="AG75" s="186">
        <f>IFERROR(_xlfn.XLOOKUP($D75,'Modelling New'!$D:$D,'Modelling New'!$AE:$AE),"")</f>
        <v>0.96029999999999993</v>
      </c>
      <c r="AH75" s="186">
        <f>IFERROR(_xlfn.XLOOKUP($D75,'Modelling New'!$D:$D,'Modelling New'!$AF:$AF),"")</f>
        <v>0.995</v>
      </c>
      <c r="AI75" s="167">
        <f>IFERROR(_xlfn.XLOOKUP($A75,Input_Raw!$A:$A,Input_Raw!$DE:$DE),"")</f>
        <v>554.89</v>
      </c>
      <c r="AJ75" s="167"/>
      <c r="AK75" s="167"/>
      <c r="AL75" s="167"/>
      <c r="AM75" s="167"/>
      <c r="AN75" s="188">
        <f>IFERROR(_xlfn.XLOOKUP($A75,Input_Raw!$A:$A,Input_Raw!$DB:$DB),"")</f>
        <v>5.211825003784476E-3</v>
      </c>
      <c r="AO75" s="186">
        <f>IFERROR((_xlfn.XLOOKUP($A75,'WTG Reactive Power'!$A:$A,'WTG Reactive Power'!$AR:$AR))/X75/1000,"")</f>
        <v>6.5346049321309367E-6</v>
      </c>
      <c r="AP75" s="186">
        <f>IFERROR(_xlfn.XLOOKUP($D75,'Modelling New'!$D:$D,'Modelling New'!$AK:$AK),"")</f>
        <v>0.05</v>
      </c>
      <c r="AQ75" s="186">
        <f>IFERROR(_xlfn.XLOOKUP($D75,'Modelling New'!$D:$D,'Modelling New'!$AL:$AL),"")</f>
        <v>0.05</v>
      </c>
      <c r="AR75">
        <f>IFERROR(_xlfn.XLOOKUP($D75,'Modelling New'!$D:$D,'Modelling New'!$N:$N),"")</f>
        <v>78</v>
      </c>
    </row>
    <row r="76" spans="1:44">
      <c r="A76" s="180">
        <f t="shared" si="7"/>
        <v>45819</v>
      </c>
      <c r="B76" s="169">
        <f>YEAR(Table13[[#This Row],[Date]])+IF(MONTH(Table13[[#This Row],[Date]])&gt;=4,1,0)</f>
        <v>2026</v>
      </c>
      <c r="C76" s="167">
        <f>YEAR(Table13[[#This Row],[Date]])</f>
        <v>2025</v>
      </c>
      <c r="D76" s="181">
        <f>Table13[[#This Row],[Date]]-DAY(Table13[[#This Row],[Date]])+1</f>
        <v>45809</v>
      </c>
      <c r="E76" s="167">
        <f t="shared" si="4"/>
        <v>30</v>
      </c>
      <c r="F76" s="170"/>
      <c r="G76" s="171"/>
      <c r="H76" s="171"/>
      <c r="I76" s="171"/>
      <c r="J76" s="171"/>
      <c r="K76" s="182"/>
      <c r="L76" s="171"/>
      <c r="M76" s="171">
        <f>IFERROR(_xlfn.XLOOKUP($A76,Input_Raw!$A:$A,Input_Raw!CG:CG),"")</f>
        <v>4.8151282051282047</v>
      </c>
      <c r="N76" s="171">
        <f>IFERROR(_xlfn.XLOOKUP($A76,Input_Raw!$A:$A,Input_Raw!CH:CH),"")</f>
        <v>0</v>
      </c>
      <c r="O76" s="183">
        <f t="shared" si="6"/>
        <v>0.92611294248954634</v>
      </c>
      <c r="P76" s="183">
        <f>IFERROR(1-SUMIF(WTG_BD!$B:$B,$A76,WTG_BD!$AB:$AB)/($AA76+SUMIF(WTG_BD!$B:$B,$A76,WTG_BD!$AB:$AB)),"")</f>
        <v>0.92711967004872953</v>
      </c>
      <c r="Q76" s="184">
        <f>IFERROR(1-SUMIF(IGA_BD!$B:$B,$A76,IGA_BD!$X:$X)/($AA76+SUMIF(IGA_BD!$B:$B,$A76,IGA_BD!$X:$X)),"")</f>
        <v>0.99891413418169606</v>
      </c>
      <c r="R76" s="189">
        <f>IFERROR(1-SUMIF(Grid_BD!$B:$B,$A76,Grid_BD!$V:$V)/($AA76+SUMIF(Grid_BD!$B:$B,$A76,Grid_BD!$V:$V)),"")</f>
        <v>1</v>
      </c>
      <c r="S76" s="167"/>
      <c r="T76" s="184"/>
      <c r="U76" s="185"/>
      <c r="V76" s="167"/>
      <c r="W76" s="186">
        <f>IFERROR(Table13[[#This Row],[Mtr_Net_Exp (KWh)]]/(24*AR76*1000),"")</f>
        <v>0.258974358974359</v>
      </c>
      <c r="X76" s="167">
        <f>IFERROR(_xlfn.XLOOKUP($A76,Input_Raw!$A:$A,Input_Raw!$CF:$CF),"")</f>
        <v>491107</v>
      </c>
      <c r="Y76" s="167">
        <f>IFERROR(_xlfn.XLOOKUP($A76,Input_Raw!$A:$A,Input_Raw!$CZ:$CZ),"")</f>
        <v>484800</v>
      </c>
      <c r="Z76" s="167">
        <f>IFERROR(_xlfn.XLOOKUP($A76,Input_Raw!$A:$A,Input_Raw!$DA:$DA),"")</f>
        <v>0</v>
      </c>
      <c r="AA76" s="169">
        <f t="shared" si="5"/>
        <v>484800</v>
      </c>
      <c r="AB76" s="167">
        <f>IFERROR(_xlfn.XLOOKUP($A76,Input_Raw!$A:$A,Input_Raw!$DG:$DG),"")</f>
        <v>78</v>
      </c>
      <c r="AC76" s="187">
        <f>IFERROR(_xlfn.XLOOKUP($D76,'Modelling New'!$D:$D,'Modelling New'!$J:$J),"")</f>
        <v>6.5666666666666664</v>
      </c>
      <c r="AD76" s="169">
        <f>IFERROR(_xlfn.XLOOKUP($D76,'Modelling New'!$D:$D,'Modelling New'!$T:$T)*1000,"")</f>
        <v>501275.34211348038</v>
      </c>
      <c r="AE76" s="186"/>
      <c r="AF76" s="186">
        <f>IFERROR(_xlfn.XLOOKUP($D76,'Modelling New'!$D:$D,'Modelling New'!$W:$W),"")</f>
        <v>0.26777528959053443</v>
      </c>
      <c r="AG76" s="186">
        <f>IFERROR(_xlfn.XLOOKUP($D76,'Modelling New'!$D:$D,'Modelling New'!$AE:$AE),"")</f>
        <v>0.96029999999999993</v>
      </c>
      <c r="AH76" s="186">
        <f>IFERROR(_xlfn.XLOOKUP($D76,'Modelling New'!$D:$D,'Modelling New'!$AF:$AF),"")</f>
        <v>0.995</v>
      </c>
      <c r="AI76" s="167">
        <f>IFERROR(_xlfn.XLOOKUP($A76,Input_Raw!$A:$A,Input_Raw!$DE:$DE),"")</f>
        <v>491.1</v>
      </c>
      <c r="AJ76" s="167"/>
      <c r="AK76" s="167"/>
      <c r="AL76" s="167"/>
      <c r="AM76" s="167"/>
      <c r="AN76" s="188">
        <f>IFERROR(_xlfn.XLOOKUP($A76,Input_Raw!$A:$A,Input_Raw!$DB:$DB),"")</f>
        <v>1.2842415196688273E-2</v>
      </c>
      <c r="AO76" s="186">
        <f>IFERROR((_xlfn.XLOOKUP($A76,'WTG Reactive Power'!$A:$A,'WTG Reactive Power'!$AR:$AR))/X76/1000,"")</f>
        <v>2.4862199072707167E-6</v>
      </c>
      <c r="AP76" s="186">
        <f>IFERROR(_xlfn.XLOOKUP($D76,'Modelling New'!$D:$D,'Modelling New'!$AK:$AK),"")</f>
        <v>0.05</v>
      </c>
      <c r="AQ76" s="186">
        <f>IFERROR(_xlfn.XLOOKUP($D76,'Modelling New'!$D:$D,'Modelling New'!$AL:$AL),"")</f>
        <v>0.05</v>
      </c>
      <c r="AR76">
        <f>IFERROR(_xlfn.XLOOKUP($D76,'Modelling New'!$D:$D,'Modelling New'!$N:$N),"")</f>
        <v>78</v>
      </c>
    </row>
    <row r="77" spans="1:44">
      <c r="A77" s="180">
        <f t="shared" si="7"/>
        <v>45820</v>
      </c>
      <c r="B77" s="169">
        <f>YEAR(Table13[[#This Row],[Date]])+IF(MONTH(Table13[[#This Row],[Date]])&gt;=4,1,0)</f>
        <v>2026</v>
      </c>
      <c r="C77" s="167">
        <f>YEAR(Table13[[#This Row],[Date]])</f>
        <v>2025</v>
      </c>
      <c r="D77" s="181">
        <f>Table13[[#This Row],[Date]]-DAY(Table13[[#This Row],[Date]])+1</f>
        <v>45809</v>
      </c>
      <c r="E77" s="167">
        <f t="shared" si="4"/>
        <v>30</v>
      </c>
      <c r="F77" s="170"/>
      <c r="G77" s="171"/>
      <c r="H77" s="171"/>
      <c r="I77" s="171"/>
      <c r="J77" s="171"/>
      <c r="K77" s="182"/>
      <c r="L77" s="171"/>
      <c r="M77" s="171">
        <f>IFERROR(_xlfn.XLOOKUP($A77,Input_Raw!$A:$A,Input_Raw!CG:CG),"")</f>
        <v>4.6823076923076918</v>
      </c>
      <c r="N77" s="171">
        <f>IFERROR(_xlfn.XLOOKUP($A77,Input_Raw!$A:$A,Input_Raw!CH:CH),"")</f>
        <v>0</v>
      </c>
      <c r="O77" s="183">
        <f t="shared" si="6"/>
        <v>0.94319150358571413</v>
      </c>
      <c r="P77" s="183">
        <f>IFERROR(1-SUMIF(WTG_BD!$B:$B,$A77,WTG_BD!$AB:$AB)/($AA77+SUMIF(WTG_BD!$B:$B,$A77,WTG_BD!$AB:$AB)),"")</f>
        <v>0.94319150358571413</v>
      </c>
      <c r="Q77" s="184">
        <f>IFERROR(1-SUMIF(IGA_BD!$B:$B,$A77,IGA_BD!$X:$X)/($AA77+SUMIF(IGA_BD!$B:$B,$A77,IGA_BD!$X:$X)),"")</f>
        <v>1</v>
      </c>
      <c r="R77" s="189">
        <f>IFERROR(1-SUMIF(Grid_BD!$B:$B,$A77,Grid_BD!$V:$V)/($AA77+SUMIF(Grid_BD!$B:$B,$A77,Grid_BD!$V:$V)),"")</f>
        <v>1</v>
      </c>
      <c r="S77" s="167"/>
      <c r="T77" s="184"/>
      <c r="U77" s="185"/>
      <c r="V77" s="167"/>
      <c r="W77" s="186">
        <f>IFERROR(Table13[[#This Row],[Mtr_Net_Exp (KWh)]]/(24*AR77*1000),"")</f>
        <v>0.22435897435897437</v>
      </c>
      <c r="X77" s="167">
        <f>IFERROR(_xlfn.XLOOKUP($A77,Input_Raw!$A:$A,Input_Raw!$CF:$CF),"")</f>
        <v>428579</v>
      </c>
      <c r="Y77" s="167">
        <f>IFERROR(_xlfn.XLOOKUP($A77,Input_Raw!$A:$A,Input_Raw!$CZ:$CZ),"")</f>
        <v>422400</v>
      </c>
      <c r="Z77" s="167">
        <f>IFERROR(_xlfn.XLOOKUP($A77,Input_Raw!$A:$A,Input_Raw!$DA:$DA),"")</f>
        <v>2400</v>
      </c>
      <c r="AA77" s="169">
        <f t="shared" si="5"/>
        <v>420000</v>
      </c>
      <c r="AB77" s="167">
        <f>IFERROR(_xlfn.XLOOKUP($A77,Input_Raw!$A:$A,Input_Raw!$DG:$DG),"")</f>
        <v>78</v>
      </c>
      <c r="AC77" s="187">
        <f>IFERROR(_xlfn.XLOOKUP($D77,'Modelling New'!$D:$D,'Modelling New'!$J:$J),"")</f>
        <v>6.5666666666666664</v>
      </c>
      <c r="AD77" s="169">
        <f>IFERROR(_xlfn.XLOOKUP($D77,'Modelling New'!$D:$D,'Modelling New'!$T:$T)*1000,"")</f>
        <v>501275.34211348038</v>
      </c>
      <c r="AE77" s="186"/>
      <c r="AF77" s="186">
        <f>IFERROR(_xlfn.XLOOKUP($D77,'Modelling New'!$D:$D,'Modelling New'!$W:$W),"")</f>
        <v>0.26777528959053443</v>
      </c>
      <c r="AG77" s="186">
        <f>IFERROR(_xlfn.XLOOKUP($D77,'Modelling New'!$D:$D,'Modelling New'!$AE:$AE),"")</f>
        <v>0.96029999999999993</v>
      </c>
      <c r="AH77" s="186">
        <f>IFERROR(_xlfn.XLOOKUP($D77,'Modelling New'!$D:$D,'Modelling New'!$AF:$AF),"")</f>
        <v>0.995</v>
      </c>
      <c r="AI77" s="167">
        <f>IFERROR(_xlfn.XLOOKUP($A77,Input_Raw!$A:$A,Input_Raw!$DE:$DE),"")</f>
        <v>428.57</v>
      </c>
      <c r="AJ77" s="167"/>
      <c r="AK77" s="167"/>
      <c r="AL77" s="167"/>
      <c r="AM77" s="167"/>
      <c r="AN77" s="188">
        <f>IFERROR(_xlfn.XLOOKUP($A77,Input_Raw!$A:$A,Input_Raw!$DB:$DB),"")</f>
        <v>1.4417411959055437E-2</v>
      </c>
      <c r="AO77" s="186">
        <f>IFERROR((_xlfn.XLOOKUP($A77,'WTG Reactive Power'!$A:$A,'WTG Reactive Power'!$AR:$AR))/X77/1000,"")</f>
        <v>1.4072084726503166E-5</v>
      </c>
      <c r="AP77" s="186">
        <f>IFERROR(_xlfn.XLOOKUP($D77,'Modelling New'!$D:$D,'Modelling New'!$AK:$AK),"")</f>
        <v>0.05</v>
      </c>
      <c r="AQ77" s="186">
        <f>IFERROR(_xlfn.XLOOKUP($D77,'Modelling New'!$D:$D,'Modelling New'!$AL:$AL),"")</f>
        <v>0.05</v>
      </c>
      <c r="AR77">
        <f>IFERROR(_xlfn.XLOOKUP($D77,'Modelling New'!$D:$D,'Modelling New'!$N:$N),"")</f>
        <v>78</v>
      </c>
    </row>
    <row r="78" spans="1:44">
      <c r="A78" s="180">
        <f t="shared" si="7"/>
        <v>45821</v>
      </c>
      <c r="B78" s="169">
        <f>YEAR(Table13[[#This Row],[Date]])+IF(MONTH(Table13[[#This Row],[Date]])&gt;=4,1,0)</f>
        <v>2026</v>
      </c>
      <c r="C78" s="167">
        <f>YEAR(Table13[[#This Row],[Date]])</f>
        <v>2025</v>
      </c>
      <c r="D78" s="181">
        <f>Table13[[#This Row],[Date]]-DAY(Table13[[#This Row],[Date]])+1</f>
        <v>45809</v>
      </c>
      <c r="E78" s="167">
        <f t="shared" si="4"/>
        <v>30</v>
      </c>
      <c r="F78" s="170"/>
      <c r="G78" s="171"/>
      <c r="H78" s="171"/>
      <c r="I78" s="171"/>
      <c r="J78" s="171"/>
      <c r="K78" s="182"/>
      <c r="L78" s="171"/>
      <c r="M78" s="171" t="str">
        <f>IFERROR(_xlfn.XLOOKUP($A78,Input_Raw!$A:$A,Input_Raw!CG:CG),"")</f>
        <v/>
      </c>
      <c r="N78" s="171">
        <f>IFERROR(_xlfn.XLOOKUP($A78,Input_Raw!$A:$A,Input_Raw!CH:CH),"")</f>
        <v>0</v>
      </c>
      <c r="O78" s="183" t="str">
        <f t="shared" si="6"/>
        <v/>
      </c>
      <c r="P78" s="183" t="str">
        <f>IFERROR(1-SUMIF(WTG_BD!$B:$B,$A78,WTG_BD!$AB:$AB)/($AA78+SUMIF(WTG_BD!$B:$B,$A78,WTG_BD!$AB:$AB)),"")</f>
        <v/>
      </c>
      <c r="Q78" s="184" t="str">
        <f>IFERROR(1-SUMIF(IGA_BD!$B:$B,$A78,IGA_BD!$X:$X)/($AA78+SUMIF(IGA_BD!$B:$B,$A78,IGA_BD!$X:$X)),"")</f>
        <v/>
      </c>
      <c r="R78" s="189" t="str">
        <f>IFERROR(1-SUMIF(Grid_BD!$B:$B,$A78,Grid_BD!$V:$V)/($AA78+SUMIF(Grid_BD!$B:$B,$A78,Grid_BD!$V:$V)),"")</f>
        <v/>
      </c>
      <c r="S78" s="167"/>
      <c r="T78" s="184"/>
      <c r="U78" s="185"/>
      <c r="V78" s="167"/>
      <c r="W78" s="186">
        <f>IFERROR(Table13[[#This Row],[Mtr_Net_Exp (KWh)]]/(24*AR78*1000),"")</f>
        <v>0</v>
      </c>
      <c r="X78" s="167">
        <f>IFERROR(_xlfn.XLOOKUP($A78,Input_Raw!$A:$A,Input_Raw!$CF:$CF),"")</f>
        <v>0</v>
      </c>
      <c r="Y78" s="167">
        <f>IFERROR(_xlfn.XLOOKUP($A78,Input_Raw!$A:$A,Input_Raw!$CZ:$CZ),"")</f>
        <v>0</v>
      </c>
      <c r="Z78" s="167">
        <f>IFERROR(_xlfn.XLOOKUP($A78,Input_Raw!$A:$A,Input_Raw!$DA:$DA),"")</f>
        <v>0</v>
      </c>
      <c r="AA78" s="169">
        <f t="shared" si="5"/>
        <v>0</v>
      </c>
      <c r="AB78" s="167">
        <f>IFERROR(_xlfn.XLOOKUP($A78,Input_Raw!$A:$A,Input_Raw!$DG:$DG),"")</f>
        <v>0</v>
      </c>
      <c r="AC78" s="187">
        <f>IFERROR(_xlfn.XLOOKUP($D78,'Modelling New'!$D:$D,'Modelling New'!$J:$J),"")</f>
        <v>6.5666666666666664</v>
      </c>
      <c r="AD78" s="169">
        <f>IFERROR(_xlfn.XLOOKUP($D78,'Modelling New'!$D:$D,'Modelling New'!$T:$T)*1000,"")</f>
        <v>501275.34211348038</v>
      </c>
      <c r="AE78" s="186"/>
      <c r="AF78" s="186">
        <f>IFERROR(_xlfn.XLOOKUP($D78,'Modelling New'!$D:$D,'Modelling New'!$W:$W),"")</f>
        <v>0.26777528959053443</v>
      </c>
      <c r="AG78" s="186">
        <f>IFERROR(_xlfn.XLOOKUP($D78,'Modelling New'!$D:$D,'Modelling New'!$AE:$AE),"")</f>
        <v>0.96029999999999993</v>
      </c>
      <c r="AH78" s="186">
        <f>IFERROR(_xlfn.XLOOKUP($D78,'Modelling New'!$D:$D,'Modelling New'!$AF:$AF),"")</f>
        <v>0.995</v>
      </c>
      <c r="AI78" s="167">
        <f>IFERROR(_xlfn.XLOOKUP($A78,Input_Raw!$A:$A,Input_Raw!$DE:$DE),"")</f>
        <v>0</v>
      </c>
      <c r="AJ78" s="167"/>
      <c r="AK78" s="167"/>
      <c r="AL78" s="167"/>
      <c r="AM78" s="167"/>
      <c r="AN78" s="188">
        <f>IFERROR(_xlfn.XLOOKUP($A78,Input_Raw!$A:$A,Input_Raw!$DB:$DB),"")</f>
        <v>0</v>
      </c>
      <c r="AO78" s="186" t="str">
        <f>IFERROR((_xlfn.XLOOKUP($A78,'WTG Reactive Power'!$A:$A,'WTG Reactive Power'!$AR:$AR))/X78/1000,"")</f>
        <v/>
      </c>
      <c r="AP78" s="186">
        <f>IFERROR(_xlfn.XLOOKUP($D78,'Modelling New'!$D:$D,'Modelling New'!$AK:$AK),"")</f>
        <v>0.05</v>
      </c>
      <c r="AQ78" s="186">
        <f>IFERROR(_xlfn.XLOOKUP($D78,'Modelling New'!$D:$D,'Modelling New'!$AL:$AL),"")</f>
        <v>0.05</v>
      </c>
      <c r="AR78">
        <f>IFERROR(_xlfn.XLOOKUP($D78,'Modelling New'!$D:$D,'Modelling New'!$N:$N),"")</f>
        <v>78</v>
      </c>
    </row>
    <row r="79" spans="1:44">
      <c r="A79" s="180">
        <f t="shared" si="7"/>
        <v>45822</v>
      </c>
      <c r="B79" s="169">
        <f>YEAR(Table13[[#This Row],[Date]])+IF(MONTH(Table13[[#This Row],[Date]])&gt;=4,1,0)</f>
        <v>2026</v>
      </c>
      <c r="C79" s="167">
        <f>YEAR(Table13[[#This Row],[Date]])</f>
        <v>2025</v>
      </c>
      <c r="D79" s="181">
        <f>Table13[[#This Row],[Date]]-DAY(Table13[[#This Row],[Date]])+1</f>
        <v>45809</v>
      </c>
      <c r="E79" s="167">
        <f t="shared" si="4"/>
        <v>30</v>
      </c>
      <c r="F79" s="170"/>
      <c r="G79" s="171"/>
      <c r="H79" s="171"/>
      <c r="I79" s="171"/>
      <c r="J79" s="171"/>
      <c r="K79" s="182"/>
      <c r="L79" s="171"/>
      <c r="M79" s="171" t="str">
        <f>IFERROR(_xlfn.XLOOKUP($A79,Input_Raw!$A:$A,Input_Raw!CG:CG),"")</f>
        <v/>
      </c>
      <c r="N79" s="171">
        <f>IFERROR(_xlfn.XLOOKUP($A79,Input_Raw!$A:$A,Input_Raw!CH:CH),"")</f>
        <v>0</v>
      </c>
      <c r="O79" s="183" t="str">
        <f t="shared" si="6"/>
        <v/>
      </c>
      <c r="P79" s="183" t="str">
        <f>IFERROR(1-SUMIF(WTG_BD!$B:$B,$A79,WTG_BD!$AB:$AB)/($AA79+SUMIF(WTG_BD!$B:$B,$A79,WTG_BD!$AB:$AB)),"")</f>
        <v/>
      </c>
      <c r="Q79" s="184" t="str">
        <f>IFERROR(1-SUMIF(IGA_BD!$B:$B,$A79,IGA_BD!$X:$X)/($AA79+SUMIF(IGA_BD!$B:$B,$A79,IGA_BD!$X:$X)),"")</f>
        <v/>
      </c>
      <c r="R79" s="189" t="str">
        <f>IFERROR(1-SUMIF(Grid_BD!$B:$B,$A79,Grid_BD!$V:$V)/($AA79+SUMIF(Grid_BD!$B:$B,$A79,Grid_BD!$V:$V)),"")</f>
        <v/>
      </c>
      <c r="S79" s="167"/>
      <c r="T79" s="184"/>
      <c r="U79" s="185"/>
      <c r="V79" s="167"/>
      <c r="W79" s="186">
        <f>IFERROR(Table13[[#This Row],[Mtr_Net_Exp (KWh)]]/(24*AR79*1000),"")</f>
        <v>0</v>
      </c>
      <c r="X79" s="167">
        <f>IFERROR(_xlfn.XLOOKUP($A79,Input_Raw!$A:$A,Input_Raw!$CF:$CF),"")</f>
        <v>0</v>
      </c>
      <c r="Y79" s="167">
        <f>IFERROR(_xlfn.XLOOKUP($A79,Input_Raw!$A:$A,Input_Raw!$CZ:$CZ),"")</f>
        <v>0</v>
      </c>
      <c r="Z79" s="167">
        <f>IFERROR(_xlfn.XLOOKUP($A79,Input_Raw!$A:$A,Input_Raw!$DA:$DA),"")</f>
        <v>0</v>
      </c>
      <c r="AA79" s="169">
        <f t="shared" si="5"/>
        <v>0</v>
      </c>
      <c r="AB79" s="167">
        <f>IFERROR(_xlfn.XLOOKUP($A79,Input_Raw!$A:$A,Input_Raw!$DG:$DG),"")</f>
        <v>0</v>
      </c>
      <c r="AC79" s="187">
        <f>IFERROR(_xlfn.XLOOKUP($D79,'Modelling New'!$D:$D,'Modelling New'!$J:$J),"")</f>
        <v>6.5666666666666664</v>
      </c>
      <c r="AD79" s="169">
        <f>IFERROR(_xlfn.XLOOKUP($D79,'Modelling New'!$D:$D,'Modelling New'!$T:$T)*1000,"")</f>
        <v>501275.34211348038</v>
      </c>
      <c r="AE79" s="186"/>
      <c r="AF79" s="186">
        <f>IFERROR(_xlfn.XLOOKUP($D79,'Modelling New'!$D:$D,'Modelling New'!$W:$W),"")</f>
        <v>0.26777528959053443</v>
      </c>
      <c r="AG79" s="186">
        <f>IFERROR(_xlfn.XLOOKUP($D79,'Modelling New'!$D:$D,'Modelling New'!$AE:$AE),"")</f>
        <v>0.96029999999999993</v>
      </c>
      <c r="AH79" s="186">
        <f>IFERROR(_xlfn.XLOOKUP($D79,'Modelling New'!$D:$D,'Modelling New'!$AF:$AF),"")</f>
        <v>0.995</v>
      </c>
      <c r="AI79" s="167">
        <f>IFERROR(_xlfn.XLOOKUP($A79,Input_Raw!$A:$A,Input_Raw!$DE:$DE),"")</f>
        <v>0</v>
      </c>
      <c r="AJ79" s="167"/>
      <c r="AK79" s="167"/>
      <c r="AL79" s="167"/>
      <c r="AM79" s="167"/>
      <c r="AN79" s="188">
        <f>IFERROR(_xlfn.XLOOKUP($A79,Input_Raw!$A:$A,Input_Raw!$DB:$DB),"")</f>
        <v>0</v>
      </c>
      <c r="AO79" s="186" t="str">
        <f>IFERROR((_xlfn.XLOOKUP($A79,'WTG Reactive Power'!$A:$A,'WTG Reactive Power'!$AR:$AR))/X79/1000,"")</f>
        <v/>
      </c>
      <c r="AP79" s="186">
        <f>IFERROR(_xlfn.XLOOKUP($D79,'Modelling New'!$D:$D,'Modelling New'!$AK:$AK),"")</f>
        <v>0.05</v>
      </c>
      <c r="AQ79" s="186">
        <f>IFERROR(_xlfn.XLOOKUP($D79,'Modelling New'!$D:$D,'Modelling New'!$AL:$AL),"")</f>
        <v>0.05</v>
      </c>
      <c r="AR79">
        <f>IFERROR(_xlfn.XLOOKUP($D79,'Modelling New'!$D:$D,'Modelling New'!$N:$N),"")</f>
        <v>78</v>
      </c>
    </row>
    <row r="80" spans="1:44">
      <c r="A80" s="180">
        <f t="shared" si="7"/>
        <v>45823</v>
      </c>
      <c r="B80" s="169">
        <f>YEAR(Table13[[#This Row],[Date]])+IF(MONTH(Table13[[#This Row],[Date]])&gt;=4,1,0)</f>
        <v>2026</v>
      </c>
      <c r="C80" s="167">
        <f>YEAR(Table13[[#This Row],[Date]])</f>
        <v>2025</v>
      </c>
      <c r="D80" s="181">
        <f>Table13[[#This Row],[Date]]-DAY(Table13[[#This Row],[Date]])+1</f>
        <v>45809</v>
      </c>
      <c r="E80" s="167">
        <f t="shared" si="4"/>
        <v>30</v>
      </c>
      <c r="F80" s="170"/>
      <c r="G80" s="171"/>
      <c r="H80" s="171"/>
      <c r="I80" s="171"/>
      <c r="J80" s="171"/>
      <c r="K80" s="182"/>
      <c r="L80" s="171"/>
      <c r="M80" s="171" t="str">
        <f>IFERROR(_xlfn.XLOOKUP($A80,Input_Raw!$A:$A,Input_Raw!CG:CG),"")</f>
        <v/>
      </c>
      <c r="N80" s="171">
        <f>IFERROR(_xlfn.XLOOKUP($A80,Input_Raw!$A:$A,Input_Raw!CH:CH),"")</f>
        <v>0</v>
      </c>
      <c r="O80" s="183" t="str">
        <f t="shared" si="6"/>
        <v/>
      </c>
      <c r="P80" s="183" t="str">
        <f>IFERROR(1-SUMIF(WTG_BD!$B:$B,$A80,WTG_BD!$AB:$AB)/($AA80+SUMIF(WTG_BD!$B:$B,$A80,WTG_BD!$AB:$AB)),"")</f>
        <v/>
      </c>
      <c r="Q80" s="184" t="str">
        <f>IFERROR(1-SUMIF(IGA_BD!$B:$B,$A80,IGA_BD!$X:$X)/($AA80+SUMIF(IGA_BD!$B:$B,$A80,IGA_BD!$X:$X)),"")</f>
        <v/>
      </c>
      <c r="R80" s="189" t="str">
        <f>IFERROR(1-SUMIF(Grid_BD!$B:$B,$A80,Grid_BD!$V:$V)/($AA80+SUMIF(Grid_BD!$B:$B,$A80,Grid_BD!$V:$V)),"")</f>
        <v/>
      </c>
      <c r="S80" s="167"/>
      <c r="T80" s="184"/>
      <c r="U80" s="185"/>
      <c r="V80" s="167"/>
      <c r="W80" s="186">
        <f>IFERROR(Table13[[#This Row],[Mtr_Net_Exp (KWh)]]/(24*AR80*1000),"")</f>
        <v>0</v>
      </c>
      <c r="X80" s="167">
        <f>IFERROR(_xlfn.XLOOKUP($A80,Input_Raw!$A:$A,Input_Raw!$CF:$CF),"")</f>
        <v>0</v>
      </c>
      <c r="Y80" s="167">
        <f>IFERROR(_xlfn.XLOOKUP($A80,Input_Raw!$A:$A,Input_Raw!$CZ:$CZ),"")</f>
        <v>0</v>
      </c>
      <c r="Z80" s="167">
        <f>IFERROR(_xlfn.XLOOKUP($A80,Input_Raw!$A:$A,Input_Raw!$DA:$DA),"")</f>
        <v>0</v>
      </c>
      <c r="AA80" s="169">
        <f t="shared" si="5"/>
        <v>0</v>
      </c>
      <c r="AB80" s="167">
        <f>IFERROR(_xlfn.XLOOKUP($A80,Input_Raw!$A:$A,Input_Raw!$DG:$DG),"")</f>
        <v>0</v>
      </c>
      <c r="AC80" s="187">
        <f>IFERROR(_xlfn.XLOOKUP($D80,'Modelling New'!$D:$D,'Modelling New'!$J:$J),"")</f>
        <v>6.5666666666666664</v>
      </c>
      <c r="AD80" s="169">
        <f>IFERROR(_xlfn.XLOOKUP($D80,'Modelling New'!$D:$D,'Modelling New'!$T:$T)*1000,"")</f>
        <v>501275.34211348038</v>
      </c>
      <c r="AE80" s="186"/>
      <c r="AF80" s="186">
        <f>IFERROR(_xlfn.XLOOKUP($D80,'Modelling New'!$D:$D,'Modelling New'!$W:$W),"")</f>
        <v>0.26777528959053443</v>
      </c>
      <c r="AG80" s="186">
        <f>IFERROR(_xlfn.XLOOKUP($D80,'Modelling New'!$D:$D,'Modelling New'!$AE:$AE),"")</f>
        <v>0.96029999999999993</v>
      </c>
      <c r="AH80" s="186">
        <f>IFERROR(_xlfn.XLOOKUP($D80,'Modelling New'!$D:$D,'Modelling New'!$AF:$AF),"")</f>
        <v>0.995</v>
      </c>
      <c r="AI80" s="167">
        <f>IFERROR(_xlfn.XLOOKUP($A80,Input_Raw!$A:$A,Input_Raw!$DE:$DE),"")</f>
        <v>0</v>
      </c>
      <c r="AJ80" s="167"/>
      <c r="AK80" s="167"/>
      <c r="AL80" s="167"/>
      <c r="AM80" s="167"/>
      <c r="AN80" s="188">
        <f>IFERROR(_xlfn.XLOOKUP($A80,Input_Raw!$A:$A,Input_Raw!$DB:$DB),"")</f>
        <v>0</v>
      </c>
      <c r="AO80" s="186" t="str">
        <f>IFERROR((_xlfn.XLOOKUP($A80,'WTG Reactive Power'!$A:$A,'WTG Reactive Power'!$AR:$AR))/X80/1000,"")</f>
        <v/>
      </c>
      <c r="AP80" s="186">
        <f>IFERROR(_xlfn.XLOOKUP($D80,'Modelling New'!$D:$D,'Modelling New'!$AK:$AK),"")</f>
        <v>0.05</v>
      </c>
      <c r="AQ80" s="186">
        <f>IFERROR(_xlfn.XLOOKUP($D80,'Modelling New'!$D:$D,'Modelling New'!$AL:$AL),"")</f>
        <v>0.05</v>
      </c>
      <c r="AR80">
        <f>IFERROR(_xlfn.XLOOKUP($D80,'Modelling New'!$D:$D,'Modelling New'!$N:$N),"")</f>
        <v>78</v>
      </c>
    </row>
    <row r="81" spans="1:44">
      <c r="A81" s="180">
        <f t="shared" si="7"/>
        <v>45824</v>
      </c>
      <c r="B81" s="169">
        <f>YEAR(Table13[[#This Row],[Date]])+IF(MONTH(Table13[[#This Row],[Date]])&gt;=4,1,0)</f>
        <v>2026</v>
      </c>
      <c r="C81" s="167">
        <f>YEAR(Table13[[#This Row],[Date]])</f>
        <v>2025</v>
      </c>
      <c r="D81" s="181">
        <f>Table13[[#This Row],[Date]]-DAY(Table13[[#This Row],[Date]])+1</f>
        <v>45809</v>
      </c>
      <c r="E81" s="167">
        <f t="shared" si="4"/>
        <v>30</v>
      </c>
      <c r="F81" s="170"/>
      <c r="G81" s="171"/>
      <c r="H81" s="171"/>
      <c r="I81" s="171"/>
      <c r="J81" s="171"/>
      <c r="K81" s="182"/>
      <c r="L81" s="171"/>
      <c r="M81" s="171" t="str">
        <f>IFERROR(_xlfn.XLOOKUP($A81,Input_Raw!$A:$A,Input_Raw!CG:CG),"")</f>
        <v/>
      </c>
      <c r="N81" s="171">
        <f>IFERROR(_xlfn.XLOOKUP($A81,Input_Raw!$A:$A,Input_Raw!CH:CH),"")</f>
        <v>0</v>
      </c>
      <c r="O81" s="183" t="str">
        <f t="shared" si="6"/>
        <v/>
      </c>
      <c r="P81" s="183" t="str">
        <f>IFERROR(1-SUMIF(WTG_BD!$B:$B,$A81,WTG_BD!$AB:$AB)/($AA81+SUMIF(WTG_BD!$B:$B,$A81,WTG_BD!$AB:$AB)),"")</f>
        <v/>
      </c>
      <c r="Q81" s="184" t="str">
        <f>IFERROR(1-SUMIF(IGA_BD!$B:$B,$A81,IGA_BD!$X:$X)/($AA81+SUMIF(IGA_BD!$B:$B,$A81,IGA_BD!$X:$X)),"")</f>
        <v/>
      </c>
      <c r="R81" s="189" t="str">
        <f>IFERROR(1-SUMIF(Grid_BD!$B:$B,$A81,Grid_BD!$V:$V)/($AA81+SUMIF(Grid_BD!$B:$B,$A81,Grid_BD!$V:$V)),"")</f>
        <v/>
      </c>
      <c r="S81" s="167"/>
      <c r="T81" s="184"/>
      <c r="U81" s="185"/>
      <c r="V81" s="167"/>
      <c r="W81" s="186">
        <f>IFERROR(Table13[[#This Row],[Mtr_Net_Exp (KWh)]]/(24*AR81*1000),"")</f>
        <v>0</v>
      </c>
      <c r="X81" s="167">
        <f>IFERROR(_xlfn.XLOOKUP($A81,Input_Raw!$A:$A,Input_Raw!$CF:$CF),"")</f>
        <v>0</v>
      </c>
      <c r="Y81" s="167">
        <f>IFERROR(_xlfn.XLOOKUP($A81,Input_Raw!$A:$A,Input_Raw!$CZ:$CZ),"")</f>
        <v>0</v>
      </c>
      <c r="Z81" s="167">
        <f>IFERROR(_xlfn.XLOOKUP($A81,Input_Raw!$A:$A,Input_Raw!$DA:$DA),"")</f>
        <v>0</v>
      </c>
      <c r="AA81" s="169">
        <f t="shared" si="5"/>
        <v>0</v>
      </c>
      <c r="AB81" s="167">
        <f>IFERROR(_xlfn.XLOOKUP($A81,Input_Raw!$A:$A,Input_Raw!$DG:$DG),"")</f>
        <v>0</v>
      </c>
      <c r="AC81" s="187">
        <f>IFERROR(_xlfn.XLOOKUP($D81,'Modelling New'!$D:$D,'Modelling New'!$J:$J),"")</f>
        <v>6.5666666666666664</v>
      </c>
      <c r="AD81" s="169">
        <f>IFERROR(_xlfn.XLOOKUP($D81,'Modelling New'!$D:$D,'Modelling New'!$T:$T)*1000,"")</f>
        <v>501275.34211348038</v>
      </c>
      <c r="AE81" s="186"/>
      <c r="AF81" s="186">
        <f>IFERROR(_xlfn.XLOOKUP($D81,'Modelling New'!$D:$D,'Modelling New'!$W:$W),"")</f>
        <v>0.26777528959053443</v>
      </c>
      <c r="AG81" s="186">
        <f>IFERROR(_xlfn.XLOOKUP($D81,'Modelling New'!$D:$D,'Modelling New'!$AE:$AE),"")</f>
        <v>0.96029999999999993</v>
      </c>
      <c r="AH81" s="186">
        <f>IFERROR(_xlfn.XLOOKUP($D81,'Modelling New'!$D:$D,'Modelling New'!$AF:$AF),"")</f>
        <v>0.995</v>
      </c>
      <c r="AI81" s="167">
        <f>IFERROR(_xlfn.XLOOKUP($A81,Input_Raw!$A:$A,Input_Raw!$DE:$DE),"")</f>
        <v>0</v>
      </c>
      <c r="AJ81" s="167"/>
      <c r="AK81" s="167"/>
      <c r="AL81" s="167"/>
      <c r="AM81" s="167"/>
      <c r="AN81" s="188" t="str">
        <f>IFERROR(_xlfn.XLOOKUP($A81,Input_Raw!$A:$A,Input_Raw!$DB:$DB),"")</f>
        <v/>
      </c>
      <c r="AO81" s="186" t="str">
        <f>IFERROR((_xlfn.XLOOKUP($A81,'WTG Reactive Power'!$A:$A,'WTG Reactive Power'!$AR:$AR))/X81/1000,"")</f>
        <v/>
      </c>
      <c r="AP81" s="186">
        <f>IFERROR(_xlfn.XLOOKUP($D81,'Modelling New'!$D:$D,'Modelling New'!$AK:$AK),"")</f>
        <v>0.05</v>
      </c>
      <c r="AQ81" s="186">
        <f>IFERROR(_xlfn.XLOOKUP($D81,'Modelling New'!$D:$D,'Modelling New'!$AL:$AL),"")</f>
        <v>0.05</v>
      </c>
      <c r="AR81">
        <f>IFERROR(_xlfn.XLOOKUP($D81,'Modelling New'!$D:$D,'Modelling New'!$N:$N),"")</f>
        <v>78</v>
      </c>
    </row>
    <row r="82" spans="1:44">
      <c r="A82" s="180">
        <f t="shared" si="7"/>
        <v>45825</v>
      </c>
      <c r="B82" s="169">
        <f>YEAR(Table13[[#This Row],[Date]])+IF(MONTH(Table13[[#This Row],[Date]])&gt;=4,1,0)</f>
        <v>2026</v>
      </c>
      <c r="C82" s="167">
        <f>YEAR(Table13[[#This Row],[Date]])</f>
        <v>2025</v>
      </c>
      <c r="D82" s="181">
        <f>Table13[[#This Row],[Date]]-DAY(Table13[[#This Row],[Date]])+1</f>
        <v>45809</v>
      </c>
      <c r="E82" s="167">
        <f t="shared" si="4"/>
        <v>30</v>
      </c>
      <c r="F82" s="170"/>
      <c r="G82" s="171"/>
      <c r="H82" s="171"/>
      <c r="I82" s="171"/>
      <c r="J82" s="171"/>
      <c r="K82" s="182"/>
      <c r="L82" s="171"/>
      <c r="M82" s="171" t="str">
        <f>IFERROR(_xlfn.XLOOKUP($A82,Input_Raw!$A:$A,Input_Raw!CG:CG),"")</f>
        <v/>
      </c>
      <c r="N82" s="171">
        <f>IFERROR(_xlfn.XLOOKUP($A82,Input_Raw!$A:$A,Input_Raw!CH:CH),"")</f>
        <v>0</v>
      </c>
      <c r="O82" s="183" t="str">
        <f t="shared" si="6"/>
        <v/>
      </c>
      <c r="P82" s="183" t="str">
        <f>IFERROR(1-SUMIF(WTG_BD!$B:$B,$A82,WTG_BD!$AB:$AB)/($AA82+SUMIF(WTG_BD!$B:$B,$A82,WTG_BD!$AB:$AB)),"")</f>
        <v/>
      </c>
      <c r="Q82" s="184" t="str">
        <f>IFERROR(1-SUMIF(IGA_BD!$B:$B,$A82,IGA_BD!$X:$X)/($AA82+SUMIF(IGA_BD!$B:$B,$A82,IGA_BD!$X:$X)),"")</f>
        <v/>
      </c>
      <c r="R82" s="189" t="str">
        <f>IFERROR(1-SUMIF(Grid_BD!$B:$B,$A82,Grid_BD!$V:$V)/($AA82+SUMIF(Grid_BD!$B:$B,$A82,Grid_BD!$V:$V)),"")</f>
        <v/>
      </c>
      <c r="S82" s="167"/>
      <c r="T82" s="184"/>
      <c r="U82" s="185"/>
      <c r="V82" s="167"/>
      <c r="W82" s="186">
        <f>IFERROR(Table13[[#This Row],[Mtr_Net_Exp (KWh)]]/(24*AR82*1000),"")</f>
        <v>0</v>
      </c>
      <c r="X82" s="167">
        <f>IFERROR(_xlfn.XLOOKUP($A82,Input_Raw!$A:$A,Input_Raw!$CF:$CF),"")</f>
        <v>0</v>
      </c>
      <c r="Y82" s="167">
        <f>IFERROR(_xlfn.XLOOKUP($A82,Input_Raw!$A:$A,Input_Raw!$CZ:$CZ),"")</f>
        <v>0</v>
      </c>
      <c r="Z82" s="167">
        <f>IFERROR(_xlfn.XLOOKUP($A82,Input_Raw!$A:$A,Input_Raw!$DA:$DA),"")</f>
        <v>0</v>
      </c>
      <c r="AA82" s="169">
        <f t="shared" si="5"/>
        <v>0</v>
      </c>
      <c r="AB82" s="167">
        <f>IFERROR(_xlfn.XLOOKUP($A82,Input_Raw!$A:$A,Input_Raw!$DG:$DG),"")</f>
        <v>0</v>
      </c>
      <c r="AC82" s="187">
        <f>IFERROR(_xlfn.XLOOKUP($D82,'Modelling New'!$D:$D,'Modelling New'!$J:$J),"")</f>
        <v>6.5666666666666664</v>
      </c>
      <c r="AD82" s="169">
        <f>IFERROR(_xlfn.XLOOKUP($D82,'Modelling New'!$D:$D,'Modelling New'!$T:$T)*1000,"")</f>
        <v>501275.34211348038</v>
      </c>
      <c r="AE82" s="186"/>
      <c r="AF82" s="186">
        <f>IFERROR(_xlfn.XLOOKUP($D82,'Modelling New'!$D:$D,'Modelling New'!$W:$W),"")</f>
        <v>0.26777528959053443</v>
      </c>
      <c r="AG82" s="186">
        <f>IFERROR(_xlfn.XLOOKUP($D82,'Modelling New'!$D:$D,'Modelling New'!$AE:$AE),"")</f>
        <v>0.96029999999999993</v>
      </c>
      <c r="AH82" s="186">
        <f>IFERROR(_xlfn.XLOOKUP($D82,'Modelling New'!$D:$D,'Modelling New'!$AF:$AF),"")</f>
        <v>0.995</v>
      </c>
      <c r="AI82" s="167">
        <f>IFERROR(_xlfn.XLOOKUP($A82,Input_Raw!$A:$A,Input_Raw!$DE:$DE),"")</f>
        <v>0</v>
      </c>
      <c r="AJ82" s="167"/>
      <c r="AK82" s="167"/>
      <c r="AL82" s="167"/>
      <c r="AM82" s="167"/>
      <c r="AN82" s="188" t="str">
        <f>IFERROR(_xlfn.XLOOKUP($A82,Input_Raw!$A:$A,Input_Raw!$DB:$DB),"")</f>
        <v/>
      </c>
      <c r="AO82" s="186" t="str">
        <f>IFERROR((_xlfn.XLOOKUP($A82,'WTG Reactive Power'!$A:$A,'WTG Reactive Power'!$AR:$AR))/X82/1000,"")</f>
        <v/>
      </c>
      <c r="AP82" s="186">
        <f>IFERROR(_xlfn.XLOOKUP($D82,'Modelling New'!$D:$D,'Modelling New'!$AK:$AK),"")</f>
        <v>0.05</v>
      </c>
      <c r="AQ82" s="186">
        <f>IFERROR(_xlfn.XLOOKUP($D82,'Modelling New'!$D:$D,'Modelling New'!$AL:$AL),"")</f>
        <v>0.05</v>
      </c>
      <c r="AR82">
        <f>IFERROR(_xlfn.XLOOKUP($D82,'Modelling New'!$D:$D,'Modelling New'!$N:$N),"")</f>
        <v>78</v>
      </c>
    </row>
    <row r="83" spans="1:44">
      <c r="A83" s="180">
        <f t="shared" si="7"/>
        <v>45826</v>
      </c>
      <c r="B83" s="169">
        <f>YEAR(Table13[[#This Row],[Date]])+IF(MONTH(Table13[[#This Row],[Date]])&gt;=4,1,0)</f>
        <v>2026</v>
      </c>
      <c r="C83" s="167">
        <f>YEAR(Table13[[#This Row],[Date]])</f>
        <v>2025</v>
      </c>
      <c r="D83" s="181">
        <f>Table13[[#This Row],[Date]]-DAY(Table13[[#This Row],[Date]])+1</f>
        <v>45809</v>
      </c>
      <c r="E83" s="167">
        <f t="shared" si="4"/>
        <v>30</v>
      </c>
      <c r="F83" s="170"/>
      <c r="G83" s="171"/>
      <c r="H83" s="171"/>
      <c r="I83" s="171"/>
      <c r="J83" s="171"/>
      <c r="K83" s="182"/>
      <c r="L83" s="171"/>
      <c r="M83" s="171" t="str">
        <f>IFERROR(_xlfn.XLOOKUP($A83,Input_Raw!$A:$A,Input_Raw!CG:CG),"")</f>
        <v/>
      </c>
      <c r="N83" s="171">
        <f>IFERROR(_xlfn.XLOOKUP($A83,Input_Raw!$A:$A,Input_Raw!CH:CH),"")</f>
        <v>0</v>
      </c>
      <c r="O83" s="183" t="str">
        <f t="shared" si="6"/>
        <v/>
      </c>
      <c r="P83" s="183" t="str">
        <f>IFERROR(1-SUMIF(WTG_BD!$B:$B,$A83,WTG_BD!$AB:$AB)/($AA83+SUMIF(WTG_BD!$B:$B,$A83,WTG_BD!$AB:$AB)),"")</f>
        <v/>
      </c>
      <c r="Q83" s="184" t="str">
        <f>IFERROR(1-SUMIF(IGA_BD!$B:$B,$A83,IGA_BD!$X:$X)/($AA83+SUMIF(IGA_BD!$B:$B,$A83,IGA_BD!$X:$X)),"")</f>
        <v/>
      </c>
      <c r="R83" s="189" t="str">
        <f>IFERROR(1-SUMIF(Grid_BD!$B:$B,$A83,Grid_BD!$V:$V)/($AA83+SUMIF(Grid_BD!$B:$B,$A83,Grid_BD!$V:$V)),"")</f>
        <v/>
      </c>
      <c r="S83" s="167"/>
      <c r="T83" s="184"/>
      <c r="U83" s="185"/>
      <c r="V83" s="167"/>
      <c r="W83" s="186">
        <f>IFERROR(Table13[[#This Row],[Mtr_Net_Exp (KWh)]]/(24*AR83*1000),"")</f>
        <v>0</v>
      </c>
      <c r="X83" s="167">
        <f>IFERROR(_xlfn.XLOOKUP($A83,Input_Raw!$A:$A,Input_Raw!$CF:$CF),"")</f>
        <v>0</v>
      </c>
      <c r="Y83" s="167">
        <f>IFERROR(_xlfn.XLOOKUP($A83,Input_Raw!$A:$A,Input_Raw!$CZ:$CZ),"")</f>
        <v>0</v>
      </c>
      <c r="Z83" s="167">
        <f>IFERROR(_xlfn.XLOOKUP($A83,Input_Raw!$A:$A,Input_Raw!$DA:$DA),"")</f>
        <v>0</v>
      </c>
      <c r="AA83" s="169">
        <f t="shared" si="5"/>
        <v>0</v>
      </c>
      <c r="AB83" s="167">
        <f>IFERROR(_xlfn.XLOOKUP($A83,Input_Raw!$A:$A,Input_Raw!$DG:$DG),"")</f>
        <v>0</v>
      </c>
      <c r="AC83" s="187">
        <f>IFERROR(_xlfn.XLOOKUP($D83,'Modelling New'!$D:$D,'Modelling New'!$J:$J),"")</f>
        <v>6.5666666666666664</v>
      </c>
      <c r="AD83" s="169">
        <f>IFERROR(_xlfn.XLOOKUP($D83,'Modelling New'!$D:$D,'Modelling New'!$T:$T)*1000,"")</f>
        <v>501275.34211348038</v>
      </c>
      <c r="AE83" s="186"/>
      <c r="AF83" s="186">
        <f>IFERROR(_xlfn.XLOOKUP($D83,'Modelling New'!$D:$D,'Modelling New'!$W:$W),"")</f>
        <v>0.26777528959053443</v>
      </c>
      <c r="AG83" s="186">
        <f>IFERROR(_xlfn.XLOOKUP($D83,'Modelling New'!$D:$D,'Modelling New'!$AE:$AE),"")</f>
        <v>0.96029999999999993</v>
      </c>
      <c r="AH83" s="186">
        <f>IFERROR(_xlfn.XLOOKUP($D83,'Modelling New'!$D:$D,'Modelling New'!$AF:$AF),"")</f>
        <v>0.995</v>
      </c>
      <c r="AI83" s="167">
        <f>IFERROR(_xlfn.XLOOKUP($A83,Input_Raw!$A:$A,Input_Raw!$DE:$DE),"")</f>
        <v>0</v>
      </c>
      <c r="AJ83" s="167"/>
      <c r="AK83" s="167"/>
      <c r="AL83" s="167"/>
      <c r="AM83" s="167"/>
      <c r="AN83" s="188" t="str">
        <f>IFERROR(_xlfn.XLOOKUP($A83,Input_Raw!$A:$A,Input_Raw!$DB:$DB),"")</f>
        <v/>
      </c>
      <c r="AO83" s="186" t="str">
        <f>IFERROR((_xlfn.XLOOKUP($A83,'WTG Reactive Power'!$A:$A,'WTG Reactive Power'!$AR:$AR))/X83/1000,"")</f>
        <v/>
      </c>
      <c r="AP83" s="186">
        <f>IFERROR(_xlfn.XLOOKUP($D83,'Modelling New'!$D:$D,'Modelling New'!$AK:$AK),"")</f>
        <v>0.05</v>
      </c>
      <c r="AQ83" s="186">
        <f>IFERROR(_xlfn.XLOOKUP($D83,'Modelling New'!$D:$D,'Modelling New'!$AL:$AL),"")</f>
        <v>0.05</v>
      </c>
      <c r="AR83">
        <f>IFERROR(_xlfn.XLOOKUP($D83,'Modelling New'!$D:$D,'Modelling New'!$N:$N),"")</f>
        <v>78</v>
      </c>
    </row>
    <row r="84" spans="1:44">
      <c r="A84" s="180">
        <f t="shared" si="7"/>
        <v>45827</v>
      </c>
      <c r="B84" s="169">
        <f>YEAR(Table13[[#This Row],[Date]])+IF(MONTH(Table13[[#This Row],[Date]])&gt;=4,1,0)</f>
        <v>2026</v>
      </c>
      <c r="C84" s="167">
        <f>YEAR(Table13[[#This Row],[Date]])</f>
        <v>2025</v>
      </c>
      <c r="D84" s="181">
        <f>Table13[[#This Row],[Date]]-DAY(Table13[[#This Row],[Date]])+1</f>
        <v>45809</v>
      </c>
      <c r="E84" s="167">
        <f t="shared" si="4"/>
        <v>30</v>
      </c>
      <c r="F84" s="170"/>
      <c r="G84" s="171"/>
      <c r="H84" s="171"/>
      <c r="I84" s="171"/>
      <c r="J84" s="171"/>
      <c r="K84" s="182"/>
      <c r="L84" s="171"/>
      <c r="M84" s="171" t="str">
        <f>IFERROR(_xlfn.XLOOKUP($A84,Input_Raw!$A:$A,Input_Raw!CG:CG),"")</f>
        <v/>
      </c>
      <c r="N84" s="171">
        <f>IFERROR(_xlfn.XLOOKUP($A84,Input_Raw!$A:$A,Input_Raw!CH:CH),"")</f>
        <v>0</v>
      </c>
      <c r="O84" s="183" t="str">
        <f t="shared" si="6"/>
        <v/>
      </c>
      <c r="P84" s="183" t="str">
        <f>IFERROR(1-SUMIF(WTG_BD!$B:$B,$A84,WTG_BD!$AB:$AB)/($AA84+SUMIF(WTG_BD!$B:$B,$A84,WTG_BD!$AB:$AB)),"")</f>
        <v/>
      </c>
      <c r="Q84" s="184" t="str">
        <f>IFERROR(1-SUMIF(IGA_BD!$B:$B,$A84,IGA_BD!$X:$X)/($AA84+SUMIF(IGA_BD!$B:$B,$A84,IGA_BD!$X:$X)),"")</f>
        <v/>
      </c>
      <c r="R84" s="189" t="str">
        <f>IFERROR(1-SUMIF(Grid_BD!$B:$B,$A84,Grid_BD!$V:$V)/($AA84+SUMIF(Grid_BD!$B:$B,$A84,Grid_BD!$V:$V)),"")</f>
        <v/>
      </c>
      <c r="S84" s="167"/>
      <c r="T84" s="184"/>
      <c r="U84" s="185"/>
      <c r="V84" s="167"/>
      <c r="W84" s="186">
        <f>IFERROR(Table13[[#This Row],[Mtr_Net_Exp (KWh)]]/(24*AR84*1000),"")</f>
        <v>0</v>
      </c>
      <c r="X84" s="167">
        <f>IFERROR(_xlfn.XLOOKUP($A84,Input_Raw!$A:$A,Input_Raw!$CF:$CF),"")</f>
        <v>0</v>
      </c>
      <c r="Y84" s="167">
        <f>IFERROR(_xlfn.XLOOKUP($A84,Input_Raw!$A:$A,Input_Raw!$CZ:$CZ),"")</f>
        <v>0</v>
      </c>
      <c r="Z84" s="167">
        <f>IFERROR(_xlfn.XLOOKUP($A84,Input_Raw!$A:$A,Input_Raw!$DA:$DA),"")</f>
        <v>0</v>
      </c>
      <c r="AA84" s="169">
        <f t="shared" si="5"/>
        <v>0</v>
      </c>
      <c r="AB84" s="167">
        <f>IFERROR(_xlfn.XLOOKUP($A84,Input_Raw!$A:$A,Input_Raw!$DG:$DG),"")</f>
        <v>0</v>
      </c>
      <c r="AC84" s="187">
        <f>IFERROR(_xlfn.XLOOKUP($D84,'Modelling New'!$D:$D,'Modelling New'!$J:$J),"")</f>
        <v>6.5666666666666664</v>
      </c>
      <c r="AD84" s="169">
        <f>IFERROR(_xlfn.XLOOKUP($D84,'Modelling New'!$D:$D,'Modelling New'!$T:$T)*1000,"")</f>
        <v>501275.34211348038</v>
      </c>
      <c r="AE84" s="186"/>
      <c r="AF84" s="186">
        <f>IFERROR(_xlfn.XLOOKUP($D84,'Modelling New'!$D:$D,'Modelling New'!$W:$W),"")</f>
        <v>0.26777528959053443</v>
      </c>
      <c r="AG84" s="186">
        <f>IFERROR(_xlfn.XLOOKUP($D84,'Modelling New'!$D:$D,'Modelling New'!$AE:$AE),"")</f>
        <v>0.96029999999999993</v>
      </c>
      <c r="AH84" s="186">
        <f>IFERROR(_xlfn.XLOOKUP($D84,'Modelling New'!$D:$D,'Modelling New'!$AF:$AF),"")</f>
        <v>0.995</v>
      </c>
      <c r="AI84" s="167">
        <f>IFERROR(_xlfn.XLOOKUP($A84,Input_Raw!$A:$A,Input_Raw!$DE:$DE),"")</f>
        <v>0</v>
      </c>
      <c r="AJ84" s="167"/>
      <c r="AK84" s="167"/>
      <c r="AL84" s="167"/>
      <c r="AM84" s="167"/>
      <c r="AN84" s="188" t="str">
        <f>IFERROR(_xlfn.XLOOKUP($A84,Input_Raw!$A:$A,Input_Raw!$DB:$DB),"")</f>
        <v/>
      </c>
      <c r="AO84" s="186" t="str">
        <f>IFERROR((_xlfn.XLOOKUP($A84,'WTG Reactive Power'!$A:$A,'WTG Reactive Power'!$AR:$AR))/X84/1000,"")</f>
        <v/>
      </c>
      <c r="AP84" s="186">
        <f>IFERROR(_xlfn.XLOOKUP($D84,'Modelling New'!$D:$D,'Modelling New'!$AK:$AK),"")</f>
        <v>0.05</v>
      </c>
      <c r="AQ84" s="186">
        <f>IFERROR(_xlfn.XLOOKUP($D84,'Modelling New'!$D:$D,'Modelling New'!$AL:$AL),"")</f>
        <v>0.05</v>
      </c>
      <c r="AR84">
        <f>IFERROR(_xlfn.XLOOKUP($D84,'Modelling New'!$D:$D,'Modelling New'!$N:$N),"")</f>
        <v>78</v>
      </c>
    </row>
    <row r="85" spans="1:44">
      <c r="A85" s="180">
        <f t="shared" si="7"/>
        <v>45828</v>
      </c>
      <c r="B85" s="169">
        <f>YEAR(Table13[[#This Row],[Date]])+IF(MONTH(Table13[[#This Row],[Date]])&gt;=4,1,0)</f>
        <v>2026</v>
      </c>
      <c r="C85" s="167">
        <f>YEAR(Table13[[#This Row],[Date]])</f>
        <v>2025</v>
      </c>
      <c r="D85" s="181">
        <f>Table13[[#This Row],[Date]]-DAY(Table13[[#This Row],[Date]])+1</f>
        <v>45809</v>
      </c>
      <c r="E85" s="167">
        <f t="shared" si="4"/>
        <v>30</v>
      </c>
      <c r="F85" s="170"/>
      <c r="G85" s="171"/>
      <c r="H85" s="171"/>
      <c r="I85" s="171"/>
      <c r="J85" s="171"/>
      <c r="K85" s="182"/>
      <c r="L85" s="171"/>
      <c r="M85" s="171" t="str">
        <f>IFERROR(_xlfn.XLOOKUP($A85,Input_Raw!$A:$A,Input_Raw!CG:CG),"")</f>
        <v/>
      </c>
      <c r="N85" s="171">
        <f>IFERROR(_xlfn.XLOOKUP($A85,Input_Raw!$A:$A,Input_Raw!CH:CH),"")</f>
        <v>0</v>
      </c>
      <c r="O85" s="183" t="str">
        <f t="shared" si="6"/>
        <v/>
      </c>
      <c r="P85" s="183" t="str">
        <f>IFERROR(1-SUMIF(WTG_BD!$B:$B,$A85,WTG_BD!$AB:$AB)/($AA85+SUMIF(WTG_BD!$B:$B,$A85,WTG_BD!$AB:$AB)),"")</f>
        <v/>
      </c>
      <c r="Q85" s="184" t="str">
        <f>IFERROR(1-SUMIF(IGA_BD!$B:$B,$A85,IGA_BD!$X:$X)/($AA85+SUMIF(IGA_BD!$B:$B,$A85,IGA_BD!$X:$X)),"")</f>
        <v/>
      </c>
      <c r="R85" s="189" t="str">
        <f>IFERROR(1-SUMIF(Grid_BD!$B:$B,$A85,Grid_BD!$V:$V)/($AA85+SUMIF(Grid_BD!$B:$B,$A85,Grid_BD!$V:$V)),"")</f>
        <v/>
      </c>
      <c r="S85" s="167"/>
      <c r="T85" s="184"/>
      <c r="U85" s="185"/>
      <c r="V85" s="167"/>
      <c r="W85" s="186">
        <f>IFERROR(Table13[[#This Row],[Mtr_Net_Exp (KWh)]]/(24*AR85*1000),"")</f>
        <v>0</v>
      </c>
      <c r="X85" s="167">
        <f>IFERROR(_xlfn.XLOOKUP($A85,Input_Raw!$A:$A,Input_Raw!$CF:$CF),"")</f>
        <v>0</v>
      </c>
      <c r="Y85" s="167">
        <f>IFERROR(_xlfn.XLOOKUP($A85,Input_Raw!$A:$A,Input_Raw!$CZ:$CZ),"")</f>
        <v>0</v>
      </c>
      <c r="Z85" s="167">
        <f>IFERROR(_xlfn.XLOOKUP($A85,Input_Raw!$A:$A,Input_Raw!$DA:$DA),"")</f>
        <v>0</v>
      </c>
      <c r="AA85" s="169">
        <f t="shared" si="5"/>
        <v>0</v>
      </c>
      <c r="AB85" s="167">
        <f>IFERROR(_xlfn.XLOOKUP($A85,Input_Raw!$A:$A,Input_Raw!$DG:$DG),"")</f>
        <v>0</v>
      </c>
      <c r="AC85" s="187">
        <f>IFERROR(_xlfn.XLOOKUP($D85,'Modelling New'!$D:$D,'Modelling New'!$J:$J),"")</f>
        <v>6.5666666666666664</v>
      </c>
      <c r="AD85" s="169">
        <f>IFERROR(_xlfn.XLOOKUP($D85,'Modelling New'!$D:$D,'Modelling New'!$T:$T)*1000,"")</f>
        <v>501275.34211348038</v>
      </c>
      <c r="AE85" s="186"/>
      <c r="AF85" s="186">
        <f>IFERROR(_xlfn.XLOOKUP($D85,'Modelling New'!$D:$D,'Modelling New'!$W:$W),"")</f>
        <v>0.26777528959053443</v>
      </c>
      <c r="AG85" s="186">
        <f>IFERROR(_xlfn.XLOOKUP($D85,'Modelling New'!$D:$D,'Modelling New'!$AE:$AE),"")</f>
        <v>0.96029999999999993</v>
      </c>
      <c r="AH85" s="186">
        <f>IFERROR(_xlfn.XLOOKUP($D85,'Modelling New'!$D:$D,'Modelling New'!$AF:$AF),"")</f>
        <v>0.995</v>
      </c>
      <c r="AI85" s="167">
        <f>IFERROR(_xlfn.XLOOKUP($A85,Input_Raw!$A:$A,Input_Raw!$DE:$DE),"")</f>
        <v>0</v>
      </c>
      <c r="AJ85" s="167"/>
      <c r="AK85" s="167"/>
      <c r="AL85" s="167"/>
      <c r="AM85" s="167"/>
      <c r="AN85" s="188" t="str">
        <f>IFERROR(_xlfn.XLOOKUP($A85,Input_Raw!$A:$A,Input_Raw!$DB:$DB),"")</f>
        <v/>
      </c>
      <c r="AO85" s="186" t="str">
        <f>IFERROR((_xlfn.XLOOKUP($A85,'WTG Reactive Power'!$A:$A,'WTG Reactive Power'!$AR:$AR))/X85/1000,"")</f>
        <v/>
      </c>
      <c r="AP85" s="186">
        <f>IFERROR(_xlfn.XLOOKUP($D85,'Modelling New'!$D:$D,'Modelling New'!$AK:$AK),"")</f>
        <v>0.05</v>
      </c>
      <c r="AQ85" s="186">
        <f>IFERROR(_xlfn.XLOOKUP($D85,'Modelling New'!$D:$D,'Modelling New'!$AL:$AL),"")</f>
        <v>0.05</v>
      </c>
      <c r="AR85">
        <f>IFERROR(_xlfn.XLOOKUP($D85,'Modelling New'!$D:$D,'Modelling New'!$N:$N),"")</f>
        <v>78</v>
      </c>
    </row>
    <row r="86" spans="1:44">
      <c r="A86" s="180">
        <f t="shared" si="7"/>
        <v>45829</v>
      </c>
      <c r="B86" s="169">
        <f>YEAR(Table13[[#This Row],[Date]])+IF(MONTH(Table13[[#This Row],[Date]])&gt;=4,1,0)</f>
        <v>2026</v>
      </c>
      <c r="C86" s="167">
        <f>YEAR(Table13[[#This Row],[Date]])</f>
        <v>2025</v>
      </c>
      <c r="D86" s="181">
        <f>Table13[[#This Row],[Date]]-DAY(Table13[[#This Row],[Date]])+1</f>
        <v>45809</v>
      </c>
      <c r="E86" s="167">
        <f t="shared" si="4"/>
        <v>30</v>
      </c>
      <c r="F86" s="170"/>
      <c r="G86" s="171"/>
      <c r="H86" s="171"/>
      <c r="I86" s="171"/>
      <c r="J86" s="171"/>
      <c r="K86" s="182"/>
      <c r="L86" s="171"/>
      <c r="M86" s="171" t="str">
        <f>IFERROR(_xlfn.XLOOKUP($A86,Input_Raw!$A:$A,Input_Raw!CG:CG),"")</f>
        <v/>
      </c>
      <c r="N86" s="171">
        <f>IFERROR(_xlfn.XLOOKUP($A86,Input_Raw!$A:$A,Input_Raw!CH:CH),"")</f>
        <v>0</v>
      </c>
      <c r="O86" s="183" t="str">
        <f t="shared" si="6"/>
        <v/>
      </c>
      <c r="P86" s="183" t="str">
        <f>IFERROR(1-SUMIF(WTG_BD!$B:$B,$A86,WTG_BD!$AB:$AB)/($AA86+SUMIF(WTG_BD!$B:$B,$A86,WTG_BD!$AB:$AB)),"")</f>
        <v/>
      </c>
      <c r="Q86" s="184" t="str">
        <f>IFERROR(1-SUMIF(IGA_BD!$B:$B,$A86,IGA_BD!$X:$X)/($AA86+SUMIF(IGA_BD!$B:$B,$A86,IGA_BD!$X:$X)),"")</f>
        <v/>
      </c>
      <c r="R86" s="189" t="str">
        <f>IFERROR(1-SUMIF(Grid_BD!$B:$B,$A86,Grid_BD!$V:$V)/($AA86+SUMIF(Grid_BD!$B:$B,$A86,Grid_BD!$V:$V)),"")</f>
        <v/>
      </c>
      <c r="S86" s="167"/>
      <c r="T86" s="184"/>
      <c r="U86" s="185"/>
      <c r="V86" s="167"/>
      <c r="W86" s="186">
        <f>IFERROR(Table13[[#This Row],[Mtr_Net_Exp (KWh)]]/(24*AR86*1000),"")</f>
        <v>0</v>
      </c>
      <c r="X86" s="167">
        <f>IFERROR(_xlfn.XLOOKUP($A86,Input_Raw!$A:$A,Input_Raw!$CF:$CF),"")</f>
        <v>0</v>
      </c>
      <c r="Y86" s="167">
        <f>IFERROR(_xlfn.XLOOKUP($A86,Input_Raw!$A:$A,Input_Raw!$CZ:$CZ),"")</f>
        <v>0</v>
      </c>
      <c r="Z86" s="167">
        <f>IFERROR(_xlfn.XLOOKUP($A86,Input_Raw!$A:$A,Input_Raw!$DA:$DA),"")</f>
        <v>0</v>
      </c>
      <c r="AA86" s="169">
        <f t="shared" si="5"/>
        <v>0</v>
      </c>
      <c r="AB86" s="167">
        <f>IFERROR(_xlfn.XLOOKUP($A86,Input_Raw!$A:$A,Input_Raw!$DG:$DG),"")</f>
        <v>0</v>
      </c>
      <c r="AC86" s="187">
        <f>IFERROR(_xlfn.XLOOKUP($D86,'Modelling New'!$D:$D,'Modelling New'!$J:$J),"")</f>
        <v>6.5666666666666664</v>
      </c>
      <c r="AD86" s="169">
        <f>IFERROR(_xlfn.XLOOKUP($D86,'Modelling New'!$D:$D,'Modelling New'!$T:$T)*1000,"")</f>
        <v>501275.34211348038</v>
      </c>
      <c r="AE86" s="186"/>
      <c r="AF86" s="186">
        <f>IFERROR(_xlfn.XLOOKUP($D86,'Modelling New'!$D:$D,'Modelling New'!$W:$W),"")</f>
        <v>0.26777528959053443</v>
      </c>
      <c r="AG86" s="186">
        <f>IFERROR(_xlfn.XLOOKUP($D86,'Modelling New'!$D:$D,'Modelling New'!$AE:$AE),"")</f>
        <v>0.96029999999999993</v>
      </c>
      <c r="AH86" s="186">
        <f>IFERROR(_xlfn.XLOOKUP($D86,'Modelling New'!$D:$D,'Modelling New'!$AF:$AF),"")</f>
        <v>0.995</v>
      </c>
      <c r="AI86" s="167">
        <f>IFERROR(_xlfn.XLOOKUP($A86,Input_Raw!$A:$A,Input_Raw!$DE:$DE),"")</f>
        <v>0</v>
      </c>
      <c r="AJ86" s="167"/>
      <c r="AK86" s="167"/>
      <c r="AL86" s="167"/>
      <c r="AM86" s="167"/>
      <c r="AN86" s="188" t="str">
        <f>IFERROR(_xlfn.XLOOKUP($A86,Input_Raw!$A:$A,Input_Raw!$DB:$DB),"")</f>
        <v/>
      </c>
      <c r="AO86" s="186" t="str">
        <f>IFERROR((_xlfn.XLOOKUP($A86,'WTG Reactive Power'!$A:$A,'WTG Reactive Power'!$AR:$AR))/X86/1000,"")</f>
        <v/>
      </c>
      <c r="AP86" s="186">
        <f>IFERROR(_xlfn.XLOOKUP($D86,'Modelling New'!$D:$D,'Modelling New'!$AK:$AK),"")</f>
        <v>0.05</v>
      </c>
      <c r="AQ86" s="186">
        <f>IFERROR(_xlfn.XLOOKUP($D86,'Modelling New'!$D:$D,'Modelling New'!$AL:$AL),"")</f>
        <v>0.05</v>
      </c>
      <c r="AR86">
        <f>IFERROR(_xlfn.XLOOKUP($D86,'Modelling New'!$D:$D,'Modelling New'!$N:$N),"")</f>
        <v>78</v>
      </c>
    </row>
    <row r="87" spans="1:44">
      <c r="A87" s="180">
        <f t="shared" si="7"/>
        <v>45830</v>
      </c>
      <c r="B87" s="169">
        <f>YEAR(Table13[[#This Row],[Date]])+IF(MONTH(Table13[[#This Row],[Date]])&gt;=4,1,0)</f>
        <v>2026</v>
      </c>
      <c r="C87" s="167">
        <f>YEAR(Table13[[#This Row],[Date]])</f>
        <v>2025</v>
      </c>
      <c r="D87" s="181">
        <f>Table13[[#This Row],[Date]]-DAY(Table13[[#This Row],[Date]])+1</f>
        <v>45809</v>
      </c>
      <c r="E87" s="167">
        <f t="shared" si="4"/>
        <v>30</v>
      </c>
      <c r="F87" s="170"/>
      <c r="G87" s="171"/>
      <c r="H87" s="171"/>
      <c r="I87" s="171"/>
      <c r="J87" s="171"/>
      <c r="K87" s="182"/>
      <c r="L87" s="171"/>
      <c r="M87" s="171" t="str">
        <f>IFERROR(_xlfn.XLOOKUP($A87,Input_Raw!$A:$A,Input_Raw!CG:CG),"")</f>
        <v/>
      </c>
      <c r="N87" s="171">
        <f>IFERROR(_xlfn.XLOOKUP($A87,Input_Raw!$A:$A,Input_Raw!CH:CH),"")</f>
        <v>0</v>
      </c>
      <c r="O87" s="183" t="str">
        <f t="shared" si="6"/>
        <v/>
      </c>
      <c r="P87" s="183" t="str">
        <f>IFERROR(1-SUMIF(WTG_BD!$B:$B,$A87,WTG_BD!$AB:$AB)/($AA87+SUMIF(WTG_BD!$B:$B,$A87,WTG_BD!$AB:$AB)),"")</f>
        <v/>
      </c>
      <c r="Q87" s="184" t="str">
        <f>IFERROR(1-SUMIF(IGA_BD!$B:$B,$A87,IGA_BD!$X:$X)/($AA87+SUMIF(IGA_BD!$B:$B,$A87,IGA_BD!$X:$X)),"")</f>
        <v/>
      </c>
      <c r="R87" s="189" t="str">
        <f>IFERROR(1-SUMIF(Grid_BD!$B:$B,$A87,Grid_BD!$V:$V)/($AA87+SUMIF(Grid_BD!$B:$B,$A87,Grid_BD!$V:$V)),"")</f>
        <v/>
      </c>
      <c r="S87" s="167"/>
      <c r="T87" s="184"/>
      <c r="U87" s="185"/>
      <c r="V87" s="167"/>
      <c r="W87" s="186">
        <f>IFERROR(Table13[[#This Row],[Mtr_Net_Exp (KWh)]]/(24*AR87*1000),"")</f>
        <v>0</v>
      </c>
      <c r="X87" s="167">
        <f>IFERROR(_xlfn.XLOOKUP($A87,Input_Raw!$A:$A,Input_Raw!$CF:$CF),"")</f>
        <v>0</v>
      </c>
      <c r="Y87" s="167">
        <f>IFERROR(_xlfn.XLOOKUP($A87,Input_Raw!$A:$A,Input_Raw!$CZ:$CZ),"")</f>
        <v>0</v>
      </c>
      <c r="Z87" s="167">
        <f>IFERROR(_xlfn.XLOOKUP($A87,Input_Raw!$A:$A,Input_Raw!$DA:$DA),"")</f>
        <v>0</v>
      </c>
      <c r="AA87" s="169">
        <f t="shared" si="5"/>
        <v>0</v>
      </c>
      <c r="AB87" s="167">
        <f>IFERROR(_xlfn.XLOOKUP($A87,Input_Raw!$A:$A,Input_Raw!$DG:$DG),"")</f>
        <v>0</v>
      </c>
      <c r="AC87" s="187">
        <f>IFERROR(_xlfn.XLOOKUP($D87,'Modelling New'!$D:$D,'Modelling New'!$J:$J),"")</f>
        <v>6.5666666666666664</v>
      </c>
      <c r="AD87" s="169">
        <f>IFERROR(_xlfn.XLOOKUP($D87,'Modelling New'!$D:$D,'Modelling New'!$T:$T)*1000,"")</f>
        <v>501275.34211348038</v>
      </c>
      <c r="AE87" s="186"/>
      <c r="AF87" s="186">
        <f>IFERROR(_xlfn.XLOOKUP($D87,'Modelling New'!$D:$D,'Modelling New'!$W:$W),"")</f>
        <v>0.26777528959053443</v>
      </c>
      <c r="AG87" s="186">
        <f>IFERROR(_xlfn.XLOOKUP($D87,'Modelling New'!$D:$D,'Modelling New'!$AE:$AE),"")</f>
        <v>0.96029999999999993</v>
      </c>
      <c r="AH87" s="186">
        <f>IFERROR(_xlfn.XLOOKUP($D87,'Modelling New'!$D:$D,'Modelling New'!$AF:$AF),"")</f>
        <v>0.995</v>
      </c>
      <c r="AI87" s="167">
        <f>IFERROR(_xlfn.XLOOKUP($A87,Input_Raw!$A:$A,Input_Raw!$DE:$DE),"")</f>
        <v>0</v>
      </c>
      <c r="AJ87" s="167"/>
      <c r="AK87" s="167"/>
      <c r="AL87" s="167"/>
      <c r="AM87" s="167"/>
      <c r="AN87" s="188" t="str">
        <f>IFERROR(_xlfn.XLOOKUP($A87,Input_Raw!$A:$A,Input_Raw!$DB:$DB),"")</f>
        <v/>
      </c>
      <c r="AO87" s="186" t="str">
        <f>IFERROR((_xlfn.XLOOKUP($A87,'WTG Reactive Power'!$A:$A,'WTG Reactive Power'!$AR:$AR))/X87/1000,"")</f>
        <v/>
      </c>
      <c r="AP87" s="186">
        <f>IFERROR(_xlfn.XLOOKUP($D87,'Modelling New'!$D:$D,'Modelling New'!$AK:$AK),"")</f>
        <v>0.05</v>
      </c>
      <c r="AQ87" s="186">
        <f>IFERROR(_xlfn.XLOOKUP($D87,'Modelling New'!$D:$D,'Modelling New'!$AL:$AL),"")</f>
        <v>0.05</v>
      </c>
      <c r="AR87">
        <f>IFERROR(_xlfn.XLOOKUP($D87,'Modelling New'!$D:$D,'Modelling New'!$N:$N),"")</f>
        <v>78</v>
      </c>
    </row>
    <row r="88" spans="1:44">
      <c r="A88" s="180">
        <f t="shared" si="7"/>
        <v>45831</v>
      </c>
      <c r="B88" s="169">
        <f>YEAR(Table13[[#This Row],[Date]])+IF(MONTH(Table13[[#This Row],[Date]])&gt;=4,1,0)</f>
        <v>2026</v>
      </c>
      <c r="C88" s="167">
        <f>YEAR(Table13[[#This Row],[Date]])</f>
        <v>2025</v>
      </c>
      <c r="D88" s="181">
        <f>Table13[[#This Row],[Date]]-DAY(Table13[[#This Row],[Date]])+1</f>
        <v>45809</v>
      </c>
      <c r="E88" s="167">
        <f t="shared" si="4"/>
        <v>30</v>
      </c>
      <c r="F88" s="170"/>
      <c r="G88" s="171"/>
      <c r="H88" s="171"/>
      <c r="I88" s="171"/>
      <c r="J88" s="171"/>
      <c r="K88" s="182"/>
      <c r="L88" s="171"/>
      <c r="M88" s="171" t="str">
        <f>IFERROR(_xlfn.XLOOKUP($A88,Input_Raw!$A:$A,Input_Raw!CG:CG),"")</f>
        <v/>
      </c>
      <c r="N88" s="171">
        <f>IFERROR(_xlfn.XLOOKUP($A88,Input_Raw!$A:$A,Input_Raw!CH:CH),"")</f>
        <v>0</v>
      </c>
      <c r="O88" s="183" t="str">
        <f t="shared" si="6"/>
        <v/>
      </c>
      <c r="P88" s="183" t="str">
        <f>IFERROR(1-SUMIF(WTG_BD!$B:$B,$A88,WTG_BD!$AB:$AB)/($AA88+SUMIF(WTG_BD!$B:$B,$A88,WTG_BD!$AB:$AB)),"")</f>
        <v/>
      </c>
      <c r="Q88" s="184" t="str">
        <f>IFERROR(1-SUMIF(IGA_BD!$B:$B,$A88,IGA_BD!$X:$X)/($AA88+SUMIF(IGA_BD!$B:$B,$A88,IGA_BD!$X:$X)),"")</f>
        <v/>
      </c>
      <c r="R88" s="189" t="str">
        <f>IFERROR(1-SUMIF(Grid_BD!$B:$B,$A88,Grid_BD!$V:$V)/($AA88+SUMIF(Grid_BD!$B:$B,$A88,Grid_BD!$V:$V)),"")</f>
        <v/>
      </c>
      <c r="S88" s="167"/>
      <c r="T88" s="184"/>
      <c r="U88" s="185"/>
      <c r="V88" s="167"/>
      <c r="W88" s="186">
        <f>IFERROR(Table13[[#This Row],[Mtr_Net_Exp (KWh)]]/(24*AR88*1000),"")</f>
        <v>0</v>
      </c>
      <c r="X88" s="167">
        <f>IFERROR(_xlfn.XLOOKUP($A88,Input_Raw!$A:$A,Input_Raw!$CF:$CF),"")</f>
        <v>0</v>
      </c>
      <c r="Y88" s="167">
        <f>IFERROR(_xlfn.XLOOKUP($A88,Input_Raw!$A:$A,Input_Raw!$CZ:$CZ),"")</f>
        <v>0</v>
      </c>
      <c r="Z88" s="167">
        <f>IFERROR(_xlfn.XLOOKUP($A88,Input_Raw!$A:$A,Input_Raw!$DA:$DA),"")</f>
        <v>0</v>
      </c>
      <c r="AA88" s="169">
        <f t="shared" si="5"/>
        <v>0</v>
      </c>
      <c r="AB88" s="167">
        <f>IFERROR(_xlfn.XLOOKUP($A88,Input_Raw!$A:$A,Input_Raw!$DG:$DG),"")</f>
        <v>0</v>
      </c>
      <c r="AC88" s="187">
        <f>IFERROR(_xlfn.XLOOKUP($D88,'Modelling New'!$D:$D,'Modelling New'!$J:$J),"")</f>
        <v>6.5666666666666664</v>
      </c>
      <c r="AD88" s="169">
        <f>IFERROR(_xlfn.XLOOKUP($D88,'Modelling New'!$D:$D,'Modelling New'!$T:$T)*1000,"")</f>
        <v>501275.34211348038</v>
      </c>
      <c r="AE88" s="186"/>
      <c r="AF88" s="186">
        <f>IFERROR(_xlfn.XLOOKUP($D88,'Modelling New'!$D:$D,'Modelling New'!$W:$W),"")</f>
        <v>0.26777528959053443</v>
      </c>
      <c r="AG88" s="186">
        <f>IFERROR(_xlfn.XLOOKUP($D88,'Modelling New'!$D:$D,'Modelling New'!$AE:$AE),"")</f>
        <v>0.96029999999999993</v>
      </c>
      <c r="AH88" s="186">
        <f>IFERROR(_xlfn.XLOOKUP($D88,'Modelling New'!$D:$D,'Modelling New'!$AF:$AF),"")</f>
        <v>0.995</v>
      </c>
      <c r="AI88" s="167">
        <f>IFERROR(_xlfn.XLOOKUP($A88,Input_Raw!$A:$A,Input_Raw!$DE:$DE),"")</f>
        <v>0</v>
      </c>
      <c r="AJ88" s="167"/>
      <c r="AK88" s="167"/>
      <c r="AL88" s="167"/>
      <c r="AM88" s="167"/>
      <c r="AN88" s="188" t="str">
        <f>IFERROR(_xlfn.XLOOKUP($A88,Input_Raw!$A:$A,Input_Raw!$DB:$DB),"")</f>
        <v/>
      </c>
      <c r="AO88" s="186" t="str">
        <f>IFERROR((_xlfn.XLOOKUP($A88,'WTG Reactive Power'!$A:$A,'WTG Reactive Power'!$AR:$AR))/X88/1000,"")</f>
        <v/>
      </c>
      <c r="AP88" s="186">
        <f>IFERROR(_xlfn.XLOOKUP($D88,'Modelling New'!$D:$D,'Modelling New'!$AK:$AK),"")</f>
        <v>0.05</v>
      </c>
      <c r="AQ88" s="186">
        <f>IFERROR(_xlfn.XLOOKUP($D88,'Modelling New'!$D:$D,'Modelling New'!$AL:$AL),"")</f>
        <v>0.05</v>
      </c>
      <c r="AR88">
        <f>IFERROR(_xlfn.XLOOKUP($D88,'Modelling New'!$D:$D,'Modelling New'!$N:$N),"")</f>
        <v>78</v>
      </c>
    </row>
    <row r="89" spans="1:44">
      <c r="A89" s="180">
        <f t="shared" si="7"/>
        <v>45832</v>
      </c>
      <c r="B89" s="169">
        <f>YEAR(Table13[[#This Row],[Date]])+IF(MONTH(Table13[[#This Row],[Date]])&gt;=4,1,0)</f>
        <v>2026</v>
      </c>
      <c r="C89" s="167">
        <f>YEAR(Table13[[#This Row],[Date]])</f>
        <v>2025</v>
      </c>
      <c r="D89" s="181">
        <f>Table13[[#This Row],[Date]]-DAY(Table13[[#This Row],[Date]])+1</f>
        <v>45809</v>
      </c>
      <c r="E89" s="167">
        <f t="shared" si="4"/>
        <v>30</v>
      </c>
      <c r="F89" s="170"/>
      <c r="G89" s="171"/>
      <c r="H89" s="171"/>
      <c r="I89" s="171"/>
      <c r="J89" s="171"/>
      <c r="K89" s="182"/>
      <c r="L89" s="171"/>
      <c r="M89" s="171" t="str">
        <f>IFERROR(_xlfn.XLOOKUP($A89,Input_Raw!$A:$A,Input_Raw!CG:CG),"")</f>
        <v/>
      </c>
      <c r="N89" s="171">
        <f>IFERROR(_xlfn.XLOOKUP($A89,Input_Raw!$A:$A,Input_Raw!CH:CH),"")</f>
        <v>0</v>
      </c>
      <c r="O89" s="183" t="str">
        <f t="shared" si="6"/>
        <v/>
      </c>
      <c r="P89" s="183" t="str">
        <f>IFERROR(1-SUMIF(WTG_BD!$B:$B,$A89,WTG_BD!$AB:$AB)/($AA89+SUMIF(WTG_BD!$B:$B,$A89,WTG_BD!$AB:$AB)),"")</f>
        <v/>
      </c>
      <c r="Q89" s="184" t="str">
        <f>IFERROR(1-SUMIF(IGA_BD!$B:$B,$A89,IGA_BD!$X:$X)/($AA89+SUMIF(IGA_BD!$B:$B,$A89,IGA_BD!$X:$X)),"")</f>
        <v/>
      </c>
      <c r="R89" s="189" t="str">
        <f>IFERROR(1-SUMIF(Grid_BD!$B:$B,$A89,Grid_BD!$V:$V)/($AA89+SUMIF(Grid_BD!$B:$B,$A89,Grid_BD!$V:$V)),"")</f>
        <v/>
      </c>
      <c r="S89" s="167"/>
      <c r="T89" s="184"/>
      <c r="U89" s="185"/>
      <c r="V89" s="167"/>
      <c r="W89" s="186">
        <f>IFERROR(Table13[[#This Row],[Mtr_Net_Exp (KWh)]]/(24*AR89*1000),"")</f>
        <v>0</v>
      </c>
      <c r="X89" s="167">
        <f>IFERROR(_xlfn.XLOOKUP($A89,Input_Raw!$A:$A,Input_Raw!$CF:$CF),"")</f>
        <v>0</v>
      </c>
      <c r="Y89" s="167">
        <f>IFERROR(_xlfn.XLOOKUP($A89,Input_Raw!$A:$A,Input_Raw!$CZ:$CZ),"")</f>
        <v>0</v>
      </c>
      <c r="Z89" s="167">
        <f>IFERROR(_xlfn.XLOOKUP($A89,Input_Raw!$A:$A,Input_Raw!$DA:$DA),"")</f>
        <v>0</v>
      </c>
      <c r="AA89" s="169">
        <f t="shared" si="5"/>
        <v>0</v>
      </c>
      <c r="AB89" s="167">
        <f>IFERROR(_xlfn.XLOOKUP($A89,Input_Raw!$A:$A,Input_Raw!$DG:$DG),"")</f>
        <v>0</v>
      </c>
      <c r="AC89" s="187">
        <f>IFERROR(_xlfn.XLOOKUP($D89,'Modelling New'!$D:$D,'Modelling New'!$J:$J),"")</f>
        <v>6.5666666666666664</v>
      </c>
      <c r="AD89" s="169">
        <f>IFERROR(_xlfn.XLOOKUP($D89,'Modelling New'!$D:$D,'Modelling New'!$T:$T)*1000,"")</f>
        <v>501275.34211348038</v>
      </c>
      <c r="AE89" s="186"/>
      <c r="AF89" s="186">
        <f>IFERROR(_xlfn.XLOOKUP($D89,'Modelling New'!$D:$D,'Modelling New'!$W:$W),"")</f>
        <v>0.26777528959053443</v>
      </c>
      <c r="AG89" s="186">
        <f>IFERROR(_xlfn.XLOOKUP($D89,'Modelling New'!$D:$D,'Modelling New'!$AE:$AE),"")</f>
        <v>0.96029999999999993</v>
      </c>
      <c r="AH89" s="186">
        <f>IFERROR(_xlfn.XLOOKUP($D89,'Modelling New'!$D:$D,'Modelling New'!$AF:$AF),"")</f>
        <v>0.995</v>
      </c>
      <c r="AI89" s="167">
        <f>IFERROR(_xlfn.XLOOKUP($A89,Input_Raw!$A:$A,Input_Raw!$DE:$DE),"")</f>
        <v>0</v>
      </c>
      <c r="AJ89" s="167"/>
      <c r="AK89" s="167"/>
      <c r="AL89" s="167"/>
      <c r="AM89" s="167"/>
      <c r="AN89" s="188" t="str">
        <f>IFERROR(_xlfn.XLOOKUP($A89,Input_Raw!$A:$A,Input_Raw!$DB:$DB),"")</f>
        <v/>
      </c>
      <c r="AO89" s="186" t="str">
        <f>IFERROR((_xlfn.XLOOKUP($A89,'WTG Reactive Power'!$A:$A,'WTG Reactive Power'!$AR:$AR))/X89/1000,"")</f>
        <v/>
      </c>
      <c r="AP89" s="186">
        <f>IFERROR(_xlfn.XLOOKUP($D89,'Modelling New'!$D:$D,'Modelling New'!$AK:$AK),"")</f>
        <v>0.05</v>
      </c>
      <c r="AQ89" s="186">
        <f>IFERROR(_xlfn.XLOOKUP($D89,'Modelling New'!$D:$D,'Modelling New'!$AL:$AL),"")</f>
        <v>0.05</v>
      </c>
      <c r="AR89">
        <f>IFERROR(_xlfn.XLOOKUP($D89,'Modelling New'!$D:$D,'Modelling New'!$N:$N),"")</f>
        <v>78</v>
      </c>
    </row>
    <row r="90" spans="1:44">
      <c r="A90" s="180">
        <f t="shared" si="7"/>
        <v>45833</v>
      </c>
      <c r="B90" s="169">
        <f>YEAR(Table13[[#This Row],[Date]])+IF(MONTH(Table13[[#This Row],[Date]])&gt;=4,1,0)</f>
        <v>2026</v>
      </c>
      <c r="C90" s="167">
        <f>YEAR(Table13[[#This Row],[Date]])</f>
        <v>2025</v>
      </c>
      <c r="D90" s="181">
        <f>Table13[[#This Row],[Date]]-DAY(Table13[[#This Row],[Date]])+1</f>
        <v>45809</v>
      </c>
      <c r="E90" s="167">
        <f t="shared" si="4"/>
        <v>30</v>
      </c>
      <c r="F90" s="170"/>
      <c r="G90" s="171"/>
      <c r="H90" s="171"/>
      <c r="I90" s="171"/>
      <c r="J90" s="171"/>
      <c r="K90" s="182"/>
      <c r="L90" s="171"/>
      <c r="M90" s="171" t="str">
        <f>IFERROR(_xlfn.XLOOKUP($A90,Input_Raw!$A:$A,Input_Raw!CG:CG),"")</f>
        <v/>
      </c>
      <c r="N90" s="171">
        <f>IFERROR(_xlfn.XLOOKUP($A90,Input_Raw!$A:$A,Input_Raw!CH:CH),"")</f>
        <v>0</v>
      </c>
      <c r="O90" s="183" t="str">
        <f t="shared" si="6"/>
        <v/>
      </c>
      <c r="P90" s="183" t="str">
        <f>IFERROR(1-SUMIF(WTG_BD!$B:$B,$A90,WTG_BD!$AB:$AB)/($AA90+SUMIF(WTG_BD!$B:$B,$A90,WTG_BD!$AB:$AB)),"")</f>
        <v/>
      </c>
      <c r="Q90" s="184" t="str">
        <f>IFERROR(1-SUMIF(IGA_BD!$B:$B,$A90,IGA_BD!$X:$X)/($AA90+SUMIF(IGA_BD!$B:$B,$A90,IGA_BD!$X:$X)),"")</f>
        <v/>
      </c>
      <c r="R90" s="189" t="str">
        <f>IFERROR(1-SUMIF(Grid_BD!$B:$B,$A90,Grid_BD!$V:$V)/($AA90+SUMIF(Grid_BD!$B:$B,$A90,Grid_BD!$V:$V)),"")</f>
        <v/>
      </c>
      <c r="S90" s="167"/>
      <c r="T90" s="184"/>
      <c r="U90" s="185"/>
      <c r="V90" s="167"/>
      <c r="W90" s="186">
        <f>IFERROR(Table13[[#This Row],[Mtr_Net_Exp (KWh)]]/(24*AR90*1000),"")</f>
        <v>0</v>
      </c>
      <c r="X90" s="167">
        <f>IFERROR(_xlfn.XLOOKUP($A90,Input_Raw!$A:$A,Input_Raw!$CF:$CF),"")</f>
        <v>0</v>
      </c>
      <c r="Y90" s="167">
        <f>IFERROR(_xlfn.XLOOKUP($A90,Input_Raw!$A:$A,Input_Raw!$CZ:$CZ),"")</f>
        <v>0</v>
      </c>
      <c r="Z90" s="167">
        <f>IFERROR(_xlfn.XLOOKUP($A90,Input_Raw!$A:$A,Input_Raw!$DA:$DA),"")</f>
        <v>0</v>
      </c>
      <c r="AA90" s="169">
        <f t="shared" si="5"/>
        <v>0</v>
      </c>
      <c r="AB90" s="167">
        <f>IFERROR(_xlfn.XLOOKUP($A90,Input_Raw!$A:$A,Input_Raw!$DG:$DG),"")</f>
        <v>0</v>
      </c>
      <c r="AC90" s="187">
        <f>IFERROR(_xlfn.XLOOKUP($D90,'Modelling New'!$D:$D,'Modelling New'!$J:$J),"")</f>
        <v>6.5666666666666664</v>
      </c>
      <c r="AD90" s="169">
        <f>IFERROR(_xlfn.XLOOKUP($D90,'Modelling New'!$D:$D,'Modelling New'!$T:$T)*1000,"")</f>
        <v>501275.34211348038</v>
      </c>
      <c r="AE90" s="186"/>
      <c r="AF90" s="186">
        <f>IFERROR(_xlfn.XLOOKUP($D90,'Modelling New'!$D:$D,'Modelling New'!$W:$W),"")</f>
        <v>0.26777528959053443</v>
      </c>
      <c r="AG90" s="186">
        <f>IFERROR(_xlfn.XLOOKUP($D90,'Modelling New'!$D:$D,'Modelling New'!$AE:$AE),"")</f>
        <v>0.96029999999999993</v>
      </c>
      <c r="AH90" s="186">
        <f>IFERROR(_xlfn.XLOOKUP($D90,'Modelling New'!$D:$D,'Modelling New'!$AF:$AF),"")</f>
        <v>0.995</v>
      </c>
      <c r="AI90" s="167">
        <f>IFERROR(_xlfn.XLOOKUP($A90,Input_Raw!$A:$A,Input_Raw!$DE:$DE),"")</f>
        <v>0</v>
      </c>
      <c r="AJ90" s="167"/>
      <c r="AK90" s="167"/>
      <c r="AL90" s="167"/>
      <c r="AM90" s="167"/>
      <c r="AN90" s="188" t="str">
        <f>IFERROR(_xlfn.XLOOKUP($A90,Input_Raw!$A:$A,Input_Raw!$DB:$DB),"")</f>
        <v/>
      </c>
      <c r="AO90" s="186" t="str">
        <f>IFERROR((_xlfn.XLOOKUP($A90,'WTG Reactive Power'!$A:$A,'WTG Reactive Power'!$AR:$AR))/X90/1000,"")</f>
        <v/>
      </c>
      <c r="AP90" s="186">
        <f>IFERROR(_xlfn.XLOOKUP($D90,'Modelling New'!$D:$D,'Modelling New'!$AK:$AK),"")</f>
        <v>0.05</v>
      </c>
      <c r="AQ90" s="186">
        <f>IFERROR(_xlfn.XLOOKUP($D90,'Modelling New'!$D:$D,'Modelling New'!$AL:$AL),"")</f>
        <v>0.05</v>
      </c>
      <c r="AR90">
        <f>IFERROR(_xlfn.XLOOKUP($D90,'Modelling New'!$D:$D,'Modelling New'!$N:$N),"")</f>
        <v>78</v>
      </c>
    </row>
    <row r="91" spans="1:44">
      <c r="A91" s="180">
        <f t="shared" si="7"/>
        <v>45834</v>
      </c>
      <c r="B91" s="169">
        <f>YEAR(Table13[[#This Row],[Date]])+IF(MONTH(Table13[[#This Row],[Date]])&gt;=4,1,0)</f>
        <v>2026</v>
      </c>
      <c r="C91" s="167">
        <f>YEAR(Table13[[#This Row],[Date]])</f>
        <v>2025</v>
      </c>
      <c r="D91" s="181">
        <f>Table13[[#This Row],[Date]]-DAY(Table13[[#This Row],[Date]])+1</f>
        <v>45809</v>
      </c>
      <c r="E91" s="167">
        <f t="shared" si="4"/>
        <v>30</v>
      </c>
      <c r="F91" s="170"/>
      <c r="G91" s="171"/>
      <c r="H91" s="171"/>
      <c r="I91" s="171"/>
      <c r="J91" s="171"/>
      <c r="K91" s="182"/>
      <c r="L91" s="171"/>
      <c r="M91" s="171" t="str">
        <f>IFERROR(_xlfn.XLOOKUP($A91,Input_Raw!$A:$A,Input_Raw!CG:CG),"")</f>
        <v/>
      </c>
      <c r="N91" s="171">
        <f>IFERROR(_xlfn.XLOOKUP($A91,Input_Raw!$A:$A,Input_Raw!CH:CH),"")</f>
        <v>0</v>
      </c>
      <c r="O91" s="183" t="str">
        <f t="shared" si="6"/>
        <v/>
      </c>
      <c r="P91" s="183" t="str">
        <f>IFERROR(1-SUMIF(WTG_BD!$B:$B,$A91,WTG_BD!$AB:$AB)/($AA91+SUMIF(WTG_BD!$B:$B,$A91,WTG_BD!$AB:$AB)),"")</f>
        <v/>
      </c>
      <c r="Q91" s="184" t="str">
        <f>IFERROR(1-SUMIF(IGA_BD!$B:$B,$A91,IGA_BD!$X:$X)/($AA91+SUMIF(IGA_BD!$B:$B,$A91,IGA_BD!$X:$X)),"")</f>
        <v/>
      </c>
      <c r="R91" s="189" t="str">
        <f>IFERROR(1-SUMIF(Grid_BD!$B:$B,$A91,Grid_BD!$V:$V)/($AA91+SUMIF(Grid_BD!$B:$B,$A91,Grid_BD!$V:$V)),"")</f>
        <v/>
      </c>
      <c r="S91" s="167"/>
      <c r="T91" s="184"/>
      <c r="U91" s="185"/>
      <c r="V91" s="167"/>
      <c r="W91" s="186">
        <f>IFERROR(Table13[[#This Row],[Mtr_Net_Exp (KWh)]]/(24*AR91*1000),"")</f>
        <v>0</v>
      </c>
      <c r="X91" s="167">
        <f>IFERROR(_xlfn.XLOOKUP($A91,Input_Raw!$A:$A,Input_Raw!$CF:$CF),"")</f>
        <v>0</v>
      </c>
      <c r="Y91" s="167">
        <f>IFERROR(_xlfn.XLOOKUP($A91,Input_Raw!$A:$A,Input_Raw!$CZ:$CZ),"")</f>
        <v>0</v>
      </c>
      <c r="Z91" s="167">
        <f>IFERROR(_xlfn.XLOOKUP($A91,Input_Raw!$A:$A,Input_Raw!$DA:$DA),"")</f>
        <v>0</v>
      </c>
      <c r="AA91" s="169">
        <f t="shared" si="5"/>
        <v>0</v>
      </c>
      <c r="AB91" s="167">
        <f>IFERROR(_xlfn.XLOOKUP($A91,Input_Raw!$A:$A,Input_Raw!$DG:$DG),"")</f>
        <v>0</v>
      </c>
      <c r="AC91" s="187">
        <f>IFERROR(_xlfn.XLOOKUP($D91,'Modelling New'!$D:$D,'Modelling New'!$J:$J),"")</f>
        <v>6.5666666666666664</v>
      </c>
      <c r="AD91" s="169">
        <f>IFERROR(_xlfn.XLOOKUP($D91,'Modelling New'!$D:$D,'Modelling New'!$T:$T)*1000,"")</f>
        <v>501275.34211348038</v>
      </c>
      <c r="AE91" s="186"/>
      <c r="AF91" s="186">
        <f>IFERROR(_xlfn.XLOOKUP($D91,'Modelling New'!$D:$D,'Modelling New'!$W:$W),"")</f>
        <v>0.26777528959053443</v>
      </c>
      <c r="AG91" s="186">
        <f>IFERROR(_xlfn.XLOOKUP($D91,'Modelling New'!$D:$D,'Modelling New'!$AE:$AE),"")</f>
        <v>0.96029999999999993</v>
      </c>
      <c r="AH91" s="186">
        <f>IFERROR(_xlfn.XLOOKUP($D91,'Modelling New'!$D:$D,'Modelling New'!$AF:$AF),"")</f>
        <v>0.995</v>
      </c>
      <c r="AI91" s="167">
        <f>IFERROR(_xlfn.XLOOKUP($A91,Input_Raw!$A:$A,Input_Raw!$DE:$DE),"")</f>
        <v>0</v>
      </c>
      <c r="AJ91" s="167"/>
      <c r="AK91" s="167"/>
      <c r="AL91" s="167"/>
      <c r="AM91" s="167"/>
      <c r="AN91" s="188" t="str">
        <f>IFERROR(_xlfn.XLOOKUP($A91,Input_Raw!$A:$A,Input_Raw!$DB:$DB),"")</f>
        <v/>
      </c>
      <c r="AO91" s="186" t="str">
        <f>IFERROR((_xlfn.XLOOKUP($A91,'WTG Reactive Power'!$A:$A,'WTG Reactive Power'!$AR:$AR))/X91/1000,"")</f>
        <v/>
      </c>
      <c r="AP91" s="186">
        <f>IFERROR(_xlfn.XLOOKUP($D91,'Modelling New'!$D:$D,'Modelling New'!$AK:$AK),"")</f>
        <v>0.05</v>
      </c>
      <c r="AQ91" s="186">
        <f>IFERROR(_xlfn.XLOOKUP($D91,'Modelling New'!$D:$D,'Modelling New'!$AL:$AL),"")</f>
        <v>0.05</v>
      </c>
      <c r="AR91">
        <f>IFERROR(_xlfn.XLOOKUP($D91,'Modelling New'!$D:$D,'Modelling New'!$N:$N),"")</f>
        <v>78</v>
      </c>
    </row>
    <row r="92" spans="1:44">
      <c r="A92" s="180">
        <f t="shared" si="7"/>
        <v>45835</v>
      </c>
      <c r="B92" s="169">
        <f>YEAR(Table13[[#This Row],[Date]])+IF(MONTH(Table13[[#This Row],[Date]])&gt;=4,1,0)</f>
        <v>2026</v>
      </c>
      <c r="C92" s="167">
        <f>YEAR(Table13[[#This Row],[Date]])</f>
        <v>2025</v>
      </c>
      <c r="D92" s="181">
        <f>Table13[[#This Row],[Date]]-DAY(Table13[[#This Row],[Date]])+1</f>
        <v>45809</v>
      </c>
      <c r="E92" s="167">
        <f t="shared" si="4"/>
        <v>30</v>
      </c>
      <c r="F92" s="170"/>
      <c r="G92" s="171"/>
      <c r="H92" s="171"/>
      <c r="I92" s="171"/>
      <c r="J92" s="171"/>
      <c r="K92" s="182"/>
      <c r="L92" s="171"/>
      <c r="M92" s="171" t="str">
        <f>IFERROR(_xlfn.XLOOKUP($A92,Input_Raw!$A:$A,Input_Raw!CG:CG),"")</f>
        <v/>
      </c>
      <c r="N92" s="171">
        <f>IFERROR(_xlfn.XLOOKUP($A92,Input_Raw!$A:$A,Input_Raw!CH:CH),"")</f>
        <v>0</v>
      </c>
      <c r="O92" s="183" t="str">
        <f t="shared" si="6"/>
        <v/>
      </c>
      <c r="P92" s="183" t="str">
        <f>IFERROR(1-SUMIF(WTG_BD!$B:$B,$A92,WTG_BD!$AB:$AB)/($AA92+SUMIF(WTG_BD!$B:$B,$A92,WTG_BD!$AB:$AB)),"")</f>
        <v/>
      </c>
      <c r="Q92" s="184" t="str">
        <f>IFERROR(1-SUMIF(IGA_BD!$B:$B,$A92,IGA_BD!$X:$X)/($AA92+SUMIF(IGA_BD!$B:$B,$A92,IGA_BD!$X:$X)),"")</f>
        <v/>
      </c>
      <c r="R92" s="189" t="str">
        <f>IFERROR(1-SUMIF(Grid_BD!$B:$B,$A92,Grid_BD!$V:$V)/($AA92+SUMIF(Grid_BD!$B:$B,$A92,Grid_BD!$V:$V)),"")</f>
        <v/>
      </c>
      <c r="S92" s="167"/>
      <c r="T92" s="184"/>
      <c r="U92" s="185"/>
      <c r="V92" s="167"/>
      <c r="W92" s="186">
        <f>IFERROR(Table13[[#This Row],[Mtr_Net_Exp (KWh)]]/(24*AR92*1000),"")</f>
        <v>0</v>
      </c>
      <c r="X92" s="167">
        <f>IFERROR(_xlfn.XLOOKUP($A92,Input_Raw!$A:$A,Input_Raw!$CF:$CF),"")</f>
        <v>0</v>
      </c>
      <c r="Y92" s="167">
        <f>IFERROR(_xlfn.XLOOKUP($A92,Input_Raw!$A:$A,Input_Raw!$CZ:$CZ),"")</f>
        <v>0</v>
      </c>
      <c r="Z92" s="167">
        <f>IFERROR(_xlfn.XLOOKUP($A92,Input_Raw!$A:$A,Input_Raw!$DA:$DA),"")</f>
        <v>0</v>
      </c>
      <c r="AA92" s="169">
        <f t="shared" si="5"/>
        <v>0</v>
      </c>
      <c r="AB92" s="167">
        <f>IFERROR(_xlfn.XLOOKUP($A92,Input_Raw!$A:$A,Input_Raw!$DG:$DG),"")</f>
        <v>0</v>
      </c>
      <c r="AC92" s="187">
        <f>IFERROR(_xlfn.XLOOKUP($D92,'Modelling New'!$D:$D,'Modelling New'!$J:$J),"")</f>
        <v>6.5666666666666664</v>
      </c>
      <c r="AD92" s="169">
        <f>IFERROR(_xlfn.XLOOKUP($D92,'Modelling New'!$D:$D,'Modelling New'!$T:$T)*1000,"")</f>
        <v>501275.34211348038</v>
      </c>
      <c r="AE92" s="186"/>
      <c r="AF92" s="186">
        <f>IFERROR(_xlfn.XLOOKUP($D92,'Modelling New'!$D:$D,'Modelling New'!$W:$W),"")</f>
        <v>0.26777528959053443</v>
      </c>
      <c r="AG92" s="186">
        <f>IFERROR(_xlfn.XLOOKUP($D92,'Modelling New'!$D:$D,'Modelling New'!$AE:$AE),"")</f>
        <v>0.96029999999999993</v>
      </c>
      <c r="AH92" s="186">
        <f>IFERROR(_xlfn.XLOOKUP($D92,'Modelling New'!$D:$D,'Modelling New'!$AF:$AF),"")</f>
        <v>0.995</v>
      </c>
      <c r="AI92" s="167">
        <f>IFERROR(_xlfn.XLOOKUP($A92,Input_Raw!$A:$A,Input_Raw!$DE:$DE),"")</f>
        <v>0</v>
      </c>
      <c r="AJ92" s="167"/>
      <c r="AK92" s="167"/>
      <c r="AL92" s="167"/>
      <c r="AM92" s="167"/>
      <c r="AN92" s="188" t="str">
        <f>IFERROR(_xlfn.XLOOKUP($A92,Input_Raw!$A:$A,Input_Raw!$DB:$DB),"")</f>
        <v/>
      </c>
      <c r="AO92" s="186" t="str">
        <f>IFERROR((_xlfn.XLOOKUP($A92,'WTG Reactive Power'!$A:$A,'WTG Reactive Power'!$AR:$AR))/X92/1000,"")</f>
        <v/>
      </c>
      <c r="AP92" s="186">
        <f>IFERROR(_xlfn.XLOOKUP($D92,'Modelling New'!$D:$D,'Modelling New'!$AK:$AK),"")</f>
        <v>0.05</v>
      </c>
      <c r="AQ92" s="186">
        <f>IFERROR(_xlfn.XLOOKUP($D92,'Modelling New'!$D:$D,'Modelling New'!$AL:$AL),"")</f>
        <v>0.05</v>
      </c>
      <c r="AR92">
        <f>IFERROR(_xlfn.XLOOKUP($D92,'Modelling New'!$D:$D,'Modelling New'!$N:$N),"")</f>
        <v>78</v>
      </c>
    </row>
    <row r="93" spans="1:44">
      <c r="A93" s="180">
        <f t="shared" si="7"/>
        <v>45836</v>
      </c>
      <c r="B93" s="169">
        <f>YEAR(Table13[[#This Row],[Date]])+IF(MONTH(Table13[[#This Row],[Date]])&gt;=4,1,0)</f>
        <v>2026</v>
      </c>
      <c r="C93" s="167">
        <f>YEAR(Table13[[#This Row],[Date]])</f>
        <v>2025</v>
      </c>
      <c r="D93" s="181">
        <f>Table13[[#This Row],[Date]]-DAY(Table13[[#This Row],[Date]])+1</f>
        <v>45809</v>
      </c>
      <c r="E93" s="167">
        <f t="shared" si="4"/>
        <v>30</v>
      </c>
      <c r="F93" s="170"/>
      <c r="G93" s="171"/>
      <c r="H93" s="171"/>
      <c r="I93" s="171"/>
      <c r="J93" s="171"/>
      <c r="K93" s="182"/>
      <c r="L93" s="171"/>
      <c r="M93" s="171" t="str">
        <f>IFERROR(_xlfn.XLOOKUP($A93,Input_Raw!$A:$A,Input_Raw!CG:CG),"")</f>
        <v/>
      </c>
      <c r="N93" s="171">
        <f>IFERROR(_xlfn.XLOOKUP($A93,Input_Raw!$A:$A,Input_Raw!CH:CH),"")</f>
        <v>0</v>
      </c>
      <c r="O93" s="183" t="str">
        <f t="shared" si="6"/>
        <v/>
      </c>
      <c r="P93" s="183" t="str">
        <f>IFERROR(1-SUMIF(WTG_BD!$B:$B,$A93,WTG_BD!$AB:$AB)/($AA93+SUMIF(WTG_BD!$B:$B,$A93,WTG_BD!$AB:$AB)),"")</f>
        <v/>
      </c>
      <c r="Q93" s="184" t="str">
        <f>IFERROR(1-SUMIF(IGA_BD!$B:$B,$A93,IGA_BD!$X:$X)/($AA93+SUMIF(IGA_BD!$B:$B,$A93,IGA_BD!$X:$X)),"")</f>
        <v/>
      </c>
      <c r="R93" s="189" t="str">
        <f>IFERROR(1-SUMIF(Grid_BD!$B:$B,$A93,Grid_BD!$V:$V)/($AA93+SUMIF(Grid_BD!$B:$B,$A93,Grid_BD!$V:$V)),"")</f>
        <v/>
      </c>
      <c r="S93" s="167"/>
      <c r="T93" s="184"/>
      <c r="U93" s="185"/>
      <c r="V93" s="167"/>
      <c r="W93" s="186">
        <f>IFERROR(Table13[[#This Row],[Mtr_Net_Exp (KWh)]]/(24*AR93*1000),"")</f>
        <v>0</v>
      </c>
      <c r="X93" s="167">
        <f>IFERROR(_xlfn.XLOOKUP($A93,Input_Raw!$A:$A,Input_Raw!$CF:$CF),"")</f>
        <v>0</v>
      </c>
      <c r="Y93" s="167">
        <f>IFERROR(_xlfn.XLOOKUP($A93,Input_Raw!$A:$A,Input_Raw!$CZ:$CZ),"")</f>
        <v>0</v>
      </c>
      <c r="Z93" s="167">
        <f>IFERROR(_xlfn.XLOOKUP($A93,Input_Raw!$A:$A,Input_Raw!$DA:$DA),"")</f>
        <v>0</v>
      </c>
      <c r="AA93" s="169">
        <f t="shared" si="5"/>
        <v>0</v>
      </c>
      <c r="AB93" s="167">
        <f>IFERROR(_xlfn.XLOOKUP($A93,Input_Raw!$A:$A,Input_Raw!$DG:$DG),"")</f>
        <v>0</v>
      </c>
      <c r="AC93" s="187">
        <f>IFERROR(_xlfn.XLOOKUP($D93,'Modelling New'!$D:$D,'Modelling New'!$J:$J),"")</f>
        <v>6.5666666666666664</v>
      </c>
      <c r="AD93" s="169">
        <f>IFERROR(_xlfn.XLOOKUP($D93,'Modelling New'!$D:$D,'Modelling New'!$T:$T)*1000,"")</f>
        <v>501275.34211348038</v>
      </c>
      <c r="AE93" s="186"/>
      <c r="AF93" s="186">
        <f>IFERROR(_xlfn.XLOOKUP($D93,'Modelling New'!$D:$D,'Modelling New'!$W:$W),"")</f>
        <v>0.26777528959053443</v>
      </c>
      <c r="AG93" s="186">
        <f>IFERROR(_xlfn.XLOOKUP($D93,'Modelling New'!$D:$D,'Modelling New'!$AE:$AE),"")</f>
        <v>0.96029999999999993</v>
      </c>
      <c r="AH93" s="186">
        <f>IFERROR(_xlfn.XLOOKUP($D93,'Modelling New'!$D:$D,'Modelling New'!$AF:$AF),"")</f>
        <v>0.995</v>
      </c>
      <c r="AI93" s="167">
        <f>IFERROR(_xlfn.XLOOKUP($A93,Input_Raw!$A:$A,Input_Raw!$DE:$DE),"")</f>
        <v>0</v>
      </c>
      <c r="AJ93" s="167"/>
      <c r="AK93" s="167"/>
      <c r="AL93" s="167"/>
      <c r="AM93" s="167"/>
      <c r="AN93" s="188" t="str">
        <f>IFERROR(_xlfn.XLOOKUP($A93,Input_Raw!$A:$A,Input_Raw!$DB:$DB),"")</f>
        <v/>
      </c>
      <c r="AO93" s="186" t="str">
        <f>IFERROR((_xlfn.XLOOKUP($A93,'WTG Reactive Power'!$A:$A,'WTG Reactive Power'!$AR:$AR))/X93/1000,"")</f>
        <v/>
      </c>
      <c r="AP93" s="186">
        <f>IFERROR(_xlfn.XLOOKUP($D93,'Modelling New'!$D:$D,'Modelling New'!$AK:$AK),"")</f>
        <v>0.05</v>
      </c>
      <c r="AQ93" s="186">
        <f>IFERROR(_xlfn.XLOOKUP($D93,'Modelling New'!$D:$D,'Modelling New'!$AL:$AL),"")</f>
        <v>0.05</v>
      </c>
      <c r="AR93">
        <f>IFERROR(_xlfn.XLOOKUP($D93,'Modelling New'!$D:$D,'Modelling New'!$N:$N),"")</f>
        <v>78</v>
      </c>
    </row>
    <row r="94" spans="1:44">
      <c r="A94" s="180">
        <f t="shared" si="7"/>
        <v>45837</v>
      </c>
      <c r="B94" s="169">
        <f>YEAR(Table13[[#This Row],[Date]])+IF(MONTH(Table13[[#This Row],[Date]])&gt;=4,1,0)</f>
        <v>2026</v>
      </c>
      <c r="C94" s="167">
        <f>YEAR(Table13[[#This Row],[Date]])</f>
        <v>2025</v>
      </c>
      <c r="D94" s="181">
        <f>Table13[[#This Row],[Date]]-DAY(Table13[[#This Row],[Date]])+1</f>
        <v>45809</v>
      </c>
      <c r="E94" s="167">
        <f t="shared" si="4"/>
        <v>30</v>
      </c>
      <c r="F94" s="170"/>
      <c r="G94" s="171"/>
      <c r="H94" s="171"/>
      <c r="I94" s="171"/>
      <c r="J94" s="171"/>
      <c r="K94" s="182"/>
      <c r="L94" s="171"/>
      <c r="M94" s="171" t="str">
        <f>IFERROR(_xlfn.XLOOKUP($A94,Input_Raw!$A:$A,Input_Raw!CG:CG),"")</f>
        <v/>
      </c>
      <c r="N94" s="171">
        <f>IFERROR(_xlfn.XLOOKUP($A94,Input_Raw!$A:$A,Input_Raw!CH:CH),"")</f>
        <v>0</v>
      </c>
      <c r="O94" s="183" t="str">
        <f t="shared" si="6"/>
        <v/>
      </c>
      <c r="P94" s="183" t="str">
        <f>IFERROR(1-SUMIF(WTG_BD!$B:$B,$A94,WTG_BD!$AB:$AB)/($AA94+SUMIF(WTG_BD!$B:$B,$A94,WTG_BD!$AB:$AB)),"")</f>
        <v/>
      </c>
      <c r="Q94" s="184" t="str">
        <f>IFERROR(1-SUMIF(IGA_BD!$B:$B,$A94,IGA_BD!$X:$X)/($AA94+SUMIF(IGA_BD!$B:$B,$A94,IGA_BD!$X:$X)),"")</f>
        <v/>
      </c>
      <c r="R94" s="189" t="str">
        <f>IFERROR(1-SUMIF(Grid_BD!$B:$B,$A94,Grid_BD!$V:$V)/($AA94+SUMIF(Grid_BD!$B:$B,$A94,Grid_BD!$V:$V)),"")</f>
        <v/>
      </c>
      <c r="S94" s="167"/>
      <c r="T94" s="184"/>
      <c r="U94" s="185"/>
      <c r="V94" s="167"/>
      <c r="W94" s="186">
        <f>IFERROR(Table13[[#This Row],[Mtr_Net_Exp (KWh)]]/(24*AR94*1000),"")</f>
        <v>0</v>
      </c>
      <c r="X94" s="167">
        <f>IFERROR(_xlfn.XLOOKUP($A94,Input_Raw!$A:$A,Input_Raw!$CF:$CF),"")</f>
        <v>0</v>
      </c>
      <c r="Y94" s="167">
        <f>IFERROR(_xlfn.XLOOKUP($A94,Input_Raw!$A:$A,Input_Raw!$CZ:$CZ),"")</f>
        <v>0</v>
      </c>
      <c r="Z94" s="167">
        <f>IFERROR(_xlfn.XLOOKUP($A94,Input_Raw!$A:$A,Input_Raw!$DA:$DA),"")</f>
        <v>0</v>
      </c>
      <c r="AA94" s="169">
        <f t="shared" si="5"/>
        <v>0</v>
      </c>
      <c r="AB94" s="167">
        <f>IFERROR(_xlfn.XLOOKUP($A94,Input_Raw!$A:$A,Input_Raw!$DG:$DG),"")</f>
        <v>0</v>
      </c>
      <c r="AC94" s="187">
        <f>IFERROR(_xlfn.XLOOKUP($D94,'Modelling New'!$D:$D,'Modelling New'!$J:$J),"")</f>
        <v>6.5666666666666664</v>
      </c>
      <c r="AD94" s="169">
        <f>IFERROR(_xlfn.XLOOKUP($D94,'Modelling New'!$D:$D,'Modelling New'!$T:$T)*1000,"")</f>
        <v>501275.34211348038</v>
      </c>
      <c r="AE94" s="186"/>
      <c r="AF94" s="186">
        <f>IFERROR(_xlfn.XLOOKUP($D94,'Modelling New'!$D:$D,'Modelling New'!$W:$W),"")</f>
        <v>0.26777528959053443</v>
      </c>
      <c r="AG94" s="186">
        <f>IFERROR(_xlfn.XLOOKUP($D94,'Modelling New'!$D:$D,'Modelling New'!$AE:$AE),"")</f>
        <v>0.96029999999999993</v>
      </c>
      <c r="AH94" s="186">
        <f>IFERROR(_xlfn.XLOOKUP($D94,'Modelling New'!$D:$D,'Modelling New'!$AF:$AF),"")</f>
        <v>0.995</v>
      </c>
      <c r="AI94" s="167">
        <f>IFERROR(_xlfn.XLOOKUP($A94,Input_Raw!$A:$A,Input_Raw!$DE:$DE),"")</f>
        <v>0</v>
      </c>
      <c r="AJ94" s="167"/>
      <c r="AK94" s="167"/>
      <c r="AL94" s="167"/>
      <c r="AM94" s="167"/>
      <c r="AN94" s="188" t="str">
        <f>IFERROR(_xlfn.XLOOKUP($A94,Input_Raw!$A:$A,Input_Raw!$DB:$DB),"")</f>
        <v/>
      </c>
      <c r="AO94" s="186" t="str">
        <f>IFERROR((_xlfn.XLOOKUP($A94,'WTG Reactive Power'!$A:$A,'WTG Reactive Power'!$AR:$AR))/X94/1000,"")</f>
        <v/>
      </c>
      <c r="AP94" s="186">
        <f>IFERROR(_xlfn.XLOOKUP($D94,'Modelling New'!$D:$D,'Modelling New'!$AK:$AK),"")</f>
        <v>0.05</v>
      </c>
      <c r="AQ94" s="186">
        <f>IFERROR(_xlfn.XLOOKUP($D94,'Modelling New'!$D:$D,'Modelling New'!$AL:$AL),"")</f>
        <v>0.05</v>
      </c>
      <c r="AR94">
        <f>IFERROR(_xlfn.XLOOKUP($D94,'Modelling New'!$D:$D,'Modelling New'!$N:$N),"")</f>
        <v>78</v>
      </c>
    </row>
    <row r="95" spans="1:44">
      <c r="A95" s="180">
        <f t="shared" si="7"/>
        <v>45838</v>
      </c>
      <c r="B95" s="169">
        <f>YEAR(Table13[[#This Row],[Date]])+IF(MONTH(Table13[[#This Row],[Date]])&gt;=4,1,0)</f>
        <v>2026</v>
      </c>
      <c r="C95" s="167">
        <f>YEAR(Table13[[#This Row],[Date]])</f>
        <v>2025</v>
      </c>
      <c r="D95" s="181">
        <f>Table13[[#This Row],[Date]]-DAY(Table13[[#This Row],[Date]])+1</f>
        <v>45809</v>
      </c>
      <c r="E95" s="167">
        <f t="shared" si="4"/>
        <v>30</v>
      </c>
      <c r="F95" s="170"/>
      <c r="G95" s="171"/>
      <c r="H95" s="171"/>
      <c r="I95" s="171"/>
      <c r="J95" s="171"/>
      <c r="K95" s="182"/>
      <c r="L95" s="171"/>
      <c r="M95" s="171" t="str">
        <f>IFERROR(_xlfn.XLOOKUP($A95,Input_Raw!$A:$A,Input_Raw!CG:CG),"")</f>
        <v/>
      </c>
      <c r="N95" s="171">
        <f>IFERROR(_xlfn.XLOOKUP($A95,Input_Raw!$A:$A,Input_Raw!CH:CH),"")</f>
        <v>0</v>
      </c>
      <c r="O95" s="183" t="str">
        <f t="shared" si="6"/>
        <v/>
      </c>
      <c r="P95" s="183" t="str">
        <f>IFERROR(1-SUMIF(WTG_BD!$B:$B,$A95,WTG_BD!$AB:$AB)/($AA95+SUMIF(WTG_BD!$B:$B,$A95,WTG_BD!$AB:$AB)),"")</f>
        <v/>
      </c>
      <c r="Q95" s="184" t="str">
        <f>IFERROR(1-SUMIF(IGA_BD!$B:$B,$A95,IGA_BD!$X:$X)/($AA95+SUMIF(IGA_BD!$B:$B,$A95,IGA_BD!$X:$X)),"")</f>
        <v/>
      </c>
      <c r="R95" s="189" t="str">
        <f>IFERROR(1-SUMIF(Grid_BD!$B:$B,$A95,Grid_BD!$V:$V)/($AA95+SUMIF(Grid_BD!$B:$B,$A95,Grid_BD!$V:$V)),"")</f>
        <v/>
      </c>
      <c r="S95" s="167"/>
      <c r="T95" s="184"/>
      <c r="U95" s="185"/>
      <c r="V95" s="167"/>
      <c r="W95" s="186">
        <f>IFERROR(Table13[[#This Row],[Mtr_Net_Exp (KWh)]]/(24*AR95*1000),"")</f>
        <v>0</v>
      </c>
      <c r="X95" s="167">
        <f>IFERROR(_xlfn.XLOOKUP($A95,Input_Raw!$A:$A,Input_Raw!$CF:$CF),"")</f>
        <v>0</v>
      </c>
      <c r="Y95" s="167">
        <f>IFERROR(_xlfn.XLOOKUP($A95,Input_Raw!$A:$A,Input_Raw!$CZ:$CZ),"")</f>
        <v>0</v>
      </c>
      <c r="Z95" s="167">
        <f>IFERROR(_xlfn.XLOOKUP($A95,Input_Raw!$A:$A,Input_Raw!$DA:$DA),"")</f>
        <v>0</v>
      </c>
      <c r="AA95" s="169">
        <f t="shared" si="5"/>
        <v>0</v>
      </c>
      <c r="AB95" s="167">
        <f>IFERROR(_xlfn.XLOOKUP($A95,Input_Raw!$A:$A,Input_Raw!$DG:$DG),"")</f>
        <v>0</v>
      </c>
      <c r="AC95" s="187">
        <f>IFERROR(_xlfn.XLOOKUP($D95,'Modelling New'!$D:$D,'Modelling New'!$J:$J),"")</f>
        <v>6.5666666666666664</v>
      </c>
      <c r="AD95" s="169">
        <f>IFERROR(_xlfn.XLOOKUP($D95,'Modelling New'!$D:$D,'Modelling New'!$T:$T)*1000,"")</f>
        <v>501275.34211348038</v>
      </c>
      <c r="AE95" s="186"/>
      <c r="AF95" s="186">
        <f>IFERROR(_xlfn.XLOOKUP($D95,'Modelling New'!$D:$D,'Modelling New'!$W:$W),"")</f>
        <v>0.26777528959053443</v>
      </c>
      <c r="AG95" s="186">
        <f>IFERROR(_xlfn.XLOOKUP($D95,'Modelling New'!$D:$D,'Modelling New'!$AE:$AE),"")</f>
        <v>0.96029999999999993</v>
      </c>
      <c r="AH95" s="186">
        <f>IFERROR(_xlfn.XLOOKUP($D95,'Modelling New'!$D:$D,'Modelling New'!$AF:$AF),"")</f>
        <v>0.995</v>
      </c>
      <c r="AI95" s="167">
        <f>IFERROR(_xlfn.XLOOKUP($A95,Input_Raw!$A:$A,Input_Raw!$DE:$DE),"")</f>
        <v>0</v>
      </c>
      <c r="AJ95" s="167"/>
      <c r="AK95" s="167"/>
      <c r="AL95" s="167"/>
      <c r="AM95" s="167"/>
      <c r="AN95" s="188" t="str">
        <f>IFERROR(_xlfn.XLOOKUP($A95,Input_Raw!$A:$A,Input_Raw!$DB:$DB),"")</f>
        <v/>
      </c>
      <c r="AO95" s="186" t="str">
        <f>IFERROR((_xlfn.XLOOKUP($A95,'WTG Reactive Power'!$A:$A,'WTG Reactive Power'!$AR:$AR))/X95/1000,"")</f>
        <v/>
      </c>
      <c r="AP95" s="186">
        <f>IFERROR(_xlfn.XLOOKUP($D95,'Modelling New'!$D:$D,'Modelling New'!$AK:$AK),"")</f>
        <v>0.05</v>
      </c>
      <c r="AQ95" s="186">
        <f>IFERROR(_xlfn.XLOOKUP($D95,'Modelling New'!$D:$D,'Modelling New'!$AL:$AL),"")</f>
        <v>0.05</v>
      </c>
      <c r="AR95">
        <f>IFERROR(_xlfn.XLOOKUP($D95,'Modelling New'!$D:$D,'Modelling New'!$N:$N),"")</f>
        <v>78</v>
      </c>
    </row>
    <row r="96" spans="1:44">
      <c r="A96" s="180">
        <f t="shared" si="7"/>
        <v>45839</v>
      </c>
      <c r="B96" s="169">
        <f>YEAR(Table13[[#This Row],[Date]])+IF(MONTH(Table13[[#This Row],[Date]])&gt;=4,1,0)</f>
        <v>2026</v>
      </c>
      <c r="C96" s="167">
        <f>YEAR(Table13[[#This Row],[Date]])</f>
        <v>2025</v>
      </c>
      <c r="D96" s="181">
        <f>Table13[[#This Row],[Date]]-DAY(Table13[[#This Row],[Date]])+1</f>
        <v>45839</v>
      </c>
      <c r="E96" s="167">
        <f t="shared" si="4"/>
        <v>31</v>
      </c>
      <c r="F96" s="170"/>
      <c r="G96" s="171"/>
      <c r="H96" s="171"/>
      <c r="I96" s="171"/>
      <c r="J96" s="171"/>
      <c r="K96" s="182"/>
      <c r="L96" s="171"/>
      <c r="M96" s="171" t="str">
        <f>IFERROR(_xlfn.XLOOKUP($A96,Input_Raw!$A:$A,Input_Raw!CG:CG),"")</f>
        <v/>
      </c>
      <c r="N96" s="171">
        <f>IFERROR(_xlfn.XLOOKUP($A96,Input_Raw!$A:$A,Input_Raw!CH:CH),"")</f>
        <v>0</v>
      </c>
      <c r="O96" s="183" t="str">
        <f t="shared" si="6"/>
        <v/>
      </c>
      <c r="P96" s="183" t="str">
        <f>IFERROR(1-SUMIF(WTG_BD!$B:$B,$A96,WTG_BD!$AB:$AB)/($AA96+SUMIF(WTG_BD!$B:$B,$A96,WTG_BD!$AB:$AB)),"")</f>
        <v/>
      </c>
      <c r="Q96" s="184" t="str">
        <f>IFERROR(1-SUMIF(IGA_BD!$B:$B,$A96,IGA_BD!$X:$X)/($AA96+SUMIF(IGA_BD!$B:$B,$A96,IGA_BD!$X:$X)),"")</f>
        <v/>
      </c>
      <c r="R96" s="189" t="str">
        <f>IFERROR(1-SUMIF(Grid_BD!$B:$B,$A96,Grid_BD!$V:$V)/($AA96+SUMIF(Grid_BD!$B:$B,$A96,Grid_BD!$V:$V)),"")</f>
        <v/>
      </c>
      <c r="S96" s="167"/>
      <c r="T96" s="184"/>
      <c r="U96" s="185"/>
      <c r="V96" s="167"/>
      <c r="W96" s="186">
        <f>IFERROR(Table13[[#This Row],[Mtr_Net_Exp (KWh)]]/(24*AR96*1000),"")</f>
        <v>0</v>
      </c>
      <c r="X96" s="167">
        <f>IFERROR(_xlfn.XLOOKUP($A96,Input_Raw!$A:$A,Input_Raw!$CF:$CF),"")</f>
        <v>0</v>
      </c>
      <c r="Y96" s="167">
        <f>IFERROR(_xlfn.XLOOKUP($A96,Input_Raw!$A:$A,Input_Raw!$CZ:$CZ),"")</f>
        <v>0</v>
      </c>
      <c r="Z96" s="167">
        <f>IFERROR(_xlfn.XLOOKUP($A96,Input_Raw!$A:$A,Input_Raw!$DA:$DA),"")</f>
        <v>0</v>
      </c>
      <c r="AA96" s="169">
        <f t="shared" si="5"/>
        <v>0</v>
      </c>
      <c r="AB96" s="167">
        <f>IFERROR(_xlfn.XLOOKUP($A96,Input_Raw!$A:$A,Input_Raw!$DG:$DG),"")</f>
        <v>0</v>
      </c>
      <c r="AC96" s="187">
        <f>IFERROR(_xlfn.XLOOKUP($D96,'Modelling New'!$D:$D,'Modelling New'!$J:$J),"")</f>
        <v>7.6000000000000005</v>
      </c>
      <c r="AD96" s="169">
        <f>IFERROR(_xlfn.XLOOKUP($D96,'Modelling New'!$D:$D,'Modelling New'!$T:$T)*1000,"")</f>
        <v>585797.81940673687</v>
      </c>
      <c r="AE96" s="186"/>
      <c r="AF96" s="186">
        <f>IFERROR(_xlfn.XLOOKUP($D96,'Modelling New'!$D:$D,'Modelling New'!$W:$W),"")</f>
        <v>0.31292618558052182</v>
      </c>
      <c r="AG96" s="186">
        <f>IFERROR(_xlfn.XLOOKUP($D96,'Modelling New'!$D:$D,'Modelling New'!$AE:$AE),"")</f>
        <v>0.96029999999999993</v>
      </c>
      <c r="AH96" s="186">
        <f>IFERROR(_xlfn.XLOOKUP($D96,'Modelling New'!$D:$D,'Modelling New'!$AF:$AF),"")</f>
        <v>0.995</v>
      </c>
      <c r="AI96" s="167">
        <f>IFERROR(_xlfn.XLOOKUP($A96,Input_Raw!$A:$A,Input_Raw!$DE:$DE),"")</f>
        <v>0</v>
      </c>
      <c r="AJ96" s="167"/>
      <c r="AK96" s="167"/>
      <c r="AL96" s="167"/>
      <c r="AM96" s="167"/>
      <c r="AN96" s="188" t="str">
        <f>IFERROR(_xlfn.XLOOKUP($A96,Input_Raw!$A:$A,Input_Raw!$DB:$DB),"")</f>
        <v/>
      </c>
      <c r="AO96" s="186" t="str">
        <f>IFERROR((_xlfn.XLOOKUP($A96,'WTG Reactive Power'!$A:$A,'WTG Reactive Power'!$AR:$AR))/X96/1000,"")</f>
        <v/>
      </c>
      <c r="AP96" s="186">
        <f>IFERROR(_xlfn.XLOOKUP($D96,'Modelling New'!$D:$D,'Modelling New'!$AK:$AK),"")</f>
        <v>0.05</v>
      </c>
      <c r="AQ96" s="186">
        <f>IFERROR(_xlfn.XLOOKUP($D96,'Modelling New'!$D:$D,'Modelling New'!$AL:$AL),"")</f>
        <v>0.05</v>
      </c>
      <c r="AR96">
        <f>IFERROR(_xlfn.XLOOKUP($D96,'Modelling New'!$D:$D,'Modelling New'!$N:$N),"")</f>
        <v>78</v>
      </c>
    </row>
    <row r="97" spans="1:44">
      <c r="A97" s="180">
        <f t="shared" si="7"/>
        <v>45840</v>
      </c>
      <c r="B97" s="169">
        <f>YEAR(Table13[[#This Row],[Date]])+IF(MONTH(Table13[[#This Row],[Date]])&gt;=4,1,0)</f>
        <v>2026</v>
      </c>
      <c r="C97" s="167">
        <f>YEAR(Table13[[#This Row],[Date]])</f>
        <v>2025</v>
      </c>
      <c r="D97" s="181">
        <f>Table13[[#This Row],[Date]]-DAY(Table13[[#This Row],[Date]])+1</f>
        <v>45839</v>
      </c>
      <c r="E97" s="167">
        <f t="shared" si="4"/>
        <v>31</v>
      </c>
      <c r="F97" s="170"/>
      <c r="G97" s="171"/>
      <c r="H97" s="171"/>
      <c r="I97" s="171"/>
      <c r="J97" s="171"/>
      <c r="K97" s="182"/>
      <c r="L97" s="171"/>
      <c r="M97" s="171" t="str">
        <f>IFERROR(_xlfn.XLOOKUP($A97,Input_Raw!$A:$A,Input_Raw!CG:CG),"")</f>
        <v/>
      </c>
      <c r="N97" s="171">
        <f>IFERROR(_xlfn.XLOOKUP($A97,Input_Raw!$A:$A,Input_Raw!CH:CH),"")</f>
        <v>0</v>
      </c>
      <c r="O97" s="183" t="str">
        <f t="shared" si="6"/>
        <v/>
      </c>
      <c r="P97" s="183" t="str">
        <f>IFERROR(1-SUMIF(WTG_BD!$B:$B,$A97,WTG_BD!$AB:$AB)/($AA97+SUMIF(WTG_BD!$B:$B,$A97,WTG_BD!$AB:$AB)),"")</f>
        <v/>
      </c>
      <c r="Q97" s="184" t="str">
        <f>IFERROR(1-SUMIF(IGA_BD!$B:$B,$A97,IGA_BD!$X:$X)/($AA97+SUMIF(IGA_BD!$B:$B,$A97,IGA_BD!$X:$X)),"")</f>
        <v/>
      </c>
      <c r="R97" s="189" t="str">
        <f>IFERROR(1-SUMIF(Grid_BD!$B:$B,$A97,Grid_BD!$V:$V)/($AA97+SUMIF(Grid_BD!$B:$B,$A97,Grid_BD!$V:$V)),"")</f>
        <v/>
      </c>
      <c r="S97" s="167"/>
      <c r="T97" s="184"/>
      <c r="U97" s="185"/>
      <c r="V97" s="167"/>
      <c r="W97" s="186">
        <f>IFERROR(Table13[[#This Row],[Mtr_Net_Exp (KWh)]]/(24*AR97*1000),"")</f>
        <v>0</v>
      </c>
      <c r="X97" s="167">
        <f>IFERROR(_xlfn.XLOOKUP($A97,Input_Raw!$A:$A,Input_Raw!$CF:$CF),"")</f>
        <v>0</v>
      </c>
      <c r="Y97" s="167">
        <f>IFERROR(_xlfn.XLOOKUP($A97,Input_Raw!$A:$A,Input_Raw!$CZ:$CZ),"")</f>
        <v>0</v>
      </c>
      <c r="Z97" s="167">
        <f>IFERROR(_xlfn.XLOOKUP($A97,Input_Raw!$A:$A,Input_Raw!$DA:$DA),"")</f>
        <v>0</v>
      </c>
      <c r="AA97" s="169">
        <f t="shared" si="5"/>
        <v>0</v>
      </c>
      <c r="AB97" s="167">
        <f>IFERROR(_xlfn.XLOOKUP($A97,Input_Raw!$A:$A,Input_Raw!$DG:$DG),"")</f>
        <v>0</v>
      </c>
      <c r="AC97" s="187">
        <f>IFERROR(_xlfn.XLOOKUP($D97,'Modelling New'!$D:$D,'Modelling New'!$J:$J),"")</f>
        <v>7.6000000000000005</v>
      </c>
      <c r="AD97" s="169">
        <f>IFERROR(_xlfn.XLOOKUP($D97,'Modelling New'!$D:$D,'Modelling New'!$T:$T)*1000,"")</f>
        <v>585797.81940673687</v>
      </c>
      <c r="AE97" s="186"/>
      <c r="AF97" s="186">
        <f>IFERROR(_xlfn.XLOOKUP($D97,'Modelling New'!$D:$D,'Modelling New'!$W:$W),"")</f>
        <v>0.31292618558052182</v>
      </c>
      <c r="AG97" s="186">
        <f>IFERROR(_xlfn.XLOOKUP($D97,'Modelling New'!$D:$D,'Modelling New'!$AE:$AE),"")</f>
        <v>0.96029999999999993</v>
      </c>
      <c r="AH97" s="186">
        <f>IFERROR(_xlfn.XLOOKUP($D97,'Modelling New'!$D:$D,'Modelling New'!$AF:$AF),"")</f>
        <v>0.995</v>
      </c>
      <c r="AI97" s="167">
        <f>IFERROR(_xlfn.XLOOKUP($A97,Input_Raw!$A:$A,Input_Raw!$DE:$DE),"")</f>
        <v>0</v>
      </c>
      <c r="AJ97" s="167"/>
      <c r="AK97" s="167"/>
      <c r="AL97" s="167"/>
      <c r="AM97" s="167"/>
      <c r="AN97" s="188" t="str">
        <f>IFERROR(_xlfn.XLOOKUP($A97,Input_Raw!$A:$A,Input_Raw!$DB:$DB),"")</f>
        <v/>
      </c>
      <c r="AO97" s="186" t="str">
        <f>IFERROR((_xlfn.XLOOKUP($A97,'WTG Reactive Power'!$A:$A,'WTG Reactive Power'!$AR:$AR))/X97/1000,"")</f>
        <v/>
      </c>
      <c r="AP97" s="186">
        <f>IFERROR(_xlfn.XLOOKUP($D97,'Modelling New'!$D:$D,'Modelling New'!$AK:$AK),"")</f>
        <v>0.05</v>
      </c>
      <c r="AQ97" s="186">
        <f>IFERROR(_xlfn.XLOOKUP($D97,'Modelling New'!$D:$D,'Modelling New'!$AL:$AL),"")</f>
        <v>0.05</v>
      </c>
      <c r="AR97">
        <f>IFERROR(_xlfn.XLOOKUP($D97,'Modelling New'!$D:$D,'Modelling New'!$N:$N),"")</f>
        <v>78</v>
      </c>
    </row>
    <row r="98" spans="1:44">
      <c r="A98" s="180">
        <f t="shared" si="7"/>
        <v>45841</v>
      </c>
      <c r="B98" s="169">
        <f>YEAR(Table13[[#This Row],[Date]])+IF(MONTH(Table13[[#This Row],[Date]])&gt;=4,1,0)</f>
        <v>2026</v>
      </c>
      <c r="C98" s="167">
        <f>YEAR(Table13[[#This Row],[Date]])</f>
        <v>2025</v>
      </c>
      <c r="D98" s="181">
        <f>Table13[[#This Row],[Date]]-DAY(Table13[[#This Row],[Date]])+1</f>
        <v>45839</v>
      </c>
      <c r="E98" s="167">
        <f t="shared" si="4"/>
        <v>31</v>
      </c>
      <c r="F98" s="170"/>
      <c r="G98" s="171"/>
      <c r="H98" s="171"/>
      <c r="I98" s="171"/>
      <c r="J98" s="171"/>
      <c r="K98" s="182"/>
      <c r="L98" s="171"/>
      <c r="M98" s="171" t="str">
        <f>IFERROR(_xlfn.XLOOKUP($A98,Input_Raw!$A:$A,Input_Raw!CG:CG),"")</f>
        <v/>
      </c>
      <c r="N98" s="171">
        <f>IFERROR(_xlfn.XLOOKUP($A98,Input_Raw!$A:$A,Input_Raw!CH:CH),"")</f>
        <v>0</v>
      </c>
      <c r="O98" s="183" t="str">
        <f t="shared" si="6"/>
        <v/>
      </c>
      <c r="P98" s="183" t="str">
        <f>IFERROR(1-SUMIF(WTG_BD!$B:$B,$A98,WTG_BD!$AB:$AB)/($AA98+SUMIF(WTG_BD!$B:$B,$A98,WTG_BD!$AB:$AB)),"")</f>
        <v/>
      </c>
      <c r="Q98" s="184" t="str">
        <f>IFERROR(1-SUMIF(IGA_BD!$B:$B,$A98,IGA_BD!$X:$X)/($AA98+SUMIF(IGA_BD!$B:$B,$A98,IGA_BD!$X:$X)),"")</f>
        <v/>
      </c>
      <c r="R98" s="189" t="str">
        <f>IFERROR(1-SUMIF(Grid_BD!$B:$B,$A98,Grid_BD!$V:$V)/($AA98+SUMIF(Grid_BD!$B:$B,$A98,Grid_BD!$V:$V)),"")</f>
        <v/>
      </c>
      <c r="S98" s="167"/>
      <c r="T98" s="184"/>
      <c r="U98" s="185"/>
      <c r="V98" s="167"/>
      <c r="W98" s="186">
        <f>IFERROR(Table13[[#This Row],[Mtr_Net_Exp (KWh)]]/(24*AR98*1000),"")</f>
        <v>0</v>
      </c>
      <c r="X98" s="167">
        <f>IFERROR(_xlfn.XLOOKUP($A98,Input_Raw!$A:$A,Input_Raw!$CF:$CF),"")</f>
        <v>0</v>
      </c>
      <c r="Y98" s="167">
        <f>IFERROR(_xlfn.XLOOKUP($A98,Input_Raw!$A:$A,Input_Raw!$CZ:$CZ),"")</f>
        <v>0</v>
      </c>
      <c r="Z98" s="167">
        <f>IFERROR(_xlfn.XLOOKUP($A98,Input_Raw!$A:$A,Input_Raw!$DA:$DA),"")</f>
        <v>0</v>
      </c>
      <c r="AA98" s="169">
        <f t="shared" si="5"/>
        <v>0</v>
      </c>
      <c r="AB98" s="167">
        <f>IFERROR(_xlfn.XLOOKUP($A98,Input_Raw!$A:$A,Input_Raw!$DG:$DG),"")</f>
        <v>0</v>
      </c>
      <c r="AC98" s="187">
        <f>IFERROR(_xlfn.XLOOKUP($D98,'Modelling New'!$D:$D,'Modelling New'!$J:$J),"")</f>
        <v>7.6000000000000005</v>
      </c>
      <c r="AD98" s="169">
        <f>IFERROR(_xlfn.XLOOKUP($D98,'Modelling New'!$D:$D,'Modelling New'!$T:$T)*1000,"")</f>
        <v>585797.81940673687</v>
      </c>
      <c r="AE98" s="186"/>
      <c r="AF98" s="186">
        <f>IFERROR(_xlfn.XLOOKUP($D98,'Modelling New'!$D:$D,'Modelling New'!$W:$W),"")</f>
        <v>0.31292618558052182</v>
      </c>
      <c r="AG98" s="186">
        <f>IFERROR(_xlfn.XLOOKUP($D98,'Modelling New'!$D:$D,'Modelling New'!$AE:$AE),"")</f>
        <v>0.96029999999999993</v>
      </c>
      <c r="AH98" s="186">
        <f>IFERROR(_xlfn.XLOOKUP($D98,'Modelling New'!$D:$D,'Modelling New'!$AF:$AF),"")</f>
        <v>0.995</v>
      </c>
      <c r="AI98" s="167">
        <f>IFERROR(_xlfn.XLOOKUP($A98,Input_Raw!$A:$A,Input_Raw!$DE:$DE),"")</f>
        <v>0</v>
      </c>
      <c r="AJ98" s="167"/>
      <c r="AK98" s="167"/>
      <c r="AL98" s="167"/>
      <c r="AM98" s="167"/>
      <c r="AN98" s="188" t="str">
        <f>IFERROR(_xlfn.XLOOKUP($A98,Input_Raw!$A:$A,Input_Raw!$DB:$DB),"")</f>
        <v/>
      </c>
      <c r="AO98" s="186" t="str">
        <f>IFERROR((_xlfn.XLOOKUP($A98,'WTG Reactive Power'!$A:$A,'WTG Reactive Power'!$AR:$AR))/X98/1000,"")</f>
        <v/>
      </c>
      <c r="AP98" s="186">
        <f>IFERROR(_xlfn.XLOOKUP($D98,'Modelling New'!$D:$D,'Modelling New'!$AK:$AK),"")</f>
        <v>0.05</v>
      </c>
      <c r="AQ98" s="186">
        <f>IFERROR(_xlfn.XLOOKUP($D98,'Modelling New'!$D:$D,'Modelling New'!$AL:$AL),"")</f>
        <v>0.05</v>
      </c>
      <c r="AR98">
        <f>IFERROR(_xlfn.XLOOKUP($D98,'Modelling New'!$D:$D,'Modelling New'!$N:$N),"")</f>
        <v>78</v>
      </c>
    </row>
    <row r="99" spans="1:44">
      <c r="A99" s="180">
        <f t="shared" si="7"/>
        <v>45842</v>
      </c>
      <c r="B99" s="169">
        <f>YEAR(Table13[[#This Row],[Date]])+IF(MONTH(Table13[[#This Row],[Date]])&gt;=4,1,0)</f>
        <v>2026</v>
      </c>
      <c r="C99" s="167">
        <f>YEAR(Table13[[#This Row],[Date]])</f>
        <v>2025</v>
      </c>
      <c r="D99" s="181">
        <f>Table13[[#This Row],[Date]]-DAY(Table13[[#This Row],[Date]])+1</f>
        <v>45839</v>
      </c>
      <c r="E99" s="167">
        <f t="shared" si="4"/>
        <v>31</v>
      </c>
      <c r="F99" s="170"/>
      <c r="G99" s="171"/>
      <c r="H99" s="171"/>
      <c r="I99" s="171"/>
      <c r="J99" s="171"/>
      <c r="K99" s="182"/>
      <c r="L99" s="171"/>
      <c r="M99" s="171" t="str">
        <f>IFERROR(_xlfn.XLOOKUP($A99,Input_Raw!$A:$A,Input_Raw!CG:CG),"")</f>
        <v/>
      </c>
      <c r="N99" s="171">
        <f>IFERROR(_xlfn.XLOOKUP($A99,Input_Raw!$A:$A,Input_Raw!CH:CH),"")</f>
        <v>0</v>
      </c>
      <c r="O99" s="183" t="str">
        <f t="shared" si="6"/>
        <v/>
      </c>
      <c r="P99" s="183" t="str">
        <f>IFERROR(1-SUMIF(WTG_BD!$B:$B,$A99,WTG_BD!$AB:$AB)/($AA99+SUMIF(WTG_BD!$B:$B,$A99,WTG_BD!$AB:$AB)),"")</f>
        <v/>
      </c>
      <c r="Q99" s="184" t="str">
        <f>IFERROR(1-SUMIF(IGA_BD!$B:$B,$A99,IGA_BD!$X:$X)/($AA99+SUMIF(IGA_BD!$B:$B,$A99,IGA_BD!$X:$X)),"")</f>
        <v/>
      </c>
      <c r="R99" s="189" t="str">
        <f>IFERROR(1-SUMIF(Grid_BD!$B:$B,$A99,Grid_BD!$V:$V)/($AA99+SUMIF(Grid_BD!$B:$B,$A99,Grid_BD!$V:$V)),"")</f>
        <v/>
      </c>
      <c r="S99" s="167"/>
      <c r="T99" s="184"/>
      <c r="U99" s="185"/>
      <c r="V99" s="167"/>
      <c r="W99" s="186">
        <f>IFERROR(Table13[[#This Row],[Mtr_Net_Exp (KWh)]]/(24*AR99*1000),"")</f>
        <v>0</v>
      </c>
      <c r="X99" s="167">
        <f>IFERROR(_xlfn.XLOOKUP($A99,Input_Raw!$A:$A,Input_Raw!$CF:$CF),"")</f>
        <v>0</v>
      </c>
      <c r="Y99" s="167">
        <f>IFERROR(_xlfn.XLOOKUP($A99,Input_Raw!$A:$A,Input_Raw!$CZ:$CZ),"")</f>
        <v>0</v>
      </c>
      <c r="Z99" s="167">
        <f>IFERROR(_xlfn.XLOOKUP($A99,Input_Raw!$A:$A,Input_Raw!$DA:$DA),"")</f>
        <v>0</v>
      </c>
      <c r="AA99" s="169">
        <f t="shared" si="5"/>
        <v>0</v>
      </c>
      <c r="AB99" s="167">
        <f>IFERROR(_xlfn.XLOOKUP($A99,Input_Raw!$A:$A,Input_Raw!$DG:$DG),"")</f>
        <v>0</v>
      </c>
      <c r="AC99" s="187">
        <f>IFERROR(_xlfn.XLOOKUP($D99,'Modelling New'!$D:$D,'Modelling New'!$J:$J),"")</f>
        <v>7.6000000000000005</v>
      </c>
      <c r="AD99" s="169">
        <f>IFERROR(_xlfn.XLOOKUP($D99,'Modelling New'!$D:$D,'Modelling New'!$T:$T)*1000,"")</f>
        <v>585797.81940673687</v>
      </c>
      <c r="AE99" s="186"/>
      <c r="AF99" s="186">
        <f>IFERROR(_xlfn.XLOOKUP($D99,'Modelling New'!$D:$D,'Modelling New'!$W:$W),"")</f>
        <v>0.31292618558052182</v>
      </c>
      <c r="AG99" s="186">
        <f>IFERROR(_xlfn.XLOOKUP($D99,'Modelling New'!$D:$D,'Modelling New'!$AE:$AE),"")</f>
        <v>0.96029999999999993</v>
      </c>
      <c r="AH99" s="186">
        <f>IFERROR(_xlfn.XLOOKUP($D99,'Modelling New'!$D:$D,'Modelling New'!$AF:$AF),"")</f>
        <v>0.995</v>
      </c>
      <c r="AI99" s="167">
        <f>IFERROR(_xlfn.XLOOKUP($A99,Input_Raw!$A:$A,Input_Raw!$DE:$DE),"")</f>
        <v>0</v>
      </c>
      <c r="AJ99" s="167"/>
      <c r="AK99" s="167"/>
      <c r="AL99" s="167"/>
      <c r="AM99" s="167"/>
      <c r="AN99" s="188" t="str">
        <f>IFERROR(_xlfn.XLOOKUP($A99,Input_Raw!$A:$A,Input_Raw!$DB:$DB),"")</f>
        <v/>
      </c>
      <c r="AO99" s="186" t="str">
        <f>IFERROR((_xlfn.XLOOKUP($A99,'WTG Reactive Power'!$A:$A,'WTG Reactive Power'!$AR:$AR))/X99/1000,"")</f>
        <v/>
      </c>
      <c r="AP99" s="186">
        <f>IFERROR(_xlfn.XLOOKUP($D99,'Modelling New'!$D:$D,'Modelling New'!$AK:$AK),"")</f>
        <v>0.05</v>
      </c>
      <c r="AQ99" s="186">
        <f>IFERROR(_xlfn.XLOOKUP($D99,'Modelling New'!$D:$D,'Modelling New'!$AL:$AL),"")</f>
        <v>0.05</v>
      </c>
      <c r="AR99">
        <f>IFERROR(_xlfn.XLOOKUP($D99,'Modelling New'!$D:$D,'Modelling New'!$N:$N),"")</f>
        <v>78</v>
      </c>
    </row>
    <row r="100" spans="1:44">
      <c r="A100" s="180">
        <f t="shared" si="7"/>
        <v>45843</v>
      </c>
      <c r="B100" s="169">
        <f>YEAR(Table13[[#This Row],[Date]])+IF(MONTH(Table13[[#This Row],[Date]])&gt;=4,1,0)</f>
        <v>2026</v>
      </c>
      <c r="C100" s="167">
        <f>YEAR(Table13[[#This Row],[Date]])</f>
        <v>2025</v>
      </c>
      <c r="D100" s="181">
        <f>Table13[[#This Row],[Date]]-DAY(Table13[[#This Row],[Date]])+1</f>
        <v>45839</v>
      </c>
      <c r="E100" s="167">
        <f t="shared" ref="E100:E163" si="8">DAY(EOMONTH(A100,0))</f>
        <v>31</v>
      </c>
      <c r="F100" s="170"/>
      <c r="G100" s="171"/>
      <c r="H100" s="171"/>
      <c r="I100" s="171"/>
      <c r="J100" s="171"/>
      <c r="K100" s="182"/>
      <c r="L100" s="171"/>
      <c r="M100" s="171" t="str">
        <f>IFERROR(_xlfn.XLOOKUP($A100,Input_Raw!$A:$A,Input_Raw!CG:CG),"")</f>
        <v/>
      </c>
      <c r="N100" s="171">
        <f>IFERROR(_xlfn.XLOOKUP($A100,Input_Raw!$A:$A,Input_Raw!CH:CH),"")</f>
        <v>0</v>
      </c>
      <c r="O100" s="183" t="str">
        <f t="shared" si="6"/>
        <v/>
      </c>
      <c r="P100" s="183" t="str">
        <f>IFERROR(1-SUMIF(WTG_BD!$B:$B,$A100,WTG_BD!$AB:$AB)/($AA100+SUMIF(WTG_BD!$B:$B,$A100,WTG_BD!$AB:$AB)),"")</f>
        <v/>
      </c>
      <c r="Q100" s="184" t="str">
        <f>IFERROR(1-SUMIF(IGA_BD!$B:$B,$A100,IGA_BD!$X:$X)/($AA100+SUMIF(IGA_BD!$B:$B,$A100,IGA_BD!$X:$X)),"")</f>
        <v/>
      </c>
      <c r="R100" s="189" t="str">
        <f>IFERROR(1-SUMIF(Grid_BD!$B:$B,$A100,Grid_BD!$V:$V)/($AA100+SUMIF(Grid_BD!$B:$B,$A100,Grid_BD!$V:$V)),"")</f>
        <v/>
      </c>
      <c r="S100" s="167"/>
      <c r="T100" s="184"/>
      <c r="U100" s="185"/>
      <c r="V100" s="167"/>
      <c r="W100" s="186">
        <f>IFERROR(Table13[[#This Row],[Mtr_Net_Exp (KWh)]]/(24*AR100*1000),"")</f>
        <v>0</v>
      </c>
      <c r="X100" s="167">
        <f>IFERROR(_xlfn.XLOOKUP($A100,Input_Raw!$A:$A,Input_Raw!$CF:$CF),"")</f>
        <v>0</v>
      </c>
      <c r="Y100" s="167">
        <f>IFERROR(_xlfn.XLOOKUP($A100,Input_Raw!$A:$A,Input_Raw!$CZ:$CZ),"")</f>
        <v>0</v>
      </c>
      <c r="Z100" s="167">
        <f>IFERROR(_xlfn.XLOOKUP($A100,Input_Raw!$A:$A,Input_Raw!$DA:$DA),"")</f>
        <v>0</v>
      </c>
      <c r="AA100" s="169">
        <f t="shared" ref="AA100:AA163" si="9">IFERROR(Y100-Z100,"")</f>
        <v>0</v>
      </c>
      <c r="AB100" s="167">
        <f>IFERROR(_xlfn.XLOOKUP($A100,Input_Raw!$A:$A,Input_Raw!$DG:$DG),"")</f>
        <v>0</v>
      </c>
      <c r="AC100" s="187">
        <f>IFERROR(_xlfn.XLOOKUP($D100,'Modelling New'!$D:$D,'Modelling New'!$J:$J),"")</f>
        <v>7.6000000000000005</v>
      </c>
      <c r="AD100" s="169">
        <f>IFERROR(_xlfn.XLOOKUP($D100,'Modelling New'!$D:$D,'Modelling New'!$T:$T)*1000,"")</f>
        <v>585797.81940673687</v>
      </c>
      <c r="AE100" s="186"/>
      <c r="AF100" s="186">
        <f>IFERROR(_xlfn.XLOOKUP($D100,'Modelling New'!$D:$D,'Modelling New'!$W:$W),"")</f>
        <v>0.31292618558052182</v>
      </c>
      <c r="AG100" s="186">
        <f>IFERROR(_xlfn.XLOOKUP($D100,'Modelling New'!$D:$D,'Modelling New'!$AE:$AE),"")</f>
        <v>0.96029999999999993</v>
      </c>
      <c r="AH100" s="186">
        <f>IFERROR(_xlfn.XLOOKUP($D100,'Modelling New'!$D:$D,'Modelling New'!$AF:$AF),"")</f>
        <v>0.995</v>
      </c>
      <c r="AI100" s="167">
        <f>IFERROR(_xlfn.XLOOKUP($A100,Input_Raw!$A:$A,Input_Raw!$DE:$DE),"")</f>
        <v>0</v>
      </c>
      <c r="AJ100" s="167"/>
      <c r="AK100" s="167"/>
      <c r="AL100" s="167"/>
      <c r="AM100" s="167"/>
      <c r="AN100" s="188" t="str">
        <f>IFERROR(_xlfn.XLOOKUP($A100,Input_Raw!$A:$A,Input_Raw!$DB:$DB),"")</f>
        <v/>
      </c>
      <c r="AO100" s="186" t="str">
        <f>IFERROR((_xlfn.XLOOKUP($A100,'WTG Reactive Power'!$A:$A,'WTG Reactive Power'!$AR:$AR))/X100/1000,"")</f>
        <v/>
      </c>
      <c r="AP100" s="186">
        <f>IFERROR(_xlfn.XLOOKUP($D100,'Modelling New'!$D:$D,'Modelling New'!$AK:$AK),"")</f>
        <v>0.05</v>
      </c>
      <c r="AQ100" s="186">
        <f>IFERROR(_xlfn.XLOOKUP($D100,'Modelling New'!$D:$D,'Modelling New'!$AL:$AL),"")</f>
        <v>0.05</v>
      </c>
      <c r="AR100">
        <f>IFERROR(_xlfn.XLOOKUP($D100,'Modelling New'!$D:$D,'Modelling New'!$N:$N),"")</f>
        <v>78</v>
      </c>
    </row>
    <row r="101" spans="1:44">
      <c r="A101" s="180">
        <f t="shared" si="7"/>
        <v>45844</v>
      </c>
      <c r="B101" s="169">
        <f>YEAR(Table13[[#This Row],[Date]])+IF(MONTH(Table13[[#This Row],[Date]])&gt;=4,1,0)</f>
        <v>2026</v>
      </c>
      <c r="C101" s="167">
        <f>YEAR(Table13[[#This Row],[Date]])</f>
        <v>2025</v>
      </c>
      <c r="D101" s="181">
        <f>Table13[[#This Row],[Date]]-DAY(Table13[[#This Row],[Date]])+1</f>
        <v>45839</v>
      </c>
      <c r="E101" s="167">
        <f t="shared" si="8"/>
        <v>31</v>
      </c>
      <c r="F101" s="170"/>
      <c r="G101" s="171"/>
      <c r="H101" s="171"/>
      <c r="I101" s="171"/>
      <c r="J101" s="171"/>
      <c r="K101" s="182"/>
      <c r="L101" s="171"/>
      <c r="M101" s="171" t="str">
        <f>IFERROR(_xlfn.XLOOKUP($A101,Input_Raw!$A:$A,Input_Raw!CG:CG),"")</f>
        <v/>
      </c>
      <c r="N101" s="171">
        <f>IFERROR(_xlfn.XLOOKUP($A101,Input_Raw!$A:$A,Input_Raw!CH:CH),"")</f>
        <v>0</v>
      </c>
      <c r="O101" s="183" t="str">
        <f t="shared" ref="O101:O164" si="10">IFERROR(P101*Q101,"")</f>
        <v/>
      </c>
      <c r="P101" s="183" t="str">
        <f>IFERROR(1-SUMIF(WTG_BD!$B:$B,$A101,WTG_BD!$AB:$AB)/($AA101+SUMIF(WTG_BD!$B:$B,$A101,WTG_BD!$AB:$AB)),"")</f>
        <v/>
      </c>
      <c r="Q101" s="184" t="str">
        <f>IFERROR(1-SUMIF(IGA_BD!$B:$B,$A101,IGA_BD!$X:$X)/($AA101+SUMIF(IGA_BD!$B:$B,$A101,IGA_BD!$X:$X)),"")</f>
        <v/>
      </c>
      <c r="R101" s="189" t="str">
        <f>IFERROR(1-SUMIF(Grid_BD!$B:$B,$A101,Grid_BD!$V:$V)/($AA101+SUMIF(Grid_BD!$B:$B,$A101,Grid_BD!$V:$V)),"")</f>
        <v/>
      </c>
      <c r="S101" s="167"/>
      <c r="T101" s="184"/>
      <c r="U101" s="185"/>
      <c r="V101" s="167"/>
      <c r="W101" s="186">
        <f>IFERROR(Table13[[#This Row],[Mtr_Net_Exp (KWh)]]/(24*AR101*1000),"")</f>
        <v>0</v>
      </c>
      <c r="X101" s="167">
        <f>IFERROR(_xlfn.XLOOKUP($A101,Input_Raw!$A:$A,Input_Raw!$CF:$CF),"")</f>
        <v>0</v>
      </c>
      <c r="Y101" s="167">
        <f>IFERROR(_xlfn.XLOOKUP($A101,Input_Raw!$A:$A,Input_Raw!$CZ:$CZ),"")</f>
        <v>0</v>
      </c>
      <c r="Z101" s="167">
        <f>IFERROR(_xlfn.XLOOKUP($A101,Input_Raw!$A:$A,Input_Raw!$DA:$DA),"")</f>
        <v>0</v>
      </c>
      <c r="AA101" s="169">
        <f t="shared" si="9"/>
        <v>0</v>
      </c>
      <c r="AB101" s="167">
        <f>IFERROR(_xlfn.XLOOKUP($A101,Input_Raw!$A:$A,Input_Raw!$DG:$DG),"")</f>
        <v>0</v>
      </c>
      <c r="AC101" s="187">
        <f>IFERROR(_xlfn.XLOOKUP($D101,'Modelling New'!$D:$D,'Modelling New'!$J:$J),"")</f>
        <v>7.6000000000000005</v>
      </c>
      <c r="AD101" s="169">
        <f>IFERROR(_xlfn.XLOOKUP($D101,'Modelling New'!$D:$D,'Modelling New'!$T:$T)*1000,"")</f>
        <v>585797.81940673687</v>
      </c>
      <c r="AE101" s="186"/>
      <c r="AF101" s="186">
        <f>IFERROR(_xlfn.XLOOKUP($D101,'Modelling New'!$D:$D,'Modelling New'!$W:$W),"")</f>
        <v>0.31292618558052182</v>
      </c>
      <c r="AG101" s="186">
        <f>IFERROR(_xlfn.XLOOKUP($D101,'Modelling New'!$D:$D,'Modelling New'!$AE:$AE),"")</f>
        <v>0.96029999999999993</v>
      </c>
      <c r="AH101" s="186">
        <f>IFERROR(_xlfn.XLOOKUP($D101,'Modelling New'!$D:$D,'Modelling New'!$AF:$AF),"")</f>
        <v>0.995</v>
      </c>
      <c r="AI101" s="167">
        <f>IFERROR(_xlfn.XLOOKUP($A101,Input_Raw!$A:$A,Input_Raw!$DE:$DE),"")</f>
        <v>0</v>
      </c>
      <c r="AJ101" s="167"/>
      <c r="AK101" s="167"/>
      <c r="AL101" s="167"/>
      <c r="AM101" s="167"/>
      <c r="AN101" s="188" t="str">
        <f>IFERROR(_xlfn.XLOOKUP($A101,Input_Raw!$A:$A,Input_Raw!$DB:$DB),"")</f>
        <v/>
      </c>
      <c r="AO101" s="186" t="str">
        <f>IFERROR((_xlfn.XLOOKUP($A101,'WTG Reactive Power'!$A:$A,'WTG Reactive Power'!$AR:$AR))/X101/1000,"")</f>
        <v/>
      </c>
      <c r="AP101" s="186">
        <f>IFERROR(_xlfn.XLOOKUP($D101,'Modelling New'!$D:$D,'Modelling New'!$AK:$AK),"")</f>
        <v>0.05</v>
      </c>
      <c r="AQ101" s="186">
        <f>IFERROR(_xlfn.XLOOKUP($D101,'Modelling New'!$D:$D,'Modelling New'!$AL:$AL),"")</f>
        <v>0.05</v>
      </c>
      <c r="AR101">
        <f>IFERROR(_xlfn.XLOOKUP($D101,'Modelling New'!$D:$D,'Modelling New'!$N:$N),"")</f>
        <v>78</v>
      </c>
    </row>
    <row r="102" spans="1:44">
      <c r="A102" s="180">
        <f t="shared" ref="A102:A165" si="11">A101+1</f>
        <v>45845</v>
      </c>
      <c r="B102" s="169">
        <f>YEAR(Table13[[#This Row],[Date]])+IF(MONTH(Table13[[#This Row],[Date]])&gt;=4,1,0)</f>
        <v>2026</v>
      </c>
      <c r="C102" s="167">
        <f>YEAR(Table13[[#This Row],[Date]])</f>
        <v>2025</v>
      </c>
      <c r="D102" s="181">
        <f>Table13[[#This Row],[Date]]-DAY(Table13[[#This Row],[Date]])+1</f>
        <v>45839</v>
      </c>
      <c r="E102" s="167">
        <f t="shared" si="8"/>
        <v>31</v>
      </c>
      <c r="F102" s="170"/>
      <c r="G102" s="171"/>
      <c r="H102" s="171"/>
      <c r="I102" s="171"/>
      <c r="J102" s="171"/>
      <c r="K102" s="182"/>
      <c r="L102" s="171"/>
      <c r="M102" s="171" t="str">
        <f>IFERROR(_xlfn.XLOOKUP($A102,Input_Raw!$A:$A,Input_Raw!CG:CG),"")</f>
        <v/>
      </c>
      <c r="N102" s="171">
        <f>IFERROR(_xlfn.XLOOKUP($A102,Input_Raw!$A:$A,Input_Raw!CH:CH),"")</f>
        <v>0</v>
      </c>
      <c r="O102" s="183" t="str">
        <f t="shared" si="10"/>
        <v/>
      </c>
      <c r="P102" s="183" t="str">
        <f>IFERROR(1-SUMIF(WTG_BD!$B:$B,$A102,WTG_BD!$AB:$AB)/($AA102+SUMIF(WTG_BD!$B:$B,$A102,WTG_BD!$AB:$AB)),"")</f>
        <v/>
      </c>
      <c r="Q102" s="184" t="str">
        <f>IFERROR(1-SUMIF(IGA_BD!$B:$B,$A102,IGA_BD!$X:$X)/($AA102+SUMIF(IGA_BD!$B:$B,$A102,IGA_BD!$X:$X)),"")</f>
        <v/>
      </c>
      <c r="R102" s="189" t="str">
        <f>IFERROR(1-SUMIF(Grid_BD!$B:$B,$A102,Grid_BD!$V:$V)/($AA102+SUMIF(Grid_BD!$B:$B,$A102,Grid_BD!$V:$V)),"")</f>
        <v/>
      </c>
      <c r="S102" s="167"/>
      <c r="T102" s="184"/>
      <c r="U102" s="185"/>
      <c r="V102" s="167"/>
      <c r="W102" s="186">
        <f>IFERROR(Table13[[#This Row],[Mtr_Net_Exp (KWh)]]/(24*AR102*1000),"")</f>
        <v>0</v>
      </c>
      <c r="X102" s="167">
        <f>IFERROR(_xlfn.XLOOKUP($A102,Input_Raw!$A:$A,Input_Raw!$CF:$CF),"")</f>
        <v>0</v>
      </c>
      <c r="Y102" s="167">
        <f>IFERROR(_xlfn.XLOOKUP($A102,Input_Raw!$A:$A,Input_Raw!$CZ:$CZ),"")</f>
        <v>0</v>
      </c>
      <c r="Z102" s="167">
        <f>IFERROR(_xlfn.XLOOKUP($A102,Input_Raw!$A:$A,Input_Raw!$DA:$DA),"")</f>
        <v>0</v>
      </c>
      <c r="AA102" s="169">
        <f t="shared" si="9"/>
        <v>0</v>
      </c>
      <c r="AB102" s="167">
        <f>IFERROR(_xlfn.XLOOKUP($A102,Input_Raw!$A:$A,Input_Raw!$DG:$DG),"")</f>
        <v>0</v>
      </c>
      <c r="AC102" s="187">
        <f>IFERROR(_xlfn.XLOOKUP($D102,'Modelling New'!$D:$D,'Modelling New'!$J:$J),"")</f>
        <v>7.6000000000000005</v>
      </c>
      <c r="AD102" s="169">
        <f>IFERROR(_xlfn.XLOOKUP($D102,'Modelling New'!$D:$D,'Modelling New'!$T:$T)*1000,"")</f>
        <v>585797.81940673687</v>
      </c>
      <c r="AE102" s="186"/>
      <c r="AF102" s="186">
        <f>IFERROR(_xlfn.XLOOKUP($D102,'Modelling New'!$D:$D,'Modelling New'!$W:$W),"")</f>
        <v>0.31292618558052182</v>
      </c>
      <c r="AG102" s="186">
        <f>IFERROR(_xlfn.XLOOKUP($D102,'Modelling New'!$D:$D,'Modelling New'!$AE:$AE),"")</f>
        <v>0.96029999999999993</v>
      </c>
      <c r="AH102" s="186">
        <f>IFERROR(_xlfn.XLOOKUP($D102,'Modelling New'!$D:$D,'Modelling New'!$AF:$AF),"")</f>
        <v>0.995</v>
      </c>
      <c r="AI102" s="167">
        <f>IFERROR(_xlfn.XLOOKUP($A102,Input_Raw!$A:$A,Input_Raw!$DE:$DE),"")</f>
        <v>0</v>
      </c>
      <c r="AJ102" s="167"/>
      <c r="AK102" s="167"/>
      <c r="AL102" s="167"/>
      <c r="AM102" s="167"/>
      <c r="AN102" s="188" t="str">
        <f>IFERROR(_xlfn.XLOOKUP($A102,Input_Raw!$A:$A,Input_Raw!$DB:$DB),"")</f>
        <v/>
      </c>
      <c r="AO102" s="186" t="str">
        <f>IFERROR((_xlfn.XLOOKUP($A102,'WTG Reactive Power'!$A:$A,'WTG Reactive Power'!$AR:$AR))/X102/1000,"")</f>
        <v/>
      </c>
      <c r="AP102" s="186">
        <f>IFERROR(_xlfn.XLOOKUP($D102,'Modelling New'!$D:$D,'Modelling New'!$AK:$AK),"")</f>
        <v>0.05</v>
      </c>
      <c r="AQ102" s="186">
        <f>IFERROR(_xlfn.XLOOKUP($D102,'Modelling New'!$D:$D,'Modelling New'!$AL:$AL),"")</f>
        <v>0.05</v>
      </c>
      <c r="AR102">
        <f>IFERROR(_xlfn.XLOOKUP($D102,'Modelling New'!$D:$D,'Modelling New'!$N:$N),"")</f>
        <v>78</v>
      </c>
    </row>
    <row r="103" spans="1:44">
      <c r="A103" s="180">
        <f t="shared" si="11"/>
        <v>45846</v>
      </c>
      <c r="B103" s="169">
        <f>YEAR(Table13[[#This Row],[Date]])+IF(MONTH(Table13[[#This Row],[Date]])&gt;=4,1,0)</f>
        <v>2026</v>
      </c>
      <c r="C103" s="167">
        <f>YEAR(Table13[[#This Row],[Date]])</f>
        <v>2025</v>
      </c>
      <c r="D103" s="181">
        <f>Table13[[#This Row],[Date]]-DAY(Table13[[#This Row],[Date]])+1</f>
        <v>45839</v>
      </c>
      <c r="E103" s="167">
        <f t="shared" si="8"/>
        <v>31</v>
      </c>
      <c r="F103" s="170"/>
      <c r="G103" s="171"/>
      <c r="H103" s="171"/>
      <c r="I103" s="171"/>
      <c r="J103" s="171"/>
      <c r="K103" s="182"/>
      <c r="L103" s="171"/>
      <c r="M103" s="171" t="str">
        <f>IFERROR(_xlfn.XLOOKUP($A103,Input_Raw!$A:$A,Input_Raw!CG:CG),"")</f>
        <v/>
      </c>
      <c r="N103" s="171">
        <f>IFERROR(_xlfn.XLOOKUP($A103,Input_Raw!$A:$A,Input_Raw!CH:CH),"")</f>
        <v>0</v>
      </c>
      <c r="O103" s="183" t="str">
        <f t="shared" si="10"/>
        <v/>
      </c>
      <c r="P103" s="183" t="str">
        <f>IFERROR(1-SUMIF(WTG_BD!$B:$B,$A103,WTG_BD!$AB:$AB)/($AA103+SUMIF(WTG_BD!$B:$B,$A103,WTG_BD!$AB:$AB)),"")</f>
        <v/>
      </c>
      <c r="Q103" s="184" t="str">
        <f>IFERROR(1-SUMIF(IGA_BD!$B:$B,$A103,IGA_BD!$X:$X)/($AA103+SUMIF(IGA_BD!$B:$B,$A103,IGA_BD!$X:$X)),"")</f>
        <v/>
      </c>
      <c r="R103" s="189" t="str">
        <f>IFERROR(1-SUMIF(Grid_BD!$B:$B,$A103,Grid_BD!$V:$V)/($AA103+SUMIF(Grid_BD!$B:$B,$A103,Grid_BD!$V:$V)),"")</f>
        <v/>
      </c>
      <c r="S103" s="167"/>
      <c r="T103" s="184"/>
      <c r="U103" s="185"/>
      <c r="V103" s="167"/>
      <c r="W103" s="186">
        <f>IFERROR(Table13[[#This Row],[Mtr_Net_Exp (KWh)]]/(24*AR103*1000),"")</f>
        <v>0</v>
      </c>
      <c r="X103" s="167">
        <f>IFERROR(_xlfn.XLOOKUP($A103,Input_Raw!$A:$A,Input_Raw!$CF:$CF),"")</f>
        <v>0</v>
      </c>
      <c r="Y103" s="167">
        <f>IFERROR(_xlfn.XLOOKUP($A103,Input_Raw!$A:$A,Input_Raw!$CZ:$CZ),"")</f>
        <v>0</v>
      </c>
      <c r="Z103" s="167">
        <f>IFERROR(_xlfn.XLOOKUP($A103,Input_Raw!$A:$A,Input_Raw!$DA:$DA),"")</f>
        <v>0</v>
      </c>
      <c r="AA103" s="169">
        <f t="shared" si="9"/>
        <v>0</v>
      </c>
      <c r="AB103" s="167">
        <f>IFERROR(_xlfn.XLOOKUP($A103,Input_Raw!$A:$A,Input_Raw!$DG:$DG),"")</f>
        <v>0</v>
      </c>
      <c r="AC103" s="187">
        <f>IFERROR(_xlfn.XLOOKUP($D103,'Modelling New'!$D:$D,'Modelling New'!$J:$J),"")</f>
        <v>7.6000000000000005</v>
      </c>
      <c r="AD103" s="169">
        <f>IFERROR(_xlfn.XLOOKUP($D103,'Modelling New'!$D:$D,'Modelling New'!$T:$T)*1000,"")</f>
        <v>585797.81940673687</v>
      </c>
      <c r="AE103" s="186"/>
      <c r="AF103" s="186">
        <f>IFERROR(_xlfn.XLOOKUP($D103,'Modelling New'!$D:$D,'Modelling New'!$W:$W),"")</f>
        <v>0.31292618558052182</v>
      </c>
      <c r="AG103" s="186">
        <f>IFERROR(_xlfn.XLOOKUP($D103,'Modelling New'!$D:$D,'Modelling New'!$AE:$AE),"")</f>
        <v>0.96029999999999993</v>
      </c>
      <c r="AH103" s="186">
        <f>IFERROR(_xlfn.XLOOKUP($D103,'Modelling New'!$D:$D,'Modelling New'!$AF:$AF),"")</f>
        <v>0.995</v>
      </c>
      <c r="AI103" s="167">
        <f>IFERROR(_xlfn.XLOOKUP($A103,Input_Raw!$A:$A,Input_Raw!$DE:$DE),"")</f>
        <v>0</v>
      </c>
      <c r="AJ103" s="167"/>
      <c r="AK103" s="167"/>
      <c r="AL103" s="167"/>
      <c r="AM103" s="167"/>
      <c r="AN103" s="188" t="str">
        <f>IFERROR(_xlfn.XLOOKUP($A103,Input_Raw!$A:$A,Input_Raw!$DB:$DB),"")</f>
        <v/>
      </c>
      <c r="AO103" s="186" t="str">
        <f>IFERROR((_xlfn.XLOOKUP($A103,'WTG Reactive Power'!$A:$A,'WTG Reactive Power'!$AR:$AR))/X103/1000,"")</f>
        <v/>
      </c>
      <c r="AP103" s="186">
        <f>IFERROR(_xlfn.XLOOKUP($D103,'Modelling New'!$D:$D,'Modelling New'!$AK:$AK),"")</f>
        <v>0.05</v>
      </c>
      <c r="AQ103" s="186">
        <f>IFERROR(_xlfn.XLOOKUP($D103,'Modelling New'!$D:$D,'Modelling New'!$AL:$AL),"")</f>
        <v>0.05</v>
      </c>
      <c r="AR103">
        <f>IFERROR(_xlfn.XLOOKUP($D103,'Modelling New'!$D:$D,'Modelling New'!$N:$N),"")</f>
        <v>78</v>
      </c>
    </row>
    <row r="104" spans="1:44">
      <c r="A104" s="180">
        <f t="shared" si="11"/>
        <v>45847</v>
      </c>
      <c r="B104" s="169">
        <f>YEAR(Table13[[#This Row],[Date]])+IF(MONTH(Table13[[#This Row],[Date]])&gt;=4,1,0)</f>
        <v>2026</v>
      </c>
      <c r="C104" s="167">
        <f>YEAR(Table13[[#This Row],[Date]])</f>
        <v>2025</v>
      </c>
      <c r="D104" s="181">
        <f>Table13[[#This Row],[Date]]-DAY(Table13[[#This Row],[Date]])+1</f>
        <v>45839</v>
      </c>
      <c r="E104" s="167">
        <f t="shared" si="8"/>
        <v>31</v>
      </c>
      <c r="F104" s="170"/>
      <c r="G104" s="171"/>
      <c r="H104" s="171"/>
      <c r="I104" s="171"/>
      <c r="J104" s="171"/>
      <c r="K104" s="182"/>
      <c r="L104" s="171"/>
      <c r="M104" s="171" t="str">
        <f>IFERROR(_xlfn.XLOOKUP($A104,Input_Raw!$A:$A,Input_Raw!CG:CG),"")</f>
        <v/>
      </c>
      <c r="N104" s="171">
        <f>IFERROR(_xlfn.XLOOKUP($A104,Input_Raw!$A:$A,Input_Raw!CH:CH),"")</f>
        <v>0</v>
      </c>
      <c r="O104" s="183" t="str">
        <f t="shared" si="10"/>
        <v/>
      </c>
      <c r="P104" s="183" t="str">
        <f>IFERROR(1-SUMIF(WTG_BD!$B:$B,$A104,WTG_BD!$AB:$AB)/($AA104+SUMIF(WTG_BD!$B:$B,$A104,WTG_BD!$AB:$AB)),"")</f>
        <v/>
      </c>
      <c r="Q104" s="184" t="str">
        <f>IFERROR(1-SUMIF(IGA_BD!$B:$B,$A104,IGA_BD!$X:$X)/($AA104+SUMIF(IGA_BD!$B:$B,$A104,IGA_BD!$X:$X)),"")</f>
        <v/>
      </c>
      <c r="R104" s="189" t="str">
        <f>IFERROR(1-SUMIF(Grid_BD!$B:$B,$A104,Grid_BD!$V:$V)/($AA104+SUMIF(Grid_BD!$B:$B,$A104,Grid_BD!$V:$V)),"")</f>
        <v/>
      </c>
      <c r="S104" s="167"/>
      <c r="T104" s="184"/>
      <c r="U104" s="185"/>
      <c r="V104" s="167"/>
      <c r="W104" s="186">
        <f>IFERROR(Table13[[#This Row],[Mtr_Net_Exp (KWh)]]/(24*AR104*1000),"")</f>
        <v>0</v>
      </c>
      <c r="X104" s="167">
        <f>IFERROR(_xlfn.XLOOKUP($A104,Input_Raw!$A:$A,Input_Raw!$CF:$CF),"")</f>
        <v>0</v>
      </c>
      <c r="Y104" s="167">
        <f>IFERROR(_xlfn.XLOOKUP($A104,Input_Raw!$A:$A,Input_Raw!$CZ:$CZ),"")</f>
        <v>0</v>
      </c>
      <c r="Z104" s="167">
        <f>IFERROR(_xlfn.XLOOKUP($A104,Input_Raw!$A:$A,Input_Raw!$DA:$DA),"")</f>
        <v>0</v>
      </c>
      <c r="AA104" s="169">
        <f t="shared" si="9"/>
        <v>0</v>
      </c>
      <c r="AB104" s="167">
        <f>IFERROR(_xlfn.XLOOKUP($A104,Input_Raw!$A:$A,Input_Raw!$DG:$DG),"")</f>
        <v>0</v>
      </c>
      <c r="AC104" s="187">
        <f>IFERROR(_xlfn.XLOOKUP($D104,'Modelling New'!$D:$D,'Modelling New'!$J:$J),"")</f>
        <v>7.6000000000000005</v>
      </c>
      <c r="AD104" s="169">
        <f>IFERROR(_xlfn.XLOOKUP($D104,'Modelling New'!$D:$D,'Modelling New'!$T:$T)*1000,"")</f>
        <v>585797.81940673687</v>
      </c>
      <c r="AE104" s="186"/>
      <c r="AF104" s="186">
        <f>IFERROR(_xlfn.XLOOKUP($D104,'Modelling New'!$D:$D,'Modelling New'!$W:$W),"")</f>
        <v>0.31292618558052182</v>
      </c>
      <c r="AG104" s="186">
        <f>IFERROR(_xlfn.XLOOKUP($D104,'Modelling New'!$D:$D,'Modelling New'!$AE:$AE),"")</f>
        <v>0.96029999999999993</v>
      </c>
      <c r="AH104" s="186">
        <f>IFERROR(_xlfn.XLOOKUP($D104,'Modelling New'!$D:$D,'Modelling New'!$AF:$AF),"")</f>
        <v>0.995</v>
      </c>
      <c r="AI104" s="167">
        <f>IFERROR(_xlfn.XLOOKUP($A104,Input_Raw!$A:$A,Input_Raw!$DE:$DE),"")</f>
        <v>0</v>
      </c>
      <c r="AJ104" s="167"/>
      <c r="AK104" s="167"/>
      <c r="AL104" s="167"/>
      <c r="AM104" s="167"/>
      <c r="AN104" s="188" t="str">
        <f>IFERROR(_xlfn.XLOOKUP($A104,Input_Raw!$A:$A,Input_Raw!$DB:$DB),"")</f>
        <v/>
      </c>
      <c r="AO104" s="186" t="str">
        <f>IFERROR((_xlfn.XLOOKUP($A104,'WTG Reactive Power'!$A:$A,'WTG Reactive Power'!$AR:$AR))/X104/1000,"")</f>
        <v/>
      </c>
      <c r="AP104" s="186">
        <f>IFERROR(_xlfn.XLOOKUP($D104,'Modelling New'!$D:$D,'Modelling New'!$AK:$AK),"")</f>
        <v>0.05</v>
      </c>
      <c r="AQ104" s="186">
        <f>IFERROR(_xlfn.XLOOKUP($D104,'Modelling New'!$D:$D,'Modelling New'!$AL:$AL),"")</f>
        <v>0.05</v>
      </c>
      <c r="AR104">
        <f>IFERROR(_xlfn.XLOOKUP($D104,'Modelling New'!$D:$D,'Modelling New'!$N:$N),"")</f>
        <v>78</v>
      </c>
    </row>
    <row r="105" spans="1:44">
      <c r="A105" s="180">
        <f t="shared" si="11"/>
        <v>45848</v>
      </c>
      <c r="B105" s="169">
        <f>YEAR(Table13[[#This Row],[Date]])+IF(MONTH(Table13[[#This Row],[Date]])&gt;=4,1,0)</f>
        <v>2026</v>
      </c>
      <c r="C105" s="167">
        <f>YEAR(Table13[[#This Row],[Date]])</f>
        <v>2025</v>
      </c>
      <c r="D105" s="181">
        <f>Table13[[#This Row],[Date]]-DAY(Table13[[#This Row],[Date]])+1</f>
        <v>45839</v>
      </c>
      <c r="E105" s="167">
        <f t="shared" si="8"/>
        <v>31</v>
      </c>
      <c r="F105" s="170"/>
      <c r="G105" s="171"/>
      <c r="H105" s="171"/>
      <c r="I105" s="171"/>
      <c r="J105" s="171"/>
      <c r="K105" s="182"/>
      <c r="L105" s="171"/>
      <c r="M105" s="171" t="str">
        <f>IFERROR(_xlfn.XLOOKUP($A105,Input_Raw!$A:$A,Input_Raw!CG:CG),"")</f>
        <v/>
      </c>
      <c r="N105" s="171">
        <f>IFERROR(_xlfn.XLOOKUP($A105,Input_Raw!$A:$A,Input_Raw!CH:CH),"")</f>
        <v>0</v>
      </c>
      <c r="O105" s="183" t="str">
        <f t="shared" si="10"/>
        <v/>
      </c>
      <c r="P105" s="183" t="str">
        <f>IFERROR(1-SUMIF(WTG_BD!$B:$B,$A105,WTG_BD!$AB:$AB)/($AA105+SUMIF(WTG_BD!$B:$B,$A105,WTG_BD!$AB:$AB)),"")</f>
        <v/>
      </c>
      <c r="Q105" s="184" t="str">
        <f>IFERROR(1-SUMIF(IGA_BD!$B:$B,$A105,IGA_BD!$X:$X)/($AA105+SUMIF(IGA_BD!$B:$B,$A105,IGA_BD!$X:$X)),"")</f>
        <v/>
      </c>
      <c r="R105" s="189" t="str">
        <f>IFERROR(1-SUMIF(Grid_BD!$B:$B,$A105,Grid_BD!$V:$V)/($AA105+SUMIF(Grid_BD!$B:$B,$A105,Grid_BD!$V:$V)),"")</f>
        <v/>
      </c>
      <c r="S105" s="167"/>
      <c r="T105" s="184"/>
      <c r="U105" s="185"/>
      <c r="V105" s="167"/>
      <c r="W105" s="186">
        <f>IFERROR(Table13[[#This Row],[Mtr_Net_Exp (KWh)]]/(24*AR105*1000),"")</f>
        <v>0</v>
      </c>
      <c r="X105" s="167">
        <f>IFERROR(_xlfn.XLOOKUP($A105,Input_Raw!$A:$A,Input_Raw!$CF:$CF),"")</f>
        <v>0</v>
      </c>
      <c r="Y105" s="167">
        <f>IFERROR(_xlfn.XLOOKUP($A105,Input_Raw!$A:$A,Input_Raw!$CZ:$CZ),"")</f>
        <v>0</v>
      </c>
      <c r="Z105" s="167">
        <f>IFERROR(_xlfn.XLOOKUP($A105,Input_Raw!$A:$A,Input_Raw!$DA:$DA),"")</f>
        <v>0</v>
      </c>
      <c r="AA105" s="169">
        <f t="shared" si="9"/>
        <v>0</v>
      </c>
      <c r="AB105" s="167">
        <f>IFERROR(_xlfn.XLOOKUP($A105,Input_Raw!$A:$A,Input_Raw!$DG:$DG),"")</f>
        <v>0</v>
      </c>
      <c r="AC105" s="187">
        <f>IFERROR(_xlfn.XLOOKUP($D105,'Modelling New'!$D:$D,'Modelling New'!$J:$J),"")</f>
        <v>7.6000000000000005</v>
      </c>
      <c r="AD105" s="169">
        <f>IFERROR(_xlfn.XLOOKUP($D105,'Modelling New'!$D:$D,'Modelling New'!$T:$T)*1000,"")</f>
        <v>585797.81940673687</v>
      </c>
      <c r="AE105" s="186"/>
      <c r="AF105" s="186">
        <f>IFERROR(_xlfn.XLOOKUP($D105,'Modelling New'!$D:$D,'Modelling New'!$W:$W),"")</f>
        <v>0.31292618558052182</v>
      </c>
      <c r="AG105" s="186">
        <f>IFERROR(_xlfn.XLOOKUP($D105,'Modelling New'!$D:$D,'Modelling New'!$AE:$AE),"")</f>
        <v>0.96029999999999993</v>
      </c>
      <c r="AH105" s="186">
        <f>IFERROR(_xlfn.XLOOKUP($D105,'Modelling New'!$D:$D,'Modelling New'!$AF:$AF),"")</f>
        <v>0.995</v>
      </c>
      <c r="AI105" s="167">
        <f>IFERROR(_xlfn.XLOOKUP($A105,Input_Raw!$A:$A,Input_Raw!$DE:$DE),"")</f>
        <v>0</v>
      </c>
      <c r="AJ105" s="167"/>
      <c r="AK105" s="167"/>
      <c r="AL105" s="167"/>
      <c r="AM105" s="167"/>
      <c r="AN105" s="188" t="str">
        <f>IFERROR(_xlfn.XLOOKUP($A105,Input_Raw!$A:$A,Input_Raw!$DB:$DB),"")</f>
        <v/>
      </c>
      <c r="AO105" s="186" t="str">
        <f>IFERROR((_xlfn.XLOOKUP($A105,'WTG Reactive Power'!$A:$A,'WTG Reactive Power'!$AR:$AR))/X105/1000,"")</f>
        <v/>
      </c>
      <c r="AP105" s="186">
        <f>IFERROR(_xlfn.XLOOKUP($D105,'Modelling New'!$D:$D,'Modelling New'!$AK:$AK),"")</f>
        <v>0.05</v>
      </c>
      <c r="AQ105" s="186">
        <f>IFERROR(_xlfn.XLOOKUP($D105,'Modelling New'!$D:$D,'Modelling New'!$AL:$AL),"")</f>
        <v>0.05</v>
      </c>
      <c r="AR105">
        <f>IFERROR(_xlfn.XLOOKUP($D105,'Modelling New'!$D:$D,'Modelling New'!$N:$N),"")</f>
        <v>78</v>
      </c>
    </row>
    <row r="106" spans="1:44">
      <c r="A106" s="180">
        <f t="shared" si="11"/>
        <v>45849</v>
      </c>
      <c r="B106" s="169">
        <f>YEAR(Table13[[#This Row],[Date]])+IF(MONTH(Table13[[#This Row],[Date]])&gt;=4,1,0)</f>
        <v>2026</v>
      </c>
      <c r="C106" s="167">
        <f>YEAR(Table13[[#This Row],[Date]])</f>
        <v>2025</v>
      </c>
      <c r="D106" s="181">
        <f>Table13[[#This Row],[Date]]-DAY(Table13[[#This Row],[Date]])+1</f>
        <v>45839</v>
      </c>
      <c r="E106" s="167">
        <f t="shared" si="8"/>
        <v>31</v>
      </c>
      <c r="F106" s="170"/>
      <c r="G106" s="171"/>
      <c r="H106" s="171"/>
      <c r="I106" s="171"/>
      <c r="J106" s="171"/>
      <c r="K106" s="182"/>
      <c r="L106" s="171"/>
      <c r="M106" s="171" t="str">
        <f>IFERROR(_xlfn.XLOOKUP($A106,Input_Raw!$A:$A,Input_Raw!CG:CG),"")</f>
        <v/>
      </c>
      <c r="N106" s="171">
        <f>IFERROR(_xlfn.XLOOKUP($A106,Input_Raw!$A:$A,Input_Raw!CH:CH),"")</f>
        <v>0</v>
      </c>
      <c r="O106" s="183" t="str">
        <f t="shared" si="10"/>
        <v/>
      </c>
      <c r="P106" s="183" t="str">
        <f>IFERROR(1-SUMIF(WTG_BD!$B:$B,$A106,WTG_BD!$AB:$AB)/($AA106+SUMIF(WTG_BD!$B:$B,$A106,WTG_BD!$AB:$AB)),"")</f>
        <v/>
      </c>
      <c r="Q106" s="184" t="str">
        <f>IFERROR(1-SUMIF(IGA_BD!$B:$B,$A106,IGA_BD!$X:$X)/($AA106+SUMIF(IGA_BD!$B:$B,$A106,IGA_BD!$X:$X)),"")</f>
        <v/>
      </c>
      <c r="R106" s="189" t="str">
        <f>IFERROR(1-SUMIF(Grid_BD!$B:$B,$A106,Grid_BD!$V:$V)/($AA106+SUMIF(Grid_BD!$B:$B,$A106,Grid_BD!$V:$V)),"")</f>
        <v/>
      </c>
      <c r="S106" s="167"/>
      <c r="T106" s="184"/>
      <c r="U106" s="185"/>
      <c r="V106" s="167"/>
      <c r="W106" s="186">
        <f>IFERROR(Table13[[#This Row],[Mtr_Net_Exp (KWh)]]/(24*AR106*1000),"")</f>
        <v>0</v>
      </c>
      <c r="X106" s="167">
        <f>IFERROR(_xlfn.XLOOKUP($A106,Input_Raw!$A:$A,Input_Raw!$CF:$CF),"")</f>
        <v>0</v>
      </c>
      <c r="Y106" s="167">
        <f>IFERROR(_xlfn.XLOOKUP($A106,Input_Raw!$A:$A,Input_Raw!$CZ:$CZ),"")</f>
        <v>0</v>
      </c>
      <c r="Z106" s="167">
        <f>IFERROR(_xlfn.XLOOKUP($A106,Input_Raw!$A:$A,Input_Raw!$DA:$DA),"")</f>
        <v>0</v>
      </c>
      <c r="AA106" s="169">
        <f t="shared" si="9"/>
        <v>0</v>
      </c>
      <c r="AB106" s="167">
        <f>IFERROR(_xlfn.XLOOKUP($A106,Input_Raw!$A:$A,Input_Raw!$DG:$DG),"")</f>
        <v>0</v>
      </c>
      <c r="AC106" s="187">
        <f>IFERROR(_xlfn.XLOOKUP($D106,'Modelling New'!$D:$D,'Modelling New'!$J:$J),"")</f>
        <v>7.6000000000000005</v>
      </c>
      <c r="AD106" s="169">
        <f>IFERROR(_xlfn.XLOOKUP($D106,'Modelling New'!$D:$D,'Modelling New'!$T:$T)*1000,"")</f>
        <v>585797.81940673687</v>
      </c>
      <c r="AE106" s="186"/>
      <c r="AF106" s="186">
        <f>IFERROR(_xlfn.XLOOKUP($D106,'Modelling New'!$D:$D,'Modelling New'!$W:$W),"")</f>
        <v>0.31292618558052182</v>
      </c>
      <c r="AG106" s="186">
        <f>IFERROR(_xlfn.XLOOKUP($D106,'Modelling New'!$D:$D,'Modelling New'!$AE:$AE),"")</f>
        <v>0.96029999999999993</v>
      </c>
      <c r="AH106" s="186">
        <f>IFERROR(_xlfn.XLOOKUP($D106,'Modelling New'!$D:$D,'Modelling New'!$AF:$AF),"")</f>
        <v>0.995</v>
      </c>
      <c r="AI106" s="167">
        <f>IFERROR(_xlfn.XLOOKUP($A106,Input_Raw!$A:$A,Input_Raw!$DE:$DE),"")</f>
        <v>0</v>
      </c>
      <c r="AJ106" s="167"/>
      <c r="AK106" s="167"/>
      <c r="AL106" s="167"/>
      <c r="AM106" s="167"/>
      <c r="AN106" s="188" t="str">
        <f>IFERROR(_xlfn.XLOOKUP($A106,Input_Raw!$A:$A,Input_Raw!$DB:$DB),"")</f>
        <v/>
      </c>
      <c r="AO106" s="186" t="str">
        <f>IFERROR((_xlfn.XLOOKUP($A106,'WTG Reactive Power'!$A:$A,'WTG Reactive Power'!$AR:$AR))/X106/1000,"")</f>
        <v/>
      </c>
      <c r="AP106" s="186">
        <f>IFERROR(_xlfn.XLOOKUP($D106,'Modelling New'!$D:$D,'Modelling New'!$AK:$AK),"")</f>
        <v>0.05</v>
      </c>
      <c r="AQ106" s="186">
        <f>IFERROR(_xlfn.XLOOKUP($D106,'Modelling New'!$D:$D,'Modelling New'!$AL:$AL),"")</f>
        <v>0.05</v>
      </c>
      <c r="AR106">
        <f>IFERROR(_xlfn.XLOOKUP($D106,'Modelling New'!$D:$D,'Modelling New'!$N:$N),"")</f>
        <v>78</v>
      </c>
    </row>
    <row r="107" spans="1:44">
      <c r="A107" s="180">
        <f t="shared" si="11"/>
        <v>45850</v>
      </c>
      <c r="B107" s="169">
        <f>YEAR(Table13[[#This Row],[Date]])+IF(MONTH(Table13[[#This Row],[Date]])&gt;=4,1,0)</f>
        <v>2026</v>
      </c>
      <c r="C107" s="167">
        <f>YEAR(Table13[[#This Row],[Date]])</f>
        <v>2025</v>
      </c>
      <c r="D107" s="181">
        <f>Table13[[#This Row],[Date]]-DAY(Table13[[#This Row],[Date]])+1</f>
        <v>45839</v>
      </c>
      <c r="E107" s="167">
        <f t="shared" si="8"/>
        <v>31</v>
      </c>
      <c r="F107" s="170"/>
      <c r="G107" s="171"/>
      <c r="H107" s="171"/>
      <c r="I107" s="171"/>
      <c r="J107" s="171"/>
      <c r="K107" s="182"/>
      <c r="L107" s="171"/>
      <c r="M107" s="171" t="str">
        <f>IFERROR(_xlfn.XLOOKUP($A107,Input_Raw!$A:$A,Input_Raw!CG:CG),"")</f>
        <v/>
      </c>
      <c r="N107" s="171">
        <f>IFERROR(_xlfn.XLOOKUP($A107,Input_Raw!$A:$A,Input_Raw!CH:CH),"")</f>
        <v>0</v>
      </c>
      <c r="O107" s="183" t="str">
        <f t="shared" si="10"/>
        <v/>
      </c>
      <c r="P107" s="183" t="str">
        <f>IFERROR(1-SUMIF(WTG_BD!$B:$B,$A107,WTG_BD!$AB:$AB)/($AA107+SUMIF(WTG_BD!$B:$B,$A107,WTG_BD!$AB:$AB)),"")</f>
        <v/>
      </c>
      <c r="Q107" s="184" t="str">
        <f>IFERROR(1-SUMIF(IGA_BD!$B:$B,$A107,IGA_BD!$X:$X)/($AA107+SUMIF(IGA_BD!$B:$B,$A107,IGA_BD!$X:$X)),"")</f>
        <v/>
      </c>
      <c r="R107" s="189" t="str">
        <f>IFERROR(1-SUMIF(Grid_BD!$B:$B,$A107,Grid_BD!$V:$V)/($AA107+SUMIF(Grid_BD!$B:$B,$A107,Grid_BD!$V:$V)),"")</f>
        <v/>
      </c>
      <c r="S107" s="167"/>
      <c r="T107" s="184"/>
      <c r="U107" s="185"/>
      <c r="V107" s="167"/>
      <c r="W107" s="186">
        <f>IFERROR(Table13[[#This Row],[Mtr_Net_Exp (KWh)]]/(24*AR107*1000),"")</f>
        <v>0</v>
      </c>
      <c r="X107" s="167">
        <f>IFERROR(_xlfn.XLOOKUP($A107,Input_Raw!$A:$A,Input_Raw!$CF:$CF),"")</f>
        <v>0</v>
      </c>
      <c r="Y107" s="167">
        <f>IFERROR(_xlfn.XLOOKUP($A107,Input_Raw!$A:$A,Input_Raw!$CZ:$CZ),"")</f>
        <v>0</v>
      </c>
      <c r="Z107" s="167">
        <f>IFERROR(_xlfn.XLOOKUP($A107,Input_Raw!$A:$A,Input_Raw!$DA:$DA),"")</f>
        <v>0</v>
      </c>
      <c r="AA107" s="169">
        <f t="shared" si="9"/>
        <v>0</v>
      </c>
      <c r="AB107" s="167">
        <f>IFERROR(_xlfn.XLOOKUP($A107,Input_Raw!$A:$A,Input_Raw!$DG:$DG),"")</f>
        <v>0</v>
      </c>
      <c r="AC107" s="187">
        <f>IFERROR(_xlfn.XLOOKUP($D107,'Modelling New'!$D:$D,'Modelling New'!$J:$J),"")</f>
        <v>7.6000000000000005</v>
      </c>
      <c r="AD107" s="169">
        <f>IFERROR(_xlfn.XLOOKUP($D107,'Modelling New'!$D:$D,'Modelling New'!$T:$T)*1000,"")</f>
        <v>585797.81940673687</v>
      </c>
      <c r="AE107" s="186"/>
      <c r="AF107" s="186">
        <f>IFERROR(_xlfn.XLOOKUP($D107,'Modelling New'!$D:$D,'Modelling New'!$W:$W),"")</f>
        <v>0.31292618558052182</v>
      </c>
      <c r="AG107" s="186">
        <f>IFERROR(_xlfn.XLOOKUP($D107,'Modelling New'!$D:$D,'Modelling New'!$AE:$AE),"")</f>
        <v>0.96029999999999993</v>
      </c>
      <c r="AH107" s="186">
        <f>IFERROR(_xlfn.XLOOKUP($D107,'Modelling New'!$D:$D,'Modelling New'!$AF:$AF),"")</f>
        <v>0.995</v>
      </c>
      <c r="AI107" s="167">
        <f>IFERROR(_xlfn.XLOOKUP($A107,Input_Raw!$A:$A,Input_Raw!$DE:$DE),"")</f>
        <v>0</v>
      </c>
      <c r="AJ107" s="167"/>
      <c r="AK107" s="167"/>
      <c r="AL107" s="167"/>
      <c r="AM107" s="167"/>
      <c r="AN107" s="188" t="str">
        <f>IFERROR(_xlfn.XLOOKUP($A107,Input_Raw!$A:$A,Input_Raw!$DB:$DB),"")</f>
        <v/>
      </c>
      <c r="AO107" s="186" t="str">
        <f>IFERROR((_xlfn.XLOOKUP($A107,'WTG Reactive Power'!$A:$A,'WTG Reactive Power'!$AR:$AR))/X107/1000,"")</f>
        <v/>
      </c>
      <c r="AP107" s="186">
        <f>IFERROR(_xlfn.XLOOKUP($D107,'Modelling New'!$D:$D,'Modelling New'!$AK:$AK),"")</f>
        <v>0.05</v>
      </c>
      <c r="AQ107" s="186">
        <f>IFERROR(_xlfn.XLOOKUP($D107,'Modelling New'!$D:$D,'Modelling New'!$AL:$AL),"")</f>
        <v>0.05</v>
      </c>
      <c r="AR107">
        <f>IFERROR(_xlfn.XLOOKUP($D107,'Modelling New'!$D:$D,'Modelling New'!$N:$N),"")</f>
        <v>78</v>
      </c>
    </row>
    <row r="108" spans="1:44">
      <c r="A108" s="180">
        <f t="shared" si="11"/>
        <v>45851</v>
      </c>
      <c r="B108" s="169">
        <f>YEAR(Table13[[#This Row],[Date]])+IF(MONTH(Table13[[#This Row],[Date]])&gt;=4,1,0)</f>
        <v>2026</v>
      </c>
      <c r="C108" s="167">
        <f>YEAR(Table13[[#This Row],[Date]])</f>
        <v>2025</v>
      </c>
      <c r="D108" s="181">
        <f>Table13[[#This Row],[Date]]-DAY(Table13[[#This Row],[Date]])+1</f>
        <v>45839</v>
      </c>
      <c r="E108" s="167">
        <f t="shared" si="8"/>
        <v>31</v>
      </c>
      <c r="F108" s="170"/>
      <c r="G108" s="171"/>
      <c r="H108" s="171"/>
      <c r="I108" s="171"/>
      <c r="J108" s="171"/>
      <c r="K108" s="182"/>
      <c r="L108" s="171"/>
      <c r="M108" s="171" t="str">
        <f>IFERROR(_xlfn.XLOOKUP($A108,Input_Raw!$A:$A,Input_Raw!CG:CG),"")</f>
        <v/>
      </c>
      <c r="N108" s="171">
        <f>IFERROR(_xlfn.XLOOKUP($A108,Input_Raw!$A:$A,Input_Raw!CH:CH),"")</f>
        <v>0</v>
      </c>
      <c r="O108" s="183" t="str">
        <f t="shared" si="10"/>
        <v/>
      </c>
      <c r="P108" s="183" t="str">
        <f>IFERROR(1-SUMIF(WTG_BD!$B:$B,$A108,WTG_BD!$AB:$AB)/($AA108+SUMIF(WTG_BD!$B:$B,$A108,WTG_BD!$AB:$AB)),"")</f>
        <v/>
      </c>
      <c r="Q108" s="184" t="str">
        <f>IFERROR(1-SUMIF(IGA_BD!$B:$B,$A108,IGA_BD!$X:$X)/($AA108+SUMIF(IGA_BD!$B:$B,$A108,IGA_BD!$X:$X)),"")</f>
        <v/>
      </c>
      <c r="R108" s="189" t="str">
        <f>IFERROR(1-SUMIF(Grid_BD!$B:$B,$A108,Grid_BD!$V:$V)/($AA108+SUMIF(Grid_BD!$B:$B,$A108,Grid_BD!$V:$V)),"")</f>
        <v/>
      </c>
      <c r="S108" s="167"/>
      <c r="T108" s="184"/>
      <c r="U108" s="185"/>
      <c r="V108" s="167"/>
      <c r="W108" s="186">
        <f>IFERROR(Table13[[#This Row],[Mtr_Net_Exp (KWh)]]/(24*AR108*1000),"")</f>
        <v>0</v>
      </c>
      <c r="X108" s="167">
        <f>IFERROR(_xlfn.XLOOKUP($A108,Input_Raw!$A:$A,Input_Raw!$CF:$CF),"")</f>
        <v>0</v>
      </c>
      <c r="Y108" s="167">
        <f>IFERROR(_xlfn.XLOOKUP($A108,Input_Raw!$A:$A,Input_Raw!$CZ:$CZ),"")</f>
        <v>0</v>
      </c>
      <c r="Z108" s="167">
        <f>IFERROR(_xlfn.XLOOKUP($A108,Input_Raw!$A:$A,Input_Raw!$DA:$DA),"")</f>
        <v>0</v>
      </c>
      <c r="AA108" s="169">
        <f t="shared" si="9"/>
        <v>0</v>
      </c>
      <c r="AB108" s="167">
        <f>IFERROR(_xlfn.XLOOKUP($A108,Input_Raw!$A:$A,Input_Raw!$DG:$DG),"")</f>
        <v>0</v>
      </c>
      <c r="AC108" s="187">
        <f>IFERROR(_xlfn.XLOOKUP($D108,'Modelling New'!$D:$D,'Modelling New'!$J:$J),"")</f>
        <v>7.6000000000000005</v>
      </c>
      <c r="AD108" s="169">
        <f>IFERROR(_xlfn.XLOOKUP($D108,'Modelling New'!$D:$D,'Modelling New'!$T:$T)*1000,"")</f>
        <v>585797.81940673687</v>
      </c>
      <c r="AE108" s="186"/>
      <c r="AF108" s="186">
        <f>IFERROR(_xlfn.XLOOKUP($D108,'Modelling New'!$D:$D,'Modelling New'!$W:$W),"")</f>
        <v>0.31292618558052182</v>
      </c>
      <c r="AG108" s="186">
        <f>IFERROR(_xlfn.XLOOKUP($D108,'Modelling New'!$D:$D,'Modelling New'!$AE:$AE),"")</f>
        <v>0.96029999999999993</v>
      </c>
      <c r="AH108" s="186">
        <f>IFERROR(_xlfn.XLOOKUP($D108,'Modelling New'!$D:$D,'Modelling New'!$AF:$AF),"")</f>
        <v>0.995</v>
      </c>
      <c r="AI108" s="167">
        <f>IFERROR(_xlfn.XLOOKUP($A108,Input_Raw!$A:$A,Input_Raw!$DE:$DE),"")</f>
        <v>0</v>
      </c>
      <c r="AJ108" s="167"/>
      <c r="AK108" s="167"/>
      <c r="AL108" s="167"/>
      <c r="AM108" s="167"/>
      <c r="AN108" s="188" t="str">
        <f>IFERROR(_xlfn.XLOOKUP($A108,Input_Raw!$A:$A,Input_Raw!$DB:$DB),"")</f>
        <v/>
      </c>
      <c r="AO108" s="186" t="str">
        <f>IFERROR((_xlfn.XLOOKUP($A108,'WTG Reactive Power'!$A:$A,'WTG Reactive Power'!$AR:$AR))/X108/1000,"")</f>
        <v/>
      </c>
      <c r="AP108" s="186">
        <f>IFERROR(_xlfn.XLOOKUP($D108,'Modelling New'!$D:$D,'Modelling New'!$AK:$AK),"")</f>
        <v>0.05</v>
      </c>
      <c r="AQ108" s="186">
        <f>IFERROR(_xlfn.XLOOKUP($D108,'Modelling New'!$D:$D,'Modelling New'!$AL:$AL),"")</f>
        <v>0.05</v>
      </c>
      <c r="AR108">
        <f>IFERROR(_xlfn.XLOOKUP($D108,'Modelling New'!$D:$D,'Modelling New'!$N:$N),"")</f>
        <v>78</v>
      </c>
    </row>
    <row r="109" spans="1:44">
      <c r="A109" s="180">
        <f t="shared" si="11"/>
        <v>45852</v>
      </c>
      <c r="B109" s="169">
        <f>YEAR(Table13[[#This Row],[Date]])+IF(MONTH(Table13[[#This Row],[Date]])&gt;=4,1,0)</f>
        <v>2026</v>
      </c>
      <c r="C109" s="167">
        <f>YEAR(Table13[[#This Row],[Date]])</f>
        <v>2025</v>
      </c>
      <c r="D109" s="181">
        <f>Table13[[#This Row],[Date]]-DAY(Table13[[#This Row],[Date]])+1</f>
        <v>45839</v>
      </c>
      <c r="E109" s="167">
        <f t="shared" si="8"/>
        <v>31</v>
      </c>
      <c r="F109" s="170"/>
      <c r="G109" s="171"/>
      <c r="H109" s="171"/>
      <c r="I109" s="171"/>
      <c r="J109" s="171"/>
      <c r="K109" s="182"/>
      <c r="L109" s="171"/>
      <c r="M109" s="171" t="str">
        <f>IFERROR(_xlfn.XLOOKUP($A109,Input_Raw!$A:$A,Input_Raw!CG:CG),"")</f>
        <v/>
      </c>
      <c r="N109" s="171">
        <f>IFERROR(_xlfn.XLOOKUP($A109,Input_Raw!$A:$A,Input_Raw!CH:CH),"")</f>
        <v>0</v>
      </c>
      <c r="O109" s="183" t="str">
        <f t="shared" si="10"/>
        <v/>
      </c>
      <c r="P109" s="183" t="str">
        <f>IFERROR(1-SUMIF(WTG_BD!$B:$B,$A109,WTG_BD!$AB:$AB)/($AA109+SUMIF(WTG_BD!$B:$B,$A109,WTG_BD!$AB:$AB)),"")</f>
        <v/>
      </c>
      <c r="Q109" s="184" t="str">
        <f>IFERROR(1-SUMIF(IGA_BD!$B:$B,$A109,IGA_BD!$X:$X)/($AA109+SUMIF(IGA_BD!$B:$B,$A109,IGA_BD!$X:$X)),"")</f>
        <v/>
      </c>
      <c r="R109" s="189" t="str">
        <f>IFERROR(1-SUMIF(Grid_BD!$B:$B,$A109,Grid_BD!$V:$V)/($AA109+SUMIF(Grid_BD!$B:$B,$A109,Grid_BD!$V:$V)),"")</f>
        <v/>
      </c>
      <c r="S109" s="167"/>
      <c r="T109" s="184"/>
      <c r="U109" s="185"/>
      <c r="V109" s="167"/>
      <c r="W109" s="186">
        <f>IFERROR(Table13[[#This Row],[Mtr_Net_Exp (KWh)]]/(24*AR109*1000),"")</f>
        <v>0</v>
      </c>
      <c r="X109" s="167">
        <f>IFERROR(_xlfn.XLOOKUP($A109,Input_Raw!$A:$A,Input_Raw!$CF:$CF),"")</f>
        <v>0</v>
      </c>
      <c r="Y109" s="167">
        <f>IFERROR(_xlfn.XLOOKUP($A109,Input_Raw!$A:$A,Input_Raw!$CZ:$CZ),"")</f>
        <v>0</v>
      </c>
      <c r="Z109" s="167">
        <f>IFERROR(_xlfn.XLOOKUP($A109,Input_Raw!$A:$A,Input_Raw!$DA:$DA),"")</f>
        <v>0</v>
      </c>
      <c r="AA109" s="169">
        <f t="shared" si="9"/>
        <v>0</v>
      </c>
      <c r="AB109" s="167">
        <f>IFERROR(_xlfn.XLOOKUP($A109,Input_Raw!$A:$A,Input_Raw!$DG:$DG),"")</f>
        <v>0</v>
      </c>
      <c r="AC109" s="187">
        <f>IFERROR(_xlfn.XLOOKUP($D109,'Modelling New'!$D:$D,'Modelling New'!$J:$J),"")</f>
        <v>7.6000000000000005</v>
      </c>
      <c r="AD109" s="169">
        <f>IFERROR(_xlfn.XLOOKUP($D109,'Modelling New'!$D:$D,'Modelling New'!$T:$T)*1000,"")</f>
        <v>585797.81940673687</v>
      </c>
      <c r="AE109" s="186"/>
      <c r="AF109" s="186">
        <f>IFERROR(_xlfn.XLOOKUP($D109,'Modelling New'!$D:$D,'Modelling New'!$W:$W),"")</f>
        <v>0.31292618558052182</v>
      </c>
      <c r="AG109" s="186">
        <f>IFERROR(_xlfn.XLOOKUP($D109,'Modelling New'!$D:$D,'Modelling New'!$AE:$AE),"")</f>
        <v>0.96029999999999993</v>
      </c>
      <c r="AH109" s="186">
        <f>IFERROR(_xlfn.XLOOKUP($D109,'Modelling New'!$D:$D,'Modelling New'!$AF:$AF),"")</f>
        <v>0.995</v>
      </c>
      <c r="AI109" s="167">
        <f>IFERROR(_xlfn.XLOOKUP($A109,Input_Raw!$A:$A,Input_Raw!$DE:$DE),"")</f>
        <v>0</v>
      </c>
      <c r="AJ109" s="167"/>
      <c r="AK109" s="167"/>
      <c r="AL109" s="167"/>
      <c r="AM109" s="167"/>
      <c r="AN109" s="188" t="str">
        <f>IFERROR(_xlfn.XLOOKUP($A109,Input_Raw!$A:$A,Input_Raw!$DB:$DB),"")</f>
        <v/>
      </c>
      <c r="AO109" s="186" t="str">
        <f>IFERROR((_xlfn.XLOOKUP($A109,'WTG Reactive Power'!$A:$A,'WTG Reactive Power'!$AR:$AR))/X109/1000,"")</f>
        <v/>
      </c>
      <c r="AP109" s="186">
        <f>IFERROR(_xlfn.XLOOKUP($D109,'Modelling New'!$D:$D,'Modelling New'!$AK:$AK),"")</f>
        <v>0.05</v>
      </c>
      <c r="AQ109" s="186">
        <f>IFERROR(_xlfn.XLOOKUP($D109,'Modelling New'!$D:$D,'Modelling New'!$AL:$AL),"")</f>
        <v>0.05</v>
      </c>
      <c r="AR109">
        <f>IFERROR(_xlfn.XLOOKUP($D109,'Modelling New'!$D:$D,'Modelling New'!$N:$N),"")</f>
        <v>78</v>
      </c>
    </row>
    <row r="110" spans="1:44">
      <c r="A110" s="180">
        <f t="shared" si="11"/>
        <v>45853</v>
      </c>
      <c r="B110" s="169">
        <f>YEAR(Table13[[#This Row],[Date]])+IF(MONTH(Table13[[#This Row],[Date]])&gt;=4,1,0)</f>
        <v>2026</v>
      </c>
      <c r="C110" s="167">
        <f>YEAR(Table13[[#This Row],[Date]])</f>
        <v>2025</v>
      </c>
      <c r="D110" s="181">
        <f>Table13[[#This Row],[Date]]-DAY(Table13[[#This Row],[Date]])+1</f>
        <v>45839</v>
      </c>
      <c r="E110" s="167">
        <f t="shared" si="8"/>
        <v>31</v>
      </c>
      <c r="F110" s="170"/>
      <c r="G110" s="171"/>
      <c r="H110" s="171"/>
      <c r="I110" s="171"/>
      <c r="J110" s="171"/>
      <c r="K110" s="182"/>
      <c r="L110" s="171"/>
      <c r="M110" s="171" t="str">
        <f>IFERROR(_xlfn.XLOOKUP($A110,Input_Raw!$A:$A,Input_Raw!CG:CG),"")</f>
        <v/>
      </c>
      <c r="N110" s="171">
        <f>IFERROR(_xlfn.XLOOKUP($A110,Input_Raw!$A:$A,Input_Raw!CH:CH),"")</f>
        <v>0</v>
      </c>
      <c r="O110" s="183" t="str">
        <f t="shared" si="10"/>
        <v/>
      </c>
      <c r="P110" s="183" t="str">
        <f>IFERROR(1-SUMIF(WTG_BD!$B:$B,$A110,WTG_BD!$AB:$AB)/($AA110+SUMIF(WTG_BD!$B:$B,$A110,WTG_BD!$AB:$AB)),"")</f>
        <v/>
      </c>
      <c r="Q110" s="184" t="str">
        <f>IFERROR(1-SUMIF(IGA_BD!$B:$B,$A110,IGA_BD!$X:$X)/($AA110+SUMIF(IGA_BD!$B:$B,$A110,IGA_BD!$X:$X)),"")</f>
        <v/>
      </c>
      <c r="R110" s="189" t="str">
        <f>IFERROR(1-SUMIF(Grid_BD!$B:$B,$A110,Grid_BD!$V:$V)/($AA110+SUMIF(Grid_BD!$B:$B,$A110,Grid_BD!$V:$V)),"")</f>
        <v/>
      </c>
      <c r="S110" s="167"/>
      <c r="T110" s="184"/>
      <c r="U110" s="185"/>
      <c r="V110" s="167"/>
      <c r="W110" s="186">
        <f>IFERROR(Table13[[#This Row],[Mtr_Net_Exp (KWh)]]/(24*AR110*1000),"")</f>
        <v>0</v>
      </c>
      <c r="X110" s="167">
        <f>IFERROR(_xlfn.XLOOKUP($A110,Input_Raw!$A:$A,Input_Raw!$CF:$CF),"")</f>
        <v>0</v>
      </c>
      <c r="Y110" s="167">
        <f>IFERROR(_xlfn.XLOOKUP($A110,Input_Raw!$A:$A,Input_Raw!$CZ:$CZ),"")</f>
        <v>0</v>
      </c>
      <c r="Z110" s="167">
        <f>IFERROR(_xlfn.XLOOKUP($A110,Input_Raw!$A:$A,Input_Raw!$DA:$DA),"")</f>
        <v>0</v>
      </c>
      <c r="AA110" s="169">
        <f t="shared" si="9"/>
        <v>0</v>
      </c>
      <c r="AB110" s="167">
        <f>IFERROR(_xlfn.XLOOKUP($A110,Input_Raw!$A:$A,Input_Raw!$DG:$DG),"")</f>
        <v>0</v>
      </c>
      <c r="AC110" s="187">
        <f>IFERROR(_xlfn.XLOOKUP($D110,'Modelling New'!$D:$D,'Modelling New'!$J:$J),"")</f>
        <v>7.6000000000000005</v>
      </c>
      <c r="AD110" s="169">
        <f>IFERROR(_xlfn.XLOOKUP($D110,'Modelling New'!$D:$D,'Modelling New'!$T:$T)*1000,"")</f>
        <v>585797.81940673687</v>
      </c>
      <c r="AE110" s="186"/>
      <c r="AF110" s="186">
        <f>IFERROR(_xlfn.XLOOKUP($D110,'Modelling New'!$D:$D,'Modelling New'!$W:$W),"")</f>
        <v>0.31292618558052182</v>
      </c>
      <c r="AG110" s="186">
        <f>IFERROR(_xlfn.XLOOKUP($D110,'Modelling New'!$D:$D,'Modelling New'!$AE:$AE),"")</f>
        <v>0.96029999999999993</v>
      </c>
      <c r="AH110" s="186">
        <f>IFERROR(_xlfn.XLOOKUP($D110,'Modelling New'!$D:$D,'Modelling New'!$AF:$AF),"")</f>
        <v>0.995</v>
      </c>
      <c r="AI110" s="167">
        <f>IFERROR(_xlfn.XLOOKUP($A110,Input_Raw!$A:$A,Input_Raw!$DE:$DE),"")</f>
        <v>0</v>
      </c>
      <c r="AJ110" s="167"/>
      <c r="AK110" s="167"/>
      <c r="AL110" s="167"/>
      <c r="AM110" s="167"/>
      <c r="AN110" s="188" t="str">
        <f>IFERROR(_xlfn.XLOOKUP($A110,Input_Raw!$A:$A,Input_Raw!$DB:$DB),"")</f>
        <v/>
      </c>
      <c r="AO110" s="186" t="str">
        <f>IFERROR((_xlfn.XLOOKUP($A110,'WTG Reactive Power'!$A:$A,'WTG Reactive Power'!$AR:$AR))/X110/1000,"")</f>
        <v/>
      </c>
      <c r="AP110" s="186">
        <f>IFERROR(_xlfn.XLOOKUP($D110,'Modelling New'!$D:$D,'Modelling New'!$AK:$AK),"")</f>
        <v>0.05</v>
      </c>
      <c r="AQ110" s="186">
        <f>IFERROR(_xlfn.XLOOKUP($D110,'Modelling New'!$D:$D,'Modelling New'!$AL:$AL),"")</f>
        <v>0.05</v>
      </c>
      <c r="AR110">
        <f>IFERROR(_xlfn.XLOOKUP($D110,'Modelling New'!$D:$D,'Modelling New'!$N:$N),"")</f>
        <v>78</v>
      </c>
    </row>
    <row r="111" spans="1:44">
      <c r="A111" s="180">
        <f t="shared" si="11"/>
        <v>45854</v>
      </c>
      <c r="B111" s="169">
        <f>YEAR(Table13[[#This Row],[Date]])+IF(MONTH(Table13[[#This Row],[Date]])&gt;=4,1,0)</f>
        <v>2026</v>
      </c>
      <c r="C111" s="167">
        <f>YEAR(Table13[[#This Row],[Date]])</f>
        <v>2025</v>
      </c>
      <c r="D111" s="181">
        <f>Table13[[#This Row],[Date]]-DAY(Table13[[#This Row],[Date]])+1</f>
        <v>45839</v>
      </c>
      <c r="E111" s="167">
        <f t="shared" si="8"/>
        <v>31</v>
      </c>
      <c r="F111" s="170"/>
      <c r="G111" s="171"/>
      <c r="H111" s="171"/>
      <c r="I111" s="171"/>
      <c r="J111" s="171"/>
      <c r="K111" s="182"/>
      <c r="L111" s="171"/>
      <c r="M111" s="171" t="str">
        <f>IFERROR(_xlfn.XLOOKUP($A111,Input_Raw!$A:$A,Input_Raw!CG:CG),"")</f>
        <v/>
      </c>
      <c r="N111" s="171">
        <f>IFERROR(_xlfn.XLOOKUP($A111,Input_Raw!$A:$A,Input_Raw!CH:CH),"")</f>
        <v>0</v>
      </c>
      <c r="O111" s="183" t="str">
        <f t="shared" si="10"/>
        <v/>
      </c>
      <c r="P111" s="183" t="str">
        <f>IFERROR(1-SUMIF(WTG_BD!$B:$B,$A111,WTG_BD!$AB:$AB)/($AA111+SUMIF(WTG_BD!$B:$B,$A111,WTG_BD!$AB:$AB)),"")</f>
        <v/>
      </c>
      <c r="Q111" s="184" t="str">
        <f>IFERROR(1-SUMIF(IGA_BD!$B:$B,$A111,IGA_BD!$X:$X)/($AA111+SUMIF(IGA_BD!$B:$B,$A111,IGA_BD!$X:$X)),"")</f>
        <v/>
      </c>
      <c r="R111" s="189" t="str">
        <f>IFERROR(1-SUMIF(Grid_BD!$B:$B,$A111,Grid_BD!$V:$V)/($AA111+SUMIF(Grid_BD!$B:$B,$A111,Grid_BD!$V:$V)),"")</f>
        <v/>
      </c>
      <c r="S111" s="167"/>
      <c r="T111" s="184"/>
      <c r="U111" s="185"/>
      <c r="V111" s="167"/>
      <c r="W111" s="186">
        <f>IFERROR(Table13[[#This Row],[Mtr_Net_Exp (KWh)]]/(24*AR111*1000),"")</f>
        <v>0</v>
      </c>
      <c r="X111" s="167">
        <f>IFERROR(_xlfn.XLOOKUP($A111,Input_Raw!$A:$A,Input_Raw!$CF:$CF),"")</f>
        <v>0</v>
      </c>
      <c r="Y111" s="167">
        <f>IFERROR(_xlfn.XLOOKUP($A111,Input_Raw!$A:$A,Input_Raw!$CZ:$CZ),"")</f>
        <v>0</v>
      </c>
      <c r="Z111" s="167">
        <f>IFERROR(_xlfn.XLOOKUP($A111,Input_Raw!$A:$A,Input_Raw!$DA:$DA),"")</f>
        <v>0</v>
      </c>
      <c r="AA111" s="169">
        <f t="shared" si="9"/>
        <v>0</v>
      </c>
      <c r="AB111" s="167">
        <f>IFERROR(_xlfn.XLOOKUP($A111,Input_Raw!$A:$A,Input_Raw!$DG:$DG),"")</f>
        <v>0</v>
      </c>
      <c r="AC111" s="187">
        <f>IFERROR(_xlfn.XLOOKUP($D111,'Modelling New'!$D:$D,'Modelling New'!$J:$J),"")</f>
        <v>7.6000000000000005</v>
      </c>
      <c r="AD111" s="169">
        <f>IFERROR(_xlfn.XLOOKUP($D111,'Modelling New'!$D:$D,'Modelling New'!$T:$T)*1000,"")</f>
        <v>585797.81940673687</v>
      </c>
      <c r="AE111" s="186"/>
      <c r="AF111" s="186">
        <f>IFERROR(_xlfn.XLOOKUP($D111,'Modelling New'!$D:$D,'Modelling New'!$W:$W),"")</f>
        <v>0.31292618558052182</v>
      </c>
      <c r="AG111" s="186">
        <f>IFERROR(_xlfn.XLOOKUP($D111,'Modelling New'!$D:$D,'Modelling New'!$AE:$AE),"")</f>
        <v>0.96029999999999993</v>
      </c>
      <c r="AH111" s="186">
        <f>IFERROR(_xlfn.XLOOKUP($D111,'Modelling New'!$D:$D,'Modelling New'!$AF:$AF),"")</f>
        <v>0.995</v>
      </c>
      <c r="AI111" s="167">
        <f>IFERROR(_xlfn.XLOOKUP($A111,Input_Raw!$A:$A,Input_Raw!$DE:$DE),"")</f>
        <v>0</v>
      </c>
      <c r="AJ111" s="167"/>
      <c r="AK111" s="167"/>
      <c r="AL111" s="167"/>
      <c r="AM111" s="167"/>
      <c r="AN111" s="188" t="str">
        <f>IFERROR(_xlfn.XLOOKUP($A111,Input_Raw!$A:$A,Input_Raw!$DB:$DB),"")</f>
        <v/>
      </c>
      <c r="AO111" s="186" t="str">
        <f>IFERROR((_xlfn.XLOOKUP($A111,'WTG Reactive Power'!$A:$A,'WTG Reactive Power'!$AR:$AR))/X111/1000,"")</f>
        <v/>
      </c>
      <c r="AP111" s="186">
        <f>IFERROR(_xlfn.XLOOKUP($D111,'Modelling New'!$D:$D,'Modelling New'!$AK:$AK),"")</f>
        <v>0.05</v>
      </c>
      <c r="AQ111" s="186">
        <f>IFERROR(_xlfn.XLOOKUP($D111,'Modelling New'!$D:$D,'Modelling New'!$AL:$AL),"")</f>
        <v>0.05</v>
      </c>
      <c r="AR111">
        <f>IFERROR(_xlfn.XLOOKUP($D111,'Modelling New'!$D:$D,'Modelling New'!$N:$N),"")</f>
        <v>78</v>
      </c>
    </row>
    <row r="112" spans="1:44">
      <c r="A112" s="180">
        <f t="shared" si="11"/>
        <v>45855</v>
      </c>
      <c r="B112" s="169">
        <f>YEAR(Table13[[#This Row],[Date]])+IF(MONTH(Table13[[#This Row],[Date]])&gt;=4,1,0)</f>
        <v>2026</v>
      </c>
      <c r="C112" s="167">
        <f>YEAR(Table13[[#This Row],[Date]])</f>
        <v>2025</v>
      </c>
      <c r="D112" s="181">
        <f>Table13[[#This Row],[Date]]-DAY(Table13[[#This Row],[Date]])+1</f>
        <v>45839</v>
      </c>
      <c r="E112" s="167">
        <f t="shared" si="8"/>
        <v>31</v>
      </c>
      <c r="F112" s="170"/>
      <c r="G112" s="171"/>
      <c r="H112" s="171"/>
      <c r="I112" s="171"/>
      <c r="J112" s="171"/>
      <c r="K112" s="182"/>
      <c r="L112" s="171"/>
      <c r="M112" s="171" t="str">
        <f>IFERROR(_xlfn.XLOOKUP($A112,Input_Raw!$A:$A,Input_Raw!CG:CG),"")</f>
        <v/>
      </c>
      <c r="N112" s="171">
        <f>IFERROR(_xlfn.XLOOKUP($A112,Input_Raw!$A:$A,Input_Raw!CH:CH),"")</f>
        <v>0</v>
      </c>
      <c r="O112" s="183" t="str">
        <f t="shared" si="10"/>
        <v/>
      </c>
      <c r="P112" s="183" t="str">
        <f>IFERROR(1-SUMIF(WTG_BD!$B:$B,$A112,WTG_BD!$AB:$AB)/($AA112+SUMIF(WTG_BD!$B:$B,$A112,WTG_BD!$AB:$AB)),"")</f>
        <v/>
      </c>
      <c r="Q112" s="184" t="str">
        <f>IFERROR(1-SUMIF(IGA_BD!$B:$B,$A112,IGA_BD!$X:$X)/($AA112+SUMIF(IGA_BD!$B:$B,$A112,IGA_BD!$X:$X)),"")</f>
        <v/>
      </c>
      <c r="R112" s="189" t="str">
        <f>IFERROR(1-SUMIF(Grid_BD!$B:$B,$A112,Grid_BD!$V:$V)/($AA112+SUMIF(Grid_BD!$B:$B,$A112,Grid_BD!$V:$V)),"")</f>
        <v/>
      </c>
      <c r="S112" s="167"/>
      <c r="T112" s="184"/>
      <c r="U112" s="185"/>
      <c r="V112" s="167"/>
      <c r="W112" s="186">
        <f>IFERROR(Table13[[#This Row],[Mtr_Net_Exp (KWh)]]/(24*AR112*1000),"")</f>
        <v>0</v>
      </c>
      <c r="X112" s="167">
        <f>IFERROR(_xlfn.XLOOKUP($A112,Input_Raw!$A:$A,Input_Raw!$CF:$CF),"")</f>
        <v>0</v>
      </c>
      <c r="Y112" s="167">
        <f>IFERROR(_xlfn.XLOOKUP($A112,Input_Raw!$A:$A,Input_Raw!$CZ:$CZ),"")</f>
        <v>0</v>
      </c>
      <c r="Z112" s="167">
        <f>IFERROR(_xlfn.XLOOKUP($A112,Input_Raw!$A:$A,Input_Raw!$DA:$DA),"")</f>
        <v>0</v>
      </c>
      <c r="AA112" s="169">
        <f t="shared" si="9"/>
        <v>0</v>
      </c>
      <c r="AB112" s="167">
        <f>IFERROR(_xlfn.XLOOKUP($A112,Input_Raw!$A:$A,Input_Raw!$DG:$DG),"")</f>
        <v>0</v>
      </c>
      <c r="AC112" s="187">
        <f>IFERROR(_xlfn.XLOOKUP($D112,'Modelling New'!$D:$D,'Modelling New'!$J:$J),"")</f>
        <v>7.6000000000000005</v>
      </c>
      <c r="AD112" s="169">
        <f>IFERROR(_xlfn.XLOOKUP($D112,'Modelling New'!$D:$D,'Modelling New'!$T:$T)*1000,"")</f>
        <v>585797.81940673687</v>
      </c>
      <c r="AE112" s="186"/>
      <c r="AF112" s="186">
        <f>IFERROR(_xlfn.XLOOKUP($D112,'Modelling New'!$D:$D,'Modelling New'!$W:$W),"")</f>
        <v>0.31292618558052182</v>
      </c>
      <c r="AG112" s="186">
        <f>IFERROR(_xlfn.XLOOKUP($D112,'Modelling New'!$D:$D,'Modelling New'!$AE:$AE),"")</f>
        <v>0.96029999999999993</v>
      </c>
      <c r="AH112" s="186">
        <f>IFERROR(_xlfn.XLOOKUP($D112,'Modelling New'!$D:$D,'Modelling New'!$AF:$AF),"")</f>
        <v>0.995</v>
      </c>
      <c r="AI112" s="167">
        <f>IFERROR(_xlfn.XLOOKUP($A112,Input_Raw!$A:$A,Input_Raw!$DE:$DE),"")</f>
        <v>0</v>
      </c>
      <c r="AJ112" s="167"/>
      <c r="AK112" s="167"/>
      <c r="AL112" s="167"/>
      <c r="AM112" s="167"/>
      <c r="AN112" s="188" t="str">
        <f>IFERROR(_xlfn.XLOOKUP($A112,Input_Raw!$A:$A,Input_Raw!$DB:$DB),"")</f>
        <v/>
      </c>
      <c r="AO112" s="186" t="str">
        <f>IFERROR((_xlfn.XLOOKUP($A112,'WTG Reactive Power'!$A:$A,'WTG Reactive Power'!$AR:$AR))/X112/1000,"")</f>
        <v/>
      </c>
      <c r="AP112" s="186">
        <f>IFERROR(_xlfn.XLOOKUP($D112,'Modelling New'!$D:$D,'Modelling New'!$AK:$AK),"")</f>
        <v>0.05</v>
      </c>
      <c r="AQ112" s="186">
        <f>IFERROR(_xlfn.XLOOKUP($D112,'Modelling New'!$D:$D,'Modelling New'!$AL:$AL),"")</f>
        <v>0.05</v>
      </c>
      <c r="AR112">
        <f>IFERROR(_xlfn.XLOOKUP($D112,'Modelling New'!$D:$D,'Modelling New'!$N:$N),"")</f>
        <v>78</v>
      </c>
    </row>
    <row r="113" spans="1:44">
      <c r="A113" s="180">
        <f t="shared" si="11"/>
        <v>45856</v>
      </c>
      <c r="B113" s="169">
        <f>YEAR(Table13[[#This Row],[Date]])+IF(MONTH(Table13[[#This Row],[Date]])&gt;=4,1,0)</f>
        <v>2026</v>
      </c>
      <c r="C113" s="167">
        <f>YEAR(Table13[[#This Row],[Date]])</f>
        <v>2025</v>
      </c>
      <c r="D113" s="181">
        <f>Table13[[#This Row],[Date]]-DAY(Table13[[#This Row],[Date]])+1</f>
        <v>45839</v>
      </c>
      <c r="E113" s="167">
        <f t="shared" si="8"/>
        <v>31</v>
      </c>
      <c r="F113" s="170"/>
      <c r="G113" s="171"/>
      <c r="H113" s="171"/>
      <c r="I113" s="171"/>
      <c r="J113" s="171"/>
      <c r="K113" s="182"/>
      <c r="L113" s="171"/>
      <c r="M113" s="171" t="str">
        <f>IFERROR(_xlfn.XLOOKUP($A113,Input_Raw!$A:$A,Input_Raw!CG:CG),"")</f>
        <v/>
      </c>
      <c r="N113" s="171">
        <f>IFERROR(_xlfn.XLOOKUP($A113,Input_Raw!$A:$A,Input_Raw!CH:CH),"")</f>
        <v>0</v>
      </c>
      <c r="O113" s="183" t="str">
        <f t="shared" si="10"/>
        <v/>
      </c>
      <c r="P113" s="183" t="str">
        <f>IFERROR(1-SUMIF(WTG_BD!$B:$B,$A113,WTG_BD!$AB:$AB)/($AA113+SUMIF(WTG_BD!$B:$B,$A113,WTG_BD!$AB:$AB)),"")</f>
        <v/>
      </c>
      <c r="Q113" s="184" t="str">
        <f>IFERROR(1-SUMIF(IGA_BD!$B:$B,$A113,IGA_BD!$X:$X)/($AA113+SUMIF(IGA_BD!$B:$B,$A113,IGA_BD!$X:$X)),"")</f>
        <v/>
      </c>
      <c r="R113" s="189" t="str">
        <f>IFERROR(1-SUMIF(Grid_BD!$B:$B,$A113,Grid_BD!$V:$V)/($AA113+SUMIF(Grid_BD!$B:$B,$A113,Grid_BD!$V:$V)),"")</f>
        <v/>
      </c>
      <c r="S113" s="167"/>
      <c r="T113" s="184"/>
      <c r="U113" s="185"/>
      <c r="V113" s="167"/>
      <c r="W113" s="186">
        <f>IFERROR(Table13[[#This Row],[Mtr_Net_Exp (KWh)]]/(24*AR113*1000),"")</f>
        <v>0</v>
      </c>
      <c r="X113" s="167">
        <f>IFERROR(_xlfn.XLOOKUP($A113,Input_Raw!$A:$A,Input_Raw!$CF:$CF),"")</f>
        <v>0</v>
      </c>
      <c r="Y113" s="167">
        <f>IFERROR(_xlfn.XLOOKUP($A113,Input_Raw!$A:$A,Input_Raw!$CZ:$CZ),"")</f>
        <v>0</v>
      </c>
      <c r="Z113" s="167">
        <f>IFERROR(_xlfn.XLOOKUP($A113,Input_Raw!$A:$A,Input_Raw!$DA:$DA),"")</f>
        <v>0</v>
      </c>
      <c r="AA113" s="169">
        <f t="shared" si="9"/>
        <v>0</v>
      </c>
      <c r="AB113" s="167">
        <f>IFERROR(_xlfn.XLOOKUP($A113,Input_Raw!$A:$A,Input_Raw!$DG:$DG),"")</f>
        <v>0</v>
      </c>
      <c r="AC113" s="187">
        <f>IFERROR(_xlfn.XLOOKUP($D113,'Modelling New'!$D:$D,'Modelling New'!$J:$J),"")</f>
        <v>7.6000000000000005</v>
      </c>
      <c r="AD113" s="169">
        <f>IFERROR(_xlfn.XLOOKUP($D113,'Modelling New'!$D:$D,'Modelling New'!$T:$T)*1000,"")</f>
        <v>585797.81940673687</v>
      </c>
      <c r="AE113" s="186"/>
      <c r="AF113" s="186">
        <f>IFERROR(_xlfn.XLOOKUP($D113,'Modelling New'!$D:$D,'Modelling New'!$W:$W),"")</f>
        <v>0.31292618558052182</v>
      </c>
      <c r="AG113" s="186">
        <f>IFERROR(_xlfn.XLOOKUP($D113,'Modelling New'!$D:$D,'Modelling New'!$AE:$AE),"")</f>
        <v>0.96029999999999993</v>
      </c>
      <c r="AH113" s="186">
        <f>IFERROR(_xlfn.XLOOKUP($D113,'Modelling New'!$D:$D,'Modelling New'!$AF:$AF),"")</f>
        <v>0.995</v>
      </c>
      <c r="AI113" s="167">
        <f>IFERROR(_xlfn.XLOOKUP($A113,Input_Raw!$A:$A,Input_Raw!$DE:$DE),"")</f>
        <v>0</v>
      </c>
      <c r="AJ113" s="167"/>
      <c r="AK113" s="167"/>
      <c r="AL113" s="167"/>
      <c r="AM113" s="167"/>
      <c r="AN113" s="188" t="str">
        <f>IFERROR(_xlfn.XLOOKUP($A113,Input_Raw!$A:$A,Input_Raw!$DB:$DB),"")</f>
        <v/>
      </c>
      <c r="AO113" s="186" t="str">
        <f>IFERROR((_xlfn.XLOOKUP($A113,'WTG Reactive Power'!$A:$A,'WTG Reactive Power'!$AR:$AR))/X113/1000,"")</f>
        <v/>
      </c>
      <c r="AP113" s="186">
        <f>IFERROR(_xlfn.XLOOKUP($D113,'Modelling New'!$D:$D,'Modelling New'!$AK:$AK),"")</f>
        <v>0.05</v>
      </c>
      <c r="AQ113" s="186">
        <f>IFERROR(_xlfn.XLOOKUP($D113,'Modelling New'!$D:$D,'Modelling New'!$AL:$AL),"")</f>
        <v>0.05</v>
      </c>
      <c r="AR113">
        <f>IFERROR(_xlfn.XLOOKUP($D113,'Modelling New'!$D:$D,'Modelling New'!$N:$N),"")</f>
        <v>78</v>
      </c>
    </row>
    <row r="114" spans="1:44">
      <c r="A114" s="180">
        <f t="shared" si="11"/>
        <v>45857</v>
      </c>
      <c r="B114" s="169">
        <f>YEAR(Table13[[#This Row],[Date]])+IF(MONTH(Table13[[#This Row],[Date]])&gt;=4,1,0)</f>
        <v>2026</v>
      </c>
      <c r="C114" s="167">
        <f>YEAR(Table13[[#This Row],[Date]])</f>
        <v>2025</v>
      </c>
      <c r="D114" s="181">
        <f>Table13[[#This Row],[Date]]-DAY(Table13[[#This Row],[Date]])+1</f>
        <v>45839</v>
      </c>
      <c r="E114" s="167">
        <f t="shared" si="8"/>
        <v>31</v>
      </c>
      <c r="F114" s="170"/>
      <c r="G114" s="171"/>
      <c r="H114" s="171"/>
      <c r="I114" s="171"/>
      <c r="J114" s="171"/>
      <c r="K114" s="182"/>
      <c r="L114" s="171"/>
      <c r="M114" s="171" t="str">
        <f>IFERROR(_xlfn.XLOOKUP($A114,Input_Raw!$A:$A,Input_Raw!CG:CG),"")</f>
        <v/>
      </c>
      <c r="N114" s="171">
        <f>IFERROR(_xlfn.XLOOKUP($A114,Input_Raw!$A:$A,Input_Raw!CH:CH),"")</f>
        <v>0</v>
      </c>
      <c r="O114" s="183" t="str">
        <f t="shared" si="10"/>
        <v/>
      </c>
      <c r="P114" s="183" t="str">
        <f>IFERROR(1-SUMIF(WTG_BD!$B:$B,$A114,WTG_BD!$AB:$AB)/($AA114+SUMIF(WTG_BD!$B:$B,$A114,WTG_BD!$AB:$AB)),"")</f>
        <v/>
      </c>
      <c r="Q114" s="184" t="str">
        <f>IFERROR(1-SUMIF(IGA_BD!$B:$B,$A114,IGA_BD!$X:$X)/($AA114+SUMIF(IGA_BD!$B:$B,$A114,IGA_BD!$X:$X)),"")</f>
        <v/>
      </c>
      <c r="R114" s="189" t="str">
        <f>IFERROR(1-SUMIF(Grid_BD!$B:$B,$A114,Grid_BD!$V:$V)/($AA114+SUMIF(Grid_BD!$B:$B,$A114,Grid_BD!$V:$V)),"")</f>
        <v/>
      </c>
      <c r="S114" s="167"/>
      <c r="T114" s="184"/>
      <c r="U114" s="185"/>
      <c r="V114" s="167"/>
      <c r="W114" s="186">
        <f>IFERROR(Table13[[#This Row],[Mtr_Net_Exp (KWh)]]/(24*AR114*1000),"")</f>
        <v>0</v>
      </c>
      <c r="X114" s="167">
        <f>IFERROR(_xlfn.XLOOKUP($A114,Input_Raw!$A:$A,Input_Raw!$CF:$CF),"")</f>
        <v>0</v>
      </c>
      <c r="Y114" s="167">
        <f>IFERROR(_xlfn.XLOOKUP($A114,Input_Raw!$A:$A,Input_Raw!$CZ:$CZ),"")</f>
        <v>0</v>
      </c>
      <c r="Z114" s="167">
        <f>IFERROR(_xlfn.XLOOKUP($A114,Input_Raw!$A:$A,Input_Raw!$DA:$DA),"")</f>
        <v>0</v>
      </c>
      <c r="AA114" s="169">
        <f t="shared" si="9"/>
        <v>0</v>
      </c>
      <c r="AB114" s="167">
        <f>IFERROR(_xlfn.XLOOKUP($A114,Input_Raw!$A:$A,Input_Raw!$DG:$DG),"")</f>
        <v>0</v>
      </c>
      <c r="AC114" s="187">
        <f>IFERROR(_xlfn.XLOOKUP($D114,'Modelling New'!$D:$D,'Modelling New'!$J:$J),"")</f>
        <v>7.6000000000000005</v>
      </c>
      <c r="AD114" s="169">
        <f>IFERROR(_xlfn.XLOOKUP($D114,'Modelling New'!$D:$D,'Modelling New'!$T:$T)*1000,"")</f>
        <v>585797.81940673687</v>
      </c>
      <c r="AE114" s="186"/>
      <c r="AF114" s="186">
        <f>IFERROR(_xlfn.XLOOKUP($D114,'Modelling New'!$D:$D,'Modelling New'!$W:$W),"")</f>
        <v>0.31292618558052182</v>
      </c>
      <c r="AG114" s="186">
        <f>IFERROR(_xlfn.XLOOKUP($D114,'Modelling New'!$D:$D,'Modelling New'!$AE:$AE),"")</f>
        <v>0.96029999999999993</v>
      </c>
      <c r="AH114" s="186">
        <f>IFERROR(_xlfn.XLOOKUP($D114,'Modelling New'!$D:$D,'Modelling New'!$AF:$AF),"")</f>
        <v>0.995</v>
      </c>
      <c r="AI114" s="167">
        <f>IFERROR(_xlfn.XLOOKUP($A114,Input_Raw!$A:$A,Input_Raw!$DE:$DE),"")</f>
        <v>0</v>
      </c>
      <c r="AJ114" s="167"/>
      <c r="AK114" s="167"/>
      <c r="AL114" s="167"/>
      <c r="AM114" s="167"/>
      <c r="AN114" s="188" t="str">
        <f>IFERROR(_xlfn.XLOOKUP($A114,Input_Raw!$A:$A,Input_Raw!$DB:$DB),"")</f>
        <v/>
      </c>
      <c r="AO114" s="186" t="str">
        <f>IFERROR((_xlfn.XLOOKUP($A114,'WTG Reactive Power'!$A:$A,'WTG Reactive Power'!$AR:$AR))/X114/1000,"")</f>
        <v/>
      </c>
      <c r="AP114" s="186">
        <f>IFERROR(_xlfn.XLOOKUP($D114,'Modelling New'!$D:$D,'Modelling New'!$AK:$AK),"")</f>
        <v>0.05</v>
      </c>
      <c r="AQ114" s="186">
        <f>IFERROR(_xlfn.XLOOKUP($D114,'Modelling New'!$D:$D,'Modelling New'!$AL:$AL),"")</f>
        <v>0.05</v>
      </c>
      <c r="AR114">
        <f>IFERROR(_xlfn.XLOOKUP($D114,'Modelling New'!$D:$D,'Modelling New'!$N:$N),"")</f>
        <v>78</v>
      </c>
    </row>
    <row r="115" spans="1:44">
      <c r="A115" s="180">
        <f t="shared" si="11"/>
        <v>45858</v>
      </c>
      <c r="B115" s="169">
        <f>YEAR(Table13[[#This Row],[Date]])+IF(MONTH(Table13[[#This Row],[Date]])&gt;=4,1,0)</f>
        <v>2026</v>
      </c>
      <c r="C115" s="167">
        <f>YEAR(Table13[[#This Row],[Date]])</f>
        <v>2025</v>
      </c>
      <c r="D115" s="181">
        <f>Table13[[#This Row],[Date]]-DAY(Table13[[#This Row],[Date]])+1</f>
        <v>45839</v>
      </c>
      <c r="E115" s="167">
        <f t="shared" si="8"/>
        <v>31</v>
      </c>
      <c r="F115" s="170"/>
      <c r="G115" s="171"/>
      <c r="H115" s="171"/>
      <c r="I115" s="171"/>
      <c r="J115" s="171"/>
      <c r="K115" s="182"/>
      <c r="L115" s="171"/>
      <c r="M115" s="171" t="str">
        <f>IFERROR(_xlfn.XLOOKUP($A115,Input_Raw!$A:$A,Input_Raw!CG:CG),"")</f>
        <v/>
      </c>
      <c r="N115" s="171">
        <f>IFERROR(_xlfn.XLOOKUP($A115,Input_Raw!$A:$A,Input_Raw!CH:CH),"")</f>
        <v>0</v>
      </c>
      <c r="O115" s="183" t="str">
        <f t="shared" si="10"/>
        <v/>
      </c>
      <c r="P115" s="183" t="str">
        <f>IFERROR(1-SUMIF(WTG_BD!$B:$B,$A115,WTG_BD!$AB:$AB)/($AA115+SUMIF(WTG_BD!$B:$B,$A115,WTG_BD!$AB:$AB)),"")</f>
        <v/>
      </c>
      <c r="Q115" s="184" t="str">
        <f>IFERROR(1-SUMIF(IGA_BD!$B:$B,$A115,IGA_BD!$X:$X)/($AA115+SUMIF(IGA_BD!$B:$B,$A115,IGA_BD!$X:$X)),"")</f>
        <v/>
      </c>
      <c r="R115" s="189" t="str">
        <f>IFERROR(1-SUMIF(Grid_BD!$B:$B,$A115,Grid_BD!$V:$V)/($AA115+SUMIF(Grid_BD!$B:$B,$A115,Grid_BD!$V:$V)),"")</f>
        <v/>
      </c>
      <c r="S115" s="167"/>
      <c r="T115" s="184"/>
      <c r="U115" s="185"/>
      <c r="V115" s="167"/>
      <c r="W115" s="186">
        <f>IFERROR(Table13[[#This Row],[Mtr_Net_Exp (KWh)]]/(24*AR115*1000),"")</f>
        <v>0</v>
      </c>
      <c r="X115" s="167">
        <f>IFERROR(_xlfn.XLOOKUP($A115,Input_Raw!$A:$A,Input_Raw!$CF:$CF),"")</f>
        <v>0</v>
      </c>
      <c r="Y115" s="167">
        <f>IFERROR(_xlfn.XLOOKUP($A115,Input_Raw!$A:$A,Input_Raw!$CZ:$CZ),"")</f>
        <v>0</v>
      </c>
      <c r="Z115" s="167">
        <f>IFERROR(_xlfn.XLOOKUP($A115,Input_Raw!$A:$A,Input_Raw!$DA:$DA),"")</f>
        <v>0</v>
      </c>
      <c r="AA115" s="169">
        <f t="shared" si="9"/>
        <v>0</v>
      </c>
      <c r="AB115" s="167">
        <f>IFERROR(_xlfn.XLOOKUP($A115,Input_Raw!$A:$A,Input_Raw!$DG:$DG),"")</f>
        <v>0</v>
      </c>
      <c r="AC115" s="187">
        <f>IFERROR(_xlfn.XLOOKUP($D115,'Modelling New'!$D:$D,'Modelling New'!$J:$J),"")</f>
        <v>7.6000000000000005</v>
      </c>
      <c r="AD115" s="169">
        <f>IFERROR(_xlfn.XLOOKUP($D115,'Modelling New'!$D:$D,'Modelling New'!$T:$T)*1000,"")</f>
        <v>585797.81940673687</v>
      </c>
      <c r="AE115" s="186"/>
      <c r="AF115" s="186">
        <f>IFERROR(_xlfn.XLOOKUP($D115,'Modelling New'!$D:$D,'Modelling New'!$W:$W),"")</f>
        <v>0.31292618558052182</v>
      </c>
      <c r="AG115" s="186">
        <f>IFERROR(_xlfn.XLOOKUP($D115,'Modelling New'!$D:$D,'Modelling New'!$AE:$AE),"")</f>
        <v>0.96029999999999993</v>
      </c>
      <c r="AH115" s="186">
        <f>IFERROR(_xlfn.XLOOKUP($D115,'Modelling New'!$D:$D,'Modelling New'!$AF:$AF),"")</f>
        <v>0.995</v>
      </c>
      <c r="AI115" s="167">
        <f>IFERROR(_xlfn.XLOOKUP($A115,Input_Raw!$A:$A,Input_Raw!$DE:$DE),"")</f>
        <v>0</v>
      </c>
      <c r="AJ115" s="167"/>
      <c r="AK115" s="167"/>
      <c r="AL115" s="167"/>
      <c r="AM115" s="167"/>
      <c r="AN115" s="188" t="str">
        <f>IFERROR(_xlfn.XLOOKUP($A115,Input_Raw!$A:$A,Input_Raw!$DB:$DB),"")</f>
        <v/>
      </c>
      <c r="AO115" s="186" t="str">
        <f>IFERROR((_xlfn.XLOOKUP($A115,'WTG Reactive Power'!$A:$A,'WTG Reactive Power'!$AR:$AR))/X115/1000,"")</f>
        <v/>
      </c>
      <c r="AP115" s="186">
        <f>IFERROR(_xlfn.XLOOKUP($D115,'Modelling New'!$D:$D,'Modelling New'!$AK:$AK),"")</f>
        <v>0.05</v>
      </c>
      <c r="AQ115" s="186">
        <f>IFERROR(_xlfn.XLOOKUP($D115,'Modelling New'!$D:$D,'Modelling New'!$AL:$AL),"")</f>
        <v>0.05</v>
      </c>
      <c r="AR115">
        <f>IFERROR(_xlfn.XLOOKUP($D115,'Modelling New'!$D:$D,'Modelling New'!$N:$N),"")</f>
        <v>78</v>
      </c>
    </row>
    <row r="116" spans="1:44">
      <c r="A116" s="180">
        <f t="shared" si="11"/>
        <v>45859</v>
      </c>
      <c r="B116" s="169">
        <f>YEAR(Table13[[#This Row],[Date]])+IF(MONTH(Table13[[#This Row],[Date]])&gt;=4,1,0)</f>
        <v>2026</v>
      </c>
      <c r="C116" s="167">
        <f>YEAR(Table13[[#This Row],[Date]])</f>
        <v>2025</v>
      </c>
      <c r="D116" s="181">
        <f>Table13[[#This Row],[Date]]-DAY(Table13[[#This Row],[Date]])+1</f>
        <v>45839</v>
      </c>
      <c r="E116" s="167">
        <f t="shared" si="8"/>
        <v>31</v>
      </c>
      <c r="F116" s="170"/>
      <c r="G116" s="171"/>
      <c r="H116" s="171"/>
      <c r="I116" s="171"/>
      <c r="J116" s="171"/>
      <c r="K116" s="182"/>
      <c r="L116" s="171"/>
      <c r="M116" s="171" t="str">
        <f>IFERROR(_xlfn.XLOOKUP($A116,Input_Raw!$A:$A,Input_Raw!CG:CG),"")</f>
        <v/>
      </c>
      <c r="N116" s="171">
        <f>IFERROR(_xlfn.XLOOKUP($A116,Input_Raw!$A:$A,Input_Raw!CH:CH),"")</f>
        <v>0</v>
      </c>
      <c r="O116" s="183" t="str">
        <f t="shared" si="10"/>
        <v/>
      </c>
      <c r="P116" s="183" t="str">
        <f>IFERROR(1-SUMIF(WTG_BD!$B:$B,$A116,WTG_BD!$AB:$AB)/($AA116+SUMIF(WTG_BD!$B:$B,$A116,WTG_BD!$AB:$AB)),"")</f>
        <v/>
      </c>
      <c r="Q116" s="184" t="str">
        <f>IFERROR(1-SUMIF(IGA_BD!$B:$B,$A116,IGA_BD!$X:$X)/($AA116+SUMIF(IGA_BD!$B:$B,$A116,IGA_BD!$X:$X)),"")</f>
        <v/>
      </c>
      <c r="R116" s="189" t="str">
        <f>IFERROR(1-SUMIF(Grid_BD!$B:$B,$A116,Grid_BD!$V:$V)/($AA116+SUMIF(Grid_BD!$B:$B,$A116,Grid_BD!$V:$V)),"")</f>
        <v/>
      </c>
      <c r="S116" s="167"/>
      <c r="T116" s="184"/>
      <c r="U116" s="185"/>
      <c r="V116" s="167"/>
      <c r="W116" s="186">
        <f>IFERROR(Table13[[#This Row],[Mtr_Net_Exp (KWh)]]/(24*AR116*1000),"")</f>
        <v>0</v>
      </c>
      <c r="X116" s="167">
        <f>IFERROR(_xlfn.XLOOKUP($A116,Input_Raw!$A:$A,Input_Raw!$CF:$CF),"")</f>
        <v>0</v>
      </c>
      <c r="Y116" s="167">
        <f>IFERROR(_xlfn.XLOOKUP($A116,Input_Raw!$A:$A,Input_Raw!$CZ:$CZ),"")</f>
        <v>0</v>
      </c>
      <c r="Z116" s="167">
        <f>IFERROR(_xlfn.XLOOKUP($A116,Input_Raw!$A:$A,Input_Raw!$DA:$DA),"")</f>
        <v>0</v>
      </c>
      <c r="AA116" s="169">
        <f t="shared" si="9"/>
        <v>0</v>
      </c>
      <c r="AB116" s="167">
        <f>IFERROR(_xlfn.XLOOKUP($A116,Input_Raw!$A:$A,Input_Raw!$DG:$DG),"")</f>
        <v>0</v>
      </c>
      <c r="AC116" s="187">
        <f>IFERROR(_xlfn.XLOOKUP($D116,'Modelling New'!$D:$D,'Modelling New'!$J:$J),"")</f>
        <v>7.6000000000000005</v>
      </c>
      <c r="AD116" s="169">
        <f>IFERROR(_xlfn.XLOOKUP($D116,'Modelling New'!$D:$D,'Modelling New'!$T:$T)*1000,"")</f>
        <v>585797.81940673687</v>
      </c>
      <c r="AE116" s="186"/>
      <c r="AF116" s="186">
        <f>IFERROR(_xlfn.XLOOKUP($D116,'Modelling New'!$D:$D,'Modelling New'!$W:$W),"")</f>
        <v>0.31292618558052182</v>
      </c>
      <c r="AG116" s="186">
        <f>IFERROR(_xlfn.XLOOKUP($D116,'Modelling New'!$D:$D,'Modelling New'!$AE:$AE),"")</f>
        <v>0.96029999999999993</v>
      </c>
      <c r="AH116" s="186">
        <f>IFERROR(_xlfn.XLOOKUP($D116,'Modelling New'!$D:$D,'Modelling New'!$AF:$AF),"")</f>
        <v>0.995</v>
      </c>
      <c r="AI116" s="167">
        <f>IFERROR(_xlfn.XLOOKUP($A116,Input_Raw!$A:$A,Input_Raw!$DE:$DE),"")</f>
        <v>0</v>
      </c>
      <c r="AJ116" s="167"/>
      <c r="AK116" s="167"/>
      <c r="AL116" s="167"/>
      <c r="AM116" s="167"/>
      <c r="AN116" s="188" t="str">
        <f>IFERROR(_xlfn.XLOOKUP($A116,Input_Raw!$A:$A,Input_Raw!$DB:$DB),"")</f>
        <v/>
      </c>
      <c r="AO116" s="186" t="str">
        <f>IFERROR((_xlfn.XLOOKUP($A116,'WTG Reactive Power'!$A:$A,'WTG Reactive Power'!$AR:$AR))/X116/1000,"")</f>
        <v/>
      </c>
      <c r="AP116" s="186">
        <f>IFERROR(_xlfn.XLOOKUP($D116,'Modelling New'!$D:$D,'Modelling New'!$AK:$AK),"")</f>
        <v>0.05</v>
      </c>
      <c r="AQ116" s="186">
        <f>IFERROR(_xlfn.XLOOKUP($D116,'Modelling New'!$D:$D,'Modelling New'!$AL:$AL),"")</f>
        <v>0.05</v>
      </c>
      <c r="AR116">
        <f>IFERROR(_xlfn.XLOOKUP($D116,'Modelling New'!$D:$D,'Modelling New'!$N:$N),"")</f>
        <v>78</v>
      </c>
    </row>
    <row r="117" spans="1:44">
      <c r="A117" s="180">
        <f t="shared" si="11"/>
        <v>45860</v>
      </c>
      <c r="B117" s="169">
        <f>YEAR(Table13[[#This Row],[Date]])+IF(MONTH(Table13[[#This Row],[Date]])&gt;=4,1,0)</f>
        <v>2026</v>
      </c>
      <c r="C117" s="167">
        <f>YEAR(Table13[[#This Row],[Date]])</f>
        <v>2025</v>
      </c>
      <c r="D117" s="181">
        <f>Table13[[#This Row],[Date]]-DAY(Table13[[#This Row],[Date]])+1</f>
        <v>45839</v>
      </c>
      <c r="E117" s="167">
        <f t="shared" si="8"/>
        <v>31</v>
      </c>
      <c r="F117" s="170"/>
      <c r="G117" s="171"/>
      <c r="H117" s="171"/>
      <c r="I117" s="171"/>
      <c r="J117" s="171"/>
      <c r="K117" s="182"/>
      <c r="L117" s="171"/>
      <c r="M117" s="171" t="str">
        <f>IFERROR(_xlfn.XLOOKUP($A117,Input_Raw!$A:$A,Input_Raw!CG:CG),"")</f>
        <v/>
      </c>
      <c r="N117" s="171">
        <f>IFERROR(_xlfn.XLOOKUP($A117,Input_Raw!$A:$A,Input_Raw!CH:CH),"")</f>
        <v>0</v>
      </c>
      <c r="O117" s="183" t="str">
        <f t="shared" si="10"/>
        <v/>
      </c>
      <c r="P117" s="183" t="str">
        <f>IFERROR(1-SUMIF(WTG_BD!$B:$B,$A117,WTG_BD!$AB:$AB)/($AA117+SUMIF(WTG_BD!$B:$B,$A117,WTG_BD!$AB:$AB)),"")</f>
        <v/>
      </c>
      <c r="Q117" s="184" t="str">
        <f>IFERROR(1-SUMIF(IGA_BD!$B:$B,$A117,IGA_BD!$X:$X)/($AA117+SUMIF(IGA_BD!$B:$B,$A117,IGA_BD!$X:$X)),"")</f>
        <v/>
      </c>
      <c r="R117" s="189" t="str">
        <f>IFERROR(1-SUMIF(Grid_BD!$B:$B,$A117,Grid_BD!$V:$V)/($AA117+SUMIF(Grid_BD!$B:$B,$A117,Grid_BD!$V:$V)),"")</f>
        <v/>
      </c>
      <c r="S117" s="167"/>
      <c r="T117" s="184"/>
      <c r="U117" s="185"/>
      <c r="V117" s="167"/>
      <c r="W117" s="186">
        <f>IFERROR(Table13[[#This Row],[Mtr_Net_Exp (KWh)]]/(24*AR117*1000),"")</f>
        <v>0</v>
      </c>
      <c r="X117" s="167">
        <f>IFERROR(_xlfn.XLOOKUP($A117,Input_Raw!$A:$A,Input_Raw!$CF:$CF),"")</f>
        <v>0</v>
      </c>
      <c r="Y117" s="167">
        <f>IFERROR(_xlfn.XLOOKUP($A117,Input_Raw!$A:$A,Input_Raw!$CZ:$CZ),"")</f>
        <v>0</v>
      </c>
      <c r="Z117" s="167">
        <f>IFERROR(_xlfn.XLOOKUP($A117,Input_Raw!$A:$A,Input_Raw!$DA:$DA),"")</f>
        <v>0</v>
      </c>
      <c r="AA117" s="169">
        <f t="shared" si="9"/>
        <v>0</v>
      </c>
      <c r="AB117" s="167">
        <f>IFERROR(_xlfn.XLOOKUP($A117,Input_Raw!$A:$A,Input_Raw!$DG:$DG),"")</f>
        <v>0</v>
      </c>
      <c r="AC117" s="187">
        <f>IFERROR(_xlfn.XLOOKUP($D117,'Modelling New'!$D:$D,'Modelling New'!$J:$J),"")</f>
        <v>7.6000000000000005</v>
      </c>
      <c r="AD117" s="169">
        <f>IFERROR(_xlfn.XLOOKUP($D117,'Modelling New'!$D:$D,'Modelling New'!$T:$T)*1000,"")</f>
        <v>585797.81940673687</v>
      </c>
      <c r="AE117" s="186"/>
      <c r="AF117" s="186">
        <f>IFERROR(_xlfn.XLOOKUP($D117,'Modelling New'!$D:$D,'Modelling New'!$W:$W),"")</f>
        <v>0.31292618558052182</v>
      </c>
      <c r="AG117" s="186">
        <f>IFERROR(_xlfn.XLOOKUP($D117,'Modelling New'!$D:$D,'Modelling New'!$AE:$AE),"")</f>
        <v>0.96029999999999993</v>
      </c>
      <c r="AH117" s="186">
        <f>IFERROR(_xlfn.XLOOKUP($D117,'Modelling New'!$D:$D,'Modelling New'!$AF:$AF),"")</f>
        <v>0.995</v>
      </c>
      <c r="AI117" s="167">
        <f>IFERROR(_xlfn.XLOOKUP($A117,Input_Raw!$A:$A,Input_Raw!$DE:$DE),"")</f>
        <v>0</v>
      </c>
      <c r="AJ117" s="167"/>
      <c r="AK117" s="167"/>
      <c r="AL117" s="167"/>
      <c r="AM117" s="167"/>
      <c r="AN117" s="188" t="str">
        <f>IFERROR(_xlfn.XLOOKUP($A117,Input_Raw!$A:$A,Input_Raw!$DB:$DB),"")</f>
        <v/>
      </c>
      <c r="AO117" s="186" t="str">
        <f>IFERROR((_xlfn.XLOOKUP($A117,'WTG Reactive Power'!$A:$A,'WTG Reactive Power'!$AR:$AR))/X117/1000,"")</f>
        <v/>
      </c>
      <c r="AP117" s="186">
        <f>IFERROR(_xlfn.XLOOKUP($D117,'Modelling New'!$D:$D,'Modelling New'!$AK:$AK),"")</f>
        <v>0.05</v>
      </c>
      <c r="AQ117" s="186">
        <f>IFERROR(_xlfn.XLOOKUP($D117,'Modelling New'!$D:$D,'Modelling New'!$AL:$AL),"")</f>
        <v>0.05</v>
      </c>
      <c r="AR117">
        <f>IFERROR(_xlfn.XLOOKUP($D117,'Modelling New'!$D:$D,'Modelling New'!$N:$N),"")</f>
        <v>78</v>
      </c>
    </row>
    <row r="118" spans="1:44">
      <c r="A118" s="180">
        <f t="shared" si="11"/>
        <v>45861</v>
      </c>
      <c r="B118" s="169">
        <f>YEAR(Table13[[#This Row],[Date]])+IF(MONTH(Table13[[#This Row],[Date]])&gt;=4,1,0)</f>
        <v>2026</v>
      </c>
      <c r="C118" s="167">
        <f>YEAR(Table13[[#This Row],[Date]])</f>
        <v>2025</v>
      </c>
      <c r="D118" s="181">
        <f>Table13[[#This Row],[Date]]-DAY(Table13[[#This Row],[Date]])+1</f>
        <v>45839</v>
      </c>
      <c r="E118" s="167">
        <f t="shared" si="8"/>
        <v>31</v>
      </c>
      <c r="F118" s="170"/>
      <c r="G118" s="171"/>
      <c r="H118" s="171"/>
      <c r="I118" s="171"/>
      <c r="J118" s="171"/>
      <c r="K118" s="182"/>
      <c r="L118" s="171"/>
      <c r="M118" s="171" t="str">
        <f>IFERROR(_xlfn.XLOOKUP($A118,Input_Raw!$A:$A,Input_Raw!CG:CG),"")</f>
        <v/>
      </c>
      <c r="N118" s="171">
        <f>IFERROR(_xlfn.XLOOKUP($A118,Input_Raw!$A:$A,Input_Raw!CH:CH),"")</f>
        <v>0</v>
      </c>
      <c r="O118" s="183" t="str">
        <f t="shared" si="10"/>
        <v/>
      </c>
      <c r="P118" s="183" t="str">
        <f>IFERROR(1-SUMIF(WTG_BD!$B:$B,$A118,WTG_BD!$AB:$AB)/($AA118+SUMIF(WTG_BD!$B:$B,$A118,WTG_BD!$AB:$AB)),"")</f>
        <v/>
      </c>
      <c r="Q118" s="184" t="str">
        <f>IFERROR(1-SUMIF(IGA_BD!$B:$B,$A118,IGA_BD!$X:$X)/($AA118+SUMIF(IGA_BD!$B:$B,$A118,IGA_BD!$X:$X)),"")</f>
        <v/>
      </c>
      <c r="R118" s="189" t="str">
        <f>IFERROR(1-SUMIF(Grid_BD!$B:$B,$A118,Grid_BD!$V:$V)/($AA118+SUMIF(Grid_BD!$B:$B,$A118,Grid_BD!$V:$V)),"")</f>
        <v/>
      </c>
      <c r="S118" s="167"/>
      <c r="T118" s="184"/>
      <c r="U118" s="185"/>
      <c r="V118" s="167"/>
      <c r="W118" s="186">
        <f>IFERROR(Table13[[#This Row],[Mtr_Net_Exp (KWh)]]/(24*AR118*1000),"")</f>
        <v>0</v>
      </c>
      <c r="X118" s="167">
        <f>IFERROR(_xlfn.XLOOKUP($A118,Input_Raw!$A:$A,Input_Raw!$CF:$CF),"")</f>
        <v>0</v>
      </c>
      <c r="Y118" s="167">
        <f>IFERROR(_xlfn.XLOOKUP($A118,Input_Raw!$A:$A,Input_Raw!$CZ:$CZ),"")</f>
        <v>0</v>
      </c>
      <c r="Z118" s="167">
        <f>IFERROR(_xlfn.XLOOKUP($A118,Input_Raw!$A:$A,Input_Raw!$DA:$DA),"")</f>
        <v>0</v>
      </c>
      <c r="AA118" s="169">
        <f t="shared" si="9"/>
        <v>0</v>
      </c>
      <c r="AB118" s="167">
        <f>IFERROR(_xlfn.XLOOKUP($A118,Input_Raw!$A:$A,Input_Raw!$DG:$DG),"")</f>
        <v>0</v>
      </c>
      <c r="AC118" s="187">
        <f>IFERROR(_xlfn.XLOOKUP($D118,'Modelling New'!$D:$D,'Modelling New'!$J:$J),"")</f>
        <v>7.6000000000000005</v>
      </c>
      <c r="AD118" s="169">
        <f>IFERROR(_xlfn.XLOOKUP($D118,'Modelling New'!$D:$D,'Modelling New'!$T:$T)*1000,"")</f>
        <v>585797.81940673687</v>
      </c>
      <c r="AE118" s="186"/>
      <c r="AF118" s="186">
        <f>IFERROR(_xlfn.XLOOKUP($D118,'Modelling New'!$D:$D,'Modelling New'!$W:$W),"")</f>
        <v>0.31292618558052182</v>
      </c>
      <c r="AG118" s="186">
        <f>IFERROR(_xlfn.XLOOKUP($D118,'Modelling New'!$D:$D,'Modelling New'!$AE:$AE),"")</f>
        <v>0.96029999999999993</v>
      </c>
      <c r="AH118" s="186">
        <f>IFERROR(_xlfn.XLOOKUP($D118,'Modelling New'!$D:$D,'Modelling New'!$AF:$AF),"")</f>
        <v>0.995</v>
      </c>
      <c r="AI118" s="167">
        <f>IFERROR(_xlfn.XLOOKUP($A118,Input_Raw!$A:$A,Input_Raw!$DE:$DE),"")</f>
        <v>0</v>
      </c>
      <c r="AJ118" s="167"/>
      <c r="AK118" s="167"/>
      <c r="AL118" s="167"/>
      <c r="AM118" s="167"/>
      <c r="AN118" s="188" t="str">
        <f>IFERROR(_xlfn.XLOOKUP($A118,Input_Raw!$A:$A,Input_Raw!$DB:$DB),"")</f>
        <v/>
      </c>
      <c r="AO118" s="186" t="str">
        <f>IFERROR((_xlfn.XLOOKUP($A118,'WTG Reactive Power'!$A:$A,'WTG Reactive Power'!$AR:$AR))/X118/1000,"")</f>
        <v/>
      </c>
      <c r="AP118" s="186">
        <f>IFERROR(_xlfn.XLOOKUP($D118,'Modelling New'!$D:$D,'Modelling New'!$AK:$AK),"")</f>
        <v>0.05</v>
      </c>
      <c r="AQ118" s="186">
        <f>IFERROR(_xlfn.XLOOKUP($D118,'Modelling New'!$D:$D,'Modelling New'!$AL:$AL),"")</f>
        <v>0.05</v>
      </c>
      <c r="AR118">
        <f>IFERROR(_xlfn.XLOOKUP($D118,'Modelling New'!$D:$D,'Modelling New'!$N:$N),"")</f>
        <v>78</v>
      </c>
    </row>
    <row r="119" spans="1:44">
      <c r="A119" s="180">
        <f t="shared" si="11"/>
        <v>45862</v>
      </c>
      <c r="B119" s="169">
        <f>YEAR(Table13[[#This Row],[Date]])+IF(MONTH(Table13[[#This Row],[Date]])&gt;=4,1,0)</f>
        <v>2026</v>
      </c>
      <c r="C119" s="167">
        <f>YEAR(Table13[[#This Row],[Date]])</f>
        <v>2025</v>
      </c>
      <c r="D119" s="181">
        <f>Table13[[#This Row],[Date]]-DAY(Table13[[#This Row],[Date]])+1</f>
        <v>45839</v>
      </c>
      <c r="E119" s="167">
        <f t="shared" si="8"/>
        <v>31</v>
      </c>
      <c r="F119" s="170"/>
      <c r="G119" s="171"/>
      <c r="H119" s="171"/>
      <c r="I119" s="171"/>
      <c r="J119" s="171"/>
      <c r="K119" s="182"/>
      <c r="L119" s="171"/>
      <c r="M119" s="171" t="str">
        <f>IFERROR(_xlfn.XLOOKUP($A119,Input_Raw!$A:$A,Input_Raw!CG:CG),"")</f>
        <v/>
      </c>
      <c r="N119" s="171">
        <f>IFERROR(_xlfn.XLOOKUP($A119,Input_Raw!$A:$A,Input_Raw!CH:CH),"")</f>
        <v>0</v>
      </c>
      <c r="O119" s="183" t="str">
        <f t="shared" si="10"/>
        <v/>
      </c>
      <c r="P119" s="183" t="str">
        <f>IFERROR(1-SUMIF(WTG_BD!$B:$B,$A119,WTG_BD!$AB:$AB)/($AA119+SUMIF(WTG_BD!$B:$B,$A119,WTG_BD!$AB:$AB)),"")</f>
        <v/>
      </c>
      <c r="Q119" s="184" t="str">
        <f>IFERROR(1-SUMIF(IGA_BD!$B:$B,$A119,IGA_BD!$X:$X)/($AA119+SUMIF(IGA_BD!$B:$B,$A119,IGA_BD!$X:$X)),"")</f>
        <v/>
      </c>
      <c r="R119" s="189" t="str">
        <f>IFERROR(1-SUMIF(Grid_BD!$B:$B,$A119,Grid_BD!$V:$V)/($AA119+SUMIF(Grid_BD!$B:$B,$A119,Grid_BD!$V:$V)),"")</f>
        <v/>
      </c>
      <c r="S119" s="167"/>
      <c r="T119" s="184"/>
      <c r="U119" s="185"/>
      <c r="V119" s="167"/>
      <c r="W119" s="186">
        <f>IFERROR(Table13[[#This Row],[Mtr_Net_Exp (KWh)]]/(24*AR119*1000),"")</f>
        <v>0</v>
      </c>
      <c r="X119" s="167">
        <f>IFERROR(_xlfn.XLOOKUP($A119,Input_Raw!$A:$A,Input_Raw!$CF:$CF),"")</f>
        <v>0</v>
      </c>
      <c r="Y119" s="167">
        <f>IFERROR(_xlfn.XLOOKUP($A119,Input_Raw!$A:$A,Input_Raw!$CZ:$CZ),"")</f>
        <v>0</v>
      </c>
      <c r="Z119" s="167">
        <f>IFERROR(_xlfn.XLOOKUP($A119,Input_Raw!$A:$A,Input_Raw!$DA:$DA),"")</f>
        <v>0</v>
      </c>
      <c r="AA119" s="169">
        <f t="shared" si="9"/>
        <v>0</v>
      </c>
      <c r="AB119" s="167">
        <f>IFERROR(_xlfn.XLOOKUP($A119,Input_Raw!$A:$A,Input_Raw!$DG:$DG),"")</f>
        <v>0</v>
      </c>
      <c r="AC119" s="187">
        <f>IFERROR(_xlfn.XLOOKUP($D119,'Modelling New'!$D:$D,'Modelling New'!$J:$J),"")</f>
        <v>7.6000000000000005</v>
      </c>
      <c r="AD119" s="169">
        <f>IFERROR(_xlfn.XLOOKUP($D119,'Modelling New'!$D:$D,'Modelling New'!$T:$T)*1000,"")</f>
        <v>585797.81940673687</v>
      </c>
      <c r="AE119" s="186"/>
      <c r="AF119" s="186">
        <f>IFERROR(_xlfn.XLOOKUP($D119,'Modelling New'!$D:$D,'Modelling New'!$W:$W),"")</f>
        <v>0.31292618558052182</v>
      </c>
      <c r="AG119" s="186">
        <f>IFERROR(_xlfn.XLOOKUP($D119,'Modelling New'!$D:$D,'Modelling New'!$AE:$AE),"")</f>
        <v>0.96029999999999993</v>
      </c>
      <c r="AH119" s="186">
        <f>IFERROR(_xlfn.XLOOKUP($D119,'Modelling New'!$D:$D,'Modelling New'!$AF:$AF),"")</f>
        <v>0.995</v>
      </c>
      <c r="AI119" s="167">
        <f>IFERROR(_xlfn.XLOOKUP($A119,Input_Raw!$A:$A,Input_Raw!$DE:$DE),"")</f>
        <v>0</v>
      </c>
      <c r="AJ119" s="167"/>
      <c r="AK119" s="167"/>
      <c r="AL119" s="167"/>
      <c r="AM119" s="167"/>
      <c r="AN119" s="188" t="str">
        <f>IFERROR(_xlfn.XLOOKUP($A119,Input_Raw!$A:$A,Input_Raw!$DB:$DB),"")</f>
        <v/>
      </c>
      <c r="AO119" s="186" t="str">
        <f>IFERROR((_xlfn.XLOOKUP($A119,'WTG Reactive Power'!$A:$A,'WTG Reactive Power'!$AR:$AR))/X119/1000,"")</f>
        <v/>
      </c>
      <c r="AP119" s="186">
        <f>IFERROR(_xlfn.XLOOKUP($D119,'Modelling New'!$D:$D,'Modelling New'!$AK:$AK),"")</f>
        <v>0.05</v>
      </c>
      <c r="AQ119" s="186">
        <f>IFERROR(_xlfn.XLOOKUP($D119,'Modelling New'!$D:$D,'Modelling New'!$AL:$AL),"")</f>
        <v>0.05</v>
      </c>
      <c r="AR119">
        <f>IFERROR(_xlfn.XLOOKUP($D119,'Modelling New'!$D:$D,'Modelling New'!$N:$N),"")</f>
        <v>78</v>
      </c>
    </row>
    <row r="120" spans="1:44">
      <c r="A120" s="180">
        <f t="shared" si="11"/>
        <v>45863</v>
      </c>
      <c r="B120" s="169">
        <f>YEAR(Table13[[#This Row],[Date]])+IF(MONTH(Table13[[#This Row],[Date]])&gt;=4,1,0)</f>
        <v>2026</v>
      </c>
      <c r="C120" s="167">
        <f>YEAR(Table13[[#This Row],[Date]])</f>
        <v>2025</v>
      </c>
      <c r="D120" s="181">
        <f>Table13[[#This Row],[Date]]-DAY(Table13[[#This Row],[Date]])+1</f>
        <v>45839</v>
      </c>
      <c r="E120" s="167">
        <f t="shared" si="8"/>
        <v>31</v>
      </c>
      <c r="F120" s="170"/>
      <c r="G120" s="171"/>
      <c r="H120" s="171"/>
      <c r="I120" s="171"/>
      <c r="J120" s="171"/>
      <c r="K120" s="182"/>
      <c r="L120" s="171"/>
      <c r="M120" s="171" t="str">
        <f>IFERROR(_xlfn.XLOOKUP($A120,Input_Raw!$A:$A,Input_Raw!CG:CG),"")</f>
        <v/>
      </c>
      <c r="N120" s="171">
        <f>IFERROR(_xlfn.XLOOKUP($A120,Input_Raw!$A:$A,Input_Raw!CH:CH),"")</f>
        <v>0</v>
      </c>
      <c r="O120" s="183" t="str">
        <f t="shared" si="10"/>
        <v/>
      </c>
      <c r="P120" s="183" t="str">
        <f>IFERROR(1-SUMIF(WTG_BD!$B:$B,$A120,WTG_BD!$AB:$AB)/($AA120+SUMIF(WTG_BD!$B:$B,$A120,WTG_BD!$AB:$AB)),"")</f>
        <v/>
      </c>
      <c r="Q120" s="184" t="str">
        <f>IFERROR(1-SUMIF(IGA_BD!$B:$B,$A120,IGA_BD!$X:$X)/($AA120+SUMIF(IGA_BD!$B:$B,$A120,IGA_BD!$X:$X)),"")</f>
        <v/>
      </c>
      <c r="R120" s="189" t="str">
        <f>IFERROR(1-SUMIF(Grid_BD!$B:$B,$A120,Grid_BD!$V:$V)/($AA120+SUMIF(Grid_BD!$B:$B,$A120,Grid_BD!$V:$V)),"")</f>
        <v/>
      </c>
      <c r="S120" s="167"/>
      <c r="T120" s="184"/>
      <c r="U120" s="185"/>
      <c r="V120" s="167"/>
      <c r="W120" s="186">
        <f>IFERROR(Table13[[#This Row],[Mtr_Net_Exp (KWh)]]/(24*AR120*1000),"")</f>
        <v>0</v>
      </c>
      <c r="X120" s="167">
        <f>IFERROR(_xlfn.XLOOKUP($A120,Input_Raw!$A:$A,Input_Raw!$CF:$CF),"")</f>
        <v>0</v>
      </c>
      <c r="Y120" s="167">
        <f>IFERROR(_xlfn.XLOOKUP($A120,Input_Raw!$A:$A,Input_Raw!$CZ:$CZ),"")</f>
        <v>0</v>
      </c>
      <c r="Z120" s="167">
        <f>IFERROR(_xlfn.XLOOKUP($A120,Input_Raw!$A:$A,Input_Raw!$DA:$DA),"")</f>
        <v>0</v>
      </c>
      <c r="AA120" s="169">
        <f t="shared" si="9"/>
        <v>0</v>
      </c>
      <c r="AB120" s="167">
        <f>IFERROR(_xlfn.XLOOKUP($A120,Input_Raw!$A:$A,Input_Raw!$DG:$DG),"")</f>
        <v>0</v>
      </c>
      <c r="AC120" s="187">
        <f>IFERROR(_xlfn.XLOOKUP($D120,'Modelling New'!$D:$D,'Modelling New'!$J:$J),"")</f>
        <v>7.6000000000000005</v>
      </c>
      <c r="AD120" s="169">
        <f>IFERROR(_xlfn.XLOOKUP($D120,'Modelling New'!$D:$D,'Modelling New'!$T:$T)*1000,"")</f>
        <v>585797.81940673687</v>
      </c>
      <c r="AE120" s="186"/>
      <c r="AF120" s="186">
        <f>IFERROR(_xlfn.XLOOKUP($D120,'Modelling New'!$D:$D,'Modelling New'!$W:$W),"")</f>
        <v>0.31292618558052182</v>
      </c>
      <c r="AG120" s="186">
        <f>IFERROR(_xlfn.XLOOKUP($D120,'Modelling New'!$D:$D,'Modelling New'!$AE:$AE),"")</f>
        <v>0.96029999999999993</v>
      </c>
      <c r="AH120" s="186">
        <f>IFERROR(_xlfn.XLOOKUP($D120,'Modelling New'!$D:$D,'Modelling New'!$AF:$AF),"")</f>
        <v>0.995</v>
      </c>
      <c r="AI120" s="167">
        <f>IFERROR(_xlfn.XLOOKUP($A120,Input_Raw!$A:$A,Input_Raw!$DE:$DE),"")</f>
        <v>0</v>
      </c>
      <c r="AJ120" s="167"/>
      <c r="AK120" s="167"/>
      <c r="AL120" s="167"/>
      <c r="AM120" s="167"/>
      <c r="AN120" s="188" t="str">
        <f>IFERROR(_xlfn.XLOOKUP($A120,Input_Raw!$A:$A,Input_Raw!$DB:$DB),"")</f>
        <v/>
      </c>
      <c r="AO120" s="186" t="str">
        <f>IFERROR((_xlfn.XLOOKUP($A120,'WTG Reactive Power'!$A:$A,'WTG Reactive Power'!$AR:$AR))/X120/1000,"")</f>
        <v/>
      </c>
      <c r="AP120" s="186">
        <f>IFERROR(_xlfn.XLOOKUP($D120,'Modelling New'!$D:$D,'Modelling New'!$AK:$AK),"")</f>
        <v>0.05</v>
      </c>
      <c r="AQ120" s="186">
        <f>IFERROR(_xlfn.XLOOKUP($D120,'Modelling New'!$D:$D,'Modelling New'!$AL:$AL),"")</f>
        <v>0.05</v>
      </c>
      <c r="AR120">
        <f>IFERROR(_xlfn.XLOOKUP($D120,'Modelling New'!$D:$D,'Modelling New'!$N:$N),"")</f>
        <v>78</v>
      </c>
    </row>
    <row r="121" spans="1:44">
      <c r="A121" s="180">
        <f t="shared" si="11"/>
        <v>45864</v>
      </c>
      <c r="B121" s="169">
        <f>YEAR(Table13[[#This Row],[Date]])+IF(MONTH(Table13[[#This Row],[Date]])&gt;=4,1,0)</f>
        <v>2026</v>
      </c>
      <c r="C121" s="167">
        <f>YEAR(Table13[[#This Row],[Date]])</f>
        <v>2025</v>
      </c>
      <c r="D121" s="181">
        <f>Table13[[#This Row],[Date]]-DAY(Table13[[#This Row],[Date]])+1</f>
        <v>45839</v>
      </c>
      <c r="E121" s="167">
        <f t="shared" si="8"/>
        <v>31</v>
      </c>
      <c r="F121" s="170"/>
      <c r="G121" s="171"/>
      <c r="H121" s="171"/>
      <c r="I121" s="171"/>
      <c r="J121" s="171"/>
      <c r="K121" s="182"/>
      <c r="L121" s="171"/>
      <c r="M121" s="171" t="str">
        <f>IFERROR(_xlfn.XLOOKUP($A121,Input_Raw!$A:$A,Input_Raw!CG:CG),"")</f>
        <v/>
      </c>
      <c r="N121" s="171">
        <f>IFERROR(_xlfn.XLOOKUP($A121,Input_Raw!$A:$A,Input_Raw!CH:CH),"")</f>
        <v>0</v>
      </c>
      <c r="O121" s="183" t="str">
        <f t="shared" si="10"/>
        <v/>
      </c>
      <c r="P121" s="183" t="str">
        <f>IFERROR(1-SUMIF(WTG_BD!$B:$B,$A121,WTG_BD!$AB:$AB)/($AA121+SUMIF(WTG_BD!$B:$B,$A121,WTG_BD!$AB:$AB)),"")</f>
        <v/>
      </c>
      <c r="Q121" s="184" t="str">
        <f>IFERROR(1-SUMIF(IGA_BD!$B:$B,$A121,IGA_BD!$X:$X)/($AA121+SUMIF(IGA_BD!$B:$B,$A121,IGA_BD!$X:$X)),"")</f>
        <v/>
      </c>
      <c r="R121" s="189" t="str">
        <f>IFERROR(1-SUMIF(Grid_BD!$B:$B,$A121,Grid_BD!$V:$V)/($AA121+SUMIF(Grid_BD!$B:$B,$A121,Grid_BD!$V:$V)),"")</f>
        <v/>
      </c>
      <c r="S121" s="167"/>
      <c r="T121" s="184"/>
      <c r="U121" s="185"/>
      <c r="V121" s="167"/>
      <c r="W121" s="186">
        <f>IFERROR(Table13[[#This Row],[Mtr_Net_Exp (KWh)]]/(24*AR121*1000),"")</f>
        <v>0</v>
      </c>
      <c r="X121" s="167">
        <f>IFERROR(_xlfn.XLOOKUP($A121,Input_Raw!$A:$A,Input_Raw!$CF:$CF),"")</f>
        <v>0</v>
      </c>
      <c r="Y121" s="167">
        <f>IFERROR(_xlfn.XLOOKUP($A121,Input_Raw!$A:$A,Input_Raw!$CZ:$CZ),"")</f>
        <v>0</v>
      </c>
      <c r="Z121" s="167">
        <f>IFERROR(_xlfn.XLOOKUP($A121,Input_Raw!$A:$A,Input_Raw!$DA:$DA),"")</f>
        <v>0</v>
      </c>
      <c r="AA121" s="169">
        <f t="shared" si="9"/>
        <v>0</v>
      </c>
      <c r="AB121" s="167">
        <f>IFERROR(_xlfn.XLOOKUP($A121,Input_Raw!$A:$A,Input_Raw!$DG:$DG),"")</f>
        <v>0</v>
      </c>
      <c r="AC121" s="187">
        <f>IFERROR(_xlfn.XLOOKUP($D121,'Modelling New'!$D:$D,'Modelling New'!$J:$J),"")</f>
        <v>7.6000000000000005</v>
      </c>
      <c r="AD121" s="169">
        <f>IFERROR(_xlfn.XLOOKUP($D121,'Modelling New'!$D:$D,'Modelling New'!$T:$T)*1000,"")</f>
        <v>585797.81940673687</v>
      </c>
      <c r="AE121" s="186"/>
      <c r="AF121" s="186">
        <f>IFERROR(_xlfn.XLOOKUP($D121,'Modelling New'!$D:$D,'Modelling New'!$W:$W),"")</f>
        <v>0.31292618558052182</v>
      </c>
      <c r="AG121" s="186">
        <f>IFERROR(_xlfn.XLOOKUP($D121,'Modelling New'!$D:$D,'Modelling New'!$AE:$AE),"")</f>
        <v>0.96029999999999993</v>
      </c>
      <c r="AH121" s="186">
        <f>IFERROR(_xlfn.XLOOKUP($D121,'Modelling New'!$D:$D,'Modelling New'!$AF:$AF),"")</f>
        <v>0.995</v>
      </c>
      <c r="AI121" s="167">
        <f>IFERROR(_xlfn.XLOOKUP($A121,Input_Raw!$A:$A,Input_Raw!$DE:$DE),"")</f>
        <v>0</v>
      </c>
      <c r="AJ121" s="167"/>
      <c r="AK121" s="167"/>
      <c r="AL121" s="167"/>
      <c r="AM121" s="167"/>
      <c r="AN121" s="188" t="str">
        <f>IFERROR(_xlfn.XLOOKUP($A121,Input_Raw!$A:$A,Input_Raw!$DB:$DB),"")</f>
        <v/>
      </c>
      <c r="AO121" s="186" t="str">
        <f>IFERROR((_xlfn.XLOOKUP($A121,'WTG Reactive Power'!$A:$A,'WTG Reactive Power'!$AR:$AR))/X121/1000,"")</f>
        <v/>
      </c>
      <c r="AP121" s="186">
        <f>IFERROR(_xlfn.XLOOKUP($D121,'Modelling New'!$D:$D,'Modelling New'!$AK:$AK),"")</f>
        <v>0.05</v>
      </c>
      <c r="AQ121" s="186">
        <f>IFERROR(_xlfn.XLOOKUP($D121,'Modelling New'!$D:$D,'Modelling New'!$AL:$AL),"")</f>
        <v>0.05</v>
      </c>
      <c r="AR121">
        <f>IFERROR(_xlfn.XLOOKUP($D121,'Modelling New'!$D:$D,'Modelling New'!$N:$N),"")</f>
        <v>78</v>
      </c>
    </row>
    <row r="122" spans="1:44">
      <c r="A122" s="180">
        <f t="shared" si="11"/>
        <v>45865</v>
      </c>
      <c r="B122" s="169">
        <f>YEAR(Table13[[#This Row],[Date]])+IF(MONTH(Table13[[#This Row],[Date]])&gt;=4,1,0)</f>
        <v>2026</v>
      </c>
      <c r="C122" s="167">
        <f>YEAR(Table13[[#This Row],[Date]])</f>
        <v>2025</v>
      </c>
      <c r="D122" s="181">
        <f>Table13[[#This Row],[Date]]-DAY(Table13[[#This Row],[Date]])+1</f>
        <v>45839</v>
      </c>
      <c r="E122" s="167">
        <f t="shared" si="8"/>
        <v>31</v>
      </c>
      <c r="F122" s="170"/>
      <c r="G122" s="171"/>
      <c r="H122" s="171"/>
      <c r="I122" s="171"/>
      <c r="J122" s="171"/>
      <c r="K122" s="182"/>
      <c r="L122" s="171"/>
      <c r="M122" s="171" t="str">
        <f>IFERROR(_xlfn.XLOOKUP($A122,Input_Raw!$A:$A,Input_Raw!CG:CG),"")</f>
        <v/>
      </c>
      <c r="N122" s="171">
        <f>IFERROR(_xlfn.XLOOKUP($A122,Input_Raw!$A:$A,Input_Raw!CH:CH),"")</f>
        <v>0</v>
      </c>
      <c r="O122" s="183" t="str">
        <f t="shared" si="10"/>
        <v/>
      </c>
      <c r="P122" s="183" t="str">
        <f>IFERROR(1-SUMIF(WTG_BD!$B:$B,$A122,WTG_BD!$AB:$AB)/($AA122+SUMIF(WTG_BD!$B:$B,$A122,WTG_BD!$AB:$AB)),"")</f>
        <v/>
      </c>
      <c r="Q122" s="184" t="str">
        <f>IFERROR(1-SUMIF(IGA_BD!$B:$B,$A122,IGA_BD!$X:$X)/($AA122+SUMIF(IGA_BD!$B:$B,$A122,IGA_BD!$X:$X)),"")</f>
        <v/>
      </c>
      <c r="R122" s="189" t="str">
        <f>IFERROR(1-SUMIF(Grid_BD!$B:$B,$A122,Grid_BD!$V:$V)/($AA122+SUMIF(Grid_BD!$B:$B,$A122,Grid_BD!$V:$V)),"")</f>
        <v/>
      </c>
      <c r="S122" s="167"/>
      <c r="T122" s="184"/>
      <c r="U122" s="185"/>
      <c r="V122" s="167"/>
      <c r="W122" s="186">
        <f>IFERROR(Table13[[#This Row],[Mtr_Net_Exp (KWh)]]/(24*AR122*1000),"")</f>
        <v>0</v>
      </c>
      <c r="X122" s="167">
        <f>IFERROR(_xlfn.XLOOKUP($A122,Input_Raw!$A:$A,Input_Raw!$CF:$CF),"")</f>
        <v>0</v>
      </c>
      <c r="Y122" s="167">
        <f>IFERROR(_xlfn.XLOOKUP($A122,Input_Raw!$A:$A,Input_Raw!$CZ:$CZ),"")</f>
        <v>0</v>
      </c>
      <c r="Z122" s="167">
        <f>IFERROR(_xlfn.XLOOKUP($A122,Input_Raw!$A:$A,Input_Raw!$DA:$DA),"")</f>
        <v>0</v>
      </c>
      <c r="AA122" s="169">
        <f t="shared" si="9"/>
        <v>0</v>
      </c>
      <c r="AB122" s="167">
        <f>IFERROR(_xlfn.XLOOKUP($A122,Input_Raw!$A:$A,Input_Raw!$DG:$DG),"")</f>
        <v>0</v>
      </c>
      <c r="AC122" s="187">
        <f>IFERROR(_xlfn.XLOOKUP($D122,'Modelling New'!$D:$D,'Modelling New'!$J:$J),"")</f>
        <v>7.6000000000000005</v>
      </c>
      <c r="AD122" s="169">
        <f>IFERROR(_xlfn.XLOOKUP($D122,'Modelling New'!$D:$D,'Modelling New'!$T:$T)*1000,"")</f>
        <v>585797.81940673687</v>
      </c>
      <c r="AE122" s="186"/>
      <c r="AF122" s="186">
        <f>IFERROR(_xlfn.XLOOKUP($D122,'Modelling New'!$D:$D,'Modelling New'!$W:$W),"")</f>
        <v>0.31292618558052182</v>
      </c>
      <c r="AG122" s="186">
        <f>IFERROR(_xlfn.XLOOKUP($D122,'Modelling New'!$D:$D,'Modelling New'!$AE:$AE),"")</f>
        <v>0.96029999999999993</v>
      </c>
      <c r="AH122" s="186">
        <f>IFERROR(_xlfn.XLOOKUP($D122,'Modelling New'!$D:$D,'Modelling New'!$AF:$AF),"")</f>
        <v>0.995</v>
      </c>
      <c r="AI122" s="167">
        <f>IFERROR(_xlfn.XLOOKUP($A122,Input_Raw!$A:$A,Input_Raw!$DE:$DE),"")</f>
        <v>0</v>
      </c>
      <c r="AJ122" s="167"/>
      <c r="AK122" s="167"/>
      <c r="AL122" s="167"/>
      <c r="AM122" s="167"/>
      <c r="AN122" s="188" t="str">
        <f>IFERROR(_xlfn.XLOOKUP($A122,Input_Raw!$A:$A,Input_Raw!$DB:$DB),"")</f>
        <v/>
      </c>
      <c r="AO122" s="186" t="str">
        <f>IFERROR((_xlfn.XLOOKUP($A122,'WTG Reactive Power'!$A:$A,'WTG Reactive Power'!$AR:$AR))/X122/1000,"")</f>
        <v/>
      </c>
      <c r="AP122" s="186">
        <f>IFERROR(_xlfn.XLOOKUP($D122,'Modelling New'!$D:$D,'Modelling New'!$AK:$AK),"")</f>
        <v>0.05</v>
      </c>
      <c r="AQ122" s="186">
        <f>IFERROR(_xlfn.XLOOKUP($D122,'Modelling New'!$D:$D,'Modelling New'!$AL:$AL),"")</f>
        <v>0.05</v>
      </c>
      <c r="AR122">
        <f>IFERROR(_xlfn.XLOOKUP($D122,'Modelling New'!$D:$D,'Modelling New'!$N:$N),"")</f>
        <v>78</v>
      </c>
    </row>
    <row r="123" spans="1:44">
      <c r="A123" s="180">
        <f t="shared" si="11"/>
        <v>45866</v>
      </c>
      <c r="B123" s="169">
        <f>YEAR(Table13[[#This Row],[Date]])+IF(MONTH(Table13[[#This Row],[Date]])&gt;=4,1,0)</f>
        <v>2026</v>
      </c>
      <c r="C123" s="167">
        <f>YEAR(Table13[[#This Row],[Date]])</f>
        <v>2025</v>
      </c>
      <c r="D123" s="181">
        <f>Table13[[#This Row],[Date]]-DAY(Table13[[#This Row],[Date]])+1</f>
        <v>45839</v>
      </c>
      <c r="E123" s="167">
        <f t="shared" si="8"/>
        <v>31</v>
      </c>
      <c r="F123" s="170"/>
      <c r="G123" s="171"/>
      <c r="H123" s="171"/>
      <c r="I123" s="171"/>
      <c r="J123" s="171"/>
      <c r="K123" s="182"/>
      <c r="L123" s="171"/>
      <c r="M123" s="171" t="str">
        <f>IFERROR(_xlfn.XLOOKUP($A123,Input_Raw!$A:$A,Input_Raw!CG:CG),"")</f>
        <v/>
      </c>
      <c r="N123" s="171">
        <f>IFERROR(_xlfn.XLOOKUP($A123,Input_Raw!$A:$A,Input_Raw!CH:CH),"")</f>
        <v>0</v>
      </c>
      <c r="O123" s="183" t="str">
        <f t="shared" si="10"/>
        <v/>
      </c>
      <c r="P123" s="183" t="str">
        <f>IFERROR(1-SUMIF(WTG_BD!$B:$B,$A123,WTG_BD!$AB:$AB)/($AA123+SUMIF(WTG_BD!$B:$B,$A123,WTG_BD!$AB:$AB)),"")</f>
        <v/>
      </c>
      <c r="Q123" s="184" t="str">
        <f>IFERROR(1-SUMIF(IGA_BD!$B:$B,$A123,IGA_BD!$X:$X)/($AA123+SUMIF(IGA_BD!$B:$B,$A123,IGA_BD!$X:$X)),"")</f>
        <v/>
      </c>
      <c r="R123" s="189" t="str">
        <f>IFERROR(1-SUMIF(Grid_BD!$B:$B,$A123,Grid_BD!$V:$V)/($AA123+SUMIF(Grid_BD!$B:$B,$A123,Grid_BD!$V:$V)),"")</f>
        <v/>
      </c>
      <c r="S123" s="167"/>
      <c r="T123" s="184"/>
      <c r="U123" s="185"/>
      <c r="V123" s="167"/>
      <c r="W123" s="186">
        <f>IFERROR(Table13[[#This Row],[Mtr_Net_Exp (KWh)]]/(24*AR123*1000),"")</f>
        <v>0</v>
      </c>
      <c r="X123" s="167">
        <f>IFERROR(_xlfn.XLOOKUP($A123,Input_Raw!$A:$A,Input_Raw!$CF:$CF),"")</f>
        <v>0</v>
      </c>
      <c r="Y123" s="167">
        <f>IFERROR(_xlfn.XLOOKUP($A123,Input_Raw!$A:$A,Input_Raw!$CZ:$CZ),"")</f>
        <v>0</v>
      </c>
      <c r="Z123" s="167">
        <f>IFERROR(_xlfn.XLOOKUP($A123,Input_Raw!$A:$A,Input_Raw!$DA:$DA),"")</f>
        <v>0</v>
      </c>
      <c r="AA123" s="169">
        <f t="shared" si="9"/>
        <v>0</v>
      </c>
      <c r="AB123" s="167">
        <f>IFERROR(_xlfn.XLOOKUP($A123,Input_Raw!$A:$A,Input_Raw!$DG:$DG),"")</f>
        <v>0</v>
      </c>
      <c r="AC123" s="187">
        <f>IFERROR(_xlfn.XLOOKUP($D123,'Modelling New'!$D:$D,'Modelling New'!$J:$J),"")</f>
        <v>7.6000000000000005</v>
      </c>
      <c r="AD123" s="169">
        <f>IFERROR(_xlfn.XLOOKUP($D123,'Modelling New'!$D:$D,'Modelling New'!$T:$T)*1000,"")</f>
        <v>585797.81940673687</v>
      </c>
      <c r="AE123" s="186"/>
      <c r="AF123" s="186">
        <f>IFERROR(_xlfn.XLOOKUP($D123,'Modelling New'!$D:$D,'Modelling New'!$W:$W),"")</f>
        <v>0.31292618558052182</v>
      </c>
      <c r="AG123" s="186">
        <f>IFERROR(_xlfn.XLOOKUP($D123,'Modelling New'!$D:$D,'Modelling New'!$AE:$AE),"")</f>
        <v>0.96029999999999993</v>
      </c>
      <c r="AH123" s="186">
        <f>IFERROR(_xlfn.XLOOKUP($D123,'Modelling New'!$D:$D,'Modelling New'!$AF:$AF),"")</f>
        <v>0.995</v>
      </c>
      <c r="AI123" s="167">
        <f>IFERROR(_xlfn.XLOOKUP($A123,Input_Raw!$A:$A,Input_Raw!$DE:$DE),"")</f>
        <v>0</v>
      </c>
      <c r="AJ123" s="167"/>
      <c r="AK123" s="167"/>
      <c r="AL123" s="167"/>
      <c r="AM123" s="167"/>
      <c r="AN123" s="188" t="str">
        <f>IFERROR(_xlfn.XLOOKUP($A123,Input_Raw!$A:$A,Input_Raw!$DB:$DB),"")</f>
        <v/>
      </c>
      <c r="AO123" s="186" t="str">
        <f>IFERROR((_xlfn.XLOOKUP($A123,'WTG Reactive Power'!$A:$A,'WTG Reactive Power'!$AR:$AR))/X123/1000,"")</f>
        <v/>
      </c>
      <c r="AP123" s="186">
        <f>IFERROR(_xlfn.XLOOKUP($D123,'Modelling New'!$D:$D,'Modelling New'!$AK:$AK),"")</f>
        <v>0.05</v>
      </c>
      <c r="AQ123" s="186">
        <f>IFERROR(_xlfn.XLOOKUP($D123,'Modelling New'!$D:$D,'Modelling New'!$AL:$AL),"")</f>
        <v>0.05</v>
      </c>
      <c r="AR123">
        <f>IFERROR(_xlfn.XLOOKUP($D123,'Modelling New'!$D:$D,'Modelling New'!$N:$N),"")</f>
        <v>78</v>
      </c>
    </row>
    <row r="124" spans="1:44">
      <c r="A124" s="180">
        <f t="shared" si="11"/>
        <v>45867</v>
      </c>
      <c r="B124" s="169">
        <f>YEAR(Table13[[#This Row],[Date]])+IF(MONTH(Table13[[#This Row],[Date]])&gt;=4,1,0)</f>
        <v>2026</v>
      </c>
      <c r="C124" s="167">
        <f>YEAR(Table13[[#This Row],[Date]])</f>
        <v>2025</v>
      </c>
      <c r="D124" s="181">
        <f>Table13[[#This Row],[Date]]-DAY(Table13[[#This Row],[Date]])+1</f>
        <v>45839</v>
      </c>
      <c r="E124" s="167">
        <f t="shared" si="8"/>
        <v>31</v>
      </c>
      <c r="F124" s="170"/>
      <c r="G124" s="171"/>
      <c r="H124" s="171"/>
      <c r="I124" s="171"/>
      <c r="J124" s="171"/>
      <c r="K124" s="182"/>
      <c r="L124" s="171"/>
      <c r="M124" s="171" t="str">
        <f>IFERROR(_xlfn.XLOOKUP($A124,Input_Raw!$A:$A,Input_Raw!CG:CG),"")</f>
        <v/>
      </c>
      <c r="N124" s="171">
        <f>IFERROR(_xlfn.XLOOKUP($A124,Input_Raw!$A:$A,Input_Raw!CH:CH),"")</f>
        <v>0</v>
      </c>
      <c r="O124" s="183" t="str">
        <f t="shared" si="10"/>
        <v/>
      </c>
      <c r="P124" s="183" t="str">
        <f>IFERROR(1-SUMIF(WTG_BD!$B:$B,$A124,WTG_BD!$AB:$AB)/($AA124+SUMIF(WTG_BD!$B:$B,$A124,WTG_BD!$AB:$AB)),"")</f>
        <v/>
      </c>
      <c r="Q124" s="184" t="str">
        <f>IFERROR(1-SUMIF(IGA_BD!$B:$B,$A124,IGA_BD!$X:$X)/($AA124+SUMIF(IGA_BD!$B:$B,$A124,IGA_BD!$X:$X)),"")</f>
        <v/>
      </c>
      <c r="R124" s="189" t="str">
        <f>IFERROR(1-SUMIF(Grid_BD!$B:$B,$A124,Grid_BD!$V:$V)/($AA124+SUMIF(Grid_BD!$B:$B,$A124,Grid_BD!$V:$V)),"")</f>
        <v/>
      </c>
      <c r="S124" s="167"/>
      <c r="T124" s="184"/>
      <c r="U124" s="185"/>
      <c r="V124" s="167"/>
      <c r="W124" s="186">
        <f>IFERROR(Table13[[#This Row],[Mtr_Net_Exp (KWh)]]/(24*AR124*1000),"")</f>
        <v>0</v>
      </c>
      <c r="X124" s="167">
        <f>IFERROR(_xlfn.XLOOKUP($A124,Input_Raw!$A:$A,Input_Raw!$CF:$CF),"")</f>
        <v>0</v>
      </c>
      <c r="Y124" s="167">
        <f>IFERROR(_xlfn.XLOOKUP($A124,Input_Raw!$A:$A,Input_Raw!$CZ:$CZ),"")</f>
        <v>0</v>
      </c>
      <c r="Z124" s="167">
        <f>IFERROR(_xlfn.XLOOKUP($A124,Input_Raw!$A:$A,Input_Raw!$DA:$DA),"")</f>
        <v>0</v>
      </c>
      <c r="AA124" s="169">
        <f t="shared" si="9"/>
        <v>0</v>
      </c>
      <c r="AB124" s="167">
        <f>IFERROR(_xlfn.XLOOKUP($A124,Input_Raw!$A:$A,Input_Raw!$DG:$DG),"")</f>
        <v>0</v>
      </c>
      <c r="AC124" s="187">
        <f>IFERROR(_xlfn.XLOOKUP($D124,'Modelling New'!$D:$D,'Modelling New'!$J:$J),"")</f>
        <v>7.6000000000000005</v>
      </c>
      <c r="AD124" s="169">
        <f>IFERROR(_xlfn.XLOOKUP($D124,'Modelling New'!$D:$D,'Modelling New'!$T:$T)*1000,"")</f>
        <v>585797.81940673687</v>
      </c>
      <c r="AE124" s="186"/>
      <c r="AF124" s="186">
        <f>IFERROR(_xlfn.XLOOKUP($D124,'Modelling New'!$D:$D,'Modelling New'!$W:$W),"")</f>
        <v>0.31292618558052182</v>
      </c>
      <c r="AG124" s="186">
        <f>IFERROR(_xlfn.XLOOKUP($D124,'Modelling New'!$D:$D,'Modelling New'!$AE:$AE),"")</f>
        <v>0.96029999999999993</v>
      </c>
      <c r="AH124" s="186">
        <f>IFERROR(_xlfn.XLOOKUP($D124,'Modelling New'!$D:$D,'Modelling New'!$AF:$AF),"")</f>
        <v>0.995</v>
      </c>
      <c r="AI124" s="167">
        <f>IFERROR(_xlfn.XLOOKUP($A124,Input_Raw!$A:$A,Input_Raw!$DE:$DE),"")</f>
        <v>0</v>
      </c>
      <c r="AJ124" s="167"/>
      <c r="AK124" s="167"/>
      <c r="AL124" s="167"/>
      <c r="AM124" s="167"/>
      <c r="AN124" s="188" t="str">
        <f>IFERROR(_xlfn.XLOOKUP($A124,Input_Raw!$A:$A,Input_Raw!$DB:$DB),"")</f>
        <v/>
      </c>
      <c r="AO124" s="186" t="str">
        <f>IFERROR((_xlfn.XLOOKUP($A124,'WTG Reactive Power'!$A:$A,'WTG Reactive Power'!$AR:$AR))/X124/1000,"")</f>
        <v/>
      </c>
      <c r="AP124" s="186">
        <f>IFERROR(_xlfn.XLOOKUP($D124,'Modelling New'!$D:$D,'Modelling New'!$AK:$AK),"")</f>
        <v>0.05</v>
      </c>
      <c r="AQ124" s="186">
        <f>IFERROR(_xlfn.XLOOKUP($D124,'Modelling New'!$D:$D,'Modelling New'!$AL:$AL),"")</f>
        <v>0.05</v>
      </c>
      <c r="AR124">
        <f>IFERROR(_xlfn.XLOOKUP($D124,'Modelling New'!$D:$D,'Modelling New'!$N:$N),"")</f>
        <v>78</v>
      </c>
    </row>
    <row r="125" spans="1:44">
      <c r="A125" s="180">
        <f t="shared" si="11"/>
        <v>45868</v>
      </c>
      <c r="B125" s="169">
        <f>YEAR(Table13[[#This Row],[Date]])+IF(MONTH(Table13[[#This Row],[Date]])&gt;=4,1,0)</f>
        <v>2026</v>
      </c>
      <c r="C125" s="167">
        <f>YEAR(Table13[[#This Row],[Date]])</f>
        <v>2025</v>
      </c>
      <c r="D125" s="181">
        <f>Table13[[#This Row],[Date]]-DAY(Table13[[#This Row],[Date]])+1</f>
        <v>45839</v>
      </c>
      <c r="E125" s="167">
        <f t="shared" si="8"/>
        <v>31</v>
      </c>
      <c r="F125" s="170"/>
      <c r="G125" s="171"/>
      <c r="H125" s="171"/>
      <c r="I125" s="171"/>
      <c r="J125" s="171"/>
      <c r="K125" s="182"/>
      <c r="L125" s="171"/>
      <c r="M125" s="171" t="str">
        <f>IFERROR(_xlfn.XLOOKUP($A125,Input_Raw!$A:$A,Input_Raw!CG:CG),"")</f>
        <v/>
      </c>
      <c r="N125" s="171">
        <f>IFERROR(_xlfn.XLOOKUP($A125,Input_Raw!$A:$A,Input_Raw!CH:CH),"")</f>
        <v>0</v>
      </c>
      <c r="O125" s="183" t="str">
        <f t="shared" si="10"/>
        <v/>
      </c>
      <c r="P125" s="183" t="str">
        <f>IFERROR(1-SUMIF(WTG_BD!$B:$B,$A125,WTG_BD!$AB:$AB)/($AA125+SUMIF(WTG_BD!$B:$B,$A125,WTG_BD!$AB:$AB)),"")</f>
        <v/>
      </c>
      <c r="Q125" s="184" t="str">
        <f>IFERROR(1-SUMIF(IGA_BD!$B:$B,$A125,IGA_BD!$X:$X)/($AA125+SUMIF(IGA_BD!$B:$B,$A125,IGA_BD!$X:$X)),"")</f>
        <v/>
      </c>
      <c r="R125" s="189" t="str">
        <f>IFERROR(1-SUMIF(Grid_BD!$B:$B,$A125,Grid_BD!$V:$V)/($AA125+SUMIF(Grid_BD!$B:$B,$A125,Grid_BD!$V:$V)),"")</f>
        <v/>
      </c>
      <c r="S125" s="167"/>
      <c r="T125" s="184"/>
      <c r="U125" s="185"/>
      <c r="V125" s="167"/>
      <c r="W125" s="186">
        <f>IFERROR(Table13[[#This Row],[Mtr_Net_Exp (KWh)]]/(24*AR125*1000),"")</f>
        <v>0</v>
      </c>
      <c r="X125" s="167">
        <f>IFERROR(_xlfn.XLOOKUP($A125,Input_Raw!$A:$A,Input_Raw!$CF:$CF),"")</f>
        <v>0</v>
      </c>
      <c r="Y125" s="167">
        <f>IFERROR(_xlfn.XLOOKUP($A125,Input_Raw!$A:$A,Input_Raw!$CZ:$CZ),"")</f>
        <v>0</v>
      </c>
      <c r="Z125" s="167">
        <f>IFERROR(_xlfn.XLOOKUP($A125,Input_Raw!$A:$A,Input_Raw!$DA:$DA),"")</f>
        <v>0</v>
      </c>
      <c r="AA125" s="169">
        <f t="shared" si="9"/>
        <v>0</v>
      </c>
      <c r="AB125" s="167">
        <f>IFERROR(_xlfn.XLOOKUP($A125,Input_Raw!$A:$A,Input_Raw!$DG:$DG),"")</f>
        <v>0</v>
      </c>
      <c r="AC125" s="187">
        <f>IFERROR(_xlfn.XLOOKUP($D125,'Modelling New'!$D:$D,'Modelling New'!$J:$J),"")</f>
        <v>7.6000000000000005</v>
      </c>
      <c r="AD125" s="169">
        <f>IFERROR(_xlfn.XLOOKUP($D125,'Modelling New'!$D:$D,'Modelling New'!$T:$T)*1000,"")</f>
        <v>585797.81940673687</v>
      </c>
      <c r="AE125" s="186"/>
      <c r="AF125" s="186">
        <f>IFERROR(_xlfn.XLOOKUP($D125,'Modelling New'!$D:$D,'Modelling New'!$W:$W),"")</f>
        <v>0.31292618558052182</v>
      </c>
      <c r="AG125" s="186">
        <f>IFERROR(_xlfn.XLOOKUP($D125,'Modelling New'!$D:$D,'Modelling New'!$AE:$AE),"")</f>
        <v>0.96029999999999993</v>
      </c>
      <c r="AH125" s="186">
        <f>IFERROR(_xlfn.XLOOKUP($D125,'Modelling New'!$D:$D,'Modelling New'!$AF:$AF),"")</f>
        <v>0.995</v>
      </c>
      <c r="AI125" s="167">
        <f>IFERROR(_xlfn.XLOOKUP($A125,Input_Raw!$A:$A,Input_Raw!$DE:$DE),"")</f>
        <v>0</v>
      </c>
      <c r="AJ125" s="167"/>
      <c r="AK125" s="167"/>
      <c r="AL125" s="167"/>
      <c r="AM125" s="167"/>
      <c r="AN125" s="188" t="str">
        <f>IFERROR(_xlfn.XLOOKUP($A125,Input_Raw!$A:$A,Input_Raw!$DB:$DB),"")</f>
        <v/>
      </c>
      <c r="AO125" s="186" t="str">
        <f>IFERROR((_xlfn.XLOOKUP($A125,'WTG Reactive Power'!$A:$A,'WTG Reactive Power'!$AR:$AR))/X125/1000,"")</f>
        <v/>
      </c>
      <c r="AP125" s="186">
        <f>IFERROR(_xlfn.XLOOKUP($D125,'Modelling New'!$D:$D,'Modelling New'!$AK:$AK),"")</f>
        <v>0.05</v>
      </c>
      <c r="AQ125" s="186">
        <f>IFERROR(_xlfn.XLOOKUP($D125,'Modelling New'!$D:$D,'Modelling New'!$AL:$AL),"")</f>
        <v>0.05</v>
      </c>
      <c r="AR125">
        <f>IFERROR(_xlfn.XLOOKUP($D125,'Modelling New'!$D:$D,'Modelling New'!$N:$N),"")</f>
        <v>78</v>
      </c>
    </row>
    <row r="126" spans="1:44">
      <c r="A126" s="180">
        <f t="shared" si="11"/>
        <v>45869</v>
      </c>
      <c r="B126" s="169">
        <f>YEAR(Table13[[#This Row],[Date]])+IF(MONTH(Table13[[#This Row],[Date]])&gt;=4,1,0)</f>
        <v>2026</v>
      </c>
      <c r="C126" s="167">
        <f>YEAR(Table13[[#This Row],[Date]])</f>
        <v>2025</v>
      </c>
      <c r="D126" s="181">
        <f>Table13[[#This Row],[Date]]-DAY(Table13[[#This Row],[Date]])+1</f>
        <v>45839</v>
      </c>
      <c r="E126" s="167">
        <f t="shared" si="8"/>
        <v>31</v>
      </c>
      <c r="F126" s="170"/>
      <c r="G126" s="171"/>
      <c r="H126" s="171"/>
      <c r="I126" s="171"/>
      <c r="J126" s="171"/>
      <c r="K126" s="182"/>
      <c r="L126" s="171"/>
      <c r="M126" s="171" t="str">
        <f>IFERROR(_xlfn.XLOOKUP($A126,Input_Raw!$A:$A,Input_Raw!CG:CG),"")</f>
        <v/>
      </c>
      <c r="N126" s="171">
        <f>IFERROR(_xlfn.XLOOKUP($A126,Input_Raw!$A:$A,Input_Raw!CH:CH),"")</f>
        <v>0</v>
      </c>
      <c r="O126" s="183" t="str">
        <f t="shared" si="10"/>
        <v/>
      </c>
      <c r="P126" s="183" t="str">
        <f>IFERROR(1-SUMIF(WTG_BD!$B:$B,$A126,WTG_BD!$AB:$AB)/($AA126+SUMIF(WTG_BD!$B:$B,$A126,WTG_BD!$AB:$AB)),"")</f>
        <v/>
      </c>
      <c r="Q126" s="184" t="str">
        <f>IFERROR(1-SUMIF(IGA_BD!$B:$B,$A126,IGA_BD!$X:$X)/($AA126+SUMIF(IGA_BD!$B:$B,$A126,IGA_BD!$X:$X)),"")</f>
        <v/>
      </c>
      <c r="R126" s="189" t="str">
        <f>IFERROR(1-SUMIF(Grid_BD!$B:$B,$A126,Grid_BD!$V:$V)/($AA126+SUMIF(Grid_BD!$B:$B,$A126,Grid_BD!$V:$V)),"")</f>
        <v/>
      </c>
      <c r="S126" s="167"/>
      <c r="T126" s="184"/>
      <c r="U126" s="185"/>
      <c r="V126" s="167"/>
      <c r="W126" s="186">
        <f>IFERROR(Table13[[#This Row],[Mtr_Net_Exp (KWh)]]/(24*AR126*1000),"")</f>
        <v>0</v>
      </c>
      <c r="X126" s="167">
        <f>IFERROR(_xlfn.XLOOKUP($A126,Input_Raw!$A:$A,Input_Raw!$CF:$CF),"")</f>
        <v>0</v>
      </c>
      <c r="Y126" s="167">
        <f>IFERROR(_xlfn.XLOOKUP($A126,Input_Raw!$A:$A,Input_Raw!$CZ:$CZ),"")</f>
        <v>0</v>
      </c>
      <c r="Z126" s="167">
        <f>IFERROR(_xlfn.XLOOKUP($A126,Input_Raw!$A:$A,Input_Raw!$DA:$DA),"")</f>
        <v>0</v>
      </c>
      <c r="AA126" s="169">
        <f t="shared" si="9"/>
        <v>0</v>
      </c>
      <c r="AB126" s="167">
        <f>IFERROR(_xlfn.XLOOKUP($A126,Input_Raw!$A:$A,Input_Raw!$DG:$DG),"")</f>
        <v>0</v>
      </c>
      <c r="AC126" s="187">
        <f>IFERROR(_xlfn.XLOOKUP($D126,'Modelling New'!$D:$D,'Modelling New'!$J:$J),"")</f>
        <v>7.6000000000000005</v>
      </c>
      <c r="AD126" s="169">
        <f>IFERROR(_xlfn.XLOOKUP($D126,'Modelling New'!$D:$D,'Modelling New'!$T:$T)*1000,"")</f>
        <v>585797.81940673687</v>
      </c>
      <c r="AE126" s="186"/>
      <c r="AF126" s="186">
        <f>IFERROR(_xlfn.XLOOKUP($D126,'Modelling New'!$D:$D,'Modelling New'!$W:$W),"")</f>
        <v>0.31292618558052182</v>
      </c>
      <c r="AG126" s="186">
        <f>IFERROR(_xlfn.XLOOKUP($D126,'Modelling New'!$D:$D,'Modelling New'!$AE:$AE),"")</f>
        <v>0.96029999999999993</v>
      </c>
      <c r="AH126" s="186">
        <f>IFERROR(_xlfn.XLOOKUP($D126,'Modelling New'!$D:$D,'Modelling New'!$AF:$AF),"")</f>
        <v>0.995</v>
      </c>
      <c r="AI126" s="167">
        <f>IFERROR(_xlfn.XLOOKUP($A126,Input_Raw!$A:$A,Input_Raw!$DE:$DE),"")</f>
        <v>0</v>
      </c>
      <c r="AJ126" s="167"/>
      <c r="AK126" s="167"/>
      <c r="AL126" s="167"/>
      <c r="AM126" s="167"/>
      <c r="AN126" s="188" t="str">
        <f>IFERROR(_xlfn.XLOOKUP($A126,Input_Raw!$A:$A,Input_Raw!$DB:$DB),"")</f>
        <v/>
      </c>
      <c r="AO126" s="186" t="str">
        <f>IFERROR((_xlfn.XLOOKUP($A126,'WTG Reactive Power'!$A:$A,'WTG Reactive Power'!$AR:$AR))/X126/1000,"")</f>
        <v/>
      </c>
      <c r="AP126" s="186">
        <f>IFERROR(_xlfn.XLOOKUP($D126,'Modelling New'!$D:$D,'Modelling New'!$AK:$AK),"")</f>
        <v>0.05</v>
      </c>
      <c r="AQ126" s="186">
        <f>IFERROR(_xlfn.XLOOKUP($D126,'Modelling New'!$D:$D,'Modelling New'!$AL:$AL),"")</f>
        <v>0.05</v>
      </c>
      <c r="AR126">
        <f>IFERROR(_xlfn.XLOOKUP($D126,'Modelling New'!$D:$D,'Modelling New'!$N:$N),"")</f>
        <v>78</v>
      </c>
    </row>
    <row r="127" spans="1:44">
      <c r="A127" s="180">
        <f t="shared" si="11"/>
        <v>45870</v>
      </c>
      <c r="B127" s="169">
        <f>YEAR(Table13[[#This Row],[Date]])+IF(MONTH(Table13[[#This Row],[Date]])&gt;=4,1,0)</f>
        <v>2026</v>
      </c>
      <c r="C127" s="167">
        <f>YEAR(Table13[[#This Row],[Date]])</f>
        <v>2025</v>
      </c>
      <c r="D127" s="181">
        <f>Table13[[#This Row],[Date]]-DAY(Table13[[#This Row],[Date]])+1</f>
        <v>45870</v>
      </c>
      <c r="E127" s="167">
        <f t="shared" si="8"/>
        <v>31</v>
      </c>
      <c r="F127" s="170"/>
      <c r="G127" s="171"/>
      <c r="H127" s="171"/>
      <c r="I127" s="171"/>
      <c r="J127" s="171"/>
      <c r="K127" s="182"/>
      <c r="L127" s="171"/>
      <c r="M127" s="171" t="str">
        <f>IFERROR(_xlfn.XLOOKUP($A127,Input_Raw!$A:$A,Input_Raw!CG:CG),"")</f>
        <v/>
      </c>
      <c r="N127" s="171">
        <f>IFERROR(_xlfn.XLOOKUP($A127,Input_Raw!$A:$A,Input_Raw!CH:CH),"")</f>
        <v>0</v>
      </c>
      <c r="O127" s="183" t="str">
        <f t="shared" si="10"/>
        <v/>
      </c>
      <c r="P127" s="183" t="str">
        <f>IFERROR(1-SUMIF(WTG_BD!$B:$B,$A127,WTG_BD!$AB:$AB)/($AA127+SUMIF(WTG_BD!$B:$B,$A127,WTG_BD!$AB:$AB)),"")</f>
        <v/>
      </c>
      <c r="Q127" s="184" t="str">
        <f>IFERROR(1-SUMIF(IGA_BD!$B:$B,$A127,IGA_BD!$X:$X)/($AA127+SUMIF(IGA_BD!$B:$B,$A127,IGA_BD!$X:$X)),"")</f>
        <v/>
      </c>
      <c r="R127" s="189" t="str">
        <f>IFERROR(1-SUMIF(Grid_BD!$B:$B,$A127,Grid_BD!$V:$V)/($AA127+SUMIF(Grid_BD!$B:$B,$A127,Grid_BD!$V:$V)),"")</f>
        <v/>
      </c>
      <c r="S127" s="167"/>
      <c r="T127" s="184"/>
      <c r="U127" s="185"/>
      <c r="V127" s="167"/>
      <c r="W127" s="186">
        <f>IFERROR(Table13[[#This Row],[Mtr_Net_Exp (KWh)]]/(24*AR127*1000),"")</f>
        <v>0</v>
      </c>
      <c r="X127" s="167">
        <f>IFERROR(_xlfn.XLOOKUP($A127,Input_Raw!$A:$A,Input_Raw!$CF:$CF),"")</f>
        <v>0</v>
      </c>
      <c r="Y127" s="167">
        <f>IFERROR(_xlfn.XLOOKUP($A127,Input_Raw!$A:$A,Input_Raw!$CZ:$CZ),"")</f>
        <v>0</v>
      </c>
      <c r="Z127" s="167">
        <f>IFERROR(_xlfn.XLOOKUP($A127,Input_Raw!$A:$A,Input_Raw!$DA:$DA),"")</f>
        <v>0</v>
      </c>
      <c r="AA127" s="169">
        <f t="shared" si="9"/>
        <v>0</v>
      </c>
      <c r="AB127" s="167">
        <f>IFERROR(_xlfn.XLOOKUP($A127,Input_Raw!$A:$A,Input_Raw!$DG:$DG),"")</f>
        <v>0</v>
      </c>
      <c r="AC127" s="187">
        <f>IFERROR(_xlfn.XLOOKUP($D127,'Modelling New'!$D:$D,'Modelling New'!$J:$J),"")</f>
        <v>6.8666666666666671</v>
      </c>
      <c r="AD127" s="169">
        <f>IFERROR(_xlfn.XLOOKUP($D127,'Modelling New'!$D:$D,'Modelling New'!$T:$T)*1000,"")</f>
        <v>616013.63346204848</v>
      </c>
      <c r="AE127" s="186"/>
      <c r="AF127" s="186">
        <f>IFERROR(_xlfn.XLOOKUP($D127,'Modelling New'!$D:$D,'Modelling New'!$W:$W),"")</f>
        <v>0.3290671118921199</v>
      </c>
      <c r="AG127" s="186">
        <f>IFERROR(_xlfn.XLOOKUP($D127,'Modelling New'!$D:$D,'Modelling New'!$AE:$AE),"")</f>
        <v>0.96029999999999993</v>
      </c>
      <c r="AH127" s="186">
        <f>IFERROR(_xlfn.XLOOKUP($D127,'Modelling New'!$D:$D,'Modelling New'!$AF:$AF),"")</f>
        <v>0.995</v>
      </c>
      <c r="AI127" s="167">
        <f>IFERROR(_xlfn.XLOOKUP($A127,Input_Raw!$A:$A,Input_Raw!$DE:$DE),"")</f>
        <v>0</v>
      </c>
      <c r="AJ127" s="167"/>
      <c r="AK127" s="167"/>
      <c r="AL127" s="167"/>
      <c r="AM127" s="167"/>
      <c r="AN127" s="188" t="str">
        <f>IFERROR(_xlfn.XLOOKUP($A127,Input_Raw!$A:$A,Input_Raw!$DB:$DB),"")</f>
        <v/>
      </c>
      <c r="AO127" s="186" t="str">
        <f>IFERROR((_xlfn.XLOOKUP($A127,'WTG Reactive Power'!$A:$A,'WTG Reactive Power'!$AR:$AR))/X127/1000,"")</f>
        <v/>
      </c>
      <c r="AP127" s="186">
        <f>IFERROR(_xlfn.XLOOKUP($D127,'Modelling New'!$D:$D,'Modelling New'!$AK:$AK),"")</f>
        <v>0.05</v>
      </c>
      <c r="AQ127" s="186">
        <f>IFERROR(_xlfn.XLOOKUP($D127,'Modelling New'!$D:$D,'Modelling New'!$AL:$AL),"")</f>
        <v>0.05</v>
      </c>
      <c r="AR127">
        <f>IFERROR(_xlfn.XLOOKUP($D127,'Modelling New'!$D:$D,'Modelling New'!$N:$N),"")</f>
        <v>78</v>
      </c>
    </row>
    <row r="128" spans="1:44">
      <c r="A128" s="180">
        <f t="shared" si="11"/>
        <v>45871</v>
      </c>
      <c r="B128" s="169">
        <f>YEAR(Table13[[#This Row],[Date]])+IF(MONTH(Table13[[#This Row],[Date]])&gt;=4,1,0)</f>
        <v>2026</v>
      </c>
      <c r="C128" s="167">
        <f>YEAR(Table13[[#This Row],[Date]])</f>
        <v>2025</v>
      </c>
      <c r="D128" s="181">
        <f>Table13[[#This Row],[Date]]-DAY(Table13[[#This Row],[Date]])+1</f>
        <v>45870</v>
      </c>
      <c r="E128" s="167">
        <f t="shared" si="8"/>
        <v>31</v>
      </c>
      <c r="F128" s="170"/>
      <c r="G128" s="171"/>
      <c r="H128" s="171"/>
      <c r="I128" s="171"/>
      <c r="J128" s="171"/>
      <c r="K128" s="182"/>
      <c r="L128" s="171"/>
      <c r="M128" s="171" t="str">
        <f>IFERROR(_xlfn.XLOOKUP($A128,Input_Raw!$A:$A,Input_Raw!CG:CG),"")</f>
        <v/>
      </c>
      <c r="N128" s="171">
        <f>IFERROR(_xlfn.XLOOKUP($A128,Input_Raw!$A:$A,Input_Raw!CH:CH),"")</f>
        <v>0</v>
      </c>
      <c r="O128" s="183" t="str">
        <f t="shared" si="10"/>
        <v/>
      </c>
      <c r="P128" s="183" t="str">
        <f>IFERROR(1-SUMIF(WTG_BD!$B:$B,$A128,WTG_BD!$AB:$AB)/($AA128+SUMIF(WTG_BD!$B:$B,$A128,WTG_BD!$AB:$AB)),"")</f>
        <v/>
      </c>
      <c r="Q128" s="184" t="str">
        <f>IFERROR(1-SUMIF(IGA_BD!$B:$B,$A128,IGA_BD!$X:$X)/($AA128+SUMIF(IGA_BD!$B:$B,$A128,IGA_BD!$X:$X)),"")</f>
        <v/>
      </c>
      <c r="R128" s="189" t="str">
        <f>IFERROR(1-SUMIF(Grid_BD!$B:$B,$A128,Grid_BD!$V:$V)/($AA128+SUMIF(Grid_BD!$B:$B,$A128,Grid_BD!$V:$V)),"")</f>
        <v/>
      </c>
      <c r="S128" s="167"/>
      <c r="T128" s="184"/>
      <c r="U128" s="185"/>
      <c r="V128" s="167"/>
      <c r="W128" s="186">
        <f>IFERROR(Table13[[#This Row],[Mtr_Net_Exp (KWh)]]/(24*AR128*1000),"")</f>
        <v>0</v>
      </c>
      <c r="X128" s="167">
        <f>IFERROR(_xlfn.XLOOKUP($A128,Input_Raw!$A:$A,Input_Raw!$CF:$CF),"")</f>
        <v>0</v>
      </c>
      <c r="Y128" s="167">
        <f>IFERROR(_xlfn.XLOOKUP($A128,Input_Raw!$A:$A,Input_Raw!$CZ:$CZ),"")</f>
        <v>0</v>
      </c>
      <c r="Z128" s="167">
        <f>IFERROR(_xlfn.XLOOKUP($A128,Input_Raw!$A:$A,Input_Raw!$DA:$DA),"")</f>
        <v>0</v>
      </c>
      <c r="AA128" s="169">
        <f t="shared" si="9"/>
        <v>0</v>
      </c>
      <c r="AB128" s="167">
        <f>IFERROR(_xlfn.XLOOKUP($A128,Input_Raw!$A:$A,Input_Raw!$DG:$DG),"")</f>
        <v>0</v>
      </c>
      <c r="AC128" s="187">
        <f>IFERROR(_xlfn.XLOOKUP($D128,'Modelling New'!$D:$D,'Modelling New'!$J:$J),"")</f>
        <v>6.8666666666666671</v>
      </c>
      <c r="AD128" s="169">
        <f>IFERROR(_xlfn.XLOOKUP($D128,'Modelling New'!$D:$D,'Modelling New'!$T:$T)*1000,"")</f>
        <v>616013.63346204848</v>
      </c>
      <c r="AE128" s="186"/>
      <c r="AF128" s="186">
        <f>IFERROR(_xlfn.XLOOKUP($D128,'Modelling New'!$D:$D,'Modelling New'!$W:$W),"")</f>
        <v>0.3290671118921199</v>
      </c>
      <c r="AG128" s="186">
        <f>IFERROR(_xlfn.XLOOKUP($D128,'Modelling New'!$D:$D,'Modelling New'!$AE:$AE),"")</f>
        <v>0.96029999999999993</v>
      </c>
      <c r="AH128" s="186">
        <f>IFERROR(_xlfn.XLOOKUP($D128,'Modelling New'!$D:$D,'Modelling New'!$AF:$AF),"")</f>
        <v>0.995</v>
      </c>
      <c r="AI128" s="167">
        <f>IFERROR(_xlfn.XLOOKUP($A128,Input_Raw!$A:$A,Input_Raw!$DE:$DE),"")</f>
        <v>0</v>
      </c>
      <c r="AJ128" s="167"/>
      <c r="AK128" s="167"/>
      <c r="AL128" s="167"/>
      <c r="AM128" s="167"/>
      <c r="AN128" s="188" t="str">
        <f>IFERROR(_xlfn.XLOOKUP($A128,Input_Raw!$A:$A,Input_Raw!$DB:$DB),"")</f>
        <v/>
      </c>
      <c r="AO128" s="186" t="str">
        <f>IFERROR((_xlfn.XLOOKUP($A128,'WTG Reactive Power'!$A:$A,'WTG Reactive Power'!$AR:$AR))/X128/1000,"")</f>
        <v/>
      </c>
      <c r="AP128" s="186">
        <f>IFERROR(_xlfn.XLOOKUP($D128,'Modelling New'!$D:$D,'Modelling New'!$AK:$AK),"")</f>
        <v>0.05</v>
      </c>
      <c r="AQ128" s="186">
        <f>IFERROR(_xlfn.XLOOKUP($D128,'Modelling New'!$D:$D,'Modelling New'!$AL:$AL),"")</f>
        <v>0.05</v>
      </c>
      <c r="AR128">
        <f>IFERROR(_xlfn.XLOOKUP($D128,'Modelling New'!$D:$D,'Modelling New'!$N:$N),"")</f>
        <v>78</v>
      </c>
    </row>
    <row r="129" spans="1:44">
      <c r="A129" s="180">
        <f t="shared" si="11"/>
        <v>45872</v>
      </c>
      <c r="B129" s="169">
        <f>YEAR(Table13[[#This Row],[Date]])+IF(MONTH(Table13[[#This Row],[Date]])&gt;=4,1,0)</f>
        <v>2026</v>
      </c>
      <c r="C129" s="167">
        <f>YEAR(Table13[[#This Row],[Date]])</f>
        <v>2025</v>
      </c>
      <c r="D129" s="181">
        <f>Table13[[#This Row],[Date]]-DAY(Table13[[#This Row],[Date]])+1</f>
        <v>45870</v>
      </c>
      <c r="E129" s="167">
        <f t="shared" si="8"/>
        <v>31</v>
      </c>
      <c r="F129" s="170"/>
      <c r="G129" s="171"/>
      <c r="H129" s="171"/>
      <c r="I129" s="171"/>
      <c r="J129" s="171"/>
      <c r="K129" s="182"/>
      <c r="L129" s="171"/>
      <c r="M129" s="171" t="str">
        <f>IFERROR(_xlfn.XLOOKUP($A129,Input_Raw!$A:$A,Input_Raw!CG:CG),"")</f>
        <v/>
      </c>
      <c r="N129" s="171">
        <f>IFERROR(_xlfn.XLOOKUP($A129,Input_Raw!$A:$A,Input_Raw!CH:CH),"")</f>
        <v>0</v>
      </c>
      <c r="O129" s="183" t="str">
        <f t="shared" si="10"/>
        <v/>
      </c>
      <c r="P129" s="183" t="str">
        <f>IFERROR(1-SUMIF(WTG_BD!$B:$B,$A129,WTG_BD!$AB:$AB)/($AA129+SUMIF(WTG_BD!$B:$B,$A129,WTG_BD!$AB:$AB)),"")</f>
        <v/>
      </c>
      <c r="Q129" s="184" t="str">
        <f>IFERROR(1-SUMIF(IGA_BD!$B:$B,$A129,IGA_BD!$X:$X)/($AA129+SUMIF(IGA_BD!$B:$B,$A129,IGA_BD!$X:$X)),"")</f>
        <v/>
      </c>
      <c r="R129" s="189" t="str">
        <f>IFERROR(1-SUMIF(Grid_BD!$B:$B,$A129,Grid_BD!$V:$V)/($AA129+SUMIF(Grid_BD!$B:$B,$A129,Grid_BD!$V:$V)),"")</f>
        <v/>
      </c>
      <c r="S129" s="167"/>
      <c r="T129" s="184"/>
      <c r="U129" s="185"/>
      <c r="V129" s="167"/>
      <c r="W129" s="186">
        <f>IFERROR(Table13[[#This Row],[Mtr_Net_Exp (KWh)]]/(24*AR129*1000),"")</f>
        <v>0</v>
      </c>
      <c r="X129" s="167">
        <f>IFERROR(_xlfn.XLOOKUP($A129,Input_Raw!$A:$A,Input_Raw!$CF:$CF),"")</f>
        <v>0</v>
      </c>
      <c r="Y129" s="167">
        <f>IFERROR(_xlfn.XLOOKUP($A129,Input_Raw!$A:$A,Input_Raw!$CZ:$CZ),"")</f>
        <v>0</v>
      </c>
      <c r="Z129" s="167">
        <f>IFERROR(_xlfn.XLOOKUP($A129,Input_Raw!$A:$A,Input_Raw!$DA:$DA),"")</f>
        <v>0</v>
      </c>
      <c r="AA129" s="169">
        <f t="shared" si="9"/>
        <v>0</v>
      </c>
      <c r="AB129" s="167">
        <f>IFERROR(_xlfn.XLOOKUP($A129,Input_Raw!$A:$A,Input_Raw!$DG:$DG),"")</f>
        <v>0</v>
      </c>
      <c r="AC129" s="187">
        <f>IFERROR(_xlfn.XLOOKUP($D129,'Modelling New'!$D:$D,'Modelling New'!$J:$J),"")</f>
        <v>6.8666666666666671</v>
      </c>
      <c r="AD129" s="169">
        <f>IFERROR(_xlfn.XLOOKUP($D129,'Modelling New'!$D:$D,'Modelling New'!$T:$T)*1000,"")</f>
        <v>616013.63346204848</v>
      </c>
      <c r="AE129" s="186"/>
      <c r="AF129" s="186">
        <f>IFERROR(_xlfn.XLOOKUP($D129,'Modelling New'!$D:$D,'Modelling New'!$W:$W),"")</f>
        <v>0.3290671118921199</v>
      </c>
      <c r="AG129" s="186">
        <f>IFERROR(_xlfn.XLOOKUP($D129,'Modelling New'!$D:$D,'Modelling New'!$AE:$AE),"")</f>
        <v>0.96029999999999993</v>
      </c>
      <c r="AH129" s="186">
        <f>IFERROR(_xlfn.XLOOKUP($D129,'Modelling New'!$D:$D,'Modelling New'!$AF:$AF),"")</f>
        <v>0.995</v>
      </c>
      <c r="AI129" s="167">
        <f>IFERROR(_xlfn.XLOOKUP($A129,Input_Raw!$A:$A,Input_Raw!$DE:$DE),"")</f>
        <v>0</v>
      </c>
      <c r="AJ129" s="167"/>
      <c r="AK129" s="167"/>
      <c r="AL129" s="167"/>
      <c r="AM129" s="167"/>
      <c r="AN129" s="188" t="str">
        <f>IFERROR(_xlfn.XLOOKUP($A129,Input_Raw!$A:$A,Input_Raw!$DB:$DB),"")</f>
        <v/>
      </c>
      <c r="AO129" s="186" t="str">
        <f>IFERROR((_xlfn.XLOOKUP($A129,'WTG Reactive Power'!$A:$A,'WTG Reactive Power'!$AR:$AR))/X129/1000,"")</f>
        <v/>
      </c>
      <c r="AP129" s="186">
        <f>IFERROR(_xlfn.XLOOKUP($D129,'Modelling New'!$D:$D,'Modelling New'!$AK:$AK),"")</f>
        <v>0.05</v>
      </c>
      <c r="AQ129" s="186">
        <f>IFERROR(_xlfn.XLOOKUP($D129,'Modelling New'!$D:$D,'Modelling New'!$AL:$AL),"")</f>
        <v>0.05</v>
      </c>
      <c r="AR129">
        <f>IFERROR(_xlfn.XLOOKUP($D129,'Modelling New'!$D:$D,'Modelling New'!$N:$N),"")</f>
        <v>78</v>
      </c>
    </row>
    <row r="130" spans="1:44">
      <c r="A130" s="180">
        <f t="shared" si="11"/>
        <v>45873</v>
      </c>
      <c r="B130" s="169">
        <f>YEAR(Table13[[#This Row],[Date]])+IF(MONTH(Table13[[#This Row],[Date]])&gt;=4,1,0)</f>
        <v>2026</v>
      </c>
      <c r="C130" s="167">
        <f>YEAR(Table13[[#This Row],[Date]])</f>
        <v>2025</v>
      </c>
      <c r="D130" s="181">
        <f>Table13[[#This Row],[Date]]-DAY(Table13[[#This Row],[Date]])+1</f>
        <v>45870</v>
      </c>
      <c r="E130" s="167">
        <f t="shared" si="8"/>
        <v>31</v>
      </c>
      <c r="F130" s="170"/>
      <c r="G130" s="171"/>
      <c r="H130" s="171"/>
      <c r="I130" s="171"/>
      <c r="J130" s="171"/>
      <c r="K130" s="182"/>
      <c r="L130" s="171"/>
      <c r="M130" s="171" t="str">
        <f>IFERROR(_xlfn.XLOOKUP($A130,Input_Raw!$A:$A,Input_Raw!CG:CG),"")</f>
        <v/>
      </c>
      <c r="N130" s="171">
        <f>IFERROR(_xlfn.XLOOKUP($A130,Input_Raw!$A:$A,Input_Raw!CH:CH),"")</f>
        <v>0</v>
      </c>
      <c r="O130" s="183" t="str">
        <f t="shared" si="10"/>
        <v/>
      </c>
      <c r="P130" s="183" t="str">
        <f>IFERROR(1-SUMIF(WTG_BD!$B:$B,$A130,WTG_BD!$AB:$AB)/($AA130+SUMIF(WTG_BD!$B:$B,$A130,WTG_BD!$AB:$AB)),"")</f>
        <v/>
      </c>
      <c r="Q130" s="184" t="str">
        <f>IFERROR(1-SUMIF(IGA_BD!$B:$B,$A130,IGA_BD!$X:$X)/($AA130+SUMIF(IGA_BD!$B:$B,$A130,IGA_BD!$X:$X)),"")</f>
        <v/>
      </c>
      <c r="R130" s="189" t="str">
        <f>IFERROR(1-SUMIF(Grid_BD!$B:$B,$A130,Grid_BD!$V:$V)/($AA130+SUMIF(Grid_BD!$B:$B,$A130,Grid_BD!$V:$V)),"")</f>
        <v/>
      </c>
      <c r="S130" s="167"/>
      <c r="T130" s="184"/>
      <c r="U130" s="185"/>
      <c r="V130" s="167"/>
      <c r="W130" s="186">
        <f>IFERROR(Table13[[#This Row],[Mtr_Net_Exp (KWh)]]/(24*AR130*1000),"")</f>
        <v>0</v>
      </c>
      <c r="X130" s="167">
        <f>IFERROR(_xlfn.XLOOKUP($A130,Input_Raw!$A:$A,Input_Raw!$CF:$CF),"")</f>
        <v>0</v>
      </c>
      <c r="Y130" s="167">
        <f>IFERROR(_xlfn.XLOOKUP($A130,Input_Raw!$A:$A,Input_Raw!$CZ:$CZ),"")</f>
        <v>0</v>
      </c>
      <c r="Z130" s="167">
        <f>IFERROR(_xlfn.XLOOKUP($A130,Input_Raw!$A:$A,Input_Raw!$DA:$DA),"")</f>
        <v>0</v>
      </c>
      <c r="AA130" s="169">
        <f t="shared" si="9"/>
        <v>0</v>
      </c>
      <c r="AB130" s="167">
        <f>IFERROR(_xlfn.XLOOKUP($A130,Input_Raw!$A:$A,Input_Raw!$DG:$DG),"")</f>
        <v>0</v>
      </c>
      <c r="AC130" s="187">
        <f>IFERROR(_xlfn.XLOOKUP($D130,'Modelling New'!$D:$D,'Modelling New'!$J:$J),"")</f>
        <v>6.8666666666666671</v>
      </c>
      <c r="AD130" s="169">
        <f>IFERROR(_xlfn.XLOOKUP($D130,'Modelling New'!$D:$D,'Modelling New'!$T:$T)*1000,"")</f>
        <v>616013.63346204848</v>
      </c>
      <c r="AE130" s="186"/>
      <c r="AF130" s="186">
        <f>IFERROR(_xlfn.XLOOKUP($D130,'Modelling New'!$D:$D,'Modelling New'!$W:$W),"")</f>
        <v>0.3290671118921199</v>
      </c>
      <c r="AG130" s="186">
        <f>IFERROR(_xlfn.XLOOKUP($D130,'Modelling New'!$D:$D,'Modelling New'!$AE:$AE),"")</f>
        <v>0.96029999999999993</v>
      </c>
      <c r="AH130" s="186">
        <f>IFERROR(_xlfn.XLOOKUP($D130,'Modelling New'!$D:$D,'Modelling New'!$AF:$AF),"")</f>
        <v>0.995</v>
      </c>
      <c r="AI130" s="167">
        <f>IFERROR(_xlfn.XLOOKUP($A130,Input_Raw!$A:$A,Input_Raw!$DE:$DE),"")</f>
        <v>0</v>
      </c>
      <c r="AJ130" s="167"/>
      <c r="AK130" s="167"/>
      <c r="AL130" s="167"/>
      <c r="AM130" s="167"/>
      <c r="AN130" s="188" t="str">
        <f>IFERROR(_xlfn.XLOOKUP($A130,Input_Raw!$A:$A,Input_Raw!$DB:$DB),"")</f>
        <v/>
      </c>
      <c r="AO130" s="186" t="str">
        <f>IFERROR((_xlfn.XLOOKUP($A130,'WTG Reactive Power'!$A:$A,'WTG Reactive Power'!$AR:$AR))/X130/1000,"")</f>
        <v/>
      </c>
      <c r="AP130" s="186">
        <f>IFERROR(_xlfn.XLOOKUP($D130,'Modelling New'!$D:$D,'Modelling New'!$AK:$AK),"")</f>
        <v>0.05</v>
      </c>
      <c r="AQ130" s="186">
        <f>IFERROR(_xlfn.XLOOKUP($D130,'Modelling New'!$D:$D,'Modelling New'!$AL:$AL),"")</f>
        <v>0.05</v>
      </c>
      <c r="AR130">
        <f>IFERROR(_xlfn.XLOOKUP($D130,'Modelling New'!$D:$D,'Modelling New'!$N:$N),"")</f>
        <v>78</v>
      </c>
    </row>
    <row r="131" spans="1:44">
      <c r="A131" s="180">
        <f t="shared" si="11"/>
        <v>45874</v>
      </c>
      <c r="B131" s="169">
        <f>YEAR(Table13[[#This Row],[Date]])+IF(MONTH(Table13[[#This Row],[Date]])&gt;=4,1,0)</f>
        <v>2026</v>
      </c>
      <c r="C131" s="167">
        <f>YEAR(Table13[[#This Row],[Date]])</f>
        <v>2025</v>
      </c>
      <c r="D131" s="181">
        <f>Table13[[#This Row],[Date]]-DAY(Table13[[#This Row],[Date]])+1</f>
        <v>45870</v>
      </c>
      <c r="E131" s="167">
        <f t="shared" si="8"/>
        <v>31</v>
      </c>
      <c r="F131" s="170"/>
      <c r="G131" s="171"/>
      <c r="H131" s="171"/>
      <c r="I131" s="171"/>
      <c r="J131" s="171"/>
      <c r="K131" s="182"/>
      <c r="L131" s="171"/>
      <c r="M131" s="171" t="str">
        <f>IFERROR(_xlfn.XLOOKUP($A131,Input_Raw!$A:$A,Input_Raw!CG:CG),"")</f>
        <v/>
      </c>
      <c r="N131" s="171">
        <f>IFERROR(_xlfn.XLOOKUP($A131,Input_Raw!$A:$A,Input_Raw!CH:CH),"")</f>
        <v>0</v>
      </c>
      <c r="O131" s="183" t="str">
        <f t="shared" si="10"/>
        <v/>
      </c>
      <c r="P131" s="183" t="str">
        <f>IFERROR(1-SUMIF(WTG_BD!$B:$B,$A131,WTG_BD!$AB:$AB)/($AA131+SUMIF(WTG_BD!$B:$B,$A131,WTG_BD!$AB:$AB)),"")</f>
        <v/>
      </c>
      <c r="Q131" s="184" t="str">
        <f>IFERROR(1-SUMIF(IGA_BD!$B:$B,$A131,IGA_BD!$X:$X)/($AA131+SUMIF(IGA_BD!$B:$B,$A131,IGA_BD!$X:$X)),"")</f>
        <v/>
      </c>
      <c r="R131" s="189" t="str">
        <f>IFERROR(1-SUMIF(Grid_BD!$B:$B,$A131,Grid_BD!$V:$V)/($AA131+SUMIF(Grid_BD!$B:$B,$A131,Grid_BD!$V:$V)),"")</f>
        <v/>
      </c>
      <c r="S131" s="167"/>
      <c r="T131" s="184"/>
      <c r="U131" s="185"/>
      <c r="V131" s="167"/>
      <c r="W131" s="186">
        <f>IFERROR(Table13[[#This Row],[Mtr_Net_Exp (KWh)]]/(24*AR131*1000),"")</f>
        <v>0</v>
      </c>
      <c r="X131" s="167">
        <f>IFERROR(_xlfn.XLOOKUP($A131,Input_Raw!$A:$A,Input_Raw!$CF:$CF),"")</f>
        <v>0</v>
      </c>
      <c r="Y131" s="167">
        <f>IFERROR(_xlfn.XLOOKUP($A131,Input_Raw!$A:$A,Input_Raw!$CZ:$CZ),"")</f>
        <v>0</v>
      </c>
      <c r="Z131" s="167">
        <f>IFERROR(_xlfn.XLOOKUP($A131,Input_Raw!$A:$A,Input_Raw!$DA:$DA),"")</f>
        <v>0</v>
      </c>
      <c r="AA131" s="169">
        <f t="shared" si="9"/>
        <v>0</v>
      </c>
      <c r="AB131" s="167">
        <f>IFERROR(_xlfn.XLOOKUP($A131,Input_Raw!$A:$A,Input_Raw!$DG:$DG),"")</f>
        <v>0</v>
      </c>
      <c r="AC131" s="187">
        <f>IFERROR(_xlfn.XLOOKUP($D131,'Modelling New'!$D:$D,'Modelling New'!$J:$J),"")</f>
        <v>6.8666666666666671</v>
      </c>
      <c r="AD131" s="169">
        <f>IFERROR(_xlfn.XLOOKUP($D131,'Modelling New'!$D:$D,'Modelling New'!$T:$T)*1000,"")</f>
        <v>616013.63346204848</v>
      </c>
      <c r="AE131" s="186"/>
      <c r="AF131" s="186">
        <f>IFERROR(_xlfn.XLOOKUP($D131,'Modelling New'!$D:$D,'Modelling New'!$W:$W),"")</f>
        <v>0.3290671118921199</v>
      </c>
      <c r="AG131" s="186">
        <f>IFERROR(_xlfn.XLOOKUP($D131,'Modelling New'!$D:$D,'Modelling New'!$AE:$AE),"")</f>
        <v>0.96029999999999993</v>
      </c>
      <c r="AH131" s="186">
        <f>IFERROR(_xlfn.XLOOKUP($D131,'Modelling New'!$D:$D,'Modelling New'!$AF:$AF),"")</f>
        <v>0.995</v>
      </c>
      <c r="AI131" s="167">
        <f>IFERROR(_xlfn.XLOOKUP($A131,Input_Raw!$A:$A,Input_Raw!$DE:$DE),"")</f>
        <v>0</v>
      </c>
      <c r="AJ131" s="167"/>
      <c r="AK131" s="167"/>
      <c r="AL131" s="167"/>
      <c r="AM131" s="167"/>
      <c r="AN131" s="188" t="str">
        <f>IFERROR(_xlfn.XLOOKUP($A131,Input_Raw!$A:$A,Input_Raw!$DB:$DB),"")</f>
        <v/>
      </c>
      <c r="AO131" s="186" t="str">
        <f>IFERROR((_xlfn.XLOOKUP($A131,'WTG Reactive Power'!$A:$A,'WTG Reactive Power'!$AR:$AR))/X131/1000,"")</f>
        <v/>
      </c>
      <c r="AP131" s="186">
        <f>IFERROR(_xlfn.XLOOKUP($D131,'Modelling New'!$D:$D,'Modelling New'!$AK:$AK),"")</f>
        <v>0.05</v>
      </c>
      <c r="AQ131" s="186">
        <f>IFERROR(_xlfn.XLOOKUP($D131,'Modelling New'!$D:$D,'Modelling New'!$AL:$AL),"")</f>
        <v>0.05</v>
      </c>
      <c r="AR131">
        <f>IFERROR(_xlfn.XLOOKUP($D131,'Modelling New'!$D:$D,'Modelling New'!$N:$N),"")</f>
        <v>78</v>
      </c>
    </row>
    <row r="132" spans="1:44">
      <c r="A132" s="180">
        <f t="shared" si="11"/>
        <v>45875</v>
      </c>
      <c r="B132" s="169">
        <f>YEAR(Table13[[#This Row],[Date]])+IF(MONTH(Table13[[#This Row],[Date]])&gt;=4,1,0)</f>
        <v>2026</v>
      </c>
      <c r="C132" s="167">
        <f>YEAR(Table13[[#This Row],[Date]])</f>
        <v>2025</v>
      </c>
      <c r="D132" s="181">
        <f>Table13[[#This Row],[Date]]-DAY(Table13[[#This Row],[Date]])+1</f>
        <v>45870</v>
      </c>
      <c r="E132" s="167">
        <f t="shared" si="8"/>
        <v>31</v>
      </c>
      <c r="F132" s="170"/>
      <c r="G132" s="171"/>
      <c r="H132" s="171"/>
      <c r="I132" s="171"/>
      <c r="J132" s="171"/>
      <c r="K132" s="182"/>
      <c r="L132" s="171"/>
      <c r="M132" s="171" t="str">
        <f>IFERROR(_xlfn.XLOOKUP($A132,Input_Raw!$A:$A,Input_Raw!CG:CG),"")</f>
        <v/>
      </c>
      <c r="N132" s="171">
        <f>IFERROR(_xlfn.XLOOKUP($A132,Input_Raw!$A:$A,Input_Raw!CH:CH),"")</f>
        <v>0</v>
      </c>
      <c r="O132" s="183" t="str">
        <f t="shared" si="10"/>
        <v/>
      </c>
      <c r="P132" s="183" t="str">
        <f>IFERROR(1-SUMIF(WTG_BD!$B:$B,$A132,WTG_BD!$AB:$AB)/($AA132+SUMIF(WTG_BD!$B:$B,$A132,WTG_BD!$AB:$AB)),"")</f>
        <v/>
      </c>
      <c r="Q132" s="184" t="str">
        <f>IFERROR(1-SUMIF(IGA_BD!$B:$B,$A132,IGA_BD!$X:$X)/($AA132+SUMIF(IGA_BD!$B:$B,$A132,IGA_BD!$X:$X)),"")</f>
        <v/>
      </c>
      <c r="R132" s="189" t="str">
        <f>IFERROR(1-SUMIF(Grid_BD!$B:$B,$A132,Grid_BD!$V:$V)/($AA132+SUMIF(Grid_BD!$B:$B,$A132,Grid_BD!$V:$V)),"")</f>
        <v/>
      </c>
      <c r="S132" s="167"/>
      <c r="T132" s="184"/>
      <c r="U132" s="185"/>
      <c r="V132" s="167"/>
      <c r="W132" s="186">
        <f>IFERROR(Table13[[#This Row],[Mtr_Net_Exp (KWh)]]/(24*AR132*1000),"")</f>
        <v>0</v>
      </c>
      <c r="X132" s="167">
        <f>IFERROR(_xlfn.XLOOKUP($A132,Input_Raw!$A:$A,Input_Raw!$CF:$CF),"")</f>
        <v>0</v>
      </c>
      <c r="Y132" s="167">
        <f>IFERROR(_xlfn.XLOOKUP($A132,Input_Raw!$A:$A,Input_Raw!$CZ:$CZ),"")</f>
        <v>0</v>
      </c>
      <c r="Z132" s="167">
        <f>IFERROR(_xlfn.XLOOKUP($A132,Input_Raw!$A:$A,Input_Raw!$DA:$DA),"")</f>
        <v>0</v>
      </c>
      <c r="AA132" s="169">
        <f t="shared" si="9"/>
        <v>0</v>
      </c>
      <c r="AB132" s="167">
        <f>IFERROR(_xlfn.XLOOKUP($A132,Input_Raw!$A:$A,Input_Raw!$DG:$DG),"")</f>
        <v>0</v>
      </c>
      <c r="AC132" s="187">
        <f>IFERROR(_xlfn.XLOOKUP($D132,'Modelling New'!$D:$D,'Modelling New'!$J:$J),"")</f>
        <v>6.8666666666666671</v>
      </c>
      <c r="AD132" s="169">
        <f>IFERROR(_xlfn.XLOOKUP($D132,'Modelling New'!$D:$D,'Modelling New'!$T:$T)*1000,"")</f>
        <v>616013.63346204848</v>
      </c>
      <c r="AE132" s="186"/>
      <c r="AF132" s="186">
        <f>IFERROR(_xlfn.XLOOKUP($D132,'Modelling New'!$D:$D,'Modelling New'!$W:$W),"")</f>
        <v>0.3290671118921199</v>
      </c>
      <c r="AG132" s="186">
        <f>IFERROR(_xlfn.XLOOKUP($D132,'Modelling New'!$D:$D,'Modelling New'!$AE:$AE),"")</f>
        <v>0.96029999999999993</v>
      </c>
      <c r="AH132" s="186">
        <f>IFERROR(_xlfn.XLOOKUP($D132,'Modelling New'!$D:$D,'Modelling New'!$AF:$AF),"")</f>
        <v>0.995</v>
      </c>
      <c r="AI132" s="167">
        <f>IFERROR(_xlfn.XLOOKUP($A132,Input_Raw!$A:$A,Input_Raw!$DE:$DE),"")</f>
        <v>0</v>
      </c>
      <c r="AJ132" s="167"/>
      <c r="AK132" s="167"/>
      <c r="AL132" s="167"/>
      <c r="AM132" s="167"/>
      <c r="AN132" s="188" t="str">
        <f>IFERROR(_xlfn.XLOOKUP($A132,Input_Raw!$A:$A,Input_Raw!$DB:$DB),"")</f>
        <v/>
      </c>
      <c r="AO132" s="186" t="str">
        <f>IFERROR((_xlfn.XLOOKUP($A132,'WTG Reactive Power'!$A:$A,'WTG Reactive Power'!$AR:$AR))/X132/1000,"")</f>
        <v/>
      </c>
      <c r="AP132" s="186">
        <f>IFERROR(_xlfn.XLOOKUP($D132,'Modelling New'!$D:$D,'Modelling New'!$AK:$AK),"")</f>
        <v>0.05</v>
      </c>
      <c r="AQ132" s="186">
        <f>IFERROR(_xlfn.XLOOKUP($D132,'Modelling New'!$D:$D,'Modelling New'!$AL:$AL),"")</f>
        <v>0.05</v>
      </c>
      <c r="AR132">
        <f>IFERROR(_xlfn.XLOOKUP($D132,'Modelling New'!$D:$D,'Modelling New'!$N:$N),"")</f>
        <v>78</v>
      </c>
    </row>
    <row r="133" spans="1:44">
      <c r="A133" s="180">
        <f t="shared" si="11"/>
        <v>45876</v>
      </c>
      <c r="B133" s="169">
        <f>YEAR(Table13[[#This Row],[Date]])+IF(MONTH(Table13[[#This Row],[Date]])&gt;=4,1,0)</f>
        <v>2026</v>
      </c>
      <c r="C133" s="167">
        <f>YEAR(Table13[[#This Row],[Date]])</f>
        <v>2025</v>
      </c>
      <c r="D133" s="181">
        <f>Table13[[#This Row],[Date]]-DAY(Table13[[#This Row],[Date]])+1</f>
        <v>45870</v>
      </c>
      <c r="E133" s="167">
        <f t="shared" si="8"/>
        <v>31</v>
      </c>
      <c r="F133" s="170"/>
      <c r="G133" s="171"/>
      <c r="H133" s="171"/>
      <c r="I133" s="171"/>
      <c r="J133" s="171"/>
      <c r="K133" s="182"/>
      <c r="L133" s="171"/>
      <c r="M133" s="171" t="str">
        <f>IFERROR(_xlfn.XLOOKUP($A133,Input_Raw!$A:$A,Input_Raw!CG:CG),"")</f>
        <v/>
      </c>
      <c r="N133" s="171">
        <f>IFERROR(_xlfn.XLOOKUP($A133,Input_Raw!$A:$A,Input_Raw!CH:CH),"")</f>
        <v>0</v>
      </c>
      <c r="O133" s="183" t="str">
        <f t="shared" si="10"/>
        <v/>
      </c>
      <c r="P133" s="183" t="str">
        <f>IFERROR(1-SUMIF(WTG_BD!$B:$B,$A133,WTG_BD!$AB:$AB)/($AA133+SUMIF(WTG_BD!$B:$B,$A133,WTG_BD!$AB:$AB)),"")</f>
        <v/>
      </c>
      <c r="Q133" s="184" t="str">
        <f>IFERROR(1-SUMIF(IGA_BD!$B:$B,$A133,IGA_BD!$X:$X)/($AA133+SUMIF(IGA_BD!$B:$B,$A133,IGA_BD!$X:$X)),"")</f>
        <v/>
      </c>
      <c r="R133" s="189" t="str">
        <f>IFERROR(1-SUMIF(Grid_BD!$B:$B,$A133,Grid_BD!$V:$V)/($AA133+SUMIF(Grid_BD!$B:$B,$A133,Grid_BD!$V:$V)),"")</f>
        <v/>
      </c>
      <c r="S133" s="167"/>
      <c r="T133" s="184"/>
      <c r="U133" s="185"/>
      <c r="V133" s="167"/>
      <c r="W133" s="186">
        <f>IFERROR(Table13[[#This Row],[Mtr_Net_Exp (KWh)]]/(24*AR133*1000),"")</f>
        <v>0</v>
      </c>
      <c r="X133" s="167">
        <f>IFERROR(_xlfn.XLOOKUP($A133,Input_Raw!$A:$A,Input_Raw!$CF:$CF),"")</f>
        <v>0</v>
      </c>
      <c r="Y133" s="167">
        <f>IFERROR(_xlfn.XLOOKUP($A133,Input_Raw!$A:$A,Input_Raw!$CZ:$CZ),"")</f>
        <v>0</v>
      </c>
      <c r="Z133" s="167">
        <f>IFERROR(_xlfn.XLOOKUP($A133,Input_Raw!$A:$A,Input_Raw!$DA:$DA),"")</f>
        <v>0</v>
      </c>
      <c r="AA133" s="169">
        <f t="shared" si="9"/>
        <v>0</v>
      </c>
      <c r="AB133" s="167">
        <f>IFERROR(_xlfn.XLOOKUP($A133,Input_Raw!$A:$A,Input_Raw!$DG:$DG),"")</f>
        <v>0</v>
      </c>
      <c r="AC133" s="187">
        <f>IFERROR(_xlfn.XLOOKUP($D133,'Modelling New'!$D:$D,'Modelling New'!$J:$J),"")</f>
        <v>6.8666666666666671</v>
      </c>
      <c r="AD133" s="169">
        <f>IFERROR(_xlfn.XLOOKUP($D133,'Modelling New'!$D:$D,'Modelling New'!$T:$T)*1000,"")</f>
        <v>616013.63346204848</v>
      </c>
      <c r="AE133" s="186"/>
      <c r="AF133" s="186">
        <f>IFERROR(_xlfn.XLOOKUP($D133,'Modelling New'!$D:$D,'Modelling New'!$W:$W),"")</f>
        <v>0.3290671118921199</v>
      </c>
      <c r="AG133" s="186">
        <f>IFERROR(_xlfn.XLOOKUP($D133,'Modelling New'!$D:$D,'Modelling New'!$AE:$AE),"")</f>
        <v>0.96029999999999993</v>
      </c>
      <c r="AH133" s="186">
        <f>IFERROR(_xlfn.XLOOKUP($D133,'Modelling New'!$D:$D,'Modelling New'!$AF:$AF),"")</f>
        <v>0.995</v>
      </c>
      <c r="AI133" s="167">
        <f>IFERROR(_xlfn.XLOOKUP($A133,Input_Raw!$A:$A,Input_Raw!$DE:$DE),"")</f>
        <v>0</v>
      </c>
      <c r="AJ133" s="167"/>
      <c r="AK133" s="167"/>
      <c r="AL133" s="167"/>
      <c r="AM133" s="167"/>
      <c r="AN133" s="188" t="str">
        <f>IFERROR(_xlfn.XLOOKUP($A133,Input_Raw!$A:$A,Input_Raw!$DB:$DB),"")</f>
        <v/>
      </c>
      <c r="AO133" s="186" t="str">
        <f>IFERROR((_xlfn.XLOOKUP($A133,'WTG Reactive Power'!$A:$A,'WTG Reactive Power'!$AR:$AR))/X133/1000,"")</f>
        <v/>
      </c>
      <c r="AP133" s="186">
        <f>IFERROR(_xlfn.XLOOKUP($D133,'Modelling New'!$D:$D,'Modelling New'!$AK:$AK),"")</f>
        <v>0.05</v>
      </c>
      <c r="AQ133" s="186">
        <f>IFERROR(_xlfn.XLOOKUP($D133,'Modelling New'!$D:$D,'Modelling New'!$AL:$AL),"")</f>
        <v>0.05</v>
      </c>
      <c r="AR133">
        <f>IFERROR(_xlfn.XLOOKUP($D133,'Modelling New'!$D:$D,'Modelling New'!$N:$N),"")</f>
        <v>78</v>
      </c>
    </row>
    <row r="134" spans="1:44">
      <c r="A134" s="180">
        <f t="shared" si="11"/>
        <v>45877</v>
      </c>
      <c r="B134" s="169">
        <f>YEAR(Table13[[#This Row],[Date]])+IF(MONTH(Table13[[#This Row],[Date]])&gt;=4,1,0)</f>
        <v>2026</v>
      </c>
      <c r="C134" s="167">
        <f>YEAR(Table13[[#This Row],[Date]])</f>
        <v>2025</v>
      </c>
      <c r="D134" s="181">
        <f>Table13[[#This Row],[Date]]-DAY(Table13[[#This Row],[Date]])+1</f>
        <v>45870</v>
      </c>
      <c r="E134" s="167">
        <f t="shared" si="8"/>
        <v>31</v>
      </c>
      <c r="F134" s="170"/>
      <c r="G134" s="171"/>
      <c r="H134" s="171"/>
      <c r="I134" s="171"/>
      <c r="J134" s="171"/>
      <c r="K134" s="182"/>
      <c r="L134" s="171"/>
      <c r="M134" s="171" t="str">
        <f>IFERROR(_xlfn.XLOOKUP($A134,Input_Raw!$A:$A,Input_Raw!CG:CG),"")</f>
        <v/>
      </c>
      <c r="N134" s="171">
        <f>IFERROR(_xlfn.XLOOKUP($A134,Input_Raw!$A:$A,Input_Raw!CH:CH),"")</f>
        <v>0</v>
      </c>
      <c r="O134" s="183" t="str">
        <f t="shared" si="10"/>
        <v/>
      </c>
      <c r="P134" s="183" t="str">
        <f>IFERROR(1-SUMIF(WTG_BD!$B:$B,$A134,WTG_BD!$AB:$AB)/($AA134+SUMIF(WTG_BD!$B:$B,$A134,WTG_BD!$AB:$AB)),"")</f>
        <v/>
      </c>
      <c r="Q134" s="184" t="str">
        <f>IFERROR(1-SUMIF(IGA_BD!$B:$B,$A134,IGA_BD!$X:$X)/($AA134+SUMIF(IGA_BD!$B:$B,$A134,IGA_BD!$X:$X)),"")</f>
        <v/>
      </c>
      <c r="R134" s="189" t="str">
        <f>IFERROR(1-SUMIF(Grid_BD!$B:$B,$A134,Grid_BD!$V:$V)/($AA134+SUMIF(Grid_BD!$B:$B,$A134,Grid_BD!$V:$V)),"")</f>
        <v/>
      </c>
      <c r="S134" s="167"/>
      <c r="T134" s="184"/>
      <c r="U134" s="185"/>
      <c r="V134" s="167"/>
      <c r="W134" s="186">
        <f>IFERROR(Table13[[#This Row],[Mtr_Net_Exp (KWh)]]/(24*AR134*1000),"")</f>
        <v>0</v>
      </c>
      <c r="X134" s="167">
        <f>IFERROR(_xlfn.XLOOKUP($A134,Input_Raw!$A:$A,Input_Raw!$CF:$CF),"")</f>
        <v>0</v>
      </c>
      <c r="Y134" s="167">
        <f>IFERROR(_xlfn.XLOOKUP($A134,Input_Raw!$A:$A,Input_Raw!$CZ:$CZ),"")</f>
        <v>0</v>
      </c>
      <c r="Z134" s="167">
        <f>IFERROR(_xlfn.XLOOKUP($A134,Input_Raw!$A:$A,Input_Raw!$DA:$DA),"")</f>
        <v>0</v>
      </c>
      <c r="AA134" s="169">
        <f t="shared" si="9"/>
        <v>0</v>
      </c>
      <c r="AB134" s="167">
        <f>IFERROR(_xlfn.XLOOKUP($A134,Input_Raw!$A:$A,Input_Raw!$DG:$DG),"")</f>
        <v>0</v>
      </c>
      <c r="AC134" s="187">
        <f>IFERROR(_xlfn.XLOOKUP($D134,'Modelling New'!$D:$D,'Modelling New'!$J:$J),"")</f>
        <v>6.8666666666666671</v>
      </c>
      <c r="AD134" s="169">
        <f>IFERROR(_xlfn.XLOOKUP($D134,'Modelling New'!$D:$D,'Modelling New'!$T:$T)*1000,"")</f>
        <v>616013.63346204848</v>
      </c>
      <c r="AE134" s="186"/>
      <c r="AF134" s="186">
        <f>IFERROR(_xlfn.XLOOKUP($D134,'Modelling New'!$D:$D,'Modelling New'!$W:$W),"")</f>
        <v>0.3290671118921199</v>
      </c>
      <c r="AG134" s="186">
        <f>IFERROR(_xlfn.XLOOKUP($D134,'Modelling New'!$D:$D,'Modelling New'!$AE:$AE),"")</f>
        <v>0.96029999999999993</v>
      </c>
      <c r="AH134" s="186">
        <f>IFERROR(_xlfn.XLOOKUP($D134,'Modelling New'!$D:$D,'Modelling New'!$AF:$AF),"")</f>
        <v>0.995</v>
      </c>
      <c r="AI134" s="167">
        <f>IFERROR(_xlfn.XLOOKUP($A134,Input_Raw!$A:$A,Input_Raw!$DE:$DE),"")</f>
        <v>0</v>
      </c>
      <c r="AJ134" s="167"/>
      <c r="AK134" s="167"/>
      <c r="AL134" s="167"/>
      <c r="AM134" s="167"/>
      <c r="AN134" s="188" t="str">
        <f>IFERROR(_xlfn.XLOOKUP($A134,Input_Raw!$A:$A,Input_Raw!$DB:$DB),"")</f>
        <v/>
      </c>
      <c r="AO134" s="186" t="str">
        <f>IFERROR((_xlfn.XLOOKUP($A134,'WTG Reactive Power'!$A:$A,'WTG Reactive Power'!$AR:$AR))/X134/1000,"")</f>
        <v/>
      </c>
      <c r="AP134" s="186">
        <f>IFERROR(_xlfn.XLOOKUP($D134,'Modelling New'!$D:$D,'Modelling New'!$AK:$AK),"")</f>
        <v>0.05</v>
      </c>
      <c r="AQ134" s="186">
        <f>IFERROR(_xlfn.XLOOKUP($D134,'Modelling New'!$D:$D,'Modelling New'!$AL:$AL),"")</f>
        <v>0.05</v>
      </c>
      <c r="AR134">
        <f>IFERROR(_xlfn.XLOOKUP($D134,'Modelling New'!$D:$D,'Modelling New'!$N:$N),"")</f>
        <v>78</v>
      </c>
    </row>
    <row r="135" spans="1:44">
      <c r="A135" s="180">
        <f t="shared" si="11"/>
        <v>45878</v>
      </c>
      <c r="B135" s="169">
        <f>YEAR(Table13[[#This Row],[Date]])+IF(MONTH(Table13[[#This Row],[Date]])&gt;=4,1,0)</f>
        <v>2026</v>
      </c>
      <c r="C135" s="167">
        <f>YEAR(Table13[[#This Row],[Date]])</f>
        <v>2025</v>
      </c>
      <c r="D135" s="181">
        <f>Table13[[#This Row],[Date]]-DAY(Table13[[#This Row],[Date]])+1</f>
        <v>45870</v>
      </c>
      <c r="E135" s="167">
        <f t="shared" si="8"/>
        <v>31</v>
      </c>
      <c r="F135" s="170"/>
      <c r="G135" s="171"/>
      <c r="H135" s="171"/>
      <c r="I135" s="171"/>
      <c r="J135" s="171"/>
      <c r="K135" s="182"/>
      <c r="L135" s="171"/>
      <c r="M135" s="171" t="str">
        <f>IFERROR(_xlfn.XLOOKUP($A135,Input_Raw!$A:$A,Input_Raw!CG:CG),"")</f>
        <v/>
      </c>
      <c r="N135" s="171">
        <f>IFERROR(_xlfn.XLOOKUP($A135,Input_Raw!$A:$A,Input_Raw!CH:CH),"")</f>
        <v>0</v>
      </c>
      <c r="O135" s="183" t="str">
        <f t="shared" si="10"/>
        <v/>
      </c>
      <c r="P135" s="183" t="str">
        <f>IFERROR(1-SUMIF(WTG_BD!$B:$B,$A135,WTG_BD!$AB:$AB)/($AA135+SUMIF(WTG_BD!$B:$B,$A135,WTG_BD!$AB:$AB)),"")</f>
        <v/>
      </c>
      <c r="Q135" s="184" t="str">
        <f>IFERROR(1-SUMIF(IGA_BD!$B:$B,$A135,IGA_BD!$X:$X)/($AA135+SUMIF(IGA_BD!$B:$B,$A135,IGA_BD!$X:$X)),"")</f>
        <v/>
      </c>
      <c r="R135" s="189" t="str">
        <f>IFERROR(1-SUMIF(Grid_BD!$B:$B,$A135,Grid_BD!$V:$V)/($AA135+SUMIF(Grid_BD!$B:$B,$A135,Grid_BD!$V:$V)),"")</f>
        <v/>
      </c>
      <c r="S135" s="167"/>
      <c r="T135" s="184"/>
      <c r="U135" s="185"/>
      <c r="V135" s="167"/>
      <c r="W135" s="186">
        <f>IFERROR(Table13[[#This Row],[Mtr_Net_Exp (KWh)]]/(24*AR135*1000),"")</f>
        <v>0</v>
      </c>
      <c r="X135" s="167">
        <f>IFERROR(_xlfn.XLOOKUP($A135,Input_Raw!$A:$A,Input_Raw!$CF:$CF),"")</f>
        <v>0</v>
      </c>
      <c r="Y135" s="167">
        <f>IFERROR(_xlfn.XLOOKUP($A135,Input_Raw!$A:$A,Input_Raw!$CZ:$CZ),"")</f>
        <v>0</v>
      </c>
      <c r="Z135" s="167">
        <f>IFERROR(_xlfn.XLOOKUP($A135,Input_Raw!$A:$A,Input_Raw!$DA:$DA),"")</f>
        <v>0</v>
      </c>
      <c r="AA135" s="169">
        <f t="shared" si="9"/>
        <v>0</v>
      </c>
      <c r="AB135" s="167">
        <f>IFERROR(_xlfn.XLOOKUP($A135,Input_Raw!$A:$A,Input_Raw!$DG:$DG),"")</f>
        <v>0</v>
      </c>
      <c r="AC135" s="187">
        <f>IFERROR(_xlfn.XLOOKUP($D135,'Modelling New'!$D:$D,'Modelling New'!$J:$J),"")</f>
        <v>6.8666666666666671</v>
      </c>
      <c r="AD135" s="169">
        <f>IFERROR(_xlfn.XLOOKUP($D135,'Modelling New'!$D:$D,'Modelling New'!$T:$T)*1000,"")</f>
        <v>616013.63346204848</v>
      </c>
      <c r="AE135" s="186"/>
      <c r="AF135" s="186">
        <f>IFERROR(_xlfn.XLOOKUP($D135,'Modelling New'!$D:$D,'Modelling New'!$W:$W),"")</f>
        <v>0.3290671118921199</v>
      </c>
      <c r="AG135" s="186">
        <f>IFERROR(_xlfn.XLOOKUP($D135,'Modelling New'!$D:$D,'Modelling New'!$AE:$AE),"")</f>
        <v>0.96029999999999993</v>
      </c>
      <c r="AH135" s="186">
        <f>IFERROR(_xlfn.XLOOKUP($D135,'Modelling New'!$D:$D,'Modelling New'!$AF:$AF),"")</f>
        <v>0.995</v>
      </c>
      <c r="AI135" s="167">
        <f>IFERROR(_xlfn.XLOOKUP($A135,Input_Raw!$A:$A,Input_Raw!$DE:$DE),"")</f>
        <v>0</v>
      </c>
      <c r="AJ135" s="167"/>
      <c r="AK135" s="167"/>
      <c r="AL135" s="167"/>
      <c r="AM135" s="167"/>
      <c r="AN135" s="188" t="str">
        <f>IFERROR(_xlfn.XLOOKUP($A135,Input_Raw!$A:$A,Input_Raw!$DB:$DB),"")</f>
        <v/>
      </c>
      <c r="AO135" s="186" t="str">
        <f>IFERROR((_xlfn.XLOOKUP($A135,'WTG Reactive Power'!$A:$A,'WTG Reactive Power'!$AR:$AR))/X135/1000,"")</f>
        <v/>
      </c>
      <c r="AP135" s="186">
        <f>IFERROR(_xlfn.XLOOKUP($D135,'Modelling New'!$D:$D,'Modelling New'!$AK:$AK),"")</f>
        <v>0.05</v>
      </c>
      <c r="AQ135" s="186">
        <f>IFERROR(_xlfn.XLOOKUP($D135,'Modelling New'!$D:$D,'Modelling New'!$AL:$AL),"")</f>
        <v>0.05</v>
      </c>
      <c r="AR135">
        <f>IFERROR(_xlfn.XLOOKUP($D135,'Modelling New'!$D:$D,'Modelling New'!$N:$N),"")</f>
        <v>78</v>
      </c>
    </row>
    <row r="136" spans="1:44">
      <c r="A136" s="180">
        <f t="shared" si="11"/>
        <v>45879</v>
      </c>
      <c r="B136" s="169">
        <f>YEAR(Table13[[#This Row],[Date]])+IF(MONTH(Table13[[#This Row],[Date]])&gt;=4,1,0)</f>
        <v>2026</v>
      </c>
      <c r="C136" s="167">
        <f>YEAR(Table13[[#This Row],[Date]])</f>
        <v>2025</v>
      </c>
      <c r="D136" s="181">
        <f>Table13[[#This Row],[Date]]-DAY(Table13[[#This Row],[Date]])+1</f>
        <v>45870</v>
      </c>
      <c r="E136" s="167">
        <f t="shared" si="8"/>
        <v>31</v>
      </c>
      <c r="F136" s="170"/>
      <c r="G136" s="171"/>
      <c r="H136" s="171"/>
      <c r="I136" s="171"/>
      <c r="J136" s="171"/>
      <c r="K136" s="182"/>
      <c r="L136" s="171"/>
      <c r="M136" s="171" t="str">
        <f>IFERROR(_xlfn.XLOOKUP($A136,Input_Raw!$A:$A,Input_Raw!CG:CG),"")</f>
        <v/>
      </c>
      <c r="N136" s="171">
        <f>IFERROR(_xlfn.XLOOKUP($A136,Input_Raw!$A:$A,Input_Raw!CH:CH),"")</f>
        <v>0</v>
      </c>
      <c r="O136" s="183" t="str">
        <f t="shared" si="10"/>
        <v/>
      </c>
      <c r="P136" s="183" t="str">
        <f>IFERROR(1-SUMIF(WTG_BD!$B:$B,$A136,WTG_BD!$AB:$AB)/($AA136+SUMIF(WTG_BD!$B:$B,$A136,WTG_BD!$AB:$AB)),"")</f>
        <v/>
      </c>
      <c r="Q136" s="184" t="str">
        <f>IFERROR(1-SUMIF(IGA_BD!$B:$B,$A136,IGA_BD!$X:$X)/($AA136+SUMIF(IGA_BD!$B:$B,$A136,IGA_BD!$X:$X)),"")</f>
        <v/>
      </c>
      <c r="R136" s="189" t="str">
        <f>IFERROR(1-SUMIF(Grid_BD!$B:$B,$A136,Grid_BD!$V:$V)/($AA136+SUMIF(Grid_BD!$B:$B,$A136,Grid_BD!$V:$V)),"")</f>
        <v/>
      </c>
      <c r="S136" s="167"/>
      <c r="T136" s="184"/>
      <c r="U136" s="185"/>
      <c r="V136" s="167"/>
      <c r="W136" s="186">
        <f>IFERROR(Table13[[#This Row],[Mtr_Net_Exp (KWh)]]/(24*AR136*1000),"")</f>
        <v>0</v>
      </c>
      <c r="X136" s="167">
        <f>IFERROR(_xlfn.XLOOKUP($A136,Input_Raw!$A:$A,Input_Raw!$CF:$CF),"")</f>
        <v>0</v>
      </c>
      <c r="Y136" s="167">
        <f>IFERROR(_xlfn.XLOOKUP($A136,Input_Raw!$A:$A,Input_Raw!$CZ:$CZ),"")</f>
        <v>0</v>
      </c>
      <c r="Z136" s="167">
        <f>IFERROR(_xlfn.XLOOKUP($A136,Input_Raw!$A:$A,Input_Raw!$DA:$DA),"")</f>
        <v>0</v>
      </c>
      <c r="AA136" s="169">
        <f t="shared" si="9"/>
        <v>0</v>
      </c>
      <c r="AB136" s="167">
        <f>IFERROR(_xlfn.XLOOKUP($A136,Input_Raw!$A:$A,Input_Raw!$DG:$DG),"")</f>
        <v>0</v>
      </c>
      <c r="AC136" s="187">
        <f>IFERROR(_xlfn.XLOOKUP($D136,'Modelling New'!$D:$D,'Modelling New'!$J:$J),"")</f>
        <v>6.8666666666666671</v>
      </c>
      <c r="AD136" s="169">
        <f>IFERROR(_xlfn.XLOOKUP($D136,'Modelling New'!$D:$D,'Modelling New'!$T:$T)*1000,"")</f>
        <v>616013.63346204848</v>
      </c>
      <c r="AE136" s="186"/>
      <c r="AF136" s="186">
        <f>IFERROR(_xlfn.XLOOKUP($D136,'Modelling New'!$D:$D,'Modelling New'!$W:$W),"")</f>
        <v>0.3290671118921199</v>
      </c>
      <c r="AG136" s="186">
        <f>IFERROR(_xlfn.XLOOKUP($D136,'Modelling New'!$D:$D,'Modelling New'!$AE:$AE),"")</f>
        <v>0.96029999999999993</v>
      </c>
      <c r="AH136" s="186">
        <f>IFERROR(_xlfn.XLOOKUP($D136,'Modelling New'!$D:$D,'Modelling New'!$AF:$AF),"")</f>
        <v>0.995</v>
      </c>
      <c r="AI136" s="167">
        <f>IFERROR(_xlfn.XLOOKUP($A136,Input_Raw!$A:$A,Input_Raw!$DE:$DE),"")</f>
        <v>0</v>
      </c>
      <c r="AJ136" s="167"/>
      <c r="AK136" s="167"/>
      <c r="AL136" s="167"/>
      <c r="AM136" s="167"/>
      <c r="AN136" s="188" t="str">
        <f>IFERROR(_xlfn.XLOOKUP($A136,Input_Raw!$A:$A,Input_Raw!$DB:$DB),"")</f>
        <v/>
      </c>
      <c r="AO136" s="186" t="str">
        <f>IFERROR((_xlfn.XLOOKUP($A136,'WTG Reactive Power'!$A:$A,'WTG Reactive Power'!$AR:$AR))/X136/1000,"")</f>
        <v/>
      </c>
      <c r="AP136" s="186">
        <f>IFERROR(_xlfn.XLOOKUP($D136,'Modelling New'!$D:$D,'Modelling New'!$AK:$AK),"")</f>
        <v>0.05</v>
      </c>
      <c r="AQ136" s="186">
        <f>IFERROR(_xlfn.XLOOKUP($D136,'Modelling New'!$D:$D,'Modelling New'!$AL:$AL),"")</f>
        <v>0.05</v>
      </c>
      <c r="AR136">
        <f>IFERROR(_xlfn.XLOOKUP($D136,'Modelling New'!$D:$D,'Modelling New'!$N:$N),"")</f>
        <v>78</v>
      </c>
    </row>
    <row r="137" spans="1:44">
      <c r="A137" s="180">
        <f t="shared" si="11"/>
        <v>45880</v>
      </c>
      <c r="B137" s="169">
        <f>YEAR(Table13[[#This Row],[Date]])+IF(MONTH(Table13[[#This Row],[Date]])&gt;=4,1,0)</f>
        <v>2026</v>
      </c>
      <c r="C137" s="167">
        <f>YEAR(Table13[[#This Row],[Date]])</f>
        <v>2025</v>
      </c>
      <c r="D137" s="181">
        <f>Table13[[#This Row],[Date]]-DAY(Table13[[#This Row],[Date]])+1</f>
        <v>45870</v>
      </c>
      <c r="E137" s="167">
        <f t="shared" si="8"/>
        <v>31</v>
      </c>
      <c r="F137" s="170"/>
      <c r="G137" s="171"/>
      <c r="H137" s="171"/>
      <c r="I137" s="171"/>
      <c r="J137" s="171"/>
      <c r="K137" s="182"/>
      <c r="L137" s="171"/>
      <c r="M137" s="171" t="str">
        <f>IFERROR(_xlfn.XLOOKUP($A137,Input_Raw!$A:$A,Input_Raw!CG:CG),"")</f>
        <v/>
      </c>
      <c r="N137" s="171">
        <f>IFERROR(_xlfn.XLOOKUP($A137,Input_Raw!$A:$A,Input_Raw!CH:CH),"")</f>
        <v>0</v>
      </c>
      <c r="O137" s="183" t="str">
        <f t="shared" si="10"/>
        <v/>
      </c>
      <c r="P137" s="183" t="str">
        <f>IFERROR(1-SUMIF(WTG_BD!$B:$B,$A137,WTG_BD!$AB:$AB)/($AA137+SUMIF(WTG_BD!$B:$B,$A137,WTG_BD!$AB:$AB)),"")</f>
        <v/>
      </c>
      <c r="Q137" s="184" t="str">
        <f>IFERROR(1-SUMIF(IGA_BD!$B:$B,$A137,IGA_BD!$X:$X)/($AA137+SUMIF(IGA_BD!$B:$B,$A137,IGA_BD!$X:$X)),"")</f>
        <v/>
      </c>
      <c r="R137" s="189" t="str">
        <f>IFERROR(1-SUMIF(Grid_BD!$B:$B,$A137,Grid_BD!$V:$V)/($AA137+SUMIF(Grid_BD!$B:$B,$A137,Grid_BD!$V:$V)),"")</f>
        <v/>
      </c>
      <c r="S137" s="167"/>
      <c r="T137" s="184"/>
      <c r="U137" s="185"/>
      <c r="V137" s="167"/>
      <c r="W137" s="186">
        <f>IFERROR(Table13[[#This Row],[Mtr_Net_Exp (KWh)]]/(24*AR137*1000),"")</f>
        <v>0</v>
      </c>
      <c r="X137" s="167">
        <f>IFERROR(_xlfn.XLOOKUP($A137,Input_Raw!$A:$A,Input_Raw!$CF:$CF),"")</f>
        <v>0</v>
      </c>
      <c r="Y137" s="167">
        <f>IFERROR(_xlfn.XLOOKUP($A137,Input_Raw!$A:$A,Input_Raw!$CZ:$CZ),"")</f>
        <v>0</v>
      </c>
      <c r="Z137" s="167">
        <f>IFERROR(_xlfn.XLOOKUP($A137,Input_Raw!$A:$A,Input_Raw!$DA:$DA),"")</f>
        <v>0</v>
      </c>
      <c r="AA137" s="169">
        <f t="shared" si="9"/>
        <v>0</v>
      </c>
      <c r="AB137" s="167">
        <f>IFERROR(_xlfn.XLOOKUP($A137,Input_Raw!$A:$A,Input_Raw!$DG:$DG),"")</f>
        <v>0</v>
      </c>
      <c r="AC137" s="187">
        <f>IFERROR(_xlfn.XLOOKUP($D137,'Modelling New'!$D:$D,'Modelling New'!$J:$J),"")</f>
        <v>6.8666666666666671</v>
      </c>
      <c r="AD137" s="169">
        <f>IFERROR(_xlfn.XLOOKUP($D137,'Modelling New'!$D:$D,'Modelling New'!$T:$T)*1000,"")</f>
        <v>616013.63346204848</v>
      </c>
      <c r="AE137" s="186"/>
      <c r="AF137" s="186">
        <f>IFERROR(_xlfn.XLOOKUP($D137,'Modelling New'!$D:$D,'Modelling New'!$W:$W),"")</f>
        <v>0.3290671118921199</v>
      </c>
      <c r="AG137" s="186">
        <f>IFERROR(_xlfn.XLOOKUP($D137,'Modelling New'!$D:$D,'Modelling New'!$AE:$AE),"")</f>
        <v>0.96029999999999993</v>
      </c>
      <c r="AH137" s="186">
        <f>IFERROR(_xlfn.XLOOKUP($D137,'Modelling New'!$D:$D,'Modelling New'!$AF:$AF),"")</f>
        <v>0.995</v>
      </c>
      <c r="AI137" s="167">
        <f>IFERROR(_xlfn.XLOOKUP($A137,Input_Raw!$A:$A,Input_Raw!$DE:$DE),"")</f>
        <v>0</v>
      </c>
      <c r="AJ137" s="167"/>
      <c r="AK137" s="167"/>
      <c r="AL137" s="167"/>
      <c r="AM137" s="167"/>
      <c r="AN137" s="188" t="str">
        <f>IFERROR(_xlfn.XLOOKUP($A137,Input_Raw!$A:$A,Input_Raw!$DB:$DB),"")</f>
        <v/>
      </c>
      <c r="AO137" s="186" t="str">
        <f>IFERROR((_xlfn.XLOOKUP($A137,'WTG Reactive Power'!$A:$A,'WTG Reactive Power'!$AR:$AR))/X137/1000,"")</f>
        <v/>
      </c>
      <c r="AP137" s="186">
        <f>IFERROR(_xlfn.XLOOKUP($D137,'Modelling New'!$D:$D,'Modelling New'!$AK:$AK),"")</f>
        <v>0.05</v>
      </c>
      <c r="AQ137" s="186">
        <f>IFERROR(_xlfn.XLOOKUP($D137,'Modelling New'!$D:$D,'Modelling New'!$AL:$AL),"")</f>
        <v>0.05</v>
      </c>
      <c r="AR137">
        <f>IFERROR(_xlfn.XLOOKUP($D137,'Modelling New'!$D:$D,'Modelling New'!$N:$N),"")</f>
        <v>78</v>
      </c>
    </row>
    <row r="138" spans="1:44">
      <c r="A138" s="180">
        <f t="shared" si="11"/>
        <v>45881</v>
      </c>
      <c r="B138" s="169">
        <f>YEAR(Table13[[#This Row],[Date]])+IF(MONTH(Table13[[#This Row],[Date]])&gt;=4,1,0)</f>
        <v>2026</v>
      </c>
      <c r="C138" s="167">
        <f>YEAR(Table13[[#This Row],[Date]])</f>
        <v>2025</v>
      </c>
      <c r="D138" s="181">
        <f>Table13[[#This Row],[Date]]-DAY(Table13[[#This Row],[Date]])+1</f>
        <v>45870</v>
      </c>
      <c r="E138" s="167">
        <f t="shared" si="8"/>
        <v>31</v>
      </c>
      <c r="F138" s="170"/>
      <c r="G138" s="171"/>
      <c r="H138" s="171"/>
      <c r="I138" s="171"/>
      <c r="J138" s="171"/>
      <c r="K138" s="182"/>
      <c r="L138" s="171"/>
      <c r="M138" s="171" t="str">
        <f>IFERROR(_xlfn.XLOOKUP($A138,Input_Raw!$A:$A,Input_Raw!CG:CG),"")</f>
        <v/>
      </c>
      <c r="N138" s="171">
        <f>IFERROR(_xlfn.XLOOKUP($A138,Input_Raw!$A:$A,Input_Raw!CH:CH),"")</f>
        <v>0</v>
      </c>
      <c r="O138" s="183" t="str">
        <f t="shared" si="10"/>
        <v/>
      </c>
      <c r="P138" s="183" t="str">
        <f>IFERROR(1-SUMIF(WTG_BD!$B:$B,$A138,WTG_BD!$AB:$AB)/($AA138+SUMIF(WTG_BD!$B:$B,$A138,WTG_BD!$AB:$AB)),"")</f>
        <v/>
      </c>
      <c r="Q138" s="184" t="str">
        <f>IFERROR(1-SUMIF(IGA_BD!$B:$B,$A138,IGA_BD!$X:$X)/($AA138+SUMIF(IGA_BD!$B:$B,$A138,IGA_BD!$X:$X)),"")</f>
        <v/>
      </c>
      <c r="R138" s="189" t="str">
        <f>IFERROR(1-SUMIF(Grid_BD!$B:$B,$A138,Grid_BD!$V:$V)/($AA138+SUMIF(Grid_BD!$B:$B,$A138,Grid_BD!$V:$V)),"")</f>
        <v/>
      </c>
      <c r="S138" s="167"/>
      <c r="T138" s="184"/>
      <c r="U138" s="185"/>
      <c r="V138" s="167"/>
      <c r="W138" s="186">
        <f>IFERROR(Table13[[#This Row],[Mtr_Net_Exp (KWh)]]/(24*AR138*1000),"")</f>
        <v>0</v>
      </c>
      <c r="X138" s="167">
        <f>IFERROR(_xlfn.XLOOKUP($A138,Input_Raw!$A:$A,Input_Raw!$CF:$CF),"")</f>
        <v>0</v>
      </c>
      <c r="Y138" s="167">
        <f>IFERROR(_xlfn.XLOOKUP($A138,Input_Raw!$A:$A,Input_Raw!$CZ:$CZ),"")</f>
        <v>0</v>
      </c>
      <c r="Z138" s="167">
        <f>IFERROR(_xlfn.XLOOKUP($A138,Input_Raw!$A:$A,Input_Raw!$DA:$DA),"")</f>
        <v>0</v>
      </c>
      <c r="AA138" s="169">
        <f t="shared" si="9"/>
        <v>0</v>
      </c>
      <c r="AB138" s="167">
        <f>IFERROR(_xlfn.XLOOKUP($A138,Input_Raw!$A:$A,Input_Raw!$DG:$DG),"")</f>
        <v>0</v>
      </c>
      <c r="AC138" s="187">
        <f>IFERROR(_xlfn.XLOOKUP($D138,'Modelling New'!$D:$D,'Modelling New'!$J:$J),"")</f>
        <v>6.8666666666666671</v>
      </c>
      <c r="AD138" s="169">
        <f>IFERROR(_xlfn.XLOOKUP($D138,'Modelling New'!$D:$D,'Modelling New'!$T:$T)*1000,"")</f>
        <v>616013.63346204848</v>
      </c>
      <c r="AE138" s="186"/>
      <c r="AF138" s="186">
        <f>IFERROR(_xlfn.XLOOKUP($D138,'Modelling New'!$D:$D,'Modelling New'!$W:$W),"")</f>
        <v>0.3290671118921199</v>
      </c>
      <c r="AG138" s="186">
        <f>IFERROR(_xlfn.XLOOKUP($D138,'Modelling New'!$D:$D,'Modelling New'!$AE:$AE),"")</f>
        <v>0.96029999999999993</v>
      </c>
      <c r="AH138" s="186">
        <f>IFERROR(_xlfn.XLOOKUP($D138,'Modelling New'!$D:$D,'Modelling New'!$AF:$AF),"")</f>
        <v>0.995</v>
      </c>
      <c r="AI138" s="167">
        <f>IFERROR(_xlfn.XLOOKUP($A138,Input_Raw!$A:$A,Input_Raw!$DE:$DE),"")</f>
        <v>0</v>
      </c>
      <c r="AJ138" s="167"/>
      <c r="AK138" s="167"/>
      <c r="AL138" s="167"/>
      <c r="AM138" s="167"/>
      <c r="AN138" s="188" t="str">
        <f>IFERROR(_xlfn.XLOOKUP($A138,Input_Raw!$A:$A,Input_Raw!$DB:$DB),"")</f>
        <v/>
      </c>
      <c r="AO138" s="186" t="str">
        <f>IFERROR((_xlfn.XLOOKUP($A138,'WTG Reactive Power'!$A:$A,'WTG Reactive Power'!$AR:$AR))/X138/1000,"")</f>
        <v/>
      </c>
      <c r="AP138" s="186">
        <f>IFERROR(_xlfn.XLOOKUP($D138,'Modelling New'!$D:$D,'Modelling New'!$AK:$AK),"")</f>
        <v>0.05</v>
      </c>
      <c r="AQ138" s="186">
        <f>IFERROR(_xlfn.XLOOKUP($D138,'Modelling New'!$D:$D,'Modelling New'!$AL:$AL),"")</f>
        <v>0.05</v>
      </c>
      <c r="AR138">
        <f>IFERROR(_xlfn.XLOOKUP($D138,'Modelling New'!$D:$D,'Modelling New'!$N:$N),"")</f>
        <v>78</v>
      </c>
    </row>
    <row r="139" spans="1:44">
      <c r="A139" s="180">
        <f t="shared" si="11"/>
        <v>45882</v>
      </c>
      <c r="B139" s="169">
        <f>YEAR(Table13[[#This Row],[Date]])+IF(MONTH(Table13[[#This Row],[Date]])&gt;=4,1,0)</f>
        <v>2026</v>
      </c>
      <c r="C139" s="167">
        <f>YEAR(Table13[[#This Row],[Date]])</f>
        <v>2025</v>
      </c>
      <c r="D139" s="181">
        <f>Table13[[#This Row],[Date]]-DAY(Table13[[#This Row],[Date]])+1</f>
        <v>45870</v>
      </c>
      <c r="E139" s="167">
        <f t="shared" si="8"/>
        <v>31</v>
      </c>
      <c r="F139" s="170"/>
      <c r="G139" s="171"/>
      <c r="H139" s="171"/>
      <c r="I139" s="171"/>
      <c r="J139" s="171"/>
      <c r="K139" s="182"/>
      <c r="L139" s="171"/>
      <c r="M139" s="171" t="str">
        <f>IFERROR(_xlfn.XLOOKUP($A139,Input_Raw!$A:$A,Input_Raw!CG:CG),"")</f>
        <v/>
      </c>
      <c r="N139" s="171">
        <f>IFERROR(_xlfn.XLOOKUP($A139,Input_Raw!$A:$A,Input_Raw!CH:CH),"")</f>
        <v>0</v>
      </c>
      <c r="O139" s="183" t="str">
        <f t="shared" si="10"/>
        <v/>
      </c>
      <c r="P139" s="183" t="str">
        <f>IFERROR(1-SUMIF(WTG_BD!$B:$B,$A139,WTG_BD!$AB:$AB)/($AA139+SUMIF(WTG_BD!$B:$B,$A139,WTG_BD!$AB:$AB)),"")</f>
        <v/>
      </c>
      <c r="Q139" s="184" t="str">
        <f>IFERROR(1-SUMIF(IGA_BD!$B:$B,$A139,IGA_BD!$X:$X)/($AA139+SUMIF(IGA_BD!$B:$B,$A139,IGA_BD!$X:$X)),"")</f>
        <v/>
      </c>
      <c r="R139" s="189" t="str">
        <f>IFERROR(1-SUMIF(Grid_BD!$B:$B,$A139,Grid_BD!$V:$V)/($AA139+SUMIF(Grid_BD!$B:$B,$A139,Grid_BD!$V:$V)),"")</f>
        <v/>
      </c>
      <c r="S139" s="167"/>
      <c r="T139" s="184"/>
      <c r="U139" s="185"/>
      <c r="V139" s="167"/>
      <c r="W139" s="186">
        <f>IFERROR(Table13[[#This Row],[Mtr_Net_Exp (KWh)]]/(24*AR139*1000),"")</f>
        <v>0</v>
      </c>
      <c r="X139" s="167">
        <f>IFERROR(_xlfn.XLOOKUP($A139,Input_Raw!$A:$A,Input_Raw!$CF:$CF),"")</f>
        <v>0</v>
      </c>
      <c r="Y139" s="167">
        <f>IFERROR(_xlfn.XLOOKUP($A139,Input_Raw!$A:$A,Input_Raw!$CZ:$CZ),"")</f>
        <v>0</v>
      </c>
      <c r="Z139" s="167">
        <f>IFERROR(_xlfn.XLOOKUP($A139,Input_Raw!$A:$A,Input_Raw!$DA:$DA),"")</f>
        <v>0</v>
      </c>
      <c r="AA139" s="169">
        <f t="shared" si="9"/>
        <v>0</v>
      </c>
      <c r="AB139" s="167">
        <f>IFERROR(_xlfn.XLOOKUP($A139,Input_Raw!$A:$A,Input_Raw!$DG:$DG),"")</f>
        <v>0</v>
      </c>
      <c r="AC139" s="187">
        <f>IFERROR(_xlfn.XLOOKUP($D139,'Modelling New'!$D:$D,'Modelling New'!$J:$J),"")</f>
        <v>6.8666666666666671</v>
      </c>
      <c r="AD139" s="169">
        <f>IFERROR(_xlfn.XLOOKUP($D139,'Modelling New'!$D:$D,'Modelling New'!$T:$T)*1000,"")</f>
        <v>616013.63346204848</v>
      </c>
      <c r="AE139" s="186"/>
      <c r="AF139" s="186">
        <f>IFERROR(_xlfn.XLOOKUP($D139,'Modelling New'!$D:$D,'Modelling New'!$W:$W),"")</f>
        <v>0.3290671118921199</v>
      </c>
      <c r="AG139" s="186">
        <f>IFERROR(_xlfn.XLOOKUP($D139,'Modelling New'!$D:$D,'Modelling New'!$AE:$AE),"")</f>
        <v>0.96029999999999993</v>
      </c>
      <c r="AH139" s="186">
        <f>IFERROR(_xlfn.XLOOKUP($D139,'Modelling New'!$D:$D,'Modelling New'!$AF:$AF),"")</f>
        <v>0.995</v>
      </c>
      <c r="AI139" s="167">
        <f>IFERROR(_xlfn.XLOOKUP($A139,Input_Raw!$A:$A,Input_Raw!$DE:$DE),"")</f>
        <v>0</v>
      </c>
      <c r="AJ139" s="167"/>
      <c r="AK139" s="167"/>
      <c r="AL139" s="167"/>
      <c r="AM139" s="167"/>
      <c r="AN139" s="188" t="str">
        <f>IFERROR(_xlfn.XLOOKUP($A139,Input_Raw!$A:$A,Input_Raw!$DB:$DB),"")</f>
        <v/>
      </c>
      <c r="AO139" s="186" t="str">
        <f>IFERROR((_xlfn.XLOOKUP($A139,'WTG Reactive Power'!$A:$A,'WTG Reactive Power'!$AR:$AR))/X139/1000,"")</f>
        <v/>
      </c>
      <c r="AP139" s="186">
        <f>IFERROR(_xlfn.XLOOKUP($D139,'Modelling New'!$D:$D,'Modelling New'!$AK:$AK),"")</f>
        <v>0.05</v>
      </c>
      <c r="AQ139" s="186">
        <f>IFERROR(_xlfn.XLOOKUP($D139,'Modelling New'!$D:$D,'Modelling New'!$AL:$AL),"")</f>
        <v>0.05</v>
      </c>
      <c r="AR139">
        <f>IFERROR(_xlfn.XLOOKUP($D139,'Modelling New'!$D:$D,'Modelling New'!$N:$N),"")</f>
        <v>78</v>
      </c>
    </row>
    <row r="140" spans="1:44">
      <c r="A140" s="180">
        <f t="shared" si="11"/>
        <v>45883</v>
      </c>
      <c r="B140" s="169">
        <f>YEAR(Table13[[#This Row],[Date]])+IF(MONTH(Table13[[#This Row],[Date]])&gt;=4,1,0)</f>
        <v>2026</v>
      </c>
      <c r="C140" s="167">
        <f>YEAR(Table13[[#This Row],[Date]])</f>
        <v>2025</v>
      </c>
      <c r="D140" s="181">
        <f>Table13[[#This Row],[Date]]-DAY(Table13[[#This Row],[Date]])+1</f>
        <v>45870</v>
      </c>
      <c r="E140" s="167">
        <f t="shared" si="8"/>
        <v>31</v>
      </c>
      <c r="F140" s="170"/>
      <c r="G140" s="171"/>
      <c r="H140" s="171"/>
      <c r="I140" s="171"/>
      <c r="J140" s="171"/>
      <c r="K140" s="182"/>
      <c r="L140" s="171"/>
      <c r="M140" s="171" t="str">
        <f>IFERROR(_xlfn.XLOOKUP($A140,Input_Raw!$A:$A,Input_Raw!CG:CG),"")</f>
        <v/>
      </c>
      <c r="N140" s="171">
        <f>IFERROR(_xlfn.XLOOKUP($A140,Input_Raw!$A:$A,Input_Raw!CH:CH),"")</f>
        <v>0</v>
      </c>
      <c r="O140" s="183" t="str">
        <f t="shared" si="10"/>
        <v/>
      </c>
      <c r="P140" s="183" t="str">
        <f>IFERROR(1-SUMIF(WTG_BD!$B:$B,$A140,WTG_BD!$AB:$AB)/($AA140+SUMIF(WTG_BD!$B:$B,$A140,WTG_BD!$AB:$AB)),"")</f>
        <v/>
      </c>
      <c r="Q140" s="184" t="str">
        <f>IFERROR(1-SUMIF(IGA_BD!$B:$B,$A140,IGA_BD!$X:$X)/($AA140+SUMIF(IGA_BD!$B:$B,$A140,IGA_BD!$X:$X)),"")</f>
        <v/>
      </c>
      <c r="R140" s="189" t="str">
        <f>IFERROR(1-SUMIF(Grid_BD!$B:$B,$A140,Grid_BD!$V:$V)/($AA140+SUMIF(Grid_BD!$B:$B,$A140,Grid_BD!$V:$V)),"")</f>
        <v/>
      </c>
      <c r="S140" s="167"/>
      <c r="T140" s="184"/>
      <c r="U140" s="185"/>
      <c r="V140" s="167"/>
      <c r="W140" s="186">
        <f>IFERROR(Table13[[#This Row],[Mtr_Net_Exp (KWh)]]/(24*AR140*1000),"")</f>
        <v>0</v>
      </c>
      <c r="X140" s="167">
        <f>IFERROR(_xlfn.XLOOKUP($A140,Input_Raw!$A:$A,Input_Raw!$CF:$CF),"")</f>
        <v>0</v>
      </c>
      <c r="Y140" s="167">
        <f>IFERROR(_xlfn.XLOOKUP($A140,Input_Raw!$A:$A,Input_Raw!$CZ:$CZ),"")</f>
        <v>0</v>
      </c>
      <c r="Z140" s="167">
        <f>IFERROR(_xlfn.XLOOKUP($A140,Input_Raw!$A:$A,Input_Raw!$DA:$DA),"")</f>
        <v>0</v>
      </c>
      <c r="AA140" s="169">
        <f t="shared" si="9"/>
        <v>0</v>
      </c>
      <c r="AB140" s="167">
        <f>IFERROR(_xlfn.XLOOKUP($A140,Input_Raw!$A:$A,Input_Raw!$DG:$DG),"")</f>
        <v>0</v>
      </c>
      <c r="AC140" s="187">
        <f>IFERROR(_xlfn.XLOOKUP($D140,'Modelling New'!$D:$D,'Modelling New'!$J:$J),"")</f>
        <v>6.8666666666666671</v>
      </c>
      <c r="AD140" s="169">
        <f>IFERROR(_xlfn.XLOOKUP($D140,'Modelling New'!$D:$D,'Modelling New'!$T:$T)*1000,"")</f>
        <v>616013.63346204848</v>
      </c>
      <c r="AE140" s="186"/>
      <c r="AF140" s="186">
        <f>IFERROR(_xlfn.XLOOKUP($D140,'Modelling New'!$D:$D,'Modelling New'!$W:$W),"")</f>
        <v>0.3290671118921199</v>
      </c>
      <c r="AG140" s="186">
        <f>IFERROR(_xlfn.XLOOKUP($D140,'Modelling New'!$D:$D,'Modelling New'!$AE:$AE),"")</f>
        <v>0.96029999999999993</v>
      </c>
      <c r="AH140" s="186">
        <f>IFERROR(_xlfn.XLOOKUP($D140,'Modelling New'!$D:$D,'Modelling New'!$AF:$AF),"")</f>
        <v>0.995</v>
      </c>
      <c r="AI140" s="167">
        <f>IFERROR(_xlfn.XLOOKUP($A140,Input_Raw!$A:$A,Input_Raw!$DE:$DE),"")</f>
        <v>0</v>
      </c>
      <c r="AJ140" s="167"/>
      <c r="AK140" s="167"/>
      <c r="AL140" s="167"/>
      <c r="AM140" s="167"/>
      <c r="AN140" s="188" t="str">
        <f>IFERROR(_xlfn.XLOOKUP($A140,Input_Raw!$A:$A,Input_Raw!$DB:$DB),"")</f>
        <v/>
      </c>
      <c r="AO140" s="186" t="str">
        <f>IFERROR((_xlfn.XLOOKUP($A140,'WTG Reactive Power'!$A:$A,'WTG Reactive Power'!$AR:$AR))/X140/1000,"")</f>
        <v/>
      </c>
      <c r="AP140" s="186">
        <f>IFERROR(_xlfn.XLOOKUP($D140,'Modelling New'!$D:$D,'Modelling New'!$AK:$AK),"")</f>
        <v>0.05</v>
      </c>
      <c r="AQ140" s="186">
        <f>IFERROR(_xlfn.XLOOKUP($D140,'Modelling New'!$D:$D,'Modelling New'!$AL:$AL),"")</f>
        <v>0.05</v>
      </c>
      <c r="AR140">
        <f>IFERROR(_xlfn.XLOOKUP($D140,'Modelling New'!$D:$D,'Modelling New'!$N:$N),"")</f>
        <v>78</v>
      </c>
    </row>
    <row r="141" spans="1:44">
      <c r="A141" s="180">
        <f t="shared" si="11"/>
        <v>45884</v>
      </c>
      <c r="B141" s="169">
        <f>YEAR(Table13[[#This Row],[Date]])+IF(MONTH(Table13[[#This Row],[Date]])&gt;=4,1,0)</f>
        <v>2026</v>
      </c>
      <c r="C141" s="167">
        <f>YEAR(Table13[[#This Row],[Date]])</f>
        <v>2025</v>
      </c>
      <c r="D141" s="181">
        <f>Table13[[#This Row],[Date]]-DAY(Table13[[#This Row],[Date]])+1</f>
        <v>45870</v>
      </c>
      <c r="E141" s="167">
        <f t="shared" si="8"/>
        <v>31</v>
      </c>
      <c r="F141" s="170"/>
      <c r="G141" s="171"/>
      <c r="H141" s="171"/>
      <c r="I141" s="171"/>
      <c r="J141" s="171"/>
      <c r="K141" s="182"/>
      <c r="L141" s="171"/>
      <c r="M141" s="171" t="str">
        <f>IFERROR(_xlfn.XLOOKUP($A141,Input_Raw!$A:$A,Input_Raw!CG:CG),"")</f>
        <v/>
      </c>
      <c r="N141" s="171">
        <f>IFERROR(_xlfn.XLOOKUP($A141,Input_Raw!$A:$A,Input_Raw!CH:CH),"")</f>
        <v>0</v>
      </c>
      <c r="O141" s="183" t="str">
        <f t="shared" si="10"/>
        <v/>
      </c>
      <c r="P141" s="183" t="str">
        <f>IFERROR(1-SUMIF(WTG_BD!$B:$B,$A141,WTG_BD!$AB:$AB)/($AA141+SUMIF(WTG_BD!$B:$B,$A141,WTG_BD!$AB:$AB)),"")</f>
        <v/>
      </c>
      <c r="Q141" s="184" t="str">
        <f>IFERROR(1-SUMIF(IGA_BD!$B:$B,$A141,IGA_BD!$X:$X)/($AA141+SUMIF(IGA_BD!$B:$B,$A141,IGA_BD!$X:$X)),"")</f>
        <v/>
      </c>
      <c r="R141" s="189" t="str">
        <f>IFERROR(1-SUMIF(Grid_BD!$B:$B,$A141,Grid_BD!$V:$V)/($AA141+SUMIF(Grid_BD!$B:$B,$A141,Grid_BD!$V:$V)),"")</f>
        <v/>
      </c>
      <c r="S141" s="167"/>
      <c r="T141" s="184"/>
      <c r="U141" s="185"/>
      <c r="V141" s="167"/>
      <c r="W141" s="186">
        <f>IFERROR(Table13[[#This Row],[Mtr_Net_Exp (KWh)]]/(24*AR141*1000),"")</f>
        <v>0</v>
      </c>
      <c r="X141" s="167">
        <f>IFERROR(_xlfn.XLOOKUP($A141,Input_Raw!$A:$A,Input_Raw!$CF:$CF),"")</f>
        <v>0</v>
      </c>
      <c r="Y141" s="167">
        <f>IFERROR(_xlfn.XLOOKUP($A141,Input_Raw!$A:$A,Input_Raw!$CZ:$CZ),"")</f>
        <v>0</v>
      </c>
      <c r="Z141" s="167">
        <f>IFERROR(_xlfn.XLOOKUP($A141,Input_Raw!$A:$A,Input_Raw!$DA:$DA),"")</f>
        <v>0</v>
      </c>
      <c r="AA141" s="169">
        <f t="shared" si="9"/>
        <v>0</v>
      </c>
      <c r="AB141" s="167">
        <f>IFERROR(_xlfn.XLOOKUP($A141,Input_Raw!$A:$A,Input_Raw!$DG:$DG),"")</f>
        <v>0</v>
      </c>
      <c r="AC141" s="187">
        <f>IFERROR(_xlfn.XLOOKUP($D141,'Modelling New'!$D:$D,'Modelling New'!$J:$J),"")</f>
        <v>6.8666666666666671</v>
      </c>
      <c r="AD141" s="169">
        <f>IFERROR(_xlfn.XLOOKUP($D141,'Modelling New'!$D:$D,'Modelling New'!$T:$T)*1000,"")</f>
        <v>616013.63346204848</v>
      </c>
      <c r="AE141" s="186"/>
      <c r="AF141" s="186">
        <f>IFERROR(_xlfn.XLOOKUP($D141,'Modelling New'!$D:$D,'Modelling New'!$W:$W),"")</f>
        <v>0.3290671118921199</v>
      </c>
      <c r="AG141" s="186">
        <f>IFERROR(_xlfn.XLOOKUP($D141,'Modelling New'!$D:$D,'Modelling New'!$AE:$AE),"")</f>
        <v>0.96029999999999993</v>
      </c>
      <c r="AH141" s="186">
        <f>IFERROR(_xlfn.XLOOKUP($D141,'Modelling New'!$D:$D,'Modelling New'!$AF:$AF),"")</f>
        <v>0.995</v>
      </c>
      <c r="AI141" s="167">
        <f>IFERROR(_xlfn.XLOOKUP($A141,Input_Raw!$A:$A,Input_Raw!$DE:$DE),"")</f>
        <v>0</v>
      </c>
      <c r="AJ141" s="167"/>
      <c r="AK141" s="167"/>
      <c r="AL141" s="167"/>
      <c r="AM141" s="167"/>
      <c r="AN141" s="188" t="str">
        <f>IFERROR(_xlfn.XLOOKUP($A141,Input_Raw!$A:$A,Input_Raw!$DB:$DB),"")</f>
        <v/>
      </c>
      <c r="AO141" s="186" t="str">
        <f>IFERROR((_xlfn.XLOOKUP($A141,'WTG Reactive Power'!$A:$A,'WTG Reactive Power'!$AR:$AR))/X141/1000,"")</f>
        <v/>
      </c>
      <c r="AP141" s="186">
        <f>IFERROR(_xlfn.XLOOKUP($D141,'Modelling New'!$D:$D,'Modelling New'!$AK:$AK),"")</f>
        <v>0.05</v>
      </c>
      <c r="AQ141" s="186">
        <f>IFERROR(_xlfn.XLOOKUP($D141,'Modelling New'!$D:$D,'Modelling New'!$AL:$AL),"")</f>
        <v>0.05</v>
      </c>
      <c r="AR141">
        <f>IFERROR(_xlfn.XLOOKUP($D141,'Modelling New'!$D:$D,'Modelling New'!$N:$N),"")</f>
        <v>78</v>
      </c>
    </row>
    <row r="142" spans="1:44">
      <c r="A142" s="180">
        <f t="shared" si="11"/>
        <v>45885</v>
      </c>
      <c r="B142" s="169">
        <f>YEAR(Table13[[#This Row],[Date]])+IF(MONTH(Table13[[#This Row],[Date]])&gt;=4,1,0)</f>
        <v>2026</v>
      </c>
      <c r="C142" s="167">
        <f>YEAR(Table13[[#This Row],[Date]])</f>
        <v>2025</v>
      </c>
      <c r="D142" s="181">
        <f>Table13[[#This Row],[Date]]-DAY(Table13[[#This Row],[Date]])+1</f>
        <v>45870</v>
      </c>
      <c r="E142" s="167">
        <f t="shared" si="8"/>
        <v>31</v>
      </c>
      <c r="F142" s="170"/>
      <c r="G142" s="171"/>
      <c r="H142" s="171"/>
      <c r="I142" s="171"/>
      <c r="J142" s="171"/>
      <c r="K142" s="182"/>
      <c r="L142" s="171"/>
      <c r="M142" s="171" t="str">
        <f>IFERROR(_xlfn.XLOOKUP($A142,Input_Raw!$A:$A,Input_Raw!CG:CG),"")</f>
        <v/>
      </c>
      <c r="N142" s="171" t="str">
        <f>IFERROR(_xlfn.XLOOKUP($A142,Input_Raw!$A:$A,Input_Raw!CH:CH),"")</f>
        <v/>
      </c>
      <c r="O142" s="183" t="str">
        <f t="shared" si="10"/>
        <v/>
      </c>
      <c r="P142" s="183" t="str">
        <f>IFERROR(1-SUMIF(WTG_BD!$B:$B,$A142,WTG_BD!$AB:$AB)/($AA142+SUMIF(WTG_BD!$B:$B,$A142,WTG_BD!$AB:$AB)),"")</f>
        <v/>
      </c>
      <c r="Q142" s="184" t="str">
        <f>IFERROR(1-SUMIF(IGA_BD!$B:$B,$A142,IGA_BD!$X:$X)/($AA142+SUMIF(IGA_BD!$B:$B,$A142,IGA_BD!$X:$X)),"")</f>
        <v/>
      </c>
      <c r="R142" s="189" t="str">
        <f>IFERROR(1-SUMIF(Grid_BD!$B:$B,$A142,Grid_BD!$V:$V)/($AA142+SUMIF(Grid_BD!$B:$B,$A142,Grid_BD!$V:$V)),"")</f>
        <v/>
      </c>
      <c r="S142" s="167"/>
      <c r="T142" s="184"/>
      <c r="U142" s="185"/>
      <c r="V142" s="167"/>
      <c r="W142" s="186" t="str">
        <f>IFERROR(Table13[[#This Row],[Mtr_Net_Exp (KWh)]]/(24*AR142*1000),"")</f>
        <v/>
      </c>
      <c r="X142" s="167" t="str">
        <f>IFERROR(_xlfn.XLOOKUP($A142,Input_Raw!$A:$A,Input_Raw!$CF:$CF),"")</f>
        <v/>
      </c>
      <c r="Y142" s="167" t="str">
        <f>IFERROR(_xlfn.XLOOKUP($A142,Input_Raw!$A:$A,Input_Raw!$CZ:$CZ),"")</f>
        <v/>
      </c>
      <c r="Z142" s="167" t="str">
        <f>IFERROR(_xlfn.XLOOKUP($A142,Input_Raw!$A:$A,Input_Raw!$DA:$DA),"")</f>
        <v/>
      </c>
      <c r="AA142" s="169" t="str">
        <f t="shared" si="9"/>
        <v/>
      </c>
      <c r="AB142" s="167" t="str">
        <f>IFERROR(_xlfn.XLOOKUP($A142,Input_Raw!$A:$A,Input_Raw!$DG:$DG),"")</f>
        <v/>
      </c>
      <c r="AC142" s="187">
        <f>IFERROR(_xlfn.XLOOKUP($D142,'Modelling New'!$D:$D,'Modelling New'!$J:$J),"")</f>
        <v>6.8666666666666671</v>
      </c>
      <c r="AD142" s="169">
        <f>IFERROR(_xlfn.XLOOKUP($D142,'Modelling New'!$D:$D,'Modelling New'!$T:$T)*1000,"")</f>
        <v>616013.63346204848</v>
      </c>
      <c r="AE142" s="186"/>
      <c r="AF142" s="186">
        <f>IFERROR(_xlfn.XLOOKUP($D142,'Modelling New'!$D:$D,'Modelling New'!$W:$W),"")</f>
        <v>0.3290671118921199</v>
      </c>
      <c r="AG142" s="186">
        <f>IFERROR(_xlfn.XLOOKUP($D142,'Modelling New'!$D:$D,'Modelling New'!$AE:$AE),"")</f>
        <v>0.96029999999999993</v>
      </c>
      <c r="AH142" s="186">
        <f>IFERROR(_xlfn.XLOOKUP($D142,'Modelling New'!$D:$D,'Modelling New'!$AF:$AF),"")</f>
        <v>0.995</v>
      </c>
      <c r="AI142" s="167" t="str">
        <f>IFERROR(_xlfn.XLOOKUP($A142,Input_Raw!$A:$A,Input_Raw!$DE:$DE),"")</f>
        <v/>
      </c>
      <c r="AJ142" s="167"/>
      <c r="AK142" s="167"/>
      <c r="AL142" s="167"/>
      <c r="AM142" s="167"/>
      <c r="AN142" s="188" t="str">
        <f>IFERROR(_xlfn.XLOOKUP($A142,Input_Raw!$A:$A,Input_Raw!$DB:$DB),"")</f>
        <v/>
      </c>
      <c r="AO142" s="186" t="str">
        <f>IFERROR((_xlfn.XLOOKUP($A142,'WTG Reactive Power'!$A:$A,'WTG Reactive Power'!$AR:$AR))/X142/1000,"")</f>
        <v/>
      </c>
      <c r="AP142" s="186">
        <f>IFERROR(_xlfn.XLOOKUP($D142,'Modelling New'!$D:$D,'Modelling New'!$AK:$AK),"")</f>
        <v>0.05</v>
      </c>
      <c r="AQ142" s="186">
        <f>IFERROR(_xlfn.XLOOKUP($D142,'Modelling New'!$D:$D,'Modelling New'!$AL:$AL),"")</f>
        <v>0.05</v>
      </c>
      <c r="AR142">
        <f>IFERROR(_xlfn.XLOOKUP($D142,'Modelling New'!$D:$D,'Modelling New'!$N:$N),"")</f>
        <v>78</v>
      </c>
    </row>
    <row r="143" spans="1:44">
      <c r="A143" s="180">
        <f t="shared" si="11"/>
        <v>45886</v>
      </c>
      <c r="B143" s="169">
        <f>YEAR(Table13[[#This Row],[Date]])+IF(MONTH(Table13[[#This Row],[Date]])&gt;=4,1,0)</f>
        <v>2026</v>
      </c>
      <c r="C143" s="167">
        <f>YEAR(Table13[[#This Row],[Date]])</f>
        <v>2025</v>
      </c>
      <c r="D143" s="181">
        <f>Table13[[#This Row],[Date]]-DAY(Table13[[#This Row],[Date]])+1</f>
        <v>45870</v>
      </c>
      <c r="E143" s="167">
        <f t="shared" si="8"/>
        <v>31</v>
      </c>
      <c r="F143" s="170"/>
      <c r="G143" s="171"/>
      <c r="H143" s="171"/>
      <c r="I143" s="171"/>
      <c r="J143" s="171"/>
      <c r="K143" s="182"/>
      <c r="L143" s="171"/>
      <c r="M143" s="171" t="str">
        <f>IFERROR(_xlfn.XLOOKUP($A143,Input_Raw!$A:$A,Input_Raw!CG:CG),"")</f>
        <v/>
      </c>
      <c r="N143" s="171" t="str">
        <f>IFERROR(_xlfn.XLOOKUP($A143,Input_Raw!$A:$A,Input_Raw!CH:CH),"")</f>
        <v/>
      </c>
      <c r="O143" s="183" t="str">
        <f t="shared" si="10"/>
        <v/>
      </c>
      <c r="P143" s="183" t="str">
        <f>IFERROR(1-SUMIF(WTG_BD!$B:$B,$A143,WTG_BD!$AB:$AB)/($AA143+SUMIF(WTG_BD!$B:$B,$A143,WTG_BD!$AB:$AB)),"")</f>
        <v/>
      </c>
      <c r="Q143" s="184" t="str">
        <f>IFERROR(1-SUMIF(IGA_BD!$B:$B,$A143,IGA_BD!$X:$X)/($AA143+SUMIF(IGA_BD!$B:$B,$A143,IGA_BD!$X:$X)),"")</f>
        <v/>
      </c>
      <c r="R143" s="189" t="str">
        <f>IFERROR(1-SUMIF(Grid_BD!$B:$B,$A143,Grid_BD!$V:$V)/($AA143+SUMIF(Grid_BD!$B:$B,$A143,Grid_BD!$V:$V)),"")</f>
        <v/>
      </c>
      <c r="S143" s="167"/>
      <c r="T143" s="184"/>
      <c r="U143" s="185"/>
      <c r="V143" s="167"/>
      <c r="W143" s="186" t="str">
        <f>IFERROR(Table13[[#This Row],[Mtr_Net_Exp (KWh)]]/(24*AR143*1000),"")</f>
        <v/>
      </c>
      <c r="X143" s="167" t="str">
        <f>IFERROR(_xlfn.XLOOKUP($A143,Input_Raw!$A:$A,Input_Raw!$CF:$CF),"")</f>
        <v/>
      </c>
      <c r="Y143" s="167" t="str">
        <f>IFERROR(_xlfn.XLOOKUP($A143,Input_Raw!$A:$A,Input_Raw!$CZ:$CZ),"")</f>
        <v/>
      </c>
      <c r="Z143" s="167" t="str">
        <f>IFERROR(_xlfn.XLOOKUP($A143,Input_Raw!$A:$A,Input_Raw!$DA:$DA),"")</f>
        <v/>
      </c>
      <c r="AA143" s="169" t="str">
        <f t="shared" si="9"/>
        <v/>
      </c>
      <c r="AB143" s="167" t="str">
        <f>IFERROR(_xlfn.XLOOKUP($A143,Input_Raw!$A:$A,Input_Raw!$DG:$DG),"")</f>
        <v/>
      </c>
      <c r="AC143" s="187">
        <f>IFERROR(_xlfn.XLOOKUP($D143,'Modelling New'!$D:$D,'Modelling New'!$J:$J),"")</f>
        <v>6.8666666666666671</v>
      </c>
      <c r="AD143" s="169">
        <f>IFERROR(_xlfn.XLOOKUP($D143,'Modelling New'!$D:$D,'Modelling New'!$T:$T)*1000,"")</f>
        <v>616013.63346204848</v>
      </c>
      <c r="AE143" s="186"/>
      <c r="AF143" s="186">
        <f>IFERROR(_xlfn.XLOOKUP($D143,'Modelling New'!$D:$D,'Modelling New'!$W:$W),"")</f>
        <v>0.3290671118921199</v>
      </c>
      <c r="AG143" s="186">
        <f>IFERROR(_xlfn.XLOOKUP($D143,'Modelling New'!$D:$D,'Modelling New'!$AE:$AE),"")</f>
        <v>0.96029999999999993</v>
      </c>
      <c r="AH143" s="186">
        <f>IFERROR(_xlfn.XLOOKUP($D143,'Modelling New'!$D:$D,'Modelling New'!$AF:$AF),"")</f>
        <v>0.995</v>
      </c>
      <c r="AI143" s="167" t="str">
        <f>IFERROR(_xlfn.XLOOKUP($A143,Input_Raw!$A:$A,Input_Raw!$DE:$DE),"")</f>
        <v/>
      </c>
      <c r="AJ143" s="167"/>
      <c r="AK143" s="167"/>
      <c r="AL143" s="167"/>
      <c r="AM143" s="167"/>
      <c r="AN143" s="188" t="str">
        <f>IFERROR(_xlfn.XLOOKUP($A143,Input_Raw!$A:$A,Input_Raw!$DB:$DB),"")</f>
        <v/>
      </c>
      <c r="AO143" s="186" t="str">
        <f>IFERROR((_xlfn.XLOOKUP($A143,'WTG Reactive Power'!$A:$A,'WTG Reactive Power'!$AR:$AR))/X143/1000,"")</f>
        <v/>
      </c>
      <c r="AP143" s="186">
        <f>IFERROR(_xlfn.XLOOKUP($D143,'Modelling New'!$D:$D,'Modelling New'!$AK:$AK),"")</f>
        <v>0.05</v>
      </c>
      <c r="AQ143" s="186">
        <f>IFERROR(_xlfn.XLOOKUP($D143,'Modelling New'!$D:$D,'Modelling New'!$AL:$AL),"")</f>
        <v>0.05</v>
      </c>
      <c r="AR143">
        <f>IFERROR(_xlfn.XLOOKUP($D143,'Modelling New'!$D:$D,'Modelling New'!$N:$N),"")</f>
        <v>78</v>
      </c>
    </row>
    <row r="144" spans="1:44">
      <c r="A144" s="180">
        <f t="shared" si="11"/>
        <v>45887</v>
      </c>
      <c r="B144" s="169">
        <f>YEAR(Table13[[#This Row],[Date]])+IF(MONTH(Table13[[#This Row],[Date]])&gt;=4,1,0)</f>
        <v>2026</v>
      </c>
      <c r="C144" s="167">
        <f>YEAR(Table13[[#This Row],[Date]])</f>
        <v>2025</v>
      </c>
      <c r="D144" s="181">
        <f>Table13[[#This Row],[Date]]-DAY(Table13[[#This Row],[Date]])+1</f>
        <v>45870</v>
      </c>
      <c r="E144" s="167">
        <f t="shared" si="8"/>
        <v>31</v>
      </c>
      <c r="F144" s="170"/>
      <c r="G144" s="171"/>
      <c r="H144" s="171"/>
      <c r="I144" s="171"/>
      <c r="J144" s="171"/>
      <c r="K144" s="182"/>
      <c r="L144" s="171"/>
      <c r="M144" s="171" t="str">
        <f>IFERROR(_xlfn.XLOOKUP($A144,Input_Raw!$A:$A,Input_Raw!CG:CG),"")</f>
        <v/>
      </c>
      <c r="N144" s="171" t="str">
        <f>IFERROR(_xlfn.XLOOKUP($A144,Input_Raw!$A:$A,Input_Raw!CH:CH),"")</f>
        <v/>
      </c>
      <c r="O144" s="183" t="str">
        <f t="shared" si="10"/>
        <v/>
      </c>
      <c r="P144" s="183" t="str">
        <f>IFERROR(1-SUMIF(WTG_BD!$B:$B,$A144,WTG_BD!$AB:$AB)/($AA144+SUMIF(WTG_BD!$B:$B,$A144,WTG_BD!$AB:$AB)),"")</f>
        <v/>
      </c>
      <c r="Q144" s="184" t="str">
        <f>IFERROR(1-SUMIF(IGA_BD!$B:$B,$A144,IGA_BD!$X:$X)/($AA144+SUMIF(IGA_BD!$B:$B,$A144,IGA_BD!$X:$X)),"")</f>
        <v/>
      </c>
      <c r="R144" s="189" t="str">
        <f>IFERROR(1-SUMIF(Grid_BD!$B:$B,$A144,Grid_BD!$V:$V)/($AA144+SUMIF(Grid_BD!$B:$B,$A144,Grid_BD!$V:$V)),"")</f>
        <v/>
      </c>
      <c r="S144" s="167"/>
      <c r="T144" s="184"/>
      <c r="U144" s="185"/>
      <c r="V144" s="167"/>
      <c r="W144" s="186" t="str">
        <f>IFERROR(Table13[[#This Row],[Mtr_Net_Exp (KWh)]]/(24*AR144*1000),"")</f>
        <v/>
      </c>
      <c r="X144" s="167" t="str">
        <f>IFERROR(_xlfn.XLOOKUP($A144,Input_Raw!$A:$A,Input_Raw!$CF:$CF),"")</f>
        <v/>
      </c>
      <c r="Y144" s="167" t="str">
        <f>IFERROR(_xlfn.XLOOKUP($A144,Input_Raw!$A:$A,Input_Raw!$CZ:$CZ),"")</f>
        <v/>
      </c>
      <c r="Z144" s="167" t="str">
        <f>IFERROR(_xlfn.XLOOKUP($A144,Input_Raw!$A:$A,Input_Raw!$DA:$DA),"")</f>
        <v/>
      </c>
      <c r="AA144" s="169" t="str">
        <f t="shared" si="9"/>
        <v/>
      </c>
      <c r="AB144" s="167" t="str">
        <f>IFERROR(_xlfn.XLOOKUP($A144,Input_Raw!$A:$A,Input_Raw!$DG:$DG),"")</f>
        <v/>
      </c>
      <c r="AC144" s="187">
        <f>IFERROR(_xlfn.XLOOKUP($D144,'Modelling New'!$D:$D,'Modelling New'!$J:$J),"")</f>
        <v>6.8666666666666671</v>
      </c>
      <c r="AD144" s="169">
        <f>IFERROR(_xlfn.XLOOKUP($D144,'Modelling New'!$D:$D,'Modelling New'!$T:$T)*1000,"")</f>
        <v>616013.63346204848</v>
      </c>
      <c r="AE144" s="186"/>
      <c r="AF144" s="186">
        <f>IFERROR(_xlfn.XLOOKUP($D144,'Modelling New'!$D:$D,'Modelling New'!$W:$W),"")</f>
        <v>0.3290671118921199</v>
      </c>
      <c r="AG144" s="186">
        <f>IFERROR(_xlfn.XLOOKUP($D144,'Modelling New'!$D:$D,'Modelling New'!$AE:$AE),"")</f>
        <v>0.96029999999999993</v>
      </c>
      <c r="AH144" s="186">
        <f>IFERROR(_xlfn.XLOOKUP($D144,'Modelling New'!$D:$D,'Modelling New'!$AF:$AF),"")</f>
        <v>0.995</v>
      </c>
      <c r="AI144" s="167" t="str">
        <f>IFERROR(_xlfn.XLOOKUP($A144,Input_Raw!$A:$A,Input_Raw!$DE:$DE),"")</f>
        <v/>
      </c>
      <c r="AJ144" s="167"/>
      <c r="AK144" s="167"/>
      <c r="AL144" s="167"/>
      <c r="AM144" s="167"/>
      <c r="AN144" s="188" t="str">
        <f>IFERROR(_xlfn.XLOOKUP($A144,Input_Raw!$A:$A,Input_Raw!$DB:$DB),"")</f>
        <v/>
      </c>
      <c r="AO144" s="186" t="str">
        <f>IFERROR((_xlfn.XLOOKUP($A144,'WTG Reactive Power'!$A:$A,'WTG Reactive Power'!$AR:$AR))/X144/1000,"")</f>
        <v/>
      </c>
      <c r="AP144" s="186">
        <f>IFERROR(_xlfn.XLOOKUP($D144,'Modelling New'!$D:$D,'Modelling New'!$AK:$AK),"")</f>
        <v>0.05</v>
      </c>
      <c r="AQ144" s="186">
        <f>IFERROR(_xlfn.XLOOKUP($D144,'Modelling New'!$D:$D,'Modelling New'!$AL:$AL),"")</f>
        <v>0.05</v>
      </c>
      <c r="AR144">
        <f>IFERROR(_xlfn.XLOOKUP($D144,'Modelling New'!$D:$D,'Modelling New'!$N:$N),"")</f>
        <v>78</v>
      </c>
    </row>
    <row r="145" spans="1:44">
      <c r="A145" s="180">
        <f t="shared" si="11"/>
        <v>45888</v>
      </c>
      <c r="B145" s="169">
        <f>YEAR(Table13[[#This Row],[Date]])+IF(MONTH(Table13[[#This Row],[Date]])&gt;=4,1,0)</f>
        <v>2026</v>
      </c>
      <c r="C145" s="167">
        <f>YEAR(Table13[[#This Row],[Date]])</f>
        <v>2025</v>
      </c>
      <c r="D145" s="181">
        <f>Table13[[#This Row],[Date]]-DAY(Table13[[#This Row],[Date]])+1</f>
        <v>45870</v>
      </c>
      <c r="E145" s="167">
        <f t="shared" si="8"/>
        <v>31</v>
      </c>
      <c r="F145" s="170"/>
      <c r="G145" s="171"/>
      <c r="H145" s="171"/>
      <c r="I145" s="171"/>
      <c r="J145" s="171"/>
      <c r="K145" s="182"/>
      <c r="L145" s="171"/>
      <c r="M145" s="171" t="str">
        <f>IFERROR(_xlfn.XLOOKUP($A145,Input_Raw!$A:$A,Input_Raw!CG:CG),"")</f>
        <v/>
      </c>
      <c r="N145" s="171" t="str">
        <f>IFERROR(_xlfn.XLOOKUP($A145,Input_Raw!$A:$A,Input_Raw!CH:CH),"")</f>
        <v/>
      </c>
      <c r="O145" s="183" t="str">
        <f t="shared" si="10"/>
        <v/>
      </c>
      <c r="P145" s="183" t="str">
        <f>IFERROR(1-SUMIF(WTG_BD!$B:$B,$A145,WTG_BD!$AB:$AB)/($AA145+SUMIF(WTG_BD!$B:$B,$A145,WTG_BD!$AB:$AB)),"")</f>
        <v/>
      </c>
      <c r="Q145" s="184" t="str">
        <f>IFERROR(1-SUMIF(IGA_BD!$B:$B,$A145,IGA_BD!$X:$X)/($AA145+SUMIF(IGA_BD!$B:$B,$A145,IGA_BD!$X:$X)),"")</f>
        <v/>
      </c>
      <c r="R145" s="189" t="str">
        <f>IFERROR(1-SUMIF(Grid_BD!$B:$B,$A145,Grid_BD!$V:$V)/($AA145+SUMIF(Grid_BD!$B:$B,$A145,Grid_BD!$V:$V)),"")</f>
        <v/>
      </c>
      <c r="S145" s="167"/>
      <c r="T145" s="184"/>
      <c r="U145" s="185"/>
      <c r="V145" s="167"/>
      <c r="W145" s="186" t="str">
        <f>IFERROR(Table13[[#This Row],[Mtr_Net_Exp (KWh)]]/(24*AR145*1000),"")</f>
        <v/>
      </c>
      <c r="X145" s="167" t="str">
        <f>IFERROR(_xlfn.XLOOKUP($A145,Input_Raw!$A:$A,Input_Raw!$CF:$CF),"")</f>
        <v/>
      </c>
      <c r="Y145" s="167" t="str">
        <f>IFERROR(_xlfn.XLOOKUP($A145,Input_Raw!$A:$A,Input_Raw!$CZ:$CZ),"")</f>
        <v/>
      </c>
      <c r="Z145" s="167" t="str">
        <f>IFERROR(_xlfn.XLOOKUP($A145,Input_Raw!$A:$A,Input_Raw!$DA:$DA),"")</f>
        <v/>
      </c>
      <c r="AA145" s="169" t="str">
        <f t="shared" si="9"/>
        <v/>
      </c>
      <c r="AB145" s="167" t="str">
        <f>IFERROR(_xlfn.XLOOKUP($A145,Input_Raw!$A:$A,Input_Raw!$DG:$DG),"")</f>
        <v/>
      </c>
      <c r="AC145" s="187">
        <f>IFERROR(_xlfn.XLOOKUP($D145,'Modelling New'!$D:$D,'Modelling New'!$J:$J),"")</f>
        <v>6.8666666666666671</v>
      </c>
      <c r="AD145" s="169">
        <f>IFERROR(_xlfn.XLOOKUP($D145,'Modelling New'!$D:$D,'Modelling New'!$T:$T)*1000,"")</f>
        <v>616013.63346204848</v>
      </c>
      <c r="AE145" s="186"/>
      <c r="AF145" s="186">
        <f>IFERROR(_xlfn.XLOOKUP($D145,'Modelling New'!$D:$D,'Modelling New'!$W:$W),"")</f>
        <v>0.3290671118921199</v>
      </c>
      <c r="AG145" s="186">
        <f>IFERROR(_xlfn.XLOOKUP($D145,'Modelling New'!$D:$D,'Modelling New'!$AE:$AE),"")</f>
        <v>0.96029999999999993</v>
      </c>
      <c r="AH145" s="186">
        <f>IFERROR(_xlfn.XLOOKUP($D145,'Modelling New'!$D:$D,'Modelling New'!$AF:$AF),"")</f>
        <v>0.995</v>
      </c>
      <c r="AI145" s="167" t="str">
        <f>IFERROR(_xlfn.XLOOKUP($A145,Input_Raw!$A:$A,Input_Raw!$DE:$DE),"")</f>
        <v/>
      </c>
      <c r="AJ145" s="167"/>
      <c r="AK145" s="167"/>
      <c r="AL145" s="167"/>
      <c r="AM145" s="167"/>
      <c r="AN145" s="188" t="str">
        <f>IFERROR(_xlfn.XLOOKUP($A145,Input_Raw!$A:$A,Input_Raw!$DB:$DB),"")</f>
        <v/>
      </c>
      <c r="AO145" s="186" t="str">
        <f>IFERROR((_xlfn.XLOOKUP($A145,'WTG Reactive Power'!$A:$A,'WTG Reactive Power'!$AR:$AR))/X145/1000,"")</f>
        <v/>
      </c>
      <c r="AP145" s="186">
        <f>IFERROR(_xlfn.XLOOKUP($D145,'Modelling New'!$D:$D,'Modelling New'!$AK:$AK),"")</f>
        <v>0.05</v>
      </c>
      <c r="AQ145" s="186">
        <f>IFERROR(_xlfn.XLOOKUP($D145,'Modelling New'!$D:$D,'Modelling New'!$AL:$AL),"")</f>
        <v>0.05</v>
      </c>
      <c r="AR145">
        <f>IFERROR(_xlfn.XLOOKUP($D145,'Modelling New'!$D:$D,'Modelling New'!$N:$N),"")</f>
        <v>78</v>
      </c>
    </row>
    <row r="146" spans="1:44">
      <c r="A146" s="180">
        <f t="shared" si="11"/>
        <v>45889</v>
      </c>
      <c r="B146" s="169">
        <f>YEAR(Table13[[#This Row],[Date]])+IF(MONTH(Table13[[#This Row],[Date]])&gt;=4,1,0)</f>
        <v>2026</v>
      </c>
      <c r="C146" s="167">
        <f>YEAR(Table13[[#This Row],[Date]])</f>
        <v>2025</v>
      </c>
      <c r="D146" s="181">
        <f>Table13[[#This Row],[Date]]-DAY(Table13[[#This Row],[Date]])+1</f>
        <v>45870</v>
      </c>
      <c r="E146" s="167">
        <f t="shared" si="8"/>
        <v>31</v>
      </c>
      <c r="F146" s="170"/>
      <c r="G146" s="171"/>
      <c r="H146" s="171"/>
      <c r="I146" s="171"/>
      <c r="J146" s="171"/>
      <c r="K146" s="182"/>
      <c r="L146" s="171"/>
      <c r="M146" s="171" t="str">
        <f>IFERROR(_xlfn.XLOOKUP($A146,Input_Raw!$A:$A,Input_Raw!CG:CG),"")</f>
        <v/>
      </c>
      <c r="N146" s="171" t="str">
        <f>IFERROR(_xlfn.XLOOKUP($A146,Input_Raw!$A:$A,Input_Raw!CH:CH),"")</f>
        <v/>
      </c>
      <c r="O146" s="183" t="str">
        <f t="shared" si="10"/>
        <v/>
      </c>
      <c r="P146" s="183" t="str">
        <f>IFERROR(1-SUMIF(WTG_BD!$B:$B,$A146,WTG_BD!$AB:$AB)/($AA146+SUMIF(WTG_BD!$B:$B,$A146,WTG_BD!$AB:$AB)),"")</f>
        <v/>
      </c>
      <c r="Q146" s="184" t="str">
        <f>IFERROR(1-SUMIF(IGA_BD!$B:$B,$A146,IGA_BD!$X:$X)/($AA146+SUMIF(IGA_BD!$B:$B,$A146,IGA_BD!$X:$X)),"")</f>
        <v/>
      </c>
      <c r="R146" s="189" t="str">
        <f>IFERROR(1-SUMIF(Grid_BD!$B:$B,$A146,Grid_BD!$V:$V)/($AA146+SUMIF(Grid_BD!$B:$B,$A146,Grid_BD!$V:$V)),"")</f>
        <v/>
      </c>
      <c r="S146" s="167"/>
      <c r="T146" s="184"/>
      <c r="U146" s="185"/>
      <c r="V146" s="167"/>
      <c r="W146" s="186" t="str">
        <f>IFERROR(Table13[[#This Row],[Mtr_Net_Exp (KWh)]]/(24*AR146*1000),"")</f>
        <v/>
      </c>
      <c r="X146" s="167" t="str">
        <f>IFERROR(_xlfn.XLOOKUP($A146,Input_Raw!$A:$A,Input_Raw!$CF:$CF),"")</f>
        <v/>
      </c>
      <c r="Y146" s="167" t="str">
        <f>IFERROR(_xlfn.XLOOKUP($A146,Input_Raw!$A:$A,Input_Raw!$CZ:$CZ),"")</f>
        <v/>
      </c>
      <c r="Z146" s="167" t="str">
        <f>IFERROR(_xlfn.XLOOKUP($A146,Input_Raw!$A:$A,Input_Raw!$DA:$DA),"")</f>
        <v/>
      </c>
      <c r="AA146" s="169" t="str">
        <f t="shared" si="9"/>
        <v/>
      </c>
      <c r="AB146" s="167" t="str">
        <f>IFERROR(_xlfn.XLOOKUP($A146,Input_Raw!$A:$A,Input_Raw!$DG:$DG),"")</f>
        <v/>
      </c>
      <c r="AC146" s="187">
        <f>IFERROR(_xlfn.XLOOKUP($D146,'Modelling New'!$D:$D,'Modelling New'!$J:$J),"")</f>
        <v>6.8666666666666671</v>
      </c>
      <c r="AD146" s="169">
        <f>IFERROR(_xlfn.XLOOKUP($D146,'Modelling New'!$D:$D,'Modelling New'!$T:$T)*1000,"")</f>
        <v>616013.63346204848</v>
      </c>
      <c r="AE146" s="186"/>
      <c r="AF146" s="186">
        <f>IFERROR(_xlfn.XLOOKUP($D146,'Modelling New'!$D:$D,'Modelling New'!$W:$W),"")</f>
        <v>0.3290671118921199</v>
      </c>
      <c r="AG146" s="186">
        <f>IFERROR(_xlfn.XLOOKUP($D146,'Modelling New'!$D:$D,'Modelling New'!$AE:$AE),"")</f>
        <v>0.96029999999999993</v>
      </c>
      <c r="AH146" s="186">
        <f>IFERROR(_xlfn.XLOOKUP($D146,'Modelling New'!$D:$D,'Modelling New'!$AF:$AF),"")</f>
        <v>0.995</v>
      </c>
      <c r="AI146" s="167" t="str">
        <f>IFERROR(_xlfn.XLOOKUP($A146,Input_Raw!$A:$A,Input_Raw!$DE:$DE),"")</f>
        <v/>
      </c>
      <c r="AJ146" s="167"/>
      <c r="AK146" s="167"/>
      <c r="AL146" s="167"/>
      <c r="AM146" s="167"/>
      <c r="AN146" s="188" t="str">
        <f>IFERROR(_xlfn.XLOOKUP($A146,Input_Raw!$A:$A,Input_Raw!$DB:$DB),"")</f>
        <v/>
      </c>
      <c r="AO146" s="186" t="str">
        <f>IFERROR((_xlfn.XLOOKUP($A146,'WTG Reactive Power'!$A:$A,'WTG Reactive Power'!$AR:$AR))/X146/1000,"")</f>
        <v/>
      </c>
      <c r="AP146" s="186">
        <f>IFERROR(_xlfn.XLOOKUP($D146,'Modelling New'!$D:$D,'Modelling New'!$AK:$AK),"")</f>
        <v>0.05</v>
      </c>
      <c r="AQ146" s="186">
        <f>IFERROR(_xlfn.XLOOKUP($D146,'Modelling New'!$D:$D,'Modelling New'!$AL:$AL),"")</f>
        <v>0.05</v>
      </c>
      <c r="AR146">
        <f>IFERROR(_xlfn.XLOOKUP($D146,'Modelling New'!$D:$D,'Modelling New'!$N:$N),"")</f>
        <v>78</v>
      </c>
    </row>
    <row r="147" spans="1:44">
      <c r="A147" s="180">
        <f t="shared" si="11"/>
        <v>45890</v>
      </c>
      <c r="B147" s="169">
        <f>YEAR(Table13[[#This Row],[Date]])+IF(MONTH(Table13[[#This Row],[Date]])&gt;=4,1,0)</f>
        <v>2026</v>
      </c>
      <c r="C147" s="167">
        <f>YEAR(Table13[[#This Row],[Date]])</f>
        <v>2025</v>
      </c>
      <c r="D147" s="181">
        <f>Table13[[#This Row],[Date]]-DAY(Table13[[#This Row],[Date]])+1</f>
        <v>45870</v>
      </c>
      <c r="E147" s="167">
        <f t="shared" si="8"/>
        <v>31</v>
      </c>
      <c r="F147" s="170"/>
      <c r="G147" s="171"/>
      <c r="H147" s="171"/>
      <c r="I147" s="171"/>
      <c r="J147" s="171"/>
      <c r="K147" s="182"/>
      <c r="L147" s="171"/>
      <c r="M147" s="171" t="str">
        <f>IFERROR(_xlfn.XLOOKUP($A147,Input_Raw!$A:$A,Input_Raw!CG:CG),"")</f>
        <v/>
      </c>
      <c r="N147" s="171" t="str">
        <f>IFERROR(_xlfn.XLOOKUP($A147,Input_Raw!$A:$A,Input_Raw!CH:CH),"")</f>
        <v/>
      </c>
      <c r="O147" s="183" t="str">
        <f t="shared" si="10"/>
        <v/>
      </c>
      <c r="P147" s="183" t="str">
        <f>IFERROR(1-SUMIF(WTG_BD!$B:$B,$A147,WTG_BD!$AB:$AB)/($AA147+SUMIF(WTG_BD!$B:$B,$A147,WTG_BD!$AB:$AB)),"")</f>
        <v/>
      </c>
      <c r="Q147" s="184" t="str">
        <f>IFERROR(1-SUMIF(IGA_BD!$B:$B,$A147,IGA_BD!$X:$X)/($AA147+SUMIF(IGA_BD!$B:$B,$A147,IGA_BD!$X:$X)),"")</f>
        <v/>
      </c>
      <c r="R147" s="189" t="str">
        <f>IFERROR(1-SUMIF(Grid_BD!$B:$B,$A147,Grid_BD!$V:$V)/($AA147+SUMIF(Grid_BD!$B:$B,$A147,Grid_BD!$V:$V)),"")</f>
        <v/>
      </c>
      <c r="S147" s="167"/>
      <c r="T147" s="184"/>
      <c r="U147" s="185"/>
      <c r="V147" s="167"/>
      <c r="W147" s="186" t="str">
        <f>IFERROR(Table13[[#This Row],[Mtr_Net_Exp (KWh)]]/(24*AR147*1000),"")</f>
        <v/>
      </c>
      <c r="X147" s="167" t="str">
        <f>IFERROR(_xlfn.XLOOKUP($A147,Input_Raw!$A:$A,Input_Raw!$CF:$CF),"")</f>
        <v/>
      </c>
      <c r="Y147" s="167" t="str">
        <f>IFERROR(_xlfn.XLOOKUP($A147,Input_Raw!$A:$A,Input_Raw!$CZ:$CZ),"")</f>
        <v/>
      </c>
      <c r="Z147" s="167" t="str">
        <f>IFERROR(_xlfn.XLOOKUP($A147,Input_Raw!$A:$A,Input_Raw!$DA:$DA),"")</f>
        <v/>
      </c>
      <c r="AA147" s="169" t="str">
        <f t="shared" si="9"/>
        <v/>
      </c>
      <c r="AB147" s="167" t="str">
        <f>IFERROR(_xlfn.XLOOKUP($A147,Input_Raw!$A:$A,Input_Raw!$DG:$DG),"")</f>
        <v/>
      </c>
      <c r="AC147" s="187">
        <f>IFERROR(_xlfn.XLOOKUP($D147,'Modelling New'!$D:$D,'Modelling New'!$J:$J),"")</f>
        <v>6.8666666666666671</v>
      </c>
      <c r="AD147" s="169">
        <f>IFERROR(_xlfn.XLOOKUP($D147,'Modelling New'!$D:$D,'Modelling New'!$T:$T)*1000,"")</f>
        <v>616013.63346204848</v>
      </c>
      <c r="AE147" s="186"/>
      <c r="AF147" s="186">
        <f>IFERROR(_xlfn.XLOOKUP($D147,'Modelling New'!$D:$D,'Modelling New'!$W:$W),"")</f>
        <v>0.3290671118921199</v>
      </c>
      <c r="AG147" s="186">
        <f>IFERROR(_xlfn.XLOOKUP($D147,'Modelling New'!$D:$D,'Modelling New'!$AE:$AE),"")</f>
        <v>0.96029999999999993</v>
      </c>
      <c r="AH147" s="186">
        <f>IFERROR(_xlfn.XLOOKUP($D147,'Modelling New'!$D:$D,'Modelling New'!$AF:$AF),"")</f>
        <v>0.995</v>
      </c>
      <c r="AI147" s="167" t="str">
        <f>IFERROR(_xlfn.XLOOKUP($A147,Input_Raw!$A:$A,Input_Raw!$DE:$DE),"")</f>
        <v/>
      </c>
      <c r="AJ147" s="167"/>
      <c r="AK147" s="167"/>
      <c r="AL147" s="167"/>
      <c r="AM147" s="167"/>
      <c r="AN147" s="188" t="str">
        <f>IFERROR(_xlfn.XLOOKUP($A147,Input_Raw!$A:$A,Input_Raw!$DB:$DB),"")</f>
        <v/>
      </c>
      <c r="AO147" s="186" t="str">
        <f>IFERROR((_xlfn.XLOOKUP($A147,'WTG Reactive Power'!$A:$A,'WTG Reactive Power'!$AR:$AR))/X147/1000,"")</f>
        <v/>
      </c>
      <c r="AP147" s="186">
        <f>IFERROR(_xlfn.XLOOKUP($D147,'Modelling New'!$D:$D,'Modelling New'!$AK:$AK),"")</f>
        <v>0.05</v>
      </c>
      <c r="AQ147" s="186">
        <f>IFERROR(_xlfn.XLOOKUP($D147,'Modelling New'!$D:$D,'Modelling New'!$AL:$AL),"")</f>
        <v>0.05</v>
      </c>
      <c r="AR147">
        <f>IFERROR(_xlfn.XLOOKUP($D147,'Modelling New'!$D:$D,'Modelling New'!$N:$N),"")</f>
        <v>78</v>
      </c>
    </row>
    <row r="148" spans="1:44">
      <c r="A148" s="180">
        <f t="shared" si="11"/>
        <v>45891</v>
      </c>
      <c r="B148" s="169">
        <f>YEAR(Table13[[#This Row],[Date]])+IF(MONTH(Table13[[#This Row],[Date]])&gt;=4,1,0)</f>
        <v>2026</v>
      </c>
      <c r="C148" s="167">
        <f>YEAR(Table13[[#This Row],[Date]])</f>
        <v>2025</v>
      </c>
      <c r="D148" s="181">
        <f>Table13[[#This Row],[Date]]-DAY(Table13[[#This Row],[Date]])+1</f>
        <v>45870</v>
      </c>
      <c r="E148" s="167">
        <f t="shared" si="8"/>
        <v>31</v>
      </c>
      <c r="F148" s="170"/>
      <c r="G148" s="171"/>
      <c r="H148" s="171"/>
      <c r="I148" s="171"/>
      <c r="J148" s="171"/>
      <c r="K148" s="182"/>
      <c r="L148" s="171"/>
      <c r="M148" s="171" t="str">
        <f>IFERROR(_xlfn.XLOOKUP($A148,Input_Raw!$A:$A,Input_Raw!CG:CG),"")</f>
        <v/>
      </c>
      <c r="N148" s="171" t="str">
        <f>IFERROR(_xlfn.XLOOKUP($A148,Input_Raw!$A:$A,Input_Raw!CH:CH),"")</f>
        <v/>
      </c>
      <c r="O148" s="183" t="str">
        <f t="shared" si="10"/>
        <v/>
      </c>
      <c r="P148" s="183" t="str">
        <f>IFERROR(1-SUMIF(WTG_BD!$B:$B,$A148,WTG_BD!$AB:$AB)/($AA148+SUMIF(WTG_BD!$B:$B,$A148,WTG_BD!$AB:$AB)),"")</f>
        <v/>
      </c>
      <c r="Q148" s="184" t="str">
        <f>IFERROR(1-SUMIF(IGA_BD!$B:$B,$A148,IGA_BD!$X:$X)/($AA148+SUMIF(IGA_BD!$B:$B,$A148,IGA_BD!$X:$X)),"")</f>
        <v/>
      </c>
      <c r="R148" s="189" t="str">
        <f>IFERROR(1-SUMIF(Grid_BD!$B:$B,$A148,Grid_BD!$V:$V)/($AA148+SUMIF(Grid_BD!$B:$B,$A148,Grid_BD!$V:$V)),"")</f>
        <v/>
      </c>
      <c r="S148" s="167"/>
      <c r="T148" s="184"/>
      <c r="U148" s="185"/>
      <c r="V148" s="167"/>
      <c r="W148" s="186" t="str">
        <f>IFERROR(Table13[[#This Row],[Mtr_Net_Exp (KWh)]]/(24*AR148*1000),"")</f>
        <v/>
      </c>
      <c r="X148" s="167" t="str">
        <f>IFERROR(_xlfn.XLOOKUP($A148,Input_Raw!$A:$A,Input_Raw!$CF:$CF),"")</f>
        <v/>
      </c>
      <c r="Y148" s="167" t="str">
        <f>IFERROR(_xlfn.XLOOKUP($A148,Input_Raw!$A:$A,Input_Raw!$CZ:$CZ),"")</f>
        <v/>
      </c>
      <c r="Z148" s="167" t="str">
        <f>IFERROR(_xlfn.XLOOKUP($A148,Input_Raw!$A:$A,Input_Raw!$DA:$DA),"")</f>
        <v/>
      </c>
      <c r="AA148" s="169" t="str">
        <f t="shared" si="9"/>
        <v/>
      </c>
      <c r="AB148" s="167" t="str">
        <f>IFERROR(_xlfn.XLOOKUP($A148,Input_Raw!$A:$A,Input_Raw!$DG:$DG),"")</f>
        <v/>
      </c>
      <c r="AC148" s="187">
        <f>IFERROR(_xlfn.XLOOKUP($D148,'Modelling New'!$D:$D,'Modelling New'!$J:$J),"")</f>
        <v>6.8666666666666671</v>
      </c>
      <c r="AD148" s="169">
        <f>IFERROR(_xlfn.XLOOKUP($D148,'Modelling New'!$D:$D,'Modelling New'!$T:$T)*1000,"")</f>
        <v>616013.63346204848</v>
      </c>
      <c r="AE148" s="186"/>
      <c r="AF148" s="186">
        <f>IFERROR(_xlfn.XLOOKUP($D148,'Modelling New'!$D:$D,'Modelling New'!$W:$W),"")</f>
        <v>0.3290671118921199</v>
      </c>
      <c r="AG148" s="186">
        <f>IFERROR(_xlfn.XLOOKUP($D148,'Modelling New'!$D:$D,'Modelling New'!$AE:$AE),"")</f>
        <v>0.96029999999999993</v>
      </c>
      <c r="AH148" s="186">
        <f>IFERROR(_xlfn.XLOOKUP($D148,'Modelling New'!$D:$D,'Modelling New'!$AF:$AF),"")</f>
        <v>0.995</v>
      </c>
      <c r="AI148" s="167" t="str">
        <f>IFERROR(_xlfn.XLOOKUP($A148,Input_Raw!$A:$A,Input_Raw!$DE:$DE),"")</f>
        <v/>
      </c>
      <c r="AJ148" s="167"/>
      <c r="AK148" s="167"/>
      <c r="AL148" s="167"/>
      <c r="AM148" s="167"/>
      <c r="AN148" s="188" t="str">
        <f>IFERROR(_xlfn.XLOOKUP($A148,Input_Raw!$A:$A,Input_Raw!$DB:$DB),"")</f>
        <v/>
      </c>
      <c r="AO148" s="186" t="str">
        <f>IFERROR((_xlfn.XLOOKUP($A148,'WTG Reactive Power'!$A:$A,'WTG Reactive Power'!$AR:$AR))/X148/1000,"")</f>
        <v/>
      </c>
      <c r="AP148" s="186">
        <f>IFERROR(_xlfn.XLOOKUP($D148,'Modelling New'!$D:$D,'Modelling New'!$AK:$AK),"")</f>
        <v>0.05</v>
      </c>
      <c r="AQ148" s="186">
        <f>IFERROR(_xlfn.XLOOKUP($D148,'Modelling New'!$D:$D,'Modelling New'!$AL:$AL),"")</f>
        <v>0.05</v>
      </c>
      <c r="AR148">
        <f>IFERROR(_xlfn.XLOOKUP($D148,'Modelling New'!$D:$D,'Modelling New'!$N:$N),"")</f>
        <v>78</v>
      </c>
    </row>
    <row r="149" spans="1:44">
      <c r="A149" s="180">
        <f t="shared" si="11"/>
        <v>45892</v>
      </c>
      <c r="B149" s="169">
        <f>YEAR(Table13[[#This Row],[Date]])+IF(MONTH(Table13[[#This Row],[Date]])&gt;=4,1,0)</f>
        <v>2026</v>
      </c>
      <c r="C149" s="167">
        <f>YEAR(Table13[[#This Row],[Date]])</f>
        <v>2025</v>
      </c>
      <c r="D149" s="181">
        <f>Table13[[#This Row],[Date]]-DAY(Table13[[#This Row],[Date]])+1</f>
        <v>45870</v>
      </c>
      <c r="E149" s="167">
        <f t="shared" si="8"/>
        <v>31</v>
      </c>
      <c r="F149" s="170"/>
      <c r="G149" s="171"/>
      <c r="H149" s="171"/>
      <c r="I149" s="171"/>
      <c r="J149" s="171"/>
      <c r="K149" s="182"/>
      <c r="L149" s="171"/>
      <c r="M149" s="171" t="str">
        <f>IFERROR(_xlfn.XLOOKUP($A149,Input_Raw!$A:$A,Input_Raw!CG:CG),"")</f>
        <v/>
      </c>
      <c r="N149" s="171" t="str">
        <f>IFERROR(_xlfn.XLOOKUP($A149,Input_Raw!$A:$A,Input_Raw!CH:CH),"")</f>
        <v/>
      </c>
      <c r="O149" s="183" t="str">
        <f t="shared" si="10"/>
        <v/>
      </c>
      <c r="P149" s="183" t="str">
        <f>IFERROR(1-SUMIF(WTG_BD!$B:$B,$A149,WTG_BD!$AB:$AB)/($AA149+SUMIF(WTG_BD!$B:$B,$A149,WTG_BD!$AB:$AB)),"")</f>
        <v/>
      </c>
      <c r="Q149" s="184" t="str">
        <f>IFERROR(1-SUMIF(IGA_BD!$B:$B,$A149,IGA_BD!$X:$X)/($AA149+SUMIF(IGA_BD!$B:$B,$A149,IGA_BD!$X:$X)),"")</f>
        <v/>
      </c>
      <c r="R149" s="189" t="str">
        <f>IFERROR(1-SUMIF(Grid_BD!$B:$B,$A149,Grid_BD!$V:$V)/($AA149+SUMIF(Grid_BD!$B:$B,$A149,Grid_BD!$V:$V)),"")</f>
        <v/>
      </c>
      <c r="S149" s="167"/>
      <c r="T149" s="184"/>
      <c r="U149" s="185"/>
      <c r="V149" s="167"/>
      <c r="W149" s="186" t="str">
        <f>IFERROR(Table13[[#This Row],[Mtr_Net_Exp (KWh)]]/(24*AR149*1000),"")</f>
        <v/>
      </c>
      <c r="X149" s="167" t="str">
        <f>IFERROR(_xlfn.XLOOKUP($A149,Input_Raw!$A:$A,Input_Raw!$CF:$CF),"")</f>
        <v/>
      </c>
      <c r="Y149" s="167" t="str">
        <f>IFERROR(_xlfn.XLOOKUP($A149,Input_Raw!$A:$A,Input_Raw!$CZ:$CZ),"")</f>
        <v/>
      </c>
      <c r="Z149" s="167" t="str">
        <f>IFERROR(_xlfn.XLOOKUP($A149,Input_Raw!$A:$A,Input_Raw!$DA:$DA),"")</f>
        <v/>
      </c>
      <c r="AA149" s="169" t="str">
        <f t="shared" si="9"/>
        <v/>
      </c>
      <c r="AB149" s="167" t="str">
        <f>IFERROR(_xlfn.XLOOKUP($A149,Input_Raw!$A:$A,Input_Raw!$DG:$DG),"")</f>
        <v/>
      </c>
      <c r="AC149" s="187">
        <f>IFERROR(_xlfn.XLOOKUP($D149,'Modelling New'!$D:$D,'Modelling New'!$J:$J),"")</f>
        <v>6.8666666666666671</v>
      </c>
      <c r="AD149" s="169">
        <f>IFERROR(_xlfn.XLOOKUP($D149,'Modelling New'!$D:$D,'Modelling New'!$T:$T)*1000,"")</f>
        <v>616013.63346204848</v>
      </c>
      <c r="AE149" s="186"/>
      <c r="AF149" s="186">
        <f>IFERROR(_xlfn.XLOOKUP($D149,'Modelling New'!$D:$D,'Modelling New'!$W:$W),"")</f>
        <v>0.3290671118921199</v>
      </c>
      <c r="AG149" s="186">
        <f>IFERROR(_xlfn.XLOOKUP($D149,'Modelling New'!$D:$D,'Modelling New'!$AE:$AE),"")</f>
        <v>0.96029999999999993</v>
      </c>
      <c r="AH149" s="186">
        <f>IFERROR(_xlfn.XLOOKUP($D149,'Modelling New'!$D:$D,'Modelling New'!$AF:$AF),"")</f>
        <v>0.995</v>
      </c>
      <c r="AI149" s="167" t="str">
        <f>IFERROR(_xlfn.XLOOKUP($A149,Input_Raw!$A:$A,Input_Raw!$DE:$DE),"")</f>
        <v/>
      </c>
      <c r="AJ149" s="167"/>
      <c r="AK149" s="167"/>
      <c r="AL149" s="167"/>
      <c r="AM149" s="167"/>
      <c r="AN149" s="188" t="str">
        <f>IFERROR(_xlfn.XLOOKUP($A149,Input_Raw!$A:$A,Input_Raw!$DB:$DB),"")</f>
        <v/>
      </c>
      <c r="AO149" s="186" t="str">
        <f>IFERROR((_xlfn.XLOOKUP($A149,'WTG Reactive Power'!$A:$A,'WTG Reactive Power'!$AR:$AR))/X149/1000,"")</f>
        <v/>
      </c>
      <c r="AP149" s="186">
        <f>IFERROR(_xlfn.XLOOKUP($D149,'Modelling New'!$D:$D,'Modelling New'!$AK:$AK),"")</f>
        <v>0.05</v>
      </c>
      <c r="AQ149" s="186">
        <f>IFERROR(_xlfn.XLOOKUP($D149,'Modelling New'!$D:$D,'Modelling New'!$AL:$AL),"")</f>
        <v>0.05</v>
      </c>
      <c r="AR149">
        <f>IFERROR(_xlfn.XLOOKUP($D149,'Modelling New'!$D:$D,'Modelling New'!$N:$N),"")</f>
        <v>78</v>
      </c>
    </row>
    <row r="150" spans="1:44">
      <c r="A150" s="180">
        <f t="shared" si="11"/>
        <v>45893</v>
      </c>
      <c r="B150" s="169">
        <f>YEAR(Table13[[#This Row],[Date]])+IF(MONTH(Table13[[#This Row],[Date]])&gt;=4,1,0)</f>
        <v>2026</v>
      </c>
      <c r="C150" s="167">
        <f>YEAR(Table13[[#This Row],[Date]])</f>
        <v>2025</v>
      </c>
      <c r="D150" s="181">
        <f>Table13[[#This Row],[Date]]-DAY(Table13[[#This Row],[Date]])+1</f>
        <v>45870</v>
      </c>
      <c r="E150" s="167">
        <f t="shared" si="8"/>
        <v>31</v>
      </c>
      <c r="F150" s="170"/>
      <c r="G150" s="171"/>
      <c r="H150" s="171"/>
      <c r="I150" s="171"/>
      <c r="J150" s="171"/>
      <c r="K150" s="182"/>
      <c r="L150" s="171"/>
      <c r="M150" s="171" t="str">
        <f>IFERROR(_xlfn.XLOOKUP($A150,Input_Raw!$A:$A,Input_Raw!CG:CG),"")</f>
        <v/>
      </c>
      <c r="N150" s="171" t="str">
        <f>IFERROR(_xlfn.XLOOKUP($A150,Input_Raw!$A:$A,Input_Raw!CH:CH),"")</f>
        <v/>
      </c>
      <c r="O150" s="183" t="str">
        <f t="shared" si="10"/>
        <v/>
      </c>
      <c r="P150" s="183" t="str">
        <f>IFERROR(1-SUMIF(WTG_BD!$B:$B,$A150,WTG_BD!$AB:$AB)/($AA150+SUMIF(WTG_BD!$B:$B,$A150,WTG_BD!$AB:$AB)),"")</f>
        <v/>
      </c>
      <c r="Q150" s="184" t="str">
        <f>IFERROR(1-SUMIF(IGA_BD!$B:$B,$A150,IGA_BD!$X:$X)/($AA150+SUMIF(IGA_BD!$B:$B,$A150,IGA_BD!$X:$X)),"")</f>
        <v/>
      </c>
      <c r="R150" s="189" t="str">
        <f>IFERROR(1-SUMIF(Grid_BD!$B:$B,$A150,Grid_BD!$V:$V)/($AA150+SUMIF(Grid_BD!$B:$B,$A150,Grid_BD!$V:$V)),"")</f>
        <v/>
      </c>
      <c r="S150" s="167"/>
      <c r="T150" s="184"/>
      <c r="U150" s="185"/>
      <c r="V150" s="167"/>
      <c r="W150" s="186" t="str">
        <f>IFERROR(Table13[[#This Row],[Mtr_Net_Exp (KWh)]]/(24*AR150*1000),"")</f>
        <v/>
      </c>
      <c r="X150" s="167" t="str">
        <f>IFERROR(_xlfn.XLOOKUP($A150,Input_Raw!$A:$A,Input_Raw!$CF:$CF),"")</f>
        <v/>
      </c>
      <c r="Y150" s="167" t="str">
        <f>IFERROR(_xlfn.XLOOKUP($A150,Input_Raw!$A:$A,Input_Raw!$CZ:$CZ),"")</f>
        <v/>
      </c>
      <c r="Z150" s="167" t="str">
        <f>IFERROR(_xlfn.XLOOKUP($A150,Input_Raw!$A:$A,Input_Raw!$DA:$DA),"")</f>
        <v/>
      </c>
      <c r="AA150" s="169" t="str">
        <f t="shared" si="9"/>
        <v/>
      </c>
      <c r="AB150" s="167" t="str">
        <f>IFERROR(_xlfn.XLOOKUP($A150,Input_Raw!$A:$A,Input_Raw!$DG:$DG),"")</f>
        <v/>
      </c>
      <c r="AC150" s="187">
        <f>IFERROR(_xlfn.XLOOKUP($D150,'Modelling New'!$D:$D,'Modelling New'!$J:$J),"")</f>
        <v>6.8666666666666671</v>
      </c>
      <c r="AD150" s="169">
        <f>IFERROR(_xlfn.XLOOKUP($D150,'Modelling New'!$D:$D,'Modelling New'!$T:$T)*1000,"")</f>
        <v>616013.63346204848</v>
      </c>
      <c r="AE150" s="186"/>
      <c r="AF150" s="186">
        <f>IFERROR(_xlfn.XLOOKUP($D150,'Modelling New'!$D:$D,'Modelling New'!$W:$W),"")</f>
        <v>0.3290671118921199</v>
      </c>
      <c r="AG150" s="186">
        <f>IFERROR(_xlfn.XLOOKUP($D150,'Modelling New'!$D:$D,'Modelling New'!$AE:$AE),"")</f>
        <v>0.96029999999999993</v>
      </c>
      <c r="AH150" s="186">
        <f>IFERROR(_xlfn.XLOOKUP($D150,'Modelling New'!$D:$D,'Modelling New'!$AF:$AF),"")</f>
        <v>0.995</v>
      </c>
      <c r="AI150" s="167" t="str">
        <f>IFERROR(_xlfn.XLOOKUP($A150,Input_Raw!$A:$A,Input_Raw!$DE:$DE),"")</f>
        <v/>
      </c>
      <c r="AJ150" s="167"/>
      <c r="AK150" s="167"/>
      <c r="AL150" s="167"/>
      <c r="AM150" s="167"/>
      <c r="AN150" s="188" t="str">
        <f>IFERROR(_xlfn.XLOOKUP($A150,Input_Raw!$A:$A,Input_Raw!$DB:$DB),"")</f>
        <v/>
      </c>
      <c r="AO150" s="186" t="str">
        <f>IFERROR((_xlfn.XLOOKUP($A150,'WTG Reactive Power'!$A:$A,'WTG Reactive Power'!$AR:$AR))/X150/1000,"")</f>
        <v/>
      </c>
      <c r="AP150" s="186">
        <f>IFERROR(_xlfn.XLOOKUP($D150,'Modelling New'!$D:$D,'Modelling New'!$AK:$AK),"")</f>
        <v>0.05</v>
      </c>
      <c r="AQ150" s="186">
        <f>IFERROR(_xlfn.XLOOKUP($D150,'Modelling New'!$D:$D,'Modelling New'!$AL:$AL),"")</f>
        <v>0.05</v>
      </c>
      <c r="AR150">
        <f>IFERROR(_xlfn.XLOOKUP($D150,'Modelling New'!$D:$D,'Modelling New'!$N:$N),"")</f>
        <v>78</v>
      </c>
    </row>
    <row r="151" spans="1:44">
      <c r="A151" s="180">
        <f t="shared" si="11"/>
        <v>45894</v>
      </c>
      <c r="B151" s="169">
        <f>YEAR(Table13[[#This Row],[Date]])+IF(MONTH(Table13[[#This Row],[Date]])&gt;=4,1,0)</f>
        <v>2026</v>
      </c>
      <c r="C151" s="167">
        <f>YEAR(Table13[[#This Row],[Date]])</f>
        <v>2025</v>
      </c>
      <c r="D151" s="181">
        <f>Table13[[#This Row],[Date]]-DAY(Table13[[#This Row],[Date]])+1</f>
        <v>45870</v>
      </c>
      <c r="E151" s="167">
        <f t="shared" si="8"/>
        <v>31</v>
      </c>
      <c r="F151" s="170"/>
      <c r="G151" s="171"/>
      <c r="H151" s="171"/>
      <c r="I151" s="171"/>
      <c r="J151" s="171"/>
      <c r="K151" s="182"/>
      <c r="L151" s="171"/>
      <c r="M151" s="171" t="str">
        <f>IFERROR(_xlfn.XLOOKUP($A151,Input_Raw!$A:$A,Input_Raw!CG:CG),"")</f>
        <v/>
      </c>
      <c r="N151" s="171" t="str">
        <f>IFERROR(_xlfn.XLOOKUP($A151,Input_Raw!$A:$A,Input_Raw!CH:CH),"")</f>
        <v/>
      </c>
      <c r="O151" s="183" t="str">
        <f t="shared" si="10"/>
        <v/>
      </c>
      <c r="P151" s="183" t="str">
        <f>IFERROR(1-SUMIF(WTG_BD!$B:$B,$A151,WTG_BD!$AB:$AB)/($AA151+SUMIF(WTG_BD!$B:$B,$A151,WTG_BD!$AB:$AB)),"")</f>
        <v/>
      </c>
      <c r="Q151" s="184" t="str">
        <f>IFERROR(1-SUMIF(IGA_BD!$B:$B,$A151,IGA_BD!$X:$X)/($AA151+SUMIF(IGA_BD!$B:$B,$A151,IGA_BD!$X:$X)),"")</f>
        <v/>
      </c>
      <c r="R151" s="189" t="str">
        <f>IFERROR(1-SUMIF(Grid_BD!$B:$B,$A151,Grid_BD!$V:$V)/($AA151+SUMIF(Grid_BD!$B:$B,$A151,Grid_BD!$V:$V)),"")</f>
        <v/>
      </c>
      <c r="S151" s="167"/>
      <c r="T151" s="184"/>
      <c r="U151" s="185"/>
      <c r="V151" s="167"/>
      <c r="W151" s="186" t="str">
        <f>IFERROR(Table13[[#This Row],[Mtr_Net_Exp (KWh)]]/(24*AR151*1000),"")</f>
        <v/>
      </c>
      <c r="X151" s="167" t="str">
        <f>IFERROR(_xlfn.XLOOKUP($A151,Input_Raw!$A:$A,Input_Raw!$CF:$CF),"")</f>
        <v/>
      </c>
      <c r="Y151" s="167" t="str">
        <f>IFERROR(_xlfn.XLOOKUP($A151,Input_Raw!$A:$A,Input_Raw!$CZ:$CZ),"")</f>
        <v/>
      </c>
      <c r="Z151" s="167" t="str">
        <f>IFERROR(_xlfn.XLOOKUP($A151,Input_Raw!$A:$A,Input_Raw!$DA:$DA),"")</f>
        <v/>
      </c>
      <c r="AA151" s="169" t="str">
        <f t="shared" si="9"/>
        <v/>
      </c>
      <c r="AB151" s="167" t="str">
        <f>IFERROR(_xlfn.XLOOKUP($A151,Input_Raw!$A:$A,Input_Raw!$DG:$DG),"")</f>
        <v/>
      </c>
      <c r="AC151" s="187">
        <f>IFERROR(_xlfn.XLOOKUP($D151,'Modelling New'!$D:$D,'Modelling New'!$J:$J),"")</f>
        <v>6.8666666666666671</v>
      </c>
      <c r="AD151" s="169">
        <f>IFERROR(_xlfn.XLOOKUP($D151,'Modelling New'!$D:$D,'Modelling New'!$T:$T)*1000,"")</f>
        <v>616013.63346204848</v>
      </c>
      <c r="AE151" s="186"/>
      <c r="AF151" s="186">
        <f>IFERROR(_xlfn.XLOOKUP($D151,'Modelling New'!$D:$D,'Modelling New'!$W:$W),"")</f>
        <v>0.3290671118921199</v>
      </c>
      <c r="AG151" s="186">
        <f>IFERROR(_xlfn.XLOOKUP($D151,'Modelling New'!$D:$D,'Modelling New'!$AE:$AE),"")</f>
        <v>0.96029999999999993</v>
      </c>
      <c r="AH151" s="186">
        <f>IFERROR(_xlfn.XLOOKUP($D151,'Modelling New'!$D:$D,'Modelling New'!$AF:$AF),"")</f>
        <v>0.995</v>
      </c>
      <c r="AI151" s="167" t="str">
        <f>IFERROR(_xlfn.XLOOKUP($A151,Input_Raw!$A:$A,Input_Raw!$DE:$DE),"")</f>
        <v/>
      </c>
      <c r="AJ151" s="167"/>
      <c r="AK151" s="167"/>
      <c r="AL151" s="167"/>
      <c r="AM151" s="167"/>
      <c r="AN151" s="188" t="str">
        <f>IFERROR(_xlfn.XLOOKUP($A151,Input_Raw!$A:$A,Input_Raw!$DB:$DB),"")</f>
        <v/>
      </c>
      <c r="AO151" s="186" t="str">
        <f>IFERROR((_xlfn.XLOOKUP($A151,'WTG Reactive Power'!$A:$A,'WTG Reactive Power'!$AR:$AR))/X151/1000,"")</f>
        <v/>
      </c>
      <c r="AP151" s="186">
        <f>IFERROR(_xlfn.XLOOKUP($D151,'Modelling New'!$D:$D,'Modelling New'!$AK:$AK),"")</f>
        <v>0.05</v>
      </c>
      <c r="AQ151" s="186">
        <f>IFERROR(_xlfn.XLOOKUP($D151,'Modelling New'!$D:$D,'Modelling New'!$AL:$AL),"")</f>
        <v>0.05</v>
      </c>
      <c r="AR151">
        <f>IFERROR(_xlfn.XLOOKUP($D151,'Modelling New'!$D:$D,'Modelling New'!$N:$N),"")</f>
        <v>78</v>
      </c>
    </row>
    <row r="152" spans="1:44">
      <c r="A152" s="180">
        <f t="shared" si="11"/>
        <v>45895</v>
      </c>
      <c r="B152" s="169">
        <f>YEAR(Table13[[#This Row],[Date]])+IF(MONTH(Table13[[#This Row],[Date]])&gt;=4,1,0)</f>
        <v>2026</v>
      </c>
      <c r="C152" s="167">
        <f>YEAR(Table13[[#This Row],[Date]])</f>
        <v>2025</v>
      </c>
      <c r="D152" s="181">
        <f>Table13[[#This Row],[Date]]-DAY(Table13[[#This Row],[Date]])+1</f>
        <v>45870</v>
      </c>
      <c r="E152" s="167">
        <f t="shared" si="8"/>
        <v>31</v>
      </c>
      <c r="F152" s="170"/>
      <c r="G152" s="171"/>
      <c r="H152" s="171"/>
      <c r="I152" s="171"/>
      <c r="J152" s="171"/>
      <c r="K152" s="182"/>
      <c r="L152" s="171"/>
      <c r="M152" s="171" t="str">
        <f>IFERROR(_xlfn.XLOOKUP($A152,Input_Raw!$A:$A,Input_Raw!CG:CG),"")</f>
        <v/>
      </c>
      <c r="N152" s="171" t="str">
        <f>IFERROR(_xlfn.XLOOKUP($A152,Input_Raw!$A:$A,Input_Raw!CH:CH),"")</f>
        <v/>
      </c>
      <c r="O152" s="183" t="str">
        <f t="shared" si="10"/>
        <v/>
      </c>
      <c r="P152" s="183" t="str">
        <f>IFERROR(1-SUMIF(WTG_BD!$B:$B,$A152,WTG_BD!$AB:$AB)/($AA152+SUMIF(WTG_BD!$B:$B,$A152,WTG_BD!$AB:$AB)),"")</f>
        <v/>
      </c>
      <c r="Q152" s="184" t="str">
        <f>IFERROR(1-SUMIF(IGA_BD!$B:$B,$A152,IGA_BD!$X:$X)/($AA152+SUMIF(IGA_BD!$B:$B,$A152,IGA_BD!$X:$X)),"")</f>
        <v/>
      </c>
      <c r="R152" s="189" t="str">
        <f>IFERROR(1-SUMIF(Grid_BD!$B:$B,$A152,Grid_BD!$V:$V)/($AA152+SUMIF(Grid_BD!$B:$B,$A152,Grid_BD!$V:$V)),"")</f>
        <v/>
      </c>
      <c r="S152" s="167"/>
      <c r="T152" s="184"/>
      <c r="U152" s="185"/>
      <c r="V152" s="167"/>
      <c r="W152" s="186" t="str">
        <f>IFERROR(Table13[[#This Row],[Mtr_Net_Exp (KWh)]]/(24*AR152*1000),"")</f>
        <v/>
      </c>
      <c r="X152" s="167" t="str">
        <f>IFERROR(_xlfn.XLOOKUP($A152,Input_Raw!$A:$A,Input_Raw!$CF:$CF),"")</f>
        <v/>
      </c>
      <c r="Y152" s="167" t="str">
        <f>IFERROR(_xlfn.XLOOKUP($A152,Input_Raw!$A:$A,Input_Raw!$CZ:$CZ),"")</f>
        <v/>
      </c>
      <c r="Z152" s="167" t="str">
        <f>IFERROR(_xlfn.XLOOKUP($A152,Input_Raw!$A:$A,Input_Raw!$DA:$DA),"")</f>
        <v/>
      </c>
      <c r="AA152" s="169" t="str">
        <f t="shared" si="9"/>
        <v/>
      </c>
      <c r="AB152" s="167" t="str">
        <f>IFERROR(_xlfn.XLOOKUP($A152,Input_Raw!$A:$A,Input_Raw!$DG:$DG),"")</f>
        <v/>
      </c>
      <c r="AC152" s="187">
        <f>IFERROR(_xlfn.XLOOKUP($D152,'Modelling New'!$D:$D,'Modelling New'!$J:$J),"")</f>
        <v>6.8666666666666671</v>
      </c>
      <c r="AD152" s="169">
        <f>IFERROR(_xlfn.XLOOKUP($D152,'Modelling New'!$D:$D,'Modelling New'!$T:$T)*1000,"")</f>
        <v>616013.63346204848</v>
      </c>
      <c r="AE152" s="186"/>
      <c r="AF152" s="186">
        <f>IFERROR(_xlfn.XLOOKUP($D152,'Modelling New'!$D:$D,'Modelling New'!$W:$W),"")</f>
        <v>0.3290671118921199</v>
      </c>
      <c r="AG152" s="186">
        <f>IFERROR(_xlfn.XLOOKUP($D152,'Modelling New'!$D:$D,'Modelling New'!$AE:$AE),"")</f>
        <v>0.96029999999999993</v>
      </c>
      <c r="AH152" s="186">
        <f>IFERROR(_xlfn.XLOOKUP($D152,'Modelling New'!$D:$D,'Modelling New'!$AF:$AF),"")</f>
        <v>0.995</v>
      </c>
      <c r="AI152" s="167" t="str">
        <f>IFERROR(_xlfn.XLOOKUP($A152,Input_Raw!$A:$A,Input_Raw!$DE:$DE),"")</f>
        <v/>
      </c>
      <c r="AJ152" s="167"/>
      <c r="AK152" s="167"/>
      <c r="AL152" s="167"/>
      <c r="AM152" s="167"/>
      <c r="AN152" s="188" t="str">
        <f>IFERROR(_xlfn.XLOOKUP($A152,Input_Raw!$A:$A,Input_Raw!$DB:$DB),"")</f>
        <v/>
      </c>
      <c r="AO152" s="186" t="str">
        <f>IFERROR((_xlfn.XLOOKUP($A152,'WTG Reactive Power'!$A:$A,'WTG Reactive Power'!$AR:$AR))/X152/1000,"")</f>
        <v/>
      </c>
      <c r="AP152" s="186">
        <f>IFERROR(_xlfn.XLOOKUP($D152,'Modelling New'!$D:$D,'Modelling New'!$AK:$AK),"")</f>
        <v>0.05</v>
      </c>
      <c r="AQ152" s="186">
        <f>IFERROR(_xlfn.XLOOKUP($D152,'Modelling New'!$D:$D,'Modelling New'!$AL:$AL),"")</f>
        <v>0.05</v>
      </c>
      <c r="AR152">
        <f>IFERROR(_xlfn.XLOOKUP($D152,'Modelling New'!$D:$D,'Modelling New'!$N:$N),"")</f>
        <v>78</v>
      </c>
    </row>
    <row r="153" spans="1:44">
      <c r="A153" s="180">
        <f t="shared" si="11"/>
        <v>45896</v>
      </c>
      <c r="B153" s="169">
        <f>YEAR(Table13[[#This Row],[Date]])+IF(MONTH(Table13[[#This Row],[Date]])&gt;=4,1,0)</f>
        <v>2026</v>
      </c>
      <c r="C153" s="167">
        <f>YEAR(Table13[[#This Row],[Date]])</f>
        <v>2025</v>
      </c>
      <c r="D153" s="181">
        <f>Table13[[#This Row],[Date]]-DAY(Table13[[#This Row],[Date]])+1</f>
        <v>45870</v>
      </c>
      <c r="E153" s="167">
        <f t="shared" si="8"/>
        <v>31</v>
      </c>
      <c r="F153" s="170"/>
      <c r="G153" s="171"/>
      <c r="H153" s="171"/>
      <c r="I153" s="171"/>
      <c r="J153" s="171"/>
      <c r="K153" s="182"/>
      <c r="L153" s="171"/>
      <c r="M153" s="171" t="str">
        <f>IFERROR(_xlfn.XLOOKUP($A153,Input_Raw!$A:$A,Input_Raw!CG:CG),"")</f>
        <v/>
      </c>
      <c r="N153" s="171" t="str">
        <f>IFERROR(_xlfn.XLOOKUP($A153,Input_Raw!$A:$A,Input_Raw!CH:CH),"")</f>
        <v/>
      </c>
      <c r="O153" s="183" t="str">
        <f t="shared" si="10"/>
        <v/>
      </c>
      <c r="P153" s="183" t="str">
        <f>IFERROR(1-SUMIF(WTG_BD!$B:$B,$A153,WTG_BD!$AB:$AB)/($AA153+SUMIF(WTG_BD!$B:$B,$A153,WTG_BD!$AB:$AB)),"")</f>
        <v/>
      </c>
      <c r="Q153" s="184" t="str">
        <f>IFERROR(1-SUMIF(IGA_BD!$B:$B,$A153,IGA_BD!$X:$X)/($AA153+SUMIF(IGA_BD!$B:$B,$A153,IGA_BD!$X:$X)),"")</f>
        <v/>
      </c>
      <c r="R153" s="189" t="str">
        <f>IFERROR(1-SUMIF(Grid_BD!$B:$B,$A153,Grid_BD!$V:$V)/($AA153+SUMIF(Grid_BD!$B:$B,$A153,Grid_BD!$V:$V)),"")</f>
        <v/>
      </c>
      <c r="S153" s="167"/>
      <c r="T153" s="184"/>
      <c r="U153" s="185"/>
      <c r="V153" s="167"/>
      <c r="W153" s="186" t="str">
        <f>IFERROR(Table13[[#This Row],[Mtr_Net_Exp (KWh)]]/(24*AR153*1000),"")</f>
        <v/>
      </c>
      <c r="X153" s="167" t="str">
        <f>IFERROR(_xlfn.XLOOKUP($A153,Input_Raw!$A:$A,Input_Raw!$CF:$CF),"")</f>
        <v/>
      </c>
      <c r="Y153" s="167" t="str">
        <f>IFERROR(_xlfn.XLOOKUP($A153,Input_Raw!$A:$A,Input_Raw!$CZ:$CZ),"")</f>
        <v/>
      </c>
      <c r="Z153" s="167" t="str">
        <f>IFERROR(_xlfn.XLOOKUP($A153,Input_Raw!$A:$A,Input_Raw!$DA:$DA),"")</f>
        <v/>
      </c>
      <c r="AA153" s="169" t="str">
        <f t="shared" si="9"/>
        <v/>
      </c>
      <c r="AB153" s="167" t="str">
        <f>IFERROR(_xlfn.XLOOKUP($A153,Input_Raw!$A:$A,Input_Raw!$DG:$DG),"")</f>
        <v/>
      </c>
      <c r="AC153" s="187">
        <f>IFERROR(_xlfn.XLOOKUP($D153,'Modelling New'!$D:$D,'Modelling New'!$J:$J),"")</f>
        <v>6.8666666666666671</v>
      </c>
      <c r="AD153" s="169">
        <f>IFERROR(_xlfn.XLOOKUP($D153,'Modelling New'!$D:$D,'Modelling New'!$T:$T)*1000,"")</f>
        <v>616013.63346204848</v>
      </c>
      <c r="AE153" s="186"/>
      <c r="AF153" s="186">
        <f>IFERROR(_xlfn.XLOOKUP($D153,'Modelling New'!$D:$D,'Modelling New'!$W:$W),"")</f>
        <v>0.3290671118921199</v>
      </c>
      <c r="AG153" s="186">
        <f>IFERROR(_xlfn.XLOOKUP($D153,'Modelling New'!$D:$D,'Modelling New'!$AE:$AE),"")</f>
        <v>0.96029999999999993</v>
      </c>
      <c r="AH153" s="186">
        <f>IFERROR(_xlfn.XLOOKUP($D153,'Modelling New'!$D:$D,'Modelling New'!$AF:$AF),"")</f>
        <v>0.995</v>
      </c>
      <c r="AI153" s="167" t="str">
        <f>IFERROR(_xlfn.XLOOKUP($A153,Input_Raw!$A:$A,Input_Raw!$DE:$DE),"")</f>
        <v/>
      </c>
      <c r="AJ153" s="167"/>
      <c r="AK153" s="167"/>
      <c r="AL153" s="167"/>
      <c r="AM153" s="167"/>
      <c r="AN153" s="188" t="str">
        <f>IFERROR(_xlfn.XLOOKUP($A153,Input_Raw!$A:$A,Input_Raw!$DB:$DB),"")</f>
        <v/>
      </c>
      <c r="AO153" s="186" t="str">
        <f>IFERROR((_xlfn.XLOOKUP($A153,'WTG Reactive Power'!$A:$A,'WTG Reactive Power'!$AR:$AR))/X153/1000,"")</f>
        <v/>
      </c>
      <c r="AP153" s="186">
        <f>IFERROR(_xlfn.XLOOKUP($D153,'Modelling New'!$D:$D,'Modelling New'!$AK:$AK),"")</f>
        <v>0.05</v>
      </c>
      <c r="AQ153" s="186">
        <f>IFERROR(_xlfn.XLOOKUP($D153,'Modelling New'!$D:$D,'Modelling New'!$AL:$AL),"")</f>
        <v>0.05</v>
      </c>
      <c r="AR153">
        <f>IFERROR(_xlfn.XLOOKUP($D153,'Modelling New'!$D:$D,'Modelling New'!$N:$N),"")</f>
        <v>78</v>
      </c>
    </row>
    <row r="154" spans="1:44">
      <c r="A154" s="180">
        <f t="shared" si="11"/>
        <v>45897</v>
      </c>
      <c r="B154" s="169">
        <f>YEAR(Table13[[#This Row],[Date]])+IF(MONTH(Table13[[#This Row],[Date]])&gt;=4,1,0)</f>
        <v>2026</v>
      </c>
      <c r="C154" s="167">
        <f>YEAR(Table13[[#This Row],[Date]])</f>
        <v>2025</v>
      </c>
      <c r="D154" s="181">
        <f>Table13[[#This Row],[Date]]-DAY(Table13[[#This Row],[Date]])+1</f>
        <v>45870</v>
      </c>
      <c r="E154" s="167">
        <f t="shared" si="8"/>
        <v>31</v>
      </c>
      <c r="F154" s="170"/>
      <c r="G154" s="171"/>
      <c r="H154" s="171"/>
      <c r="I154" s="171"/>
      <c r="J154" s="171"/>
      <c r="K154" s="182"/>
      <c r="L154" s="171"/>
      <c r="M154" s="171" t="str">
        <f>IFERROR(_xlfn.XLOOKUP($A154,Input_Raw!$A:$A,Input_Raw!CG:CG),"")</f>
        <v/>
      </c>
      <c r="N154" s="171" t="str">
        <f>IFERROR(_xlfn.XLOOKUP($A154,Input_Raw!$A:$A,Input_Raw!CH:CH),"")</f>
        <v/>
      </c>
      <c r="O154" s="183" t="str">
        <f t="shared" si="10"/>
        <v/>
      </c>
      <c r="P154" s="183" t="str">
        <f>IFERROR(1-SUMIF(WTG_BD!$B:$B,$A154,WTG_BD!$AB:$AB)/($AA154+SUMIF(WTG_BD!$B:$B,$A154,WTG_BD!$AB:$AB)),"")</f>
        <v/>
      </c>
      <c r="Q154" s="184" t="str">
        <f>IFERROR(1-SUMIF(IGA_BD!$B:$B,$A154,IGA_BD!$X:$X)/($AA154+SUMIF(IGA_BD!$B:$B,$A154,IGA_BD!$X:$X)),"")</f>
        <v/>
      </c>
      <c r="R154" s="189" t="str">
        <f>IFERROR(1-SUMIF(Grid_BD!$B:$B,$A154,Grid_BD!$V:$V)/($AA154+SUMIF(Grid_BD!$B:$B,$A154,Grid_BD!$V:$V)),"")</f>
        <v/>
      </c>
      <c r="S154" s="167"/>
      <c r="T154" s="184"/>
      <c r="U154" s="185"/>
      <c r="V154" s="167"/>
      <c r="W154" s="186" t="str">
        <f>IFERROR(Table13[[#This Row],[Mtr_Net_Exp (KWh)]]/(24*AR154*1000),"")</f>
        <v/>
      </c>
      <c r="X154" s="167" t="str">
        <f>IFERROR(_xlfn.XLOOKUP($A154,Input_Raw!$A:$A,Input_Raw!$CF:$CF),"")</f>
        <v/>
      </c>
      <c r="Y154" s="167" t="str">
        <f>IFERROR(_xlfn.XLOOKUP($A154,Input_Raw!$A:$A,Input_Raw!$CZ:$CZ),"")</f>
        <v/>
      </c>
      <c r="Z154" s="167" t="str">
        <f>IFERROR(_xlfn.XLOOKUP($A154,Input_Raw!$A:$A,Input_Raw!$DA:$DA),"")</f>
        <v/>
      </c>
      <c r="AA154" s="169" t="str">
        <f t="shared" si="9"/>
        <v/>
      </c>
      <c r="AB154" s="167" t="str">
        <f>IFERROR(_xlfn.XLOOKUP($A154,Input_Raw!$A:$A,Input_Raw!$DG:$DG),"")</f>
        <v/>
      </c>
      <c r="AC154" s="187">
        <f>IFERROR(_xlfn.XLOOKUP($D154,'Modelling New'!$D:$D,'Modelling New'!$J:$J),"")</f>
        <v>6.8666666666666671</v>
      </c>
      <c r="AD154" s="169">
        <f>IFERROR(_xlfn.XLOOKUP($D154,'Modelling New'!$D:$D,'Modelling New'!$T:$T)*1000,"")</f>
        <v>616013.63346204848</v>
      </c>
      <c r="AE154" s="186"/>
      <c r="AF154" s="186">
        <f>IFERROR(_xlfn.XLOOKUP($D154,'Modelling New'!$D:$D,'Modelling New'!$W:$W),"")</f>
        <v>0.3290671118921199</v>
      </c>
      <c r="AG154" s="186">
        <f>IFERROR(_xlfn.XLOOKUP($D154,'Modelling New'!$D:$D,'Modelling New'!$AE:$AE),"")</f>
        <v>0.96029999999999993</v>
      </c>
      <c r="AH154" s="186">
        <f>IFERROR(_xlfn.XLOOKUP($D154,'Modelling New'!$D:$D,'Modelling New'!$AF:$AF),"")</f>
        <v>0.995</v>
      </c>
      <c r="AI154" s="167" t="str">
        <f>IFERROR(_xlfn.XLOOKUP($A154,Input_Raw!$A:$A,Input_Raw!$DE:$DE),"")</f>
        <v/>
      </c>
      <c r="AJ154" s="167"/>
      <c r="AK154" s="167"/>
      <c r="AL154" s="167"/>
      <c r="AM154" s="167"/>
      <c r="AN154" s="188" t="str">
        <f>IFERROR(_xlfn.XLOOKUP($A154,Input_Raw!$A:$A,Input_Raw!$DB:$DB),"")</f>
        <v/>
      </c>
      <c r="AO154" s="186" t="str">
        <f>IFERROR((_xlfn.XLOOKUP($A154,'WTG Reactive Power'!$A:$A,'WTG Reactive Power'!$AR:$AR))/X154/1000,"")</f>
        <v/>
      </c>
      <c r="AP154" s="186">
        <f>IFERROR(_xlfn.XLOOKUP($D154,'Modelling New'!$D:$D,'Modelling New'!$AK:$AK),"")</f>
        <v>0.05</v>
      </c>
      <c r="AQ154" s="186">
        <f>IFERROR(_xlfn.XLOOKUP($D154,'Modelling New'!$D:$D,'Modelling New'!$AL:$AL),"")</f>
        <v>0.05</v>
      </c>
      <c r="AR154">
        <f>IFERROR(_xlfn.XLOOKUP($D154,'Modelling New'!$D:$D,'Modelling New'!$N:$N),"")</f>
        <v>78</v>
      </c>
    </row>
    <row r="155" spans="1:44">
      <c r="A155" s="180">
        <f t="shared" si="11"/>
        <v>45898</v>
      </c>
      <c r="B155" s="169">
        <f>YEAR(Table13[[#This Row],[Date]])+IF(MONTH(Table13[[#This Row],[Date]])&gt;=4,1,0)</f>
        <v>2026</v>
      </c>
      <c r="C155" s="167">
        <f>YEAR(Table13[[#This Row],[Date]])</f>
        <v>2025</v>
      </c>
      <c r="D155" s="181">
        <f>Table13[[#This Row],[Date]]-DAY(Table13[[#This Row],[Date]])+1</f>
        <v>45870</v>
      </c>
      <c r="E155" s="167">
        <f t="shared" si="8"/>
        <v>31</v>
      </c>
      <c r="F155" s="170"/>
      <c r="G155" s="171"/>
      <c r="H155" s="171"/>
      <c r="I155" s="171"/>
      <c r="J155" s="171"/>
      <c r="K155" s="182"/>
      <c r="L155" s="171"/>
      <c r="M155" s="171" t="str">
        <f>IFERROR(_xlfn.XLOOKUP($A155,Input_Raw!$A:$A,Input_Raw!CG:CG),"")</f>
        <v/>
      </c>
      <c r="N155" s="171" t="str">
        <f>IFERROR(_xlfn.XLOOKUP($A155,Input_Raw!$A:$A,Input_Raw!CH:CH),"")</f>
        <v/>
      </c>
      <c r="O155" s="183" t="str">
        <f t="shared" si="10"/>
        <v/>
      </c>
      <c r="P155" s="183" t="str">
        <f>IFERROR(1-SUMIF(WTG_BD!$B:$B,$A155,WTG_BD!$AB:$AB)/($AA155+SUMIF(WTG_BD!$B:$B,$A155,WTG_BD!$AB:$AB)),"")</f>
        <v/>
      </c>
      <c r="Q155" s="184" t="str">
        <f>IFERROR(1-SUMIF(IGA_BD!$B:$B,$A155,IGA_BD!$X:$X)/($AA155+SUMIF(IGA_BD!$B:$B,$A155,IGA_BD!$X:$X)),"")</f>
        <v/>
      </c>
      <c r="R155" s="189" t="str">
        <f>IFERROR(1-SUMIF(Grid_BD!$B:$B,$A155,Grid_BD!$V:$V)/($AA155+SUMIF(Grid_BD!$B:$B,$A155,Grid_BD!$V:$V)),"")</f>
        <v/>
      </c>
      <c r="S155" s="167"/>
      <c r="T155" s="184"/>
      <c r="U155" s="185"/>
      <c r="V155" s="167"/>
      <c r="W155" s="186" t="str">
        <f>IFERROR(Table13[[#This Row],[Mtr_Net_Exp (KWh)]]/(24*AR155*1000),"")</f>
        <v/>
      </c>
      <c r="X155" s="167" t="str">
        <f>IFERROR(_xlfn.XLOOKUP($A155,Input_Raw!$A:$A,Input_Raw!$CF:$CF),"")</f>
        <v/>
      </c>
      <c r="Y155" s="167" t="str">
        <f>IFERROR(_xlfn.XLOOKUP($A155,Input_Raw!$A:$A,Input_Raw!$CZ:$CZ),"")</f>
        <v/>
      </c>
      <c r="Z155" s="167" t="str">
        <f>IFERROR(_xlfn.XLOOKUP($A155,Input_Raw!$A:$A,Input_Raw!$DA:$DA),"")</f>
        <v/>
      </c>
      <c r="AA155" s="169" t="str">
        <f t="shared" si="9"/>
        <v/>
      </c>
      <c r="AB155" s="167" t="str">
        <f>IFERROR(_xlfn.XLOOKUP($A155,Input_Raw!$A:$A,Input_Raw!$DG:$DG),"")</f>
        <v/>
      </c>
      <c r="AC155" s="187">
        <f>IFERROR(_xlfn.XLOOKUP($D155,'Modelling New'!$D:$D,'Modelling New'!$J:$J),"")</f>
        <v>6.8666666666666671</v>
      </c>
      <c r="AD155" s="169">
        <f>IFERROR(_xlfn.XLOOKUP($D155,'Modelling New'!$D:$D,'Modelling New'!$T:$T)*1000,"")</f>
        <v>616013.63346204848</v>
      </c>
      <c r="AE155" s="186"/>
      <c r="AF155" s="186">
        <f>IFERROR(_xlfn.XLOOKUP($D155,'Modelling New'!$D:$D,'Modelling New'!$W:$W),"")</f>
        <v>0.3290671118921199</v>
      </c>
      <c r="AG155" s="186">
        <f>IFERROR(_xlfn.XLOOKUP($D155,'Modelling New'!$D:$D,'Modelling New'!$AE:$AE),"")</f>
        <v>0.96029999999999993</v>
      </c>
      <c r="AH155" s="186">
        <f>IFERROR(_xlfn.XLOOKUP($D155,'Modelling New'!$D:$D,'Modelling New'!$AF:$AF),"")</f>
        <v>0.995</v>
      </c>
      <c r="AI155" s="167" t="str">
        <f>IFERROR(_xlfn.XLOOKUP($A155,Input_Raw!$A:$A,Input_Raw!$DE:$DE),"")</f>
        <v/>
      </c>
      <c r="AJ155" s="167"/>
      <c r="AK155" s="167"/>
      <c r="AL155" s="167"/>
      <c r="AM155" s="167"/>
      <c r="AN155" s="188" t="str">
        <f>IFERROR(_xlfn.XLOOKUP($A155,Input_Raw!$A:$A,Input_Raw!$DB:$DB),"")</f>
        <v/>
      </c>
      <c r="AO155" s="186" t="str">
        <f>IFERROR((_xlfn.XLOOKUP($A155,'WTG Reactive Power'!$A:$A,'WTG Reactive Power'!$AR:$AR))/X155/1000,"")</f>
        <v/>
      </c>
      <c r="AP155" s="186">
        <f>IFERROR(_xlfn.XLOOKUP($D155,'Modelling New'!$D:$D,'Modelling New'!$AK:$AK),"")</f>
        <v>0.05</v>
      </c>
      <c r="AQ155" s="186">
        <f>IFERROR(_xlfn.XLOOKUP($D155,'Modelling New'!$D:$D,'Modelling New'!$AL:$AL),"")</f>
        <v>0.05</v>
      </c>
      <c r="AR155">
        <f>IFERROR(_xlfn.XLOOKUP($D155,'Modelling New'!$D:$D,'Modelling New'!$N:$N),"")</f>
        <v>78</v>
      </c>
    </row>
    <row r="156" spans="1:44">
      <c r="A156" s="180">
        <f t="shared" si="11"/>
        <v>45899</v>
      </c>
      <c r="B156" s="169">
        <f>YEAR(Table13[[#This Row],[Date]])+IF(MONTH(Table13[[#This Row],[Date]])&gt;=4,1,0)</f>
        <v>2026</v>
      </c>
      <c r="C156" s="167">
        <f>YEAR(Table13[[#This Row],[Date]])</f>
        <v>2025</v>
      </c>
      <c r="D156" s="181">
        <f>Table13[[#This Row],[Date]]-DAY(Table13[[#This Row],[Date]])+1</f>
        <v>45870</v>
      </c>
      <c r="E156" s="167">
        <f t="shared" si="8"/>
        <v>31</v>
      </c>
      <c r="F156" s="170"/>
      <c r="G156" s="171"/>
      <c r="H156" s="171"/>
      <c r="I156" s="171"/>
      <c r="J156" s="171"/>
      <c r="K156" s="182"/>
      <c r="L156" s="171"/>
      <c r="M156" s="171" t="str">
        <f>IFERROR(_xlfn.XLOOKUP($A156,Input_Raw!$A:$A,Input_Raw!CG:CG),"")</f>
        <v/>
      </c>
      <c r="N156" s="171" t="str">
        <f>IFERROR(_xlfn.XLOOKUP($A156,Input_Raw!$A:$A,Input_Raw!CH:CH),"")</f>
        <v/>
      </c>
      <c r="O156" s="183" t="str">
        <f t="shared" si="10"/>
        <v/>
      </c>
      <c r="P156" s="183" t="str">
        <f>IFERROR(1-SUMIF(WTG_BD!$B:$B,$A156,WTG_BD!$AB:$AB)/($AA156+SUMIF(WTG_BD!$B:$B,$A156,WTG_BD!$AB:$AB)),"")</f>
        <v/>
      </c>
      <c r="Q156" s="184" t="str">
        <f>IFERROR(1-SUMIF(IGA_BD!$B:$B,$A156,IGA_BD!$X:$X)/($AA156+SUMIF(IGA_BD!$B:$B,$A156,IGA_BD!$X:$X)),"")</f>
        <v/>
      </c>
      <c r="R156" s="189" t="str">
        <f>IFERROR(1-SUMIF(Grid_BD!$B:$B,$A156,Grid_BD!$V:$V)/($AA156+SUMIF(Grid_BD!$B:$B,$A156,Grid_BD!$V:$V)),"")</f>
        <v/>
      </c>
      <c r="S156" s="167"/>
      <c r="T156" s="184"/>
      <c r="U156" s="185"/>
      <c r="V156" s="167"/>
      <c r="W156" s="186" t="str">
        <f>IFERROR(Table13[[#This Row],[Mtr_Net_Exp (KWh)]]/(24*AR156*1000),"")</f>
        <v/>
      </c>
      <c r="X156" s="167" t="str">
        <f>IFERROR(_xlfn.XLOOKUP($A156,Input_Raw!$A:$A,Input_Raw!$CF:$CF),"")</f>
        <v/>
      </c>
      <c r="Y156" s="167" t="str">
        <f>IFERROR(_xlfn.XLOOKUP($A156,Input_Raw!$A:$A,Input_Raw!$CZ:$CZ),"")</f>
        <v/>
      </c>
      <c r="Z156" s="167" t="str">
        <f>IFERROR(_xlfn.XLOOKUP($A156,Input_Raw!$A:$A,Input_Raw!$DA:$DA),"")</f>
        <v/>
      </c>
      <c r="AA156" s="169" t="str">
        <f t="shared" si="9"/>
        <v/>
      </c>
      <c r="AB156" s="167" t="str">
        <f>IFERROR(_xlfn.XLOOKUP($A156,Input_Raw!$A:$A,Input_Raw!$DG:$DG),"")</f>
        <v/>
      </c>
      <c r="AC156" s="187">
        <f>IFERROR(_xlfn.XLOOKUP($D156,'Modelling New'!$D:$D,'Modelling New'!$J:$J),"")</f>
        <v>6.8666666666666671</v>
      </c>
      <c r="AD156" s="169">
        <f>IFERROR(_xlfn.XLOOKUP($D156,'Modelling New'!$D:$D,'Modelling New'!$T:$T)*1000,"")</f>
        <v>616013.63346204848</v>
      </c>
      <c r="AE156" s="186"/>
      <c r="AF156" s="186">
        <f>IFERROR(_xlfn.XLOOKUP($D156,'Modelling New'!$D:$D,'Modelling New'!$W:$W),"")</f>
        <v>0.3290671118921199</v>
      </c>
      <c r="AG156" s="186">
        <f>IFERROR(_xlfn.XLOOKUP($D156,'Modelling New'!$D:$D,'Modelling New'!$AE:$AE),"")</f>
        <v>0.96029999999999993</v>
      </c>
      <c r="AH156" s="186">
        <f>IFERROR(_xlfn.XLOOKUP($D156,'Modelling New'!$D:$D,'Modelling New'!$AF:$AF),"")</f>
        <v>0.995</v>
      </c>
      <c r="AI156" s="167" t="str">
        <f>IFERROR(_xlfn.XLOOKUP($A156,Input_Raw!$A:$A,Input_Raw!$DE:$DE),"")</f>
        <v/>
      </c>
      <c r="AJ156" s="167"/>
      <c r="AK156" s="167"/>
      <c r="AL156" s="167"/>
      <c r="AM156" s="167"/>
      <c r="AN156" s="188" t="str">
        <f>IFERROR(_xlfn.XLOOKUP($A156,Input_Raw!$A:$A,Input_Raw!$DB:$DB),"")</f>
        <v/>
      </c>
      <c r="AO156" s="186" t="str">
        <f>IFERROR((_xlfn.XLOOKUP($A156,'WTG Reactive Power'!$A:$A,'WTG Reactive Power'!$AR:$AR))/X156/1000,"")</f>
        <v/>
      </c>
      <c r="AP156" s="186">
        <f>IFERROR(_xlfn.XLOOKUP($D156,'Modelling New'!$D:$D,'Modelling New'!$AK:$AK),"")</f>
        <v>0.05</v>
      </c>
      <c r="AQ156" s="186">
        <f>IFERROR(_xlfn.XLOOKUP($D156,'Modelling New'!$D:$D,'Modelling New'!$AL:$AL),"")</f>
        <v>0.05</v>
      </c>
      <c r="AR156">
        <f>IFERROR(_xlfn.XLOOKUP($D156,'Modelling New'!$D:$D,'Modelling New'!$N:$N),"")</f>
        <v>78</v>
      </c>
    </row>
    <row r="157" spans="1:44">
      <c r="A157" s="180">
        <f t="shared" si="11"/>
        <v>45900</v>
      </c>
      <c r="B157" s="169">
        <f>YEAR(Table13[[#This Row],[Date]])+IF(MONTH(Table13[[#This Row],[Date]])&gt;=4,1,0)</f>
        <v>2026</v>
      </c>
      <c r="C157" s="167">
        <f>YEAR(Table13[[#This Row],[Date]])</f>
        <v>2025</v>
      </c>
      <c r="D157" s="181">
        <f>Table13[[#This Row],[Date]]-DAY(Table13[[#This Row],[Date]])+1</f>
        <v>45870</v>
      </c>
      <c r="E157" s="167">
        <f t="shared" si="8"/>
        <v>31</v>
      </c>
      <c r="F157" s="170"/>
      <c r="G157" s="171"/>
      <c r="H157" s="171"/>
      <c r="I157" s="171"/>
      <c r="J157" s="171"/>
      <c r="K157" s="182"/>
      <c r="L157" s="171"/>
      <c r="M157" s="171" t="str">
        <f>IFERROR(_xlfn.XLOOKUP($A157,Input_Raw!$A:$A,Input_Raw!CG:CG),"")</f>
        <v/>
      </c>
      <c r="N157" s="171" t="str">
        <f>IFERROR(_xlfn.XLOOKUP($A157,Input_Raw!$A:$A,Input_Raw!CH:CH),"")</f>
        <v/>
      </c>
      <c r="O157" s="183" t="str">
        <f t="shared" si="10"/>
        <v/>
      </c>
      <c r="P157" s="183" t="str">
        <f>IFERROR(1-SUMIF(WTG_BD!$B:$B,$A157,WTG_BD!$AB:$AB)/($AA157+SUMIF(WTG_BD!$B:$B,$A157,WTG_BD!$AB:$AB)),"")</f>
        <v/>
      </c>
      <c r="Q157" s="184" t="str">
        <f>IFERROR(1-SUMIF(IGA_BD!$B:$B,$A157,IGA_BD!$X:$X)/($AA157+SUMIF(IGA_BD!$B:$B,$A157,IGA_BD!$X:$X)),"")</f>
        <v/>
      </c>
      <c r="R157" s="189" t="str">
        <f>IFERROR(1-SUMIF(Grid_BD!$B:$B,$A157,Grid_BD!$V:$V)/($AA157+SUMIF(Grid_BD!$B:$B,$A157,Grid_BD!$V:$V)),"")</f>
        <v/>
      </c>
      <c r="S157" s="167"/>
      <c r="T157" s="184"/>
      <c r="U157" s="185"/>
      <c r="V157" s="167"/>
      <c r="W157" s="186" t="str">
        <f>IFERROR(Table13[[#This Row],[Mtr_Net_Exp (KWh)]]/(24*AR157*1000),"")</f>
        <v/>
      </c>
      <c r="X157" s="167" t="str">
        <f>IFERROR(_xlfn.XLOOKUP($A157,Input_Raw!$A:$A,Input_Raw!$CF:$CF),"")</f>
        <v/>
      </c>
      <c r="Y157" s="167" t="str">
        <f>IFERROR(_xlfn.XLOOKUP($A157,Input_Raw!$A:$A,Input_Raw!$CZ:$CZ),"")</f>
        <v/>
      </c>
      <c r="Z157" s="167" t="str">
        <f>IFERROR(_xlfn.XLOOKUP($A157,Input_Raw!$A:$A,Input_Raw!$DA:$DA),"")</f>
        <v/>
      </c>
      <c r="AA157" s="169" t="str">
        <f t="shared" si="9"/>
        <v/>
      </c>
      <c r="AB157" s="167" t="str">
        <f>IFERROR(_xlfn.XLOOKUP($A157,Input_Raw!$A:$A,Input_Raw!$DG:$DG),"")</f>
        <v/>
      </c>
      <c r="AC157" s="187">
        <f>IFERROR(_xlfn.XLOOKUP($D157,'Modelling New'!$D:$D,'Modelling New'!$J:$J),"")</f>
        <v>6.8666666666666671</v>
      </c>
      <c r="AD157" s="169">
        <f>IFERROR(_xlfn.XLOOKUP($D157,'Modelling New'!$D:$D,'Modelling New'!$T:$T)*1000,"")</f>
        <v>616013.63346204848</v>
      </c>
      <c r="AE157" s="186"/>
      <c r="AF157" s="186">
        <f>IFERROR(_xlfn.XLOOKUP($D157,'Modelling New'!$D:$D,'Modelling New'!$W:$W),"")</f>
        <v>0.3290671118921199</v>
      </c>
      <c r="AG157" s="186">
        <f>IFERROR(_xlfn.XLOOKUP($D157,'Modelling New'!$D:$D,'Modelling New'!$AE:$AE),"")</f>
        <v>0.96029999999999993</v>
      </c>
      <c r="AH157" s="186">
        <f>IFERROR(_xlfn.XLOOKUP($D157,'Modelling New'!$D:$D,'Modelling New'!$AF:$AF),"")</f>
        <v>0.995</v>
      </c>
      <c r="AI157" s="167" t="str">
        <f>IFERROR(_xlfn.XLOOKUP($A157,Input_Raw!$A:$A,Input_Raw!$DE:$DE),"")</f>
        <v/>
      </c>
      <c r="AJ157" s="167"/>
      <c r="AK157" s="167"/>
      <c r="AL157" s="167"/>
      <c r="AM157" s="167"/>
      <c r="AN157" s="188" t="str">
        <f>IFERROR(_xlfn.XLOOKUP($A157,Input_Raw!$A:$A,Input_Raw!$DB:$DB),"")</f>
        <v/>
      </c>
      <c r="AO157" s="186" t="str">
        <f>IFERROR((_xlfn.XLOOKUP($A157,'WTG Reactive Power'!$A:$A,'WTG Reactive Power'!$AR:$AR))/X157/1000,"")</f>
        <v/>
      </c>
      <c r="AP157" s="186">
        <f>IFERROR(_xlfn.XLOOKUP($D157,'Modelling New'!$D:$D,'Modelling New'!$AK:$AK),"")</f>
        <v>0.05</v>
      </c>
      <c r="AQ157" s="186">
        <f>IFERROR(_xlfn.XLOOKUP($D157,'Modelling New'!$D:$D,'Modelling New'!$AL:$AL),"")</f>
        <v>0.05</v>
      </c>
      <c r="AR157">
        <f>IFERROR(_xlfn.XLOOKUP($D157,'Modelling New'!$D:$D,'Modelling New'!$N:$N),"")</f>
        <v>78</v>
      </c>
    </row>
    <row r="158" spans="1:44">
      <c r="A158" s="180">
        <f t="shared" si="11"/>
        <v>45901</v>
      </c>
      <c r="B158" s="169">
        <f>YEAR(Table13[[#This Row],[Date]])+IF(MONTH(Table13[[#This Row],[Date]])&gt;=4,1,0)</f>
        <v>2026</v>
      </c>
      <c r="C158" s="167">
        <f>YEAR(Table13[[#This Row],[Date]])</f>
        <v>2025</v>
      </c>
      <c r="D158" s="181">
        <f>Table13[[#This Row],[Date]]-DAY(Table13[[#This Row],[Date]])+1</f>
        <v>45901</v>
      </c>
      <c r="E158" s="167">
        <f t="shared" si="8"/>
        <v>30</v>
      </c>
      <c r="F158" s="170"/>
      <c r="G158" s="171"/>
      <c r="H158" s="171"/>
      <c r="I158" s="171"/>
      <c r="J158" s="171"/>
      <c r="K158" s="182"/>
      <c r="L158" s="171"/>
      <c r="M158" s="171" t="str">
        <f>IFERROR(_xlfn.XLOOKUP($A158,Input_Raw!$A:$A,Input_Raw!CG:CG),"")</f>
        <v/>
      </c>
      <c r="N158" s="171" t="str">
        <f>IFERROR(_xlfn.XLOOKUP($A158,Input_Raw!$A:$A,Input_Raw!CH:CH),"")</f>
        <v/>
      </c>
      <c r="O158" s="183" t="str">
        <f t="shared" si="10"/>
        <v/>
      </c>
      <c r="P158" s="183" t="str">
        <f>IFERROR(1-SUMIF(WTG_BD!$B:$B,$A158,WTG_BD!$AB:$AB)/($AA158+SUMIF(WTG_BD!$B:$B,$A158,WTG_BD!$AB:$AB)),"")</f>
        <v/>
      </c>
      <c r="Q158" s="184" t="str">
        <f>IFERROR(1-SUMIF(IGA_BD!$B:$B,$A158,IGA_BD!$X:$X)/($AA158+SUMIF(IGA_BD!$B:$B,$A158,IGA_BD!$X:$X)),"")</f>
        <v/>
      </c>
      <c r="R158" s="189" t="str">
        <f>IFERROR(1-SUMIF(Grid_BD!$B:$B,$A158,Grid_BD!$V:$V)/($AA158+SUMIF(Grid_BD!$B:$B,$A158,Grid_BD!$V:$V)),"")</f>
        <v/>
      </c>
      <c r="S158" s="167"/>
      <c r="T158" s="184"/>
      <c r="U158" s="185"/>
      <c r="V158" s="167"/>
      <c r="W158" s="186" t="str">
        <f>IFERROR(Table13[[#This Row],[Mtr_Net_Exp (KWh)]]/(24*AR158*1000),"")</f>
        <v/>
      </c>
      <c r="X158" s="167" t="str">
        <f>IFERROR(_xlfn.XLOOKUP($A158,Input_Raw!$A:$A,Input_Raw!$CF:$CF),"")</f>
        <v/>
      </c>
      <c r="Y158" s="167" t="str">
        <f>IFERROR(_xlfn.XLOOKUP($A158,Input_Raw!$A:$A,Input_Raw!$CZ:$CZ),"")</f>
        <v/>
      </c>
      <c r="Z158" s="167" t="str">
        <f>IFERROR(_xlfn.XLOOKUP($A158,Input_Raw!$A:$A,Input_Raw!$DA:$DA),"")</f>
        <v/>
      </c>
      <c r="AA158" s="169" t="str">
        <f t="shared" si="9"/>
        <v/>
      </c>
      <c r="AB158" s="167" t="str">
        <f>IFERROR(_xlfn.XLOOKUP($A158,Input_Raw!$A:$A,Input_Raw!$DG:$DG),"")</f>
        <v/>
      </c>
      <c r="AC158" s="187">
        <f>IFERROR(_xlfn.XLOOKUP($D158,'Modelling New'!$D:$D,'Modelling New'!$J:$J),"")</f>
        <v>5.0333333333333332</v>
      </c>
      <c r="AD158" s="169">
        <f>IFERROR(_xlfn.XLOOKUP($D158,'Modelling New'!$D:$D,'Modelling New'!$T:$T)*1000,"")</f>
        <v>279529.73373197042</v>
      </c>
      <c r="AE158" s="186"/>
      <c r="AF158" s="186">
        <f>IFERROR(_xlfn.XLOOKUP($D158,'Modelling New'!$D:$D,'Modelling New'!$W:$W),"")</f>
        <v>0.14932143895938593</v>
      </c>
      <c r="AG158" s="186">
        <f>IFERROR(_xlfn.XLOOKUP($D158,'Modelling New'!$D:$D,'Modelling New'!$AE:$AE),"")</f>
        <v>0.96029999999999993</v>
      </c>
      <c r="AH158" s="186">
        <f>IFERROR(_xlfn.XLOOKUP($D158,'Modelling New'!$D:$D,'Modelling New'!$AF:$AF),"")</f>
        <v>0.995</v>
      </c>
      <c r="AI158" s="167" t="str">
        <f>IFERROR(_xlfn.XLOOKUP($A158,Input_Raw!$A:$A,Input_Raw!$DE:$DE),"")</f>
        <v/>
      </c>
      <c r="AJ158" s="167"/>
      <c r="AK158" s="167"/>
      <c r="AL158" s="167"/>
      <c r="AM158" s="167"/>
      <c r="AN158" s="188" t="str">
        <f>IFERROR(_xlfn.XLOOKUP($A158,Input_Raw!$A:$A,Input_Raw!$DB:$DB),"")</f>
        <v/>
      </c>
      <c r="AO158" s="186" t="str">
        <f>IFERROR((_xlfn.XLOOKUP($A158,'WTG Reactive Power'!$A:$A,'WTG Reactive Power'!$AR:$AR))/X158/1000,"")</f>
        <v/>
      </c>
      <c r="AP158" s="186">
        <f>IFERROR(_xlfn.XLOOKUP($D158,'Modelling New'!$D:$D,'Modelling New'!$AK:$AK),"")</f>
        <v>0.05</v>
      </c>
      <c r="AQ158" s="186">
        <f>IFERROR(_xlfn.XLOOKUP($D158,'Modelling New'!$D:$D,'Modelling New'!$AL:$AL),"")</f>
        <v>0.05</v>
      </c>
      <c r="AR158">
        <f>IFERROR(_xlfn.XLOOKUP($D158,'Modelling New'!$D:$D,'Modelling New'!$N:$N),"")</f>
        <v>78</v>
      </c>
    </row>
    <row r="159" spans="1:44">
      <c r="A159" s="180">
        <f t="shared" si="11"/>
        <v>45902</v>
      </c>
      <c r="B159" s="169">
        <f>YEAR(Table13[[#This Row],[Date]])+IF(MONTH(Table13[[#This Row],[Date]])&gt;=4,1,0)</f>
        <v>2026</v>
      </c>
      <c r="C159" s="167">
        <f>YEAR(Table13[[#This Row],[Date]])</f>
        <v>2025</v>
      </c>
      <c r="D159" s="181">
        <f>Table13[[#This Row],[Date]]-DAY(Table13[[#This Row],[Date]])+1</f>
        <v>45901</v>
      </c>
      <c r="E159" s="167">
        <f t="shared" si="8"/>
        <v>30</v>
      </c>
      <c r="F159" s="170"/>
      <c r="G159" s="171"/>
      <c r="H159" s="171"/>
      <c r="I159" s="171"/>
      <c r="J159" s="171"/>
      <c r="K159" s="182"/>
      <c r="L159" s="171"/>
      <c r="M159" s="171" t="str">
        <f>IFERROR(_xlfn.XLOOKUP($A159,Input_Raw!$A:$A,Input_Raw!CG:CG),"")</f>
        <v/>
      </c>
      <c r="N159" s="171" t="str">
        <f>IFERROR(_xlfn.XLOOKUP($A159,Input_Raw!$A:$A,Input_Raw!CH:CH),"")</f>
        <v/>
      </c>
      <c r="O159" s="183" t="str">
        <f t="shared" si="10"/>
        <v/>
      </c>
      <c r="P159" s="183" t="str">
        <f>IFERROR(1-SUMIF(WTG_BD!$B:$B,$A159,WTG_BD!$AB:$AB)/($AA159+SUMIF(WTG_BD!$B:$B,$A159,WTG_BD!$AB:$AB)),"")</f>
        <v/>
      </c>
      <c r="Q159" s="184" t="str">
        <f>IFERROR(1-SUMIF(IGA_BD!$B:$B,$A159,IGA_BD!$X:$X)/($AA159+SUMIF(IGA_BD!$B:$B,$A159,IGA_BD!$X:$X)),"")</f>
        <v/>
      </c>
      <c r="R159" s="189" t="str">
        <f>IFERROR(1-SUMIF(Grid_BD!$B:$B,$A159,Grid_BD!$V:$V)/($AA159+SUMIF(Grid_BD!$B:$B,$A159,Grid_BD!$V:$V)),"")</f>
        <v/>
      </c>
      <c r="S159" s="167"/>
      <c r="T159" s="184"/>
      <c r="U159" s="185"/>
      <c r="V159" s="167"/>
      <c r="W159" s="186" t="str">
        <f>IFERROR(Table13[[#This Row],[Mtr_Net_Exp (KWh)]]/(24*AR159*1000),"")</f>
        <v/>
      </c>
      <c r="X159" s="167" t="str">
        <f>IFERROR(_xlfn.XLOOKUP($A159,Input_Raw!$A:$A,Input_Raw!$CF:$CF),"")</f>
        <v/>
      </c>
      <c r="Y159" s="167" t="str">
        <f>IFERROR(_xlfn.XLOOKUP($A159,Input_Raw!$A:$A,Input_Raw!$CZ:$CZ),"")</f>
        <v/>
      </c>
      <c r="Z159" s="167" t="str">
        <f>IFERROR(_xlfn.XLOOKUP($A159,Input_Raw!$A:$A,Input_Raw!$DA:$DA),"")</f>
        <v/>
      </c>
      <c r="AA159" s="169" t="str">
        <f t="shared" si="9"/>
        <v/>
      </c>
      <c r="AB159" s="167" t="str">
        <f>IFERROR(_xlfn.XLOOKUP($A159,Input_Raw!$A:$A,Input_Raw!$DG:$DG),"")</f>
        <v/>
      </c>
      <c r="AC159" s="187">
        <f>IFERROR(_xlfn.XLOOKUP($D159,'Modelling New'!$D:$D,'Modelling New'!$J:$J),"")</f>
        <v>5.0333333333333332</v>
      </c>
      <c r="AD159" s="169">
        <f>IFERROR(_xlfn.XLOOKUP($D159,'Modelling New'!$D:$D,'Modelling New'!$T:$T)*1000,"")</f>
        <v>279529.73373197042</v>
      </c>
      <c r="AE159" s="186"/>
      <c r="AF159" s="186">
        <f>IFERROR(_xlfn.XLOOKUP($D159,'Modelling New'!$D:$D,'Modelling New'!$W:$W),"")</f>
        <v>0.14932143895938593</v>
      </c>
      <c r="AG159" s="186">
        <f>IFERROR(_xlfn.XLOOKUP($D159,'Modelling New'!$D:$D,'Modelling New'!$AE:$AE),"")</f>
        <v>0.96029999999999993</v>
      </c>
      <c r="AH159" s="186">
        <f>IFERROR(_xlfn.XLOOKUP($D159,'Modelling New'!$D:$D,'Modelling New'!$AF:$AF),"")</f>
        <v>0.995</v>
      </c>
      <c r="AI159" s="167" t="str">
        <f>IFERROR(_xlfn.XLOOKUP($A159,Input_Raw!$A:$A,Input_Raw!$DE:$DE),"")</f>
        <v/>
      </c>
      <c r="AJ159" s="167"/>
      <c r="AK159" s="167"/>
      <c r="AL159" s="167"/>
      <c r="AM159" s="167"/>
      <c r="AN159" s="188" t="str">
        <f>IFERROR(_xlfn.XLOOKUP($A159,Input_Raw!$A:$A,Input_Raw!$DB:$DB),"")</f>
        <v/>
      </c>
      <c r="AO159" s="186" t="str">
        <f>IFERROR((_xlfn.XLOOKUP($A159,'WTG Reactive Power'!$A:$A,'WTG Reactive Power'!$AR:$AR))/X159/1000,"")</f>
        <v/>
      </c>
      <c r="AP159" s="186">
        <f>IFERROR(_xlfn.XLOOKUP($D159,'Modelling New'!$D:$D,'Modelling New'!$AK:$AK),"")</f>
        <v>0.05</v>
      </c>
      <c r="AQ159" s="186">
        <f>IFERROR(_xlfn.XLOOKUP($D159,'Modelling New'!$D:$D,'Modelling New'!$AL:$AL),"")</f>
        <v>0.05</v>
      </c>
      <c r="AR159">
        <f>IFERROR(_xlfn.XLOOKUP($D159,'Modelling New'!$D:$D,'Modelling New'!$N:$N),"")</f>
        <v>78</v>
      </c>
    </row>
    <row r="160" spans="1:44">
      <c r="A160" s="180">
        <f t="shared" si="11"/>
        <v>45903</v>
      </c>
      <c r="B160" s="169">
        <f>YEAR(Table13[[#This Row],[Date]])+IF(MONTH(Table13[[#This Row],[Date]])&gt;=4,1,0)</f>
        <v>2026</v>
      </c>
      <c r="C160" s="167">
        <f>YEAR(Table13[[#This Row],[Date]])</f>
        <v>2025</v>
      </c>
      <c r="D160" s="181">
        <f>Table13[[#This Row],[Date]]-DAY(Table13[[#This Row],[Date]])+1</f>
        <v>45901</v>
      </c>
      <c r="E160" s="167">
        <f t="shared" si="8"/>
        <v>30</v>
      </c>
      <c r="F160" s="170"/>
      <c r="G160" s="171"/>
      <c r="H160" s="171"/>
      <c r="I160" s="171"/>
      <c r="J160" s="171"/>
      <c r="K160" s="182"/>
      <c r="L160" s="171"/>
      <c r="M160" s="171" t="str">
        <f>IFERROR(_xlfn.XLOOKUP($A160,Input_Raw!$A:$A,Input_Raw!CG:CG),"")</f>
        <v/>
      </c>
      <c r="N160" s="171" t="str">
        <f>IFERROR(_xlfn.XLOOKUP($A160,Input_Raw!$A:$A,Input_Raw!CH:CH),"")</f>
        <v/>
      </c>
      <c r="O160" s="183" t="str">
        <f t="shared" si="10"/>
        <v/>
      </c>
      <c r="P160" s="183" t="str">
        <f>IFERROR(1-SUMIF(WTG_BD!$B:$B,$A160,WTG_BD!$AB:$AB)/($AA160+SUMIF(WTG_BD!$B:$B,$A160,WTG_BD!$AB:$AB)),"")</f>
        <v/>
      </c>
      <c r="Q160" s="184" t="str">
        <f>IFERROR(1-SUMIF(IGA_BD!$B:$B,$A160,IGA_BD!$X:$X)/($AA160+SUMIF(IGA_BD!$B:$B,$A160,IGA_BD!$X:$X)),"")</f>
        <v/>
      </c>
      <c r="R160" s="189" t="str">
        <f>IFERROR(1-SUMIF(Grid_BD!$B:$B,$A160,Grid_BD!$V:$V)/($AA160+SUMIF(Grid_BD!$B:$B,$A160,Grid_BD!$V:$V)),"")</f>
        <v/>
      </c>
      <c r="S160" s="167"/>
      <c r="T160" s="184"/>
      <c r="U160" s="185"/>
      <c r="V160" s="167"/>
      <c r="W160" s="186" t="str">
        <f>IFERROR(Table13[[#This Row],[Mtr_Net_Exp (KWh)]]/(24*AR160*1000),"")</f>
        <v/>
      </c>
      <c r="X160" s="167" t="str">
        <f>IFERROR(_xlfn.XLOOKUP($A160,Input_Raw!$A:$A,Input_Raw!$CF:$CF),"")</f>
        <v/>
      </c>
      <c r="Y160" s="167" t="str">
        <f>IFERROR(_xlfn.XLOOKUP($A160,Input_Raw!$A:$A,Input_Raw!$CZ:$CZ),"")</f>
        <v/>
      </c>
      <c r="Z160" s="167" t="str">
        <f>IFERROR(_xlfn.XLOOKUP($A160,Input_Raw!$A:$A,Input_Raw!$DA:$DA),"")</f>
        <v/>
      </c>
      <c r="AA160" s="169" t="str">
        <f t="shared" si="9"/>
        <v/>
      </c>
      <c r="AB160" s="167" t="str">
        <f>IFERROR(_xlfn.XLOOKUP($A160,Input_Raw!$A:$A,Input_Raw!$DG:$DG),"")</f>
        <v/>
      </c>
      <c r="AC160" s="187">
        <f>IFERROR(_xlfn.XLOOKUP($D160,'Modelling New'!$D:$D,'Modelling New'!$J:$J),"")</f>
        <v>5.0333333333333332</v>
      </c>
      <c r="AD160" s="169">
        <f>IFERROR(_xlfn.XLOOKUP($D160,'Modelling New'!$D:$D,'Modelling New'!$T:$T)*1000,"")</f>
        <v>279529.73373197042</v>
      </c>
      <c r="AE160" s="186"/>
      <c r="AF160" s="186">
        <f>IFERROR(_xlfn.XLOOKUP($D160,'Modelling New'!$D:$D,'Modelling New'!$W:$W),"")</f>
        <v>0.14932143895938593</v>
      </c>
      <c r="AG160" s="186">
        <f>IFERROR(_xlfn.XLOOKUP($D160,'Modelling New'!$D:$D,'Modelling New'!$AE:$AE),"")</f>
        <v>0.96029999999999993</v>
      </c>
      <c r="AH160" s="186">
        <f>IFERROR(_xlfn.XLOOKUP($D160,'Modelling New'!$D:$D,'Modelling New'!$AF:$AF),"")</f>
        <v>0.995</v>
      </c>
      <c r="AI160" s="167" t="str">
        <f>IFERROR(_xlfn.XLOOKUP($A160,Input_Raw!$A:$A,Input_Raw!$DE:$DE),"")</f>
        <v/>
      </c>
      <c r="AJ160" s="167"/>
      <c r="AK160" s="167"/>
      <c r="AL160" s="167"/>
      <c r="AM160" s="167"/>
      <c r="AN160" s="188" t="str">
        <f>IFERROR(_xlfn.XLOOKUP($A160,Input_Raw!$A:$A,Input_Raw!$DB:$DB),"")</f>
        <v/>
      </c>
      <c r="AO160" s="186" t="str">
        <f>IFERROR((_xlfn.XLOOKUP($A160,'WTG Reactive Power'!$A:$A,'WTG Reactive Power'!$AR:$AR))/X160/1000,"")</f>
        <v/>
      </c>
      <c r="AP160" s="186">
        <f>IFERROR(_xlfn.XLOOKUP($D160,'Modelling New'!$D:$D,'Modelling New'!$AK:$AK),"")</f>
        <v>0.05</v>
      </c>
      <c r="AQ160" s="186">
        <f>IFERROR(_xlfn.XLOOKUP($D160,'Modelling New'!$D:$D,'Modelling New'!$AL:$AL),"")</f>
        <v>0.05</v>
      </c>
      <c r="AR160">
        <f>IFERROR(_xlfn.XLOOKUP($D160,'Modelling New'!$D:$D,'Modelling New'!$N:$N),"")</f>
        <v>78</v>
      </c>
    </row>
    <row r="161" spans="1:44">
      <c r="A161" s="180">
        <f t="shared" si="11"/>
        <v>45904</v>
      </c>
      <c r="B161" s="169">
        <f>YEAR(Table13[[#This Row],[Date]])+IF(MONTH(Table13[[#This Row],[Date]])&gt;=4,1,0)</f>
        <v>2026</v>
      </c>
      <c r="C161" s="167">
        <f>YEAR(Table13[[#This Row],[Date]])</f>
        <v>2025</v>
      </c>
      <c r="D161" s="181">
        <f>Table13[[#This Row],[Date]]-DAY(Table13[[#This Row],[Date]])+1</f>
        <v>45901</v>
      </c>
      <c r="E161" s="167">
        <f t="shared" si="8"/>
        <v>30</v>
      </c>
      <c r="F161" s="170"/>
      <c r="G161" s="171"/>
      <c r="H161" s="171"/>
      <c r="I161" s="171"/>
      <c r="J161" s="171"/>
      <c r="K161" s="182"/>
      <c r="L161" s="171"/>
      <c r="M161" s="171" t="str">
        <f>IFERROR(_xlfn.XLOOKUP($A161,Input_Raw!$A:$A,Input_Raw!CG:CG),"")</f>
        <v/>
      </c>
      <c r="N161" s="171" t="str">
        <f>IFERROR(_xlfn.XLOOKUP($A161,Input_Raw!$A:$A,Input_Raw!CH:CH),"")</f>
        <v/>
      </c>
      <c r="O161" s="183" t="str">
        <f t="shared" si="10"/>
        <v/>
      </c>
      <c r="P161" s="183" t="str">
        <f>IFERROR(1-SUMIF(WTG_BD!$B:$B,$A161,WTG_BD!$AB:$AB)/($AA161+SUMIF(WTG_BD!$B:$B,$A161,WTG_BD!$AB:$AB)),"")</f>
        <v/>
      </c>
      <c r="Q161" s="184" t="str">
        <f>IFERROR(1-SUMIF(IGA_BD!$B:$B,$A161,IGA_BD!$X:$X)/($AA161+SUMIF(IGA_BD!$B:$B,$A161,IGA_BD!$X:$X)),"")</f>
        <v/>
      </c>
      <c r="R161" s="189" t="str">
        <f>IFERROR(1-SUMIF(Grid_BD!$B:$B,$A161,Grid_BD!$V:$V)/($AA161+SUMIF(Grid_BD!$B:$B,$A161,Grid_BD!$V:$V)),"")</f>
        <v/>
      </c>
      <c r="S161" s="167"/>
      <c r="T161" s="184"/>
      <c r="U161" s="185"/>
      <c r="V161" s="167"/>
      <c r="W161" s="186" t="str">
        <f>IFERROR(Table13[[#This Row],[Mtr_Net_Exp (KWh)]]/(24*AR161*1000),"")</f>
        <v/>
      </c>
      <c r="X161" s="167" t="str">
        <f>IFERROR(_xlfn.XLOOKUP($A161,Input_Raw!$A:$A,Input_Raw!$CF:$CF),"")</f>
        <v/>
      </c>
      <c r="Y161" s="167" t="str">
        <f>IFERROR(_xlfn.XLOOKUP($A161,Input_Raw!$A:$A,Input_Raw!$CZ:$CZ),"")</f>
        <v/>
      </c>
      <c r="Z161" s="167" t="str">
        <f>IFERROR(_xlfn.XLOOKUP($A161,Input_Raw!$A:$A,Input_Raw!$DA:$DA),"")</f>
        <v/>
      </c>
      <c r="AA161" s="169" t="str">
        <f t="shared" si="9"/>
        <v/>
      </c>
      <c r="AB161" s="167" t="str">
        <f>IFERROR(_xlfn.XLOOKUP($A161,Input_Raw!$A:$A,Input_Raw!$DG:$DG),"")</f>
        <v/>
      </c>
      <c r="AC161" s="187">
        <f>IFERROR(_xlfn.XLOOKUP($D161,'Modelling New'!$D:$D,'Modelling New'!$J:$J),"")</f>
        <v>5.0333333333333332</v>
      </c>
      <c r="AD161" s="169">
        <f>IFERROR(_xlfn.XLOOKUP($D161,'Modelling New'!$D:$D,'Modelling New'!$T:$T)*1000,"")</f>
        <v>279529.73373197042</v>
      </c>
      <c r="AE161" s="186"/>
      <c r="AF161" s="186">
        <f>IFERROR(_xlfn.XLOOKUP($D161,'Modelling New'!$D:$D,'Modelling New'!$W:$W),"")</f>
        <v>0.14932143895938593</v>
      </c>
      <c r="AG161" s="186">
        <f>IFERROR(_xlfn.XLOOKUP($D161,'Modelling New'!$D:$D,'Modelling New'!$AE:$AE),"")</f>
        <v>0.96029999999999993</v>
      </c>
      <c r="AH161" s="186">
        <f>IFERROR(_xlfn.XLOOKUP($D161,'Modelling New'!$D:$D,'Modelling New'!$AF:$AF),"")</f>
        <v>0.995</v>
      </c>
      <c r="AI161" s="167" t="str">
        <f>IFERROR(_xlfn.XLOOKUP($A161,Input_Raw!$A:$A,Input_Raw!$DE:$DE),"")</f>
        <v/>
      </c>
      <c r="AJ161" s="167"/>
      <c r="AK161" s="167"/>
      <c r="AL161" s="167"/>
      <c r="AM161" s="167"/>
      <c r="AN161" s="188" t="str">
        <f>IFERROR(_xlfn.XLOOKUP($A161,Input_Raw!$A:$A,Input_Raw!$DB:$DB),"")</f>
        <v/>
      </c>
      <c r="AO161" s="186" t="str">
        <f>IFERROR((_xlfn.XLOOKUP($A161,'WTG Reactive Power'!$A:$A,'WTG Reactive Power'!$AR:$AR))/X161/1000,"")</f>
        <v/>
      </c>
      <c r="AP161" s="186">
        <f>IFERROR(_xlfn.XLOOKUP($D161,'Modelling New'!$D:$D,'Modelling New'!$AK:$AK),"")</f>
        <v>0.05</v>
      </c>
      <c r="AQ161" s="186">
        <f>IFERROR(_xlfn.XLOOKUP($D161,'Modelling New'!$D:$D,'Modelling New'!$AL:$AL),"")</f>
        <v>0.05</v>
      </c>
      <c r="AR161">
        <f>IFERROR(_xlfn.XLOOKUP($D161,'Modelling New'!$D:$D,'Modelling New'!$N:$N),"")</f>
        <v>78</v>
      </c>
    </row>
    <row r="162" spans="1:44">
      <c r="A162" s="180">
        <f t="shared" si="11"/>
        <v>45905</v>
      </c>
      <c r="B162" s="169">
        <f>YEAR(Table13[[#This Row],[Date]])+IF(MONTH(Table13[[#This Row],[Date]])&gt;=4,1,0)</f>
        <v>2026</v>
      </c>
      <c r="C162" s="167">
        <f>YEAR(Table13[[#This Row],[Date]])</f>
        <v>2025</v>
      </c>
      <c r="D162" s="181">
        <f>Table13[[#This Row],[Date]]-DAY(Table13[[#This Row],[Date]])+1</f>
        <v>45901</v>
      </c>
      <c r="E162" s="167">
        <f t="shared" si="8"/>
        <v>30</v>
      </c>
      <c r="F162" s="170"/>
      <c r="G162" s="171"/>
      <c r="H162" s="171"/>
      <c r="I162" s="171"/>
      <c r="J162" s="171"/>
      <c r="K162" s="182"/>
      <c r="L162" s="171"/>
      <c r="M162" s="171" t="str">
        <f>IFERROR(_xlfn.XLOOKUP($A162,Input_Raw!$A:$A,Input_Raw!CG:CG),"")</f>
        <v/>
      </c>
      <c r="N162" s="171" t="str">
        <f>IFERROR(_xlfn.XLOOKUP($A162,Input_Raw!$A:$A,Input_Raw!CH:CH),"")</f>
        <v/>
      </c>
      <c r="O162" s="183" t="str">
        <f t="shared" si="10"/>
        <v/>
      </c>
      <c r="P162" s="183" t="str">
        <f>IFERROR(1-SUMIF(WTG_BD!$B:$B,$A162,WTG_BD!$AB:$AB)/($AA162+SUMIF(WTG_BD!$B:$B,$A162,WTG_BD!$AB:$AB)),"")</f>
        <v/>
      </c>
      <c r="Q162" s="184" t="str">
        <f>IFERROR(1-SUMIF(IGA_BD!$B:$B,$A162,IGA_BD!$X:$X)/($AA162+SUMIF(IGA_BD!$B:$B,$A162,IGA_BD!$X:$X)),"")</f>
        <v/>
      </c>
      <c r="R162" s="189" t="str">
        <f>IFERROR(1-SUMIF(Grid_BD!$B:$B,$A162,Grid_BD!$V:$V)/($AA162+SUMIF(Grid_BD!$B:$B,$A162,Grid_BD!$V:$V)),"")</f>
        <v/>
      </c>
      <c r="S162" s="167"/>
      <c r="T162" s="184"/>
      <c r="U162" s="185"/>
      <c r="V162" s="167"/>
      <c r="W162" s="186" t="str">
        <f>IFERROR(Table13[[#This Row],[Mtr_Net_Exp (KWh)]]/(24*AR162*1000),"")</f>
        <v/>
      </c>
      <c r="X162" s="167" t="str">
        <f>IFERROR(_xlfn.XLOOKUP($A162,Input_Raw!$A:$A,Input_Raw!$CF:$CF),"")</f>
        <v/>
      </c>
      <c r="Y162" s="167" t="str">
        <f>IFERROR(_xlfn.XLOOKUP($A162,Input_Raw!$A:$A,Input_Raw!$CZ:$CZ),"")</f>
        <v/>
      </c>
      <c r="Z162" s="167" t="str">
        <f>IFERROR(_xlfn.XLOOKUP($A162,Input_Raw!$A:$A,Input_Raw!$DA:$DA),"")</f>
        <v/>
      </c>
      <c r="AA162" s="169" t="str">
        <f t="shared" si="9"/>
        <v/>
      </c>
      <c r="AB162" s="167" t="str">
        <f>IFERROR(_xlfn.XLOOKUP($A162,Input_Raw!$A:$A,Input_Raw!$DG:$DG),"")</f>
        <v/>
      </c>
      <c r="AC162" s="187">
        <f>IFERROR(_xlfn.XLOOKUP($D162,'Modelling New'!$D:$D,'Modelling New'!$J:$J),"")</f>
        <v>5.0333333333333332</v>
      </c>
      <c r="AD162" s="169">
        <f>IFERROR(_xlfn.XLOOKUP($D162,'Modelling New'!$D:$D,'Modelling New'!$T:$T)*1000,"")</f>
        <v>279529.73373197042</v>
      </c>
      <c r="AE162" s="186"/>
      <c r="AF162" s="186">
        <f>IFERROR(_xlfn.XLOOKUP($D162,'Modelling New'!$D:$D,'Modelling New'!$W:$W),"")</f>
        <v>0.14932143895938593</v>
      </c>
      <c r="AG162" s="186">
        <f>IFERROR(_xlfn.XLOOKUP($D162,'Modelling New'!$D:$D,'Modelling New'!$AE:$AE),"")</f>
        <v>0.96029999999999993</v>
      </c>
      <c r="AH162" s="186">
        <f>IFERROR(_xlfn.XLOOKUP($D162,'Modelling New'!$D:$D,'Modelling New'!$AF:$AF),"")</f>
        <v>0.995</v>
      </c>
      <c r="AI162" s="167" t="str">
        <f>IFERROR(_xlfn.XLOOKUP($A162,Input_Raw!$A:$A,Input_Raw!$DE:$DE),"")</f>
        <v/>
      </c>
      <c r="AJ162" s="167"/>
      <c r="AK162" s="167"/>
      <c r="AL162" s="167"/>
      <c r="AM162" s="167"/>
      <c r="AN162" s="188" t="str">
        <f>IFERROR(_xlfn.XLOOKUP($A162,Input_Raw!$A:$A,Input_Raw!$DB:$DB),"")</f>
        <v/>
      </c>
      <c r="AO162" s="186" t="str">
        <f>IFERROR((_xlfn.XLOOKUP($A162,'WTG Reactive Power'!$A:$A,'WTG Reactive Power'!$AR:$AR))/X162/1000,"")</f>
        <v/>
      </c>
      <c r="AP162" s="186">
        <f>IFERROR(_xlfn.XLOOKUP($D162,'Modelling New'!$D:$D,'Modelling New'!$AK:$AK),"")</f>
        <v>0.05</v>
      </c>
      <c r="AQ162" s="186">
        <f>IFERROR(_xlfn.XLOOKUP($D162,'Modelling New'!$D:$D,'Modelling New'!$AL:$AL),"")</f>
        <v>0.05</v>
      </c>
      <c r="AR162">
        <f>IFERROR(_xlfn.XLOOKUP($D162,'Modelling New'!$D:$D,'Modelling New'!$N:$N),"")</f>
        <v>78</v>
      </c>
    </row>
    <row r="163" spans="1:44">
      <c r="A163" s="180">
        <f t="shared" si="11"/>
        <v>45906</v>
      </c>
      <c r="B163" s="169">
        <f>YEAR(Table13[[#This Row],[Date]])+IF(MONTH(Table13[[#This Row],[Date]])&gt;=4,1,0)</f>
        <v>2026</v>
      </c>
      <c r="C163" s="167">
        <f>YEAR(Table13[[#This Row],[Date]])</f>
        <v>2025</v>
      </c>
      <c r="D163" s="181">
        <f>Table13[[#This Row],[Date]]-DAY(Table13[[#This Row],[Date]])+1</f>
        <v>45901</v>
      </c>
      <c r="E163" s="167">
        <f t="shared" si="8"/>
        <v>30</v>
      </c>
      <c r="F163" s="170"/>
      <c r="G163" s="171"/>
      <c r="H163" s="171"/>
      <c r="I163" s="171"/>
      <c r="J163" s="171"/>
      <c r="K163" s="182"/>
      <c r="L163" s="171"/>
      <c r="M163" s="171" t="str">
        <f>IFERROR(_xlfn.XLOOKUP($A163,Input_Raw!$A:$A,Input_Raw!CG:CG),"")</f>
        <v/>
      </c>
      <c r="N163" s="171" t="str">
        <f>IFERROR(_xlfn.XLOOKUP($A163,Input_Raw!$A:$A,Input_Raw!CH:CH),"")</f>
        <v/>
      </c>
      <c r="O163" s="183" t="str">
        <f t="shared" si="10"/>
        <v/>
      </c>
      <c r="P163" s="183" t="str">
        <f>IFERROR(1-SUMIF(WTG_BD!$B:$B,$A163,WTG_BD!$AB:$AB)/($AA163+SUMIF(WTG_BD!$B:$B,$A163,WTG_BD!$AB:$AB)),"")</f>
        <v/>
      </c>
      <c r="Q163" s="184" t="str">
        <f>IFERROR(1-SUMIF(IGA_BD!$B:$B,$A163,IGA_BD!$X:$X)/($AA163+SUMIF(IGA_BD!$B:$B,$A163,IGA_BD!$X:$X)),"")</f>
        <v/>
      </c>
      <c r="R163" s="189" t="str">
        <f>IFERROR(1-SUMIF(Grid_BD!$B:$B,$A163,Grid_BD!$V:$V)/($AA163+SUMIF(Grid_BD!$B:$B,$A163,Grid_BD!$V:$V)),"")</f>
        <v/>
      </c>
      <c r="S163" s="167"/>
      <c r="T163" s="184"/>
      <c r="U163" s="185"/>
      <c r="V163" s="167"/>
      <c r="W163" s="186" t="str">
        <f>IFERROR(Table13[[#This Row],[Mtr_Net_Exp (KWh)]]/(24*AR163*1000),"")</f>
        <v/>
      </c>
      <c r="X163" s="167" t="str">
        <f>IFERROR(_xlfn.XLOOKUP($A163,Input_Raw!$A:$A,Input_Raw!$CF:$CF),"")</f>
        <v/>
      </c>
      <c r="Y163" s="167" t="str">
        <f>IFERROR(_xlfn.XLOOKUP($A163,Input_Raw!$A:$A,Input_Raw!$CZ:$CZ),"")</f>
        <v/>
      </c>
      <c r="Z163" s="167" t="str">
        <f>IFERROR(_xlfn.XLOOKUP($A163,Input_Raw!$A:$A,Input_Raw!$DA:$DA),"")</f>
        <v/>
      </c>
      <c r="AA163" s="169" t="str">
        <f t="shared" si="9"/>
        <v/>
      </c>
      <c r="AB163" s="167" t="str">
        <f>IFERROR(_xlfn.XLOOKUP($A163,Input_Raw!$A:$A,Input_Raw!$DG:$DG),"")</f>
        <v/>
      </c>
      <c r="AC163" s="187">
        <f>IFERROR(_xlfn.XLOOKUP($D163,'Modelling New'!$D:$D,'Modelling New'!$J:$J),"")</f>
        <v>5.0333333333333332</v>
      </c>
      <c r="AD163" s="169">
        <f>IFERROR(_xlfn.XLOOKUP($D163,'Modelling New'!$D:$D,'Modelling New'!$T:$T)*1000,"")</f>
        <v>279529.73373197042</v>
      </c>
      <c r="AE163" s="186"/>
      <c r="AF163" s="186">
        <f>IFERROR(_xlfn.XLOOKUP($D163,'Modelling New'!$D:$D,'Modelling New'!$W:$W),"")</f>
        <v>0.14932143895938593</v>
      </c>
      <c r="AG163" s="186">
        <f>IFERROR(_xlfn.XLOOKUP($D163,'Modelling New'!$D:$D,'Modelling New'!$AE:$AE),"")</f>
        <v>0.96029999999999993</v>
      </c>
      <c r="AH163" s="186">
        <f>IFERROR(_xlfn.XLOOKUP($D163,'Modelling New'!$D:$D,'Modelling New'!$AF:$AF),"")</f>
        <v>0.995</v>
      </c>
      <c r="AI163" s="167" t="str">
        <f>IFERROR(_xlfn.XLOOKUP($A163,Input_Raw!$A:$A,Input_Raw!$DE:$DE),"")</f>
        <v/>
      </c>
      <c r="AJ163" s="167"/>
      <c r="AK163" s="167"/>
      <c r="AL163" s="167"/>
      <c r="AM163" s="167"/>
      <c r="AN163" s="188" t="str">
        <f>IFERROR(_xlfn.XLOOKUP($A163,Input_Raw!$A:$A,Input_Raw!$DB:$DB),"")</f>
        <v/>
      </c>
      <c r="AO163" s="186" t="str">
        <f>IFERROR((_xlfn.XLOOKUP($A163,'WTG Reactive Power'!$A:$A,'WTG Reactive Power'!$AR:$AR))/X163/1000,"")</f>
        <v/>
      </c>
      <c r="AP163" s="186">
        <f>IFERROR(_xlfn.XLOOKUP($D163,'Modelling New'!$D:$D,'Modelling New'!$AK:$AK),"")</f>
        <v>0.05</v>
      </c>
      <c r="AQ163" s="186">
        <f>IFERROR(_xlfn.XLOOKUP($D163,'Modelling New'!$D:$D,'Modelling New'!$AL:$AL),"")</f>
        <v>0.05</v>
      </c>
      <c r="AR163">
        <f>IFERROR(_xlfn.XLOOKUP($D163,'Modelling New'!$D:$D,'Modelling New'!$N:$N),"")</f>
        <v>78</v>
      </c>
    </row>
    <row r="164" spans="1:44">
      <c r="A164" s="180">
        <f t="shared" si="11"/>
        <v>45907</v>
      </c>
      <c r="B164" s="169">
        <f>YEAR(Table13[[#This Row],[Date]])+IF(MONTH(Table13[[#This Row],[Date]])&gt;=4,1,0)</f>
        <v>2026</v>
      </c>
      <c r="C164" s="167">
        <f>YEAR(Table13[[#This Row],[Date]])</f>
        <v>2025</v>
      </c>
      <c r="D164" s="181">
        <f>Table13[[#This Row],[Date]]-DAY(Table13[[#This Row],[Date]])+1</f>
        <v>45901</v>
      </c>
      <c r="E164" s="167">
        <f t="shared" ref="E164:E190" si="12">DAY(EOMONTH(A164,0))</f>
        <v>30</v>
      </c>
      <c r="F164" s="170"/>
      <c r="G164" s="171"/>
      <c r="H164" s="171"/>
      <c r="I164" s="171"/>
      <c r="J164" s="171"/>
      <c r="K164" s="182"/>
      <c r="L164" s="171"/>
      <c r="M164" s="171" t="str">
        <f>IFERROR(_xlfn.XLOOKUP($A164,Input_Raw!$A:$A,Input_Raw!CG:CG),"")</f>
        <v/>
      </c>
      <c r="N164" s="171" t="str">
        <f>IFERROR(_xlfn.XLOOKUP($A164,Input_Raw!$A:$A,Input_Raw!CH:CH),"")</f>
        <v/>
      </c>
      <c r="O164" s="183" t="str">
        <f t="shared" si="10"/>
        <v/>
      </c>
      <c r="P164" s="183" t="str">
        <f>IFERROR(1-SUMIF(WTG_BD!$B:$B,$A164,WTG_BD!$AB:$AB)/($AA164+SUMIF(WTG_BD!$B:$B,$A164,WTG_BD!$AB:$AB)),"")</f>
        <v/>
      </c>
      <c r="Q164" s="184" t="str">
        <f>IFERROR(1-SUMIF(IGA_BD!$B:$B,$A164,IGA_BD!$X:$X)/($AA164+SUMIF(IGA_BD!$B:$B,$A164,IGA_BD!$X:$X)),"")</f>
        <v/>
      </c>
      <c r="R164" s="189" t="str">
        <f>IFERROR(1-SUMIF(Grid_BD!$B:$B,$A164,Grid_BD!$V:$V)/($AA164+SUMIF(Grid_BD!$B:$B,$A164,Grid_BD!$V:$V)),"")</f>
        <v/>
      </c>
      <c r="S164" s="167"/>
      <c r="T164" s="184"/>
      <c r="U164" s="185"/>
      <c r="V164" s="167"/>
      <c r="W164" s="186" t="str">
        <f>IFERROR(Table13[[#This Row],[Mtr_Net_Exp (KWh)]]/(24*AR164*1000),"")</f>
        <v/>
      </c>
      <c r="X164" s="167" t="str">
        <f>IFERROR(_xlfn.XLOOKUP($A164,Input_Raw!$A:$A,Input_Raw!$CF:$CF),"")</f>
        <v/>
      </c>
      <c r="Y164" s="167" t="str">
        <f>IFERROR(_xlfn.XLOOKUP($A164,Input_Raw!$A:$A,Input_Raw!$CZ:$CZ),"")</f>
        <v/>
      </c>
      <c r="Z164" s="167" t="str">
        <f>IFERROR(_xlfn.XLOOKUP($A164,Input_Raw!$A:$A,Input_Raw!$DA:$DA),"")</f>
        <v/>
      </c>
      <c r="AA164" s="169" t="str">
        <f t="shared" ref="AA164:AA190" si="13">IFERROR(Y164-Z164,"")</f>
        <v/>
      </c>
      <c r="AB164" s="167" t="str">
        <f>IFERROR(_xlfn.XLOOKUP($A164,Input_Raw!$A:$A,Input_Raw!$DG:$DG),"")</f>
        <v/>
      </c>
      <c r="AC164" s="187">
        <f>IFERROR(_xlfn.XLOOKUP($D164,'Modelling New'!$D:$D,'Modelling New'!$J:$J),"")</f>
        <v>5.0333333333333332</v>
      </c>
      <c r="AD164" s="169">
        <f>IFERROR(_xlfn.XLOOKUP($D164,'Modelling New'!$D:$D,'Modelling New'!$T:$T)*1000,"")</f>
        <v>279529.73373197042</v>
      </c>
      <c r="AE164" s="186"/>
      <c r="AF164" s="186">
        <f>IFERROR(_xlfn.XLOOKUP($D164,'Modelling New'!$D:$D,'Modelling New'!$W:$W),"")</f>
        <v>0.14932143895938593</v>
      </c>
      <c r="AG164" s="186">
        <f>IFERROR(_xlfn.XLOOKUP($D164,'Modelling New'!$D:$D,'Modelling New'!$AE:$AE),"")</f>
        <v>0.96029999999999993</v>
      </c>
      <c r="AH164" s="186">
        <f>IFERROR(_xlfn.XLOOKUP($D164,'Modelling New'!$D:$D,'Modelling New'!$AF:$AF),"")</f>
        <v>0.995</v>
      </c>
      <c r="AI164" s="167" t="str">
        <f>IFERROR(_xlfn.XLOOKUP($A164,Input_Raw!$A:$A,Input_Raw!$DE:$DE),"")</f>
        <v/>
      </c>
      <c r="AJ164" s="167"/>
      <c r="AK164" s="167"/>
      <c r="AL164" s="167"/>
      <c r="AM164" s="167"/>
      <c r="AN164" s="188" t="str">
        <f>IFERROR(_xlfn.XLOOKUP($A164,Input_Raw!$A:$A,Input_Raw!$DB:$DB),"")</f>
        <v/>
      </c>
      <c r="AO164" s="186" t="str">
        <f>IFERROR((_xlfn.XLOOKUP($A164,'WTG Reactive Power'!$A:$A,'WTG Reactive Power'!$AR:$AR))/X164/1000,"")</f>
        <v/>
      </c>
      <c r="AP164" s="186">
        <f>IFERROR(_xlfn.XLOOKUP($D164,'Modelling New'!$D:$D,'Modelling New'!$AK:$AK),"")</f>
        <v>0.05</v>
      </c>
      <c r="AQ164" s="186">
        <f>IFERROR(_xlfn.XLOOKUP($D164,'Modelling New'!$D:$D,'Modelling New'!$AL:$AL),"")</f>
        <v>0.05</v>
      </c>
      <c r="AR164">
        <f>IFERROR(_xlfn.XLOOKUP($D164,'Modelling New'!$D:$D,'Modelling New'!$N:$N),"")</f>
        <v>78</v>
      </c>
    </row>
    <row r="165" spans="1:44">
      <c r="A165" s="180">
        <f t="shared" si="11"/>
        <v>45908</v>
      </c>
      <c r="B165" s="169">
        <f>YEAR(Table13[[#This Row],[Date]])+IF(MONTH(Table13[[#This Row],[Date]])&gt;=4,1,0)</f>
        <v>2026</v>
      </c>
      <c r="C165" s="167">
        <f>YEAR(Table13[[#This Row],[Date]])</f>
        <v>2025</v>
      </c>
      <c r="D165" s="181">
        <f>Table13[[#This Row],[Date]]-DAY(Table13[[#This Row],[Date]])+1</f>
        <v>45901</v>
      </c>
      <c r="E165" s="167">
        <f t="shared" si="12"/>
        <v>30</v>
      </c>
      <c r="F165" s="170"/>
      <c r="G165" s="171"/>
      <c r="H165" s="171"/>
      <c r="I165" s="171"/>
      <c r="J165" s="171"/>
      <c r="K165" s="182"/>
      <c r="L165" s="171"/>
      <c r="M165" s="171" t="str">
        <f>IFERROR(_xlfn.XLOOKUP($A165,Input_Raw!$A:$A,Input_Raw!CG:CG),"")</f>
        <v/>
      </c>
      <c r="N165" s="171" t="str">
        <f>IFERROR(_xlfn.XLOOKUP($A165,Input_Raw!$A:$A,Input_Raw!CH:CH),"")</f>
        <v/>
      </c>
      <c r="O165" s="183" t="str">
        <f t="shared" ref="O165:O190" si="14">IFERROR(P165*Q165,"")</f>
        <v/>
      </c>
      <c r="P165" s="183" t="str">
        <f>IFERROR(1-SUMIF(WTG_BD!$B:$B,$A165,WTG_BD!$AB:$AB)/($AA165+SUMIF(WTG_BD!$B:$B,$A165,WTG_BD!$AB:$AB)),"")</f>
        <v/>
      </c>
      <c r="Q165" s="184" t="str">
        <f>IFERROR(1-SUMIF(IGA_BD!$B:$B,$A165,IGA_BD!$X:$X)/($AA165+SUMIF(IGA_BD!$B:$B,$A165,IGA_BD!$X:$X)),"")</f>
        <v/>
      </c>
      <c r="R165" s="189" t="str">
        <f>IFERROR(1-SUMIF(Grid_BD!$B:$B,$A165,Grid_BD!$V:$V)/($AA165+SUMIF(Grid_BD!$B:$B,$A165,Grid_BD!$V:$V)),"")</f>
        <v/>
      </c>
      <c r="S165" s="167"/>
      <c r="T165" s="184"/>
      <c r="U165" s="185"/>
      <c r="V165" s="167"/>
      <c r="W165" s="186" t="str">
        <f>IFERROR(Table13[[#This Row],[Mtr_Net_Exp (KWh)]]/(24*AR165*1000),"")</f>
        <v/>
      </c>
      <c r="X165" s="167" t="str">
        <f>IFERROR(_xlfn.XLOOKUP($A165,Input_Raw!$A:$A,Input_Raw!$CF:$CF),"")</f>
        <v/>
      </c>
      <c r="Y165" s="167" t="str">
        <f>IFERROR(_xlfn.XLOOKUP($A165,Input_Raw!$A:$A,Input_Raw!$CZ:$CZ),"")</f>
        <v/>
      </c>
      <c r="Z165" s="167" t="str">
        <f>IFERROR(_xlfn.XLOOKUP($A165,Input_Raw!$A:$A,Input_Raw!$DA:$DA),"")</f>
        <v/>
      </c>
      <c r="AA165" s="169" t="str">
        <f t="shared" si="13"/>
        <v/>
      </c>
      <c r="AB165" s="167" t="str">
        <f>IFERROR(_xlfn.XLOOKUP($A165,Input_Raw!$A:$A,Input_Raw!$DG:$DG),"")</f>
        <v/>
      </c>
      <c r="AC165" s="187">
        <f>IFERROR(_xlfn.XLOOKUP($D165,'Modelling New'!$D:$D,'Modelling New'!$J:$J),"")</f>
        <v>5.0333333333333332</v>
      </c>
      <c r="AD165" s="169">
        <f>IFERROR(_xlfn.XLOOKUP($D165,'Modelling New'!$D:$D,'Modelling New'!$T:$T)*1000,"")</f>
        <v>279529.73373197042</v>
      </c>
      <c r="AE165" s="186"/>
      <c r="AF165" s="186">
        <f>IFERROR(_xlfn.XLOOKUP($D165,'Modelling New'!$D:$D,'Modelling New'!$W:$W),"")</f>
        <v>0.14932143895938593</v>
      </c>
      <c r="AG165" s="186">
        <f>IFERROR(_xlfn.XLOOKUP($D165,'Modelling New'!$D:$D,'Modelling New'!$AE:$AE),"")</f>
        <v>0.96029999999999993</v>
      </c>
      <c r="AH165" s="186">
        <f>IFERROR(_xlfn.XLOOKUP($D165,'Modelling New'!$D:$D,'Modelling New'!$AF:$AF),"")</f>
        <v>0.995</v>
      </c>
      <c r="AI165" s="167" t="str">
        <f>IFERROR(_xlfn.XLOOKUP($A165,Input_Raw!$A:$A,Input_Raw!$DE:$DE),"")</f>
        <v/>
      </c>
      <c r="AJ165" s="167"/>
      <c r="AK165" s="167"/>
      <c r="AL165" s="167"/>
      <c r="AM165" s="167"/>
      <c r="AN165" s="188" t="str">
        <f>IFERROR(_xlfn.XLOOKUP($A165,Input_Raw!$A:$A,Input_Raw!$DB:$DB),"")</f>
        <v/>
      </c>
      <c r="AO165" s="186" t="str">
        <f>IFERROR((_xlfn.XLOOKUP($A165,'WTG Reactive Power'!$A:$A,'WTG Reactive Power'!$AR:$AR))/X165/1000,"")</f>
        <v/>
      </c>
      <c r="AP165" s="186">
        <f>IFERROR(_xlfn.XLOOKUP($D165,'Modelling New'!$D:$D,'Modelling New'!$AK:$AK),"")</f>
        <v>0.05</v>
      </c>
      <c r="AQ165" s="186">
        <f>IFERROR(_xlfn.XLOOKUP($D165,'Modelling New'!$D:$D,'Modelling New'!$AL:$AL),"")</f>
        <v>0.05</v>
      </c>
      <c r="AR165">
        <f>IFERROR(_xlfn.XLOOKUP($D165,'Modelling New'!$D:$D,'Modelling New'!$N:$N),"")</f>
        <v>78</v>
      </c>
    </row>
    <row r="166" spans="1:44">
      <c r="A166" s="180">
        <f t="shared" ref="A166:A229" si="15">A165+1</f>
        <v>45909</v>
      </c>
      <c r="B166" s="169">
        <f>YEAR(Table13[[#This Row],[Date]])+IF(MONTH(Table13[[#This Row],[Date]])&gt;=4,1,0)</f>
        <v>2026</v>
      </c>
      <c r="C166" s="167">
        <f>YEAR(Table13[[#This Row],[Date]])</f>
        <v>2025</v>
      </c>
      <c r="D166" s="181">
        <f>Table13[[#This Row],[Date]]-DAY(Table13[[#This Row],[Date]])+1</f>
        <v>45901</v>
      </c>
      <c r="E166" s="167">
        <f t="shared" si="12"/>
        <v>30</v>
      </c>
      <c r="F166" s="170"/>
      <c r="G166" s="171"/>
      <c r="H166" s="171"/>
      <c r="I166" s="171"/>
      <c r="J166" s="171"/>
      <c r="K166" s="182"/>
      <c r="L166" s="171"/>
      <c r="M166" s="171" t="str">
        <f>IFERROR(_xlfn.XLOOKUP($A166,Input_Raw!$A:$A,Input_Raw!CG:CG),"")</f>
        <v/>
      </c>
      <c r="N166" s="171" t="str">
        <f>IFERROR(_xlfn.XLOOKUP($A166,Input_Raw!$A:$A,Input_Raw!CH:CH),"")</f>
        <v/>
      </c>
      <c r="O166" s="183" t="str">
        <f t="shared" si="14"/>
        <v/>
      </c>
      <c r="P166" s="183" t="str">
        <f>IFERROR(1-SUMIF(WTG_BD!$B:$B,$A166,WTG_BD!$AB:$AB)/($AA166+SUMIF(WTG_BD!$B:$B,$A166,WTG_BD!$AB:$AB)),"")</f>
        <v/>
      </c>
      <c r="Q166" s="184" t="str">
        <f>IFERROR(1-SUMIF(IGA_BD!$B:$B,$A166,IGA_BD!$X:$X)/($AA166+SUMIF(IGA_BD!$B:$B,$A166,IGA_BD!$X:$X)),"")</f>
        <v/>
      </c>
      <c r="R166" s="189" t="str">
        <f>IFERROR(1-SUMIF(Grid_BD!$B:$B,$A166,Grid_BD!$V:$V)/($AA166+SUMIF(Grid_BD!$B:$B,$A166,Grid_BD!$V:$V)),"")</f>
        <v/>
      </c>
      <c r="S166" s="167"/>
      <c r="T166" s="184"/>
      <c r="U166" s="185"/>
      <c r="V166" s="167"/>
      <c r="W166" s="186" t="str">
        <f>IFERROR(Table13[[#This Row],[Mtr_Net_Exp (KWh)]]/(24*AR166*1000),"")</f>
        <v/>
      </c>
      <c r="X166" s="167" t="str">
        <f>IFERROR(_xlfn.XLOOKUP($A166,Input_Raw!$A:$A,Input_Raw!$CF:$CF),"")</f>
        <v/>
      </c>
      <c r="Y166" s="167" t="str">
        <f>IFERROR(_xlfn.XLOOKUP($A166,Input_Raw!$A:$A,Input_Raw!$CZ:$CZ),"")</f>
        <v/>
      </c>
      <c r="Z166" s="167" t="str">
        <f>IFERROR(_xlfn.XLOOKUP($A166,Input_Raw!$A:$A,Input_Raw!$DA:$DA),"")</f>
        <v/>
      </c>
      <c r="AA166" s="169" t="str">
        <f t="shared" si="13"/>
        <v/>
      </c>
      <c r="AB166" s="167" t="str">
        <f>IFERROR(_xlfn.XLOOKUP($A166,Input_Raw!$A:$A,Input_Raw!$DG:$DG),"")</f>
        <v/>
      </c>
      <c r="AC166" s="187">
        <f>IFERROR(_xlfn.XLOOKUP($D166,'Modelling New'!$D:$D,'Modelling New'!$J:$J),"")</f>
        <v>5.0333333333333332</v>
      </c>
      <c r="AD166" s="169">
        <f>IFERROR(_xlfn.XLOOKUP($D166,'Modelling New'!$D:$D,'Modelling New'!$T:$T)*1000,"")</f>
        <v>279529.73373197042</v>
      </c>
      <c r="AE166" s="186"/>
      <c r="AF166" s="186">
        <f>IFERROR(_xlfn.XLOOKUP($D166,'Modelling New'!$D:$D,'Modelling New'!$W:$W),"")</f>
        <v>0.14932143895938593</v>
      </c>
      <c r="AG166" s="186">
        <f>IFERROR(_xlfn.XLOOKUP($D166,'Modelling New'!$D:$D,'Modelling New'!$AE:$AE),"")</f>
        <v>0.96029999999999993</v>
      </c>
      <c r="AH166" s="186">
        <f>IFERROR(_xlfn.XLOOKUP($D166,'Modelling New'!$D:$D,'Modelling New'!$AF:$AF),"")</f>
        <v>0.995</v>
      </c>
      <c r="AI166" s="167" t="str">
        <f>IFERROR(_xlfn.XLOOKUP($A166,Input_Raw!$A:$A,Input_Raw!$DE:$DE),"")</f>
        <v/>
      </c>
      <c r="AJ166" s="167"/>
      <c r="AK166" s="167"/>
      <c r="AL166" s="167"/>
      <c r="AM166" s="167"/>
      <c r="AN166" s="188" t="str">
        <f>IFERROR(_xlfn.XLOOKUP($A166,Input_Raw!$A:$A,Input_Raw!$DB:$DB),"")</f>
        <v/>
      </c>
      <c r="AO166" s="186" t="str">
        <f>IFERROR((_xlfn.XLOOKUP($A166,'WTG Reactive Power'!$A:$A,'WTG Reactive Power'!$AR:$AR))/X166/1000,"")</f>
        <v/>
      </c>
      <c r="AP166" s="186">
        <f>IFERROR(_xlfn.XLOOKUP($D166,'Modelling New'!$D:$D,'Modelling New'!$AK:$AK),"")</f>
        <v>0.05</v>
      </c>
      <c r="AQ166" s="186">
        <f>IFERROR(_xlfn.XLOOKUP($D166,'Modelling New'!$D:$D,'Modelling New'!$AL:$AL),"")</f>
        <v>0.05</v>
      </c>
      <c r="AR166">
        <f>IFERROR(_xlfn.XLOOKUP($D166,'Modelling New'!$D:$D,'Modelling New'!$N:$N),"")</f>
        <v>78</v>
      </c>
    </row>
    <row r="167" spans="1:44">
      <c r="A167" s="180">
        <f t="shared" si="15"/>
        <v>45910</v>
      </c>
      <c r="B167" s="169">
        <f>YEAR(Table13[[#This Row],[Date]])+IF(MONTH(Table13[[#This Row],[Date]])&gt;=4,1,0)</f>
        <v>2026</v>
      </c>
      <c r="C167" s="167">
        <f>YEAR(Table13[[#This Row],[Date]])</f>
        <v>2025</v>
      </c>
      <c r="D167" s="181">
        <f>Table13[[#This Row],[Date]]-DAY(Table13[[#This Row],[Date]])+1</f>
        <v>45901</v>
      </c>
      <c r="E167" s="167">
        <f t="shared" si="12"/>
        <v>30</v>
      </c>
      <c r="F167" s="170"/>
      <c r="G167" s="171"/>
      <c r="H167" s="171"/>
      <c r="I167" s="171"/>
      <c r="J167" s="171"/>
      <c r="K167" s="182"/>
      <c r="L167" s="171"/>
      <c r="M167" s="171" t="str">
        <f>IFERROR(_xlfn.XLOOKUP($A167,Input_Raw!$A:$A,Input_Raw!CG:CG),"")</f>
        <v/>
      </c>
      <c r="N167" s="171" t="str">
        <f>IFERROR(_xlfn.XLOOKUP($A167,Input_Raw!$A:$A,Input_Raw!CH:CH),"")</f>
        <v/>
      </c>
      <c r="O167" s="183" t="str">
        <f t="shared" si="14"/>
        <v/>
      </c>
      <c r="P167" s="183" t="str">
        <f>IFERROR(1-SUMIF(WTG_BD!$B:$B,$A167,WTG_BD!$AB:$AB)/($AA167+SUMIF(WTG_BD!$B:$B,$A167,WTG_BD!$AB:$AB)),"")</f>
        <v/>
      </c>
      <c r="Q167" s="184" t="str">
        <f>IFERROR(1-SUMIF(IGA_BD!$B:$B,$A167,IGA_BD!$X:$X)/($AA167+SUMIF(IGA_BD!$B:$B,$A167,IGA_BD!$X:$X)),"")</f>
        <v/>
      </c>
      <c r="R167" s="189" t="str">
        <f>IFERROR(1-SUMIF(Grid_BD!$B:$B,$A167,Grid_BD!$V:$V)/($AA167+SUMIF(Grid_BD!$B:$B,$A167,Grid_BD!$V:$V)),"")</f>
        <v/>
      </c>
      <c r="S167" s="167"/>
      <c r="T167" s="184"/>
      <c r="U167" s="185"/>
      <c r="V167" s="167"/>
      <c r="W167" s="186" t="str">
        <f>IFERROR(Table13[[#This Row],[Mtr_Net_Exp (KWh)]]/(24*AR167*1000),"")</f>
        <v/>
      </c>
      <c r="X167" s="167" t="str">
        <f>IFERROR(_xlfn.XLOOKUP($A167,Input_Raw!$A:$A,Input_Raw!$CF:$CF),"")</f>
        <v/>
      </c>
      <c r="Y167" s="167" t="str">
        <f>IFERROR(_xlfn.XLOOKUP($A167,Input_Raw!$A:$A,Input_Raw!$CZ:$CZ),"")</f>
        <v/>
      </c>
      <c r="Z167" s="167" t="str">
        <f>IFERROR(_xlfn.XLOOKUP($A167,Input_Raw!$A:$A,Input_Raw!$DA:$DA),"")</f>
        <v/>
      </c>
      <c r="AA167" s="169" t="str">
        <f t="shared" si="13"/>
        <v/>
      </c>
      <c r="AB167" s="167" t="str">
        <f>IFERROR(_xlfn.XLOOKUP($A167,Input_Raw!$A:$A,Input_Raw!$DG:$DG),"")</f>
        <v/>
      </c>
      <c r="AC167" s="187">
        <f>IFERROR(_xlfn.XLOOKUP($D167,'Modelling New'!$D:$D,'Modelling New'!$J:$J),"")</f>
        <v>5.0333333333333332</v>
      </c>
      <c r="AD167" s="169">
        <f>IFERROR(_xlfn.XLOOKUP($D167,'Modelling New'!$D:$D,'Modelling New'!$T:$T)*1000,"")</f>
        <v>279529.73373197042</v>
      </c>
      <c r="AE167" s="186"/>
      <c r="AF167" s="186">
        <f>IFERROR(_xlfn.XLOOKUP($D167,'Modelling New'!$D:$D,'Modelling New'!$W:$W),"")</f>
        <v>0.14932143895938593</v>
      </c>
      <c r="AG167" s="186">
        <f>IFERROR(_xlfn.XLOOKUP($D167,'Modelling New'!$D:$D,'Modelling New'!$AE:$AE),"")</f>
        <v>0.96029999999999993</v>
      </c>
      <c r="AH167" s="186">
        <f>IFERROR(_xlfn.XLOOKUP($D167,'Modelling New'!$D:$D,'Modelling New'!$AF:$AF),"")</f>
        <v>0.995</v>
      </c>
      <c r="AI167" s="167" t="str">
        <f>IFERROR(_xlfn.XLOOKUP($A167,Input_Raw!$A:$A,Input_Raw!$DE:$DE),"")</f>
        <v/>
      </c>
      <c r="AJ167" s="167"/>
      <c r="AK167" s="167"/>
      <c r="AL167" s="167"/>
      <c r="AM167" s="167"/>
      <c r="AN167" s="188" t="str">
        <f>IFERROR(_xlfn.XLOOKUP($A167,Input_Raw!$A:$A,Input_Raw!$DB:$DB),"")</f>
        <v/>
      </c>
      <c r="AO167" s="186" t="str">
        <f>IFERROR((_xlfn.XLOOKUP($A167,'WTG Reactive Power'!$A:$A,'WTG Reactive Power'!$AR:$AR))/X167/1000,"")</f>
        <v/>
      </c>
      <c r="AP167" s="186">
        <f>IFERROR(_xlfn.XLOOKUP($D167,'Modelling New'!$D:$D,'Modelling New'!$AK:$AK),"")</f>
        <v>0.05</v>
      </c>
      <c r="AQ167" s="186">
        <f>IFERROR(_xlfn.XLOOKUP($D167,'Modelling New'!$D:$D,'Modelling New'!$AL:$AL),"")</f>
        <v>0.05</v>
      </c>
      <c r="AR167">
        <f>IFERROR(_xlfn.XLOOKUP($D167,'Modelling New'!$D:$D,'Modelling New'!$N:$N),"")</f>
        <v>78</v>
      </c>
    </row>
    <row r="168" spans="1:44">
      <c r="A168" s="180">
        <f t="shared" si="15"/>
        <v>45911</v>
      </c>
      <c r="B168" s="169">
        <f>YEAR(Table13[[#This Row],[Date]])+IF(MONTH(Table13[[#This Row],[Date]])&gt;=4,1,0)</f>
        <v>2026</v>
      </c>
      <c r="C168" s="167">
        <f>YEAR(Table13[[#This Row],[Date]])</f>
        <v>2025</v>
      </c>
      <c r="D168" s="181">
        <f>Table13[[#This Row],[Date]]-DAY(Table13[[#This Row],[Date]])+1</f>
        <v>45901</v>
      </c>
      <c r="E168" s="167">
        <f t="shared" si="12"/>
        <v>30</v>
      </c>
      <c r="F168" s="170"/>
      <c r="G168" s="171"/>
      <c r="H168" s="171"/>
      <c r="I168" s="171"/>
      <c r="J168" s="171"/>
      <c r="K168" s="182"/>
      <c r="L168" s="171"/>
      <c r="M168" s="171" t="str">
        <f>IFERROR(_xlfn.XLOOKUP($A168,Input_Raw!$A:$A,Input_Raw!CG:CG),"")</f>
        <v/>
      </c>
      <c r="N168" s="171" t="str">
        <f>IFERROR(_xlfn.XLOOKUP($A168,Input_Raw!$A:$A,Input_Raw!CH:CH),"")</f>
        <v/>
      </c>
      <c r="O168" s="183" t="str">
        <f t="shared" si="14"/>
        <v/>
      </c>
      <c r="P168" s="183" t="str">
        <f>IFERROR(1-SUMIF(WTG_BD!$B:$B,$A168,WTG_BD!$AB:$AB)/($AA168+SUMIF(WTG_BD!$B:$B,$A168,WTG_BD!$AB:$AB)),"")</f>
        <v/>
      </c>
      <c r="Q168" s="184" t="str">
        <f>IFERROR(1-SUMIF(IGA_BD!$B:$B,$A168,IGA_BD!$X:$X)/($AA168+SUMIF(IGA_BD!$B:$B,$A168,IGA_BD!$X:$X)),"")</f>
        <v/>
      </c>
      <c r="R168" s="189" t="str">
        <f>IFERROR(1-SUMIF(Grid_BD!$B:$B,$A168,Grid_BD!$V:$V)/($AA168+SUMIF(Grid_BD!$B:$B,$A168,Grid_BD!$V:$V)),"")</f>
        <v/>
      </c>
      <c r="S168" s="167"/>
      <c r="T168" s="184"/>
      <c r="U168" s="185"/>
      <c r="V168" s="167"/>
      <c r="W168" s="186" t="str">
        <f>IFERROR(Table13[[#This Row],[Mtr_Net_Exp (KWh)]]/(24*AR168*1000),"")</f>
        <v/>
      </c>
      <c r="X168" s="167" t="str">
        <f>IFERROR(_xlfn.XLOOKUP($A168,Input_Raw!$A:$A,Input_Raw!$CF:$CF),"")</f>
        <v/>
      </c>
      <c r="Y168" s="167" t="str">
        <f>IFERROR(_xlfn.XLOOKUP($A168,Input_Raw!$A:$A,Input_Raw!$CZ:$CZ),"")</f>
        <v/>
      </c>
      <c r="Z168" s="167" t="str">
        <f>IFERROR(_xlfn.XLOOKUP($A168,Input_Raw!$A:$A,Input_Raw!$DA:$DA),"")</f>
        <v/>
      </c>
      <c r="AA168" s="169" t="str">
        <f t="shared" si="13"/>
        <v/>
      </c>
      <c r="AB168" s="167" t="str">
        <f>IFERROR(_xlfn.XLOOKUP($A168,Input_Raw!$A:$A,Input_Raw!$DG:$DG),"")</f>
        <v/>
      </c>
      <c r="AC168" s="187">
        <f>IFERROR(_xlfn.XLOOKUP($D168,'Modelling New'!$D:$D,'Modelling New'!$J:$J),"")</f>
        <v>5.0333333333333332</v>
      </c>
      <c r="AD168" s="169">
        <f>IFERROR(_xlfn.XLOOKUP($D168,'Modelling New'!$D:$D,'Modelling New'!$T:$T)*1000,"")</f>
        <v>279529.73373197042</v>
      </c>
      <c r="AE168" s="186"/>
      <c r="AF168" s="186">
        <f>IFERROR(_xlfn.XLOOKUP($D168,'Modelling New'!$D:$D,'Modelling New'!$W:$W),"")</f>
        <v>0.14932143895938593</v>
      </c>
      <c r="AG168" s="186">
        <f>IFERROR(_xlfn.XLOOKUP($D168,'Modelling New'!$D:$D,'Modelling New'!$AE:$AE),"")</f>
        <v>0.96029999999999993</v>
      </c>
      <c r="AH168" s="186">
        <f>IFERROR(_xlfn.XLOOKUP($D168,'Modelling New'!$D:$D,'Modelling New'!$AF:$AF),"")</f>
        <v>0.995</v>
      </c>
      <c r="AI168" s="167" t="str">
        <f>IFERROR(_xlfn.XLOOKUP($A168,Input_Raw!$A:$A,Input_Raw!$DE:$DE),"")</f>
        <v/>
      </c>
      <c r="AJ168" s="167"/>
      <c r="AK168" s="167"/>
      <c r="AL168" s="167"/>
      <c r="AM168" s="167"/>
      <c r="AN168" s="188" t="str">
        <f>IFERROR(_xlfn.XLOOKUP($A168,Input_Raw!$A:$A,Input_Raw!$DB:$DB),"")</f>
        <v/>
      </c>
      <c r="AO168" s="186" t="str">
        <f>IFERROR((_xlfn.XLOOKUP($A168,'WTG Reactive Power'!$A:$A,'WTG Reactive Power'!$AR:$AR))/X168/1000,"")</f>
        <v/>
      </c>
      <c r="AP168" s="186">
        <f>IFERROR(_xlfn.XLOOKUP($D168,'Modelling New'!$D:$D,'Modelling New'!$AK:$AK),"")</f>
        <v>0.05</v>
      </c>
      <c r="AQ168" s="186">
        <f>IFERROR(_xlfn.XLOOKUP($D168,'Modelling New'!$D:$D,'Modelling New'!$AL:$AL),"")</f>
        <v>0.05</v>
      </c>
      <c r="AR168">
        <f>IFERROR(_xlfn.XLOOKUP($D168,'Modelling New'!$D:$D,'Modelling New'!$N:$N),"")</f>
        <v>78</v>
      </c>
    </row>
    <row r="169" spans="1:44">
      <c r="A169" s="180">
        <f t="shared" si="15"/>
        <v>45912</v>
      </c>
      <c r="B169" s="169">
        <f>YEAR(Table13[[#This Row],[Date]])+IF(MONTH(Table13[[#This Row],[Date]])&gt;=4,1,0)</f>
        <v>2026</v>
      </c>
      <c r="C169" s="167">
        <f>YEAR(Table13[[#This Row],[Date]])</f>
        <v>2025</v>
      </c>
      <c r="D169" s="181">
        <f>Table13[[#This Row],[Date]]-DAY(Table13[[#This Row],[Date]])+1</f>
        <v>45901</v>
      </c>
      <c r="E169" s="167">
        <f t="shared" si="12"/>
        <v>30</v>
      </c>
      <c r="F169" s="170"/>
      <c r="G169" s="171"/>
      <c r="H169" s="171"/>
      <c r="I169" s="171"/>
      <c r="J169" s="171"/>
      <c r="K169" s="182"/>
      <c r="L169" s="171"/>
      <c r="M169" s="171" t="str">
        <f>IFERROR(_xlfn.XLOOKUP($A169,Input_Raw!$A:$A,Input_Raw!CG:CG),"")</f>
        <v/>
      </c>
      <c r="N169" s="171" t="str">
        <f>IFERROR(_xlfn.XLOOKUP($A169,Input_Raw!$A:$A,Input_Raw!CH:CH),"")</f>
        <v/>
      </c>
      <c r="O169" s="183" t="str">
        <f t="shared" si="14"/>
        <v/>
      </c>
      <c r="P169" s="183" t="str">
        <f>IFERROR(1-SUMIF(WTG_BD!$B:$B,$A169,WTG_BD!$AB:$AB)/($AA169+SUMIF(WTG_BD!$B:$B,$A169,WTG_BD!$AB:$AB)),"")</f>
        <v/>
      </c>
      <c r="Q169" s="184" t="str">
        <f>IFERROR(1-SUMIF(IGA_BD!$B:$B,$A169,IGA_BD!$X:$X)/($AA169+SUMIF(IGA_BD!$B:$B,$A169,IGA_BD!$X:$X)),"")</f>
        <v/>
      </c>
      <c r="R169" s="189" t="str">
        <f>IFERROR(1-SUMIF(Grid_BD!$B:$B,$A169,Grid_BD!$V:$V)/($AA169+SUMIF(Grid_BD!$B:$B,$A169,Grid_BD!$V:$V)),"")</f>
        <v/>
      </c>
      <c r="S169" s="167"/>
      <c r="T169" s="184"/>
      <c r="U169" s="185"/>
      <c r="V169" s="167"/>
      <c r="W169" s="186" t="str">
        <f>IFERROR(Table13[[#This Row],[Mtr_Net_Exp (KWh)]]/(24*AR169*1000),"")</f>
        <v/>
      </c>
      <c r="X169" s="167" t="str">
        <f>IFERROR(_xlfn.XLOOKUP($A169,Input_Raw!$A:$A,Input_Raw!$CF:$CF),"")</f>
        <v/>
      </c>
      <c r="Y169" s="167" t="str">
        <f>IFERROR(_xlfn.XLOOKUP($A169,Input_Raw!$A:$A,Input_Raw!$CZ:$CZ),"")</f>
        <v/>
      </c>
      <c r="Z169" s="167" t="str">
        <f>IFERROR(_xlfn.XLOOKUP($A169,Input_Raw!$A:$A,Input_Raw!$DA:$DA),"")</f>
        <v/>
      </c>
      <c r="AA169" s="169" t="str">
        <f t="shared" si="13"/>
        <v/>
      </c>
      <c r="AB169" s="167" t="str">
        <f>IFERROR(_xlfn.XLOOKUP($A169,Input_Raw!$A:$A,Input_Raw!$DG:$DG),"")</f>
        <v/>
      </c>
      <c r="AC169" s="187">
        <f>IFERROR(_xlfn.XLOOKUP($D169,'Modelling New'!$D:$D,'Modelling New'!$J:$J),"")</f>
        <v>5.0333333333333332</v>
      </c>
      <c r="AD169" s="169">
        <f>IFERROR(_xlfn.XLOOKUP($D169,'Modelling New'!$D:$D,'Modelling New'!$T:$T)*1000,"")</f>
        <v>279529.73373197042</v>
      </c>
      <c r="AE169" s="186"/>
      <c r="AF169" s="186">
        <f>IFERROR(_xlfn.XLOOKUP($D169,'Modelling New'!$D:$D,'Modelling New'!$W:$W),"")</f>
        <v>0.14932143895938593</v>
      </c>
      <c r="AG169" s="186">
        <f>IFERROR(_xlfn.XLOOKUP($D169,'Modelling New'!$D:$D,'Modelling New'!$AE:$AE),"")</f>
        <v>0.96029999999999993</v>
      </c>
      <c r="AH169" s="186">
        <f>IFERROR(_xlfn.XLOOKUP($D169,'Modelling New'!$D:$D,'Modelling New'!$AF:$AF),"")</f>
        <v>0.995</v>
      </c>
      <c r="AI169" s="167" t="str">
        <f>IFERROR(_xlfn.XLOOKUP($A169,Input_Raw!$A:$A,Input_Raw!$DE:$DE),"")</f>
        <v/>
      </c>
      <c r="AJ169" s="167"/>
      <c r="AK169" s="167"/>
      <c r="AL169" s="167"/>
      <c r="AM169" s="167"/>
      <c r="AN169" s="188" t="str">
        <f>IFERROR(_xlfn.XLOOKUP($A169,Input_Raw!$A:$A,Input_Raw!$DB:$DB),"")</f>
        <v/>
      </c>
      <c r="AO169" s="186" t="str">
        <f>IFERROR((_xlfn.XLOOKUP($A169,'WTG Reactive Power'!$A:$A,'WTG Reactive Power'!$AR:$AR))/X169/1000,"")</f>
        <v/>
      </c>
      <c r="AP169" s="186">
        <f>IFERROR(_xlfn.XLOOKUP($D169,'Modelling New'!$D:$D,'Modelling New'!$AK:$AK),"")</f>
        <v>0.05</v>
      </c>
      <c r="AQ169" s="186">
        <f>IFERROR(_xlfn.XLOOKUP($D169,'Modelling New'!$D:$D,'Modelling New'!$AL:$AL),"")</f>
        <v>0.05</v>
      </c>
      <c r="AR169">
        <f>IFERROR(_xlfn.XLOOKUP($D169,'Modelling New'!$D:$D,'Modelling New'!$N:$N),"")</f>
        <v>78</v>
      </c>
    </row>
    <row r="170" spans="1:44">
      <c r="A170" s="180">
        <f t="shared" si="15"/>
        <v>45913</v>
      </c>
      <c r="B170" s="169">
        <f>YEAR(Table13[[#This Row],[Date]])+IF(MONTH(Table13[[#This Row],[Date]])&gt;=4,1,0)</f>
        <v>2026</v>
      </c>
      <c r="C170" s="167">
        <f>YEAR(Table13[[#This Row],[Date]])</f>
        <v>2025</v>
      </c>
      <c r="D170" s="181">
        <f>Table13[[#This Row],[Date]]-DAY(Table13[[#This Row],[Date]])+1</f>
        <v>45901</v>
      </c>
      <c r="E170" s="167">
        <f t="shared" si="12"/>
        <v>30</v>
      </c>
      <c r="F170" s="170"/>
      <c r="G170" s="171"/>
      <c r="H170" s="171"/>
      <c r="I170" s="171"/>
      <c r="J170" s="171"/>
      <c r="K170" s="182"/>
      <c r="L170" s="171"/>
      <c r="M170" s="171" t="str">
        <f>IFERROR(_xlfn.XLOOKUP($A170,Input_Raw!$A:$A,Input_Raw!CG:CG),"")</f>
        <v/>
      </c>
      <c r="N170" s="171" t="str">
        <f>IFERROR(_xlfn.XLOOKUP($A170,Input_Raw!$A:$A,Input_Raw!CH:CH),"")</f>
        <v/>
      </c>
      <c r="O170" s="183" t="str">
        <f t="shared" si="14"/>
        <v/>
      </c>
      <c r="P170" s="183" t="str">
        <f>IFERROR(1-SUMIF(WTG_BD!$B:$B,$A170,WTG_BD!$AB:$AB)/($AA170+SUMIF(WTG_BD!$B:$B,$A170,WTG_BD!$AB:$AB)),"")</f>
        <v/>
      </c>
      <c r="Q170" s="184" t="str">
        <f>IFERROR(1-SUMIF(IGA_BD!$B:$B,$A170,IGA_BD!$X:$X)/($AA170+SUMIF(IGA_BD!$B:$B,$A170,IGA_BD!$X:$X)),"")</f>
        <v/>
      </c>
      <c r="R170" s="189" t="str">
        <f>IFERROR(1-SUMIF(Grid_BD!$B:$B,$A170,Grid_BD!$V:$V)/($AA170+SUMIF(Grid_BD!$B:$B,$A170,Grid_BD!$V:$V)),"")</f>
        <v/>
      </c>
      <c r="S170" s="167"/>
      <c r="T170" s="184"/>
      <c r="U170" s="185"/>
      <c r="V170" s="167"/>
      <c r="W170" s="186" t="str">
        <f>IFERROR(Table13[[#This Row],[Mtr_Net_Exp (KWh)]]/(24*AR170*1000),"")</f>
        <v/>
      </c>
      <c r="X170" s="167" t="str">
        <f>IFERROR(_xlfn.XLOOKUP($A170,Input_Raw!$A:$A,Input_Raw!$CF:$CF),"")</f>
        <v/>
      </c>
      <c r="Y170" s="167" t="str">
        <f>IFERROR(_xlfn.XLOOKUP($A170,Input_Raw!$A:$A,Input_Raw!$CZ:$CZ),"")</f>
        <v/>
      </c>
      <c r="Z170" s="167" t="str">
        <f>IFERROR(_xlfn.XLOOKUP($A170,Input_Raw!$A:$A,Input_Raw!$DA:$DA),"")</f>
        <v/>
      </c>
      <c r="AA170" s="169" t="str">
        <f t="shared" si="13"/>
        <v/>
      </c>
      <c r="AB170" s="167" t="str">
        <f>IFERROR(_xlfn.XLOOKUP($A170,Input_Raw!$A:$A,Input_Raw!$DG:$DG),"")</f>
        <v/>
      </c>
      <c r="AC170" s="187">
        <f>IFERROR(_xlfn.XLOOKUP($D170,'Modelling New'!$D:$D,'Modelling New'!$J:$J),"")</f>
        <v>5.0333333333333332</v>
      </c>
      <c r="AD170" s="169">
        <f>IFERROR(_xlfn.XLOOKUP($D170,'Modelling New'!$D:$D,'Modelling New'!$T:$T)*1000,"")</f>
        <v>279529.73373197042</v>
      </c>
      <c r="AE170" s="186"/>
      <c r="AF170" s="186">
        <f>IFERROR(_xlfn.XLOOKUP($D170,'Modelling New'!$D:$D,'Modelling New'!$W:$W),"")</f>
        <v>0.14932143895938593</v>
      </c>
      <c r="AG170" s="186">
        <f>IFERROR(_xlfn.XLOOKUP($D170,'Modelling New'!$D:$D,'Modelling New'!$AE:$AE),"")</f>
        <v>0.96029999999999993</v>
      </c>
      <c r="AH170" s="186">
        <f>IFERROR(_xlfn.XLOOKUP($D170,'Modelling New'!$D:$D,'Modelling New'!$AF:$AF),"")</f>
        <v>0.995</v>
      </c>
      <c r="AI170" s="167" t="str">
        <f>IFERROR(_xlfn.XLOOKUP($A170,Input_Raw!$A:$A,Input_Raw!$DE:$DE),"")</f>
        <v/>
      </c>
      <c r="AJ170" s="167"/>
      <c r="AK170" s="167"/>
      <c r="AL170" s="167"/>
      <c r="AM170" s="167"/>
      <c r="AN170" s="188" t="str">
        <f>IFERROR(_xlfn.XLOOKUP($A170,Input_Raw!$A:$A,Input_Raw!$DB:$DB),"")</f>
        <v/>
      </c>
      <c r="AO170" s="186" t="str">
        <f>IFERROR((_xlfn.XLOOKUP($A170,'WTG Reactive Power'!$A:$A,'WTG Reactive Power'!$AR:$AR))/X170/1000,"")</f>
        <v/>
      </c>
      <c r="AP170" s="186">
        <f>IFERROR(_xlfn.XLOOKUP($D170,'Modelling New'!$D:$D,'Modelling New'!$AK:$AK),"")</f>
        <v>0.05</v>
      </c>
      <c r="AQ170" s="186">
        <f>IFERROR(_xlfn.XLOOKUP($D170,'Modelling New'!$D:$D,'Modelling New'!$AL:$AL),"")</f>
        <v>0.05</v>
      </c>
      <c r="AR170">
        <f>IFERROR(_xlfn.XLOOKUP($D170,'Modelling New'!$D:$D,'Modelling New'!$N:$N),"")</f>
        <v>78</v>
      </c>
    </row>
    <row r="171" spans="1:44">
      <c r="A171" s="180">
        <f t="shared" si="15"/>
        <v>45914</v>
      </c>
      <c r="B171" s="169">
        <f>YEAR(Table13[[#This Row],[Date]])+IF(MONTH(Table13[[#This Row],[Date]])&gt;=4,1,0)</f>
        <v>2026</v>
      </c>
      <c r="C171" s="167">
        <f>YEAR(Table13[[#This Row],[Date]])</f>
        <v>2025</v>
      </c>
      <c r="D171" s="181">
        <f>Table13[[#This Row],[Date]]-DAY(Table13[[#This Row],[Date]])+1</f>
        <v>45901</v>
      </c>
      <c r="E171" s="167">
        <f t="shared" si="12"/>
        <v>30</v>
      </c>
      <c r="F171" s="170"/>
      <c r="G171" s="171"/>
      <c r="H171" s="171"/>
      <c r="I171" s="171"/>
      <c r="J171" s="171"/>
      <c r="K171" s="182"/>
      <c r="L171" s="171"/>
      <c r="M171" s="171" t="str">
        <f>IFERROR(_xlfn.XLOOKUP($A171,Input_Raw!$A:$A,Input_Raw!CG:CG),"")</f>
        <v/>
      </c>
      <c r="N171" s="171" t="str">
        <f>IFERROR(_xlfn.XLOOKUP($A171,Input_Raw!$A:$A,Input_Raw!CH:CH),"")</f>
        <v/>
      </c>
      <c r="O171" s="183" t="str">
        <f t="shared" si="14"/>
        <v/>
      </c>
      <c r="P171" s="183" t="str">
        <f>IFERROR(1-SUMIF(WTG_BD!$B:$B,$A171,WTG_BD!$AB:$AB)/($AA171+SUMIF(WTG_BD!$B:$B,$A171,WTG_BD!$AB:$AB)),"")</f>
        <v/>
      </c>
      <c r="Q171" s="184" t="str">
        <f>IFERROR(1-SUMIF(IGA_BD!$B:$B,$A171,IGA_BD!$X:$X)/($AA171+SUMIF(IGA_BD!$B:$B,$A171,IGA_BD!$X:$X)),"")</f>
        <v/>
      </c>
      <c r="R171" s="189" t="str">
        <f>IFERROR(1-SUMIF(Grid_BD!$B:$B,$A171,Grid_BD!$V:$V)/($AA171+SUMIF(Grid_BD!$B:$B,$A171,Grid_BD!$V:$V)),"")</f>
        <v/>
      </c>
      <c r="S171" s="167"/>
      <c r="T171" s="184"/>
      <c r="U171" s="185"/>
      <c r="V171" s="167"/>
      <c r="W171" s="186" t="str">
        <f>IFERROR(Table13[[#This Row],[Mtr_Net_Exp (KWh)]]/(24*AR171*1000),"")</f>
        <v/>
      </c>
      <c r="X171" s="167" t="str">
        <f>IFERROR(_xlfn.XLOOKUP($A171,Input_Raw!$A:$A,Input_Raw!$CF:$CF),"")</f>
        <v/>
      </c>
      <c r="Y171" s="167" t="str">
        <f>IFERROR(_xlfn.XLOOKUP($A171,Input_Raw!$A:$A,Input_Raw!$CZ:$CZ),"")</f>
        <v/>
      </c>
      <c r="Z171" s="167" t="str">
        <f>IFERROR(_xlfn.XLOOKUP($A171,Input_Raw!$A:$A,Input_Raw!$DA:$DA),"")</f>
        <v/>
      </c>
      <c r="AA171" s="169" t="str">
        <f t="shared" si="13"/>
        <v/>
      </c>
      <c r="AB171" s="167" t="str">
        <f>IFERROR(_xlfn.XLOOKUP($A171,Input_Raw!$A:$A,Input_Raw!$DG:$DG),"")</f>
        <v/>
      </c>
      <c r="AC171" s="187">
        <f>IFERROR(_xlfn.XLOOKUP($D171,'Modelling New'!$D:$D,'Modelling New'!$J:$J),"")</f>
        <v>5.0333333333333332</v>
      </c>
      <c r="AD171" s="169">
        <f>IFERROR(_xlfn.XLOOKUP($D171,'Modelling New'!$D:$D,'Modelling New'!$T:$T)*1000,"")</f>
        <v>279529.73373197042</v>
      </c>
      <c r="AE171" s="186"/>
      <c r="AF171" s="186">
        <f>IFERROR(_xlfn.XLOOKUP($D171,'Modelling New'!$D:$D,'Modelling New'!$W:$W),"")</f>
        <v>0.14932143895938593</v>
      </c>
      <c r="AG171" s="186">
        <f>IFERROR(_xlfn.XLOOKUP($D171,'Modelling New'!$D:$D,'Modelling New'!$AE:$AE),"")</f>
        <v>0.96029999999999993</v>
      </c>
      <c r="AH171" s="186">
        <f>IFERROR(_xlfn.XLOOKUP($D171,'Modelling New'!$D:$D,'Modelling New'!$AF:$AF),"")</f>
        <v>0.995</v>
      </c>
      <c r="AI171" s="167" t="str">
        <f>IFERROR(_xlfn.XLOOKUP($A171,Input_Raw!$A:$A,Input_Raw!$DE:$DE),"")</f>
        <v/>
      </c>
      <c r="AJ171" s="167"/>
      <c r="AK171" s="167"/>
      <c r="AL171" s="167"/>
      <c r="AM171" s="167"/>
      <c r="AN171" s="188" t="str">
        <f>IFERROR(_xlfn.XLOOKUP($A171,Input_Raw!$A:$A,Input_Raw!$DB:$DB),"")</f>
        <v/>
      </c>
      <c r="AO171" s="186" t="str">
        <f>IFERROR((_xlfn.XLOOKUP($A171,'WTG Reactive Power'!$A:$A,'WTG Reactive Power'!$AR:$AR))/X171/1000,"")</f>
        <v/>
      </c>
      <c r="AP171" s="186">
        <f>IFERROR(_xlfn.XLOOKUP($D171,'Modelling New'!$D:$D,'Modelling New'!$AK:$AK),"")</f>
        <v>0.05</v>
      </c>
      <c r="AQ171" s="186">
        <f>IFERROR(_xlfn.XLOOKUP($D171,'Modelling New'!$D:$D,'Modelling New'!$AL:$AL),"")</f>
        <v>0.05</v>
      </c>
      <c r="AR171">
        <f>IFERROR(_xlfn.XLOOKUP($D171,'Modelling New'!$D:$D,'Modelling New'!$N:$N),"")</f>
        <v>78</v>
      </c>
    </row>
    <row r="172" spans="1:44">
      <c r="A172" s="180">
        <f t="shared" si="15"/>
        <v>45915</v>
      </c>
      <c r="B172" s="169">
        <f>YEAR(Table13[[#This Row],[Date]])+IF(MONTH(Table13[[#This Row],[Date]])&gt;=4,1,0)</f>
        <v>2026</v>
      </c>
      <c r="C172" s="167">
        <f>YEAR(Table13[[#This Row],[Date]])</f>
        <v>2025</v>
      </c>
      <c r="D172" s="181">
        <f>Table13[[#This Row],[Date]]-DAY(Table13[[#This Row],[Date]])+1</f>
        <v>45901</v>
      </c>
      <c r="E172" s="167">
        <f t="shared" si="12"/>
        <v>30</v>
      </c>
      <c r="F172" s="170"/>
      <c r="G172" s="171"/>
      <c r="H172" s="171"/>
      <c r="I172" s="171"/>
      <c r="J172" s="171"/>
      <c r="K172" s="182"/>
      <c r="L172" s="171"/>
      <c r="M172" s="171" t="str">
        <f>IFERROR(_xlfn.XLOOKUP($A172,Input_Raw!$A:$A,Input_Raw!CG:CG),"")</f>
        <v/>
      </c>
      <c r="N172" s="171" t="str">
        <f>IFERROR(_xlfn.XLOOKUP($A172,Input_Raw!$A:$A,Input_Raw!CH:CH),"")</f>
        <v/>
      </c>
      <c r="O172" s="183" t="str">
        <f t="shared" si="14"/>
        <v/>
      </c>
      <c r="P172" s="183" t="str">
        <f>IFERROR(1-SUMIF(WTG_BD!$B:$B,$A172,WTG_BD!$AB:$AB)/($AA172+SUMIF(WTG_BD!$B:$B,$A172,WTG_BD!$AB:$AB)),"")</f>
        <v/>
      </c>
      <c r="Q172" s="184" t="str">
        <f>IFERROR(1-SUMIF(IGA_BD!$B:$B,$A172,IGA_BD!$X:$X)/($AA172+SUMIF(IGA_BD!$B:$B,$A172,IGA_BD!$X:$X)),"")</f>
        <v/>
      </c>
      <c r="R172" s="189" t="str">
        <f>IFERROR(1-SUMIF(Grid_BD!$B:$B,$A172,Grid_BD!$V:$V)/($AA172+SUMIF(Grid_BD!$B:$B,$A172,Grid_BD!$V:$V)),"")</f>
        <v/>
      </c>
      <c r="S172" s="167"/>
      <c r="T172" s="184"/>
      <c r="U172" s="185"/>
      <c r="V172" s="167"/>
      <c r="W172" s="186" t="str">
        <f>IFERROR(Table13[[#This Row],[Mtr_Net_Exp (KWh)]]/(24*AR172*1000),"")</f>
        <v/>
      </c>
      <c r="X172" s="167" t="str">
        <f>IFERROR(_xlfn.XLOOKUP($A172,Input_Raw!$A:$A,Input_Raw!$CF:$CF),"")</f>
        <v/>
      </c>
      <c r="Y172" s="167" t="str">
        <f>IFERROR(_xlfn.XLOOKUP($A172,Input_Raw!$A:$A,Input_Raw!$CZ:$CZ),"")</f>
        <v/>
      </c>
      <c r="Z172" s="167" t="str">
        <f>IFERROR(_xlfn.XLOOKUP($A172,Input_Raw!$A:$A,Input_Raw!$DA:$DA),"")</f>
        <v/>
      </c>
      <c r="AA172" s="169" t="str">
        <f t="shared" si="13"/>
        <v/>
      </c>
      <c r="AB172" s="167" t="str">
        <f>IFERROR(_xlfn.XLOOKUP($A172,Input_Raw!$A:$A,Input_Raw!$DG:$DG),"")</f>
        <v/>
      </c>
      <c r="AC172" s="187">
        <f>IFERROR(_xlfn.XLOOKUP($D172,'Modelling New'!$D:$D,'Modelling New'!$J:$J),"")</f>
        <v>5.0333333333333332</v>
      </c>
      <c r="AD172" s="169">
        <f>IFERROR(_xlfn.XLOOKUP($D172,'Modelling New'!$D:$D,'Modelling New'!$T:$T)*1000,"")</f>
        <v>279529.73373197042</v>
      </c>
      <c r="AE172" s="186"/>
      <c r="AF172" s="186">
        <f>IFERROR(_xlfn.XLOOKUP($D172,'Modelling New'!$D:$D,'Modelling New'!$W:$W),"")</f>
        <v>0.14932143895938593</v>
      </c>
      <c r="AG172" s="186">
        <f>IFERROR(_xlfn.XLOOKUP($D172,'Modelling New'!$D:$D,'Modelling New'!$AE:$AE),"")</f>
        <v>0.96029999999999993</v>
      </c>
      <c r="AH172" s="186">
        <f>IFERROR(_xlfn.XLOOKUP($D172,'Modelling New'!$D:$D,'Modelling New'!$AF:$AF),"")</f>
        <v>0.995</v>
      </c>
      <c r="AI172" s="167" t="str">
        <f>IFERROR(_xlfn.XLOOKUP($A172,Input_Raw!$A:$A,Input_Raw!$DE:$DE),"")</f>
        <v/>
      </c>
      <c r="AJ172" s="167"/>
      <c r="AK172" s="167"/>
      <c r="AL172" s="167"/>
      <c r="AM172" s="167"/>
      <c r="AN172" s="188" t="str">
        <f>IFERROR(_xlfn.XLOOKUP($A172,Input_Raw!$A:$A,Input_Raw!$DB:$DB),"")</f>
        <v/>
      </c>
      <c r="AO172" s="186" t="str">
        <f>IFERROR((_xlfn.XLOOKUP($A172,'WTG Reactive Power'!$A:$A,'WTG Reactive Power'!$AR:$AR))/X172/1000,"")</f>
        <v/>
      </c>
      <c r="AP172" s="186">
        <f>IFERROR(_xlfn.XLOOKUP($D172,'Modelling New'!$D:$D,'Modelling New'!$AK:$AK),"")</f>
        <v>0.05</v>
      </c>
      <c r="AQ172" s="186">
        <f>IFERROR(_xlfn.XLOOKUP($D172,'Modelling New'!$D:$D,'Modelling New'!$AL:$AL),"")</f>
        <v>0.05</v>
      </c>
      <c r="AR172">
        <f>IFERROR(_xlfn.XLOOKUP($D172,'Modelling New'!$D:$D,'Modelling New'!$N:$N),"")</f>
        <v>78</v>
      </c>
    </row>
    <row r="173" spans="1:44">
      <c r="A173" s="180">
        <f t="shared" si="15"/>
        <v>45916</v>
      </c>
      <c r="B173" s="169">
        <f>YEAR(Table13[[#This Row],[Date]])+IF(MONTH(Table13[[#This Row],[Date]])&gt;=4,1,0)</f>
        <v>2026</v>
      </c>
      <c r="C173" s="167">
        <f>YEAR(Table13[[#This Row],[Date]])</f>
        <v>2025</v>
      </c>
      <c r="D173" s="181">
        <f>Table13[[#This Row],[Date]]-DAY(Table13[[#This Row],[Date]])+1</f>
        <v>45901</v>
      </c>
      <c r="E173" s="167">
        <f t="shared" si="12"/>
        <v>30</v>
      </c>
      <c r="F173" s="170"/>
      <c r="G173" s="171"/>
      <c r="H173" s="171"/>
      <c r="I173" s="171"/>
      <c r="J173" s="171"/>
      <c r="K173" s="182"/>
      <c r="L173" s="171"/>
      <c r="M173" s="171" t="str">
        <f>IFERROR(_xlfn.XLOOKUP($A173,Input_Raw!$A:$A,Input_Raw!CG:CG),"")</f>
        <v/>
      </c>
      <c r="N173" s="171" t="str">
        <f>IFERROR(_xlfn.XLOOKUP($A173,Input_Raw!$A:$A,Input_Raw!CH:CH),"")</f>
        <v/>
      </c>
      <c r="O173" s="183" t="str">
        <f t="shared" si="14"/>
        <v/>
      </c>
      <c r="P173" s="183" t="str">
        <f>IFERROR(1-SUMIF(WTG_BD!$B:$B,$A173,WTG_BD!$AB:$AB)/($AA173+SUMIF(WTG_BD!$B:$B,$A173,WTG_BD!$AB:$AB)),"")</f>
        <v/>
      </c>
      <c r="Q173" s="184" t="str">
        <f>IFERROR(1-SUMIF(IGA_BD!$B:$B,$A173,IGA_BD!$X:$X)/($AA173+SUMIF(IGA_BD!$B:$B,$A173,IGA_BD!$X:$X)),"")</f>
        <v/>
      </c>
      <c r="R173" s="189" t="str">
        <f>IFERROR(1-SUMIF(Grid_BD!$B:$B,$A173,Grid_BD!$V:$V)/($AA173+SUMIF(Grid_BD!$B:$B,$A173,Grid_BD!$V:$V)),"")</f>
        <v/>
      </c>
      <c r="S173" s="167"/>
      <c r="T173" s="184"/>
      <c r="U173" s="185"/>
      <c r="V173" s="167"/>
      <c r="W173" s="186" t="str">
        <f>IFERROR(Table13[[#This Row],[Mtr_Net_Exp (KWh)]]/(24*AR173*1000),"")</f>
        <v/>
      </c>
      <c r="X173" s="167" t="str">
        <f>IFERROR(_xlfn.XLOOKUP($A173,Input_Raw!$A:$A,Input_Raw!$CF:$CF),"")</f>
        <v/>
      </c>
      <c r="Y173" s="167" t="str">
        <f>IFERROR(_xlfn.XLOOKUP($A173,Input_Raw!$A:$A,Input_Raw!$CZ:$CZ),"")</f>
        <v/>
      </c>
      <c r="Z173" s="167" t="str">
        <f>IFERROR(_xlfn.XLOOKUP($A173,Input_Raw!$A:$A,Input_Raw!$DA:$DA),"")</f>
        <v/>
      </c>
      <c r="AA173" s="169" t="str">
        <f t="shared" si="13"/>
        <v/>
      </c>
      <c r="AB173" s="167" t="str">
        <f>IFERROR(_xlfn.XLOOKUP($A173,Input_Raw!$A:$A,Input_Raw!$DG:$DG),"")</f>
        <v/>
      </c>
      <c r="AC173" s="187">
        <f>IFERROR(_xlfn.XLOOKUP($D173,'Modelling New'!$D:$D,'Modelling New'!$J:$J),"")</f>
        <v>5.0333333333333332</v>
      </c>
      <c r="AD173" s="169">
        <f>IFERROR(_xlfn.XLOOKUP($D173,'Modelling New'!$D:$D,'Modelling New'!$T:$T)*1000,"")</f>
        <v>279529.73373197042</v>
      </c>
      <c r="AE173" s="186"/>
      <c r="AF173" s="186">
        <f>IFERROR(_xlfn.XLOOKUP($D173,'Modelling New'!$D:$D,'Modelling New'!$W:$W),"")</f>
        <v>0.14932143895938593</v>
      </c>
      <c r="AG173" s="186">
        <f>IFERROR(_xlfn.XLOOKUP($D173,'Modelling New'!$D:$D,'Modelling New'!$AE:$AE),"")</f>
        <v>0.96029999999999993</v>
      </c>
      <c r="AH173" s="186">
        <f>IFERROR(_xlfn.XLOOKUP($D173,'Modelling New'!$D:$D,'Modelling New'!$AF:$AF),"")</f>
        <v>0.995</v>
      </c>
      <c r="AI173" s="167" t="str">
        <f>IFERROR(_xlfn.XLOOKUP($A173,Input_Raw!$A:$A,Input_Raw!$DE:$DE),"")</f>
        <v/>
      </c>
      <c r="AJ173" s="167"/>
      <c r="AK173" s="167"/>
      <c r="AL173" s="167"/>
      <c r="AM173" s="167"/>
      <c r="AN173" s="188" t="str">
        <f>IFERROR(_xlfn.XLOOKUP($A173,Input_Raw!$A:$A,Input_Raw!$DB:$DB),"")</f>
        <v/>
      </c>
      <c r="AO173" s="186" t="str">
        <f>IFERROR((_xlfn.XLOOKUP($A173,'WTG Reactive Power'!$A:$A,'WTG Reactive Power'!$AR:$AR))/X173/1000,"")</f>
        <v/>
      </c>
      <c r="AP173" s="186">
        <f>IFERROR(_xlfn.XLOOKUP($D173,'Modelling New'!$D:$D,'Modelling New'!$AK:$AK),"")</f>
        <v>0.05</v>
      </c>
      <c r="AQ173" s="186">
        <f>IFERROR(_xlfn.XLOOKUP($D173,'Modelling New'!$D:$D,'Modelling New'!$AL:$AL),"")</f>
        <v>0.05</v>
      </c>
      <c r="AR173">
        <f>IFERROR(_xlfn.XLOOKUP($D173,'Modelling New'!$D:$D,'Modelling New'!$N:$N),"")</f>
        <v>78</v>
      </c>
    </row>
    <row r="174" spans="1:44">
      <c r="A174" s="180">
        <f t="shared" si="15"/>
        <v>45917</v>
      </c>
      <c r="B174" s="169">
        <f>YEAR(Table13[[#This Row],[Date]])+IF(MONTH(Table13[[#This Row],[Date]])&gt;=4,1,0)</f>
        <v>2026</v>
      </c>
      <c r="C174" s="167">
        <f>YEAR(Table13[[#This Row],[Date]])</f>
        <v>2025</v>
      </c>
      <c r="D174" s="181">
        <f>Table13[[#This Row],[Date]]-DAY(Table13[[#This Row],[Date]])+1</f>
        <v>45901</v>
      </c>
      <c r="E174" s="167">
        <f t="shared" si="12"/>
        <v>30</v>
      </c>
      <c r="F174" s="170"/>
      <c r="G174" s="171"/>
      <c r="H174" s="171"/>
      <c r="I174" s="171"/>
      <c r="J174" s="171"/>
      <c r="K174" s="182"/>
      <c r="L174" s="171"/>
      <c r="M174" s="171" t="str">
        <f>IFERROR(_xlfn.XLOOKUP($A174,Input_Raw!$A:$A,Input_Raw!CG:CG),"")</f>
        <v/>
      </c>
      <c r="N174" s="171" t="str">
        <f>IFERROR(_xlfn.XLOOKUP($A174,Input_Raw!$A:$A,Input_Raw!CH:CH),"")</f>
        <v/>
      </c>
      <c r="O174" s="183" t="str">
        <f t="shared" si="14"/>
        <v/>
      </c>
      <c r="P174" s="183" t="str">
        <f>IFERROR(1-SUMIF(WTG_BD!$B:$B,$A174,WTG_BD!$AB:$AB)/($AA174+SUMIF(WTG_BD!$B:$B,$A174,WTG_BD!$AB:$AB)),"")</f>
        <v/>
      </c>
      <c r="Q174" s="184" t="str">
        <f>IFERROR(1-SUMIF(IGA_BD!$B:$B,$A174,IGA_BD!$X:$X)/($AA174+SUMIF(IGA_BD!$B:$B,$A174,IGA_BD!$X:$X)),"")</f>
        <v/>
      </c>
      <c r="R174" s="189" t="str">
        <f>IFERROR(1-SUMIF(Grid_BD!$B:$B,$A174,Grid_BD!$V:$V)/($AA174+SUMIF(Grid_BD!$B:$B,$A174,Grid_BD!$V:$V)),"")</f>
        <v/>
      </c>
      <c r="S174" s="167"/>
      <c r="T174" s="184"/>
      <c r="U174" s="185"/>
      <c r="V174" s="167"/>
      <c r="W174" s="186" t="str">
        <f>IFERROR(Table13[[#This Row],[Mtr_Net_Exp (KWh)]]/(24*AR174*1000),"")</f>
        <v/>
      </c>
      <c r="X174" s="167" t="str">
        <f>IFERROR(_xlfn.XLOOKUP($A174,Input_Raw!$A:$A,Input_Raw!$CF:$CF),"")</f>
        <v/>
      </c>
      <c r="Y174" s="167" t="str">
        <f>IFERROR(_xlfn.XLOOKUP($A174,Input_Raw!$A:$A,Input_Raw!$CZ:$CZ),"")</f>
        <v/>
      </c>
      <c r="Z174" s="167" t="str">
        <f>IFERROR(_xlfn.XLOOKUP($A174,Input_Raw!$A:$A,Input_Raw!$DA:$DA),"")</f>
        <v/>
      </c>
      <c r="AA174" s="169" t="str">
        <f t="shared" si="13"/>
        <v/>
      </c>
      <c r="AB174" s="167" t="str">
        <f>IFERROR(_xlfn.XLOOKUP($A174,Input_Raw!$A:$A,Input_Raw!$DG:$DG),"")</f>
        <v/>
      </c>
      <c r="AC174" s="187">
        <f>IFERROR(_xlfn.XLOOKUP($D174,'Modelling New'!$D:$D,'Modelling New'!$J:$J),"")</f>
        <v>5.0333333333333332</v>
      </c>
      <c r="AD174" s="169">
        <f>IFERROR(_xlfn.XLOOKUP($D174,'Modelling New'!$D:$D,'Modelling New'!$T:$T)*1000,"")</f>
        <v>279529.73373197042</v>
      </c>
      <c r="AE174" s="186"/>
      <c r="AF174" s="186">
        <f>IFERROR(_xlfn.XLOOKUP($D174,'Modelling New'!$D:$D,'Modelling New'!$W:$W),"")</f>
        <v>0.14932143895938593</v>
      </c>
      <c r="AG174" s="186">
        <f>IFERROR(_xlfn.XLOOKUP($D174,'Modelling New'!$D:$D,'Modelling New'!$AE:$AE),"")</f>
        <v>0.96029999999999993</v>
      </c>
      <c r="AH174" s="186">
        <f>IFERROR(_xlfn.XLOOKUP($D174,'Modelling New'!$D:$D,'Modelling New'!$AF:$AF),"")</f>
        <v>0.995</v>
      </c>
      <c r="AI174" s="167" t="str">
        <f>IFERROR(_xlfn.XLOOKUP($A174,Input_Raw!$A:$A,Input_Raw!$DE:$DE),"")</f>
        <v/>
      </c>
      <c r="AJ174" s="167"/>
      <c r="AK174" s="167"/>
      <c r="AL174" s="167"/>
      <c r="AM174" s="167"/>
      <c r="AN174" s="188" t="str">
        <f>IFERROR(_xlfn.XLOOKUP($A174,Input_Raw!$A:$A,Input_Raw!$DB:$DB),"")</f>
        <v/>
      </c>
      <c r="AO174" s="186" t="str">
        <f>IFERROR((_xlfn.XLOOKUP($A174,'WTG Reactive Power'!$A:$A,'WTG Reactive Power'!$AR:$AR))/X174/1000,"")</f>
        <v/>
      </c>
      <c r="AP174" s="186">
        <f>IFERROR(_xlfn.XLOOKUP($D174,'Modelling New'!$D:$D,'Modelling New'!$AK:$AK),"")</f>
        <v>0.05</v>
      </c>
      <c r="AQ174" s="186">
        <f>IFERROR(_xlfn.XLOOKUP($D174,'Modelling New'!$D:$D,'Modelling New'!$AL:$AL),"")</f>
        <v>0.05</v>
      </c>
      <c r="AR174">
        <f>IFERROR(_xlfn.XLOOKUP($D174,'Modelling New'!$D:$D,'Modelling New'!$N:$N),"")</f>
        <v>78</v>
      </c>
    </row>
    <row r="175" spans="1:44">
      <c r="A175" s="180">
        <f t="shared" si="15"/>
        <v>45918</v>
      </c>
      <c r="B175" s="169">
        <f>YEAR(Table13[[#This Row],[Date]])+IF(MONTH(Table13[[#This Row],[Date]])&gt;=4,1,0)</f>
        <v>2026</v>
      </c>
      <c r="C175" s="167">
        <f>YEAR(Table13[[#This Row],[Date]])</f>
        <v>2025</v>
      </c>
      <c r="D175" s="181">
        <f>Table13[[#This Row],[Date]]-DAY(Table13[[#This Row],[Date]])+1</f>
        <v>45901</v>
      </c>
      <c r="E175" s="167">
        <f t="shared" si="12"/>
        <v>30</v>
      </c>
      <c r="F175" s="170"/>
      <c r="G175" s="171"/>
      <c r="H175" s="171"/>
      <c r="I175" s="171"/>
      <c r="J175" s="171"/>
      <c r="K175" s="182"/>
      <c r="L175" s="171"/>
      <c r="M175" s="171" t="str">
        <f>IFERROR(_xlfn.XLOOKUP($A175,Input_Raw!$A:$A,Input_Raw!CG:CG),"")</f>
        <v/>
      </c>
      <c r="N175" s="171" t="str">
        <f>IFERROR(_xlfn.XLOOKUP($A175,Input_Raw!$A:$A,Input_Raw!CH:CH),"")</f>
        <v/>
      </c>
      <c r="O175" s="183" t="str">
        <f t="shared" si="14"/>
        <v/>
      </c>
      <c r="P175" s="183" t="str">
        <f>IFERROR(1-SUMIF(WTG_BD!$B:$B,$A175,WTG_BD!$AB:$AB)/($AA175+SUMIF(WTG_BD!$B:$B,$A175,WTG_BD!$AB:$AB)),"")</f>
        <v/>
      </c>
      <c r="Q175" s="184" t="str">
        <f>IFERROR(1-SUMIF(IGA_BD!$B:$B,$A175,IGA_BD!$X:$X)/($AA175+SUMIF(IGA_BD!$B:$B,$A175,IGA_BD!$X:$X)),"")</f>
        <v/>
      </c>
      <c r="R175" s="189" t="str">
        <f>IFERROR(1-SUMIF(Grid_BD!$B:$B,$A175,Grid_BD!$V:$V)/($AA175+SUMIF(Grid_BD!$B:$B,$A175,Grid_BD!$V:$V)),"")</f>
        <v/>
      </c>
      <c r="S175" s="167"/>
      <c r="T175" s="184"/>
      <c r="U175" s="185"/>
      <c r="V175" s="167"/>
      <c r="W175" s="186" t="str">
        <f>IFERROR(Table13[[#This Row],[Mtr_Net_Exp (KWh)]]/(24*AR175*1000),"")</f>
        <v/>
      </c>
      <c r="X175" s="167" t="str">
        <f>IFERROR(_xlfn.XLOOKUP($A175,Input_Raw!$A:$A,Input_Raw!$CF:$CF),"")</f>
        <v/>
      </c>
      <c r="Y175" s="167" t="str">
        <f>IFERROR(_xlfn.XLOOKUP($A175,Input_Raw!$A:$A,Input_Raw!$CZ:$CZ),"")</f>
        <v/>
      </c>
      <c r="Z175" s="167" t="str">
        <f>IFERROR(_xlfn.XLOOKUP($A175,Input_Raw!$A:$A,Input_Raw!$DA:$DA),"")</f>
        <v/>
      </c>
      <c r="AA175" s="169" t="str">
        <f t="shared" si="13"/>
        <v/>
      </c>
      <c r="AB175" s="167" t="str">
        <f>IFERROR(_xlfn.XLOOKUP($A175,Input_Raw!$A:$A,Input_Raw!$DG:$DG),"")</f>
        <v/>
      </c>
      <c r="AC175" s="187">
        <f>IFERROR(_xlfn.XLOOKUP($D175,'Modelling New'!$D:$D,'Modelling New'!$J:$J),"")</f>
        <v>5.0333333333333332</v>
      </c>
      <c r="AD175" s="169">
        <f>IFERROR(_xlfn.XLOOKUP($D175,'Modelling New'!$D:$D,'Modelling New'!$T:$T)*1000,"")</f>
        <v>279529.73373197042</v>
      </c>
      <c r="AE175" s="186"/>
      <c r="AF175" s="186">
        <f>IFERROR(_xlfn.XLOOKUP($D175,'Modelling New'!$D:$D,'Modelling New'!$W:$W),"")</f>
        <v>0.14932143895938593</v>
      </c>
      <c r="AG175" s="186">
        <f>IFERROR(_xlfn.XLOOKUP($D175,'Modelling New'!$D:$D,'Modelling New'!$AE:$AE),"")</f>
        <v>0.96029999999999993</v>
      </c>
      <c r="AH175" s="186">
        <f>IFERROR(_xlfn.XLOOKUP($D175,'Modelling New'!$D:$D,'Modelling New'!$AF:$AF),"")</f>
        <v>0.995</v>
      </c>
      <c r="AI175" s="167" t="str">
        <f>IFERROR(_xlfn.XLOOKUP($A175,Input_Raw!$A:$A,Input_Raw!$DE:$DE),"")</f>
        <v/>
      </c>
      <c r="AJ175" s="167"/>
      <c r="AK175" s="167"/>
      <c r="AL175" s="167"/>
      <c r="AM175" s="167"/>
      <c r="AN175" s="188" t="str">
        <f>IFERROR(_xlfn.XLOOKUP($A175,Input_Raw!$A:$A,Input_Raw!$DB:$DB),"")</f>
        <v/>
      </c>
      <c r="AO175" s="186" t="str">
        <f>IFERROR((_xlfn.XLOOKUP($A175,'WTG Reactive Power'!$A:$A,'WTG Reactive Power'!$AR:$AR))/X175/1000,"")</f>
        <v/>
      </c>
      <c r="AP175" s="186">
        <f>IFERROR(_xlfn.XLOOKUP($D175,'Modelling New'!$D:$D,'Modelling New'!$AK:$AK),"")</f>
        <v>0.05</v>
      </c>
      <c r="AQ175" s="186">
        <f>IFERROR(_xlfn.XLOOKUP($D175,'Modelling New'!$D:$D,'Modelling New'!$AL:$AL),"")</f>
        <v>0.05</v>
      </c>
      <c r="AR175">
        <f>IFERROR(_xlfn.XLOOKUP($D175,'Modelling New'!$D:$D,'Modelling New'!$N:$N),"")</f>
        <v>78</v>
      </c>
    </row>
    <row r="176" spans="1:44">
      <c r="A176" s="180">
        <f t="shared" si="15"/>
        <v>45919</v>
      </c>
      <c r="B176" s="169">
        <f>YEAR(Table13[[#This Row],[Date]])+IF(MONTH(Table13[[#This Row],[Date]])&gt;=4,1,0)</f>
        <v>2026</v>
      </c>
      <c r="C176" s="167">
        <f>YEAR(Table13[[#This Row],[Date]])</f>
        <v>2025</v>
      </c>
      <c r="D176" s="181">
        <f>Table13[[#This Row],[Date]]-DAY(Table13[[#This Row],[Date]])+1</f>
        <v>45901</v>
      </c>
      <c r="E176" s="167">
        <f t="shared" si="12"/>
        <v>30</v>
      </c>
      <c r="F176" s="170"/>
      <c r="G176" s="171"/>
      <c r="H176" s="171"/>
      <c r="I176" s="171"/>
      <c r="J176" s="171"/>
      <c r="K176" s="182"/>
      <c r="L176" s="171"/>
      <c r="M176" s="171" t="str">
        <f>IFERROR(_xlfn.XLOOKUP($A176,Input_Raw!$A:$A,Input_Raw!CG:CG),"")</f>
        <v/>
      </c>
      <c r="N176" s="171" t="str">
        <f>IFERROR(_xlfn.XLOOKUP($A176,Input_Raw!$A:$A,Input_Raw!CH:CH),"")</f>
        <v/>
      </c>
      <c r="O176" s="183" t="str">
        <f t="shared" si="14"/>
        <v/>
      </c>
      <c r="P176" s="183" t="str">
        <f>IFERROR(1-SUMIF(WTG_BD!$B:$B,$A176,WTG_BD!$AB:$AB)/($AA176+SUMIF(WTG_BD!$B:$B,$A176,WTG_BD!$AB:$AB)),"")</f>
        <v/>
      </c>
      <c r="Q176" s="184" t="str">
        <f>IFERROR(1-SUMIF(IGA_BD!$B:$B,$A176,IGA_BD!$X:$X)/($AA176+SUMIF(IGA_BD!$B:$B,$A176,IGA_BD!$X:$X)),"")</f>
        <v/>
      </c>
      <c r="R176" s="189" t="str">
        <f>IFERROR(1-SUMIF(Grid_BD!$B:$B,$A176,Grid_BD!$V:$V)/($AA176+SUMIF(Grid_BD!$B:$B,$A176,Grid_BD!$V:$V)),"")</f>
        <v/>
      </c>
      <c r="S176" s="167"/>
      <c r="T176" s="184"/>
      <c r="U176" s="185"/>
      <c r="V176" s="167"/>
      <c r="W176" s="186" t="str">
        <f>IFERROR(Table13[[#This Row],[Mtr_Net_Exp (KWh)]]/(24*AR176*1000),"")</f>
        <v/>
      </c>
      <c r="X176" s="167" t="str">
        <f>IFERROR(_xlfn.XLOOKUP($A176,Input_Raw!$A:$A,Input_Raw!$CF:$CF),"")</f>
        <v/>
      </c>
      <c r="Y176" s="167" t="str">
        <f>IFERROR(_xlfn.XLOOKUP($A176,Input_Raw!$A:$A,Input_Raw!$CZ:$CZ),"")</f>
        <v/>
      </c>
      <c r="Z176" s="167" t="str">
        <f>IFERROR(_xlfn.XLOOKUP($A176,Input_Raw!$A:$A,Input_Raw!$DA:$DA),"")</f>
        <v/>
      </c>
      <c r="AA176" s="169" t="str">
        <f t="shared" si="13"/>
        <v/>
      </c>
      <c r="AB176" s="167" t="str">
        <f>IFERROR(_xlfn.XLOOKUP($A176,Input_Raw!$A:$A,Input_Raw!$DG:$DG),"")</f>
        <v/>
      </c>
      <c r="AC176" s="187">
        <f>IFERROR(_xlfn.XLOOKUP($D176,'Modelling New'!$D:$D,'Modelling New'!$J:$J),"")</f>
        <v>5.0333333333333332</v>
      </c>
      <c r="AD176" s="169">
        <f>IFERROR(_xlfn.XLOOKUP($D176,'Modelling New'!$D:$D,'Modelling New'!$T:$T)*1000,"")</f>
        <v>279529.73373197042</v>
      </c>
      <c r="AE176" s="186"/>
      <c r="AF176" s="186">
        <f>IFERROR(_xlfn.XLOOKUP($D176,'Modelling New'!$D:$D,'Modelling New'!$W:$W),"")</f>
        <v>0.14932143895938593</v>
      </c>
      <c r="AG176" s="186">
        <f>IFERROR(_xlfn.XLOOKUP($D176,'Modelling New'!$D:$D,'Modelling New'!$AE:$AE),"")</f>
        <v>0.96029999999999993</v>
      </c>
      <c r="AH176" s="186">
        <f>IFERROR(_xlfn.XLOOKUP($D176,'Modelling New'!$D:$D,'Modelling New'!$AF:$AF),"")</f>
        <v>0.995</v>
      </c>
      <c r="AI176" s="167" t="str">
        <f>IFERROR(_xlfn.XLOOKUP($A176,Input_Raw!$A:$A,Input_Raw!$DE:$DE),"")</f>
        <v/>
      </c>
      <c r="AJ176" s="167"/>
      <c r="AK176" s="167"/>
      <c r="AL176" s="167"/>
      <c r="AM176" s="167"/>
      <c r="AN176" s="188" t="str">
        <f>IFERROR(_xlfn.XLOOKUP($A176,Input_Raw!$A:$A,Input_Raw!$DB:$DB),"")</f>
        <v/>
      </c>
      <c r="AO176" s="186" t="str">
        <f>IFERROR((_xlfn.XLOOKUP($A176,'WTG Reactive Power'!$A:$A,'WTG Reactive Power'!$AR:$AR))/X176/1000,"")</f>
        <v/>
      </c>
      <c r="AP176" s="186">
        <f>IFERROR(_xlfn.XLOOKUP($D176,'Modelling New'!$D:$D,'Modelling New'!$AK:$AK),"")</f>
        <v>0.05</v>
      </c>
      <c r="AQ176" s="186">
        <f>IFERROR(_xlfn.XLOOKUP($D176,'Modelling New'!$D:$D,'Modelling New'!$AL:$AL),"")</f>
        <v>0.05</v>
      </c>
      <c r="AR176">
        <f>IFERROR(_xlfn.XLOOKUP($D176,'Modelling New'!$D:$D,'Modelling New'!$N:$N),"")</f>
        <v>78</v>
      </c>
    </row>
    <row r="177" spans="1:44">
      <c r="A177" s="180">
        <f t="shared" si="15"/>
        <v>45920</v>
      </c>
      <c r="B177" s="169">
        <f>YEAR(Table13[[#This Row],[Date]])+IF(MONTH(Table13[[#This Row],[Date]])&gt;=4,1,0)</f>
        <v>2026</v>
      </c>
      <c r="C177" s="167">
        <f>YEAR(Table13[[#This Row],[Date]])</f>
        <v>2025</v>
      </c>
      <c r="D177" s="181">
        <f>Table13[[#This Row],[Date]]-DAY(Table13[[#This Row],[Date]])+1</f>
        <v>45901</v>
      </c>
      <c r="E177" s="167">
        <f t="shared" si="12"/>
        <v>30</v>
      </c>
      <c r="F177" s="170"/>
      <c r="G177" s="171"/>
      <c r="H177" s="171"/>
      <c r="I177" s="171"/>
      <c r="J177" s="171"/>
      <c r="K177" s="182"/>
      <c r="L177" s="171"/>
      <c r="M177" s="171" t="str">
        <f>IFERROR(_xlfn.XLOOKUP($A177,Input_Raw!$A:$A,Input_Raw!CG:CG),"")</f>
        <v/>
      </c>
      <c r="N177" s="171" t="str">
        <f>IFERROR(_xlfn.XLOOKUP($A177,Input_Raw!$A:$A,Input_Raw!CH:CH),"")</f>
        <v/>
      </c>
      <c r="O177" s="183" t="str">
        <f t="shared" si="14"/>
        <v/>
      </c>
      <c r="P177" s="183" t="str">
        <f>IFERROR(1-SUMIF(WTG_BD!$B:$B,$A177,WTG_BD!$AB:$AB)/($AA177+SUMIF(WTG_BD!$B:$B,$A177,WTG_BD!$AB:$AB)),"")</f>
        <v/>
      </c>
      <c r="Q177" s="184" t="str">
        <f>IFERROR(1-SUMIF(IGA_BD!$B:$B,$A177,IGA_BD!$X:$X)/($AA177+SUMIF(IGA_BD!$B:$B,$A177,IGA_BD!$X:$X)),"")</f>
        <v/>
      </c>
      <c r="R177" s="189" t="str">
        <f>IFERROR(1-SUMIF(Grid_BD!$B:$B,$A177,Grid_BD!$V:$V)/($AA177+SUMIF(Grid_BD!$B:$B,$A177,Grid_BD!$V:$V)),"")</f>
        <v/>
      </c>
      <c r="S177" s="167"/>
      <c r="T177" s="184"/>
      <c r="U177" s="185"/>
      <c r="V177" s="167"/>
      <c r="W177" s="186" t="str">
        <f>IFERROR(Table13[[#This Row],[Mtr_Net_Exp (KWh)]]/(24*AR177*1000),"")</f>
        <v/>
      </c>
      <c r="X177" s="167" t="str">
        <f>IFERROR(_xlfn.XLOOKUP($A177,Input_Raw!$A:$A,Input_Raw!$CF:$CF),"")</f>
        <v/>
      </c>
      <c r="Y177" s="167" t="str">
        <f>IFERROR(_xlfn.XLOOKUP($A177,Input_Raw!$A:$A,Input_Raw!$CZ:$CZ),"")</f>
        <v/>
      </c>
      <c r="Z177" s="167" t="str">
        <f>IFERROR(_xlfn.XLOOKUP($A177,Input_Raw!$A:$A,Input_Raw!$DA:$DA),"")</f>
        <v/>
      </c>
      <c r="AA177" s="169" t="str">
        <f t="shared" si="13"/>
        <v/>
      </c>
      <c r="AB177" s="167" t="str">
        <f>IFERROR(_xlfn.XLOOKUP($A177,Input_Raw!$A:$A,Input_Raw!$DG:$DG),"")</f>
        <v/>
      </c>
      <c r="AC177" s="187">
        <f>IFERROR(_xlfn.XLOOKUP($D177,'Modelling New'!$D:$D,'Modelling New'!$J:$J),"")</f>
        <v>5.0333333333333332</v>
      </c>
      <c r="AD177" s="169">
        <f>IFERROR(_xlfn.XLOOKUP($D177,'Modelling New'!$D:$D,'Modelling New'!$T:$T)*1000,"")</f>
        <v>279529.73373197042</v>
      </c>
      <c r="AE177" s="186"/>
      <c r="AF177" s="186">
        <f>IFERROR(_xlfn.XLOOKUP($D177,'Modelling New'!$D:$D,'Modelling New'!$W:$W),"")</f>
        <v>0.14932143895938593</v>
      </c>
      <c r="AG177" s="186">
        <f>IFERROR(_xlfn.XLOOKUP($D177,'Modelling New'!$D:$D,'Modelling New'!$AE:$AE),"")</f>
        <v>0.96029999999999993</v>
      </c>
      <c r="AH177" s="186">
        <f>IFERROR(_xlfn.XLOOKUP($D177,'Modelling New'!$D:$D,'Modelling New'!$AF:$AF),"")</f>
        <v>0.995</v>
      </c>
      <c r="AI177" s="167" t="str">
        <f>IFERROR(_xlfn.XLOOKUP($A177,Input_Raw!$A:$A,Input_Raw!$DE:$DE),"")</f>
        <v/>
      </c>
      <c r="AJ177" s="167"/>
      <c r="AK177" s="167"/>
      <c r="AL177" s="167"/>
      <c r="AM177" s="167"/>
      <c r="AN177" s="188" t="str">
        <f>IFERROR(_xlfn.XLOOKUP($A177,Input_Raw!$A:$A,Input_Raw!$DB:$DB),"")</f>
        <v/>
      </c>
      <c r="AO177" s="186" t="str">
        <f>IFERROR((_xlfn.XLOOKUP($A177,'WTG Reactive Power'!$A:$A,'WTG Reactive Power'!$AR:$AR))/X177/1000,"")</f>
        <v/>
      </c>
      <c r="AP177" s="186">
        <f>IFERROR(_xlfn.XLOOKUP($D177,'Modelling New'!$D:$D,'Modelling New'!$AK:$AK),"")</f>
        <v>0.05</v>
      </c>
      <c r="AQ177" s="186">
        <f>IFERROR(_xlfn.XLOOKUP($D177,'Modelling New'!$D:$D,'Modelling New'!$AL:$AL),"")</f>
        <v>0.05</v>
      </c>
      <c r="AR177">
        <f>IFERROR(_xlfn.XLOOKUP($D177,'Modelling New'!$D:$D,'Modelling New'!$N:$N),"")</f>
        <v>78</v>
      </c>
    </row>
    <row r="178" spans="1:44">
      <c r="A178" s="180">
        <f t="shared" si="15"/>
        <v>45921</v>
      </c>
      <c r="B178" s="169">
        <f>YEAR(Table13[[#This Row],[Date]])+IF(MONTH(Table13[[#This Row],[Date]])&gt;=4,1,0)</f>
        <v>2026</v>
      </c>
      <c r="C178" s="167">
        <f>YEAR(Table13[[#This Row],[Date]])</f>
        <v>2025</v>
      </c>
      <c r="D178" s="181">
        <f>Table13[[#This Row],[Date]]-DAY(Table13[[#This Row],[Date]])+1</f>
        <v>45901</v>
      </c>
      <c r="E178" s="167">
        <f t="shared" si="12"/>
        <v>30</v>
      </c>
      <c r="F178" s="170"/>
      <c r="G178" s="171"/>
      <c r="H178" s="171"/>
      <c r="I178" s="171"/>
      <c r="J178" s="171"/>
      <c r="K178" s="182"/>
      <c r="L178" s="171"/>
      <c r="M178" s="171" t="str">
        <f>IFERROR(_xlfn.XLOOKUP($A178,Input_Raw!$A:$A,Input_Raw!CG:CG),"")</f>
        <v/>
      </c>
      <c r="N178" s="171" t="str">
        <f>IFERROR(_xlfn.XLOOKUP($A178,Input_Raw!$A:$A,Input_Raw!CH:CH),"")</f>
        <v/>
      </c>
      <c r="O178" s="183" t="str">
        <f t="shared" si="14"/>
        <v/>
      </c>
      <c r="P178" s="183" t="str">
        <f>IFERROR(1-SUMIF(WTG_BD!$B:$B,$A178,WTG_BD!$AB:$AB)/($AA178+SUMIF(WTG_BD!$B:$B,$A178,WTG_BD!$AB:$AB)),"")</f>
        <v/>
      </c>
      <c r="Q178" s="184" t="str">
        <f>IFERROR(1-SUMIF(IGA_BD!$B:$B,$A178,IGA_BD!$X:$X)/($AA178+SUMIF(IGA_BD!$B:$B,$A178,IGA_BD!$X:$X)),"")</f>
        <v/>
      </c>
      <c r="R178" s="189" t="str">
        <f>IFERROR(1-SUMIF(Grid_BD!$B:$B,$A178,Grid_BD!$V:$V)/($AA178+SUMIF(Grid_BD!$B:$B,$A178,Grid_BD!$V:$V)),"")</f>
        <v/>
      </c>
      <c r="S178" s="167"/>
      <c r="T178" s="184"/>
      <c r="U178" s="185"/>
      <c r="V178" s="167"/>
      <c r="W178" s="186" t="str">
        <f>IFERROR(Table13[[#This Row],[Mtr_Net_Exp (KWh)]]/(24*AR178*1000),"")</f>
        <v/>
      </c>
      <c r="X178" s="167" t="str">
        <f>IFERROR(_xlfn.XLOOKUP($A178,Input_Raw!$A:$A,Input_Raw!$CF:$CF),"")</f>
        <v/>
      </c>
      <c r="Y178" s="167" t="str">
        <f>IFERROR(_xlfn.XLOOKUP($A178,Input_Raw!$A:$A,Input_Raw!$CZ:$CZ),"")</f>
        <v/>
      </c>
      <c r="Z178" s="167" t="str">
        <f>IFERROR(_xlfn.XLOOKUP($A178,Input_Raw!$A:$A,Input_Raw!$DA:$DA),"")</f>
        <v/>
      </c>
      <c r="AA178" s="169" t="str">
        <f t="shared" si="13"/>
        <v/>
      </c>
      <c r="AB178" s="167" t="str">
        <f>IFERROR(_xlfn.XLOOKUP($A178,Input_Raw!$A:$A,Input_Raw!$DG:$DG),"")</f>
        <v/>
      </c>
      <c r="AC178" s="187">
        <f>IFERROR(_xlfn.XLOOKUP($D178,'Modelling New'!$D:$D,'Modelling New'!$J:$J),"")</f>
        <v>5.0333333333333332</v>
      </c>
      <c r="AD178" s="169">
        <f>IFERROR(_xlfn.XLOOKUP($D178,'Modelling New'!$D:$D,'Modelling New'!$T:$T)*1000,"")</f>
        <v>279529.73373197042</v>
      </c>
      <c r="AE178" s="186"/>
      <c r="AF178" s="186">
        <f>IFERROR(_xlfn.XLOOKUP($D178,'Modelling New'!$D:$D,'Modelling New'!$W:$W),"")</f>
        <v>0.14932143895938593</v>
      </c>
      <c r="AG178" s="186">
        <f>IFERROR(_xlfn.XLOOKUP($D178,'Modelling New'!$D:$D,'Modelling New'!$AE:$AE),"")</f>
        <v>0.96029999999999993</v>
      </c>
      <c r="AH178" s="186">
        <f>IFERROR(_xlfn.XLOOKUP($D178,'Modelling New'!$D:$D,'Modelling New'!$AF:$AF),"")</f>
        <v>0.995</v>
      </c>
      <c r="AI178" s="167" t="str">
        <f>IFERROR(_xlfn.XLOOKUP($A178,Input_Raw!$A:$A,Input_Raw!$DE:$DE),"")</f>
        <v/>
      </c>
      <c r="AJ178" s="167"/>
      <c r="AK178" s="167"/>
      <c r="AL178" s="167"/>
      <c r="AM178" s="167"/>
      <c r="AN178" s="188" t="str">
        <f>IFERROR(_xlfn.XLOOKUP($A178,Input_Raw!$A:$A,Input_Raw!$DB:$DB),"")</f>
        <v/>
      </c>
      <c r="AO178" s="186" t="str">
        <f>IFERROR((_xlfn.XLOOKUP($A178,'WTG Reactive Power'!$A:$A,'WTG Reactive Power'!$AR:$AR))/X178/1000,"")</f>
        <v/>
      </c>
      <c r="AP178" s="186">
        <f>IFERROR(_xlfn.XLOOKUP($D178,'Modelling New'!$D:$D,'Modelling New'!$AK:$AK),"")</f>
        <v>0.05</v>
      </c>
      <c r="AQ178" s="186">
        <f>IFERROR(_xlfn.XLOOKUP($D178,'Modelling New'!$D:$D,'Modelling New'!$AL:$AL),"")</f>
        <v>0.05</v>
      </c>
      <c r="AR178">
        <f>IFERROR(_xlfn.XLOOKUP($D178,'Modelling New'!$D:$D,'Modelling New'!$N:$N),"")</f>
        <v>78</v>
      </c>
    </row>
    <row r="179" spans="1:44">
      <c r="A179" s="180">
        <f t="shared" si="15"/>
        <v>45922</v>
      </c>
      <c r="B179" s="169">
        <f>YEAR(Table13[[#This Row],[Date]])+IF(MONTH(Table13[[#This Row],[Date]])&gt;=4,1,0)</f>
        <v>2026</v>
      </c>
      <c r="C179" s="167">
        <f>YEAR(Table13[[#This Row],[Date]])</f>
        <v>2025</v>
      </c>
      <c r="D179" s="181">
        <f>Table13[[#This Row],[Date]]-DAY(Table13[[#This Row],[Date]])+1</f>
        <v>45901</v>
      </c>
      <c r="E179" s="167">
        <f t="shared" si="12"/>
        <v>30</v>
      </c>
      <c r="F179" s="170"/>
      <c r="G179" s="171"/>
      <c r="H179" s="171"/>
      <c r="I179" s="171"/>
      <c r="J179" s="171"/>
      <c r="K179" s="182"/>
      <c r="L179" s="171"/>
      <c r="M179" s="171" t="str">
        <f>IFERROR(_xlfn.XLOOKUP($A179,Input_Raw!$A:$A,Input_Raw!CG:CG),"")</f>
        <v/>
      </c>
      <c r="N179" s="171" t="str">
        <f>IFERROR(_xlfn.XLOOKUP($A179,Input_Raw!$A:$A,Input_Raw!CH:CH),"")</f>
        <v/>
      </c>
      <c r="O179" s="183" t="str">
        <f t="shared" si="14"/>
        <v/>
      </c>
      <c r="P179" s="183" t="str">
        <f>IFERROR(1-SUMIF(WTG_BD!$B:$B,$A179,WTG_BD!$AB:$AB)/($AA179+SUMIF(WTG_BD!$B:$B,$A179,WTG_BD!$AB:$AB)),"")</f>
        <v/>
      </c>
      <c r="Q179" s="184" t="str">
        <f>IFERROR(1-SUMIF(IGA_BD!$B:$B,$A179,IGA_BD!$X:$X)/($AA179+SUMIF(IGA_BD!$B:$B,$A179,IGA_BD!$X:$X)),"")</f>
        <v/>
      </c>
      <c r="R179" s="189" t="str">
        <f>IFERROR(1-SUMIF(Grid_BD!$B:$B,$A179,Grid_BD!$V:$V)/($AA179+SUMIF(Grid_BD!$B:$B,$A179,Grid_BD!$V:$V)),"")</f>
        <v/>
      </c>
      <c r="S179" s="167"/>
      <c r="T179" s="184"/>
      <c r="U179" s="185"/>
      <c r="V179" s="167"/>
      <c r="W179" s="186" t="str">
        <f>IFERROR(Table13[[#This Row],[Mtr_Net_Exp (KWh)]]/(24*AR179*1000),"")</f>
        <v/>
      </c>
      <c r="X179" s="167" t="str">
        <f>IFERROR(_xlfn.XLOOKUP($A179,Input_Raw!$A:$A,Input_Raw!$CF:$CF),"")</f>
        <v/>
      </c>
      <c r="Y179" s="167" t="str">
        <f>IFERROR(_xlfn.XLOOKUP($A179,Input_Raw!$A:$A,Input_Raw!$CZ:$CZ),"")</f>
        <v/>
      </c>
      <c r="Z179" s="167" t="str">
        <f>IFERROR(_xlfn.XLOOKUP($A179,Input_Raw!$A:$A,Input_Raw!$DA:$DA),"")</f>
        <v/>
      </c>
      <c r="AA179" s="169" t="str">
        <f t="shared" si="13"/>
        <v/>
      </c>
      <c r="AB179" s="167" t="str">
        <f>IFERROR(_xlfn.XLOOKUP($A179,Input_Raw!$A:$A,Input_Raw!$DG:$DG),"")</f>
        <v/>
      </c>
      <c r="AC179" s="187">
        <f>IFERROR(_xlfn.XLOOKUP($D179,'Modelling New'!$D:$D,'Modelling New'!$J:$J),"")</f>
        <v>5.0333333333333332</v>
      </c>
      <c r="AD179" s="169">
        <f>IFERROR(_xlfn.XLOOKUP($D179,'Modelling New'!$D:$D,'Modelling New'!$T:$T)*1000,"")</f>
        <v>279529.73373197042</v>
      </c>
      <c r="AE179" s="186"/>
      <c r="AF179" s="186">
        <f>IFERROR(_xlfn.XLOOKUP($D179,'Modelling New'!$D:$D,'Modelling New'!$W:$W),"")</f>
        <v>0.14932143895938593</v>
      </c>
      <c r="AG179" s="186">
        <f>IFERROR(_xlfn.XLOOKUP($D179,'Modelling New'!$D:$D,'Modelling New'!$AE:$AE),"")</f>
        <v>0.96029999999999993</v>
      </c>
      <c r="AH179" s="186">
        <f>IFERROR(_xlfn.XLOOKUP($D179,'Modelling New'!$D:$D,'Modelling New'!$AF:$AF),"")</f>
        <v>0.995</v>
      </c>
      <c r="AI179" s="167" t="str">
        <f>IFERROR(_xlfn.XLOOKUP($A179,Input_Raw!$A:$A,Input_Raw!$DE:$DE),"")</f>
        <v/>
      </c>
      <c r="AJ179" s="167"/>
      <c r="AK179" s="167"/>
      <c r="AL179" s="167"/>
      <c r="AM179" s="167"/>
      <c r="AN179" s="188" t="str">
        <f>IFERROR(_xlfn.XLOOKUP($A179,Input_Raw!$A:$A,Input_Raw!$DB:$DB),"")</f>
        <v/>
      </c>
      <c r="AO179" s="186" t="str">
        <f>IFERROR((_xlfn.XLOOKUP($A179,'WTG Reactive Power'!$A:$A,'WTG Reactive Power'!$AR:$AR))/X179/1000,"")</f>
        <v/>
      </c>
      <c r="AP179" s="186">
        <f>IFERROR(_xlfn.XLOOKUP($D179,'Modelling New'!$D:$D,'Modelling New'!$AK:$AK),"")</f>
        <v>0.05</v>
      </c>
      <c r="AQ179" s="186">
        <f>IFERROR(_xlfn.XLOOKUP($D179,'Modelling New'!$D:$D,'Modelling New'!$AL:$AL),"")</f>
        <v>0.05</v>
      </c>
      <c r="AR179">
        <f>IFERROR(_xlfn.XLOOKUP($D179,'Modelling New'!$D:$D,'Modelling New'!$N:$N),"")</f>
        <v>78</v>
      </c>
    </row>
    <row r="180" spans="1:44">
      <c r="A180" s="180">
        <f t="shared" si="15"/>
        <v>45923</v>
      </c>
      <c r="B180" s="169">
        <f>YEAR(Table13[[#This Row],[Date]])+IF(MONTH(Table13[[#This Row],[Date]])&gt;=4,1,0)</f>
        <v>2026</v>
      </c>
      <c r="C180" s="167">
        <f>YEAR(Table13[[#This Row],[Date]])</f>
        <v>2025</v>
      </c>
      <c r="D180" s="181">
        <f>Table13[[#This Row],[Date]]-DAY(Table13[[#This Row],[Date]])+1</f>
        <v>45901</v>
      </c>
      <c r="E180" s="167">
        <f t="shared" si="12"/>
        <v>30</v>
      </c>
      <c r="F180" s="170"/>
      <c r="G180" s="171"/>
      <c r="H180" s="171"/>
      <c r="I180" s="171"/>
      <c r="J180" s="171"/>
      <c r="K180" s="182"/>
      <c r="L180" s="171"/>
      <c r="M180" s="171" t="str">
        <f>IFERROR(_xlfn.XLOOKUP($A180,Input_Raw!$A:$A,Input_Raw!CG:CG),"")</f>
        <v/>
      </c>
      <c r="N180" s="171" t="str">
        <f>IFERROR(_xlfn.XLOOKUP($A180,Input_Raw!$A:$A,Input_Raw!CH:CH),"")</f>
        <v/>
      </c>
      <c r="O180" s="183" t="str">
        <f t="shared" si="14"/>
        <v/>
      </c>
      <c r="P180" s="183" t="str">
        <f>IFERROR(1-SUMIF(WTG_BD!$B:$B,$A180,WTG_BD!$AB:$AB)/($AA180+SUMIF(WTG_BD!$B:$B,$A180,WTG_BD!$AB:$AB)),"")</f>
        <v/>
      </c>
      <c r="Q180" s="184" t="str">
        <f>IFERROR(1-SUMIF(IGA_BD!$B:$B,$A180,IGA_BD!$X:$X)/($AA180+SUMIF(IGA_BD!$B:$B,$A180,IGA_BD!$X:$X)),"")</f>
        <v/>
      </c>
      <c r="R180" s="189" t="str">
        <f>IFERROR(1-SUMIF(Grid_BD!$B:$B,$A180,Grid_BD!$V:$V)/($AA180+SUMIF(Grid_BD!$B:$B,$A180,Grid_BD!$V:$V)),"")</f>
        <v/>
      </c>
      <c r="S180" s="167"/>
      <c r="T180" s="184"/>
      <c r="U180" s="185"/>
      <c r="V180" s="167"/>
      <c r="W180" s="186" t="str">
        <f>IFERROR(Table13[[#This Row],[Mtr_Net_Exp (KWh)]]/(24*AR180*1000),"")</f>
        <v/>
      </c>
      <c r="X180" s="167" t="str">
        <f>IFERROR(_xlfn.XLOOKUP($A180,Input_Raw!$A:$A,Input_Raw!$CF:$CF),"")</f>
        <v/>
      </c>
      <c r="Y180" s="167" t="str">
        <f>IFERROR(_xlfn.XLOOKUP($A180,Input_Raw!$A:$A,Input_Raw!$CZ:$CZ),"")</f>
        <v/>
      </c>
      <c r="Z180" s="167" t="str">
        <f>IFERROR(_xlfn.XLOOKUP($A180,Input_Raw!$A:$A,Input_Raw!$DA:$DA),"")</f>
        <v/>
      </c>
      <c r="AA180" s="169" t="str">
        <f t="shared" si="13"/>
        <v/>
      </c>
      <c r="AB180" s="167" t="str">
        <f>IFERROR(_xlfn.XLOOKUP($A180,Input_Raw!$A:$A,Input_Raw!$DG:$DG),"")</f>
        <v/>
      </c>
      <c r="AC180" s="187">
        <f>IFERROR(_xlfn.XLOOKUP($D180,'Modelling New'!$D:$D,'Modelling New'!$J:$J),"")</f>
        <v>5.0333333333333332</v>
      </c>
      <c r="AD180" s="169">
        <f>IFERROR(_xlfn.XLOOKUP($D180,'Modelling New'!$D:$D,'Modelling New'!$T:$T)*1000,"")</f>
        <v>279529.73373197042</v>
      </c>
      <c r="AE180" s="186"/>
      <c r="AF180" s="186">
        <f>IFERROR(_xlfn.XLOOKUP($D180,'Modelling New'!$D:$D,'Modelling New'!$W:$W),"")</f>
        <v>0.14932143895938593</v>
      </c>
      <c r="AG180" s="186">
        <f>IFERROR(_xlfn.XLOOKUP($D180,'Modelling New'!$D:$D,'Modelling New'!$AE:$AE),"")</f>
        <v>0.96029999999999993</v>
      </c>
      <c r="AH180" s="186">
        <f>IFERROR(_xlfn.XLOOKUP($D180,'Modelling New'!$D:$D,'Modelling New'!$AF:$AF),"")</f>
        <v>0.995</v>
      </c>
      <c r="AI180" s="167" t="str">
        <f>IFERROR(_xlfn.XLOOKUP($A180,Input_Raw!$A:$A,Input_Raw!$DE:$DE),"")</f>
        <v/>
      </c>
      <c r="AJ180" s="167"/>
      <c r="AK180" s="167"/>
      <c r="AL180" s="167"/>
      <c r="AM180" s="167"/>
      <c r="AN180" s="188" t="str">
        <f>IFERROR(_xlfn.XLOOKUP($A180,Input_Raw!$A:$A,Input_Raw!$DB:$DB),"")</f>
        <v/>
      </c>
      <c r="AO180" s="186" t="str">
        <f>IFERROR((_xlfn.XLOOKUP($A180,'WTG Reactive Power'!$A:$A,'WTG Reactive Power'!$AR:$AR))/X180/1000,"")</f>
        <v/>
      </c>
      <c r="AP180" s="186">
        <f>IFERROR(_xlfn.XLOOKUP($D180,'Modelling New'!$D:$D,'Modelling New'!$AK:$AK),"")</f>
        <v>0.05</v>
      </c>
      <c r="AQ180" s="186">
        <f>IFERROR(_xlfn.XLOOKUP($D180,'Modelling New'!$D:$D,'Modelling New'!$AL:$AL),"")</f>
        <v>0.05</v>
      </c>
      <c r="AR180">
        <f>IFERROR(_xlfn.XLOOKUP($D180,'Modelling New'!$D:$D,'Modelling New'!$N:$N),"")</f>
        <v>78</v>
      </c>
    </row>
    <row r="181" spans="1:44">
      <c r="A181" s="180">
        <f t="shared" si="15"/>
        <v>45924</v>
      </c>
      <c r="B181" s="169">
        <f>YEAR(Table13[[#This Row],[Date]])+IF(MONTH(Table13[[#This Row],[Date]])&gt;=4,1,0)</f>
        <v>2026</v>
      </c>
      <c r="C181" s="167">
        <f>YEAR(Table13[[#This Row],[Date]])</f>
        <v>2025</v>
      </c>
      <c r="D181" s="181">
        <f>Table13[[#This Row],[Date]]-DAY(Table13[[#This Row],[Date]])+1</f>
        <v>45901</v>
      </c>
      <c r="E181" s="167">
        <f t="shared" si="12"/>
        <v>30</v>
      </c>
      <c r="F181" s="170"/>
      <c r="G181" s="171"/>
      <c r="H181" s="171"/>
      <c r="I181" s="171"/>
      <c r="J181" s="171"/>
      <c r="K181" s="182"/>
      <c r="L181" s="171"/>
      <c r="M181" s="171" t="str">
        <f>IFERROR(_xlfn.XLOOKUP($A181,Input_Raw!$A:$A,Input_Raw!CG:CG),"")</f>
        <v/>
      </c>
      <c r="N181" s="171" t="str">
        <f>IFERROR(_xlfn.XLOOKUP($A181,Input_Raw!$A:$A,Input_Raw!CH:CH),"")</f>
        <v/>
      </c>
      <c r="O181" s="183" t="str">
        <f t="shared" si="14"/>
        <v/>
      </c>
      <c r="P181" s="183" t="str">
        <f>IFERROR(1-SUMIF(WTG_BD!$B:$B,$A181,WTG_BD!$AB:$AB)/($AA181+SUMIF(WTG_BD!$B:$B,$A181,WTG_BD!$AB:$AB)),"")</f>
        <v/>
      </c>
      <c r="Q181" s="184" t="str">
        <f>IFERROR(1-SUMIF(IGA_BD!$B:$B,$A181,IGA_BD!$X:$X)/($AA181+SUMIF(IGA_BD!$B:$B,$A181,IGA_BD!$X:$X)),"")</f>
        <v/>
      </c>
      <c r="R181" s="189" t="str">
        <f>IFERROR(1-SUMIF(Grid_BD!$B:$B,$A181,Grid_BD!$V:$V)/($AA181+SUMIF(Grid_BD!$B:$B,$A181,Grid_BD!$V:$V)),"")</f>
        <v/>
      </c>
      <c r="S181" s="167"/>
      <c r="T181" s="184"/>
      <c r="U181" s="185"/>
      <c r="V181" s="167"/>
      <c r="W181" s="186" t="str">
        <f>IFERROR(Table13[[#This Row],[Mtr_Net_Exp (KWh)]]/(24*AR181*1000),"")</f>
        <v/>
      </c>
      <c r="X181" s="167" t="str">
        <f>IFERROR(_xlfn.XLOOKUP($A181,Input_Raw!$A:$A,Input_Raw!$CF:$CF),"")</f>
        <v/>
      </c>
      <c r="Y181" s="167" t="str">
        <f>IFERROR(_xlfn.XLOOKUP($A181,Input_Raw!$A:$A,Input_Raw!$CZ:$CZ),"")</f>
        <v/>
      </c>
      <c r="Z181" s="167" t="str">
        <f>IFERROR(_xlfn.XLOOKUP($A181,Input_Raw!$A:$A,Input_Raw!$DA:$DA),"")</f>
        <v/>
      </c>
      <c r="AA181" s="169" t="str">
        <f t="shared" si="13"/>
        <v/>
      </c>
      <c r="AB181" s="167" t="str">
        <f>IFERROR(_xlfn.XLOOKUP($A181,Input_Raw!$A:$A,Input_Raw!$DG:$DG),"")</f>
        <v/>
      </c>
      <c r="AC181" s="187">
        <f>IFERROR(_xlfn.XLOOKUP($D181,'Modelling New'!$D:$D,'Modelling New'!$J:$J),"")</f>
        <v>5.0333333333333332</v>
      </c>
      <c r="AD181" s="169">
        <f>IFERROR(_xlfn.XLOOKUP($D181,'Modelling New'!$D:$D,'Modelling New'!$T:$T)*1000,"")</f>
        <v>279529.73373197042</v>
      </c>
      <c r="AE181" s="186"/>
      <c r="AF181" s="186">
        <f>IFERROR(_xlfn.XLOOKUP($D181,'Modelling New'!$D:$D,'Modelling New'!$W:$W),"")</f>
        <v>0.14932143895938593</v>
      </c>
      <c r="AG181" s="186">
        <f>IFERROR(_xlfn.XLOOKUP($D181,'Modelling New'!$D:$D,'Modelling New'!$AE:$AE),"")</f>
        <v>0.96029999999999993</v>
      </c>
      <c r="AH181" s="186">
        <f>IFERROR(_xlfn.XLOOKUP($D181,'Modelling New'!$D:$D,'Modelling New'!$AF:$AF),"")</f>
        <v>0.995</v>
      </c>
      <c r="AI181" s="167" t="str">
        <f>IFERROR(_xlfn.XLOOKUP($A181,Input_Raw!$A:$A,Input_Raw!$DE:$DE),"")</f>
        <v/>
      </c>
      <c r="AJ181" s="167"/>
      <c r="AK181" s="167"/>
      <c r="AL181" s="167"/>
      <c r="AM181" s="167"/>
      <c r="AN181" s="188" t="str">
        <f>IFERROR(_xlfn.XLOOKUP($A181,Input_Raw!$A:$A,Input_Raw!$DB:$DB),"")</f>
        <v/>
      </c>
      <c r="AO181" s="186" t="str">
        <f>IFERROR((_xlfn.XLOOKUP($A181,'WTG Reactive Power'!$A:$A,'WTG Reactive Power'!$AR:$AR))/X181/1000,"")</f>
        <v/>
      </c>
      <c r="AP181" s="186">
        <f>IFERROR(_xlfn.XLOOKUP($D181,'Modelling New'!$D:$D,'Modelling New'!$AK:$AK),"")</f>
        <v>0.05</v>
      </c>
      <c r="AQ181" s="186">
        <f>IFERROR(_xlfn.XLOOKUP($D181,'Modelling New'!$D:$D,'Modelling New'!$AL:$AL),"")</f>
        <v>0.05</v>
      </c>
      <c r="AR181">
        <f>IFERROR(_xlfn.XLOOKUP($D181,'Modelling New'!$D:$D,'Modelling New'!$N:$N),"")</f>
        <v>78</v>
      </c>
    </row>
    <row r="182" spans="1:44">
      <c r="A182" s="180">
        <f t="shared" si="15"/>
        <v>45925</v>
      </c>
      <c r="B182" s="169">
        <f>YEAR(Table13[[#This Row],[Date]])+IF(MONTH(Table13[[#This Row],[Date]])&gt;=4,1,0)</f>
        <v>2026</v>
      </c>
      <c r="C182" s="167">
        <f>YEAR(Table13[[#This Row],[Date]])</f>
        <v>2025</v>
      </c>
      <c r="D182" s="181">
        <f>Table13[[#This Row],[Date]]-DAY(Table13[[#This Row],[Date]])+1</f>
        <v>45901</v>
      </c>
      <c r="E182" s="167">
        <f t="shared" si="12"/>
        <v>30</v>
      </c>
      <c r="F182" s="170"/>
      <c r="G182" s="171"/>
      <c r="H182" s="171"/>
      <c r="I182" s="171"/>
      <c r="J182" s="171"/>
      <c r="K182" s="182"/>
      <c r="L182" s="171"/>
      <c r="M182" s="171" t="str">
        <f>IFERROR(_xlfn.XLOOKUP($A182,Input_Raw!$A:$A,Input_Raw!CG:CG),"")</f>
        <v/>
      </c>
      <c r="N182" s="171" t="str">
        <f>IFERROR(_xlfn.XLOOKUP($A182,Input_Raw!$A:$A,Input_Raw!CH:CH),"")</f>
        <v/>
      </c>
      <c r="O182" s="183" t="str">
        <f t="shared" si="14"/>
        <v/>
      </c>
      <c r="P182" s="183" t="str">
        <f>IFERROR(1-SUMIF(WTG_BD!$B:$B,$A182,WTG_BD!$AB:$AB)/($AA182+SUMIF(WTG_BD!$B:$B,$A182,WTG_BD!$AB:$AB)),"")</f>
        <v/>
      </c>
      <c r="Q182" s="184" t="str">
        <f>IFERROR(1-SUMIF(IGA_BD!$B:$B,$A182,IGA_BD!$X:$X)/($AA182+SUMIF(IGA_BD!$B:$B,$A182,IGA_BD!$X:$X)),"")</f>
        <v/>
      </c>
      <c r="R182" s="189" t="str">
        <f>IFERROR(1-SUMIF(Grid_BD!$B:$B,$A182,Grid_BD!$V:$V)/($AA182+SUMIF(Grid_BD!$B:$B,$A182,Grid_BD!$V:$V)),"")</f>
        <v/>
      </c>
      <c r="S182" s="167"/>
      <c r="T182" s="184"/>
      <c r="U182" s="185"/>
      <c r="V182" s="167"/>
      <c r="W182" s="186" t="str">
        <f>IFERROR(Table13[[#This Row],[Mtr_Net_Exp (KWh)]]/(24*AR182*1000),"")</f>
        <v/>
      </c>
      <c r="X182" s="167" t="str">
        <f>IFERROR(_xlfn.XLOOKUP($A182,Input_Raw!$A:$A,Input_Raw!$CF:$CF),"")</f>
        <v/>
      </c>
      <c r="Y182" s="167" t="str">
        <f>IFERROR(_xlfn.XLOOKUP($A182,Input_Raw!$A:$A,Input_Raw!$CZ:$CZ),"")</f>
        <v/>
      </c>
      <c r="Z182" s="167" t="str">
        <f>IFERROR(_xlfn.XLOOKUP($A182,Input_Raw!$A:$A,Input_Raw!$DA:$DA),"")</f>
        <v/>
      </c>
      <c r="AA182" s="169" t="str">
        <f t="shared" si="13"/>
        <v/>
      </c>
      <c r="AB182" s="167" t="str">
        <f>IFERROR(_xlfn.XLOOKUP($A182,Input_Raw!$A:$A,Input_Raw!$DG:$DG),"")</f>
        <v/>
      </c>
      <c r="AC182" s="187">
        <f>IFERROR(_xlfn.XLOOKUP($D182,'Modelling New'!$D:$D,'Modelling New'!$J:$J),"")</f>
        <v>5.0333333333333332</v>
      </c>
      <c r="AD182" s="169">
        <f>IFERROR(_xlfn.XLOOKUP($D182,'Modelling New'!$D:$D,'Modelling New'!$T:$T)*1000,"")</f>
        <v>279529.73373197042</v>
      </c>
      <c r="AE182" s="186"/>
      <c r="AF182" s="186">
        <f>IFERROR(_xlfn.XLOOKUP($D182,'Modelling New'!$D:$D,'Modelling New'!$W:$W),"")</f>
        <v>0.14932143895938593</v>
      </c>
      <c r="AG182" s="186">
        <f>IFERROR(_xlfn.XLOOKUP($D182,'Modelling New'!$D:$D,'Modelling New'!$AE:$AE),"")</f>
        <v>0.96029999999999993</v>
      </c>
      <c r="AH182" s="186">
        <f>IFERROR(_xlfn.XLOOKUP($D182,'Modelling New'!$D:$D,'Modelling New'!$AF:$AF),"")</f>
        <v>0.995</v>
      </c>
      <c r="AI182" s="167" t="str">
        <f>IFERROR(_xlfn.XLOOKUP($A182,Input_Raw!$A:$A,Input_Raw!$DE:$DE),"")</f>
        <v/>
      </c>
      <c r="AJ182" s="167"/>
      <c r="AK182" s="167"/>
      <c r="AL182" s="167"/>
      <c r="AM182" s="167"/>
      <c r="AN182" s="188" t="str">
        <f>IFERROR(_xlfn.XLOOKUP($A182,Input_Raw!$A:$A,Input_Raw!$DB:$DB),"")</f>
        <v/>
      </c>
      <c r="AO182" s="186" t="str">
        <f>IFERROR((_xlfn.XLOOKUP($A182,'WTG Reactive Power'!$A:$A,'WTG Reactive Power'!$AR:$AR))/X182/1000,"")</f>
        <v/>
      </c>
      <c r="AP182" s="186">
        <f>IFERROR(_xlfn.XLOOKUP($D182,'Modelling New'!$D:$D,'Modelling New'!$AK:$AK),"")</f>
        <v>0.05</v>
      </c>
      <c r="AQ182" s="186">
        <f>IFERROR(_xlfn.XLOOKUP($D182,'Modelling New'!$D:$D,'Modelling New'!$AL:$AL),"")</f>
        <v>0.05</v>
      </c>
      <c r="AR182">
        <f>IFERROR(_xlfn.XLOOKUP($D182,'Modelling New'!$D:$D,'Modelling New'!$N:$N),"")</f>
        <v>78</v>
      </c>
    </row>
    <row r="183" spans="1:44">
      <c r="A183" s="180">
        <f t="shared" si="15"/>
        <v>45926</v>
      </c>
      <c r="B183" s="169">
        <f>YEAR(Table13[[#This Row],[Date]])+IF(MONTH(Table13[[#This Row],[Date]])&gt;=4,1,0)</f>
        <v>2026</v>
      </c>
      <c r="C183" s="167">
        <f>YEAR(Table13[[#This Row],[Date]])</f>
        <v>2025</v>
      </c>
      <c r="D183" s="181">
        <f>Table13[[#This Row],[Date]]-DAY(Table13[[#This Row],[Date]])+1</f>
        <v>45901</v>
      </c>
      <c r="E183" s="167">
        <f t="shared" si="12"/>
        <v>30</v>
      </c>
      <c r="F183" s="170"/>
      <c r="G183" s="171"/>
      <c r="H183" s="171"/>
      <c r="I183" s="171"/>
      <c r="J183" s="171"/>
      <c r="K183" s="182"/>
      <c r="L183" s="171"/>
      <c r="M183" s="171" t="str">
        <f>IFERROR(_xlfn.XLOOKUP($A183,Input_Raw!$A:$A,Input_Raw!CG:CG),"")</f>
        <v/>
      </c>
      <c r="N183" s="171" t="str">
        <f>IFERROR(_xlfn.XLOOKUP($A183,Input_Raw!$A:$A,Input_Raw!CH:CH),"")</f>
        <v/>
      </c>
      <c r="O183" s="183" t="str">
        <f t="shared" si="14"/>
        <v/>
      </c>
      <c r="P183" s="183" t="str">
        <f>IFERROR(1-SUMIF(WTG_BD!$B:$B,$A183,WTG_BD!$AB:$AB)/($AA183+SUMIF(WTG_BD!$B:$B,$A183,WTG_BD!$AB:$AB)),"")</f>
        <v/>
      </c>
      <c r="Q183" s="184" t="str">
        <f>IFERROR(1-SUMIF(IGA_BD!$B:$B,$A183,IGA_BD!$X:$X)/($AA183+SUMIF(IGA_BD!$B:$B,$A183,IGA_BD!$X:$X)),"")</f>
        <v/>
      </c>
      <c r="R183" s="189" t="str">
        <f>IFERROR(1-SUMIF(Grid_BD!$B:$B,$A183,Grid_BD!$V:$V)/($AA183+SUMIF(Grid_BD!$B:$B,$A183,Grid_BD!$V:$V)),"")</f>
        <v/>
      </c>
      <c r="S183" s="167"/>
      <c r="T183" s="184"/>
      <c r="U183" s="185"/>
      <c r="V183" s="167"/>
      <c r="W183" s="186" t="str">
        <f>IFERROR(Table13[[#This Row],[Mtr_Net_Exp (KWh)]]/(24*AR183*1000),"")</f>
        <v/>
      </c>
      <c r="X183" s="167" t="str">
        <f>IFERROR(_xlfn.XLOOKUP($A183,Input_Raw!$A:$A,Input_Raw!$CF:$CF),"")</f>
        <v/>
      </c>
      <c r="Y183" s="167" t="str">
        <f>IFERROR(_xlfn.XLOOKUP($A183,Input_Raw!$A:$A,Input_Raw!$CZ:$CZ),"")</f>
        <v/>
      </c>
      <c r="Z183" s="167" t="str">
        <f>IFERROR(_xlfn.XLOOKUP($A183,Input_Raw!$A:$A,Input_Raw!$DA:$DA),"")</f>
        <v/>
      </c>
      <c r="AA183" s="169" t="str">
        <f t="shared" si="13"/>
        <v/>
      </c>
      <c r="AB183" s="167" t="str">
        <f>IFERROR(_xlfn.XLOOKUP($A183,Input_Raw!$A:$A,Input_Raw!$DG:$DG),"")</f>
        <v/>
      </c>
      <c r="AC183" s="187">
        <f>IFERROR(_xlfn.XLOOKUP($D183,'Modelling New'!$D:$D,'Modelling New'!$J:$J),"")</f>
        <v>5.0333333333333332</v>
      </c>
      <c r="AD183" s="169">
        <f>IFERROR(_xlfn.XLOOKUP($D183,'Modelling New'!$D:$D,'Modelling New'!$T:$T)*1000,"")</f>
        <v>279529.73373197042</v>
      </c>
      <c r="AE183" s="186"/>
      <c r="AF183" s="186">
        <f>IFERROR(_xlfn.XLOOKUP($D183,'Modelling New'!$D:$D,'Modelling New'!$W:$W),"")</f>
        <v>0.14932143895938593</v>
      </c>
      <c r="AG183" s="186">
        <f>IFERROR(_xlfn.XLOOKUP($D183,'Modelling New'!$D:$D,'Modelling New'!$AE:$AE),"")</f>
        <v>0.96029999999999993</v>
      </c>
      <c r="AH183" s="186">
        <f>IFERROR(_xlfn.XLOOKUP($D183,'Modelling New'!$D:$D,'Modelling New'!$AF:$AF),"")</f>
        <v>0.995</v>
      </c>
      <c r="AI183" s="167" t="str">
        <f>IFERROR(_xlfn.XLOOKUP($A183,Input_Raw!$A:$A,Input_Raw!$DE:$DE),"")</f>
        <v/>
      </c>
      <c r="AJ183" s="167"/>
      <c r="AK183" s="167"/>
      <c r="AL183" s="167"/>
      <c r="AM183" s="167"/>
      <c r="AN183" s="188" t="str">
        <f>IFERROR(_xlfn.XLOOKUP($A183,Input_Raw!$A:$A,Input_Raw!$DB:$DB),"")</f>
        <v/>
      </c>
      <c r="AO183" s="186" t="str">
        <f>IFERROR((_xlfn.XLOOKUP($A183,'WTG Reactive Power'!$A:$A,'WTG Reactive Power'!$AR:$AR))/X183/1000,"")</f>
        <v/>
      </c>
      <c r="AP183" s="186">
        <f>IFERROR(_xlfn.XLOOKUP($D183,'Modelling New'!$D:$D,'Modelling New'!$AK:$AK),"")</f>
        <v>0.05</v>
      </c>
      <c r="AQ183" s="186">
        <f>IFERROR(_xlfn.XLOOKUP($D183,'Modelling New'!$D:$D,'Modelling New'!$AL:$AL),"")</f>
        <v>0.05</v>
      </c>
      <c r="AR183">
        <f>IFERROR(_xlfn.XLOOKUP($D183,'Modelling New'!$D:$D,'Modelling New'!$N:$N),"")</f>
        <v>78</v>
      </c>
    </row>
    <row r="184" spans="1:44">
      <c r="A184" s="180">
        <f t="shared" si="15"/>
        <v>45927</v>
      </c>
      <c r="B184" s="169">
        <f>YEAR(Table13[[#This Row],[Date]])+IF(MONTH(Table13[[#This Row],[Date]])&gt;=4,1,0)</f>
        <v>2026</v>
      </c>
      <c r="C184" s="167">
        <f>YEAR(Table13[[#This Row],[Date]])</f>
        <v>2025</v>
      </c>
      <c r="D184" s="181">
        <f>Table13[[#This Row],[Date]]-DAY(Table13[[#This Row],[Date]])+1</f>
        <v>45901</v>
      </c>
      <c r="E184" s="167">
        <f t="shared" si="12"/>
        <v>30</v>
      </c>
      <c r="F184" s="170"/>
      <c r="G184" s="171"/>
      <c r="H184" s="171"/>
      <c r="I184" s="171"/>
      <c r="J184" s="171"/>
      <c r="K184" s="182"/>
      <c r="L184" s="171"/>
      <c r="M184" s="171" t="str">
        <f>IFERROR(_xlfn.XLOOKUP($A184,Input_Raw!$A:$A,Input_Raw!CG:CG),"")</f>
        <v/>
      </c>
      <c r="N184" s="171" t="str">
        <f>IFERROR(_xlfn.XLOOKUP($A184,Input_Raw!$A:$A,Input_Raw!CH:CH),"")</f>
        <v/>
      </c>
      <c r="O184" s="183" t="str">
        <f t="shared" si="14"/>
        <v/>
      </c>
      <c r="P184" s="183" t="str">
        <f>IFERROR(1-SUMIF(WTG_BD!$B:$B,$A184,WTG_BD!$AB:$AB)/($AA184+SUMIF(WTG_BD!$B:$B,$A184,WTG_BD!$AB:$AB)),"")</f>
        <v/>
      </c>
      <c r="Q184" s="184" t="str">
        <f>IFERROR(1-SUMIF(IGA_BD!$B:$B,$A184,IGA_BD!$X:$X)/($AA184+SUMIF(IGA_BD!$B:$B,$A184,IGA_BD!$X:$X)),"")</f>
        <v/>
      </c>
      <c r="R184" s="189" t="str">
        <f>IFERROR(1-SUMIF(Grid_BD!$B:$B,$A184,Grid_BD!$V:$V)/($AA184+SUMIF(Grid_BD!$B:$B,$A184,Grid_BD!$V:$V)),"")</f>
        <v/>
      </c>
      <c r="S184" s="167"/>
      <c r="T184" s="184"/>
      <c r="U184" s="185"/>
      <c r="V184" s="167"/>
      <c r="W184" s="186" t="str">
        <f>IFERROR(Table13[[#This Row],[Mtr_Net_Exp (KWh)]]/(24*AR184*1000),"")</f>
        <v/>
      </c>
      <c r="X184" s="167" t="str">
        <f>IFERROR(_xlfn.XLOOKUP($A184,Input_Raw!$A:$A,Input_Raw!$CF:$CF),"")</f>
        <v/>
      </c>
      <c r="Y184" s="167" t="str">
        <f>IFERROR(_xlfn.XLOOKUP($A184,Input_Raw!$A:$A,Input_Raw!$CZ:$CZ),"")</f>
        <v/>
      </c>
      <c r="Z184" s="167" t="str">
        <f>IFERROR(_xlfn.XLOOKUP($A184,Input_Raw!$A:$A,Input_Raw!$DA:$DA),"")</f>
        <v/>
      </c>
      <c r="AA184" s="169" t="str">
        <f t="shared" si="13"/>
        <v/>
      </c>
      <c r="AB184" s="167" t="str">
        <f>IFERROR(_xlfn.XLOOKUP($A184,Input_Raw!$A:$A,Input_Raw!$DG:$DG),"")</f>
        <v/>
      </c>
      <c r="AC184" s="187">
        <f>IFERROR(_xlfn.XLOOKUP($D184,'Modelling New'!$D:$D,'Modelling New'!$J:$J),"")</f>
        <v>5.0333333333333332</v>
      </c>
      <c r="AD184" s="169">
        <f>IFERROR(_xlfn.XLOOKUP($D184,'Modelling New'!$D:$D,'Modelling New'!$T:$T)*1000,"")</f>
        <v>279529.73373197042</v>
      </c>
      <c r="AE184" s="186"/>
      <c r="AF184" s="186">
        <f>IFERROR(_xlfn.XLOOKUP($D184,'Modelling New'!$D:$D,'Modelling New'!$W:$W),"")</f>
        <v>0.14932143895938593</v>
      </c>
      <c r="AG184" s="186">
        <f>IFERROR(_xlfn.XLOOKUP($D184,'Modelling New'!$D:$D,'Modelling New'!$AE:$AE),"")</f>
        <v>0.96029999999999993</v>
      </c>
      <c r="AH184" s="186">
        <f>IFERROR(_xlfn.XLOOKUP($D184,'Modelling New'!$D:$D,'Modelling New'!$AF:$AF),"")</f>
        <v>0.995</v>
      </c>
      <c r="AI184" s="167" t="str">
        <f>IFERROR(_xlfn.XLOOKUP($A184,Input_Raw!$A:$A,Input_Raw!$DE:$DE),"")</f>
        <v/>
      </c>
      <c r="AJ184" s="167"/>
      <c r="AK184" s="167"/>
      <c r="AL184" s="167"/>
      <c r="AM184" s="167"/>
      <c r="AN184" s="188" t="str">
        <f>IFERROR(_xlfn.XLOOKUP($A184,Input_Raw!$A:$A,Input_Raw!$DB:$DB),"")</f>
        <v/>
      </c>
      <c r="AO184" s="186" t="str">
        <f>IFERROR((_xlfn.XLOOKUP($A184,'WTG Reactive Power'!$A:$A,'WTG Reactive Power'!$AR:$AR))/X184/1000,"")</f>
        <v/>
      </c>
      <c r="AP184" s="186">
        <f>IFERROR(_xlfn.XLOOKUP($D184,'Modelling New'!$D:$D,'Modelling New'!$AK:$AK),"")</f>
        <v>0.05</v>
      </c>
      <c r="AQ184" s="186">
        <f>IFERROR(_xlfn.XLOOKUP($D184,'Modelling New'!$D:$D,'Modelling New'!$AL:$AL),"")</f>
        <v>0.05</v>
      </c>
      <c r="AR184">
        <f>IFERROR(_xlfn.XLOOKUP($D184,'Modelling New'!$D:$D,'Modelling New'!$N:$N),"")</f>
        <v>78</v>
      </c>
    </row>
    <row r="185" spans="1:44">
      <c r="A185" s="180">
        <f t="shared" si="15"/>
        <v>45928</v>
      </c>
      <c r="B185" s="169">
        <f>YEAR(Table13[[#This Row],[Date]])+IF(MONTH(Table13[[#This Row],[Date]])&gt;=4,1,0)</f>
        <v>2026</v>
      </c>
      <c r="C185" s="167">
        <f>YEAR(Table13[[#This Row],[Date]])</f>
        <v>2025</v>
      </c>
      <c r="D185" s="181">
        <f>Table13[[#This Row],[Date]]-DAY(Table13[[#This Row],[Date]])+1</f>
        <v>45901</v>
      </c>
      <c r="E185" s="167">
        <f t="shared" si="12"/>
        <v>30</v>
      </c>
      <c r="F185" s="170"/>
      <c r="G185" s="171"/>
      <c r="H185" s="171"/>
      <c r="I185" s="171"/>
      <c r="J185" s="171"/>
      <c r="K185" s="182"/>
      <c r="L185" s="171"/>
      <c r="M185" s="171" t="str">
        <f>IFERROR(_xlfn.XLOOKUP($A185,Input_Raw!$A:$A,Input_Raw!CG:CG),"")</f>
        <v/>
      </c>
      <c r="N185" s="171" t="str">
        <f>IFERROR(_xlfn.XLOOKUP($A185,Input_Raw!$A:$A,Input_Raw!CH:CH),"")</f>
        <v/>
      </c>
      <c r="O185" s="183" t="str">
        <f t="shared" si="14"/>
        <v/>
      </c>
      <c r="P185" s="183" t="str">
        <f>IFERROR(1-SUMIF(WTG_BD!$B:$B,$A185,WTG_BD!$AB:$AB)/($AA185+SUMIF(WTG_BD!$B:$B,$A185,WTG_BD!$AB:$AB)),"")</f>
        <v/>
      </c>
      <c r="Q185" s="184" t="str">
        <f>IFERROR(1-SUMIF(IGA_BD!$B:$B,$A185,IGA_BD!$X:$X)/($AA185+SUMIF(IGA_BD!$B:$B,$A185,IGA_BD!$X:$X)),"")</f>
        <v/>
      </c>
      <c r="R185" s="189" t="str">
        <f>IFERROR(1-SUMIF(Grid_BD!$B:$B,$A185,Grid_BD!$V:$V)/($AA185+SUMIF(Grid_BD!$B:$B,$A185,Grid_BD!$V:$V)),"")</f>
        <v/>
      </c>
      <c r="S185" s="167"/>
      <c r="T185" s="184"/>
      <c r="U185" s="185"/>
      <c r="V185" s="167"/>
      <c r="W185" s="186" t="str">
        <f>IFERROR(Table13[[#This Row],[Mtr_Net_Exp (KWh)]]/(24*AR185*1000),"")</f>
        <v/>
      </c>
      <c r="X185" s="167" t="str">
        <f>IFERROR(_xlfn.XLOOKUP($A185,Input_Raw!$A:$A,Input_Raw!$CF:$CF),"")</f>
        <v/>
      </c>
      <c r="Y185" s="167" t="str">
        <f>IFERROR(_xlfn.XLOOKUP($A185,Input_Raw!$A:$A,Input_Raw!$CZ:$CZ),"")</f>
        <v/>
      </c>
      <c r="Z185" s="167" t="str">
        <f>IFERROR(_xlfn.XLOOKUP($A185,Input_Raw!$A:$A,Input_Raw!$DA:$DA),"")</f>
        <v/>
      </c>
      <c r="AA185" s="169" t="str">
        <f t="shared" si="13"/>
        <v/>
      </c>
      <c r="AB185" s="167" t="str">
        <f>IFERROR(_xlfn.XLOOKUP($A185,Input_Raw!$A:$A,Input_Raw!$DG:$DG),"")</f>
        <v/>
      </c>
      <c r="AC185" s="187">
        <f>IFERROR(_xlfn.XLOOKUP($D185,'Modelling New'!$D:$D,'Modelling New'!$J:$J),"")</f>
        <v>5.0333333333333332</v>
      </c>
      <c r="AD185" s="169">
        <f>IFERROR(_xlfn.XLOOKUP($D185,'Modelling New'!$D:$D,'Modelling New'!$T:$T)*1000,"")</f>
        <v>279529.73373197042</v>
      </c>
      <c r="AE185" s="186"/>
      <c r="AF185" s="186">
        <f>IFERROR(_xlfn.XLOOKUP($D185,'Modelling New'!$D:$D,'Modelling New'!$W:$W),"")</f>
        <v>0.14932143895938593</v>
      </c>
      <c r="AG185" s="186">
        <f>IFERROR(_xlfn.XLOOKUP($D185,'Modelling New'!$D:$D,'Modelling New'!$AE:$AE),"")</f>
        <v>0.96029999999999993</v>
      </c>
      <c r="AH185" s="186">
        <f>IFERROR(_xlfn.XLOOKUP($D185,'Modelling New'!$D:$D,'Modelling New'!$AF:$AF),"")</f>
        <v>0.995</v>
      </c>
      <c r="AI185" s="167" t="str">
        <f>IFERROR(_xlfn.XLOOKUP($A185,Input_Raw!$A:$A,Input_Raw!$DE:$DE),"")</f>
        <v/>
      </c>
      <c r="AJ185" s="167"/>
      <c r="AK185" s="167"/>
      <c r="AL185" s="167"/>
      <c r="AM185" s="167"/>
      <c r="AN185" s="188" t="str">
        <f>IFERROR(_xlfn.XLOOKUP($A185,Input_Raw!$A:$A,Input_Raw!$DB:$DB),"")</f>
        <v/>
      </c>
      <c r="AO185" s="186" t="str">
        <f>IFERROR((_xlfn.XLOOKUP($A185,'WTG Reactive Power'!$A:$A,'WTG Reactive Power'!$AR:$AR))/X185/1000,"")</f>
        <v/>
      </c>
      <c r="AP185" s="186">
        <f>IFERROR(_xlfn.XLOOKUP($D185,'Modelling New'!$D:$D,'Modelling New'!$AK:$AK),"")</f>
        <v>0.05</v>
      </c>
      <c r="AQ185" s="186">
        <f>IFERROR(_xlfn.XLOOKUP($D185,'Modelling New'!$D:$D,'Modelling New'!$AL:$AL),"")</f>
        <v>0.05</v>
      </c>
      <c r="AR185">
        <f>IFERROR(_xlfn.XLOOKUP($D185,'Modelling New'!$D:$D,'Modelling New'!$N:$N),"")</f>
        <v>78</v>
      </c>
    </row>
    <row r="186" spans="1:44">
      <c r="A186" s="180">
        <f t="shared" si="15"/>
        <v>45929</v>
      </c>
      <c r="B186" s="169">
        <f>YEAR(Table13[[#This Row],[Date]])+IF(MONTH(Table13[[#This Row],[Date]])&gt;=4,1,0)</f>
        <v>2026</v>
      </c>
      <c r="C186" s="167">
        <f>YEAR(Table13[[#This Row],[Date]])</f>
        <v>2025</v>
      </c>
      <c r="D186" s="181">
        <f>Table13[[#This Row],[Date]]-DAY(Table13[[#This Row],[Date]])+1</f>
        <v>45901</v>
      </c>
      <c r="E186" s="167">
        <f t="shared" si="12"/>
        <v>30</v>
      </c>
      <c r="F186" s="170"/>
      <c r="G186" s="171"/>
      <c r="H186" s="171"/>
      <c r="I186" s="171"/>
      <c r="J186" s="171"/>
      <c r="K186" s="182"/>
      <c r="L186" s="171"/>
      <c r="M186" s="171" t="str">
        <f>IFERROR(_xlfn.XLOOKUP($A186,Input_Raw!$A:$A,Input_Raw!CG:CG),"")</f>
        <v/>
      </c>
      <c r="N186" s="171" t="str">
        <f>IFERROR(_xlfn.XLOOKUP($A186,Input_Raw!$A:$A,Input_Raw!CH:CH),"")</f>
        <v/>
      </c>
      <c r="O186" s="183" t="str">
        <f t="shared" si="14"/>
        <v/>
      </c>
      <c r="P186" s="183" t="str">
        <f>IFERROR(1-SUMIF(WTG_BD!$B:$B,$A186,WTG_BD!$AB:$AB)/($AA186+SUMIF(WTG_BD!$B:$B,$A186,WTG_BD!$AB:$AB)),"")</f>
        <v/>
      </c>
      <c r="Q186" s="184" t="str">
        <f>IFERROR(1-SUMIF(IGA_BD!$B:$B,$A186,IGA_BD!$X:$X)/($AA186+SUMIF(IGA_BD!$B:$B,$A186,IGA_BD!$X:$X)),"")</f>
        <v/>
      </c>
      <c r="R186" s="189" t="str">
        <f>IFERROR(1-SUMIF(Grid_BD!$B:$B,$A186,Grid_BD!$V:$V)/($AA186+SUMIF(Grid_BD!$B:$B,$A186,Grid_BD!$V:$V)),"")</f>
        <v/>
      </c>
      <c r="S186" s="167"/>
      <c r="T186" s="184"/>
      <c r="U186" s="185"/>
      <c r="V186" s="167"/>
      <c r="W186" s="186" t="str">
        <f>IFERROR(Table13[[#This Row],[Mtr_Net_Exp (KWh)]]/(24*AR186*1000),"")</f>
        <v/>
      </c>
      <c r="X186" s="167" t="str">
        <f>IFERROR(_xlfn.XLOOKUP($A186,Input_Raw!$A:$A,Input_Raw!$CF:$CF),"")</f>
        <v/>
      </c>
      <c r="Y186" s="167" t="str">
        <f>IFERROR(_xlfn.XLOOKUP($A186,Input_Raw!$A:$A,Input_Raw!$CZ:$CZ),"")</f>
        <v/>
      </c>
      <c r="Z186" s="167" t="str">
        <f>IFERROR(_xlfn.XLOOKUP($A186,Input_Raw!$A:$A,Input_Raw!$DA:$DA),"")</f>
        <v/>
      </c>
      <c r="AA186" s="169" t="str">
        <f t="shared" si="13"/>
        <v/>
      </c>
      <c r="AB186" s="167" t="str">
        <f>IFERROR(_xlfn.XLOOKUP($A186,Input_Raw!$A:$A,Input_Raw!$DG:$DG),"")</f>
        <v/>
      </c>
      <c r="AC186" s="187">
        <f>IFERROR(_xlfn.XLOOKUP($D186,'Modelling New'!$D:$D,'Modelling New'!$J:$J),"")</f>
        <v>5.0333333333333332</v>
      </c>
      <c r="AD186" s="169">
        <f>IFERROR(_xlfn.XLOOKUP($D186,'Modelling New'!$D:$D,'Modelling New'!$T:$T)*1000,"")</f>
        <v>279529.73373197042</v>
      </c>
      <c r="AE186" s="186"/>
      <c r="AF186" s="186">
        <f>IFERROR(_xlfn.XLOOKUP($D186,'Modelling New'!$D:$D,'Modelling New'!$W:$W),"")</f>
        <v>0.14932143895938593</v>
      </c>
      <c r="AG186" s="186">
        <f>IFERROR(_xlfn.XLOOKUP($D186,'Modelling New'!$D:$D,'Modelling New'!$AE:$AE),"")</f>
        <v>0.96029999999999993</v>
      </c>
      <c r="AH186" s="186">
        <f>IFERROR(_xlfn.XLOOKUP($D186,'Modelling New'!$D:$D,'Modelling New'!$AF:$AF),"")</f>
        <v>0.995</v>
      </c>
      <c r="AI186" s="167" t="str">
        <f>IFERROR(_xlfn.XLOOKUP($A186,Input_Raw!$A:$A,Input_Raw!$DE:$DE),"")</f>
        <v/>
      </c>
      <c r="AJ186" s="167"/>
      <c r="AK186" s="167"/>
      <c r="AL186" s="167"/>
      <c r="AM186" s="167"/>
      <c r="AN186" s="188" t="str">
        <f>IFERROR(_xlfn.XLOOKUP($A186,Input_Raw!$A:$A,Input_Raw!$DB:$DB),"")</f>
        <v/>
      </c>
      <c r="AO186" s="186" t="str">
        <f>IFERROR((_xlfn.XLOOKUP($A186,'WTG Reactive Power'!$A:$A,'WTG Reactive Power'!$AR:$AR))/X186/1000,"")</f>
        <v/>
      </c>
      <c r="AP186" s="186">
        <f>IFERROR(_xlfn.XLOOKUP($D186,'Modelling New'!$D:$D,'Modelling New'!$AK:$AK),"")</f>
        <v>0.05</v>
      </c>
      <c r="AQ186" s="186">
        <f>IFERROR(_xlfn.XLOOKUP($D186,'Modelling New'!$D:$D,'Modelling New'!$AL:$AL),"")</f>
        <v>0.05</v>
      </c>
      <c r="AR186">
        <f>IFERROR(_xlfn.XLOOKUP($D186,'Modelling New'!$D:$D,'Modelling New'!$N:$N),"")</f>
        <v>78</v>
      </c>
    </row>
    <row r="187" spans="1:44">
      <c r="A187" s="180">
        <f t="shared" si="15"/>
        <v>45930</v>
      </c>
      <c r="B187" s="169">
        <f>YEAR(Table13[[#This Row],[Date]])+IF(MONTH(Table13[[#This Row],[Date]])&gt;=4,1,0)</f>
        <v>2026</v>
      </c>
      <c r="C187" s="167">
        <f>YEAR(Table13[[#This Row],[Date]])</f>
        <v>2025</v>
      </c>
      <c r="D187" s="181">
        <f>Table13[[#This Row],[Date]]-DAY(Table13[[#This Row],[Date]])+1</f>
        <v>45901</v>
      </c>
      <c r="E187" s="167">
        <f t="shared" si="12"/>
        <v>30</v>
      </c>
      <c r="F187" s="170"/>
      <c r="G187" s="171"/>
      <c r="H187" s="171"/>
      <c r="I187" s="171"/>
      <c r="J187" s="171"/>
      <c r="K187" s="182"/>
      <c r="L187" s="171"/>
      <c r="M187" s="171" t="str">
        <f>IFERROR(_xlfn.XLOOKUP($A187,Input_Raw!$A:$A,Input_Raw!CG:CG),"")</f>
        <v/>
      </c>
      <c r="N187" s="171" t="str">
        <f>IFERROR(_xlfn.XLOOKUP($A187,Input_Raw!$A:$A,Input_Raw!CH:CH),"")</f>
        <v/>
      </c>
      <c r="O187" s="183" t="str">
        <f t="shared" si="14"/>
        <v/>
      </c>
      <c r="P187" s="183" t="str">
        <f>IFERROR(1-SUMIF(WTG_BD!$B:$B,$A187,WTG_BD!$AB:$AB)/($AA187+SUMIF(WTG_BD!$B:$B,$A187,WTG_BD!$AB:$AB)),"")</f>
        <v/>
      </c>
      <c r="Q187" s="184" t="str">
        <f>IFERROR(1-SUMIF(IGA_BD!$B:$B,$A187,IGA_BD!$X:$X)/($AA187+SUMIF(IGA_BD!$B:$B,$A187,IGA_BD!$X:$X)),"")</f>
        <v/>
      </c>
      <c r="R187" s="189" t="str">
        <f>IFERROR(1-SUMIF(Grid_BD!$B:$B,$A187,Grid_BD!$V:$V)/($AA187+SUMIF(Grid_BD!$B:$B,$A187,Grid_BD!$V:$V)),"")</f>
        <v/>
      </c>
      <c r="S187" s="167"/>
      <c r="T187" s="184"/>
      <c r="U187" s="185"/>
      <c r="V187" s="167"/>
      <c r="W187" s="186" t="str">
        <f>IFERROR(Table13[[#This Row],[Mtr_Net_Exp (KWh)]]/(24*AR187*1000),"")</f>
        <v/>
      </c>
      <c r="X187" s="167" t="str">
        <f>IFERROR(_xlfn.XLOOKUP($A187,Input_Raw!$A:$A,Input_Raw!$CF:$CF),"")</f>
        <v/>
      </c>
      <c r="Y187" s="167" t="str">
        <f>IFERROR(_xlfn.XLOOKUP($A187,Input_Raw!$A:$A,Input_Raw!$CZ:$CZ),"")</f>
        <v/>
      </c>
      <c r="Z187" s="167" t="str">
        <f>IFERROR(_xlfn.XLOOKUP($A187,Input_Raw!$A:$A,Input_Raw!$DA:$DA),"")</f>
        <v/>
      </c>
      <c r="AA187" s="169" t="str">
        <f t="shared" si="13"/>
        <v/>
      </c>
      <c r="AB187" s="167" t="str">
        <f>IFERROR(_xlfn.XLOOKUP($A187,Input_Raw!$A:$A,Input_Raw!$DG:$DG),"")</f>
        <v/>
      </c>
      <c r="AC187" s="187">
        <f>IFERROR(_xlfn.XLOOKUP($D187,'Modelling New'!$D:$D,'Modelling New'!$J:$J),"")</f>
        <v>5.0333333333333332</v>
      </c>
      <c r="AD187" s="169">
        <f>IFERROR(_xlfn.XLOOKUP($D187,'Modelling New'!$D:$D,'Modelling New'!$T:$T)*1000,"")</f>
        <v>279529.73373197042</v>
      </c>
      <c r="AE187" s="186"/>
      <c r="AF187" s="186">
        <f>IFERROR(_xlfn.XLOOKUP($D187,'Modelling New'!$D:$D,'Modelling New'!$W:$W),"")</f>
        <v>0.14932143895938593</v>
      </c>
      <c r="AG187" s="186">
        <f>IFERROR(_xlfn.XLOOKUP($D187,'Modelling New'!$D:$D,'Modelling New'!$AE:$AE),"")</f>
        <v>0.96029999999999993</v>
      </c>
      <c r="AH187" s="186">
        <f>IFERROR(_xlfn.XLOOKUP($D187,'Modelling New'!$D:$D,'Modelling New'!$AF:$AF),"")</f>
        <v>0.995</v>
      </c>
      <c r="AI187" s="167" t="str">
        <f>IFERROR(_xlfn.XLOOKUP($A187,Input_Raw!$A:$A,Input_Raw!$DE:$DE),"")</f>
        <v/>
      </c>
      <c r="AJ187" s="167"/>
      <c r="AK187" s="167"/>
      <c r="AL187" s="167"/>
      <c r="AM187" s="167"/>
      <c r="AN187" s="188" t="str">
        <f>IFERROR(_xlfn.XLOOKUP($A187,Input_Raw!$A:$A,Input_Raw!$DB:$DB),"")</f>
        <v/>
      </c>
      <c r="AO187" s="186" t="str">
        <f>IFERROR((_xlfn.XLOOKUP($A187,'WTG Reactive Power'!$A:$A,'WTG Reactive Power'!$AR:$AR))/X187/1000,"")</f>
        <v/>
      </c>
      <c r="AP187" s="186">
        <f>IFERROR(_xlfn.XLOOKUP($D187,'Modelling New'!$D:$D,'Modelling New'!$AK:$AK),"")</f>
        <v>0.05</v>
      </c>
      <c r="AQ187" s="186">
        <f>IFERROR(_xlfn.XLOOKUP($D187,'Modelling New'!$D:$D,'Modelling New'!$AL:$AL),"")</f>
        <v>0.05</v>
      </c>
      <c r="AR187">
        <f>IFERROR(_xlfn.XLOOKUP($D187,'Modelling New'!$D:$D,'Modelling New'!$N:$N),"")</f>
        <v>78</v>
      </c>
    </row>
    <row r="188" spans="1:44">
      <c r="A188" s="180">
        <f t="shared" si="15"/>
        <v>45931</v>
      </c>
      <c r="B188" s="169">
        <f>YEAR(Table13[[#This Row],[Date]])+IF(MONTH(Table13[[#This Row],[Date]])&gt;=4,1,0)</f>
        <v>2026</v>
      </c>
      <c r="C188" s="167">
        <f>YEAR(Table13[[#This Row],[Date]])</f>
        <v>2025</v>
      </c>
      <c r="D188" s="181">
        <f>Table13[[#This Row],[Date]]-DAY(Table13[[#This Row],[Date]])+1</f>
        <v>45931</v>
      </c>
      <c r="E188" s="167">
        <f t="shared" si="12"/>
        <v>31</v>
      </c>
      <c r="F188" s="170"/>
      <c r="G188" s="171"/>
      <c r="H188" s="171"/>
      <c r="I188" s="171"/>
      <c r="J188" s="171"/>
      <c r="K188" s="182"/>
      <c r="L188" s="171"/>
      <c r="M188" s="171" t="str">
        <f>IFERROR(_xlfn.XLOOKUP($A188,Input_Raw!$A:$A,Input_Raw!CG:CG),"")</f>
        <v/>
      </c>
      <c r="N188" s="171" t="str">
        <f>IFERROR(_xlfn.XLOOKUP($A188,Input_Raw!$A:$A,Input_Raw!CH:CH),"")</f>
        <v/>
      </c>
      <c r="O188" s="183" t="str">
        <f t="shared" si="14"/>
        <v/>
      </c>
      <c r="P188" s="183" t="str">
        <f>IFERROR(1-SUMIF(WTG_BD!$B:$B,$A188,WTG_BD!$AB:$AB)/($AA188+SUMIF(WTG_BD!$B:$B,$A188,WTG_BD!$AB:$AB)),"")</f>
        <v/>
      </c>
      <c r="Q188" s="184" t="str">
        <f>IFERROR(1-SUMIF(IGA_BD!$B:$B,$A188,IGA_BD!$X:$X)/($AA188+SUMIF(IGA_BD!$B:$B,$A188,IGA_BD!$X:$X)),"")</f>
        <v/>
      </c>
      <c r="R188" s="189" t="str">
        <f>IFERROR(1-SUMIF(Grid_BD!$B:$B,$A188,Grid_BD!$V:$V)/($AA188+SUMIF(Grid_BD!$B:$B,$A188,Grid_BD!$V:$V)),"")</f>
        <v/>
      </c>
      <c r="S188" s="167"/>
      <c r="T188" s="184"/>
      <c r="U188" s="185"/>
      <c r="V188" s="167"/>
      <c r="W188" s="186" t="str">
        <f>IFERROR(Table13[[#This Row],[Mtr_Net_Exp (KWh)]]/(24*AR188*1000),"")</f>
        <v/>
      </c>
      <c r="X188" s="167" t="str">
        <f>IFERROR(_xlfn.XLOOKUP($A188,Input_Raw!$A:$A,Input_Raw!$CF:$CF),"")</f>
        <v/>
      </c>
      <c r="Y188" s="167" t="str">
        <f>IFERROR(_xlfn.XLOOKUP($A188,Input_Raw!$A:$A,Input_Raw!$CZ:$CZ),"")</f>
        <v/>
      </c>
      <c r="Z188" s="167" t="str">
        <f>IFERROR(_xlfn.XLOOKUP($A188,Input_Raw!$A:$A,Input_Raw!$DA:$DA),"")</f>
        <v/>
      </c>
      <c r="AA188" s="169" t="str">
        <f t="shared" si="13"/>
        <v/>
      </c>
      <c r="AB188" s="167" t="str">
        <f>IFERROR(_xlfn.XLOOKUP($A188,Input_Raw!$A:$A,Input_Raw!$DG:$DG),"")</f>
        <v/>
      </c>
      <c r="AC188" s="187">
        <f>IFERROR(_xlfn.XLOOKUP($D188,'Modelling New'!$D:$D,'Modelling New'!$J:$J),"")</f>
        <v>3.9666666666666668</v>
      </c>
      <c r="AD188" s="169">
        <f>IFERROR(_xlfn.XLOOKUP($D188,'Modelling New'!$D:$D,'Modelling New'!$T:$T)*1000,"")</f>
        <v>164597.86033847061</v>
      </c>
      <c r="AE188" s="186"/>
      <c r="AF188" s="186">
        <f>IFERROR(_xlfn.XLOOKUP($D188,'Modelling New'!$D:$D,'Modelling New'!$W:$W),"")</f>
        <v>8.792620744576421E-2</v>
      </c>
      <c r="AG188" s="186">
        <f>IFERROR(_xlfn.XLOOKUP($D188,'Modelling New'!$D:$D,'Modelling New'!$AE:$AE),"")</f>
        <v>0.96029999999999993</v>
      </c>
      <c r="AH188" s="186">
        <f>IFERROR(_xlfn.XLOOKUP($D188,'Modelling New'!$D:$D,'Modelling New'!$AF:$AF),"")</f>
        <v>0.995</v>
      </c>
      <c r="AI188" s="167" t="str">
        <f>IFERROR(_xlfn.XLOOKUP($A188,Input_Raw!$A:$A,Input_Raw!$DE:$DE),"")</f>
        <v/>
      </c>
      <c r="AJ188" s="167"/>
      <c r="AK188" s="167"/>
      <c r="AL188" s="167"/>
      <c r="AM188" s="167"/>
      <c r="AN188" s="188" t="str">
        <f>IFERROR(_xlfn.XLOOKUP($A188,Input_Raw!$A:$A,Input_Raw!$DB:$DB),"")</f>
        <v/>
      </c>
      <c r="AO188" s="186" t="str">
        <f>IFERROR((_xlfn.XLOOKUP($A188,'WTG Reactive Power'!$A:$A,'WTG Reactive Power'!$AR:$AR))/X188/1000,"")</f>
        <v/>
      </c>
      <c r="AP188" s="186">
        <f>IFERROR(_xlfn.XLOOKUP($D188,'Modelling New'!$D:$D,'Modelling New'!$AK:$AK),"")</f>
        <v>0.05</v>
      </c>
      <c r="AQ188" s="186">
        <f>IFERROR(_xlfn.XLOOKUP($D188,'Modelling New'!$D:$D,'Modelling New'!$AL:$AL),"")</f>
        <v>0.05</v>
      </c>
      <c r="AR188">
        <f>IFERROR(_xlfn.XLOOKUP($D188,'Modelling New'!$D:$D,'Modelling New'!$N:$N),"")</f>
        <v>78</v>
      </c>
    </row>
    <row r="189" spans="1:44">
      <c r="A189" s="180">
        <f t="shared" si="15"/>
        <v>45932</v>
      </c>
      <c r="B189" s="169">
        <f>YEAR(Table13[[#This Row],[Date]])+IF(MONTH(Table13[[#This Row],[Date]])&gt;=4,1,0)</f>
        <v>2026</v>
      </c>
      <c r="C189" s="167">
        <f>YEAR(Table13[[#This Row],[Date]])</f>
        <v>2025</v>
      </c>
      <c r="D189" s="181">
        <f>Table13[[#This Row],[Date]]-DAY(Table13[[#This Row],[Date]])+1</f>
        <v>45931</v>
      </c>
      <c r="E189" s="167">
        <f t="shared" si="12"/>
        <v>31</v>
      </c>
      <c r="F189" s="170"/>
      <c r="G189" s="171"/>
      <c r="H189" s="171"/>
      <c r="I189" s="171"/>
      <c r="J189" s="171"/>
      <c r="K189" s="182"/>
      <c r="L189" s="171"/>
      <c r="M189" s="171" t="str">
        <f>IFERROR(_xlfn.XLOOKUP($A189,Input_Raw!$A:$A,Input_Raw!CG:CG),"")</f>
        <v/>
      </c>
      <c r="N189" s="171" t="str">
        <f>IFERROR(_xlfn.XLOOKUP($A189,Input_Raw!$A:$A,Input_Raw!CH:CH),"")</f>
        <v/>
      </c>
      <c r="O189" s="183" t="str">
        <f t="shared" si="14"/>
        <v/>
      </c>
      <c r="P189" s="183" t="str">
        <f>IFERROR(1-SUMIF(WTG_BD!$B:$B,$A189,WTG_BD!$AB:$AB)/($AA189+SUMIF(WTG_BD!$B:$B,$A189,WTG_BD!$AB:$AB)),"")</f>
        <v/>
      </c>
      <c r="Q189" s="184" t="str">
        <f>IFERROR(1-SUMIF(IGA_BD!$B:$B,$A189,IGA_BD!$X:$X)/($AA189+SUMIF(IGA_BD!$B:$B,$A189,IGA_BD!$X:$X)),"")</f>
        <v/>
      </c>
      <c r="R189" s="189" t="str">
        <f>IFERROR(1-SUMIF(Grid_BD!$B:$B,$A189,Grid_BD!$V:$V)/($AA189+SUMIF(Grid_BD!$B:$B,$A189,Grid_BD!$V:$V)),"")</f>
        <v/>
      </c>
      <c r="S189" s="167"/>
      <c r="T189" s="184"/>
      <c r="U189" s="185"/>
      <c r="V189" s="167"/>
      <c r="W189" s="186" t="str">
        <f>IFERROR(Table13[[#This Row],[Mtr_Net_Exp (KWh)]]/(24*AR189*1000),"")</f>
        <v/>
      </c>
      <c r="X189" s="167" t="str">
        <f>IFERROR(_xlfn.XLOOKUP($A189,Input_Raw!$A:$A,Input_Raw!$CF:$CF),"")</f>
        <v/>
      </c>
      <c r="Y189" s="167" t="str">
        <f>IFERROR(_xlfn.XLOOKUP($A189,Input_Raw!$A:$A,Input_Raw!$CZ:$CZ),"")</f>
        <v/>
      </c>
      <c r="Z189" s="167" t="str">
        <f>IFERROR(_xlfn.XLOOKUP($A189,Input_Raw!$A:$A,Input_Raw!$DA:$DA),"")</f>
        <v/>
      </c>
      <c r="AA189" s="169" t="str">
        <f t="shared" si="13"/>
        <v/>
      </c>
      <c r="AB189" s="167" t="str">
        <f>IFERROR(_xlfn.XLOOKUP($A189,Input_Raw!$A:$A,Input_Raw!$DG:$DG),"")</f>
        <v/>
      </c>
      <c r="AC189" s="187">
        <f>IFERROR(_xlfn.XLOOKUP($D189,'Modelling New'!$D:$D,'Modelling New'!$J:$J),"")</f>
        <v>3.9666666666666668</v>
      </c>
      <c r="AD189" s="169">
        <f>IFERROR(_xlfn.XLOOKUP($D189,'Modelling New'!$D:$D,'Modelling New'!$T:$T)*1000,"")</f>
        <v>164597.86033847061</v>
      </c>
      <c r="AE189" s="186"/>
      <c r="AF189" s="186">
        <f>IFERROR(_xlfn.XLOOKUP($D189,'Modelling New'!$D:$D,'Modelling New'!$W:$W),"")</f>
        <v>8.792620744576421E-2</v>
      </c>
      <c r="AG189" s="186">
        <f>IFERROR(_xlfn.XLOOKUP($D189,'Modelling New'!$D:$D,'Modelling New'!$AE:$AE),"")</f>
        <v>0.96029999999999993</v>
      </c>
      <c r="AH189" s="186">
        <f>IFERROR(_xlfn.XLOOKUP($D189,'Modelling New'!$D:$D,'Modelling New'!$AF:$AF),"")</f>
        <v>0.995</v>
      </c>
      <c r="AI189" s="167" t="str">
        <f>IFERROR(_xlfn.XLOOKUP($A189,Input_Raw!$A:$A,Input_Raw!$DE:$DE),"")</f>
        <v/>
      </c>
      <c r="AJ189" s="167"/>
      <c r="AK189" s="167"/>
      <c r="AL189" s="167"/>
      <c r="AM189" s="167"/>
      <c r="AN189" s="188" t="str">
        <f>IFERROR(_xlfn.XLOOKUP($A189,Input_Raw!$A:$A,Input_Raw!$DB:$DB),"")</f>
        <v/>
      </c>
      <c r="AO189" s="186" t="str">
        <f>IFERROR((_xlfn.XLOOKUP($A189,'WTG Reactive Power'!$A:$A,'WTG Reactive Power'!$AR:$AR))/X189/1000,"")</f>
        <v/>
      </c>
      <c r="AP189" s="186">
        <f>IFERROR(_xlfn.XLOOKUP($D189,'Modelling New'!$D:$D,'Modelling New'!$AK:$AK),"")</f>
        <v>0.05</v>
      </c>
      <c r="AQ189" s="186">
        <f>IFERROR(_xlfn.XLOOKUP($D189,'Modelling New'!$D:$D,'Modelling New'!$AL:$AL),"")</f>
        <v>0.05</v>
      </c>
      <c r="AR189">
        <f>IFERROR(_xlfn.XLOOKUP($D189,'Modelling New'!$D:$D,'Modelling New'!$N:$N),"")</f>
        <v>78</v>
      </c>
    </row>
    <row r="190" spans="1:44">
      <c r="A190" s="180">
        <f t="shared" si="15"/>
        <v>45933</v>
      </c>
      <c r="B190" s="169">
        <f>YEAR(Table13[[#This Row],[Date]])+IF(MONTH(Table13[[#This Row],[Date]])&gt;=4,1,0)</f>
        <v>2026</v>
      </c>
      <c r="C190" s="167">
        <f>YEAR(Table13[[#This Row],[Date]])</f>
        <v>2025</v>
      </c>
      <c r="D190" s="181">
        <f>Table13[[#This Row],[Date]]-DAY(Table13[[#This Row],[Date]])+1</f>
        <v>45931</v>
      </c>
      <c r="E190" s="167">
        <f t="shared" si="12"/>
        <v>31</v>
      </c>
      <c r="F190" s="170"/>
      <c r="G190" s="171"/>
      <c r="H190" s="171"/>
      <c r="I190" s="171"/>
      <c r="J190" s="171"/>
      <c r="K190" s="182"/>
      <c r="L190" s="171"/>
      <c r="M190" s="171" t="str">
        <f>IFERROR(_xlfn.XLOOKUP($A190,Input_Raw!$A:$A,Input_Raw!CG:CG),"")</f>
        <v/>
      </c>
      <c r="N190" s="171" t="str">
        <f>IFERROR(_xlfn.XLOOKUP($A190,Input_Raw!$A:$A,Input_Raw!CH:CH),"")</f>
        <v/>
      </c>
      <c r="O190" s="183" t="str">
        <f t="shared" si="14"/>
        <v/>
      </c>
      <c r="P190" s="183" t="str">
        <f>IFERROR(1-SUMIF(WTG_BD!$B:$B,$A190,WTG_BD!$AB:$AB)/($AA190+SUMIF(WTG_BD!$B:$B,$A190,WTG_BD!$AB:$AB)),"")</f>
        <v/>
      </c>
      <c r="Q190" s="184" t="str">
        <f>IFERROR(1-SUMIF(IGA_BD!$B:$B,$A190,IGA_BD!$X:$X)/($AA190+SUMIF(IGA_BD!$B:$B,$A190,IGA_BD!$X:$X)),"")</f>
        <v/>
      </c>
      <c r="R190" s="189" t="str">
        <f>IFERROR(1-SUMIF(Grid_BD!$B:$B,$A190,Grid_BD!$V:$V)/($AA190+SUMIF(Grid_BD!$B:$B,$A190,Grid_BD!$V:$V)),"")</f>
        <v/>
      </c>
      <c r="S190" s="167"/>
      <c r="T190" s="184"/>
      <c r="U190" s="185"/>
      <c r="V190" s="167"/>
      <c r="W190" s="186" t="str">
        <f>IFERROR(Table13[[#This Row],[Mtr_Net_Exp (KWh)]]/(24*AR190*1000),"")</f>
        <v/>
      </c>
      <c r="X190" s="167" t="str">
        <f>IFERROR(_xlfn.XLOOKUP($A190,Input_Raw!$A:$A,Input_Raw!$CF:$CF),"")</f>
        <v/>
      </c>
      <c r="Y190" s="167" t="str">
        <f>IFERROR(_xlfn.XLOOKUP($A190,Input_Raw!$A:$A,Input_Raw!$CZ:$CZ),"")</f>
        <v/>
      </c>
      <c r="Z190" s="167" t="str">
        <f>IFERROR(_xlfn.XLOOKUP($A190,Input_Raw!$A:$A,Input_Raw!$DA:$DA),"")</f>
        <v/>
      </c>
      <c r="AA190" s="169" t="str">
        <f t="shared" si="13"/>
        <v/>
      </c>
      <c r="AB190" s="167" t="str">
        <f>IFERROR(_xlfn.XLOOKUP($A190,Input_Raw!$A:$A,Input_Raw!$DG:$DG),"")</f>
        <v/>
      </c>
      <c r="AC190" s="187">
        <f>IFERROR(_xlfn.XLOOKUP($D190,'Modelling New'!$D:$D,'Modelling New'!$J:$J),"")</f>
        <v>3.9666666666666668</v>
      </c>
      <c r="AD190" s="169">
        <f>IFERROR(_xlfn.XLOOKUP($D190,'Modelling New'!$D:$D,'Modelling New'!$T:$T)*1000,"")</f>
        <v>164597.86033847061</v>
      </c>
      <c r="AE190" s="186"/>
      <c r="AF190" s="186">
        <f>IFERROR(_xlfn.XLOOKUP($D190,'Modelling New'!$D:$D,'Modelling New'!$W:$W),"")</f>
        <v>8.792620744576421E-2</v>
      </c>
      <c r="AG190" s="186">
        <f>IFERROR(_xlfn.XLOOKUP($D190,'Modelling New'!$D:$D,'Modelling New'!$AE:$AE),"")</f>
        <v>0.96029999999999993</v>
      </c>
      <c r="AH190" s="186">
        <f>IFERROR(_xlfn.XLOOKUP($D190,'Modelling New'!$D:$D,'Modelling New'!$AF:$AF),"")</f>
        <v>0.995</v>
      </c>
      <c r="AI190" s="167" t="str">
        <f>IFERROR(_xlfn.XLOOKUP($A190,Input_Raw!$A:$A,Input_Raw!$DE:$DE),"")</f>
        <v/>
      </c>
      <c r="AJ190" s="167"/>
      <c r="AK190" s="167"/>
      <c r="AL190" s="167"/>
      <c r="AM190" s="167"/>
      <c r="AN190" s="188" t="str">
        <f>IFERROR(_xlfn.XLOOKUP($A190,Input_Raw!$A:$A,Input_Raw!$DB:$DB),"")</f>
        <v/>
      </c>
      <c r="AO190" s="186" t="str">
        <f>IFERROR((_xlfn.XLOOKUP($A190,'WTG Reactive Power'!$A:$A,'WTG Reactive Power'!$AR:$AR))/X190/1000,"")</f>
        <v/>
      </c>
      <c r="AP190" s="186">
        <f>IFERROR(_xlfn.XLOOKUP($D190,'Modelling New'!$D:$D,'Modelling New'!$AK:$AK),"")</f>
        <v>0.05</v>
      </c>
      <c r="AQ190" s="186">
        <f>IFERROR(_xlfn.XLOOKUP($D190,'Modelling New'!$D:$D,'Modelling New'!$AL:$AL),"")</f>
        <v>0.05</v>
      </c>
      <c r="AR190">
        <f>IFERROR(_xlfn.XLOOKUP($D190,'Modelling New'!$D:$D,'Modelling New'!$N:$N),"")</f>
        <v>78</v>
      </c>
    </row>
    <row r="191" spans="1:44">
      <c r="A191" s="180">
        <f t="shared" si="15"/>
        <v>45934</v>
      </c>
      <c r="B191" s="169">
        <f>YEAR(Table13[[#This Row],[Date]])+IF(MONTH(Table13[[#This Row],[Date]])&gt;=4,1,0)</f>
        <v>2026</v>
      </c>
      <c r="C191" s="167">
        <f>YEAR(Table13[[#This Row],[Date]])</f>
        <v>2025</v>
      </c>
      <c r="D191" s="181">
        <f>Table13[[#This Row],[Date]]-DAY(Table13[[#This Row],[Date]])+1</f>
        <v>45931</v>
      </c>
      <c r="E191" s="167">
        <f t="shared" ref="E191:E222" si="16">DAY(EOMONTH(A191,0))</f>
        <v>31</v>
      </c>
      <c r="F191" s="170"/>
      <c r="G191" s="171"/>
      <c r="H191" s="171"/>
      <c r="I191" s="171"/>
      <c r="J191" s="171"/>
      <c r="K191" s="182"/>
      <c r="L191" s="171"/>
      <c r="M191" s="171" t="str">
        <f>IFERROR(_xlfn.XLOOKUP($A191,Input_Raw!$A:$A,Input_Raw!CG:CG),"")</f>
        <v/>
      </c>
      <c r="N191" s="171" t="str">
        <f>IFERROR(_xlfn.XLOOKUP($A191,Input_Raw!$A:$A,Input_Raw!CH:CH),"")</f>
        <v/>
      </c>
      <c r="O191" s="183" t="str">
        <f t="shared" ref="O191:O222" si="17">IFERROR(P191*Q191,"")</f>
        <v/>
      </c>
      <c r="P191" s="183" t="str">
        <f>IFERROR(1-SUMIF(WTG_BD!$B:$B,$A191,WTG_BD!$AB:$AB)/($AA191+SUMIF(WTG_BD!$B:$B,$A191,WTG_BD!$AB:$AB)),"")</f>
        <v/>
      </c>
      <c r="Q191" s="184" t="str">
        <f>IFERROR(1-SUMIF(IGA_BD!$B:$B,$A191,IGA_BD!$X:$X)/($AA191+SUMIF(IGA_BD!$B:$B,$A191,IGA_BD!$X:$X)),"")</f>
        <v/>
      </c>
      <c r="R191" s="189" t="str">
        <f>IFERROR(1-SUMIF(Grid_BD!$B:$B,$A191,Grid_BD!$V:$V)/($AA191+SUMIF(Grid_BD!$B:$B,$A191,Grid_BD!$V:$V)),"")</f>
        <v/>
      </c>
      <c r="S191" s="167"/>
      <c r="T191" s="184"/>
      <c r="U191" s="185"/>
      <c r="V191" s="167"/>
      <c r="W191" s="186" t="str">
        <f>IFERROR(Table13[[#This Row],[Mtr_Net_Exp (KWh)]]/(24*AR191*1000),"")</f>
        <v/>
      </c>
      <c r="X191" s="167" t="str">
        <f>IFERROR(_xlfn.XLOOKUP($A191,Input_Raw!$A:$A,Input_Raw!$CF:$CF),"")</f>
        <v/>
      </c>
      <c r="Y191" s="167" t="str">
        <f>IFERROR(_xlfn.XLOOKUP($A191,Input_Raw!$A:$A,Input_Raw!$CZ:$CZ),"")</f>
        <v/>
      </c>
      <c r="Z191" s="167" t="str">
        <f>IFERROR(_xlfn.XLOOKUP($A191,Input_Raw!$A:$A,Input_Raw!$DA:$DA),"")</f>
        <v/>
      </c>
      <c r="AA191" s="169" t="str">
        <f t="shared" ref="AA191:AA222" si="18">IFERROR(Y191-Z191,"")</f>
        <v/>
      </c>
      <c r="AB191" s="167" t="str">
        <f>IFERROR(_xlfn.XLOOKUP($A191,Input_Raw!$A:$A,Input_Raw!$DG:$DG),"")</f>
        <v/>
      </c>
      <c r="AC191" s="187">
        <f>IFERROR(_xlfn.XLOOKUP($D191,'Modelling New'!$D:$D,'Modelling New'!$J:$J),"")</f>
        <v>3.9666666666666668</v>
      </c>
      <c r="AD191" s="169">
        <f>IFERROR(_xlfn.XLOOKUP($D191,'Modelling New'!$D:$D,'Modelling New'!$T:$T)*1000,"")</f>
        <v>164597.86033847061</v>
      </c>
      <c r="AE191" s="186"/>
      <c r="AF191" s="186">
        <f>IFERROR(_xlfn.XLOOKUP($D191,'Modelling New'!$D:$D,'Modelling New'!$W:$W),"")</f>
        <v>8.792620744576421E-2</v>
      </c>
      <c r="AG191" s="186">
        <f>IFERROR(_xlfn.XLOOKUP($D191,'Modelling New'!$D:$D,'Modelling New'!$AE:$AE),"")</f>
        <v>0.96029999999999993</v>
      </c>
      <c r="AH191" s="186">
        <f>IFERROR(_xlfn.XLOOKUP($D191,'Modelling New'!$D:$D,'Modelling New'!$AF:$AF),"")</f>
        <v>0.995</v>
      </c>
      <c r="AI191" s="167" t="str">
        <f>IFERROR(_xlfn.XLOOKUP($A191,Input_Raw!$A:$A,Input_Raw!$DE:$DE),"")</f>
        <v/>
      </c>
      <c r="AJ191" s="167"/>
      <c r="AK191" s="167"/>
      <c r="AL191" s="167"/>
      <c r="AM191" s="167"/>
      <c r="AN191" s="188" t="str">
        <f>IFERROR(_xlfn.XLOOKUP($A191,Input_Raw!$A:$A,Input_Raw!$DB:$DB),"")</f>
        <v/>
      </c>
      <c r="AO191" s="186" t="str">
        <f>IFERROR((_xlfn.XLOOKUP($A191,'WTG Reactive Power'!$A:$A,'WTG Reactive Power'!$AR:$AR))/X191/1000,"")</f>
        <v/>
      </c>
      <c r="AP191" s="186">
        <f>IFERROR(_xlfn.XLOOKUP($D191,'Modelling New'!$D:$D,'Modelling New'!$AK:$AK),"")</f>
        <v>0.05</v>
      </c>
      <c r="AQ191" s="186">
        <f>IFERROR(_xlfn.XLOOKUP($D191,'Modelling New'!$D:$D,'Modelling New'!$AL:$AL),"")</f>
        <v>0.05</v>
      </c>
      <c r="AR191">
        <f>IFERROR(_xlfn.XLOOKUP($D191,'Modelling New'!$D:$D,'Modelling New'!$N:$N),"")</f>
        <v>78</v>
      </c>
    </row>
    <row r="192" spans="1:44">
      <c r="A192" s="180">
        <f t="shared" si="15"/>
        <v>45935</v>
      </c>
      <c r="B192" s="169">
        <f>YEAR(Table13[[#This Row],[Date]])+IF(MONTH(Table13[[#This Row],[Date]])&gt;=4,1,0)</f>
        <v>2026</v>
      </c>
      <c r="C192" s="167">
        <f>YEAR(Table13[[#This Row],[Date]])</f>
        <v>2025</v>
      </c>
      <c r="D192" s="181">
        <f>Table13[[#This Row],[Date]]-DAY(Table13[[#This Row],[Date]])+1</f>
        <v>45931</v>
      </c>
      <c r="E192" s="167">
        <f t="shared" si="16"/>
        <v>31</v>
      </c>
      <c r="F192" s="170"/>
      <c r="G192" s="171"/>
      <c r="H192" s="171"/>
      <c r="I192" s="171"/>
      <c r="J192" s="171"/>
      <c r="K192" s="182"/>
      <c r="L192" s="171"/>
      <c r="M192" s="171" t="str">
        <f>IFERROR(_xlfn.XLOOKUP($A192,Input_Raw!$A:$A,Input_Raw!CG:CG),"")</f>
        <v/>
      </c>
      <c r="N192" s="171" t="str">
        <f>IFERROR(_xlfn.XLOOKUP($A192,Input_Raw!$A:$A,Input_Raw!CH:CH),"")</f>
        <v/>
      </c>
      <c r="O192" s="183" t="str">
        <f t="shared" si="17"/>
        <v/>
      </c>
      <c r="P192" s="183" t="str">
        <f>IFERROR(1-SUMIF(WTG_BD!$B:$B,$A192,WTG_BD!$AB:$AB)/($AA192+SUMIF(WTG_BD!$B:$B,$A192,WTG_BD!$AB:$AB)),"")</f>
        <v/>
      </c>
      <c r="Q192" s="184" t="str">
        <f>IFERROR(1-SUMIF(IGA_BD!$B:$B,$A192,IGA_BD!$X:$X)/($AA192+SUMIF(IGA_BD!$B:$B,$A192,IGA_BD!$X:$X)),"")</f>
        <v/>
      </c>
      <c r="R192" s="189" t="str">
        <f>IFERROR(1-SUMIF(Grid_BD!$B:$B,$A192,Grid_BD!$V:$V)/($AA192+SUMIF(Grid_BD!$B:$B,$A192,Grid_BD!$V:$V)),"")</f>
        <v/>
      </c>
      <c r="S192" s="167"/>
      <c r="T192" s="184"/>
      <c r="U192" s="185"/>
      <c r="V192" s="167"/>
      <c r="W192" s="186" t="str">
        <f>IFERROR(Table13[[#This Row],[Mtr_Net_Exp (KWh)]]/(24*AR192*1000),"")</f>
        <v/>
      </c>
      <c r="X192" s="167" t="str">
        <f>IFERROR(_xlfn.XLOOKUP($A192,Input_Raw!$A:$A,Input_Raw!$CF:$CF),"")</f>
        <v/>
      </c>
      <c r="Y192" s="167" t="str">
        <f>IFERROR(_xlfn.XLOOKUP($A192,Input_Raw!$A:$A,Input_Raw!$CZ:$CZ),"")</f>
        <v/>
      </c>
      <c r="Z192" s="167" t="str">
        <f>IFERROR(_xlfn.XLOOKUP($A192,Input_Raw!$A:$A,Input_Raw!$DA:$DA),"")</f>
        <v/>
      </c>
      <c r="AA192" s="169" t="str">
        <f t="shared" si="18"/>
        <v/>
      </c>
      <c r="AB192" s="167" t="str">
        <f>IFERROR(_xlfn.XLOOKUP($A192,Input_Raw!$A:$A,Input_Raw!$DG:$DG),"")</f>
        <v/>
      </c>
      <c r="AC192" s="187">
        <f>IFERROR(_xlfn.XLOOKUP($D192,'Modelling New'!$D:$D,'Modelling New'!$J:$J),"")</f>
        <v>3.9666666666666668</v>
      </c>
      <c r="AD192" s="169">
        <f>IFERROR(_xlfn.XLOOKUP($D192,'Modelling New'!$D:$D,'Modelling New'!$T:$T)*1000,"")</f>
        <v>164597.86033847061</v>
      </c>
      <c r="AE192" s="186"/>
      <c r="AF192" s="186">
        <f>IFERROR(_xlfn.XLOOKUP($D192,'Modelling New'!$D:$D,'Modelling New'!$W:$W),"")</f>
        <v>8.792620744576421E-2</v>
      </c>
      <c r="AG192" s="186">
        <f>IFERROR(_xlfn.XLOOKUP($D192,'Modelling New'!$D:$D,'Modelling New'!$AE:$AE),"")</f>
        <v>0.96029999999999993</v>
      </c>
      <c r="AH192" s="186">
        <f>IFERROR(_xlfn.XLOOKUP($D192,'Modelling New'!$D:$D,'Modelling New'!$AF:$AF),"")</f>
        <v>0.995</v>
      </c>
      <c r="AI192" s="167" t="str">
        <f>IFERROR(_xlfn.XLOOKUP($A192,Input_Raw!$A:$A,Input_Raw!$DE:$DE),"")</f>
        <v/>
      </c>
      <c r="AJ192" s="167"/>
      <c r="AK192" s="167"/>
      <c r="AL192" s="167"/>
      <c r="AM192" s="167"/>
      <c r="AN192" s="188" t="str">
        <f>IFERROR(_xlfn.XLOOKUP($A192,Input_Raw!$A:$A,Input_Raw!$DB:$DB),"")</f>
        <v/>
      </c>
      <c r="AO192" s="186" t="str">
        <f>IFERROR((_xlfn.XLOOKUP($A192,'WTG Reactive Power'!$A:$A,'WTG Reactive Power'!$AR:$AR))/X192/1000,"")</f>
        <v/>
      </c>
      <c r="AP192" s="186">
        <f>IFERROR(_xlfn.XLOOKUP($D192,'Modelling New'!$D:$D,'Modelling New'!$AK:$AK),"")</f>
        <v>0.05</v>
      </c>
      <c r="AQ192" s="186">
        <f>IFERROR(_xlfn.XLOOKUP($D192,'Modelling New'!$D:$D,'Modelling New'!$AL:$AL),"")</f>
        <v>0.05</v>
      </c>
      <c r="AR192">
        <f>IFERROR(_xlfn.XLOOKUP($D192,'Modelling New'!$D:$D,'Modelling New'!$N:$N),"")</f>
        <v>78</v>
      </c>
    </row>
    <row r="193" spans="1:44">
      <c r="A193" s="180">
        <f t="shared" si="15"/>
        <v>45936</v>
      </c>
      <c r="B193" s="169">
        <f>YEAR(Table13[[#This Row],[Date]])+IF(MONTH(Table13[[#This Row],[Date]])&gt;=4,1,0)</f>
        <v>2026</v>
      </c>
      <c r="C193" s="167">
        <f>YEAR(Table13[[#This Row],[Date]])</f>
        <v>2025</v>
      </c>
      <c r="D193" s="181">
        <f>Table13[[#This Row],[Date]]-DAY(Table13[[#This Row],[Date]])+1</f>
        <v>45931</v>
      </c>
      <c r="E193" s="167">
        <f t="shared" si="16"/>
        <v>31</v>
      </c>
      <c r="F193" s="170"/>
      <c r="G193" s="171"/>
      <c r="H193" s="171"/>
      <c r="I193" s="171"/>
      <c r="J193" s="171"/>
      <c r="K193" s="182"/>
      <c r="L193" s="171"/>
      <c r="M193" s="171" t="str">
        <f>IFERROR(_xlfn.XLOOKUP($A193,Input_Raw!$A:$A,Input_Raw!CG:CG),"")</f>
        <v/>
      </c>
      <c r="N193" s="171" t="str">
        <f>IFERROR(_xlfn.XLOOKUP($A193,Input_Raw!$A:$A,Input_Raw!CH:CH),"")</f>
        <v/>
      </c>
      <c r="O193" s="183" t="str">
        <f t="shared" si="17"/>
        <v/>
      </c>
      <c r="P193" s="183" t="str">
        <f>IFERROR(1-SUMIF(WTG_BD!$B:$B,$A193,WTG_BD!$AB:$AB)/($AA193+SUMIF(WTG_BD!$B:$B,$A193,WTG_BD!$AB:$AB)),"")</f>
        <v/>
      </c>
      <c r="Q193" s="184" t="str">
        <f>IFERROR(1-SUMIF(IGA_BD!$B:$B,$A193,IGA_BD!$X:$X)/($AA193+SUMIF(IGA_BD!$B:$B,$A193,IGA_BD!$X:$X)),"")</f>
        <v/>
      </c>
      <c r="R193" s="189" t="str">
        <f>IFERROR(1-SUMIF(Grid_BD!$B:$B,$A193,Grid_BD!$V:$V)/($AA193+SUMIF(Grid_BD!$B:$B,$A193,Grid_BD!$V:$V)),"")</f>
        <v/>
      </c>
      <c r="S193" s="167"/>
      <c r="T193" s="184"/>
      <c r="U193" s="185"/>
      <c r="V193" s="167"/>
      <c r="W193" s="186" t="str">
        <f>IFERROR(Table13[[#This Row],[Mtr_Net_Exp (KWh)]]/(24*AR193*1000),"")</f>
        <v/>
      </c>
      <c r="X193" s="167" t="str">
        <f>IFERROR(_xlfn.XLOOKUP($A193,Input_Raw!$A:$A,Input_Raw!$CF:$CF),"")</f>
        <v/>
      </c>
      <c r="Y193" s="167" t="str">
        <f>IFERROR(_xlfn.XLOOKUP($A193,Input_Raw!$A:$A,Input_Raw!$CZ:$CZ),"")</f>
        <v/>
      </c>
      <c r="Z193" s="167" t="str">
        <f>IFERROR(_xlfn.XLOOKUP($A193,Input_Raw!$A:$A,Input_Raw!$DA:$DA),"")</f>
        <v/>
      </c>
      <c r="AA193" s="169" t="str">
        <f t="shared" si="18"/>
        <v/>
      </c>
      <c r="AB193" s="167" t="str">
        <f>IFERROR(_xlfn.XLOOKUP($A193,Input_Raw!$A:$A,Input_Raw!$DG:$DG),"")</f>
        <v/>
      </c>
      <c r="AC193" s="187">
        <f>IFERROR(_xlfn.XLOOKUP($D193,'Modelling New'!$D:$D,'Modelling New'!$J:$J),"")</f>
        <v>3.9666666666666668</v>
      </c>
      <c r="AD193" s="169">
        <f>IFERROR(_xlfn.XLOOKUP($D193,'Modelling New'!$D:$D,'Modelling New'!$T:$T)*1000,"")</f>
        <v>164597.86033847061</v>
      </c>
      <c r="AE193" s="186"/>
      <c r="AF193" s="186">
        <f>IFERROR(_xlfn.XLOOKUP($D193,'Modelling New'!$D:$D,'Modelling New'!$W:$W),"")</f>
        <v>8.792620744576421E-2</v>
      </c>
      <c r="AG193" s="186">
        <f>IFERROR(_xlfn.XLOOKUP($D193,'Modelling New'!$D:$D,'Modelling New'!$AE:$AE),"")</f>
        <v>0.96029999999999993</v>
      </c>
      <c r="AH193" s="186">
        <f>IFERROR(_xlfn.XLOOKUP($D193,'Modelling New'!$D:$D,'Modelling New'!$AF:$AF),"")</f>
        <v>0.995</v>
      </c>
      <c r="AI193" s="167" t="str">
        <f>IFERROR(_xlfn.XLOOKUP($A193,Input_Raw!$A:$A,Input_Raw!$DE:$DE),"")</f>
        <v/>
      </c>
      <c r="AJ193" s="167"/>
      <c r="AK193" s="167"/>
      <c r="AL193" s="167"/>
      <c r="AM193" s="167"/>
      <c r="AN193" s="188" t="str">
        <f>IFERROR(_xlfn.XLOOKUP($A193,Input_Raw!$A:$A,Input_Raw!$DB:$DB),"")</f>
        <v/>
      </c>
      <c r="AO193" s="186" t="str">
        <f>IFERROR((_xlfn.XLOOKUP($A193,'WTG Reactive Power'!$A:$A,'WTG Reactive Power'!$AR:$AR))/X193/1000,"")</f>
        <v/>
      </c>
      <c r="AP193" s="186">
        <f>IFERROR(_xlfn.XLOOKUP($D193,'Modelling New'!$D:$D,'Modelling New'!$AK:$AK),"")</f>
        <v>0.05</v>
      </c>
      <c r="AQ193" s="186">
        <f>IFERROR(_xlfn.XLOOKUP($D193,'Modelling New'!$D:$D,'Modelling New'!$AL:$AL),"")</f>
        <v>0.05</v>
      </c>
      <c r="AR193">
        <f>IFERROR(_xlfn.XLOOKUP($D193,'Modelling New'!$D:$D,'Modelling New'!$N:$N),"")</f>
        <v>78</v>
      </c>
    </row>
    <row r="194" spans="1:44">
      <c r="A194" s="180">
        <f t="shared" si="15"/>
        <v>45937</v>
      </c>
      <c r="B194" s="169">
        <f>YEAR(Table13[[#This Row],[Date]])+IF(MONTH(Table13[[#This Row],[Date]])&gt;=4,1,0)</f>
        <v>2026</v>
      </c>
      <c r="C194" s="167">
        <f>YEAR(Table13[[#This Row],[Date]])</f>
        <v>2025</v>
      </c>
      <c r="D194" s="181">
        <f>Table13[[#This Row],[Date]]-DAY(Table13[[#This Row],[Date]])+1</f>
        <v>45931</v>
      </c>
      <c r="E194" s="167">
        <f t="shared" si="16"/>
        <v>31</v>
      </c>
      <c r="F194" s="170"/>
      <c r="G194" s="171"/>
      <c r="H194" s="171"/>
      <c r="I194" s="171"/>
      <c r="J194" s="171"/>
      <c r="K194" s="182"/>
      <c r="L194" s="171"/>
      <c r="M194" s="171" t="str">
        <f>IFERROR(_xlfn.XLOOKUP($A194,Input_Raw!$A:$A,Input_Raw!CG:CG),"")</f>
        <v/>
      </c>
      <c r="N194" s="171" t="str">
        <f>IFERROR(_xlfn.XLOOKUP($A194,Input_Raw!$A:$A,Input_Raw!CH:CH),"")</f>
        <v/>
      </c>
      <c r="O194" s="183" t="str">
        <f t="shared" si="17"/>
        <v/>
      </c>
      <c r="P194" s="183" t="str">
        <f>IFERROR(1-SUMIF(WTG_BD!$B:$B,$A194,WTG_BD!$AB:$AB)/($AA194+SUMIF(WTG_BD!$B:$B,$A194,WTG_BD!$AB:$AB)),"")</f>
        <v/>
      </c>
      <c r="Q194" s="184" t="str">
        <f>IFERROR(1-SUMIF(IGA_BD!$B:$B,$A194,IGA_BD!$X:$X)/($AA194+SUMIF(IGA_BD!$B:$B,$A194,IGA_BD!$X:$X)),"")</f>
        <v/>
      </c>
      <c r="R194" s="189" t="str">
        <f>IFERROR(1-SUMIF(Grid_BD!$B:$B,$A194,Grid_BD!$V:$V)/($AA194+SUMIF(Grid_BD!$B:$B,$A194,Grid_BD!$V:$V)),"")</f>
        <v/>
      </c>
      <c r="S194" s="167"/>
      <c r="T194" s="184"/>
      <c r="U194" s="185"/>
      <c r="V194" s="167"/>
      <c r="W194" s="186" t="str">
        <f>IFERROR(Table13[[#This Row],[Mtr_Net_Exp (KWh)]]/(24*AR194*1000),"")</f>
        <v/>
      </c>
      <c r="X194" s="167" t="str">
        <f>IFERROR(_xlfn.XLOOKUP($A194,Input_Raw!$A:$A,Input_Raw!$CF:$CF),"")</f>
        <v/>
      </c>
      <c r="Y194" s="167" t="str">
        <f>IFERROR(_xlfn.XLOOKUP($A194,Input_Raw!$A:$A,Input_Raw!$CZ:$CZ),"")</f>
        <v/>
      </c>
      <c r="Z194" s="167" t="str">
        <f>IFERROR(_xlfn.XLOOKUP($A194,Input_Raw!$A:$A,Input_Raw!$DA:$DA),"")</f>
        <v/>
      </c>
      <c r="AA194" s="169" t="str">
        <f t="shared" si="18"/>
        <v/>
      </c>
      <c r="AB194" s="167" t="str">
        <f>IFERROR(_xlfn.XLOOKUP($A194,Input_Raw!$A:$A,Input_Raw!$DG:$DG),"")</f>
        <v/>
      </c>
      <c r="AC194" s="187">
        <f>IFERROR(_xlfn.XLOOKUP($D194,'Modelling New'!$D:$D,'Modelling New'!$J:$J),"")</f>
        <v>3.9666666666666668</v>
      </c>
      <c r="AD194" s="169">
        <f>IFERROR(_xlfn.XLOOKUP($D194,'Modelling New'!$D:$D,'Modelling New'!$T:$T)*1000,"")</f>
        <v>164597.86033847061</v>
      </c>
      <c r="AE194" s="186"/>
      <c r="AF194" s="186">
        <f>IFERROR(_xlfn.XLOOKUP($D194,'Modelling New'!$D:$D,'Modelling New'!$W:$W),"")</f>
        <v>8.792620744576421E-2</v>
      </c>
      <c r="AG194" s="186">
        <f>IFERROR(_xlfn.XLOOKUP($D194,'Modelling New'!$D:$D,'Modelling New'!$AE:$AE),"")</f>
        <v>0.96029999999999993</v>
      </c>
      <c r="AH194" s="186">
        <f>IFERROR(_xlfn.XLOOKUP($D194,'Modelling New'!$D:$D,'Modelling New'!$AF:$AF),"")</f>
        <v>0.995</v>
      </c>
      <c r="AI194" s="167" t="str">
        <f>IFERROR(_xlfn.XLOOKUP($A194,Input_Raw!$A:$A,Input_Raw!$DE:$DE),"")</f>
        <v/>
      </c>
      <c r="AJ194" s="167"/>
      <c r="AK194" s="167"/>
      <c r="AL194" s="167"/>
      <c r="AM194" s="167"/>
      <c r="AN194" s="188" t="str">
        <f>IFERROR(_xlfn.XLOOKUP($A194,Input_Raw!$A:$A,Input_Raw!$DB:$DB),"")</f>
        <v/>
      </c>
      <c r="AO194" s="186" t="str">
        <f>IFERROR((_xlfn.XLOOKUP($A194,'WTG Reactive Power'!$A:$A,'WTG Reactive Power'!$AR:$AR))/X194/1000,"")</f>
        <v/>
      </c>
      <c r="AP194" s="186">
        <f>IFERROR(_xlfn.XLOOKUP($D194,'Modelling New'!$D:$D,'Modelling New'!$AK:$AK),"")</f>
        <v>0.05</v>
      </c>
      <c r="AQ194" s="186">
        <f>IFERROR(_xlfn.XLOOKUP($D194,'Modelling New'!$D:$D,'Modelling New'!$AL:$AL),"")</f>
        <v>0.05</v>
      </c>
      <c r="AR194">
        <f>IFERROR(_xlfn.XLOOKUP($D194,'Modelling New'!$D:$D,'Modelling New'!$N:$N),"")</f>
        <v>78</v>
      </c>
    </row>
    <row r="195" spans="1:44">
      <c r="A195" s="180">
        <f t="shared" si="15"/>
        <v>45938</v>
      </c>
      <c r="B195" s="169">
        <f>YEAR(Table13[[#This Row],[Date]])+IF(MONTH(Table13[[#This Row],[Date]])&gt;=4,1,0)</f>
        <v>2026</v>
      </c>
      <c r="C195" s="167">
        <f>YEAR(Table13[[#This Row],[Date]])</f>
        <v>2025</v>
      </c>
      <c r="D195" s="181">
        <f>Table13[[#This Row],[Date]]-DAY(Table13[[#This Row],[Date]])+1</f>
        <v>45931</v>
      </c>
      <c r="E195" s="167">
        <f t="shared" si="16"/>
        <v>31</v>
      </c>
      <c r="F195" s="170"/>
      <c r="G195" s="171"/>
      <c r="H195" s="171"/>
      <c r="I195" s="171"/>
      <c r="J195" s="171"/>
      <c r="K195" s="182"/>
      <c r="L195" s="171"/>
      <c r="M195" s="171" t="str">
        <f>IFERROR(_xlfn.XLOOKUP($A195,Input_Raw!$A:$A,Input_Raw!CG:CG),"")</f>
        <v/>
      </c>
      <c r="N195" s="171" t="str">
        <f>IFERROR(_xlfn.XLOOKUP($A195,Input_Raw!$A:$A,Input_Raw!CH:CH),"")</f>
        <v/>
      </c>
      <c r="O195" s="183" t="str">
        <f t="shared" si="17"/>
        <v/>
      </c>
      <c r="P195" s="183" t="str">
        <f>IFERROR(1-SUMIF(WTG_BD!$B:$B,$A195,WTG_BD!$AB:$AB)/($AA195+SUMIF(WTG_BD!$B:$B,$A195,WTG_BD!$AB:$AB)),"")</f>
        <v/>
      </c>
      <c r="Q195" s="184" t="str">
        <f>IFERROR(1-SUMIF(IGA_BD!$B:$B,$A195,IGA_BD!$X:$X)/($AA195+SUMIF(IGA_BD!$B:$B,$A195,IGA_BD!$X:$X)),"")</f>
        <v/>
      </c>
      <c r="R195" s="189" t="str">
        <f>IFERROR(1-SUMIF(Grid_BD!$B:$B,$A195,Grid_BD!$V:$V)/($AA195+SUMIF(Grid_BD!$B:$B,$A195,Grid_BD!$V:$V)),"")</f>
        <v/>
      </c>
      <c r="S195" s="167"/>
      <c r="T195" s="184"/>
      <c r="U195" s="185"/>
      <c r="V195" s="167"/>
      <c r="W195" s="186" t="str">
        <f>IFERROR(Table13[[#This Row],[Mtr_Net_Exp (KWh)]]/(24*AR195*1000),"")</f>
        <v/>
      </c>
      <c r="X195" s="167" t="str">
        <f>IFERROR(_xlfn.XLOOKUP($A195,Input_Raw!$A:$A,Input_Raw!$CF:$CF),"")</f>
        <v/>
      </c>
      <c r="Y195" s="167" t="str">
        <f>IFERROR(_xlfn.XLOOKUP($A195,Input_Raw!$A:$A,Input_Raw!$CZ:$CZ),"")</f>
        <v/>
      </c>
      <c r="Z195" s="167" t="str">
        <f>IFERROR(_xlfn.XLOOKUP($A195,Input_Raw!$A:$A,Input_Raw!$DA:$DA),"")</f>
        <v/>
      </c>
      <c r="AA195" s="169" t="str">
        <f t="shared" si="18"/>
        <v/>
      </c>
      <c r="AB195" s="167" t="str">
        <f>IFERROR(_xlfn.XLOOKUP($A195,Input_Raw!$A:$A,Input_Raw!$DG:$DG),"")</f>
        <v/>
      </c>
      <c r="AC195" s="187">
        <f>IFERROR(_xlfn.XLOOKUP($D195,'Modelling New'!$D:$D,'Modelling New'!$J:$J),"")</f>
        <v>3.9666666666666668</v>
      </c>
      <c r="AD195" s="169">
        <f>IFERROR(_xlfn.XLOOKUP($D195,'Modelling New'!$D:$D,'Modelling New'!$T:$T)*1000,"")</f>
        <v>164597.86033847061</v>
      </c>
      <c r="AE195" s="186"/>
      <c r="AF195" s="186">
        <f>IFERROR(_xlfn.XLOOKUP($D195,'Modelling New'!$D:$D,'Modelling New'!$W:$W),"")</f>
        <v>8.792620744576421E-2</v>
      </c>
      <c r="AG195" s="186">
        <f>IFERROR(_xlfn.XLOOKUP($D195,'Modelling New'!$D:$D,'Modelling New'!$AE:$AE),"")</f>
        <v>0.96029999999999993</v>
      </c>
      <c r="AH195" s="186">
        <f>IFERROR(_xlfn.XLOOKUP($D195,'Modelling New'!$D:$D,'Modelling New'!$AF:$AF),"")</f>
        <v>0.995</v>
      </c>
      <c r="AI195" s="167" t="str">
        <f>IFERROR(_xlfn.XLOOKUP($A195,Input_Raw!$A:$A,Input_Raw!$DE:$DE),"")</f>
        <v/>
      </c>
      <c r="AJ195" s="167"/>
      <c r="AK195" s="167"/>
      <c r="AL195" s="167"/>
      <c r="AM195" s="167"/>
      <c r="AN195" s="188" t="str">
        <f>IFERROR(_xlfn.XLOOKUP($A195,Input_Raw!$A:$A,Input_Raw!$DB:$DB),"")</f>
        <v/>
      </c>
      <c r="AO195" s="186" t="str">
        <f>IFERROR((_xlfn.XLOOKUP($A195,'WTG Reactive Power'!$A:$A,'WTG Reactive Power'!$AR:$AR))/X195/1000,"")</f>
        <v/>
      </c>
      <c r="AP195" s="186">
        <f>IFERROR(_xlfn.XLOOKUP($D195,'Modelling New'!$D:$D,'Modelling New'!$AK:$AK),"")</f>
        <v>0.05</v>
      </c>
      <c r="AQ195" s="186">
        <f>IFERROR(_xlfn.XLOOKUP($D195,'Modelling New'!$D:$D,'Modelling New'!$AL:$AL),"")</f>
        <v>0.05</v>
      </c>
      <c r="AR195">
        <f>IFERROR(_xlfn.XLOOKUP($D195,'Modelling New'!$D:$D,'Modelling New'!$N:$N),"")</f>
        <v>78</v>
      </c>
    </row>
    <row r="196" spans="1:44">
      <c r="A196" s="180">
        <f t="shared" si="15"/>
        <v>45939</v>
      </c>
      <c r="B196" s="169">
        <f>YEAR(Table13[[#This Row],[Date]])+IF(MONTH(Table13[[#This Row],[Date]])&gt;=4,1,0)</f>
        <v>2026</v>
      </c>
      <c r="C196" s="167">
        <f>YEAR(Table13[[#This Row],[Date]])</f>
        <v>2025</v>
      </c>
      <c r="D196" s="181">
        <f>Table13[[#This Row],[Date]]-DAY(Table13[[#This Row],[Date]])+1</f>
        <v>45931</v>
      </c>
      <c r="E196" s="167">
        <f t="shared" si="16"/>
        <v>31</v>
      </c>
      <c r="F196" s="170"/>
      <c r="G196" s="171"/>
      <c r="H196" s="171"/>
      <c r="I196" s="171"/>
      <c r="J196" s="171"/>
      <c r="K196" s="182"/>
      <c r="L196" s="171"/>
      <c r="M196" s="171" t="str">
        <f>IFERROR(_xlfn.XLOOKUP($A196,Input_Raw!$A:$A,Input_Raw!CG:CG),"")</f>
        <v/>
      </c>
      <c r="N196" s="171" t="str">
        <f>IFERROR(_xlfn.XLOOKUP($A196,Input_Raw!$A:$A,Input_Raw!CH:CH),"")</f>
        <v/>
      </c>
      <c r="O196" s="183" t="str">
        <f t="shared" si="17"/>
        <v/>
      </c>
      <c r="P196" s="183" t="str">
        <f>IFERROR(1-SUMIF(WTG_BD!$B:$B,$A196,WTG_BD!$AB:$AB)/($AA196+SUMIF(WTG_BD!$B:$B,$A196,WTG_BD!$AB:$AB)),"")</f>
        <v/>
      </c>
      <c r="Q196" s="184" t="str">
        <f>IFERROR(1-SUMIF(IGA_BD!$B:$B,$A196,IGA_BD!$X:$X)/($AA196+SUMIF(IGA_BD!$B:$B,$A196,IGA_BD!$X:$X)),"")</f>
        <v/>
      </c>
      <c r="R196" s="189" t="str">
        <f>IFERROR(1-SUMIF(Grid_BD!$B:$B,$A196,Grid_BD!$V:$V)/($AA196+SUMIF(Grid_BD!$B:$B,$A196,Grid_BD!$V:$V)),"")</f>
        <v/>
      </c>
      <c r="S196" s="167"/>
      <c r="T196" s="184"/>
      <c r="U196" s="185"/>
      <c r="V196" s="167"/>
      <c r="W196" s="186" t="str">
        <f>IFERROR(Table13[[#This Row],[Mtr_Net_Exp (KWh)]]/(24*AR196*1000),"")</f>
        <v/>
      </c>
      <c r="X196" s="167" t="str">
        <f>IFERROR(_xlfn.XLOOKUP($A196,Input_Raw!$A:$A,Input_Raw!$CF:$CF),"")</f>
        <v/>
      </c>
      <c r="Y196" s="167" t="str">
        <f>IFERROR(_xlfn.XLOOKUP($A196,Input_Raw!$A:$A,Input_Raw!$CZ:$CZ),"")</f>
        <v/>
      </c>
      <c r="Z196" s="167" t="str">
        <f>IFERROR(_xlfn.XLOOKUP($A196,Input_Raw!$A:$A,Input_Raw!$DA:$DA),"")</f>
        <v/>
      </c>
      <c r="AA196" s="169" t="str">
        <f t="shared" si="18"/>
        <v/>
      </c>
      <c r="AB196" s="167" t="str">
        <f>IFERROR(_xlfn.XLOOKUP($A196,Input_Raw!$A:$A,Input_Raw!$DG:$DG),"")</f>
        <v/>
      </c>
      <c r="AC196" s="187">
        <f>IFERROR(_xlfn.XLOOKUP($D196,'Modelling New'!$D:$D,'Modelling New'!$J:$J),"")</f>
        <v>3.9666666666666668</v>
      </c>
      <c r="AD196" s="169">
        <f>IFERROR(_xlfn.XLOOKUP($D196,'Modelling New'!$D:$D,'Modelling New'!$T:$T)*1000,"")</f>
        <v>164597.86033847061</v>
      </c>
      <c r="AE196" s="186"/>
      <c r="AF196" s="186">
        <f>IFERROR(_xlfn.XLOOKUP($D196,'Modelling New'!$D:$D,'Modelling New'!$W:$W),"")</f>
        <v>8.792620744576421E-2</v>
      </c>
      <c r="AG196" s="186">
        <f>IFERROR(_xlfn.XLOOKUP($D196,'Modelling New'!$D:$D,'Modelling New'!$AE:$AE),"")</f>
        <v>0.96029999999999993</v>
      </c>
      <c r="AH196" s="186">
        <f>IFERROR(_xlfn.XLOOKUP($D196,'Modelling New'!$D:$D,'Modelling New'!$AF:$AF),"")</f>
        <v>0.995</v>
      </c>
      <c r="AI196" s="167" t="str">
        <f>IFERROR(_xlfn.XLOOKUP($A196,Input_Raw!$A:$A,Input_Raw!$DE:$DE),"")</f>
        <v/>
      </c>
      <c r="AJ196" s="167"/>
      <c r="AK196" s="167"/>
      <c r="AL196" s="167"/>
      <c r="AM196" s="167"/>
      <c r="AN196" s="188" t="str">
        <f>IFERROR(_xlfn.XLOOKUP($A196,Input_Raw!$A:$A,Input_Raw!$DB:$DB),"")</f>
        <v/>
      </c>
      <c r="AO196" s="186" t="str">
        <f>IFERROR((_xlfn.XLOOKUP($A196,'WTG Reactive Power'!$A:$A,'WTG Reactive Power'!$AR:$AR))/X196/1000,"")</f>
        <v/>
      </c>
      <c r="AP196" s="186">
        <f>IFERROR(_xlfn.XLOOKUP($D196,'Modelling New'!$D:$D,'Modelling New'!$AK:$AK),"")</f>
        <v>0.05</v>
      </c>
      <c r="AQ196" s="186">
        <f>IFERROR(_xlfn.XLOOKUP($D196,'Modelling New'!$D:$D,'Modelling New'!$AL:$AL),"")</f>
        <v>0.05</v>
      </c>
      <c r="AR196">
        <f>IFERROR(_xlfn.XLOOKUP($D196,'Modelling New'!$D:$D,'Modelling New'!$N:$N),"")</f>
        <v>78</v>
      </c>
    </row>
    <row r="197" spans="1:44">
      <c r="A197" s="180">
        <f t="shared" si="15"/>
        <v>45940</v>
      </c>
      <c r="B197" s="169">
        <f>YEAR(Table13[[#This Row],[Date]])+IF(MONTH(Table13[[#This Row],[Date]])&gt;=4,1,0)</f>
        <v>2026</v>
      </c>
      <c r="C197" s="167">
        <f>YEAR(Table13[[#This Row],[Date]])</f>
        <v>2025</v>
      </c>
      <c r="D197" s="181">
        <f>Table13[[#This Row],[Date]]-DAY(Table13[[#This Row],[Date]])+1</f>
        <v>45931</v>
      </c>
      <c r="E197" s="167">
        <f t="shared" si="16"/>
        <v>31</v>
      </c>
      <c r="F197" s="170"/>
      <c r="G197" s="171"/>
      <c r="H197" s="171"/>
      <c r="I197" s="171"/>
      <c r="J197" s="171"/>
      <c r="K197" s="182"/>
      <c r="L197" s="171"/>
      <c r="M197" s="171" t="str">
        <f>IFERROR(_xlfn.XLOOKUP($A197,Input_Raw!$A:$A,Input_Raw!CG:CG),"")</f>
        <v/>
      </c>
      <c r="N197" s="171" t="str">
        <f>IFERROR(_xlfn.XLOOKUP($A197,Input_Raw!$A:$A,Input_Raw!CH:CH),"")</f>
        <v/>
      </c>
      <c r="O197" s="183" t="str">
        <f t="shared" si="17"/>
        <v/>
      </c>
      <c r="P197" s="183" t="str">
        <f>IFERROR(1-SUMIF(WTG_BD!$B:$B,$A197,WTG_BD!$AB:$AB)/($AA197+SUMIF(WTG_BD!$B:$B,$A197,WTG_BD!$AB:$AB)),"")</f>
        <v/>
      </c>
      <c r="Q197" s="184" t="str">
        <f>IFERROR(1-SUMIF(IGA_BD!$B:$B,$A197,IGA_BD!$X:$X)/($AA197+SUMIF(IGA_BD!$B:$B,$A197,IGA_BD!$X:$X)),"")</f>
        <v/>
      </c>
      <c r="R197" s="189" t="str">
        <f>IFERROR(1-SUMIF(Grid_BD!$B:$B,$A197,Grid_BD!$V:$V)/($AA197+SUMIF(Grid_BD!$B:$B,$A197,Grid_BD!$V:$V)),"")</f>
        <v/>
      </c>
      <c r="S197" s="167"/>
      <c r="T197" s="184"/>
      <c r="U197" s="185"/>
      <c r="V197" s="167"/>
      <c r="W197" s="186" t="str">
        <f>IFERROR(Table13[[#This Row],[Mtr_Net_Exp (KWh)]]/(24*AR197*1000),"")</f>
        <v/>
      </c>
      <c r="X197" s="167" t="str">
        <f>IFERROR(_xlfn.XLOOKUP($A197,Input_Raw!$A:$A,Input_Raw!$CF:$CF),"")</f>
        <v/>
      </c>
      <c r="Y197" s="167" t="str">
        <f>IFERROR(_xlfn.XLOOKUP($A197,Input_Raw!$A:$A,Input_Raw!$CZ:$CZ),"")</f>
        <v/>
      </c>
      <c r="Z197" s="167" t="str">
        <f>IFERROR(_xlfn.XLOOKUP($A197,Input_Raw!$A:$A,Input_Raw!$DA:$DA),"")</f>
        <v/>
      </c>
      <c r="AA197" s="169" t="str">
        <f t="shared" si="18"/>
        <v/>
      </c>
      <c r="AB197" s="167" t="str">
        <f>IFERROR(_xlfn.XLOOKUP($A197,Input_Raw!$A:$A,Input_Raw!$DG:$DG),"")</f>
        <v/>
      </c>
      <c r="AC197" s="187">
        <f>IFERROR(_xlfn.XLOOKUP($D197,'Modelling New'!$D:$D,'Modelling New'!$J:$J),"")</f>
        <v>3.9666666666666668</v>
      </c>
      <c r="AD197" s="169">
        <f>IFERROR(_xlfn.XLOOKUP($D197,'Modelling New'!$D:$D,'Modelling New'!$T:$T)*1000,"")</f>
        <v>164597.86033847061</v>
      </c>
      <c r="AE197" s="186"/>
      <c r="AF197" s="186">
        <f>IFERROR(_xlfn.XLOOKUP($D197,'Modelling New'!$D:$D,'Modelling New'!$W:$W),"")</f>
        <v>8.792620744576421E-2</v>
      </c>
      <c r="AG197" s="186">
        <f>IFERROR(_xlfn.XLOOKUP($D197,'Modelling New'!$D:$D,'Modelling New'!$AE:$AE),"")</f>
        <v>0.96029999999999993</v>
      </c>
      <c r="AH197" s="186">
        <f>IFERROR(_xlfn.XLOOKUP($D197,'Modelling New'!$D:$D,'Modelling New'!$AF:$AF),"")</f>
        <v>0.995</v>
      </c>
      <c r="AI197" s="167" t="str">
        <f>IFERROR(_xlfn.XLOOKUP($A197,Input_Raw!$A:$A,Input_Raw!$DE:$DE),"")</f>
        <v/>
      </c>
      <c r="AJ197" s="167"/>
      <c r="AK197" s="167"/>
      <c r="AL197" s="167"/>
      <c r="AM197" s="167"/>
      <c r="AN197" s="188" t="str">
        <f>IFERROR(_xlfn.XLOOKUP($A197,Input_Raw!$A:$A,Input_Raw!$DB:$DB),"")</f>
        <v/>
      </c>
      <c r="AO197" s="186" t="str">
        <f>IFERROR((_xlfn.XLOOKUP($A197,'WTG Reactive Power'!$A:$A,'WTG Reactive Power'!$AR:$AR))/X197/1000,"")</f>
        <v/>
      </c>
      <c r="AP197" s="186">
        <f>IFERROR(_xlfn.XLOOKUP($D197,'Modelling New'!$D:$D,'Modelling New'!$AK:$AK),"")</f>
        <v>0.05</v>
      </c>
      <c r="AQ197" s="186">
        <f>IFERROR(_xlfn.XLOOKUP($D197,'Modelling New'!$D:$D,'Modelling New'!$AL:$AL),"")</f>
        <v>0.05</v>
      </c>
      <c r="AR197">
        <f>IFERROR(_xlfn.XLOOKUP($D197,'Modelling New'!$D:$D,'Modelling New'!$N:$N),"")</f>
        <v>78</v>
      </c>
    </row>
    <row r="198" spans="1:44">
      <c r="A198" s="180">
        <f t="shared" si="15"/>
        <v>45941</v>
      </c>
      <c r="B198" s="169">
        <f>YEAR(Table13[[#This Row],[Date]])+IF(MONTH(Table13[[#This Row],[Date]])&gt;=4,1,0)</f>
        <v>2026</v>
      </c>
      <c r="C198" s="167">
        <f>YEAR(Table13[[#This Row],[Date]])</f>
        <v>2025</v>
      </c>
      <c r="D198" s="181">
        <f>Table13[[#This Row],[Date]]-DAY(Table13[[#This Row],[Date]])+1</f>
        <v>45931</v>
      </c>
      <c r="E198" s="167">
        <f t="shared" si="16"/>
        <v>31</v>
      </c>
      <c r="F198" s="170"/>
      <c r="G198" s="171"/>
      <c r="H198" s="171"/>
      <c r="I198" s="171"/>
      <c r="J198" s="171"/>
      <c r="K198" s="182"/>
      <c r="L198" s="171"/>
      <c r="M198" s="171" t="str">
        <f>IFERROR(_xlfn.XLOOKUP($A198,Input_Raw!$A:$A,Input_Raw!CG:CG),"")</f>
        <v/>
      </c>
      <c r="N198" s="171" t="str">
        <f>IFERROR(_xlfn.XLOOKUP($A198,Input_Raw!$A:$A,Input_Raw!CH:CH),"")</f>
        <v/>
      </c>
      <c r="O198" s="183" t="str">
        <f t="shared" si="17"/>
        <v/>
      </c>
      <c r="P198" s="183" t="str">
        <f>IFERROR(1-SUMIF(WTG_BD!$B:$B,$A198,WTG_BD!$AB:$AB)/($AA198+SUMIF(WTG_BD!$B:$B,$A198,WTG_BD!$AB:$AB)),"")</f>
        <v/>
      </c>
      <c r="Q198" s="184" t="str">
        <f>IFERROR(1-SUMIF(IGA_BD!$B:$B,$A198,IGA_BD!$X:$X)/($AA198+SUMIF(IGA_BD!$B:$B,$A198,IGA_BD!$X:$X)),"")</f>
        <v/>
      </c>
      <c r="R198" s="189" t="str">
        <f>IFERROR(1-SUMIF(Grid_BD!$B:$B,$A198,Grid_BD!$V:$V)/($AA198+SUMIF(Grid_BD!$B:$B,$A198,Grid_BD!$V:$V)),"")</f>
        <v/>
      </c>
      <c r="S198" s="167"/>
      <c r="T198" s="184"/>
      <c r="U198" s="185"/>
      <c r="V198" s="167"/>
      <c r="W198" s="186" t="str">
        <f>IFERROR(Table13[[#This Row],[Mtr_Net_Exp (KWh)]]/(24*AR198*1000),"")</f>
        <v/>
      </c>
      <c r="X198" s="167" t="str">
        <f>IFERROR(_xlfn.XLOOKUP($A198,Input_Raw!$A:$A,Input_Raw!$CF:$CF),"")</f>
        <v/>
      </c>
      <c r="Y198" s="167" t="str">
        <f>IFERROR(_xlfn.XLOOKUP($A198,Input_Raw!$A:$A,Input_Raw!$CZ:$CZ),"")</f>
        <v/>
      </c>
      <c r="Z198" s="167" t="str">
        <f>IFERROR(_xlfn.XLOOKUP($A198,Input_Raw!$A:$A,Input_Raw!$DA:$DA),"")</f>
        <v/>
      </c>
      <c r="AA198" s="169" t="str">
        <f t="shared" si="18"/>
        <v/>
      </c>
      <c r="AB198" s="167" t="str">
        <f>IFERROR(_xlfn.XLOOKUP($A198,Input_Raw!$A:$A,Input_Raw!$DG:$DG),"")</f>
        <v/>
      </c>
      <c r="AC198" s="187">
        <f>IFERROR(_xlfn.XLOOKUP($D198,'Modelling New'!$D:$D,'Modelling New'!$J:$J),"")</f>
        <v>3.9666666666666668</v>
      </c>
      <c r="AD198" s="169">
        <f>IFERROR(_xlfn.XLOOKUP($D198,'Modelling New'!$D:$D,'Modelling New'!$T:$T)*1000,"")</f>
        <v>164597.86033847061</v>
      </c>
      <c r="AE198" s="186"/>
      <c r="AF198" s="186">
        <f>IFERROR(_xlfn.XLOOKUP($D198,'Modelling New'!$D:$D,'Modelling New'!$W:$W),"")</f>
        <v>8.792620744576421E-2</v>
      </c>
      <c r="AG198" s="186">
        <f>IFERROR(_xlfn.XLOOKUP($D198,'Modelling New'!$D:$D,'Modelling New'!$AE:$AE),"")</f>
        <v>0.96029999999999993</v>
      </c>
      <c r="AH198" s="186">
        <f>IFERROR(_xlfn.XLOOKUP($D198,'Modelling New'!$D:$D,'Modelling New'!$AF:$AF),"")</f>
        <v>0.995</v>
      </c>
      <c r="AI198" s="167" t="str">
        <f>IFERROR(_xlfn.XLOOKUP($A198,Input_Raw!$A:$A,Input_Raw!$DE:$DE),"")</f>
        <v/>
      </c>
      <c r="AJ198" s="167"/>
      <c r="AK198" s="167"/>
      <c r="AL198" s="167"/>
      <c r="AM198" s="167"/>
      <c r="AN198" s="188" t="str">
        <f>IFERROR(_xlfn.XLOOKUP($A198,Input_Raw!$A:$A,Input_Raw!$DB:$DB),"")</f>
        <v/>
      </c>
      <c r="AO198" s="186" t="str">
        <f>IFERROR((_xlfn.XLOOKUP($A198,'WTG Reactive Power'!$A:$A,'WTG Reactive Power'!$AR:$AR))/X198/1000,"")</f>
        <v/>
      </c>
      <c r="AP198" s="186">
        <f>IFERROR(_xlfn.XLOOKUP($D198,'Modelling New'!$D:$D,'Modelling New'!$AK:$AK),"")</f>
        <v>0.05</v>
      </c>
      <c r="AQ198" s="186">
        <f>IFERROR(_xlfn.XLOOKUP($D198,'Modelling New'!$D:$D,'Modelling New'!$AL:$AL),"")</f>
        <v>0.05</v>
      </c>
      <c r="AR198">
        <f>IFERROR(_xlfn.XLOOKUP($D198,'Modelling New'!$D:$D,'Modelling New'!$N:$N),"")</f>
        <v>78</v>
      </c>
    </row>
    <row r="199" spans="1:44">
      <c r="A199" s="180">
        <f t="shared" si="15"/>
        <v>45942</v>
      </c>
      <c r="B199" s="169">
        <f>YEAR(Table13[[#This Row],[Date]])+IF(MONTH(Table13[[#This Row],[Date]])&gt;=4,1,0)</f>
        <v>2026</v>
      </c>
      <c r="C199" s="167">
        <f>YEAR(Table13[[#This Row],[Date]])</f>
        <v>2025</v>
      </c>
      <c r="D199" s="181">
        <f>Table13[[#This Row],[Date]]-DAY(Table13[[#This Row],[Date]])+1</f>
        <v>45931</v>
      </c>
      <c r="E199" s="167">
        <f t="shared" si="16"/>
        <v>31</v>
      </c>
      <c r="F199" s="170"/>
      <c r="G199" s="171"/>
      <c r="H199" s="171"/>
      <c r="I199" s="171"/>
      <c r="J199" s="171"/>
      <c r="K199" s="182"/>
      <c r="L199" s="171"/>
      <c r="M199" s="171" t="str">
        <f>IFERROR(_xlfn.XLOOKUP($A199,Input_Raw!$A:$A,Input_Raw!CG:CG),"")</f>
        <v/>
      </c>
      <c r="N199" s="171" t="str">
        <f>IFERROR(_xlfn.XLOOKUP($A199,Input_Raw!$A:$A,Input_Raw!CH:CH),"")</f>
        <v/>
      </c>
      <c r="O199" s="183" t="str">
        <f t="shared" si="17"/>
        <v/>
      </c>
      <c r="P199" s="183" t="str">
        <f>IFERROR(1-SUMIF(WTG_BD!$B:$B,$A199,WTG_BD!$AB:$AB)/($AA199+SUMIF(WTG_BD!$B:$B,$A199,WTG_BD!$AB:$AB)),"")</f>
        <v/>
      </c>
      <c r="Q199" s="184" t="str">
        <f>IFERROR(1-SUMIF(IGA_BD!$B:$B,$A199,IGA_BD!$X:$X)/($AA199+SUMIF(IGA_BD!$B:$B,$A199,IGA_BD!$X:$X)),"")</f>
        <v/>
      </c>
      <c r="R199" s="189" t="str">
        <f>IFERROR(1-SUMIF(Grid_BD!$B:$B,$A199,Grid_BD!$V:$V)/($AA199+SUMIF(Grid_BD!$B:$B,$A199,Grid_BD!$V:$V)),"")</f>
        <v/>
      </c>
      <c r="S199" s="167"/>
      <c r="T199" s="184"/>
      <c r="U199" s="185"/>
      <c r="V199" s="167"/>
      <c r="W199" s="186" t="str">
        <f>IFERROR(Table13[[#This Row],[Mtr_Net_Exp (KWh)]]/(24*AR199*1000),"")</f>
        <v/>
      </c>
      <c r="X199" s="167" t="str">
        <f>IFERROR(_xlfn.XLOOKUP($A199,Input_Raw!$A:$A,Input_Raw!$CF:$CF),"")</f>
        <v/>
      </c>
      <c r="Y199" s="167" t="str">
        <f>IFERROR(_xlfn.XLOOKUP($A199,Input_Raw!$A:$A,Input_Raw!$CZ:$CZ),"")</f>
        <v/>
      </c>
      <c r="Z199" s="167" t="str">
        <f>IFERROR(_xlfn.XLOOKUP($A199,Input_Raw!$A:$A,Input_Raw!$DA:$DA),"")</f>
        <v/>
      </c>
      <c r="AA199" s="169" t="str">
        <f t="shared" si="18"/>
        <v/>
      </c>
      <c r="AB199" s="167" t="str">
        <f>IFERROR(_xlfn.XLOOKUP($A199,Input_Raw!$A:$A,Input_Raw!$DG:$DG),"")</f>
        <v/>
      </c>
      <c r="AC199" s="187">
        <f>IFERROR(_xlfn.XLOOKUP($D199,'Modelling New'!$D:$D,'Modelling New'!$J:$J),"")</f>
        <v>3.9666666666666668</v>
      </c>
      <c r="AD199" s="169">
        <f>IFERROR(_xlfn.XLOOKUP($D199,'Modelling New'!$D:$D,'Modelling New'!$T:$T)*1000,"")</f>
        <v>164597.86033847061</v>
      </c>
      <c r="AE199" s="186"/>
      <c r="AF199" s="186">
        <f>IFERROR(_xlfn.XLOOKUP($D199,'Modelling New'!$D:$D,'Modelling New'!$W:$W),"")</f>
        <v>8.792620744576421E-2</v>
      </c>
      <c r="AG199" s="186">
        <f>IFERROR(_xlfn.XLOOKUP($D199,'Modelling New'!$D:$D,'Modelling New'!$AE:$AE),"")</f>
        <v>0.96029999999999993</v>
      </c>
      <c r="AH199" s="186">
        <f>IFERROR(_xlfn.XLOOKUP($D199,'Modelling New'!$D:$D,'Modelling New'!$AF:$AF),"")</f>
        <v>0.995</v>
      </c>
      <c r="AI199" s="167" t="str">
        <f>IFERROR(_xlfn.XLOOKUP($A199,Input_Raw!$A:$A,Input_Raw!$DE:$DE),"")</f>
        <v/>
      </c>
      <c r="AJ199" s="167"/>
      <c r="AK199" s="167"/>
      <c r="AL199" s="167"/>
      <c r="AM199" s="167"/>
      <c r="AN199" s="188" t="str">
        <f>IFERROR(_xlfn.XLOOKUP($A199,Input_Raw!$A:$A,Input_Raw!$DB:$DB),"")</f>
        <v/>
      </c>
      <c r="AO199" s="186" t="str">
        <f>IFERROR((_xlfn.XLOOKUP($A199,'WTG Reactive Power'!$A:$A,'WTG Reactive Power'!$AR:$AR))/X199/1000,"")</f>
        <v/>
      </c>
      <c r="AP199" s="186">
        <f>IFERROR(_xlfn.XLOOKUP($D199,'Modelling New'!$D:$D,'Modelling New'!$AK:$AK),"")</f>
        <v>0.05</v>
      </c>
      <c r="AQ199" s="186">
        <f>IFERROR(_xlfn.XLOOKUP($D199,'Modelling New'!$D:$D,'Modelling New'!$AL:$AL),"")</f>
        <v>0.05</v>
      </c>
      <c r="AR199">
        <f>IFERROR(_xlfn.XLOOKUP($D199,'Modelling New'!$D:$D,'Modelling New'!$N:$N),"")</f>
        <v>78</v>
      </c>
    </row>
    <row r="200" spans="1:44">
      <c r="A200" s="180">
        <f t="shared" si="15"/>
        <v>45943</v>
      </c>
      <c r="B200" s="169">
        <f>YEAR(Table13[[#This Row],[Date]])+IF(MONTH(Table13[[#This Row],[Date]])&gt;=4,1,0)</f>
        <v>2026</v>
      </c>
      <c r="C200" s="167">
        <f>YEAR(Table13[[#This Row],[Date]])</f>
        <v>2025</v>
      </c>
      <c r="D200" s="181">
        <f>Table13[[#This Row],[Date]]-DAY(Table13[[#This Row],[Date]])+1</f>
        <v>45931</v>
      </c>
      <c r="E200" s="167">
        <f t="shared" si="16"/>
        <v>31</v>
      </c>
      <c r="F200" s="170"/>
      <c r="G200" s="171"/>
      <c r="H200" s="171"/>
      <c r="I200" s="171"/>
      <c r="J200" s="171"/>
      <c r="K200" s="182"/>
      <c r="L200" s="171"/>
      <c r="M200" s="171" t="str">
        <f>IFERROR(_xlfn.XLOOKUP($A200,Input_Raw!$A:$A,Input_Raw!CG:CG),"")</f>
        <v/>
      </c>
      <c r="N200" s="171" t="str">
        <f>IFERROR(_xlfn.XLOOKUP($A200,Input_Raw!$A:$A,Input_Raw!CH:CH),"")</f>
        <v/>
      </c>
      <c r="O200" s="183" t="str">
        <f t="shared" si="17"/>
        <v/>
      </c>
      <c r="P200" s="183" t="str">
        <f>IFERROR(1-SUMIF(WTG_BD!$B:$B,$A200,WTG_BD!$AB:$AB)/($AA200+SUMIF(WTG_BD!$B:$B,$A200,WTG_BD!$AB:$AB)),"")</f>
        <v/>
      </c>
      <c r="Q200" s="184" t="str">
        <f>IFERROR(1-SUMIF(IGA_BD!$B:$B,$A200,IGA_BD!$X:$X)/($AA200+SUMIF(IGA_BD!$B:$B,$A200,IGA_BD!$X:$X)),"")</f>
        <v/>
      </c>
      <c r="R200" s="189" t="str">
        <f>IFERROR(1-SUMIF(Grid_BD!$B:$B,$A200,Grid_BD!$V:$V)/($AA200+SUMIF(Grid_BD!$B:$B,$A200,Grid_BD!$V:$V)),"")</f>
        <v/>
      </c>
      <c r="S200" s="167"/>
      <c r="T200" s="184"/>
      <c r="U200" s="185"/>
      <c r="V200" s="167"/>
      <c r="W200" s="186" t="str">
        <f>IFERROR(Table13[[#This Row],[Mtr_Net_Exp (KWh)]]/(24*AR200*1000),"")</f>
        <v/>
      </c>
      <c r="X200" s="167" t="str">
        <f>IFERROR(_xlfn.XLOOKUP($A200,Input_Raw!$A:$A,Input_Raw!$CF:$CF),"")</f>
        <v/>
      </c>
      <c r="Y200" s="167" t="str">
        <f>IFERROR(_xlfn.XLOOKUP($A200,Input_Raw!$A:$A,Input_Raw!$CZ:$CZ),"")</f>
        <v/>
      </c>
      <c r="Z200" s="167" t="str">
        <f>IFERROR(_xlfn.XLOOKUP($A200,Input_Raw!$A:$A,Input_Raw!$DA:$DA),"")</f>
        <v/>
      </c>
      <c r="AA200" s="169" t="str">
        <f t="shared" si="18"/>
        <v/>
      </c>
      <c r="AB200" s="167" t="str">
        <f>IFERROR(_xlfn.XLOOKUP($A200,Input_Raw!$A:$A,Input_Raw!$DG:$DG),"")</f>
        <v/>
      </c>
      <c r="AC200" s="187">
        <f>IFERROR(_xlfn.XLOOKUP($D200,'Modelling New'!$D:$D,'Modelling New'!$J:$J),"")</f>
        <v>3.9666666666666668</v>
      </c>
      <c r="AD200" s="169">
        <f>IFERROR(_xlfn.XLOOKUP($D200,'Modelling New'!$D:$D,'Modelling New'!$T:$T)*1000,"")</f>
        <v>164597.86033847061</v>
      </c>
      <c r="AE200" s="186"/>
      <c r="AF200" s="186">
        <f>IFERROR(_xlfn.XLOOKUP($D200,'Modelling New'!$D:$D,'Modelling New'!$W:$W),"")</f>
        <v>8.792620744576421E-2</v>
      </c>
      <c r="AG200" s="186">
        <f>IFERROR(_xlfn.XLOOKUP($D200,'Modelling New'!$D:$D,'Modelling New'!$AE:$AE),"")</f>
        <v>0.96029999999999993</v>
      </c>
      <c r="AH200" s="186">
        <f>IFERROR(_xlfn.XLOOKUP($D200,'Modelling New'!$D:$D,'Modelling New'!$AF:$AF),"")</f>
        <v>0.995</v>
      </c>
      <c r="AI200" s="167" t="str">
        <f>IFERROR(_xlfn.XLOOKUP($A200,Input_Raw!$A:$A,Input_Raw!$DE:$DE),"")</f>
        <v/>
      </c>
      <c r="AJ200" s="167"/>
      <c r="AK200" s="167"/>
      <c r="AL200" s="167"/>
      <c r="AM200" s="167"/>
      <c r="AN200" s="188" t="str">
        <f>IFERROR(_xlfn.XLOOKUP($A200,Input_Raw!$A:$A,Input_Raw!$DB:$DB),"")</f>
        <v/>
      </c>
      <c r="AO200" s="186" t="str">
        <f>IFERROR((_xlfn.XLOOKUP($A200,'WTG Reactive Power'!$A:$A,'WTG Reactive Power'!$AR:$AR))/X200/1000,"")</f>
        <v/>
      </c>
      <c r="AP200" s="186">
        <f>IFERROR(_xlfn.XLOOKUP($D200,'Modelling New'!$D:$D,'Modelling New'!$AK:$AK),"")</f>
        <v>0.05</v>
      </c>
      <c r="AQ200" s="186">
        <f>IFERROR(_xlfn.XLOOKUP($D200,'Modelling New'!$D:$D,'Modelling New'!$AL:$AL),"")</f>
        <v>0.05</v>
      </c>
      <c r="AR200">
        <f>IFERROR(_xlfn.XLOOKUP($D200,'Modelling New'!$D:$D,'Modelling New'!$N:$N),"")</f>
        <v>78</v>
      </c>
    </row>
    <row r="201" spans="1:44">
      <c r="A201" s="180">
        <f t="shared" si="15"/>
        <v>45944</v>
      </c>
      <c r="B201" s="169">
        <f>YEAR(Table13[[#This Row],[Date]])+IF(MONTH(Table13[[#This Row],[Date]])&gt;=4,1,0)</f>
        <v>2026</v>
      </c>
      <c r="C201" s="167">
        <f>YEAR(Table13[[#This Row],[Date]])</f>
        <v>2025</v>
      </c>
      <c r="D201" s="181">
        <f>Table13[[#This Row],[Date]]-DAY(Table13[[#This Row],[Date]])+1</f>
        <v>45931</v>
      </c>
      <c r="E201" s="167">
        <f t="shared" si="16"/>
        <v>31</v>
      </c>
      <c r="F201" s="170"/>
      <c r="G201" s="171"/>
      <c r="H201" s="171"/>
      <c r="I201" s="171"/>
      <c r="J201" s="171"/>
      <c r="K201" s="182"/>
      <c r="L201" s="171"/>
      <c r="M201" s="171" t="str">
        <f>IFERROR(_xlfn.XLOOKUP($A201,Input_Raw!$A:$A,Input_Raw!CG:CG),"")</f>
        <v/>
      </c>
      <c r="N201" s="171" t="str">
        <f>IFERROR(_xlfn.XLOOKUP($A201,Input_Raw!$A:$A,Input_Raw!CH:CH),"")</f>
        <v/>
      </c>
      <c r="O201" s="183" t="str">
        <f t="shared" si="17"/>
        <v/>
      </c>
      <c r="P201" s="183" t="str">
        <f>IFERROR(1-SUMIF(WTG_BD!$B:$B,$A201,WTG_BD!$AB:$AB)/($AA201+SUMIF(WTG_BD!$B:$B,$A201,WTG_BD!$AB:$AB)),"")</f>
        <v/>
      </c>
      <c r="Q201" s="184" t="str">
        <f>IFERROR(1-SUMIF(IGA_BD!$B:$B,$A201,IGA_BD!$X:$X)/($AA201+SUMIF(IGA_BD!$B:$B,$A201,IGA_BD!$X:$X)),"")</f>
        <v/>
      </c>
      <c r="R201" s="189" t="str">
        <f>IFERROR(1-SUMIF(Grid_BD!$B:$B,$A201,Grid_BD!$V:$V)/($AA201+SUMIF(Grid_BD!$B:$B,$A201,Grid_BD!$V:$V)),"")</f>
        <v/>
      </c>
      <c r="S201" s="167"/>
      <c r="T201" s="184"/>
      <c r="U201" s="185"/>
      <c r="V201" s="167"/>
      <c r="W201" s="186" t="str">
        <f>IFERROR(Table13[[#This Row],[Mtr_Net_Exp (KWh)]]/(24*AR201*1000),"")</f>
        <v/>
      </c>
      <c r="X201" s="167" t="str">
        <f>IFERROR(_xlfn.XLOOKUP($A201,Input_Raw!$A:$A,Input_Raw!$CF:$CF),"")</f>
        <v/>
      </c>
      <c r="Y201" s="167" t="str">
        <f>IFERROR(_xlfn.XLOOKUP($A201,Input_Raw!$A:$A,Input_Raw!$CZ:$CZ),"")</f>
        <v/>
      </c>
      <c r="Z201" s="167" t="str">
        <f>IFERROR(_xlfn.XLOOKUP($A201,Input_Raw!$A:$A,Input_Raw!$DA:$DA),"")</f>
        <v/>
      </c>
      <c r="AA201" s="169" t="str">
        <f t="shared" si="18"/>
        <v/>
      </c>
      <c r="AB201" s="167" t="str">
        <f>IFERROR(_xlfn.XLOOKUP($A201,Input_Raw!$A:$A,Input_Raw!$DG:$DG),"")</f>
        <v/>
      </c>
      <c r="AC201" s="187">
        <f>IFERROR(_xlfn.XLOOKUP($D201,'Modelling New'!$D:$D,'Modelling New'!$J:$J),"")</f>
        <v>3.9666666666666668</v>
      </c>
      <c r="AD201" s="169">
        <f>IFERROR(_xlfn.XLOOKUP($D201,'Modelling New'!$D:$D,'Modelling New'!$T:$T)*1000,"")</f>
        <v>164597.86033847061</v>
      </c>
      <c r="AE201" s="186"/>
      <c r="AF201" s="186">
        <f>IFERROR(_xlfn.XLOOKUP($D201,'Modelling New'!$D:$D,'Modelling New'!$W:$W),"")</f>
        <v>8.792620744576421E-2</v>
      </c>
      <c r="AG201" s="186">
        <f>IFERROR(_xlfn.XLOOKUP($D201,'Modelling New'!$D:$D,'Modelling New'!$AE:$AE),"")</f>
        <v>0.96029999999999993</v>
      </c>
      <c r="AH201" s="186">
        <f>IFERROR(_xlfn.XLOOKUP($D201,'Modelling New'!$D:$D,'Modelling New'!$AF:$AF),"")</f>
        <v>0.995</v>
      </c>
      <c r="AI201" s="167" t="str">
        <f>IFERROR(_xlfn.XLOOKUP($A201,Input_Raw!$A:$A,Input_Raw!$DE:$DE),"")</f>
        <v/>
      </c>
      <c r="AJ201" s="167"/>
      <c r="AK201" s="167"/>
      <c r="AL201" s="167"/>
      <c r="AM201" s="167"/>
      <c r="AN201" s="188" t="str">
        <f>IFERROR(_xlfn.XLOOKUP($A201,Input_Raw!$A:$A,Input_Raw!$DB:$DB),"")</f>
        <v/>
      </c>
      <c r="AO201" s="186" t="str">
        <f>IFERROR((_xlfn.XLOOKUP($A201,'WTG Reactive Power'!$A:$A,'WTG Reactive Power'!$AR:$AR))/X201/1000,"")</f>
        <v/>
      </c>
      <c r="AP201" s="186">
        <f>IFERROR(_xlfn.XLOOKUP($D201,'Modelling New'!$D:$D,'Modelling New'!$AK:$AK),"")</f>
        <v>0.05</v>
      </c>
      <c r="AQ201" s="186">
        <f>IFERROR(_xlfn.XLOOKUP($D201,'Modelling New'!$D:$D,'Modelling New'!$AL:$AL),"")</f>
        <v>0.05</v>
      </c>
      <c r="AR201">
        <f>IFERROR(_xlfn.XLOOKUP($D201,'Modelling New'!$D:$D,'Modelling New'!$N:$N),"")</f>
        <v>78</v>
      </c>
    </row>
    <row r="202" spans="1:44">
      <c r="A202" s="180">
        <f t="shared" si="15"/>
        <v>45945</v>
      </c>
      <c r="B202" s="169">
        <f>YEAR(Table13[[#This Row],[Date]])+IF(MONTH(Table13[[#This Row],[Date]])&gt;=4,1,0)</f>
        <v>2026</v>
      </c>
      <c r="C202" s="167">
        <f>YEAR(Table13[[#This Row],[Date]])</f>
        <v>2025</v>
      </c>
      <c r="D202" s="181">
        <f>Table13[[#This Row],[Date]]-DAY(Table13[[#This Row],[Date]])+1</f>
        <v>45931</v>
      </c>
      <c r="E202" s="167">
        <f t="shared" si="16"/>
        <v>31</v>
      </c>
      <c r="F202" s="170"/>
      <c r="G202" s="171"/>
      <c r="H202" s="171"/>
      <c r="I202" s="171"/>
      <c r="J202" s="171"/>
      <c r="K202" s="182"/>
      <c r="L202" s="171"/>
      <c r="M202" s="171" t="str">
        <f>IFERROR(_xlfn.XLOOKUP($A202,Input_Raw!$A:$A,Input_Raw!CG:CG),"")</f>
        <v/>
      </c>
      <c r="N202" s="171" t="str">
        <f>IFERROR(_xlfn.XLOOKUP($A202,Input_Raw!$A:$A,Input_Raw!CH:CH),"")</f>
        <v/>
      </c>
      <c r="O202" s="183" t="str">
        <f t="shared" si="17"/>
        <v/>
      </c>
      <c r="P202" s="183" t="str">
        <f>IFERROR(1-SUMIF(WTG_BD!$B:$B,$A202,WTG_BD!$AB:$AB)/($AA202+SUMIF(WTG_BD!$B:$B,$A202,WTG_BD!$AB:$AB)),"")</f>
        <v/>
      </c>
      <c r="Q202" s="184" t="str">
        <f>IFERROR(1-SUMIF(IGA_BD!$B:$B,$A202,IGA_BD!$X:$X)/($AA202+SUMIF(IGA_BD!$B:$B,$A202,IGA_BD!$X:$X)),"")</f>
        <v/>
      </c>
      <c r="R202" s="189" t="str">
        <f>IFERROR(1-SUMIF(Grid_BD!$B:$B,$A202,Grid_BD!$V:$V)/($AA202+SUMIF(Grid_BD!$B:$B,$A202,Grid_BD!$V:$V)),"")</f>
        <v/>
      </c>
      <c r="S202" s="167"/>
      <c r="T202" s="184"/>
      <c r="U202" s="185"/>
      <c r="V202" s="167"/>
      <c r="W202" s="186" t="str">
        <f>IFERROR(Table13[[#This Row],[Mtr_Net_Exp (KWh)]]/(24*AR202*1000),"")</f>
        <v/>
      </c>
      <c r="X202" s="167" t="str">
        <f>IFERROR(_xlfn.XLOOKUP($A202,Input_Raw!$A:$A,Input_Raw!$CF:$CF),"")</f>
        <v/>
      </c>
      <c r="Y202" s="167" t="str">
        <f>IFERROR(_xlfn.XLOOKUP($A202,Input_Raw!$A:$A,Input_Raw!$CZ:$CZ),"")</f>
        <v/>
      </c>
      <c r="Z202" s="167" t="str">
        <f>IFERROR(_xlfn.XLOOKUP($A202,Input_Raw!$A:$A,Input_Raw!$DA:$DA),"")</f>
        <v/>
      </c>
      <c r="AA202" s="169" t="str">
        <f t="shared" si="18"/>
        <v/>
      </c>
      <c r="AB202" s="167" t="str">
        <f>IFERROR(_xlfn.XLOOKUP($A202,Input_Raw!$A:$A,Input_Raw!$DG:$DG),"")</f>
        <v/>
      </c>
      <c r="AC202" s="187">
        <f>IFERROR(_xlfn.XLOOKUP($D202,'Modelling New'!$D:$D,'Modelling New'!$J:$J),"")</f>
        <v>3.9666666666666668</v>
      </c>
      <c r="AD202" s="169">
        <f>IFERROR(_xlfn.XLOOKUP($D202,'Modelling New'!$D:$D,'Modelling New'!$T:$T)*1000,"")</f>
        <v>164597.86033847061</v>
      </c>
      <c r="AE202" s="186"/>
      <c r="AF202" s="186">
        <f>IFERROR(_xlfn.XLOOKUP($D202,'Modelling New'!$D:$D,'Modelling New'!$W:$W),"")</f>
        <v>8.792620744576421E-2</v>
      </c>
      <c r="AG202" s="186">
        <f>IFERROR(_xlfn.XLOOKUP($D202,'Modelling New'!$D:$D,'Modelling New'!$AE:$AE),"")</f>
        <v>0.96029999999999993</v>
      </c>
      <c r="AH202" s="186">
        <f>IFERROR(_xlfn.XLOOKUP($D202,'Modelling New'!$D:$D,'Modelling New'!$AF:$AF),"")</f>
        <v>0.995</v>
      </c>
      <c r="AI202" s="167" t="str">
        <f>IFERROR(_xlfn.XLOOKUP($A202,Input_Raw!$A:$A,Input_Raw!$DE:$DE),"")</f>
        <v/>
      </c>
      <c r="AJ202" s="167"/>
      <c r="AK202" s="167"/>
      <c r="AL202" s="167"/>
      <c r="AM202" s="167"/>
      <c r="AN202" s="188" t="str">
        <f>IFERROR(_xlfn.XLOOKUP($A202,Input_Raw!$A:$A,Input_Raw!$DB:$DB),"")</f>
        <v/>
      </c>
      <c r="AO202" s="186" t="str">
        <f>IFERROR((_xlfn.XLOOKUP($A202,'WTG Reactive Power'!$A:$A,'WTG Reactive Power'!$AR:$AR))/X202/1000,"")</f>
        <v/>
      </c>
      <c r="AP202" s="186">
        <f>IFERROR(_xlfn.XLOOKUP($D202,'Modelling New'!$D:$D,'Modelling New'!$AK:$AK),"")</f>
        <v>0.05</v>
      </c>
      <c r="AQ202" s="186">
        <f>IFERROR(_xlfn.XLOOKUP($D202,'Modelling New'!$D:$D,'Modelling New'!$AL:$AL),"")</f>
        <v>0.05</v>
      </c>
      <c r="AR202">
        <f>IFERROR(_xlfn.XLOOKUP($D202,'Modelling New'!$D:$D,'Modelling New'!$N:$N),"")</f>
        <v>78</v>
      </c>
    </row>
    <row r="203" spans="1:44">
      <c r="A203" s="180">
        <f t="shared" si="15"/>
        <v>45946</v>
      </c>
      <c r="B203" s="169">
        <f>YEAR(Table13[[#This Row],[Date]])+IF(MONTH(Table13[[#This Row],[Date]])&gt;=4,1,0)</f>
        <v>2026</v>
      </c>
      <c r="C203" s="167">
        <f>YEAR(Table13[[#This Row],[Date]])</f>
        <v>2025</v>
      </c>
      <c r="D203" s="181">
        <f>Table13[[#This Row],[Date]]-DAY(Table13[[#This Row],[Date]])+1</f>
        <v>45931</v>
      </c>
      <c r="E203" s="167">
        <f t="shared" si="16"/>
        <v>31</v>
      </c>
      <c r="F203" s="170"/>
      <c r="G203" s="171"/>
      <c r="H203" s="171"/>
      <c r="I203" s="171"/>
      <c r="J203" s="171"/>
      <c r="K203" s="182"/>
      <c r="L203" s="171"/>
      <c r="M203" s="171" t="str">
        <f>IFERROR(_xlfn.XLOOKUP($A203,Input_Raw!$A:$A,Input_Raw!CG:CG),"")</f>
        <v/>
      </c>
      <c r="N203" s="171" t="str">
        <f>IFERROR(_xlfn.XLOOKUP($A203,Input_Raw!$A:$A,Input_Raw!CH:CH),"")</f>
        <v/>
      </c>
      <c r="O203" s="183" t="str">
        <f t="shared" si="17"/>
        <v/>
      </c>
      <c r="P203" s="183" t="str">
        <f>IFERROR(1-SUMIF(WTG_BD!$B:$B,$A203,WTG_BD!$AB:$AB)/($AA203+SUMIF(WTG_BD!$B:$B,$A203,WTG_BD!$AB:$AB)),"")</f>
        <v/>
      </c>
      <c r="Q203" s="184" t="str">
        <f>IFERROR(1-SUMIF(IGA_BD!$B:$B,$A203,IGA_BD!$X:$X)/($AA203+SUMIF(IGA_BD!$B:$B,$A203,IGA_BD!$X:$X)),"")</f>
        <v/>
      </c>
      <c r="R203" s="189" t="str">
        <f>IFERROR(1-SUMIF(Grid_BD!$B:$B,$A203,Grid_BD!$V:$V)/($AA203+SUMIF(Grid_BD!$B:$B,$A203,Grid_BD!$V:$V)),"")</f>
        <v/>
      </c>
      <c r="S203" s="167"/>
      <c r="T203" s="184"/>
      <c r="U203" s="185"/>
      <c r="V203" s="167"/>
      <c r="W203" s="186" t="str">
        <f>IFERROR(Table13[[#This Row],[Mtr_Net_Exp (KWh)]]/(24*AR203*1000),"")</f>
        <v/>
      </c>
      <c r="X203" s="167" t="str">
        <f>IFERROR(_xlfn.XLOOKUP($A203,Input_Raw!$A:$A,Input_Raw!$CF:$CF),"")</f>
        <v/>
      </c>
      <c r="Y203" s="167" t="str">
        <f>IFERROR(_xlfn.XLOOKUP($A203,Input_Raw!$A:$A,Input_Raw!$CZ:$CZ),"")</f>
        <v/>
      </c>
      <c r="Z203" s="167" t="str">
        <f>IFERROR(_xlfn.XLOOKUP($A203,Input_Raw!$A:$A,Input_Raw!$DA:$DA),"")</f>
        <v/>
      </c>
      <c r="AA203" s="169" t="str">
        <f t="shared" si="18"/>
        <v/>
      </c>
      <c r="AB203" s="167" t="str">
        <f>IFERROR(_xlfn.XLOOKUP($A203,Input_Raw!$A:$A,Input_Raw!$DG:$DG),"")</f>
        <v/>
      </c>
      <c r="AC203" s="187">
        <f>IFERROR(_xlfn.XLOOKUP($D203,'Modelling New'!$D:$D,'Modelling New'!$J:$J),"")</f>
        <v>3.9666666666666668</v>
      </c>
      <c r="AD203" s="169">
        <f>IFERROR(_xlfn.XLOOKUP($D203,'Modelling New'!$D:$D,'Modelling New'!$T:$T)*1000,"")</f>
        <v>164597.86033847061</v>
      </c>
      <c r="AE203" s="186"/>
      <c r="AF203" s="186">
        <f>IFERROR(_xlfn.XLOOKUP($D203,'Modelling New'!$D:$D,'Modelling New'!$W:$W),"")</f>
        <v>8.792620744576421E-2</v>
      </c>
      <c r="AG203" s="186">
        <f>IFERROR(_xlfn.XLOOKUP($D203,'Modelling New'!$D:$D,'Modelling New'!$AE:$AE),"")</f>
        <v>0.96029999999999993</v>
      </c>
      <c r="AH203" s="186">
        <f>IFERROR(_xlfn.XLOOKUP($D203,'Modelling New'!$D:$D,'Modelling New'!$AF:$AF),"")</f>
        <v>0.995</v>
      </c>
      <c r="AI203" s="167" t="str">
        <f>IFERROR(_xlfn.XLOOKUP($A203,Input_Raw!$A:$A,Input_Raw!$DE:$DE),"")</f>
        <v/>
      </c>
      <c r="AJ203" s="167"/>
      <c r="AK203" s="167"/>
      <c r="AL203" s="167"/>
      <c r="AM203" s="167"/>
      <c r="AN203" s="188" t="str">
        <f>IFERROR(_xlfn.XLOOKUP($A203,Input_Raw!$A:$A,Input_Raw!$DB:$DB),"")</f>
        <v/>
      </c>
      <c r="AO203" s="186" t="str">
        <f>IFERROR((_xlfn.XLOOKUP($A203,'WTG Reactive Power'!$A:$A,'WTG Reactive Power'!$AR:$AR))/X203/1000,"")</f>
        <v/>
      </c>
      <c r="AP203" s="186">
        <f>IFERROR(_xlfn.XLOOKUP($D203,'Modelling New'!$D:$D,'Modelling New'!$AK:$AK),"")</f>
        <v>0.05</v>
      </c>
      <c r="AQ203" s="186">
        <f>IFERROR(_xlfn.XLOOKUP($D203,'Modelling New'!$D:$D,'Modelling New'!$AL:$AL),"")</f>
        <v>0.05</v>
      </c>
      <c r="AR203">
        <f>IFERROR(_xlfn.XLOOKUP($D203,'Modelling New'!$D:$D,'Modelling New'!$N:$N),"")</f>
        <v>78</v>
      </c>
    </row>
    <row r="204" spans="1:44">
      <c r="A204" s="180">
        <f t="shared" si="15"/>
        <v>45947</v>
      </c>
      <c r="B204" s="169">
        <f>YEAR(Table13[[#This Row],[Date]])+IF(MONTH(Table13[[#This Row],[Date]])&gt;=4,1,0)</f>
        <v>2026</v>
      </c>
      <c r="C204" s="167">
        <f>YEAR(Table13[[#This Row],[Date]])</f>
        <v>2025</v>
      </c>
      <c r="D204" s="181">
        <f>Table13[[#This Row],[Date]]-DAY(Table13[[#This Row],[Date]])+1</f>
        <v>45931</v>
      </c>
      <c r="E204" s="167">
        <f t="shared" si="16"/>
        <v>31</v>
      </c>
      <c r="F204" s="170"/>
      <c r="G204" s="171"/>
      <c r="H204" s="171"/>
      <c r="I204" s="171"/>
      <c r="J204" s="171"/>
      <c r="K204" s="182"/>
      <c r="L204" s="171"/>
      <c r="M204" s="171" t="str">
        <f>IFERROR(_xlfn.XLOOKUP($A204,Input_Raw!$A:$A,Input_Raw!CG:CG),"")</f>
        <v/>
      </c>
      <c r="N204" s="171" t="str">
        <f>IFERROR(_xlfn.XLOOKUP($A204,Input_Raw!$A:$A,Input_Raw!CH:CH),"")</f>
        <v/>
      </c>
      <c r="O204" s="183" t="str">
        <f t="shared" si="17"/>
        <v/>
      </c>
      <c r="P204" s="183" t="str">
        <f>IFERROR(1-SUMIF(WTG_BD!$B:$B,$A204,WTG_BD!$AB:$AB)/($AA204+SUMIF(WTG_BD!$B:$B,$A204,WTG_BD!$AB:$AB)),"")</f>
        <v/>
      </c>
      <c r="Q204" s="184" t="str">
        <f>IFERROR(1-SUMIF(IGA_BD!$B:$B,$A204,IGA_BD!$X:$X)/($AA204+SUMIF(IGA_BD!$B:$B,$A204,IGA_BD!$X:$X)),"")</f>
        <v/>
      </c>
      <c r="R204" s="189" t="str">
        <f>IFERROR(1-SUMIF(Grid_BD!$B:$B,$A204,Grid_BD!$V:$V)/($AA204+SUMIF(Grid_BD!$B:$B,$A204,Grid_BD!$V:$V)),"")</f>
        <v/>
      </c>
      <c r="S204" s="167"/>
      <c r="T204" s="184"/>
      <c r="U204" s="185"/>
      <c r="V204" s="167"/>
      <c r="W204" s="186" t="str">
        <f>IFERROR(Table13[[#This Row],[Mtr_Net_Exp (KWh)]]/(24*AR204*1000),"")</f>
        <v/>
      </c>
      <c r="X204" s="167" t="str">
        <f>IFERROR(_xlfn.XLOOKUP($A204,Input_Raw!$A:$A,Input_Raw!$CF:$CF),"")</f>
        <v/>
      </c>
      <c r="Y204" s="167" t="str">
        <f>IFERROR(_xlfn.XLOOKUP($A204,Input_Raw!$A:$A,Input_Raw!$CZ:$CZ),"")</f>
        <v/>
      </c>
      <c r="Z204" s="167" t="str">
        <f>IFERROR(_xlfn.XLOOKUP($A204,Input_Raw!$A:$A,Input_Raw!$DA:$DA),"")</f>
        <v/>
      </c>
      <c r="AA204" s="169" t="str">
        <f t="shared" si="18"/>
        <v/>
      </c>
      <c r="AB204" s="167" t="str">
        <f>IFERROR(_xlfn.XLOOKUP($A204,Input_Raw!$A:$A,Input_Raw!$DG:$DG),"")</f>
        <v/>
      </c>
      <c r="AC204" s="187">
        <f>IFERROR(_xlfn.XLOOKUP($D204,'Modelling New'!$D:$D,'Modelling New'!$J:$J),"")</f>
        <v>3.9666666666666668</v>
      </c>
      <c r="AD204" s="169">
        <f>IFERROR(_xlfn.XLOOKUP($D204,'Modelling New'!$D:$D,'Modelling New'!$T:$T)*1000,"")</f>
        <v>164597.86033847061</v>
      </c>
      <c r="AE204" s="186"/>
      <c r="AF204" s="186">
        <f>IFERROR(_xlfn.XLOOKUP($D204,'Modelling New'!$D:$D,'Modelling New'!$W:$W),"")</f>
        <v>8.792620744576421E-2</v>
      </c>
      <c r="AG204" s="186">
        <f>IFERROR(_xlfn.XLOOKUP($D204,'Modelling New'!$D:$D,'Modelling New'!$AE:$AE),"")</f>
        <v>0.96029999999999993</v>
      </c>
      <c r="AH204" s="186">
        <f>IFERROR(_xlfn.XLOOKUP($D204,'Modelling New'!$D:$D,'Modelling New'!$AF:$AF),"")</f>
        <v>0.995</v>
      </c>
      <c r="AI204" s="167" t="str">
        <f>IFERROR(_xlfn.XLOOKUP($A204,Input_Raw!$A:$A,Input_Raw!$DE:$DE),"")</f>
        <v/>
      </c>
      <c r="AJ204" s="167"/>
      <c r="AK204" s="167"/>
      <c r="AL204" s="167"/>
      <c r="AM204" s="167"/>
      <c r="AN204" s="188" t="str">
        <f>IFERROR(_xlfn.XLOOKUP($A204,Input_Raw!$A:$A,Input_Raw!$DB:$DB),"")</f>
        <v/>
      </c>
      <c r="AO204" s="186" t="str">
        <f>IFERROR((_xlfn.XLOOKUP($A204,'WTG Reactive Power'!$A:$A,'WTG Reactive Power'!$AR:$AR))/X204/1000,"")</f>
        <v/>
      </c>
      <c r="AP204" s="186">
        <f>IFERROR(_xlfn.XLOOKUP($D204,'Modelling New'!$D:$D,'Modelling New'!$AK:$AK),"")</f>
        <v>0.05</v>
      </c>
      <c r="AQ204" s="186">
        <f>IFERROR(_xlfn.XLOOKUP($D204,'Modelling New'!$D:$D,'Modelling New'!$AL:$AL),"")</f>
        <v>0.05</v>
      </c>
      <c r="AR204">
        <f>IFERROR(_xlfn.XLOOKUP($D204,'Modelling New'!$D:$D,'Modelling New'!$N:$N),"")</f>
        <v>78</v>
      </c>
    </row>
    <row r="205" spans="1:44">
      <c r="A205" s="180">
        <f t="shared" si="15"/>
        <v>45948</v>
      </c>
      <c r="B205" s="169">
        <f>YEAR(Table13[[#This Row],[Date]])+IF(MONTH(Table13[[#This Row],[Date]])&gt;=4,1,0)</f>
        <v>2026</v>
      </c>
      <c r="C205" s="167">
        <f>YEAR(Table13[[#This Row],[Date]])</f>
        <v>2025</v>
      </c>
      <c r="D205" s="181">
        <f>Table13[[#This Row],[Date]]-DAY(Table13[[#This Row],[Date]])+1</f>
        <v>45931</v>
      </c>
      <c r="E205" s="167">
        <f t="shared" si="16"/>
        <v>31</v>
      </c>
      <c r="F205" s="170"/>
      <c r="G205" s="171"/>
      <c r="H205" s="171"/>
      <c r="I205" s="171"/>
      <c r="J205" s="171"/>
      <c r="K205" s="182"/>
      <c r="L205" s="171"/>
      <c r="M205" s="171" t="str">
        <f>IFERROR(_xlfn.XLOOKUP($A205,Input_Raw!$A:$A,Input_Raw!CG:CG),"")</f>
        <v/>
      </c>
      <c r="N205" s="171" t="str">
        <f>IFERROR(_xlfn.XLOOKUP($A205,Input_Raw!$A:$A,Input_Raw!CH:CH),"")</f>
        <v/>
      </c>
      <c r="O205" s="183" t="str">
        <f t="shared" si="17"/>
        <v/>
      </c>
      <c r="P205" s="183" t="str">
        <f>IFERROR(1-SUMIF(WTG_BD!$B:$B,$A205,WTG_BD!$AB:$AB)/($AA205+SUMIF(WTG_BD!$B:$B,$A205,WTG_BD!$AB:$AB)),"")</f>
        <v/>
      </c>
      <c r="Q205" s="184" t="str">
        <f>IFERROR(1-SUMIF(IGA_BD!$B:$B,$A205,IGA_BD!$X:$X)/($AA205+SUMIF(IGA_BD!$B:$B,$A205,IGA_BD!$X:$X)),"")</f>
        <v/>
      </c>
      <c r="R205" s="189" t="str">
        <f>IFERROR(1-SUMIF(Grid_BD!$B:$B,$A205,Grid_BD!$V:$V)/($AA205+SUMIF(Grid_BD!$B:$B,$A205,Grid_BD!$V:$V)),"")</f>
        <v/>
      </c>
      <c r="S205" s="167"/>
      <c r="T205" s="184"/>
      <c r="U205" s="185"/>
      <c r="V205" s="167"/>
      <c r="W205" s="186" t="str">
        <f>IFERROR(Table13[[#This Row],[Mtr_Net_Exp (KWh)]]/(24*AR205*1000),"")</f>
        <v/>
      </c>
      <c r="X205" s="167" t="str">
        <f>IFERROR(_xlfn.XLOOKUP($A205,Input_Raw!$A:$A,Input_Raw!$CF:$CF),"")</f>
        <v/>
      </c>
      <c r="Y205" s="167" t="str">
        <f>IFERROR(_xlfn.XLOOKUP($A205,Input_Raw!$A:$A,Input_Raw!$CZ:$CZ),"")</f>
        <v/>
      </c>
      <c r="Z205" s="167" t="str">
        <f>IFERROR(_xlfn.XLOOKUP($A205,Input_Raw!$A:$A,Input_Raw!$DA:$DA),"")</f>
        <v/>
      </c>
      <c r="AA205" s="169" t="str">
        <f t="shared" si="18"/>
        <v/>
      </c>
      <c r="AB205" s="167" t="str">
        <f>IFERROR(_xlfn.XLOOKUP($A205,Input_Raw!$A:$A,Input_Raw!$DG:$DG),"")</f>
        <v/>
      </c>
      <c r="AC205" s="187">
        <f>IFERROR(_xlfn.XLOOKUP($D205,'Modelling New'!$D:$D,'Modelling New'!$J:$J),"")</f>
        <v>3.9666666666666668</v>
      </c>
      <c r="AD205" s="169">
        <f>IFERROR(_xlfn.XLOOKUP($D205,'Modelling New'!$D:$D,'Modelling New'!$T:$T)*1000,"")</f>
        <v>164597.86033847061</v>
      </c>
      <c r="AE205" s="186"/>
      <c r="AF205" s="186">
        <f>IFERROR(_xlfn.XLOOKUP($D205,'Modelling New'!$D:$D,'Modelling New'!$W:$W),"")</f>
        <v>8.792620744576421E-2</v>
      </c>
      <c r="AG205" s="186">
        <f>IFERROR(_xlfn.XLOOKUP($D205,'Modelling New'!$D:$D,'Modelling New'!$AE:$AE),"")</f>
        <v>0.96029999999999993</v>
      </c>
      <c r="AH205" s="186">
        <f>IFERROR(_xlfn.XLOOKUP($D205,'Modelling New'!$D:$D,'Modelling New'!$AF:$AF),"")</f>
        <v>0.995</v>
      </c>
      <c r="AI205" s="167" t="str">
        <f>IFERROR(_xlfn.XLOOKUP($A205,Input_Raw!$A:$A,Input_Raw!$DE:$DE),"")</f>
        <v/>
      </c>
      <c r="AJ205" s="167"/>
      <c r="AK205" s="167"/>
      <c r="AL205" s="167"/>
      <c r="AM205" s="167"/>
      <c r="AN205" s="188" t="str">
        <f>IFERROR(_xlfn.XLOOKUP($A205,Input_Raw!$A:$A,Input_Raw!$DB:$DB),"")</f>
        <v/>
      </c>
      <c r="AO205" s="186" t="str">
        <f>IFERROR((_xlfn.XLOOKUP($A205,'WTG Reactive Power'!$A:$A,'WTG Reactive Power'!$AR:$AR))/X205/1000,"")</f>
        <v/>
      </c>
      <c r="AP205" s="186">
        <f>IFERROR(_xlfn.XLOOKUP($D205,'Modelling New'!$D:$D,'Modelling New'!$AK:$AK),"")</f>
        <v>0.05</v>
      </c>
      <c r="AQ205" s="186">
        <f>IFERROR(_xlfn.XLOOKUP($D205,'Modelling New'!$D:$D,'Modelling New'!$AL:$AL),"")</f>
        <v>0.05</v>
      </c>
      <c r="AR205">
        <f>IFERROR(_xlfn.XLOOKUP($D205,'Modelling New'!$D:$D,'Modelling New'!$N:$N),"")</f>
        <v>78</v>
      </c>
    </row>
    <row r="206" spans="1:44">
      <c r="A206" s="180">
        <f t="shared" si="15"/>
        <v>45949</v>
      </c>
      <c r="B206" s="169">
        <f>YEAR(Table13[[#This Row],[Date]])+IF(MONTH(Table13[[#This Row],[Date]])&gt;=4,1,0)</f>
        <v>2026</v>
      </c>
      <c r="C206" s="167">
        <f>YEAR(Table13[[#This Row],[Date]])</f>
        <v>2025</v>
      </c>
      <c r="D206" s="181">
        <f>Table13[[#This Row],[Date]]-DAY(Table13[[#This Row],[Date]])+1</f>
        <v>45931</v>
      </c>
      <c r="E206" s="167">
        <f t="shared" si="16"/>
        <v>31</v>
      </c>
      <c r="F206" s="170"/>
      <c r="G206" s="171"/>
      <c r="H206" s="171"/>
      <c r="I206" s="171"/>
      <c r="J206" s="171"/>
      <c r="K206" s="182"/>
      <c r="L206" s="171"/>
      <c r="M206" s="171" t="str">
        <f>IFERROR(_xlfn.XLOOKUP($A206,Input_Raw!$A:$A,Input_Raw!CG:CG),"")</f>
        <v/>
      </c>
      <c r="N206" s="171" t="str">
        <f>IFERROR(_xlfn.XLOOKUP($A206,Input_Raw!$A:$A,Input_Raw!CH:CH),"")</f>
        <v/>
      </c>
      <c r="O206" s="183" t="str">
        <f t="shared" si="17"/>
        <v/>
      </c>
      <c r="P206" s="183" t="str">
        <f>IFERROR(1-SUMIF(WTG_BD!$B:$B,$A206,WTG_BD!$AB:$AB)/($AA206+SUMIF(WTG_BD!$B:$B,$A206,WTG_BD!$AB:$AB)),"")</f>
        <v/>
      </c>
      <c r="Q206" s="184" t="str">
        <f>IFERROR(1-SUMIF(IGA_BD!$B:$B,$A206,IGA_BD!$X:$X)/($AA206+SUMIF(IGA_BD!$B:$B,$A206,IGA_BD!$X:$X)),"")</f>
        <v/>
      </c>
      <c r="R206" s="189" t="str">
        <f>IFERROR(1-SUMIF(Grid_BD!$B:$B,$A206,Grid_BD!$V:$V)/($AA206+SUMIF(Grid_BD!$B:$B,$A206,Grid_BD!$V:$V)),"")</f>
        <v/>
      </c>
      <c r="S206" s="167"/>
      <c r="T206" s="184"/>
      <c r="U206" s="185"/>
      <c r="V206" s="167"/>
      <c r="W206" s="186" t="str">
        <f>IFERROR(Table13[[#This Row],[Mtr_Net_Exp (KWh)]]/(24*AR206*1000),"")</f>
        <v/>
      </c>
      <c r="X206" s="167" t="str">
        <f>IFERROR(_xlfn.XLOOKUP($A206,Input_Raw!$A:$A,Input_Raw!$CF:$CF),"")</f>
        <v/>
      </c>
      <c r="Y206" s="167" t="str">
        <f>IFERROR(_xlfn.XLOOKUP($A206,Input_Raw!$A:$A,Input_Raw!$CZ:$CZ),"")</f>
        <v/>
      </c>
      <c r="Z206" s="167" t="str">
        <f>IFERROR(_xlfn.XLOOKUP($A206,Input_Raw!$A:$A,Input_Raw!$DA:$DA),"")</f>
        <v/>
      </c>
      <c r="AA206" s="169" t="str">
        <f t="shared" si="18"/>
        <v/>
      </c>
      <c r="AB206" s="167" t="str">
        <f>IFERROR(_xlfn.XLOOKUP($A206,Input_Raw!$A:$A,Input_Raw!$DG:$DG),"")</f>
        <v/>
      </c>
      <c r="AC206" s="187">
        <f>IFERROR(_xlfn.XLOOKUP($D206,'Modelling New'!$D:$D,'Modelling New'!$J:$J),"")</f>
        <v>3.9666666666666668</v>
      </c>
      <c r="AD206" s="169">
        <f>IFERROR(_xlfn.XLOOKUP($D206,'Modelling New'!$D:$D,'Modelling New'!$T:$T)*1000,"")</f>
        <v>164597.86033847061</v>
      </c>
      <c r="AE206" s="186"/>
      <c r="AF206" s="186">
        <f>IFERROR(_xlfn.XLOOKUP($D206,'Modelling New'!$D:$D,'Modelling New'!$W:$W),"")</f>
        <v>8.792620744576421E-2</v>
      </c>
      <c r="AG206" s="186">
        <f>IFERROR(_xlfn.XLOOKUP($D206,'Modelling New'!$D:$D,'Modelling New'!$AE:$AE),"")</f>
        <v>0.96029999999999993</v>
      </c>
      <c r="AH206" s="186">
        <f>IFERROR(_xlfn.XLOOKUP($D206,'Modelling New'!$D:$D,'Modelling New'!$AF:$AF),"")</f>
        <v>0.995</v>
      </c>
      <c r="AI206" s="167" t="str">
        <f>IFERROR(_xlfn.XLOOKUP($A206,Input_Raw!$A:$A,Input_Raw!$DE:$DE),"")</f>
        <v/>
      </c>
      <c r="AJ206" s="167"/>
      <c r="AK206" s="167"/>
      <c r="AL206" s="167"/>
      <c r="AM206" s="167"/>
      <c r="AN206" s="188" t="str">
        <f>IFERROR(_xlfn.XLOOKUP($A206,Input_Raw!$A:$A,Input_Raw!$DB:$DB),"")</f>
        <v/>
      </c>
      <c r="AO206" s="186" t="str">
        <f>IFERROR((_xlfn.XLOOKUP($A206,'WTG Reactive Power'!$A:$A,'WTG Reactive Power'!$AR:$AR))/X206/1000,"")</f>
        <v/>
      </c>
      <c r="AP206" s="186">
        <f>IFERROR(_xlfn.XLOOKUP($D206,'Modelling New'!$D:$D,'Modelling New'!$AK:$AK),"")</f>
        <v>0.05</v>
      </c>
      <c r="AQ206" s="186">
        <f>IFERROR(_xlfn.XLOOKUP($D206,'Modelling New'!$D:$D,'Modelling New'!$AL:$AL),"")</f>
        <v>0.05</v>
      </c>
      <c r="AR206">
        <f>IFERROR(_xlfn.XLOOKUP($D206,'Modelling New'!$D:$D,'Modelling New'!$N:$N),"")</f>
        <v>78</v>
      </c>
    </row>
    <row r="207" spans="1:44">
      <c r="A207" s="180">
        <f t="shared" si="15"/>
        <v>45950</v>
      </c>
      <c r="B207" s="169">
        <f>YEAR(Table13[[#This Row],[Date]])+IF(MONTH(Table13[[#This Row],[Date]])&gt;=4,1,0)</f>
        <v>2026</v>
      </c>
      <c r="C207" s="167">
        <f>YEAR(Table13[[#This Row],[Date]])</f>
        <v>2025</v>
      </c>
      <c r="D207" s="181">
        <f>Table13[[#This Row],[Date]]-DAY(Table13[[#This Row],[Date]])+1</f>
        <v>45931</v>
      </c>
      <c r="E207" s="167">
        <f t="shared" si="16"/>
        <v>31</v>
      </c>
      <c r="F207" s="170"/>
      <c r="G207" s="171"/>
      <c r="H207" s="171"/>
      <c r="I207" s="171"/>
      <c r="J207" s="171"/>
      <c r="K207" s="182"/>
      <c r="L207" s="171"/>
      <c r="M207" s="171" t="str">
        <f>IFERROR(_xlfn.XLOOKUP($A207,Input_Raw!$A:$A,Input_Raw!CG:CG),"")</f>
        <v/>
      </c>
      <c r="N207" s="171" t="str">
        <f>IFERROR(_xlfn.XLOOKUP($A207,Input_Raw!$A:$A,Input_Raw!CH:CH),"")</f>
        <v/>
      </c>
      <c r="O207" s="183" t="str">
        <f t="shared" si="17"/>
        <v/>
      </c>
      <c r="P207" s="183" t="str">
        <f>IFERROR(1-SUMIF(WTG_BD!$B:$B,$A207,WTG_BD!$AB:$AB)/($AA207+SUMIF(WTG_BD!$B:$B,$A207,WTG_BD!$AB:$AB)),"")</f>
        <v/>
      </c>
      <c r="Q207" s="184" t="str">
        <f>IFERROR(1-SUMIF(IGA_BD!$B:$B,$A207,IGA_BD!$X:$X)/($AA207+SUMIF(IGA_BD!$B:$B,$A207,IGA_BD!$X:$X)),"")</f>
        <v/>
      </c>
      <c r="R207" s="189" t="str">
        <f>IFERROR(1-SUMIF(Grid_BD!$B:$B,$A207,Grid_BD!$V:$V)/($AA207+SUMIF(Grid_BD!$B:$B,$A207,Grid_BD!$V:$V)),"")</f>
        <v/>
      </c>
      <c r="S207" s="167"/>
      <c r="T207" s="184"/>
      <c r="U207" s="185"/>
      <c r="V207" s="167"/>
      <c r="W207" s="186" t="str">
        <f>IFERROR(Table13[[#This Row],[Mtr_Net_Exp (KWh)]]/(24*AR207*1000),"")</f>
        <v/>
      </c>
      <c r="X207" s="167" t="str">
        <f>IFERROR(_xlfn.XLOOKUP($A207,Input_Raw!$A:$A,Input_Raw!$CF:$CF),"")</f>
        <v/>
      </c>
      <c r="Y207" s="167" t="str">
        <f>IFERROR(_xlfn.XLOOKUP($A207,Input_Raw!$A:$A,Input_Raw!$CZ:$CZ),"")</f>
        <v/>
      </c>
      <c r="Z207" s="167" t="str">
        <f>IFERROR(_xlfn.XLOOKUP($A207,Input_Raw!$A:$A,Input_Raw!$DA:$DA),"")</f>
        <v/>
      </c>
      <c r="AA207" s="169" t="str">
        <f t="shared" si="18"/>
        <v/>
      </c>
      <c r="AB207" s="167" t="str">
        <f>IFERROR(_xlfn.XLOOKUP($A207,Input_Raw!$A:$A,Input_Raw!$DG:$DG),"")</f>
        <v/>
      </c>
      <c r="AC207" s="187">
        <f>IFERROR(_xlfn.XLOOKUP($D207,'Modelling New'!$D:$D,'Modelling New'!$J:$J),"")</f>
        <v>3.9666666666666668</v>
      </c>
      <c r="AD207" s="169">
        <f>IFERROR(_xlfn.XLOOKUP($D207,'Modelling New'!$D:$D,'Modelling New'!$T:$T)*1000,"")</f>
        <v>164597.86033847061</v>
      </c>
      <c r="AE207" s="186"/>
      <c r="AF207" s="186">
        <f>IFERROR(_xlfn.XLOOKUP($D207,'Modelling New'!$D:$D,'Modelling New'!$W:$W),"")</f>
        <v>8.792620744576421E-2</v>
      </c>
      <c r="AG207" s="186">
        <f>IFERROR(_xlfn.XLOOKUP($D207,'Modelling New'!$D:$D,'Modelling New'!$AE:$AE),"")</f>
        <v>0.96029999999999993</v>
      </c>
      <c r="AH207" s="186">
        <f>IFERROR(_xlfn.XLOOKUP($D207,'Modelling New'!$D:$D,'Modelling New'!$AF:$AF),"")</f>
        <v>0.995</v>
      </c>
      <c r="AI207" s="167" t="str">
        <f>IFERROR(_xlfn.XLOOKUP($A207,Input_Raw!$A:$A,Input_Raw!$DE:$DE),"")</f>
        <v/>
      </c>
      <c r="AJ207" s="167"/>
      <c r="AK207" s="167"/>
      <c r="AL207" s="167"/>
      <c r="AM207" s="167"/>
      <c r="AN207" s="188" t="str">
        <f>IFERROR(_xlfn.XLOOKUP($A207,Input_Raw!$A:$A,Input_Raw!$DB:$DB),"")</f>
        <v/>
      </c>
      <c r="AO207" s="186" t="str">
        <f>IFERROR((_xlfn.XLOOKUP($A207,'WTG Reactive Power'!$A:$A,'WTG Reactive Power'!$AR:$AR))/X207/1000,"")</f>
        <v/>
      </c>
      <c r="AP207" s="186">
        <f>IFERROR(_xlfn.XLOOKUP($D207,'Modelling New'!$D:$D,'Modelling New'!$AK:$AK),"")</f>
        <v>0.05</v>
      </c>
      <c r="AQ207" s="186">
        <f>IFERROR(_xlfn.XLOOKUP($D207,'Modelling New'!$D:$D,'Modelling New'!$AL:$AL),"")</f>
        <v>0.05</v>
      </c>
      <c r="AR207">
        <f>IFERROR(_xlfn.XLOOKUP($D207,'Modelling New'!$D:$D,'Modelling New'!$N:$N),"")</f>
        <v>78</v>
      </c>
    </row>
    <row r="208" spans="1:44">
      <c r="A208" s="180">
        <f t="shared" si="15"/>
        <v>45951</v>
      </c>
      <c r="B208" s="169">
        <f>YEAR(Table13[[#This Row],[Date]])+IF(MONTH(Table13[[#This Row],[Date]])&gt;=4,1,0)</f>
        <v>2026</v>
      </c>
      <c r="C208" s="167">
        <f>YEAR(Table13[[#This Row],[Date]])</f>
        <v>2025</v>
      </c>
      <c r="D208" s="181">
        <f>Table13[[#This Row],[Date]]-DAY(Table13[[#This Row],[Date]])+1</f>
        <v>45931</v>
      </c>
      <c r="E208" s="167">
        <f t="shared" si="16"/>
        <v>31</v>
      </c>
      <c r="F208" s="170"/>
      <c r="G208" s="171"/>
      <c r="H208" s="171"/>
      <c r="I208" s="171"/>
      <c r="J208" s="171"/>
      <c r="K208" s="182"/>
      <c r="L208" s="171"/>
      <c r="M208" s="171" t="str">
        <f>IFERROR(_xlfn.XLOOKUP($A208,Input_Raw!$A:$A,Input_Raw!CG:CG),"")</f>
        <v/>
      </c>
      <c r="N208" s="171" t="str">
        <f>IFERROR(_xlfn.XLOOKUP($A208,Input_Raw!$A:$A,Input_Raw!CH:CH),"")</f>
        <v/>
      </c>
      <c r="O208" s="183" t="str">
        <f t="shared" si="17"/>
        <v/>
      </c>
      <c r="P208" s="183" t="str">
        <f>IFERROR(1-SUMIF(WTG_BD!$B:$B,$A208,WTG_BD!$AB:$AB)/($AA208+SUMIF(WTG_BD!$B:$B,$A208,WTG_BD!$AB:$AB)),"")</f>
        <v/>
      </c>
      <c r="Q208" s="184" t="str">
        <f>IFERROR(1-SUMIF(IGA_BD!$B:$B,$A208,IGA_BD!$X:$X)/($AA208+SUMIF(IGA_BD!$B:$B,$A208,IGA_BD!$X:$X)),"")</f>
        <v/>
      </c>
      <c r="R208" s="189" t="str">
        <f>IFERROR(1-SUMIF(Grid_BD!$B:$B,$A208,Grid_BD!$V:$V)/($AA208+SUMIF(Grid_BD!$B:$B,$A208,Grid_BD!$V:$V)),"")</f>
        <v/>
      </c>
      <c r="S208" s="167"/>
      <c r="T208" s="184"/>
      <c r="U208" s="185"/>
      <c r="V208" s="167"/>
      <c r="W208" s="186" t="str">
        <f>IFERROR(Table13[[#This Row],[Mtr_Net_Exp (KWh)]]/(24*AR208*1000),"")</f>
        <v/>
      </c>
      <c r="X208" s="167" t="str">
        <f>IFERROR(_xlfn.XLOOKUP($A208,Input_Raw!$A:$A,Input_Raw!$CF:$CF),"")</f>
        <v/>
      </c>
      <c r="Y208" s="167" t="str">
        <f>IFERROR(_xlfn.XLOOKUP($A208,Input_Raw!$A:$A,Input_Raw!$CZ:$CZ),"")</f>
        <v/>
      </c>
      <c r="Z208" s="167" t="str">
        <f>IFERROR(_xlfn.XLOOKUP($A208,Input_Raw!$A:$A,Input_Raw!$DA:$DA),"")</f>
        <v/>
      </c>
      <c r="AA208" s="169" t="str">
        <f t="shared" si="18"/>
        <v/>
      </c>
      <c r="AB208" s="167" t="str">
        <f>IFERROR(_xlfn.XLOOKUP($A208,Input_Raw!$A:$A,Input_Raw!$DG:$DG),"")</f>
        <v/>
      </c>
      <c r="AC208" s="187">
        <f>IFERROR(_xlfn.XLOOKUP($D208,'Modelling New'!$D:$D,'Modelling New'!$J:$J),"")</f>
        <v>3.9666666666666668</v>
      </c>
      <c r="AD208" s="169">
        <f>IFERROR(_xlfn.XLOOKUP($D208,'Modelling New'!$D:$D,'Modelling New'!$T:$T)*1000,"")</f>
        <v>164597.86033847061</v>
      </c>
      <c r="AE208" s="186"/>
      <c r="AF208" s="186">
        <f>IFERROR(_xlfn.XLOOKUP($D208,'Modelling New'!$D:$D,'Modelling New'!$W:$W),"")</f>
        <v>8.792620744576421E-2</v>
      </c>
      <c r="AG208" s="186">
        <f>IFERROR(_xlfn.XLOOKUP($D208,'Modelling New'!$D:$D,'Modelling New'!$AE:$AE),"")</f>
        <v>0.96029999999999993</v>
      </c>
      <c r="AH208" s="186">
        <f>IFERROR(_xlfn.XLOOKUP($D208,'Modelling New'!$D:$D,'Modelling New'!$AF:$AF),"")</f>
        <v>0.995</v>
      </c>
      <c r="AI208" s="167" t="str">
        <f>IFERROR(_xlfn.XLOOKUP($A208,Input_Raw!$A:$A,Input_Raw!$DE:$DE),"")</f>
        <v/>
      </c>
      <c r="AJ208" s="167"/>
      <c r="AK208" s="167"/>
      <c r="AL208" s="167"/>
      <c r="AM208" s="167"/>
      <c r="AN208" s="188" t="str">
        <f>IFERROR(_xlfn.XLOOKUP($A208,Input_Raw!$A:$A,Input_Raw!$DB:$DB),"")</f>
        <v/>
      </c>
      <c r="AO208" s="186" t="str">
        <f>IFERROR((_xlfn.XLOOKUP($A208,'WTG Reactive Power'!$A:$A,'WTG Reactive Power'!$AR:$AR))/X208/1000,"")</f>
        <v/>
      </c>
      <c r="AP208" s="186">
        <f>IFERROR(_xlfn.XLOOKUP($D208,'Modelling New'!$D:$D,'Modelling New'!$AK:$AK),"")</f>
        <v>0.05</v>
      </c>
      <c r="AQ208" s="186">
        <f>IFERROR(_xlfn.XLOOKUP($D208,'Modelling New'!$D:$D,'Modelling New'!$AL:$AL),"")</f>
        <v>0.05</v>
      </c>
      <c r="AR208">
        <f>IFERROR(_xlfn.XLOOKUP($D208,'Modelling New'!$D:$D,'Modelling New'!$N:$N),"")</f>
        <v>78</v>
      </c>
    </row>
    <row r="209" spans="1:44">
      <c r="A209" s="180">
        <f t="shared" si="15"/>
        <v>45952</v>
      </c>
      <c r="B209" s="169">
        <f>YEAR(Table13[[#This Row],[Date]])+IF(MONTH(Table13[[#This Row],[Date]])&gt;=4,1,0)</f>
        <v>2026</v>
      </c>
      <c r="C209" s="167">
        <f>YEAR(Table13[[#This Row],[Date]])</f>
        <v>2025</v>
      </c>
      <c r="D209" s="181">
        <f>Table13[[#This Row],[Date]]-DAY(Table13[[#This Row],[Date]])+1</f>
        <v>45931</v>
      </c>
      <c r="E209" s="167">
        <f t="shared" si="16"/>
        <v>31</v>
      </c>
      <c r="F209" s="170"/>
      <c r="G209" s="171"/>
      <c r="H209" s="171"/>
      <c r="I209" s="171"/>
      <c r="J209" s="171"/>
      <c r="K209" s="182"/>
      <c r="L209" s="171"/>
      <c r="M209" s="171" t="str">
        <f>IFERROR(_xlfn.XLOOKUP($A209,Input_Raw!$A:$A,Input_Raw!CG:CG),"")</f>
        <v/>
      </c>
      <c r="N209" s="171" t="str">
        <f>IFERROR(_xlfn.XLOOKUP($A209,Input_Raw!$A:$A,Input_Raw!CH:CH),"")</f>
        <v/>
      </c>
      <c r="O209" s="183" t="str">
        <f t="shared" si="17"/>
        <v/>
      </c>
      <c r="P209" s="183" t="str">
        <f>IFERROR(1-SUMIF(WTG_BD!$B:$B,$A209,WTG_BD!$AB:$AB)/($AA209+SUMIF(WTG_BD!$B:$B,$A209,WTG_BD!$AB:$AB)),"")</f>
        <v/>
      </c>
      <c r="Q209" s="184" t="str">
        <f>IFERROR(1-SUMIF(IGA_BD!$B:$B,$A209,IGA_BD!$X:$X)/($AA209+SUMIF(IGA_BD!$B:$B,$A209,IGA_BD!$X:$X)),"")</f>
        <v/>
      </c>
      <c r="R209" s="189" t="str">
        <f>IFERROR(1-SUMIF(Grid_BD!$B:$B,$A209,Grid_BD!$V:$V)/($AA209+SUMIF(Grid_BD!$B:$B,$A209,Grid_BD!$V:$V)),"")</f>
        <v/>
      </c>
      <c r="S209" s="167"/>
      <c r="T209" s="184"/>
      <c r="U209" s="185"/>
      <c r="V209" s="167"/>
      <c r="W209" s="186" t="str">
        <f>IFERROR(Table13[[#This Row],[Mtr_Net_Exp (KWh)]]/(24*AR209*1000),"")</f>
        <v/>
      </c>
      <c r="X209" s="167" t="str">
        <f>IFERROR(_xlfn.XLOOKUP($A209,Input_Raw!$A:$A,Input_Raw!$CF:$CF),"")</f>
        <v/>
      </c>
      <c r="Y209" s="167" t="str">
        <f>IFERROR(_xlfn.XLOOKUP($A209,Input_Raw!$A:$A,Input_Raw!$CZ:$CZ),"")</f>
        <v/>
      </c>
      <c r="Z209" s="167" t="str">
        <f>IFERROR(_xlfn.XLOOKUP($A209,Input_Raw!$A:$A,Input_Raw!$DA:$DA),"")</f>
        <v/>
      </c>
      <c r="AA209" s="169" t="str">
        <f t="shared" si="18"/>
        <v/>
      </c>
      <c r="AB209" s="167" t="str">
        <f>IFERROR(_xlfn.XLOOKUP($A209,Input_Raw!$A:$A,Input_Raw!$DG:$DG),"")</f>
        <v/>
      </c>
      <c r="AC209" s="187">
        <f>IFERROR(_xlfn.XLOOKUP($D209,'Modelling New'!$D:$D,'Modelling New'!$J:$J),"")</f>
        <v>3.9666666666666668</v>
      </c>
      <c r="AD209" s="169">
        <f>IFERROR(_xlfn.XLOOKUP($D209,'Modelling New'!$D:$D,'Modelling New'!$T:$T)*1000,"")</f>
        <v>164597.86033847061</v>
      </c>
      <c r="AE209" s="186"/>
      <c r="AF209" s="186">
        <f>IFERROR(_xlfn.XLOOKUP($D209,'Modelling New'!$D:$D,'Modelling New'!$W:$W),"")</f>
        <v>8.792620744576421E-2</v>
      </c>
      <c r="AG209" s="186">
        <f>IFERROR(_xlfn.XLOOKUP($D209,'Modelling New'!$D:$D,'Modelling New'!$AE:$AE),"")</f>
        <v>0.96029999999999993</v>
      </c>
      <c r="AH209" s="186">
        <f>IFERROR(_xlfn.XLOOKUP($D209,'Modelling New'!$D:$D,'Modelling New'!$AF:$AF),"")</f>
        <v>0.995</v>
      </c>
      <c r="AI209" s="167" t="str">
        <f>IFERROR(_xlfn.XLOOKUP($A209,Input_Raw!$A:$A,Input_Raw!$DE:$DE),"")</f>
        <v/>
      </c>
      <c r="AJ209" s="167"/>
      <c r="AK209" s="167"/>
      <c r="AL209" s="167"/>
      <c r="AM209" s="167"/>
      <c r="AN209" s="188" t="str">
        <f>IFERROR(_xlfn.XLOOKUP($A209,Input_Raw!$A:$A,Input_Raw!$DB:$DB),"")</f>
        <v/>
      </c>
      <c r="AO209" s="186" t="str">
        <f>IFERROR((_xlfn.XLOOKUP($A209,'WTG Reactive Power'!$A:$A,'WTG Reactive Power'!$AR:$AR))/X209/1000,"")</f>
        <v/>
      </c>
      <c r="AP209" s="186">
        <f>IFERROR(_xlfn.XLOOKUP($D209,'Modelling New'!$D:$D,'Modelling New'!$AK:$AK),"")</f>
        <v>0.05</v>
      </c>
      <c r="AQ209" s="186">
        <f>IFERROR(_xlfn.XLOOKUP($D209,'Modelling New'!$D:$D,'Modelling New'!$AL:$AL),"")</f>
        <v>0.05</v>
      </c>
      <c r="AR209">
        <f>IFERROR(_xlfn.XLOOKUP($D209,'Modelling New'!$D:$D,'Modelling New'!$N:$N),"")</f>
        <v>78</v>
      </c>
    </row>
    <row r="210" spans="1:44">
      <c r="A210" s="180">
        <f t="shared" si="15"/>
        <v>45953</v>
      </c>
      <c r="B210" s="169">
        <f>YEAR(Table13[[#This Row],[Date]])+IF(MONTH(Table13[[#This Row],[Date]])&gt;=4,1,0)</f>
        <v>2026</v>
      </c>
      <c r="C210" s="167">
        <f>YEAR(Table13[[#This Row],[Date]])</f>
        <v>2025</v>
      </c>
      <c r="D210" s="181">
        <f>Table13[[#This Row],[Date]]-DAY(Table13[[#This Row],[Date]])+1</f>
        <v>45931</v>
      </c>
      <c r="E210" s="167">
        <f t="shared" si="16"/>
        <v>31</v>
      </c>
      <c r="F210" s="170"/>
      <c r="G210" s="171"/>
      <c r="H210" s="171"/>
      <c r="I210" s="171"/>
      <c r="J210" s="171"/>
      <c r="K210" s="182"/>
      <c r="L210" s="171"/>
      <c r="M210" s="171" t="str">
        <f>IFERROR(_xlfn.XLOOKUP($A210,Input_Raw!$A:$A,Input_Raw!CG:CG),"")</f>
        <v/>
      </c>
      <c r="N210" s="171" t="str">
        <f>IFERROR(_xlfn.XLOOKUP($A210,Input_Raw!$A:$A,Input_Raw!CH:CH),"")</f>
        <v/>
      </c>
      <c r="O210" s="183" t="str">
        <f t="shared" si="17"/>
        <v/>
      </c>
      <c r="P210" s="183" t="str">
        <f>IFERROR(1-SUMIF(WTG_BD!$B:$B,$A210,WTG_BD!$AB:$AB)/($AA210+SUMIF(WTG_BD!$B:$B,$A210,WTG_BD!$AB:$AB)),"")</f>
        <v/>
      </c>
      <c r="Q210" s="184" t="str">
        <f>IFERROR(1-SUMIF(IGA_BD!$B:$B,$A210,IGA_BD!$X:$X)/($AA210+SUMIF(IGA_BD!$B:$B,$A210,IGA_BD!$X:$X)),"")</f>
        <v/>
      </c>
      <c r="R210" s="189" t="str">
        <f>IFERROR(1-SUMIF(Grid_BD!$B:$B,$A210,Grid_BD!$V:$V)/($AA210+SUMIF(Grid_BD!$B:$B,$A210,Grid_BD!$V:$V)),"")</f>
        <v/>
      </c>
      <c r="S210" s="167"/>
      <c r="T210" s="184"/>
      <c r="U210" s="185"/>
      <c r="V210" s="167"/>
      <c r="W210" s="186" t="str">
        <f>IFERROR(Table13[[#This Row],[Mtr_Net_Exp (KWh)]]/(24*AR210*1000),"")</f>
        <v/>
      </c>
      <c r="X210" s="167" t="str">
        <f>IFERROR(_xlfn.XLOOKUP($A210,Input_Raw!$A:$A,Input_Raw!$CF:$CF),"")</f>
        <v/>
      </c>
      <c r="Y210" s="167" t="str">
        <f>IFERROR(_xlfn.XLOOKUP($A210,Input_Raw!$A:$A,Input_Raw!$CZ:$CZ),"")</f>
        <v/>
      </c>
      <c r="Z210" s="167" t="str">
        <f>IFERROR(_xlfn.XLOOKUP($A210,Input_Raw!$A:$A,Input_Raw!$DA:$DA),"")</f>
        <v/>
      </c>
      <c r="AA210" s="169" t="str">
        <f t="shared" si="18"/>
        <v/>
      </c>
      <c r="AB210" s="167" t="str">
        <f>IFERROR(_xlfn.XLOOKUP($A210,Input_Raw!$A:$A,Input_Raw!$DG:$DG),"")</f>
        <v/>
      </c>
      <c r="AC210" s="187">
        <f>IFERROR(_xlfn.XLOOKUP($D210,'Modelling New'!$D:$D,'Modelling New'!$J:$J),"")</f>
        <v>3.9666666666666668</v>
      </c>
      <c r="AD210" s="169">
        <f>IFERROR(_xlfn.XLOOKUP($D210,'Modelling New'!$D:$D,'Modelling New'!$T:$T)*1000,"")</f>
        <v>164597.86033847061</v>
      </c>
      <c r="AE210" s="186"/>
      <c r="AF210" s="186">
        <f>IFERROR(_xlfn.XLOOKUP($D210,'Modelling New'!$D:$D,'Modelling New'!$W:$W),"")</f>
        <v>8.792620744576421E-2</v>
      </c>
      <c r="AG210" s="186">
        <f>IFERROR(_xlfn.XLOOKUP($D210,'Modelling New'!$D:$D,'Modelling New'!$AE:$AE),"")</f>
        <v>0.96029999999999993</v>
      </c>
      <c r="AH210" s="186">
        <f>IFERROR(_xlfn.XLOOKUP($D210,'Modelling New'!$D:$D,'Modelling New'!$AF:$AF),"")</f>
        <v>0.995</v>
      </c>
      <c r="AI210" s="167" t="str">
        <f>IFERROR(_xlfn.XLOOKUP($A210,Input_Raw!$A:$A,Input_Raw!$DE:$DE),"")</f>
        <v/>
      </c>
      <c r="AJ210" s="167"/>
      <c r="AK210" s="167"/>
      <c r="AL210" s="167"/>
      <c r="AM210" s="167"/>
      <c r="AN210" s="188" t="str">
        <f>IFERROR(_xlfn.XLOOKUP($A210,Input_Raw!$A:$A,Input_Raw!$DB:$DB),"")</f>
        <v/>
      </c>
      <c r="AO210" s="186" t="str">
        <f>IFERROR((_xlfn.XLOOKUP($A210,'WTG Reactive Power'!$A:$A,'WTG Reactive Power'!$AR:$AR))/X210/1000,"")</f>
        <v/>
      </c>
      <c r="AP210" s="186">
        <f>IFERROR(_xlfn.XLOOKUP($D210,'Modelling New'!$D:$D,'Modelling New'!$AK:$AK),"")</f>
        <v>0.05</v>
      </c>
      <c r="AQ210" s="186">
        <f>IFERROR(_xlfn.XLOOKUP($D210,'Modelling New'!$D:$D,'Modelling New'!$AL:$AL),"")</f>
        <v>0.05</v>
      </c>
      <c r="AR210">
        <f>IFERROR(_xlfn.XLOOKUP($D210,'Modelling New'!$D:$D,'Modelling New'!$N:$N),"")</f>
        <v>78</v>
      </c>
    </row>
    <row r="211" spans="1:44">
      <c r="A211" s="180">
        <f t="shared" si="15"/>
        <v>45954</v>
      </c>
      <c r="B211" s="169">
        <f>YEAR(Table13[[#This Row],[Date]])+IF(MONTH(Table13[[#This Row],[Date]])&gt;=4,1,0)</f>
        <v>2026</v>
      </c>
      <c r="C211" s="167">
        <f>YEAR(Table13[[#This Row],[Date]])</f>
        <v>2025</v>
      </c>
      <c r="D211" s="181">
        <f>Table13[[#This Row],[Date]]-DAY(Table13[[#This Row],[Date]])+1</f>
        <v>45931</v>
      </c>
      <c r="E211" s="167">
        <f t="shared" si="16"/>
        <v>31</v>
      </c>
      <c r="F211" s="170"/>
      <c r="G211" s="171"/>
      <c r="H211" s="171"/>
      <c r="I211" s="171"/>
      <c r="J211" s="171"/>
      <c r="K211" s="182"/>
      <c r="L211" s="171"/>
      <c r="M211" s="171" t="str">
        <f>IFERROR(_xlfn.XLOOKUP($A211,Input_Raw!$A:$A,Input_Raw!CG:CG),"")</f>
        <v/>
      </c>
      <c r="N211" s="171" t="str">
        <f>IFERROR(_xlfn.XLOOKUP($A211,Input_Raw!$A:$A,Input_Raw!CH:CH),"")</f>
        <v/>
      </c>
      <c r="O211" s="183" t="str">
        <f t="shared" si="17"/>
        <v/>
      </c>
      <c r="P211" s="183" t="str">
        <f>IFERROR(1-SUMIF(WTG_BD!$B:$B,$A211,WTG_BD!$AB:$AB)/($AA211+SUMIF(WTG_BD!$B:$B,$A211,WTG_BD!$AB:$AB)),"")</f>
        <v/>
      </c>
      <c r="Q211" s="184" t="str">
        <f>IFERROR(1-SUMIF(IGA_BD!$B:$B,$A211,IGA_BD!$X:$X)/($AA211+SUMIF(IGA_BD!$B:$B,$A211,IGA_BD!$X:$X)),"")</f>
        <v/>
      </c>
      <c r="R211" s="189" t="str">
        <f>IFERROR(1-SUMIF(Grid_BD!$B:$B,$A211,Grid_BD!$V:$V)/($AA211+SUMIF(Grid_BD!$B:$B,$A211,Grid_BD!$V:$V)),"")</f>
        <v/>
      </c>
      <c r="S211" s="167"/>
      <c r="T211" s="184"/>
      <c r="U211" s="185"/>
      <c r="V211" s="167"/>
      <c r="W211" s="186" t="str">
        <f>IFERROR(Table13[[#This Row],[Mtr_Net_Exp (KWh)]]/(24*AR211*1000),"")</f>
        <v/>
      </c>
      <c r="X211" s="167" t="str">
        <f>IFERROR(_xlfn.XLOOKUP($A211,Input_Raw!$A:$A,Input_Raw!$CF:$CF),"")</f>
        <v/>
      </c>
      <c r="Y211" s="167" t="str">
        <f>IFERROR(_xlfn.XLOOKUP($A211,Input_Raw!$A:$A,Input_Raw!$CZ:$CZ),"")</f>
        <v/>
      </c>
      <c r="Z211" s="167" t="str">
        <f>IFERROR(_xlfn.XLOOKUP($A211,Input_Raw!$A:$A,Input_Raw!$DA:$DA),"")</f>
        <v/>
      </c>
      <c r="AA211" s="169" t="str">
        <f t="shared" si="18"/>
        <v/>
      </c>
      <c r="AB211" s="167" t="str">
        <f>IFERROR(_xlfn.XLOOKUP($A211,Input_Raw!$A:$A,Input_Raw!$DG:$DG),"")</f>
        <v/>
      </c>
      <c r="AC211" s="187">
        <f>IFERROR(_xlfn.XLOOKUP($D211,'Modelling New'!$D:$D,'Modelling New'!$J:$J),"")</f>
        <v>3.9666666666666668</v>
      </c>
      <c r="AD211" s="169">
        <f>IFERROR(_xlfn.XLOOKUP($D211,'Modelling New'!$D:$D,'Modelling New'!$T:$T)*1000,"")</f>
        <v>164597.86033847061</v>
      </c>
      <c r="AE211" s="186"/>
      <c r="AF211" s="186">
        <f>IFERROR(_xlfn.XLOOKUP($D211,'Modelling New'!$D:$D,'Modelling New'!$W:$W),"")</f>
        <v>8.792620744576421E-2</v>
      </c>
      <c r="AG211" s="186">
        <f>IFERROR(_xlfn.XLOOKUP($D211,'Modelling New'!$D:$D,'Modelling New'!$AE:$AE),"")</f>
        <v>0.96029999999999993</v>
      </c>
      <c r="AH211" s="186">
        <f>IFERROR(_xlfn.XLOOKUP($D211,'Modelling New'!$D:$D,'Modelling New'!$AF:$AF),"")</f>
        <v>0.995</v>
      </c>
      <c r="AI211" s="167" t="str">
        <f>IFERROR(_xlfn.XLOOKUP($A211,Input_Raw!$A:$A,Input_Raw!$DE:$DE),"")</f>
        <v/>
      </c>
      <c r="AJ211" s="167"/>
      <c r="AK211" s="167"/>
      <c r="AL211" s="167"/>
      <c r="AM211" s="167"/>
      <c r="AN211" s="188" t="str">
        <f>IFERROR(_xlfn.XLOOKUP($A211,Input_Raw!$A:$A,Input_Raw!$DB:$DB),"")</f>
        <v/>
      </c>
      <c r="AO211" s="186" t="str">
        <f>IFERROR((_xlfn.XLOOKUP($A211,'WTG Reactive Power'!$A:$A,'WTG Reactive Power'!$AR:$AR))/X211/1000,"")</f>
        <v/>
      </c>
      <c r="AP211" s="186">
        <f>IFERROR(_xlfn.XLOOKUP($D211,'Modelling New'!$D:$D,'Modelling New'!$AK:$AK),"")</f>
        <v>0.05</v>
      </c>
      <c r="AQ211" s="186">
        <f>IFERROR(_xlfn.XLOOKUP($D211,'Modelling New'!$D:$D,'Modelling New'!$AL:$AL),"")</f>
        <v>0.05</v>
      </c>
      <c r="AR211">
        <f>IFERROR(_xlfn.XLOOKUP($D211,'Modelling New'!$D:$D,'Modelling New'!$N:$N),"")</f>
        <v>78</v>
      </c>
    </row>
    <row r="212" spans="1:44">
      <c r="A212" s="180">
        <f t="shared" si="15"/>
        <v>45955</v>
      </c>
      <c r="B212" s="169">
        <f>YEAR(Table13[[#This Row],[Date]])+IF(MONTH(Table13[[#This Row],[Date]])&gt;=4,1,0)</f>
        <v>2026</v>
      </c>
      <c r="C212" s="167">
        <f>YEAR(Table13[[#This Row],[Date]])</f>
        <v>2025</v>
      </c>
      <c r="D212" s="181">
        <f>Table13[[#This Row],[Date]]-DAY(Table13[[#This Row],[Date]])+1</f>
        <v>45931</v>
      </c>
      <c r="E212" s="167">
        <f t="shared" si="16"/>
        <v>31</v>
      </c>
      <c r="F212" s="170"/>
      <c r="G212" s="171"/>
      <c r="H212" s="171"/>
      <c r="I212" s="171"/>
      <c r="J212" s="171"/>
      <c r="K212" s="182"/>
      <c r="L212" s="171"/>
      <c r="M212" s="171" t="str">
        <f>IFERROR(_xlfn.XLOOKUP($A212,Input_Raw!$A:$A,Input_Raw!CG:CG),"")</f>
        <v/>
      </c>
      <c r="N212" s="171" t="str">
        <f>IFERROR(_xlfn.XLOOKUP($A212,Input_Raw!$A:$A,Input_Raw!CH:CH),"")</f>
        <v/>
      </c>
      <c r="O212" s="183" t="str">
        <f t="shared" si="17"/>
        <v/>
      </c>
      <c r="P212" s="183" t="str">
        <f>IFERROR(1-SUMIF(WTG_BD!$B:$B,$A212,WTG_BD!$AB:$AB)/($AA212+SUMIF(WTG_BD!$B:$B,$A212,WTG_BD!$AB:$AB)),"")</f>
        <v/>
      </c>
      <c r="Q212" s="184" t="str">
        <f>IFERROR(1-SUMIF(IGA_BD!$B:$B,$A212,IGA_BD!$X:$X)/($AA212+SUMIF(IGA_BD!$B:$B,$A212,IGA_BD!$X:$X)),"")</f>
        <v/>
      </c>
      <c r="R212" s="189" t="str">
        <f>IFERROR(1-SUMIF(Grid_BD!$B:$B,$A212,Grid_BD!$V:$V)/($AA212+SUMIF(Grid_BD!$B:$B,$A212,Grid_BD!$V:$V)),"")</f>
        <v/>
      </c>
      <c r="S212" s="167"/>
      <c r="T212" s="184"/>
      <c r="U212" s="185"/>
      <c r="V212" s="167"/>
      <c r="W212" s="186" t="str">
        <f>IFERROR(Table13[[#This Row],[Mtr_Net_Exp (KWh)]]/(24*AR212*1000),"")</f>
        <v/>
      </c>
      <c r="X212" s="167" t="str">
        <f>IFERROR(_xlfn.XLOOKUP($A212,Input_Raw!$A:$A,Input_Raw!$CF:$CF),"")</f>
        <v/>
      </c>
      <c r="Y212" s="167" t="str">
        <f>IFERROR(_xlfn.XLOOKUP($A212,Input_Raw!$A:$A,Input_Raw!$CZ:$CZ),"")</f>
        <v/>
      </c>
      <c r="Z212" s="167" t="str">
        <f>IFERROR(_xlfn.XLOOKUP($A212,Input_Raw!$A:$A,Input_Raw!$DA:$DA),"")</f>
        <v/>
      </c>
      <c r="AA212" s="169" t="str">
        <f t="shared" si="18"/>
        <v/>
      </c>
      <c r="AB212" s="167" t="str">
        <f>IFERROR(_xlfn.XLOOKUP($A212,Input_Raw!$A:$A,Input_Raw!$DG:$DG),"")</f>
        <v/>
      </c>
      <c r="AC212" s="187">
        <f>IFERROR(_xlfn.XLOOKUP($D212,'Modelling New'!$D:$D,'Modelling New'!$J:$J),"")</f>
        <v>3.9666666666666668</v>
      </c>
      <c r="AD212" s="169">
        <f>IFERROR(_xlfn.XLOOKUP($D212,'Modelling New'!$D:$D,'Modelling New'!$T:$T)*1000,"")</f>
        <v>164597.86033847061</v>
      </c>
      <c r="AE212" s="186"/>
      <c r="AF212" s="186">
        <f>IFERROR(_xlfn.XLOOKUP($D212,'Modelling New'!$D:$D,'Modelling New'!$W:$W),"")</f>
        <v>8.792620744576421E-2</v>
      </c>
      <c r="AG212" s="186">
        <f>IFERROR(_xlfn.XLOOKUP($D212,'Modelling New'!$D:$D,'Modelling New'!$AE:$AE),"")</f>
        <v>0.96029999999999993</v>
      </c>
      <c r="AH212" s="186">
        <f>IFERROR(_xlfn.XLOOKUP($D212,'Modelling New'!$D:$D,'Modelling New'!$AF:$AF),"")</f>
        <v>0.995</v>
      </c>
      <c r="AI212" s="167" t="str">
        <f>IFERROR(_xlfn.XLOOKUP($A212,Input_Raw!$A:$A,Input_Raw!$DE:$DE),"")</f>
        <v/>
      </c>
      <c r="AJ212" s="167"/>
      <c r="AK212" s="167"/>
      <c r="AL212" s="167"/>
      <c r="AM212" s="167"/>
      <c r="AN212" s="188" t="str">
        <f>IFERROR(_xlfn.XLOOKUP($A212,Input_Raw!$A:$A,Input_Raw!$DB:$DB),"")</f>
        <v/>
      </c>
      <c r="AO212" s="186" t="str">
        <f>IFERROR((_xlfn.XLOOKUP($A212,'WTG Reactive Power'!$A:$A,'WTG Reactive Power'!$AR:$AR))/X212/1000,"")</f>
        <v/>
      </c>
      <c r="AP212" s="186">
        <f>IFERROR(_xlfn.XLOOKUP($D212,'Modelling New'!$D:$D,'Modelling New'!$AK:$AK),"")</f>
        <v>0.05</v>
      </c>
      <c r="AQ212" s="186">
        <f>IFERROR(_xlfn.XLOOKUP($D212,'Modelling New'!$D:$D,'Modelling New'!$AL:$AL),"")</f>
        <v>0.05</v>
      </c>
      <c r="AR212">
        <f>IFERROR(_xlfn.XLOOKUP($D212,'Modelling New'!$D:$D,'Modelling New'!$N:$N),"")</f>
        <v>78</v>
      </c>
    </row>
    <row r="213" spans="1:44">
      <c r="A213" s="180">
        <f t="shared" si="15"/>
        <v>45956</v>
      </c>
      <c r="B213" s="169">
        <f>YEAR(Table13[[#This Row],[Date]])+IF(MONTH(Table13[[#This Row],[Date]])&gt;=4,1,0)</f>
        <v>2026</v>
      </c>
      <c r="C213" s="167">
        <f>YEAR(Table13[[#This Row],[Date]])</f>
        <v>2025</v>
      </c>
      <c r="D213" s="181">
        <f>Table13[[#This Row],[Date]]-DAY(Table13[[#This Row],[Date]])+1</f>
        <v>45931</v>
      </c>
      <c r="E213" s="167">
        <f t="shared" si="16"/>
        <v>31</v>
      </c>
      <c r="F213" s="170"/>
      <c r="G213" s="171"/>
      <c r="H213" s="171"/>
      <c r="I213" s="171"/>
      <c r="J213" s="171"/>
      <c r="K213" s="182"/>
      <c r="L213" s="171"/>
      <c r="M213" s="171" t="str">
        <f>IFERROR(_xlfn.XLOOKUP($A213,Input_Raw!$A:$A,Input_Raw!CG:CG),"")</f>
        <v/>
      </c>
      <c r="N213" s="171" t="str">
        <f>IFERROR(_xlfn.XLOOKUP($A213,Input_Raw!$A:$A,Input_Raw!CH:CH),"")</f>
        <v/>
      </c>
      <c r="O213" s="183" t="str">
        <f t="shared" si="17"/>
        <v/>
      </c>
      <c r="P213" s="183" t="str">
        <f>IFERROR(1-SUMIF(WTG_BD!$B:$B,$A213,WTG_BD!$AB:$AB)/($AA213+SUMIF(WTG_BD!$B:$B,$A213,WTG_BD!$AB:$AB)),"")</f>
        <v/>
      </c>
      <c r="Q213" s="184" t="str">
        <f>IFERROR(1-SUMIF(IGA_BD!$B:$B,$A213,IGA_BD!$X:$X)/($AA213+SUMIF(IGA_BD!$B:$B,$A213,IGA_BD!$X:$X)),"")</f>
        <v/>
      </c>
      <c r="R213" s="189" t="str">
        <f>IFERROR(1-SUMIF(Grid_BD!$B:$B,$A213,Grid_BD!$V:$V)/($AA213+SUMIF(Grid_BD!$B:$B,$A213,Grid_BD!$V:$V)),"")</f>
        <v/>
      </c>
      <c r="S213" s="167"/>
      <c r="T213" s="184"/>
      <c r="U213" s="185"/>
      <c r="V213" s="167"/>
      <c r="W213" s="186" t="str">
        <f>IFERROR(Table13[[#This Row],[Mtr_Net_Exp (KWh)]]/(24*AR213*1000),"")</f>
        <v/>
      </c>
      <c r="X213" s="167" t="str">
        <f>IFERROR(_xlfn.XLOOKUP($A213,Input_Raw!$A:$A,Input_Raw!$CF:$CF),"")</f>
        <v/>
      </c>
      <c r="Y213" s="167" t="str">
        <f>IFERROR(_xlfn.XLOOKUP($A213,Input_Raw!$A:$A,Input_Raw!$CZ:$CZ),"")</f>
        <v/>
      </c>
      <c r="Z213" s="167" t="str">
        <f>IFERROR(_xlfn.XLOOKUP($A213,Input_Raw!$A:$A,Input_Raw!$DA:$DA),"")</f>
        <v/>
      </c>
      <c r="AA213" s="169" t="str">
        <f t="shared" si="18"/>
        <v/>
      </c>
      <c r="AB213" s="167" t="str">
        <f>IFERROR(_xlfn.XLOOKUP($A213,Input_Raw!$A:$A,Input_Raw!$DG:$DG),"")</f>
        <v/>
      </c>
      <c r="AC213" s="187">
        <f>IFERROR(_xlfn.XLOOKUP($D213,'Modelling New'!$D:$D,'Modelling New'!$J:$J),"")</f>
        <v>3.9666666666666668</v>
      </c>
      <c r="AD213" s="169">
        <f>IFERROR(_xlfn.XLOOKUP($D213,'Modelling New'!$D:$D,'Modelling New'!$T:$T)*1000,"")</f>
        <v>164597.86033847061</v>
      </c>
      <c r="AE213" s="186"/>
      <c r="AF213" s="186">
        <f>IFERROR(_xlfn.XLOOKUP($D213,'Modelling New'!$D:$D,'Modelling New'!$W:$W),"")</f>
        <v>8.792620744576421E-2</v>
      </c>
      <c r="AG213" s="186">
        <f>IFERROR(_xlfn.XLOOKUP($D213,'Modelling New'!$D:$D,'Modelling New'!$AE:$AE),"")</f>
        <v>0.96029999999999993</v>
      </c>
      <c r="AH213" s="186">
        <f>IFERROR(_xlfn.XLOOKUP($D213,'Modelling New'!$D:$D,'Modelling New'!$AF:$AF),"")</f>
        <v>0.995</v>
      </c>
      <c r="AI213" s="167" t="str">
        <f>IFERROR(_xlfn.XLOOKUP($A213,Input_Raw!$A:$A,Input_Raw!$DE:$DE),"")</f>
        <v/>
      </c>
      <c r="AJ213" s="167"/>
      <c r="AK213" s="167"/>
      <c r="AL213" s="167"/>
      <c r="AM213" s="167"/>
      <c r="AN213" s="188" t="str">
        <f>IFERROR(_xlfn.XLOOKUP($A213,Input_Raw!$A:$A,Input_Raw!$DB:$DB),"")</f>
        <v/>
      </c>
      <c r="AO213" s="186" t="str">
        <f>IFERROR((_xlfn.XLOOKUP($A213,'WTG Reactive Power'!$A:$A,'WTG Reactive Power'!$AR:$AR))/X213/1000,"")</f>
        <v/>
      </c>
      <c r="AP213" s="186">
        <f>IFERROR(_xlfn.XLOOKUP($D213,'Modelling New'!$D:$D,'Modelling New'!$AK:$AK),"")</f>
        <v>0.05</v>
      </c>
      <c r="AQ213" s="186">
        <f>IFERROR(_xlfn.XLOOKUP($D213,'Modelling New'!$D:$D,'Modelling New'!$AL:$AL),"")</f>
        <v>0.05</v>
      </c>
      <c r="AR213">
        <f>IFERROR(_xlfn.XLOOKUP($D213,'Modelling New'!$D:$D,'Modelling New'!$N:$N),"")</f>
        <v>78</v>
      </c>
    </row>
    <row r="214" spans="1:44">
      <c r="A214" s="180">
        <f t="shared" si="15"/>
        <v>45957</v>
      </c>
      <c r="B214" s="169">
        <f>YEAR(Table13[[#This Row],[Date]])+IF(MONTH(Table13[[#This Row],[Date]])&gt;=4,1,0)</f>
        <v>2026</v>
      </c>
      <c r="C214" s="167">
        <f>YEAR(Table13[[#This Row],[Date]])</f>
        <v>2025</v>
      </c>
      <c r="D214" s="181">
        <f>Table13[[#This Row],[Date]]-DAY(Table13[[#This Row],[Date]])+1</f>
        <v>45931</v>
      </c>
      <c r="E214" s="167">
        <f t="shared" si="16"/>
        <v>31</v>
      </c>
      <c r="F214" s="170"/>
      <c r="G214" s="171"/>
      <c r="H214" s="171"/>
      <c r="I214" s="171"/>
      <c r="J214" s="171"/>
      <c r="K214" s="182"/>
      <c r="L214" s="171"/>
      <c r="M214" s="171" t="str">
        <f>IFERROR(_xlfn.XLOOKUP($A214,Input_Raw!$A:$A,Input_Raw!CG:CG),"")</f>
        <v/>
      </c>
      <c r="N214" s="171" t="str">
        <f>IFERROR(_xlfn.XLOOKUP($A214,Input_Raw!$A:$A,Input_Raw!CH:CH),"")</f>
        <v/>
      </c>
      <c r="O214" s="183" t="str">
        <f t="shared" si="17"/>
        <v/>
      </c>
      <c r="P214" s="183" t="str">
        <f>IFERROR(1-SUMIF(WTG_BD!$B:$B,$A214,WTG_BD!$AB:$AB)/($AA214+SUMIF(WTG_BD!$B:$B,$A214,WTG_BD!$AB:$AB)),"")</f>
        <v/>
      </c>
      <c r="Q214" s="184" t="str">
        <f>IFERROR(1-SUMIF(IGA_BD!$B:$B,$A214,IGA_BD!$X:$X)/($AA214+SUMIF(IGA_BD!$B:$B,$A214,IGA_BD!$X:$X)),"")</f>
        <v/>
      </c>
      <c r="R214" s="189" t="str">
        <f>IFERROR(1-SUMIF(Grid_BD!$B:$B,$A214,Grid_BD!$V:$V)/($AA214+SUMIF(Grid_BD!$B:$B,$A214,Grid_BD!$V:$V)),"")</f>
        <v/>
      </c>
      <c r="S214" s="167"/>
      <c r="T214" s="184"/>
      <c r="U214" s="185"/>
      <c r="V214" s="167"/>
      <c r="W214" s="186" t="str">
        <f>IFERROR(Table13[[#This Row],[Mtr_Net_Exp (KWh)]]/(24*AR214*1000),"")</f>
        <v/>
      </c>
      <c r="X214" s="167" t="str">
        <f>IFERROR(_xlfn.XLOOKUP($A214,Input_Raw!$A:$A,Input_Raw!$CF:$CF),"")</f>
        <v/>
      </c>
      <c r="Y214" s="167" t="str">
        <f>IFERROR(_xlfn.XLOOKUP($A214,Input_Raw!$A:$A,Input_Raw!$CZ:$CZ),"")</f>
        <v/>
      </c>
      <c r="Z214" s="167" t="str">
        <f>IFERROR(_xlfn.XLOOKUP($A214,Input_Raw!$A:$A,Input_Raw!$DA:$DA),"")</f>
        <v/>
      </c>
      <c r="AA214" s="169" t="str">
        <f t="shared" si="18"/>
        <v/>
      </c>
      <c r="AB214" s="167" t="str">
        <f>IFERROR(_xlfn.XLOOKUP($A214,Input_Raw!$A:$A,Input_Raw!$DG:$DG),"")</f>
        <v/>
      </c>
      <c r="AC214" s="187">
        <f>IFERROR(_xlfn.XLOOKUP($D214,'Modelling New'!$D:$D,'Modelling New'!$J:$J),"")</f>
        <v>3.9666666666666668</v>
      </c>
      <c r="AD214" s="169">
        <f>IFERROR(_xlfn.XLOOKUP($D214,'Modelling New'!$D:$D,'Modelling New'!$T:$T)*1000,"")</f>
        <v>164597.86033847061</v>
      </c>
      <c r="AE214" s="186"/>
      <c r="AF214" s="186">
        <f>IFERROR(_xlfn.XLOOKUP($D214,'Modelling New'!$D:$D,'Modelling New'!$W:$W),"")</f>
        <v>8.792620744576421E-2</v>
      </c>
      <c r="AG214" s="186">
        <f>IFERROR(_xlfn.XLOOKUP($D214,'Modelling New'!$D:$D,'Modelling New'!$AE:$AE),"")</f>
        <v>0.96029999999999993</v>
      </c>
      <c r="AH214" s="186">
        <f>IFERROR(_xlfn.XLOOKUP($D214,'Modelling New'!$D:$D,'Modelling New'!$AF:$AF),"")</f>
        <v>0.995</v>
      </c>
      <c r="AI214" s="167" t="str">
        <f>IFERROR(_xlfn.XLOOKUP($A214,Input_Raw!$A:$A,Input_Raw!$DE:$DE),"")</f>
        <v/>
      </c>
      <c r="AJ214" s="167"/>
      <c r="AK214" s="167"/>
      <c r="AL214" s="167"/>
      <c r="AM214" s="167"/>
      <c r="AN214" s="188" t="str">
        <f>IFERROR(_xlfn.XLOOKUP($A214,Input_Raw!$A:$A,Input_Raw!$DB:$DB),"")</f>
        <v/>
      </c>
      <c r="AO214" s="186" t="str">
        <f>IFERROR((_xlfn.XLOOKUP($A214,'WTG Reactive Power'!$A:$A,'WTG Reactive Power'!$AR:$AR))/X214/1000,"")</f>
        <v/>
      </c>
      <c r="AP214" s="186">
        <f>IFERROR(_xlfn.XLOOKUP($D214,'Modelling New'!$D:$D,'Modelling New'!$AK:$AK),"")</f>
        <v>0.05</v>
      </c>
      <c r="AQ214" s="186">
        <f>IFERROR(_xlfn.XLOOKUP($D214,'Modelling New'!$D:$D,'Modelling New'!$AL:$AL),"")</f>
        <v>0.05</v>
      </c>
      <c r="AR214">
        <f>IFERROR(_xlfn.XLOOKUP($D214,'Modelling New'!$D:$D,'Modelling New'!$N:$N),"")</f>
        <v>78</v>
      </c>
    </row>
    <row r="215" spans="1:44">
      <c r="A215" s="180">
        <f t="shared" si="15"/>
        <v>45958</v>
      </c>
      <c r="B215" s="169">
        <f>YEAR(Table13[[#This Row],[Date]])+IF(MONTH(Table13[[#This Row],[Date]])&gt;=4,1,0)</f>
        <v>2026</v>
      </c>
      <c r="C215" s="167">
        <f>YEAR(Table13[[#This Row],[Date]])</f>
        <v>2025</v>
      </c>
      <c r="D215" s="181">
        <f>Table13[[#This Row],[Date]]-DAY(Table13[[#This Row],[Date]])+1</f>
        <v>45931</v>
      </c>
      <c r="E215" s="167">
        <f t="shared" si="16"/>
        <v>31</v>
      </c>
      <c r="F215" s="170"/>
      <c r="G215" s="171"/>
      <c r="H215" s="171"/>
      <c r="I215" s="171"/>
      <c r="J215" s="171"/>
      <c r="K215" s="182"/>
      <c r="L215" s="171"/>
      <c r="M215" s="171" t="str">
        <f>IFERROR(_xlfn.XLOOKUP($A215,Input_Raw!$A:$A,Input_Raw!CG:CG),"")</f>
        <v/>
      </c>
      <c r="N215" s="171" t="str">
        <f>IFERROR(_xlfn.XLOOKUP($A215,Input_Raw!$A:$A,Input_Raw!CH:CH),"")</f>
        <v/>
      </c>
      <c r="O215" s="183" t="str">
        <f t="shared" si="17"/>
        <v/>
      </c>
      <c r="P215" s="183" t="str">
        <f>IFERROR(1-SUMIF(WTG_BD!$B:$B,$A215,WTG_BD!$AB:$AB)/($AA215+SUMIF(WTG_BD!$B:$B,$A215,WTG_BD!$AB:$AB)),"")</f>
        <v/>
      </c>
      <c r="Q215" s="184" t="str">
        <f>IFERROR(1-SUMIF(IGA_BD!$B:$B,$A215,IGA_BD!$X:$X)/($AA215+SUMIF(IGA_BD!$B:$B,$A215,IGA_BD!$X:$X)),"")</f>
        <v/>
      </c>
      <c r="R215" s="189" t="str">
        <f>IFERROR(1-SUMIF(Grid_BD!$B:$B,$A215,Grid_BD!$V:$V)/($AA215+SUMIF(Grid_BD!$B:$B,$A215,Grid_BD!$V:$V)),"")</f>
        <v/>
      </c>
      <c r="S215" s="167"/>
      <c r="T215" s="184"/>
      <c r="U215" s="185"/>
      <c r="V215" s="167"/>
      <c r="W215" s="186" t="str">
        <f>IFERROR(Table13[[#This Row],[Mtr_Net_Exp (KWh)]]/(24*AR215*1000),"")</f>
        <v/>
      </c>
      <c r="X215" s="167" t="str">
        <f>IFERROR(_xlfn.XLOOKUP($A215,Input_Raw!$A:$A,Input_Raw!$CF:$CF),"")</f>
        <v/>
      </c>
      <c r="Y215" s="167" t="str">
        <f>IFERROR(_xlfn.XLOOKUP($A215,Input_Raw!$A:$A,Input_Raw!$CZ:$CZ),"")</f>
        <v/>
      </c>
      <c r="Z215" s="167" t="str">
        <f>IFERROR(_xlfn.XLOOKUP($A215,Input_Raw!$A:$A,Input_Raw!$DA:$DA),"")</f>
        <v/>
      </c>
      <c r="AA215" s="169" t="str">
        <f t="shared" si="18"/>
        <v/>
      </c>
      <c r="AB215" s="167" t="str">
        <f>IFERROR(_xlfn.XLOOKUP($A215,Input_Raw!$A:$A,Input_Raw!$DG:$DG),"")</f>
        <v/>
      </c>
      <c r="AC215" s="187">
        <f>IFERROR(_xlfn.XLOOKUP($D215,'Modelling New'!$D:$D,'Modelling New'!$J:$J),"")</f>
        <v>3.9666666666666668</v>
      </c>
      <c r="AD215" s="169">
        <f>IFERROR(_xlfn.XLOOKUP($D215,'Modelling New'!$D:$D,'Modelling New'!$T:$T)*1000,"")</f>
        <v>164597.86033847061</v>
      </c>
      <c r="AE215" s="186"/>
      <c r="AF215" s="186">
        <f>IFERROR(_xlfn.XLOOKUP($D215,'Modelling New'!$D:$D,'Modelling New'!$W:$W),"")</f>
        <v>8.792620744576421E-2</v>
      </c>
      <c r="AG215" s="186">
        <f>IFERROR(_xlfn.XLOOKUP($D215,'Modelling New'!$D:$D,'Modelling New'!$AE:$AE),"")</f>
        <v>0.96029999999999993</v>
      </c>
      <c r="AH215" s="186">
        <f>IFERROR(_xlfn.XLOOKUP($D215,'Modelling New'!$D:$D,'Modelling New'!$AF:$AF),"")</f>
        <v>0.995</v>
      </c>
      <c r="AI215" s="167" t="str">
        <f>IFERROR(_xlfn.XLOOKUP($A215,Input_Raw!$A:$A,Input_Raw!$DE:$DE),"")</f>
        <v/>
      </c>
      <c r="AJ215" s="167"/>
      <c r="AK215" s="167"/>
      <c r="AL215" s="167"/>
      <c r="AM215" s="167"/>
      <c r="AN215" s="188" t="str">
        <f>IFERROR(_xlfn.XLOOKUP($A215,Input_Raw!$A:$A,Input_Raw!$DB:$DB),"")</f>
        <v/>
      </c>
      <c r="AO215" s="186" t="str">
        <f>IFERROR((_xlfn.XLOOKUP($A215,'WTG Reactive Power'!$A:$A,'WTG Reactive Power'!$AR:$AR))/X215/1000,"")</f>
        <v/>
      </c>
      <c r="AP215" s="186">
        <f>IFERROR(_xlfn.XLOOKUP($D215,'Modelling New'!$D:$D,'Modelling New'!$AK:$AK),"")</f>
        <v>0.05</v>
      </c>
      <c r="AQ215" s="186">
        <f>IFERROR(_xlfn.XLOOKUP($D215,'Modelling New'!$D:$D,'Modelling New'!$AL:$AL),"")</f>
        <v>0.05</v>
      </c>
      <c r="AR215">
        <f>IFERROR(_xlfn.XLOOKUP($D215,'Modelling New'!$D:$D,'Modelling New'!$N:$N),"")</f>
        <v>78</v>
      </c>
    </row>
    <row r="216" spans="1:44">
      <c r="A216" s="180">
        <f t="shared" si="15"/>
        <v>45959</v>
      </c>
      <c r="B216" s="169">
        <f>YEAR(Table13[[#This Row],[Date]])+IF(MONTH(Table13[[#This Row],[Date]])&gt;=4,1,0)</f>
        <v>2026</v>
      </c>
      <c r="C216" s="167">
        <f>YEAR(Table13[[#This Row],[Date]])</f>
        <v>2025</v>
      </c>
      <c r="D216" s="181">
        <f>Table13[[#This Row],[Date]]-DAY(Table13[[#This Row],[Date]])+1</f>
        <v>45931</v>
      </c>
      <c r="E216" s="167">
        <f t="shared" si="16"/>
        <v>31</v>
      </c>
      <c r="F216" s="170"/>
      <c r="G216" s="171"/>
      <c r="H216" s="171"/>
      <c r="I216" s="171"/>
      <c r="J216" s="171"/>
      <c r="K216" s="182"/>
      <c r="L216" s="171"/>
      <c r="M216" s="171" t="str">
        <f>IFERROR(_xlfn.XLOOKUP($A216,Input_Raw!$A:$A,Input_Raw!CG:CG),"")</f>
        <v/>
      </c>
      <c r="N216" s="171" t="str">
        <f>IFERROR(_xlfn.XLOOKUP($A216,Input_Raw!$A:$A,Input_Raw!CH:CH),"")</f>
        <v/>
      </c>
      <c r="O216" s="183" t="str">
        <f t="shared" si="17"/>
        <v/>
      </c>
      <c r="P216" s="183" t="str">
        <f>IFERROR(1-SUMIF(WTG_BD!$B:$B,$A216,WTG_BD!$AB:$AB)/($AA216+SUMIF(WTG_BD!$B:$B,$A216,WTG_BD!$AB:$AB)),"")</f>
        <v/>
      </c>
      <c r="Q216" s="184" t="str">
        <f>IFERROR(1-SUMIF(IGA_BD!$B:$B,$A216,IGA_BD!$X:$X)/($AA216+SUMIF(IGA_BD!$B:$B,$A216,IGA_BD!$X:$X)),"")</f>
        <v/>
      </c>
      <c r="R216" s="189" t="str">
        <f>IFERROR(1-SUMIF(Grid_BD!$B:$B,$A216,Grid_BD!$V:$V)/($AA216+SUMIF(Grid_BD!$B:$B,$A216,Grid_BD!$V:$V)),"")</f>
        <v/>
      </c>
      <c r="S216" s="167"/>
      <c r="T216" s="184"/>
      <c r="U216" s="185"/>
      <c r="V216" s="167"/>
      <c r="W216" s="186" t="str">
        <f>IFERROR(Table13[[#This Row],[Mtr_Net_Exp (KWh)]]/(24*AR216*1000),"")</f>
        <v/>
      </c>
      <c r="X216" s="167" t="str">
        <f>IFERROR(_xlfn.XLOOKUP($A216,Input_Raw!$A:$A,Input_Raw!$CF:$CF),"")</f>
        <v/>
      </c>
      <c r="Y216" s="167" t="str">
        <f>IFERROR(_xlfn.XLOOKUP($A216,Input_Raw!$A:$A,Input_Raw!$CZ:$CZ),"")</f>
        <v/>
      </c>
      <c r="Z216" s="167" t="str">
        <f>IFERROR(_xlfn.XLOOKUP($A216,Input_Raw!$A:$A,Input_Raw!$DA:$DA),"")</f>
        <v/>
      </c>
      <c r="AA216" s="169" t="str">
        <f t="shared" si="18"/>
        <v/>
      </c>
      <c r="AB216" s="167" t="str">
        <f>IFERROR(_xlfn.XLOOKUP($A216,Input_Raw!$A:$A,Input_Raw!$DG:$DG),"")</f>
        <v/>
      </c>
      <c r="AC216" s="187">
        <f>IFERROR(_xlfn.XLOOKUP($D216,'Modelling New'!$D:$D,'Modelling New'!$J:$J),"")</f>
        <v>3.9666666666666668</v>
      </c>
      <c r="AD216" s="169">
        <f>IFERROR(_xlfn.XLOOKUP($D216,'Modelling New'!$D:$D,'Modelling New'!$T:$T)*1000,"")</f>
        <v>164597.86033847061</v>
      </c>
      <c r="AE216" s="186"/>
      <c r="AF216" s="186">
        <f>IFERROR(_xlfn.XLOOKUP($D216,'Modelling New'!$D:$D,'Modelling New'!$W:$W),"")</f>
        <v>8.792620744576421E-2</v>
      </c>
      <c r="AG216" s="186">
        <f>IFERROR(_xlfn.XLOOKUP($D216,'Modelling New'!$D:$D,'Modelling New'!$AE:$AE),"")</f>
        <v>0.96029999999999993</v>
      </c>
      <c r="AH216" s="186">
        <f>IFERROR(_xlfn.XLOOKUP($D216,'Modelling New'!$D:$D,'Modelling New'!$AF:$AF),"")</f>
        <v>0.995</v>
      </c>
      <c r="AI216" s="167" t="str">
        <f>IFERROR(_xlfn.XLOOKUP($A216,Input_Raw!$A:$A,Input_Raw!$DE:$DE),"")</f>
        <v/>
      </c>
      <c r="AJ216" s="167"/>
      <c r="AK216" s="167"/>
      <c r="AL216" s="167"/>
      <c r="AM216" s="167"/>
      <c r="AN216" s="188" t="str">
        <f>IFERROR(_xlfn.XLOOKUP($A216,Input_Raw!$A:$A,Input_Raw!$DB:$DB),"")</f>
        <v/>
      </c>
      <c r="AO216" s="186" t="str">
        <f>IFERROR((_xlfn.XLOOKUP($A216,'WTG Reactive Power'!$A:$A,'WTG Reactive Power'!$AR:$AR))/X216/1000,"")</f>
        <v/>
      </c>
      <c r="AP216" s="186">
        <f>IFERROR(_xlfn.XLOOKUP($D216,'Modelling New'!$D:$D,'Modelling New'!$AK:$AK),"")</f>
        <v>0.05</v>
      </c>
      <c r="AQ216" s="186">
        <f>IFERROR(_xlfn.XLOOKUP($D216,'Modelling New'!$D:$D,'Modelling New'!$AL:$AL),"")</f>
        <v>0.05</v>
      </c>
      <c r="AR216">
        <f>IFERROR(_xlfn.XLOOKUP($D216,'Modelling New'!$D:$D,'Modelling New'!$N:$N),"")</f>
        <v>78</v>
      </c>
    </row>
    <row r="217" spans="1:44">
      <c r="A217" s="180">
        <f t="shared" si="15"/>
        <v>45960</v>
      </c>
      <c r="B217" s="169">
        <f>YEAR(Table13[[#This Row],[Date]])+IF(MONTH(Table13[[#This Row],[Date]])&gt;=4,1,0)</f>
        <v>2026</v>
      </c>
      <c r="C217" s="167">
        <f>YEAR(Table13[[#This Row],[Date]])</f>
        <v>2025</v>
      </c>
      <c r="D217" s="181">
        <f>Table13[[#This Row],[Date]]-DAY(Table13[[#This Row],[Date]])+1</f>
        <v>45931</v>
      </c>
      <c r="E217" s="167">
        <f t="shared" si="16"/>
        <v>31</v>
      </c>
      <c r="F217" s="170"/>
      <c r="G217" s="171"/>
      <c r="H217" s="171"/>
      <c r="I217" s="171"/>
      <c r="J217" s="171"/>
      <c r="K217" s="182"/>
      <c r="L217" s="171"/>
      <c r="M217" s="171" t="str">
        <f>IFERROR(_xlfn.XLOOKUP($A217,Input_Raw!$A:$A,Input_Raw!CG:CG),"")</f>
        <v/>
      </c>
      <c r="N217" s="171" t="str">
        <f>IFERROR(_xlfn.XLOOKUP($A217,Input_Raw!$A:$A,Input_Raw!CH:CH),"")</f>
        <v/>
      </c>
      <c r="O217" s="183" t="str">
        <f t="shared" si="17"/>
        <v/>
      </c>
      <c r="P217" s="183" t="str">
        <f>IFERROR(1-SUMIF(WTG_BD!$B:$B,$A217,WTG_BD!$AB:$AB)/($AA217+SUMIF(WTG_BD!$B:$B,$A217,WTG_BD!$AB:$AB)),"")</f>
        <v/>
      </c>
      <c r="Q217" s="184" t="str">
        <f>IFERROR(1-SUMIF(IGA_BD!$B:$B,$A217,IGA_BD!$X:$X)/($AA217+SUMIF(IGA_BD!$B:$B,$A217,IGA_BD!$X:$X)),"")</f>
        <v/>
      </c>
      <c r="R217" s="189" t="str">
        <f>IFERROR(1-SUMIF(Grid_BD!$B:$B,$A217,Grid_BD!$V:$V)/($AA217+SUMIF(Grid_BD!$B:$B,$A217,Grid_BD!$V:$V)),"")</f>
        <v/>
      </c>
      <c r="S217" s="167"/>
      <c r="T217" s="184"/>
      <c r="U217" s="185"/>
      <c r="V217" s="167"/>
      <c r="W217" s="186" t="str">
        <f>IFERROR(Table13[[#This Row],[Mtr_Net_Exp (KWh)]]/(24*AR217*1000),"")</f>
        <v/>
      </c>
      <c r="X217" s="167" t="str">
        <f>IFERROR(_xlfn.XLOOKUP($A217,Input_Raw!$A:$A,Input_Raw!$CF:$CF),"")</f>
        <v/>
      </c>
      <c r="Y217" s="167" t="str">
        <f>IFERROR(_xlfn.XLOOKUP($A217,Input_Raw!$A:$A,Input_Raw!$CZ:$CZ),"")</f>
        <v/>
      </c>
      <c r="Z217" s="167" t="str">
        <f>IFERROR(_xlfn.XLOOKUP($A217,Input_Raw!$A:$A,Input_Raw!$DA:$DA),"")</f>
        <v/>
      </c>
      <c r="AA217" s="169" t="str">
        <f t="shared" si="18"/>
        <v/>
      </c>
      <c r="AB217" s="167" t="str">
        <f>IFERROR(_xlfn.XLOOKUP($A217,Input_Raw!$A:$A,Input_Raw!$DG:$DG),"")</f>
        <v/>
      </c>
      <c r="AC217" s="187">
        <f>IFERROR(_xlfn.XLOOKUP($D217,'Modelling New'!$D:$D,'Modelling New'!$J:$J),"")</f>
        <v>3.9666666666666668</v>
      </c>
      <c r="AD217" s="169">
        <f>IFERROR(_xlfn.XLOOKUP($D217,'Modelling New'!$D:$D,'Modelling New'!$T:$T)*1000,"")</f>
        <v>164597.86033847061</v>
      </c>
      <c r="AE217" s="186"/>
      <c r="AF217" s="186">
        <f>IFERROR(_xlfn.XLOOKUP($D217,'Modelling New'!$D:$D,'Modelling New'!$W:$W),"")</f>
        <v>8.792620744576421E-2</v>
      </c>
      <c r="AG217" s="186">
        <f>IFERROR(_xlfn.XLOOKUP($D217,'Modelling New'!$D:$D,'Modelling New'!$AE:$AE),"")</f>
        <v>0.96029999999999993</v>
      </c>
      <c r="AH217" s="186">
        <f>IFERROR(_xlfn.XLOOKUP($D217,'Modelling New'!$D:$D,'Modelling New'!$AF:$AF),"")</f>
        <v>0.995</v>
      </c>
      <c r="AI217" s="167" t="str">
        <f>IFERROR(_xlfn.XLOOKUP($A217,Input_Raw!$A:$A,Input_Raw!$DE:$DE),"")</f>
        <v/>
      </c>
      <c r="AJ217" s="167"/>
      <c r="AK217" s="167"/>
      <c r="AL217" s="167"/>
      <c r="AM217" s="167"/>
      <c r="AN217" s="188" t="str">
        <f>IFERROR(_xlfn.XLOOKUP($A217,Input_Raw!$A:$A,Input_Raw!$DB:$DB),"")</f>
        <v/>
      </c>
      <c r="AO217" s="186" t="str">
        <f>IFERROR((_xlfn.XLOOKUP($A217,'WTG Reactive Power'!$A:$A,'WTG Reactive Power'!$AR:$AR))/X217/1000,"")</f>
        <v/>
      </c>
      <c r="AP217" s="186">
        <f>IFERROR(_xlfn.XLOOKUP($D217,'Modelling New'!$D:$D,'Modelling New'!$AK:$AK),"")</f>
        <v>0.05</v>
      </c>
      <c r="AQ217" s="186">
        <f>IFERROR(_xlfn.XLOOKUP($D217,'Modelling New'!$D:$D,'Modelling New'!$AL:$AL),"")</f>
        <v>0.05</v>
      </c>
      <c r="AR217">
        <f>IFERROR(_xlfn.XLOOKUP($D217,'Modelling New'!$D:$D,'Modelling New'!$N:$N),"")</f>
        <v>78</v>
      </c>
    </row>
    <row r="218" spans="1:44">
      <c r="A218" s="180">
        <f t="shared" si="15"/>
        <v>45961</v>
      </c>
      <c r="B218" s="169">
        <f>YEAR(Table13[[#This Row],[Date]])+IF(MONTH(Table13[[#This Row],[Date]])&gt;=4,1,0)</f>
        <v>2026</v>
      </c>
      <c r="C218" s="167">
        <f>YEAR(Table13[[#This Row],[Date]])</f>
        <v>2025</v>
      </c>
      <c r="D218" s="181">
        <f>Table13[[#This Row],[Date]]-DAY(Table13[[#This Row],[Date]])+1</f>
        <v>45931</v>
      </c>
      <c r="E218" s="167">
        <f t="shared" si="16"/>
        <v>31</v>
      </c>
      <c r="F218" s="170"/>
      <c r="G218" s="171"/>
      <c r="H218" s="171"/>
      <c r="I218" s="171"/>
      <c r="J218" s="171"/>
      <c r="K218" s="182"/>
      <c r="L218" s="171"/>
      <c r="M218" s="171" t="str">
        <f>IFERROR(_xlfn.XLOOKUP($A218,Input_Raw!$A:$A,Input_Raw!CG:CG),"")</f>
        <v/>
      </c>
      <c r="N218" s="171" t="str">
        <f>IFERROR(_xlfn.XLOOKUP($A218,Input_Raw!$A:$A,Input_Raw!CH:CH),"")</f>
        <v/>
      </c>
      <c r="O218" s="183" t="str">
        <f t="shared" si="17"/>
        <v/>
      </c>
      <c r="P218" s="183" t="str">
        <f>IFERROR(1-SUMIF(WTG_BD!$B:$B,$A218,WTG_BD!$AB:$AB)/($AA218+SUMIF(WTG_BD!$B:$B,$A218,WTG_BD!$AB:$AB)),"")</f>
        <v/>
      </c>
      <c r="Q218" s="184" t="str">
        <f>IFERROR(1-SUMIF(IGA_BD!$B:$B,$A218,IGA_BD!$X:$X)/($AA218+SUMIF(IGA_BD!$B:$B,$A218,IGA_BD!$X:$X)),"")</f>
        <v/>
      </c>
      <c r="R218" s="189" t="str">
        <f>IFERROR(1-SUMIF(Grid_BD!$B:$B,$A218,Grid_BD!$V:$V)/($AA218+SUMIF(Grid_BD!$B:$B,$A218,Grid_BD!$V:$V)),"")</f>
        <v/>
      </c>
      <c r="S218" s="167"/>
      <c r="T218" s="184"/>
      <c r="U218" s="185"/>
      <c r="V218" s="167"/>
      <c r="W218" s="186" t="str">
        <f>IFERROR(Table13[[#This Row],[Mtr_Net_Exp (KWh)]]/(24*AR218*1000),"")</f>
        <v/>
      </c>
      <c r="X218" s="167" t="str">
        <f>IFERROR(_xlfn.XLOOKUP($A218,Input_Raw!$A:$A,Input_Raw!$CF:$CF),"")</f>
        <v/>
      </c>
      <c r="Y218" s="167" t="str">
        <f>IFERROR(_xlfn.XLOOKUP($A218,Input_Raw!$A:$A,Input_Raw!$CZ:$CZ),"")</f>
        <v/>
      </c>
      <c r="Z218" s="167" t="str">
        <f>IFERROR(_xlfn.XLOOKUP($A218,Input_Raw!$A:$A,Input_Raw!$DA:$DA),"")</f>
        <v/>
      </c>
      <c r="AA218" s="169" t="str">
        <f t="shared" si="18"/>
        <v/>
      </c>
      <c r="AB218" s="167" t="str">
        <f>IFERROR(_xlfn.XLOOKUP($A218,Input_Raw!$A:$A,Input_Raw!$DG:$DG),"")</f>
        <v/>
      </c>
      <c r="AC218" s="187">
        <f>IFERROR(_xlfn.XLOOKUP($D218,'Modelling New'!$D:$D,'Modelling New'!$J:$J),"")</f>
        <v>3.9666666666666668</v>
      </c>
      <c r="AD218" s="169">
        <f>IFERROR(_xlfn.XLOOKUP($D218,'Modelling New'!$D:$D,'Modelling New'!$T:$T)*1000,"")</f>
        <v>164597.86033847061</v>
      </c>
      <c r="AE218" s="186"/>
      <c r="AF218" s="186">
        <f>IFERROR(_xlfn.XLOOKUP($D218,'Modelling New'!$D:$D,'Modelling New'!$W:$W),"")</f>
        <v>8.792620744576421E-2</v>
      </c>
      <c r="AG218" s="186">
        <f>IFERROR(_xlfn.XLOOKUP($D218,'Modelling New'!$D:$D,'Modelling New'!$AE:$AE),"")</f>
        <v>0.96029999999999993</v>
      </c>
      <c r="AH218" s="186">
        <f>IFERROR(_xlfn.XLOOKUP($D218,'Modelling New'!$D:$D,'Modelling New'!$AF:$AF),"")</f>
        <v>0.995</v>
      </c>
      <c r="AI218" s="167" t="str">
        <f>IFERROR(_xlfn.XLOOKUP($A218,Input_Raw!$A:$A,Input_Raw!$DE:$DE),"")</f>
        <v/>
      </c>
      <c r="AJ218" s="167"/>
      <c r="AK218" s="167"/>
      <c r="AL218" s="167"/>
      <c r="AM218" s="167"/>
      <c r="AN218" s="188" t="str">
        <f>IFERROR(_xlfn.XLOOKUP($A218,Input_Raw!$A:$A,Input_Raw!$DB:$DB),"")</f>
        <v/>
      </c>
      <c r="AO218" s="186" t="str">
        <f>IFERROR((_xlfn.XLOOKUP($A218,'WTG Reactive Power'!$A:$A,'WTG Reactive Power'!$AR:$AR))/X218/1000,"")</f>
        <v/>
      </c>
      <c r="AP218" s="186">
        <f>IFERROR(_xlfn.XLOOKUP($D218,'Modelling New'!$D:$D,'Modelling New'!$AK:$AK),"")</f>
        <v>0.05</v>
      </c>
      <c r="AQ218" s="186">
        <f>IFERROR(_xlfn.XLOOKUP($D218,'Modelling New'!$D:$D,'Modelling New'!$AL:$AL),"")</f>
        <v>0.05</v>
      </c>
      <c r="AR218">
        <f>IFERROR(_xlfn.XLOOKUP($D218,'Modelling New'!$D:$D,'Modelling New'!$N:$N),"")</f>
        <v>78</v>
      </c>
    </row>
    <row r="219" spans="1:44">
      <c r="A219" s="180">
        <f t="shared" si="15"/>
        <v>45962</v>
      </c>
      <c r="B219" s="169">
        <f>YEAR(Table13[[#This Row],[Date]])+IF(MONTH(Table13[[#This Row],[Date]])&gt;=4,1,0)</f>
        <v>2026</v>
      </c>
      <c r="C219" s="167">
        <f>YEAR(Table13[[#This Row],[Date]])</f>
        <v>2025</v>
      </c>
      <c r="D219" s="181">
        <f>Table13[[#This Row],[Date]]-DAY(Table13[[#This Row],[Date]])+1</f>
        <v>45962</v>
      </c>
      <c r="E219" s="167">
        <f t="shared" si="16"/>
        <v>30</v>
      </c>
      <c r="F219" s="170"/>
      <c r="G219" s="171"/>
      <c r="H219" s="171"/>
      <c r="I219" s="171"/>
      <c r="J219" s="171"/>
      <c r="K219" s="182"/>
      <c r="L219" s="171"/>
      <c r="M219" s="171" t="str">
        <f>IFERROR(_xlfn.XLOOKUP($A219,Input_Raw!$A:$A,Input_Raw!CG:CG),"")</f>
        <v/>
      </c>
      <c r="N219" s="171" t="str">
        <f>IFERROR(_xlfn.XLOOKUP($A219,Input_Raw!$A:$A,Input_Raw!CH:CH),"")</f>
        <v/>
      </c>
      <c r="O219" s="183" t="str">
        <f t="shared" si="17"/>
        <v/>
      </c>
      <c r="P219" s="183" t="str">
        <f>IFERROR(1-SUMIF(WTG_BD!$B:$B,$A219,WTG_BD!$AB:$AB)/($AA219+SUMIF(WTG_BD!$B:$B,$A219,WTG_BD!$AB:$AB)),"")</f>
        <v/>
      </c>
      <c r="Q219" s="184" t="str">
        <f>IFERROR(1-SUMIF(IGA_BD!$B:$B,$A219,IGA_BD!$X:$X)/($AA219+SUMIF(IGA_BD!$B:$B,$A219,IGA_BD!$X:$X)),"")</f>
        <v/>
      </c>
      <c r="R219" s="189" t="str">
        <f>IFERROR(1-SUMIF(Grid_BD!$B:$B,$A219,Grid_BD!$V:$V)/($AA219+SUMIF(Grid_BD!$B:$B,$A219,Grid_BD!$V:$V)),"")</f>
        <v/>
      </c>
      <c r="S219" s="167"/>
      <c r="T219" s="184"/>
      <c r="U219" s="185"/>
      <c r="V219" s="167"/>
      <c r="W219" s="186" t="str">
        <f>IFERROR(Table13[[#This Row],[Mtr_Net_Exp (KWh)]]/(24*AR219*1000),"")</f>
        <v/>
      </c>
      <c r="X219" s="167" t="str">
        <f>IFERROR(_xlfn.XLOOKUP($A219,Input_Raw!$A:$A,Input_Raw!$CF:$CF),"")</f>
        <v/>
      </c>
      <c r="Y219" s="167" t="str">
        <f>IFERROR(_xlfn.XLOOKUP($A219,Input_Raw!$A:$A,Input_Raw!$CZ:$CZ),"")</f>
        <v/>
      </c>
      <c r="Z219" s="167" t="str">
        <f>IFERROR(_xlfn.XLOOKUP($A219,Input_Raw!$A:$A,Input_Raw!$DA:$DA),"")</f>
        <v/>
      </c>
      <c r="AA219" s="169" t="str">
        <f t="shared" si="18"/>
        <v/>
      </c>
      <c r="AB219" s="167" t="str">
        <f>IFERROR(_xlfn.XLOOKUP($A219,Input_Raw!$A:$A,Input_Raw!$DG:$DG),"")</f>
        <v/>
      </c>
      <c r="AC219" s="187">
        <f>IFERROR(_xlfn.XLOOKUP($D219,'Modelling New'!$D:$D,'Modelling New'!$J:$J),"")</f>
        <v>4.0333333333333332</v>
      </c>
      <c r="AD219" s="169">
        <f>IFERROR(_xlfn.XLOOKUP($D219,'Modelling New'!$D:$D,'Modelling New'!$T:$T)*1000,"")</f>
        <v>162550.46310460661</v>
      </c>
      <c r="AE219" s="186"/>
      <c r="AF219" s="186">
        <f>IFERROR(_xlfn.XLOOKUP($D219,'Modelling New'!$D:$D,'Modelling New'!$W:$W),"")</f>
        <v>8.6832512342204377E-2</v>
      </c>
      <c r="AG219" s="186">
        <f>IFERROR(_xlfn.XLOOKUP($D219,'Modelling New'!$D:$D,'Modelling New'!$AE:$AE),"")</f>
        <v>0.96029999999999993</v>
      </c>
      <c r="AH219" s="186">
        <f>IFERROR(_xlfn.XLOOKUP($D219,'Modelling New'!$D:$D,'Modelling New'!$AF:$AF),"")</f>
        <v>0.995</v>
      </c>
      <c r="AI219" s="167" t="str">
        <f>IFERROR(_xlfn.XLOOKUP($A219,Input_Raw!$A:$A,Input_Raw!$DE:$DE),"")</f>
        <v/>
      </c>
      <c r="AJ219" s="167"/>
      <c r="AK219" s="167"/>
      <c r="AL219" s="167"/>
      <c r="AM219" s="167"/>
      <c r="AN219" s="188" t="str">
        <f>IFERROR(_xlfn.XLOOKUP($A219,Input_Raw!$A:$A,Input_Raw!$DB:$DB),"")</f>
        <v/>
      </c>
      <c r="AO219" s="186" t="str">
        <f>IFERROR((_xlfn.XLOOKUP($A219,'WTG Reactive Power'!$A:$A,'WTG Reactive Power'!$AR:$AR))/X219/1000,"")</f>
        <v/>
      </c>
      <c r="AP219" s="186">
        <f>IFERROR(_xlfn.XLOOKUP($D219,'Modelling New'!$D:$D,'Modelling New'!$AK:$AK),"")</f>
        <v>0.05</v>
      </c>
      <c r="AQ219" s="186">
        <f>IFERROR(_xlfn.XLOOKUP($D219,'Modelling New'!$D:$D,'Modelling New'!$AL:$AL),"")</f>
        <v>0.05</v>
      </c>
      <c r="AR219">
        <f>IFERROR(_xlfn.XLOOKUP($D219,'Modelling New'!$D:$D,'Modelling New'!$N:$N),"")</f>
        <v>78</v>
      </c>
    </row>
    <row r="220" spans="1:44">
      <c r="A220" s="180">
        <f t="shared" si="15"/>
        <v>45963</v>
      </c>
      <c r="B220" s="169">
        <f>YEAR(Table13[[#This Row],[Date]])+IF(MONTH(Table13[[#This Row],[Date]])&gt;=4,1,0)</f>
        <v>2026</v>
      </c>
      <c r="C220" s="167">
        <f>YEAR(Table13[[#This Row],[Date]])</f>
        <v>2025</v>
      </c>
      <c r="D220" s="181">
        <f>Table13[[#This Row],[Date]]-DAY(Table13[[#This Row],[Date]])+1</f>
        <v>45962</v>
      </c>
      <c r="E220" s="167">
        <f t="shared" si="16"/>
        <v>30</v>
      </c>
      <c r="F220" s="170"/>
      <c r="G220" s="171"/>
      <c r="H220" s="171"/>
      <c r="I220" s="171"/>
      <c r="J220" s="171"/>
      <c r="K220" s="182"/>
      <c r="L220" s="171"/>
      <c r="M220" s="171" t="str">
        <f>IFERROR(_xlfn.XLOOKUP($A220,Input_Raw!$A:$A,Input_Raw!CG:CG),"")</f>
        <v/>
      </c>
      <c r="N220" s="171" t="str">
        <f>IFERROR(_xlfn.XLOOKUP($A220,Input_Raw!$A:$A,Input_Raw!CH:CH),"")</f>
        <v/>
      </c>
      <c r="O220" s="183" t="str">
        <f t="shared" si="17"/>
        <v/>
      </c>
      <c r="P220" s="183" t="str">
        <f>IFERROR(1-SUMIF(WTG_BD!$B:$B,$A220,WTG_BD!$AB:$AB)/($AA220+SUMIF(WTG_BD!$B:$B,$A220,WTG_BD!$AB:$AB)),"")</f>
        <v/>
      </c>
      <c r="Q220" s="184" t="str">
        <f>IFERROR(1-SUMIF(IGA_BD!$B:$B,$A220,IGA_BD!$X:$X)/($AA220+SUMIF(IGA_BD!$B:$B,$A220,IGA_BD!$X:$X)),"")</f>
        <v/>
      </c>
      <c r="R220" s="189" t="str">
        <f>IFERROR(1-SUMIF(Grid_BD!$B:$B,$A220,Grid_BD!$V:$V)/($AA220+SUMIF(Grid_BD!$B:$B,$A220,Grid_BD!$V:$V)),"")</f>
        <v/>
      </c>
      <c r="S220" s="167"/>
      <c r="T220" s="184"/>
      <c r="U220" s="185"/>
      <c r="V220" s="167"/>
      <c r="W220" s="186" t="str">
        <f>IFERROR(Table13[[#This Row],[Mtr_Net_Exp (KWh)]]/(24*AR220*1000),"")</f>
        <v/>
      </c>
      <c r="X220" s="167" t="str">
        <f>IFERROR(_xlfn.XLOOKUP($A220,Input_Raw!$A:$A,Input_Raw!$CF:$CF),"")</f>
        <v/>
      </c>
      <c r="Y220" s="167" t="str">
        <f>IFERROR(_xlfn.XLOOKUP($A220,Input_Raw!$A:$A,Input_Raw!$CZ:$CZ),"")</f>
        <v/>
      </c>
      <c r="Z220" s="167" t="str">
        <f>IFERROR(_xlfn.XLOOKUP($A220,Input_Raw!$A:$A,Input_Raw!$DA:$DA),"")</f>
        <v/>
      </c>
      <c r="AA220" s="169" t="str">
        <f t="shared" si="18"/>
        <v/>
      </c>
      <c r="AB220" s="167" t="str">
        <f>IFERROR(_xlfn.XLOOKUP($A220,Input_Raw!$A:$A,Input_Raw!$DG:$DG),"")</f>
        <v/>
      </c>
      <c r="AC220" s="187">
        <f>IFERROR(_xlfn.XLOOKUP($D220,'Modelling New'!$D:$D,'Modelling New'!$J:$J),"")</f>
        <v>4.0333333333333332</v>
      </c>
      <c r="AD220" s="169">
        <f>IFERROR(_xlfn.XLOOKUP($D220,'Modelling New'!$D:$D,'Modelling New'!$T:$T)*1000,"")</f>
        <v>162550.46310460661</v>
      </c>
      <c r="AE220" s="186"/>
      <c r="AF220" s="186">
        <f>IFERROR(_xlfn.XLOOKUP($D220,'Modelling New'!$D:$D,'Modelling New'!$W:$W),"")</f>
        <v>8.6832512342204377E-2</v>
      </c>
      <c r="AG220" s="186">
        <f>IFERROR(_xlfn.XLOOKUP($D220,'Modelling New'!$D:$D,'Modelling New'!$AE:$AE),"")</f>
        <v>0.96029999999999993</v>
      </c>
      <c r="AH220" s="186">
        <f>IFERROR(_xlfn.XLOOKUP($D220,'Modelling New'!$D:$D,'Modelling New'!$AF:$AF),"")</f>
        <v>0.995</v>
      </c>
      <c r="AI220" s="167" t="str">
        <f>IFERROR(_xlfn.XLOOKUP($A220,Input_Raw!$A:$A,Input_Raw!$DE:$DE),"")</f>
        <v/>
      </c>
      <c r="AJ220" s="167"/>
      <c r="AK220" s="167"/>
      <c r="AL220" s="167"/>
      <c r="AM220" s="167"/>
      <c r="AN220" s="188" t="str">
        <f>IFERROR(_xlfn.XLOOKUP($A220,Input_Raw!$A:$A,Input_Raw!$DB:$DB),"")</f>
        <v/>
      </c>
      <c r="AO220" s="186" t="str">
        <f>IFERROR((_xlfn.XLOOKUP($A220,'WTG Reactive Power'!$A:$A,'WTG Reactive Power'!$AR:$AR))/X220/1000,"")</f>
        <v/>
      </c>
      <c r="AP220" s="186">
        <f>IFERROR(_xlfn.XLOOKUP($D220,'Modelling New'!$D:$D,'Modelling New'!$AK:$AK),"")</f>
        <v>0.05</v>
      </c>
      <c r="AQ220" s="186">
        <f>IFERROR(_xlfn.XLOOKUP($D220,'Modelling New'!$D:$D,'Modelling New'!$AL:$AL),"")</f>
        <v>0.05</v>
      </c>
      <c r="AR220">
        <f>IFERROR(_xlfn.XLOOKUP($D220,'Modelling New'!$D:$D,'Modelling New'!$N:$N),"")</f>
        <v>78</v>
      </c>
    </row>
    <row r="221" spans="1:44">
      <c r="A221" s="180">
        <f t="shared" si="15"/>
        <v>45964</v>
      </c>
      <c r="B221" s="169">
        <f>YEAR(Table13[[#This Row],[Date]])+IF(MONTH(Table13[[#This Row],[Date]])&gt;=4,1,0)</f>
        <v>2026</v>
      </c>
      <c r="C221" s="167">
        <f>YEAR(Table13[[#This Row],[Date]])</f>
        <v>2025</v>
      </c>
      <c r="D221" s="181">
        <f>Table13[[#This Row],[Date]]-DAY(Table13[[#This Row],[Date]])+1</f>
        <v>45962</v>
      </c>
      <c r="E221" s="167">
        <f t="shared" si="16"/>
        <v>30</v>
      </c>
      <c r="F221" s="170"/>
      <c r="G221" s="171"/>
      <c r="H221" s="171"/>
      <c r="I221" s="171"/>
      <c r="J221" s="171"/>
      <c r="K221" s="182"/>
      <c r="L221" s="171"/>
      <c r="M221" s="171" t="str">
        <f>IFERROR(_xlfn.XLOOKUP($A221,Input_Raw!$A:$A,Input_Raw!CG:CG),"")</f>
        <v/>
      </c>
      <c r="N221" s="171" t="str">
        <f>IFERROR(_xlfn.XLOOKUP($A221,Input_Raw!$A:$A,Input_Raw!CH:CH),"")</f>
        <v/>
      </c>
      <c r="O221" s="183" t="str">
        <f t="shared" si="17"/>
        <v/>
      </c>
      <c r="P221" s="183" t="str">
        <f>IFERROR(1-SUMIF(WTG_BD!$B:$B,$A221,WTG_BD!$AB:$AB)/($AA221+SUMIF(WTG_BD!$B:$B,$A221,WTG_BD!$AB:$AB)),"")</f>
        <v/>
      </c>
      <c r="Q221" s="184" t="str">
        <f>IFERROR(1-SUMIF(IGA_BD!$B:$B,$A221,IGA_BD!$X:$X)/($AA221+SUMIF(IGA_BD!$B:$B,$A221,IGA_BD!$X:$X)),"")</f>
        <v/>
      </c>
      <c r="R221" s="189" t="str">
        <f>IFERROR(1-SUMIF(Grid_BD!$B:$B,$A221,Grid_BD!$V:$V)/($AA221+SUMIF(Grid_BD!$B:$B,$A221,Grid_BD!$V:$V)),"")</f>
        <v/>
      </c>
      <c r="S221" s="167"/>
      <c r="T221" s="184"/>
      <c r="U221" s="185"/>
      <c r="V221" s="167"/>
      <c r="W221" s="186" t="str">
        <f>IFERROR(Table13[[#This Row],[Mtr_Net_Exp (KWh)]]/(24*AR221*1000),"")</f>
        <v/>
      </c>
      <c r="X221" s="167" t="str">
        <f>IFERROR(_xlfn.XLOOKUP($A221,Input_Raw!$A:$A,Input_Raw!$CF:$CF),"")</f>
        <v/>
      </c>
      <c r="Y221" s="167" t="str">
        <f>IFERROR(_xlfn.XLOOKUP($A221,Input_Raw!$A:$A,Input_Raw!$CZ:$CZ),"")</f>
        <v/>
      </c>
      <c r="Z221" s="167" t="str">
        <f>IFERROR(_xlfn.XLOOKUP($A221,Input_Raw!$A:$A,Input_Raw!$DA:$DA),"")</f>
        <v/>
      </c>
      <c r="AA221" s="169" t="str">
        <f t="shared" si="18"/>
        <v/>
      </c>
      <c r="AB221" s="167" t="str">
        <f>IFERROR(_xlfn.XLOOKUP($A221,Input_Raw!$A:$A,Input_Raw!$DG:$DG),"")</f>
        <v/>
      </c>
      <c r="AC221" s="187">
        <f>IFERROR(_xlfn.XLOOKUP($D221,'Modelling New'!$D:$D,'Modelling New'!$J:$J),"")</f>
        <v>4.0333333333333332</v>
      </c>
      <c r="AD221" s="169">
        <f>IFERROR(_xlfn.XLOOKUP($D221,'Modelling New'!$D:$D,'Modelling New'!$T:$T)*1000,"")</f>
        <v>162550.46310460661</v>
      </c>
      <c r="AE221" s="186"/>
      <c r="AF221" s="186">
        <f>IFERROR(_xlfn.XLOOKUP($D221,'Modelling New'!$D:$D,'Modelling New'!$W:$W),"")</f>
        <v>8.6832512342204377E-2</v>
      </c>
      <c r="AG221" s="186">
        <f>IFERROR(_xlfn.XLOOKUP($D221,'Modelling New'!$D:$D,'Modelling New'!$AE:$AE),"")</f>
        <v>0.96029999999999993</v>
      </c>
      <c r="AH221" s="186">
        <f>IFERROR(_xlfn.XLOOKUP($D221,'Modelling New'!$D:$D,'Modelling New'!$AF:$AF),"")</f>
        <v>0.995</v>
      </c>
      <c r="AI221" s="167" t="str">
        <f>IFERROR(_xlfn.XLOOKUP($A221,Input_Raw!$A:$A,Input_Raw!$DE:$DE),"")</f>
        <v/>
      </c>
      <c r="AJ221" s="167"/>
      <c r="AK221" s="167"/>
      <c r="AL221" s="167"/>
      <c r="AM221" s="167"/>
      <c r="AN221" s="188" t="str">
        <f>IFERROR(_xlfn.XLOOKUP($A221,Input_Raw!$A:$A,Input_Raw!$DB:$DB),"")</f>
        <v/>
      </c>
      <c r="AO221" s="186" t="str">
        <f>IFERROR((_xlfn.XLOOKUP($A221,'WTG Reactive Power'!$A:$A,'WTG Reactive Power'!$AR:$AR))/X221/1000,"")</f>
        <v/>
      </c>
      <c r="AP221" s="186">
        <f>IFERROR(_xlfn.XLOOKUP($D221,'Modelling New'!$D:$D,'Modelling New'!$AK:$AK),"")</f>
        <v>0.05</v>
      </c>
      <c r="AQ221" s="186">
        <f>IFERROR(_xlfn.XLOOKUP($D221,'Modelling New'!$D:$D,'Modelling New'!$AL:$AL),"")</f>
        <v>0.05</v>
      </c>
      <c r="AR221">
        <f>IFERROR(_xlfn.XLOOKUP($D221,'Modelling New'!$D:$D,'Modelling New'!$N:$N),"")</f>
        <v>78</v>
      </c>
    </row>
    <row r="222" spans="1:44">
      <c r="A222" s="180">
        <f t="shared" si="15"/>
        <v>45965</v>
      </c>
      <c r="B222" s="169">
        <f>YEAR(Table13[[#This Row],[Date]])+IF(MONTH(Table13[[#This Row],[Date]])&gt;=4,1,0)</f>
        <v>2026</v>
      </c>
      <c r="C222" s="167">
        <f>YEAR(Table13[[#This Row],[Date]])</f>
        <v>2025</v>
      </c>
      <c r="D222" s="181">
        <f>Table13[[#This Row],[Date]]-DAY(Table13[[#This Row],[Date]])+1</f>
        <v>45962</v>
      </c>
      <c r="E222" s="167">
        <f t="shared" si="16"/>
        <v>30</v>
      </c>
      <c r="F222" s="170"/>
      <c r="G222" s="171"/>
      <c r="H222" s="171"/>
      <c r="I222" s="171"/>
      <c r="J222" s="171"/>
      <c r="K222" s="182"/>
      <c r="L222" s="171"/>
      <c r="M222" s="171" t="str">
        <f>IFERROR(_xlfn.XLOOKUP($A222,Input_Raw!$A:$A,Input_Raw!CG:CG),"")</f>
        <v/>
      </c>
      <c r="N222" s="171" t="str">
        <f>IFERROR(_xlfn.XLOOKUP($A222,Input_Raw!$A:$A,Input_Raw!CH:CH),"")</f>
        <v/>
      </c>
      <c r="O222" s="183" t="str">
        <f t="shared" si="17"/>
        <v/>
      </c>
      <c r="P222" s="183" t="str">
        <f>IFERROR(1-SUMIF(WTG_BD!$B:$B,$A222,WTG_BD!$AB:$AB)/($AA222+SUMIF(WTG_BD!$B:$B,$A222,WTG_BD!$AB:$AB)),"")</f>
        <v/>
      </c>
      <c r="Q222" s="184" t="str">
        <f>IFERROR(1-SUMIF(IGA_BD!$B:$B,$A222,IGA_BD!$X:$X)/($AA222+SUMIF(IGA_BD!$B:$B,$A222,IGA_BD!$X:$X)),"")</f>
        <v/>
      </c>
      <c r="R222" s="189" t="str">
        <f>IFERROR(1-SUMIF(Grid_BD!$B:$B,$A222,Grid_BD!$V:$V)/($AA222+SUMIF(Grid_BD!$B:$B,$A222,Grid_BD!$V:$V)),"")</f>
        <v/>
      </c>
      <c r="S222" s="167"/>
      <c r="T222" s="184"/>
      <c r="U222" s="185"/>
      <c r="V222" s="167"/>
      <c r="W222" s="186" t="str">
        <f>IFERROR(Table13[[#This Row],[Mtr_Net_Exp (KWh)]]/(24*AR222*1000),"")</f>
        <v/>
      </c>
      <c r="X222" s="167" t="str">
        <f>IFERROR(_xlfn.XLOOKUP($A222,Input_Raw!$A:$A,Input_Raw!$CF:$CF),"")</f>
        <v/>
      </c>
      <c r="Y222" s="167" t="str">
        <f>IFERROR(_xlfn.XLOOKUP($A222,Input_Raw!$A:$A,Input_Raw!$CZ:$CZ),"")</f>
        <v/>
      </c>
      <c r="Z222" s="167" t="str">
        <f>IFERROR(_xlfn.XLOOKUP($A222,Input_Raw!$A:$A,Input_Raw!$DA:$DA),"")</f>
        <v/>
      </c>
      <c r="AA222" s="169" t="str">
        <f t="shared" si="18"/>
        <v/>
      </c>
      <c r="AB222" s="167" t="str">
        <f>IFERROR(_xlfn.XLOOKUP($A222,Input_Raw!$A:$A,Input_Raw!$DG:$DG),"")</f>
        <v/>
      </c>
      <c r="AC222" s="187">
        <f>IFERROR(_xlfn.XLOOKUP($D222,'Modelling New'!$D:$D,'Modelling New'!$J:$J),"")</f>
        <v>4.0333333333333332</v>
      </c>
      <c r="AD222" s="169">
        <f>IFERROR(_xlfn.XLOOKUP($D222,'Modelling New'!$D:$D,'Modelling New'!$T:$T)*1000,"")</f>
        <v>162550.46310460661</v>
      </c>
      <c r="AE222" s="186"/>
      <c r="AF222" s="186">
        <f>IFERROR(_xlfn.XLOOKUP($D222,'Modelling New'!$D:$D,'Modelling New'!$W:$W),"")</f>
        <v>8.6832512342204377E-2</v>
      </c>
      <c r="AG222" s="186">
        <f>IFERROR(_xlfn.XLOOKUP($D222,'Modelling New'!$D:$D,'Modelling New'!$AE:$AE),"")</f>
        <v>0.96029999999999993</v>
      </c>
      <c r="AH222" s="186">
        <f>IFERROR(_xlfn.XLOOKUP($D222,'Modelling New'!$D:$D,'Modelling New'!$AF:$AF),"")</f>
        <v>0.995</v>
      </c>
      <c r="AI222" s="167" t="str">
        <f>IFERROR(_xlfn.XLOOKUP($A222,Input_Raw!$A:$A,Input_Raw!$DE:$DE),"")</f>
        <v/>
      </c>
      <c r="AJ222" s="167"/>
      <c r="AK222" s="167"/>
      <c r="AL222" s="167"/>
      <c r="AM222" s="167"/>
      <c r="AN222" s="188" t="str">
        <f>IFERROR(_xlfn.XLOOKUP($A222,Input_Raw!$A:$A,Input_Raw!$DB:$DB),"")</f>
        <v/>
      </c>
      <c r="AO222" s="186" t="str">
        <f>IFERROR((_xlfn.XLOOKUP($A222,'WTG Reactive Power'!$A:$A,'WTG Reactive Power'!$AR:$AR))/X222/1000,"")</f>
        <v/>
      </c>
      <c r="AP222" s="186">
        <f>IFERROR(_xlfn.XLOOKUP($D222,'Modelling New'!$D:$D,'Modelling New'!$AK:$AK),"")</f>
        <v>0.05</v>
      </c>
      <c r="AQ222" s="186">
        <f>IFERROR(_xlfn.XLOOKUP($D222,'Modelling New'!$D:$D,'Modelling New'!$AL:$AL),"")</f>
        <v>0.05</v>
      </c>
      <c r="AR222">
        <f>IFERROR(_xlfn.XLOOKUP($D222,'Modelling New'!$D:$D,'Modelling New'!$N:$N),"")</f>
        <v>78</v>
      </c>
    </row>
    <row r="223" spans="1:44">
      <c r="A223" s="180">
        <f t="shared" si="15"/>
        <v>45966</v>
      </c>
      <c r="B223" s="169">
        <f>YEAR(Table13[[#This Row],[Date]])+IF(MONTH(Table13[[#This Row],[Date]])&gt;=4,1,0)</f>
        <v>2026</v>
      </c>
      <c r="C223" s="167">
        <f>YEAR(Table13[[#This Row],[Date]])</f>
        <v>2025</v>
      </c>
      <c r="D223" s="181">
        <f>Table13[[#This Row],[Date]]-DAY(Table13[[#This Row],[Date]])+1</f>
        <v>45962</v>
      </c>
      <c r="E223" s="167">
        <f t="shared" ref="E223:E254" si="19">DAY(EOMONTH(A223,0))</f>
        <v>30</v>
      </c>
      <c r="F223" s="170"/>
      <c r="G223" s="171"/>
      <c r="H223" s="171"/>
      <c r="I223" s="171"/>
      <c r="J223" s="171"/>
      <c r="K223" s="182"/>
      <c r="L223" s="171"/>
      <c r="M223" s="171" t="str">
        <f>IFERROR(_xlfn.XLOOKUP($A223,Input_Raw!$A:$A,Input_Raw!CG:CG),"")</f>
        <v/>
      </c>
      <c r="N223" s="171" t="str">
        <f>IFERROR(_xlfn.XLOOKUP($A223,Input_Raw!$A:$A,Input_Raw!CH:CH),"")</f>
        <v/>
      </c>
      <c r="O223" s="183" t="str">
        <f t="shared" ref="O223:O254" si="20">IFERROR(P223*Q223,"")</f>
        <v/>
      </c>
      <c r="P223" s="183" t="str">
        <f>IFERROR(1-SUMIF(WTG_BD!$B:$B,$A223,WTG_BD!$AB:$AB)/($AA223+SUMIF(WTG_BD!$B:$B,$A223,WTG_BD!$AB:$AB)),"")</f>
        <v/>
      </c>
      <c r="Q223" s="184" t="str">
        <f>IFERROR(1-SUMIF(IGA_BD!$B:$B,$A223,IGA_BD!$X:$X)/($AA223+SUMIF(IGA_BD!$B:$B,$A223,IGA_BD!$X:$X)),"")</f>
        <v/>
      </c>
      <c r="R223" s="189" t="str">
        <f>IFERROR(1-SUMIF(Grid_BD!$B:$B,$A223,Grid_BD!$V:$V)/($AA223+SUMIF(Grid_BD!$B:$B,$A223,Grid_BD!$V:$V)),"")</f>
        <v/>
      </c>
      <c r="S223" s="167"/>
      <c r="T223" s="184"/>
      <c r="U223" s="185"/>
      <c r="V223" s="167"/>
      <c r="W223" s="186" t="str">
        <f>IFERROR(Table13[[#This Row],[Mtr_Net_Exp (KWh)]]/(24*AR223*1000),"")</f>
        <v/>
      </c>
      <c r="X223" s="167" t="str">
        <f>IFERROR(_xlfn.XLOOKUP($A223,Input_Raw!$A:$A,Input_Raw!$CF:$CF),"")</f>
        <v/>
      </c>
      <c r="Y223" s="167" t="str">
        <f>IFERROR(_xlfn.XLOOKUP($A223,Input_Raw!$A:$A,Input_Raw!$CZ:$CZ),"")</f>
        <v/>
      </c>
      <c r="Z223" s="167" t="str">
        <f>IFERROR(_xlfn.XLOOKUP($A223,Input_Raw!$A:$A,Input_Raw!$DA:$DA),"")</f>
        <v/>
      </c>
      <c r="AA223" s="169" t="str">
        <f t="shared" ref="AA223:AA254" si="21">IFERROR(Y223-Z223,"")</f>
        <v/>
      </c>
      <c r="AB223" s="167" t="str">
        <f>IFERROR(_xlfn.XLOOKUP($A223,Input_Raw!$A:$A,Input_Raw!$DG:$DG),"")</f>
        <v/>
      </c>
      <c r="AC223" s="187">
        <f>IFERROR(_xlfn.XLOOKUP($D223,'Modelling New'!$D:$D,'Modelling New'!$J:$J),"")</f>
        <v>4.0333333333333332</v>
      </c>
      <c r="AD223" s="169">
        <f>IFERROR(_xlfn.XLOOKUP($D223,'Modelling New'!$D:$D,'Modelling New'!$T:$T)*1000,"")</f>
        <v>162550.46310460661</v>
      </c>
      <c r="AE223" s="186"/>
      <c r="AF223" s="186">
        <f>IFERROR(_xlfn.XLOOKUP($D223,'Modelling New'!$D:$D,'Modelling New'!$W:$W),"")</f>
        <v>8.6832512342204377E-2</v>
      </c>
      <c r="AG223" s="186">
        <f>IFERROR(_xlfn.XLOOKUP($D223,'Modelling New'!$D:$D,'Modelling New'!$AE:$AE),"")</f>
        <v>0.96029999999999993</v>
      </c>
      <c r="AH223" s="186">
        <f>IFERROR(_xlfn.XLOOKUP($D223,'Modelling New'!$D:$D,'Modelling New'!$AF:$AF),"")</f>
        <v>0.995</v>
      </c>
      <c r="AI223" s="167" t="str">
        <f>IFERROR(_xlfn.XLOOKUP($A223,Input_Raw!$A:$A,Input_Raw!$DE:$DE),"")</f>
        <v/>
      </c>
      <c r="AJ223" s="167"/>
      <c r="AK223" s="167"/>
      <c r="AL223" s="167"/>
      <c r="AM223" s="167"/>
      <c r="AN223" s="188" t="str">
        <f>IFERROR(_xlfn.XLOOKUP($A223,Input_Raw!$A:$A,Input_Raw!$DB:$DB),"")</f>
        <v/>
      </c>
      <c r="AO223" s="186" t="str">
        <f>IFERROR((_xlfn.XLOOKUP($A223,'WTG Reactive Power'!$A:$A,'WTG Reactive Power'!$AR:$AR))/X223/1000,"")</f>
        <v/>
      </c>
      <c r="AP223" s="186">
        <f>IFERROR(_xlfn.XLOOKUP($D223,'Modelling New'!$D:$D,'Modelling New'!$AK:$AK),"")</f>
        <v>0.05</v>
      </c>
      <c r="AQ223" s="186">
        <f>IFERROR(_xlfn.XLOOKUP($D223,'Modelling New'!$D:$D,'Modelling New'!$AL:$AL),"")</f>
        <v>0.05</v>
      </c>
      <c r="AR223">
        <f>IFERROR(_xlfn.XLOOKUP($D223,'Modelling New'!$D:$D,'Modelling New'!$N:$N),"")</f>
        <v>78</v>
      </c>
    </row>
    <row r="224" spans="1:44">
      <c r="A224" s="180">
        <f t="shared" si="15"/>
        <v>45967</v>
      </c>
      <c r="B224" s="169">
        <f>YEAR(Table13[[#This Row],[Date]])+IF(MONTH(Table13[[#This Row],[Date]])&gt;=4,1,0)</f>
        <v>2026</v>
      </c>
      <c r="C224" s="167">
        <f>YEAR(Table13[[#This Row],[Date]])</f>
        <v>2025</v>
      </c>
      <c r="D224" s="181">
        <f>Table13[[#This Row],[Date]]-DAY(Table13[[#This Row],[Date]])+1</f>
        <v>45962</v>
      </c>
      <c r="E224" s="167">
        <f t="shared" si="19"/>
        <v>30</v>
      </c>
      <c r="F224" s="170"/>
      <c r="G224" s="171"/>
      <c r="H224" s="171"/>
      <c r="I224" s="171"/>
      <c r="J224" s="171"/>
      <c r="K224" s="182"/>
      <c r="L224" s="171"/>
      <c r="M224" s="171" t="str">
        <f>IFERROR(_xlfn.XLOOKUP($A224,Input_Raw!$A:$A,Input_Raw!CG:CG),"")</f>
        <v/>
      </c>
      <c r="N224" s="171" t="str">
        <f>IFERROR(_xlfn.XLOOKUP($A224,Input_Raw!$A:$A,Input_Raw!CH:CH),"")</f>
        <v/>
      </c>
      <c r="O224" s="183" t="str">
        <f t="shared" si="20"/>
        <v/>
      </c>
      <c r="P224" s="183" t="str">
        <f>IFERROR(1-SUMIF(WTG_BD!$B:$B,$A224,WTG_BD!$AB:$AB)/($AA224+SUMIF(WTG_BD!$B:$B,$A224,WTG_BD!$AB:$AB)),"")</f>
        <v/>
      </c>
      <c r="Q224" s="184" t="str">
        <f>IFERROR(1-SUMIF(IGA_BD!$B:$B,$A224,IGA_BD!$X:$X)/($AA224+SUMIF(IGA_BD!$B:$B,$A224,IGA_BD!$X:$X)),"")</f>
        <v/>
      </c>
      <c r="R224" s="189" t="str">
        <f>IFERROR(1-SUMIF(Grid_BD!$B:$B,$A224,Grid_BD!$V:$V)/($AA224+SUMIF(Grid_BD!$B:$B,$A224,Grid_BD!$V:$V)),"")</f>
        <v/>
      </c>
      <c r="S224" s="167"/>
      <c r="T224" s="184"/>
      <c r="U224" s="185"/>
      <c r="V224" s="167"/>
      <c r="W224" s="186" t="str">
        <f>IFERROR(Table13[[#This Row],[Mtr_Net_Exp (KWh)]]/(24*AR224*1000),"")</f>
        <v/>
      </c>
      <c r="X224" s="167" t="str">
        <f>IFERROR(_xlfn.XLOOKUP($A224,Input_Raw!$A:$A,Input_Raw!$CF:$CF),"")</f>
        <v/>
      </c>
      <c r="Y224" s="167" t="str">
        <f>IFERROR(_xlfn.XLOOKUP($A224,Input_Raw!$A:$A,Input_Raw!$CZ:$CZ),"")</f>
        <v/>
      </c>
      <c r="Z224" s="167" t="str">
        <f>IFERROR(_xlfn.XLOOKUP($A224,Input_Raw!$A:$A,Input_Raw!$DA:$DA),"")</f>
        <v/>
      </c>
      <c r="AA224" s="169" t="str">
        <f t="shared" si="21"/>
        <v/>
      </c>
      <c r="AB224" s="167" t="str">
        <f>IFERROR(_xlfn.XLOOKUP($A224,Input_Raw!$A:$A,Input_Raw!$DG:$DG),"")</f>
        <v/>
      </c>
      <c r="AC224" s="187">
        <f>IFERROR(_xlfn.XLOOKUP($D224,'Modelling New'!$D:$D,'Modelling New'!$J:$J),"")</f>
        <v>4.0333333333333332</v>
      </c>
      <c r="AD224" s="169">
        <f>IFERROR(_xlfn.XLOOKUP($D224,'Modelling New'!$D:$D,'Modelling New'!$T:$T)*1000,"")</f>
        <v>162550.46310460661</v>
      </c>
      <c r="AE224" s="186"/>
      <c r="AF224" s="186">
        <f>IFERROR(_xlfn.XLOOKUP($D224,'Modelling New'!$D:$D,'Modelling New'!$W:$W),"")</f>
        <v>8.6832512342204377E-2</v>
      </c>
      <c r="AG224" s="186">
        <f>IFERROR(_xlfn.XLOOKUP($D224,'Modelling New'!$D:$D,'Modelling New'!$AE:$AE),"")</f>
        <v>0.96029999999999993</v>
      </c>
      <c r="AH224" s="186">
        <f>IFERROR(_xlfn.XLOOKUP($D224,'Modelling New'!$D:$D,'Modelling New'!$AF:$AF),"")</f>
        <v>0.995</v>
      </c>
      <c r="AI224" s="167" t="str">
        <f>IFERROR(_xlfn.XLOOKUP($A224,Input_Raw!$A:$A,Input_Raw!$DE:$DE),"")</f>
        <v/>
      </c>
      <c r="AJ224" s="167"/>
      <c r="AK224" s="167"/>
      <c r="AL224" s="167"/>
      <c r="AM224" s="167"/>
      <c r="AN224" s="188" t="str">
        <f>IFERROR(_xlfn.XLOOKUP($A224,Input_Raw!$A:$A,Input_Raw!$DB:$DB),"")</f>
        <v/>
      </c>
      <c r="AO224" s="186" t="str">
        <f>IFERROR((_xlfn.XLOOKUP($A224,'WTG Reactive Power'!$A:$A,'WTG Reactive Power'!$AR:$AR))/X224/1000,"")</f>
        <v/>
      </c>
      <c r="AP224" s="186">
        <f>IFERROR(_xlfn.XLOOKUP($D224,'Modelling New'!$D:$D,'Modelling New'!$AK:$AK),"")</f>
        <v>0.05</v>
      </c>
      <c r="AQ224" s="186">
        <f>IFERROR(_xlfn.XLOOKUP($D224,'Modelling New'!$D:$D,'Modelling New'!$AL:$AL),"")</f>
        <v>0.05</v>
      </c>
      <c r="AR224">
        <f>IFERROR(_xlfn.XLOOKUP($D224,'Modelling New'!$D:$D,'Modelling New'!$N:$N),"")</f>
        <v>78</v>
      </c>
    </row>
    <row r="225" spans="1:44">
      <c r="A225" s="180">
        <f t="shared" si="15"/>
        <v>45968</v>
      </c>
      <c r="B225" s="169">
        <f>YEAR(Table13[[#This Row],[Date]])+IF(MONTH(Table13[[#This Row],[Date]])&gt;=4,1,0)</f>
        <v>2026</v>
      </c>
      <c r="C225" s="167">
        <f>YEAR(Table13[[#This Row],[Date]])</f>
        <v>2025</v>
      </c>
      <c r="D225" s="181">
        <f>Table13[[#This Row],[Date]]-DAY(Table13[[#This Row],[Date]])+1</f>
        <v>45962</v>
      </c>
      <c r="E225" s="167">
        <f t="shared" si="19"/>
        <v>30</v>
      </c>
      <c r="F225" s="170"/>
      <c r="G225" s="171"/>
      <c r="H225" s="171"/>
      <c r="I225" s="171"/>
      <c r="J225" s="171"/>
      <c r="K225" s="182"/>
      <c r="L225" s="171"/>
      <c r="M225" s="171" t="str">
        <f>IFERROR(_xlfn.XLOOKUP($A225,Input_Raw!$A:$A,Input_Raw!CG:CG),"")</f>
        <v/>
      </c>
      <c r="N225" s="171" t="str">
        <f>IFERROR(_xlfn.XLOOKUP($A225,Input_Raw!$A:$A,Input_Raw!CH:CH),"")</f>
        <v/>
      </c>
      <c r="O225" s="183" t="str">
        <f t="shared" si="20"/>
        <v/>
      </c>
      <c r="P225" s="183" t="str">
        <f>IFERROR(1-SUMIF(WTG_BD!$B:$B,$A225,WTG_BD!$AB:$AB)/($AA225+SUMIF(WTG_BD!$B:$B,$A225,WTG_BD!$AB:$AB)),"")</f>
        <v/>
      </c>
      <c r="Q225" s="184" t="str">
        <f>IFERROR(1-SUMIF(IGA_BD!$B:$B,$A225,IGA_BD!$X:$X)/($AA225+SUMIF(IGA_BD!$B:$B,$A225,IGA_BD!$X:$X)),"")</f>
        <v/>
      </c>
      <c r="R225" s="189" t="str">
        <f>IFERROR(1-SUMIF(Grid_BD!$B:$B,$A225,Grid_BD!$V:$V)/($AA225+SUMIF(Grid_BD!$B:$B,$A225,Grid_BD!$V:$V)),"")</f>
        <v/>
      </c>
      <c r="S225" s="167"/>
      <c r="T225" s="184"/>
      <c r="U225" s="185"/>
      <c r="V225" s="167"/>
      <c r="W225" s="186" t="str">
        <f>IFERROR(Table13[[#This Row],[Mtr_Net_Exp (KWh)]]/(24*AR225*1000),"")</f>
        <v/>
      </c>
      <c r="X225" s="167" t="str">
        <f>IFERROR(_xlfn.XLOOKUP($A225,Input_Raw!$A:$A,Input_Raw!$CF:$CF),"")</f>
        <v/>
      </c>
      <c r="Y225" s="167" t="str">
        <f>IFERROR(_xlfn.XLOOKUP($A225,Input_Raw!$A:$A,Input_Raw!$CZ:$CZ),"")</f>
        <v/>
      </c>
      <c r="Z225" s="167" t="str">
        <f>IFERROR(_xlfn.XLOOKUP($A225,Input_Raw!$A:$A,Input_Raw!$DA:$DA),"")</f>
        <v/>
      </c>
      <c r="AA225" s="169" t="str">
        <f t="shared" si="21"/>
        <v/>
      </c>
      <c r="AB225" s="167" t="str">
        <f>IFERROR(_xlfn.XLOOKUP($A225,Input_Raw!$A:$A,Input_Raw!$DG:$DG),"")</f>
        <v/>
      </c>
      <c r="AC225" s="187">
        <f>IFERROR(_xlfn.XLOOKUP($D225,'Modelling New'!$D:$D,'Modelling New'!$J:$J),"")</f>
        <v>4.0333333333333332</v>
      </c>
      <c r="AD225" s="169">
        <f>IFERROR(_xlfn.XLOOKUP($D225,'Modelling New'!$D:$D,'Modelling New'!$T:$T)*1000,"")</f>
        <v>162550.46310460661</v>
      </c>
      <c r="AE225" s="186"/>
      <c r="AF225" s="186">
        <f>IFERROR(_xlfn.XLOOKUP($D225,'Modelling New'!$D:$D,'Modelling New'!$W:$W),"")</f>
        <v>8.6832512342204377E-2</v>
      </c>
      <c r="AG225" s="186">
        <f>IFERROR(_xlfn.XLOOKUP($D225,'Modelling New'!$D:$D,'Modelling New'!$AE:$AE),"")</f>
        <v>0.96029999999999993</v>
      </c>
      <c r="AH225" s="186">
        <f>IFERROR(_xlfn.XLOOKUP($D225,'Modelling New'!$D:$D,'Modelling New'!$AF:$AF),"")</f>
        <v>0.995</v>
      </c>
      <c r="AI225" s="167" t="str">
        <f>IFERROR(_xlfn.XLOOKUP($A225,Input_Raw!$A:$A,Input_Raw!$DE:$DE),"")</f>
        <v/>
      </c>
      <c r="AJ225" s="167"/>
      <c r="AK225" s="167"/>
      <c r="AL225" s="167"/>
      <c r="AM225" s="167"/>
      <c r="AN225" s="188" t="str">
        <f>IFERROR(_xlfn.XLOOKUP($A225,Input_Raw!$A:$A,Input_Raw!$DB:$DB),"")</f>
        <v/>
      </c>
      <c r="AO225" s="186" t="str">
        <f>IFERROR((_xlfn.XLOOKUP($A225,'WTG Reactive Power'!$A:$A,'WTG Reactive Power'!$AR:$AR))/X225/1000,"")</f>
        <v/>
      </c>
      <c r="AP225" s="186">
        <f>IFERROR(_xlfn.XLOOKUP($D225,'Modelling New'!$D:$D,'Modelling New'!$AK:$AK),"")</f>
        <v>0.05</v>
      </c>
      <c r="AQ225" s="186">
        <f>IFERROR(_xlfn.XLOOKUP($D225,'Modelling New'!$D:$D,'Modelling New'!$AL:$AL),"")</f>
        <v>0.05</v>
      </c>
      <c r="AR225">
        <f>IFERROR(_xlfn.XLOOKUP($D225,'Modelling New'!$D:$D,'Modelling New'!$N:$N),"")</f>
        <v>78</v>
      </c>
    </row>
    <row r="226" spans="1:44">
      <c r="A226" s="180">
        <f t="shared" si="15"/>
        <v>45969</v>
      </c>
      <c r="B226" s="169">
        <f>YEAR(Table13[[#This Row],[Date]])+IF(MONTH(Table13[[#This Row],[Date]])&gt;=4,1,0)</f>
        <v>2026</v>
      </c>
      <c r="C226" s="167">
        <f>YEAR(Table13[[#This Row],[Date]])</f>
        <v>2025</v>
      </c>
      <c r="D226" s="181">
        <f>Table13[[#This Row],[Date]]-DAY(Table13[[#This Row],[Date]])+1</f>
        <v>45962</v>
      </c>
      <c r="E226" s="167">
        <f t="shared" si="19"/>
        <v>30</v>
      </c>
      <c r="F226" s="170"/>
      <c r="G226" s="171"/>
      <c r="H226" s="171"/>
      <c r="I226" s="171"/>
      <c r="J226" s="171"/>
      <c r="K226" s="182"/>
      <c r="L226" s="171"/>
      <c r="M226" s="171" t="str">
        <f>IFERROR(_xlfn.XLOOKUP($A226,Input_Raw!$A:$A,Input_Raw!CG:CG),"")</f>
        <v/>
      </c>
      <c r="N226" s="171" t="str">
        <f>IFERROR(_xlfn.XLOOKUP($A226,Input_Raw!$A:$A,Input_Raw!CH:CH),"")</f>
        <v/>
      </c>
      <c r="O226" s="183" t="str">
        <f t="shared" si="20"/>
        <v/>
      </c>
      <c r="P226" s="183" t="str">
        <f>IFERROR(1-SUMIF(WTG_BD!$B:$B,$A226,WTG_BD!$AB:$AB)/($AA226+SUMIF(WTG_BD!$B:$B,$A226,WTG_BD!$AB:$AB)),"")</f>
        <v/>
      </c>
      <c r="Q226" s="184" t="str">
        <f>IFERROR(1-SUMIF(IGA_BD!$B:$B,$A226,IGA_BD!$X:$X)/($AA226+SUMIF(IGA_BD!$B:$B,$A226,IGA_BD!$X:$X)),"")</f>
        <v/>
      </c>
      <c r="R226" s="189" t="str">
        <f>IFERROR(1-SUMIF(Grid_BD!$B:$B,$A226,Grid_BD!$V:$V)/($AA226+SUMIF(Grid_BD!$B:$B,$A226,Grid_BD!$V:$V)),"")</f>
        <v/>
      </c>
      <c r="S226" s="167"/>
      <c r="T226" s="184"/>
      <c r="U226" s="185"/>
      <c r="V226" s="167"/>
      <c r="W226" s="186" t="str">
        <f>IFERROR(Table13[[#This Row],[Mtr_Net_Exp (KWh)]]/(24*AR226*1000),"")</f>
        <v/>
      </c>
      <c r="X226" s="167" t="str">
        <f>IFERROR(_xlfn.XLOOKUP($A226,Input_Raw!$A:$A,Input_Raw!$CF:$CF),"")</f>
        <v/>
      </c>
      <c r="Y226" s="167" t="str">
        <f>IFERROR(_xlfn.XLOOKUP($A226,Input_Raw!$A:$A,Input_Raw!$CZ:$CZ),"")</f>
        <v/>
      </c>
      <c r="Z226" s="167" t="str">
        <f>IFERROR(_xlfn.XLOOKUP($A226,Input_Raw!$A:$A,Input_Raw!$DA:$DA),"")</f>
        <v/>
      </c>
      <c r="AA226" s="169" t="str">
        <f t="shared" si="21"/>
        <v/>
      </c>
      <c r="AB226" s="167" t="str">
        <f>IFERROR(_xlfn.XLOOKUP($A226,Input_Raw!$A:$A,Input_Raw!$DG:$DG),"")</f>
        <v/>
      </c>
      <c r="AC226" s="187">
        <f>IFERROR(_xlfn.XLOOKUP($D226,'Modelling New'!$D:$D,'Modelling New'!$J:$J),"")</f>
        <v>4.0333333333333332</v>
      </c>
      <c r="AD226" s="169">
        <f>IFERROR(_xlfn.XLOOKUP($D226,'Modelling New'!$D:$D,'Modelling New'!$T:$T)*1000,"")</f>
        <v>162550.46310460661</v>
      </c>
      <c r="AE226" s="186"/>
      <c r="AF226" s="186">
        <f>IFERROR(_xlfn.XLOOKUP($D226,'Modelling New'!$D:$D,'Modelling New'!$W:$W),"")</f>
        <v>8.6832512342204377E-2</v>
      </c>
      <c r="AG226" s="186">
        <f>IFERROR(_xlfn.XLOOKUP($D226,'Modelling New'!$D:$D,'Modelling New'!$AE:$AE),"")</f>
        <v>0.96029999999999993</v>
      </c>
      <c r="AH226" s="186">
        <f>IFERROR(_xlfn.XLOOKUP($D226,'Modelling New'!$D:$D,'Modelling New'!$AF:$AF),"")</f>
        <v>0.995</v>
      </c>
      <c r="AI226" s="167" t="str">
        <f>IFERROR(_xlfn.XLOOKUP($A226,Input_Raw!$A:$A,Input_Raw!$DE:$DE),"")</f>
        <v/>
      </c>
      <c r="AJ226" s="167"/>
      <c r="AK226" s="167"/>
      <c r="AL226" s="167"/>
      <c r="AM226" s="167"/>
      <c r="AN226" s="188" t="str">
        <f>IFERROR(_xlfn.XLOOKUP($A226,Input_Raw!$A:$A,Input_Raw!$DB:$DB),"")</f>
        <v/>
      </c>
      <c r="AO226" s="186" t="str">
        <f>IFERROR((_xlfn.XLOOKUP($A226,'WTG Reactive Power'!$A:$A,'WTG Reactive Power'!$AR:$AR))/X226/1000,"")</f>
        <v/>
      </c>
      <c r="AP226" s="186">
        <f>IFERROR(_xlfn.XLOOKUP($D226,'Modelling New'!$D:$D,'Modelling New'!$AK:$AK),"")</f>
        <v>0.05</v>
      </c>
      <c r="AQ226" s="186">
        <f>IFERROR(_xlfn.XLOOKUP($D226,'Modelling New'!$D:$D,'Modelling New'!$AL:$AL),"")</f>
        <v>0.05</v>
      </c>
      <c r="AR226">
        <f>IFERROR(_xlfn.XLOOKUP($D226,'Modelling New'!$D:$D,'Modelling New'!$N:$N),"")</f>
        <v>78</v>
      </c>
    </row>
    <row r="227" spans="1:44">
      <c r="A227" s="180">
        <f t="shared" si="15"/>
        <v>45970</v>
      </c>
      <c r="B227" s="169">
        <f>YEAR(Table13[[#This Row],[Date]])+IF(MONTH(Table13[[#This Row],[Date]])&gt;=4,1,0)</f>
        <v>2026</v>
      </c>
      <c r="C227" s="167">
        <f>YEAR(Table13[[#This Row],[Date]])</f>
        <v>2025</v>
      </c>
      <c r="D227" s="181">
        <f>Table13[[#This Row],[Date]]-DAY(Table13[[#This Row],[Date]])+1</f>
        <v>45962</v>
      </c>
      <c r="E227" s="167">
        <f t="shared" si="19"/>
        <v>30</v>
      </c>
      <c r="F227" s="170"/>
      <c r="G227" s="171"/>
      <c r="H227" s="171"/>
      <c r="I227" s="171"/>
      <c r="J227" s="171"/>
      <c r="K227" s="182"/>
      <c r="L227" s="171"/>
      <c r="M227" s="171" t="str">
        <f>IFERROR(_xlfn.XLOOKUP($A227,Input_Raw!$A:$A,Input_Raw!CG:CG),"")</f>
        <v/>
      </c>
      <c r="N227" s="171" t="str">
        <f>IFERROR(_xlfn.XLOOKUP($A227,Input_Raw!$A:$A,Input_Raw!CH:CH),"")</f>
        <v/>
      </c>
      <c r="O227" s="183" t="str">
        <f t="shared" si="20"/>
        <v/>
      </c>
      <c r="P227" s="183" t="str">
        <f>IFERROR(1-SUMIF(WTG_BD!$B:$B,$A227,WTG_BD!$AB:$AB)/($AA227+SUMIF(WTG_BD!$B:$B,$A227,WTG_BD!$AB:$AB)),"")</f>
        <v/>
      </c>
      <c r="Q227" s="184" t="str">
        <f>IFERROR(1-SUMIF(IGA_BD!$B:$B,$A227,IGA_BD!$X:$X)/($AA227+SUMIF(IGA_BD!$B:$B,$A227,IGA_BD!$X:$X)),"")</f>
        <v/>
      </c>
      <c r="R227" s="189" t="str">
        <f>IFERROR(1-SUMIF(Grid_BD!$B:$B,$A227,Grid_BD!$V:$V)/($AA227+SUMIF(Grid_BD!$B:$B,$A227,Grid_BD!$V:$V)),"")</f>
        <v/>
      </c>
      <c r="S227" s="167"/>
      <c r="T227" s="184"/>
      <c r="U227" s="185"/>
      <c r="V227" s="167"/>
      <c r="W227" s="186" t="str">
        <f>IFERROR(Table13[[#This Row],[Mtr_Net_Exp (KWh)]]/(24*AR227*1000),"")</f>
        <v/>
      </c>
      <c r="X227" s="167" t="str">
        <f>IFERROR(_xlfn.XLOOKUP($A227,Input_Raw!$A:$A,Input_Raw!$CF:$CF),"")</f>
        <v/>
      </c>
      <c r="Y227" s="167" t="str">
        <f>IFERROR(_xlfn.XLOOKUP($A227,Input_Raw!$A:$A,Input_Raw!$CZ:$CZ),"")</f>
        <v/>
      </c>
      <c r="Z227" s="167" t="str">
        <f>IFERROR(_xlfn.XLOOKUP($A227,Input_Raw!$A:$A,Input_Raw!$DA:$DA),"")</f>
        <v/>
      </c>
      <c r="AA227" s="169" t="str">
        <f t="shared" si="21"/>
        <v/>
      </c>
      <c r="AB227" s="167" t="str">
        <f>IFERROR(_xlfn.XLOOKUP($A227,Input_Raw!$A:$A,Input_Raw!$DG:$DG),"")</f>
        <v/>
      </c>
      <c r="AC227" s="187">
        <f>IFERROR(_xlfn.XLOOKUP($D227,'Modelling New'!$D:$D,'Modelling New'!$J:$J),"")</f>
        <v>4.0333333333333332</v>
      </c>
      <c r="AD227" s="169">
        <f>IFERROR(_xlfn.XLOOKUP($D227,'Modelling New'!$D:$D,'Modelling New'!$T:$T)*1000,"")</f>
        <v>162550.46310460661</v>
      </c>
      <c r="AE227" s="186"/>
      <c r="AF227" s="186">
        <f>IFERROR(_xlfn.XLOOKUP($D227,'Modelling New'!$D:$D,'Modelling New'!$W:$W),"")</f>
        <v>8.6832512342204377E-2</v>
      </c>
      <c r="AG227" s="186">
        <f>IFERROR(_xlfn.XLOOKUP($D227,'Modelling New'!$D:$D,'Modelling New'!$AE:$AE),"")</f>
        <v>0.96029999999999993</v>
      </c>
      <c r="AH227" s="186">
        <f>IFERROR(_xlfn.XLOOKUP($D227,'Modelling New'!$D:$D,'Modelling New'!$AF:$AF),"")</f>
        <v>0.995</v>
      </c>
      <c r="AI227" s="167" t="str">
        <f>IFERROR(_xlfn.XLOOKUP($A227,Input_Raw!$A:$A,Input_Raw!$DE:$DE),"")</f>
        <v/>
      </c>
      <c r="AJ227" s="167"/>
      <c r="AK227" s="167"/>
      <c r="AL227" s="167"/>
      <c r="AM227" s="167"/>
      <c r="AN227" s="188" t="str">
        <f>IFERROR(_xlfn.XLOOKUP($A227,Input_Raw!$A:$A,Input_Raw!$DB:$DB),"")</f>
        <v/>
      </c>
      <c r="AO227" s="186" t="str">
        <f>IFERROR((_xlfn.XLOOKUP($A227,'WTG Reactive Power'!$A:$A,'WTG Reactive Power'!$AR:$AR))/X227/1000,"")</f>
        <v/>
      </c>
      <c r="AP227" s="186">
        <f>IFERROR(_xlfn.XLOOKUP($D227,'Modelling New'!$D:$D,'Modelling New'!$AK:$AK),"")</f>
        <v>0.05</v>
      </c>
      <c r="AQ227" s="186">
        <f>IFERROR(_xlfn.XLOOKUP($D227,'Modelling New'!$D:$D,'Modelling New'!$AL:$AL),"")</f>
        <v>0.05</v>
      </c>
      <c r="AR227">
        <f>IFERROR(_xlfn.XLOOKUP($D227,'Modelling New'!$D:$D,'Modelling New'!$N:$N),"")</f>
        <v>78</v>
      </c>
    </row>
    <row r="228" spans="1:44">
      <c r="A228" s="180">
        <f t="shared" si="15"/>
        <v>45971</v>
      </c>
      <c r="B228" s="169">
        <f>YEAR(Table13[[#This Row],[Date]])+IF(MONTH(Table13[[#This Row],[Date]])&gt;=4,1,0)</f>
        <v>2026</v>
      </c>
      <c r="C228" s="167">
        <f>YEAR(Table13[[#This Row],[Date]])</f>
        <v>2025</v>
      </c>
      <c r="D228" s="181">
        <f>Table13[[#This Row],[Date]]-DAY(Table13[[#This Row],[Date]])+1</f>
        <v>45962</v>
      </c>
      <c r="E228" s="167">
        <f t="shared" si="19"/>
        <v>30</v>
      </c>
      <c r="F228" s="170"/>
      <c r="G228" s="171"/>
      <c r="H228" s="171"/>
      <c r="I228" s="171"/>
      <c r="J228" s="171"/>
      <c r="K228" s="182"/>
      <c r="L228" s="171"/>
      <c r="M228" s="171" t="str">
        <f>IFERROR(_xlfn.XLOOKUP($A228,Input_Raw!$A:$A,Input_Raw!CG:CG),"")</f>
        <v/>
      </c>
      <c r="N228" s="171" t="str">
        <f>IFERROR(_xlfn.XLOOKUP($A228,Input_Raw!$A:$A,Input_Raw!CH:CH),"")</f>
        <v/>
      </c>
      <c r="O228" s="183" t="str">
        <f t="shared" si="20"/>
        <v/>
      </c>
      <c r="P228" s="183" t="str">
        <f>IFERROR(1-SUMIF(WTG_BD!$B:$B,$A228,WTG_BD!$AB:$AB)/($AA228+SUMIF(WTG_BD!$B:$B,$A228,WTG_BD!$AB:$AB)),"")</f>
        <v/>
      </c>
      <c r="Q228" s="184" t="str">
        <f>IFERROR(1-SUMIF(IGA_BD!$B:$B,$A228,IGA_BD!$X:$X)/($AA228+SUMIF(IGA_BD!$B:$B,$A228,IGA_BD!$X:$X)),"")</f>
        <v/>
      </c>
      <c r="R228" s="189" t="str">
        <f>IFERROR(1-SUMIF(Grid_BD!$B:$B,$A228,Grid_BD!$V:$V)/($AA228+SUMIF(Grid_BD!$B:$B,$A228,Grid_BD!$V:$V)),"")</f>
        <v/>
      </c>
      <c r="S228" s="167"/>
      <c r="T228" s="184"/>
      <c r="U228" s="185"/>
      <c r="V228" s="167"/>
      <c r="W228" s="186" t="str">
        <f>IFERROR(Table13[[#This Row],[Mtr_Net_Exp (KWh)]]/(24*AR228*1000),"")</f>
        <v/>
      </c>
      <c r="X228" s="167" t="str">
        <f>IFERROR(_xlfn.XLOOKUP($A228,Input_Raw!$A:$A,Input_Raw!$CF:$CF),"")</f>
        <v/>
      </c>
      <c r="Y228" s="167" t="str">
        <f>IFERROR(_xlfn.XLOOKUP($A228,Input_Raw!$A:$A,Input_Raw!$CZ:$CZ),"")</f>
        <v/>
      </c>
      <c r="Z228" s="167" t="str">
        <f>IFERROR(_xlfn.XLOOKUP($A228,Input_Raw!$A:$A,Input_Raw!$DA:$DA),"")</f>
        <v/>
      </c>
      <c r="AA228" s="169" t="str">
        <f t="shared" si="21"/>
        <v/>
      </c>
      <c r="AB228" s="167" t="str">
        <f>IFERROR(_xlfn.XLOOKUP($A228,Input_Raw!$A:$A,Input_Raw!$DG:$DG),"")</f>
        <v/>
      </c>
      <c r="AC228" s="187">
        <f>IFERROR(_xlfn.XLOOKUP($D228,'Modelling New'!$D:$D,'Modelling New'!$J:$J),"")</f>
        <v>4.0333333333333332</v>
      </c>
      <c r="AD228" s="169">
        <f>IFERROR(_xlfn.XLOOKUP($D228,'Modelling New'!$D:$D,'Modelling New'!$T:$T)*1000,"")</f>
        <v>162550.46310460661</v>
      </c>
      <c r="AE228" s="186"/>
      <c r="AF228" s="186">
        <f>IFERROR(_xlfn.XLOOKUP($D228,'Modelling New'!$D:$D,'Modelling New'!$W:$W),"")</f>
        <v>8.6832512342204377E-2</v>
      </c>
      <c r="AG228" s="186">
        <f>IFERROR(_xlfn.XLOOKUP($D228,'Modelling New'!$D:$D,'Modelling New'!$AE:$AE),"")</f>
        <v>0.96029999999999993</v>
      </c>
      <c r="AH228" s="186">
        <f>IFERROR(_xlfn.XLOOKUP($D228,'Modelling New'!$D:$D,'Modelling New'!$AF:$AF),"")</f>
        <v>0.995</v>
      </c>
      <c r="AI228" s="167" t="str">
        <f>IFERROR(_xlfn.XLOOKUP($A228,Input_Raw!$A:$A,Input_Raw!$DE:$DE),"")</f>
        <v/>
      </c>
      <c r="AJ228" s="167"/>
      <c r="AK228" s="167"/>
      <c r="AL228" s="167"/>
      <c r="AM228" s="167"/>
      <c r="AN228" s="188" t="str">
        <f>IFERROR(_xlfn.XLOOKUP($A228,Input_Raw!$A:$A,Input_Raw!$DB:$DB),"")</f>
        <v/>
      </c>
      <c r="AO228" s="186" t="str">
        <f>IFERROR((_xlfn.XLOOKUP($A228,'WTG Reactive Power'!$A:$A,'WTG Reactive Power'!$AR:$AR))/X228/1000,"")</f>
        <v/>
      </c>
      <c r="AP228" s="186">
        <f>IFERROR(_xlfn.XLOOKUP($D228,'Modelling New'!$D:$D,'Modelling New'!$AK:$AK),"")</f>
        <v>0.05</v>
      </c>
      <c r="AQ228" s="186">
        <f>IFERROR(_xlfn.XLOOKUP($D228,'Modelling New'!$D:$D,'Modelling New'!$AL:$AL),"")</f>
        <v>0.05</v>
      </c>
      <c r="AR228">
        <f>IFERROR(_xlfn.XLOOKUP($D228,'Modelling New'!$D:$D,'Modelling New'!$N:$N),"")</f>
        <v>78</v>
      </c>
    </row>
    <row r="229" spans="1:44">
      <c r="A229" s="180">
        <f t="shared" si="15"/>
        <v>45972</v>
      </c>
      <c r="B229" s="169">
        <f>YEAR(Table13[[#This Row],[Date]])+IF(MONTH(Table13[[#This Row],[Date]])&gt;=4,1,0)</f>
        <v>2026</v>
      </c>
      <c r="C229" s="167">
        <f>YEAR(Table13[[#This Row],[Date]])</f>
        <v>2025</v>
      </c>
      <c r="D229" s="181">
        <f>Table13[[#This Row],[Date]]-DAY(Table13[[#This Row],[Date]])+1</f>
        <v>45962</v>
      </c>
      <c r="E229" s="167">
        <f t="shared" si="19"/>
        <v>30</v>
      </c>
      <c r="F229" s="170"/>
      <c r="G229" s="171"/>
      <c r="H229" s="171"/>
      <c r="I229" s="171"/>
      <c r="J229" s="171"/>
      <c r="K229" s="182"/>
      <c r="L229" s="171"/>
      <c r="M229" s="171" t="str">
        <f>IFERROR(_xlfn.XLOOKUP($A229,Input_Raw!$A:$A,Input_Raw!CG:CG),"")</f>
        <v/>
      </c>
      <c r="N229" s="171" t="str">
        <f>IFERROR(_xlfn.XLOOKUP($A229,Input_Raw!$A:$A,Input_Raw!CH:CH),"")</f>
        <v/>
      </c>
      <c r="O229" s="183" t="str">
        <f t="shared" si="20"/>
        <v/>
      </c>
      <c r="P229" s="183" t="str">
        <f>IFERROR(1-SUMIF(WTG_BD!$B:$B,$A229,WTG_BD!$AB:$AB)/($AA229+SUMIF(WTG_BD!$B:$B,$A229,WTG_BD!$AB:$AB)),"")</f>
        <v/>
      </c>
      <c r="Q229" s="184" t="str">
        <f>IFERROR(1-SUMIF(IGA_BD!$B:$B,$A229,IGA_BD!$X:$X)/($AA229+SUMIF(IGA_BD!$B:$B,$A229,IGA_BD!$X:$X)),"")</f>
        <v/>
      </c>
      <c r="R229" s="189" t="str">
        <f>IFERROR(1-SUMIF(Grid_BD!$B:$B,$A229,Grid_BD!$V:$V)/($AA229+SUMIF(Grid_BD!$B:$B,$A229,Grid_BD!$V:$V)),"")</f>
        <v/>
      </c>
      <c r="S229" s="167"/>
      <c r="T229" s="184"/>
      <c r="U229" s="185"/>
      <c r="V229" s="167"/>
      <c r="W229" s="186" t="str">
        <f>IFERROR(Table13[[#This Row],[Mtr_Net_Exp (KWh)]]/(24*AR229*1000),"")</f>
        <v/>
      </c>
      <c r="X229" s="167" t="str">
        <f>IFERROR(_xlfn.XLOOKUP($A229,Input_Raw!$A:$A,Input_Raw!$CF:$CF),"")</f>
        <v/>
      </c>
      <c r="Y229" s="167" t="str">
        <f>IFERROR(_xlfn.XLOOKUP($A229,Input_Raw!$A:$A,Input_Raw!$CZ:$CZ),"")</f>
        <v/>
      </c>
      <c r="Z229" s="167" t="str">
        <f>IFERROR(_xlfn.XLOOKUP($A229,Input_Raw!$A:$A,Input_Raw!$DA:$DA),"")</f>
        <v/>
      </c>
      <c r="AA229" s="169" t="str">
        <f t="shared" si="21"/>
        <v/>
      </c>
      <c r="AB229" s="167" t="str">
        <f>IFERROR(_xlfn.XLOOKUP($A229,Input_Raw!$A:$A,Input_Raw!$DG:$DG),"")</f>
        <v/>
      </c>
      <c r="AC229" s="187">
        <f>IFERROR(_xlfn.XLOOKUP($D229,'Modelling New'!$D:$D,'Modelling New'!$J:$J),"")</f>
        <v>4.0333333333333332</v>
      </c>
      <c r="AD229" s="169">
        <f>IFERROR(_xlfn.XLOOKUP($D229,'Modelling New'!$D:$D,'Modelling New'!$T:$T)*1000,"")</f>
        <v>162550.46310460661</v>
      </c>
      <c r="AE229" s="186"/>
      <c r="AF229" s="186">
        <f>IFERROR(_xlfn.XLOOKUP($D229,'Modelling New'!$D:$D,'Modelling New'!$W:$W),"")</f>
        <v>8.6832512342204377E-2</v>
      </c>
      <c r="AG229" s="186">
        <f>IFERROR(_xlfn.XLOOKUP($D229,'Modelling New'!$D:$D,'Modelling New'!$AE:$AE),"")</f>
        <v>0.96029999999999993</v>
      </c>
      <c r="AH229" s="186">
        <f>IFERROR(_xlfn.XLOOKUP($D229,'Modelling New'!$D:$D,'Modelling New'!$AF:$AF),"")</f>
        <v>0.995</v>
      </c>
      <c r="AI229" s="167" t="str">
        <f>IFERROR(_xlfn.XLOOKUP($A229,Input_Raw!$A:$A,Input_Raw!$DE:$DE),"")</f>
        <v/>
      </c>
      <c r="AJ229" s="167"/>
      <c r="AK229" s="167"/>
      <c r="AL229" s="167"/>
      <c r="AM229" s="167"/>
      <c r="AN229" s="188" t="str">
        <f>IFERROR(_xlfn.XLOOKUP($A229,Input_Raw!$A:$A,Input_Raw!$DB:$DB),"")</f>
        <v/>
      </c>
      <c r="AO229" s="186" t="str">
        <f>IFERROR((_xlfn.XLOOKUP($A229,'WTG Reactive Power'!$A:$A,'WTG Reactive Power'!$AR:$AR))/X229/1000,"")</f>
        <v/>
      </c>
      <c r="AP229" s="186">
        <f>IFERROR(_xlfn.XLOOKUP($D229,'Modelling New'!$D:$D,'Modelling New'!$AK:$AK),"")</f>
        <v>0.05</v>
      </c>
      <c r="AQ229" s="186">
        <f>IFERROR(_xlfn.XLOOKUP($D229,'Modelling New'!$D:$D,'Modelling New'!$AL:$AL),"")</f>
        <v>0.05</v>
      </c>
      <c r="AR229">
        <f>IFERROR(_xlfn.XLOOKUP($D229,'Modelling New'!$D:$D,'Modelling New'!$N:$N),"")</f>
        <v>78</v>
      </c>
    </row>
    <row r="230" spans="1:44">
      <c r="A230" s="180">
        <f t="shared" ref="A230:A293" si="22">A229+1</f>
        <v>45973</v>
      </c>
      <c r="B230" s="169">
        <f>YEAR(Table13[[#This Row],[Date]])+IF(MONTH(Table13[[#This Row],[Date]])&gt;=4,1,0)</f>
        <v>2026</v>
      </c>
      <c r="C230" s="167">
        <f>YEAR(Table13[[#This Row],[Date]])</f>
        <v>2025</v>
      </c>
      <c r="D230" s="181">
        <f>Table13[[#This Row],[Date]]-DAY(Table13[[#This Row],[Date]])+1</f>
        <v>45962</v>
      </c>
      <c r="E230" s="167">
        <f t="shared" si="19"/>
        <v>30</v>
      </c>
      <c r="F230" s="170"/>
      <c r="G230" s="171"/>
      <c r="H230" s="171"/>
      <c r="I230" s="171"/>
      <c r="J230" s="171"/>
      <c r="K230" s="182"/>
      <c r="L230" s="171"/>
      <c r="M230" s="171" t="str">
        <f>IFERROR(_xlfn.XLOOKUP($A230,Input_Raw!$A:$A,Input_Raw!CG:CG),"")</f>
        <v/>
      </c>
      <c r="N230" s="171" t="str">
        <f>IFERROR(_xlfn.XLOOKUP($A230,Input_Raw!$A:$A,Input_Raw!CH:CH),"")</f>
        <v/>
      </c>
      <c r="O230" s="183" t="str">
        <f t="shared" si="20"/>
        <v/>
      </c>
      <c r="P230" s="183" t="str">
        <f>IFERROR(1-SUMIF(WTG_BD!$B:$B,$A230,WTG_BD!$AB:$AB)/($AA230+SUMIF(WTG_BD!$B:$B,$A230,WTG_BD!$AB:$AB)),"")</f>
        <v/>
      </c>
      <c r="Q230" s="184" t="str">
        <f>IFERROR(1-SUMIF(IGA_BD!$B:$B,$A230,IGA_BD!$X:$X)/($AA230+SUMIF(IGA_BD!$B:$B,$A230,IGA_BD!$X:$X)),"")</f>
        <v/>
      </c>
      <c r="R230" s="189" t="str">
        <f>IFERROR(1-SUMIF(Grid_BD!$B:$B,$A230,Grid_BD!$V:$V)/($AA230+SUMIF(Grid_BD!$B:$B,$A230,Grid_BD!$V:$V)),"")</f>
        <v/>
      </c>
      <c r="S230" s="167"/>
      <c r="T230" s="184"/>
      <c r="U230" s="185"/>
      <c r="V230" s="167"/>
      <c r="W230" s="186" t="str">
        <f>IFERROR(Table13[[#This Row],[Mtr_Net_Exp (KWh)]]/(24*AR230*1000),"")</f>
        <v/>
      </c>
      <c r="X230" s="167" t="str">
        <f>IFERROR(_xlfn.XLOOKUP($A230,Input_Raw!$A:$A,Input_Raw!$CF:$CF),"")</f>
        <v/>
      </c>
      <c r="Y230" s="167" t="str">
        <f>IFERROR(_xlfn.XLOOKUP($A230,Input_Raw!$A:$A,Input_Raw!$CZ:$CZ),"")</f>
        <v/>
      </c>
      <c r="Z230" s="167" t="str">
        <f>IFERROR(_xlfn.XLOOKUP($A230,Input_Raw!$A:$A,Input_Raw!$DA:$DA),"")</f>
        <v/>
      </c>
      <c r="AA230" s="169" t="str">
        <f t="shared" si="21"/>
        <v/>
      </c>
      <c r="AB230" s="167" t="str">
        <f>IFERROR(_xlfn.XLOOKUP($A230,Input_Raw!$A:$A,Input_Raw!$DG:$DG),"")</f>
        <v/>
      </c>
      <c r="AC230" s="187">
        <f>IFERROR(_xlfn.XLOOKUP($D230,'Modelling New'!$D:$D,'Modelling New'!$J:$J),"")</f>
        <v>4.0333333333333332</v>
      </c>
      <c r="AD230" s="169">
        <f>IFERROR(_xlfn.XLOOKUP($D230,'Modelling New'!$D:$D,'Modelling New'!$T:$T)*1000,"")</f>
        <v>162550.46310460661</v>
      </c>
      <c r="AE230" s="186"/>
      <c r="AF230" s="186">
        <f>IFERROR(_xlfn.XLOOKUP($D230,'Modelling New'!$D:$D,'Modelling New'!$W:$W),"")</f>
        <v>8.6832512342204377E-2</v>
      </c>
      <c r="AG230" s="186">
        <f>IFERROR(_xlfn.XLOOKUP($D230,'Modelling New'!$D:$D,'Modelling New'!$AE:$AE),"")</f>
        <v>0.96029999999999993</v>
      </c>
      <c r="AH230" s="186">
        <f>IFERROR(_xlfn.XLOOKUP($D230,'Modelling New'!$D:$D,'Modelling New'!$AF:$AF),"")</f>
        <v>0.995</v>
      </c>
      <c r="AI230" s="167" t="str">
        <f>IFERROR(_xlfn.XLOOKUP($A230,Input_Raw!$A:$A,Input_Raw!$DE:$DE),"")</f>
        <v/>
      </c>
      <c r="AJ230" s="167"/>
      <c r="AK230" s="167"/>
      <c r="AL230" s="167"/>
      <c r="AM230" s="167"/>
      <c r="AN230" s="188" t="str">
        <f>IFERROR(_xlfn.XLOOKUP($A230,Input_Raw!$A:$A,Input_Raw!$DB:$DB),"")</f>
        <v/>
      </c>
      <c r="AO230" s="186" t="str">
        <f>IFERROR((_xlfn.XLOOKUP($A230,'WTG Reactive Power'!$A:$A,'WTG Reactive Power'!$AR:$AR))/X230/1000,"")</f>
        <v/>
      </c>
      <c r="AP230" s="186">
        <f>IFERROR(_xlfn.XLOOKUP($D230,'Modelling New'!$D:$D,'Modelling New'!$AK:$AK),"")</f>
        <v>0.05</v>
      </c>
      <c r="AQ230" s="186">
        <f>IFERROR(_xlfn.XLOOKUP($D230,'Modelling New'!$D:$D,'Modelling New'!$AL:$AL),"")</f>
        <v>0.05</v>
      </c>
      <c r="AR230">
        <f>IFERROR(_xlfn.XLOOKUP($D230,'Modelling New'!$D:$D,'Modelling New'!$N:$N),"")</f>
        <v>78</v>
      </c>
    </row>
    <row r="231" spans="1:44">
      <c r="A231" s="180">
        <f t="shared" si="22"/>
        <v>45974</v>
      </c>
      <c r="B231" s="169">
        <f>YEAR(Table13[[#This Row],[Date]])+IF(MONTH(Table13[[#This Row],[Date]])&gt;=4,1,0)</f>
        <v>2026</v>
      </c>
      <c r="C231" s="167">
        <f>YEAR(Table13[[#This Row],[Date]])</f>
        <v>2025</v>
      </c>
      <c r="D231" s="181">
        <f>Table13[[#This Row],[Date]]-DAY(Table13[[#This Row],[Date]])+1</f>
        <v>45962</v>
      </c>
      <c r="E231" s="167">
        <f t="shared" si="19"/>
        <v>30</v>
      </c>
      <c r="F231" s="170"/>
      <c r="G231" s="171"/>
      <c r="H231" s="171"/>
      <c r="I231" s="171"/>
      <c r="J231" s="171"/>
      <c r="K231" s="182"/>
      <c r="L231" s="171"/>
      <c r="M231" s="171" t="str">
        <f>IFERROR(_xlfn.XLOOKUP($A231,Input_Raw!$A:$A,Input_Raw!CG:CG),"")</f>
        <v/>
      </c>
      <c r="N231" s="171" t="str">
        <f>IFERROR(_xlfn.XLOOKUP($A231,Input_Raw!$A:$A,Input_Raw!CH:CH),"")</f>
        <v/>
      </c>
      <c r="O231" s="183" t="str">
        <f t="shared" si="20"/>
        <v/>
      </c>
      <c r="P231" s="183" t="str">
        <f>IFERROR(1-SUMIF(WTG_BD!$B:$B,$A231,WTG_BD!$AB:$AB)/($AA231+SUMIF(WTG_BD!$B:$B,$A231,WTG_BD!$AB:$AB)),"")</f>
        <v/>
      </c>
      <c r="Q231" s="184" t="str">
        <f>IFERROR(1-SUMIF(IGA_BD!$B:$B,$A231,IGA_BD!$X:$X)/($AA231+SUMIF(IGA_BD!$B:$B,$A231,IGA_BD!$X:$X)),"")</f>
        <v/>
      </c>
      <c r="R231" s="189" t="str">
        <f>IFERROR(1-SUMIF(Grid_BD!$B:$B,$A231,Grid_BD!$V:$V)/($AA231+SUMIF(Grid_BD!$B:$B,$A231,Grid_BD!$V:$V)),"")</f>
        <v/>
      </c>
      <c r="S231" s="167"/>
      <c r="T231" s="184"/>
      <c r="U231" s="185"/>
      <c r="V231" s="167"/>
      <c r="W231" s="186" t="str">
        <f>IFERROR(Table13[[#This Row],[Mtr_Net_Exp (KWh)]]/(24*AR231*1000),"")</f>
        <v/>
      </c>
      <c r="X231" s="167" t="str">
        <f>IFERROR(_xlfn.XLOOKUP($A231,Input_Raw!$A:$A,Input_Raw!$CF:$CF),"")</f>
        <v/>
      </c>
      <c r="Y231" s="167" t="str">
        <f>IFERROR(_xlfn.XLOOKUP($A231,Input_Raw!$A:$A,Input_Raw!$CZ:$CZ),"")</f>
        <v/>
      </c>
      <c r="Z231" s="167" t="str">
        <f>IFERROR(_xlfn.XLOOKUP($A231,Input_Raw!$A:$A,Input_Raw!$DA:$DA),"")</f>
        <v/>
      </c>
      <c r="AA231" s="169" t="str">
        <f t="shared" si="21"/>
        <v/>
      </c>
      <c r="AB231" s="167" t="str">
        <f>IFERROR(_xlfn.XLOOKUP($A231,Input_Raw!$A:$A,Input_Raw!$DG:$DG),"")</f>
        <v/>
      </c>
      <c r="AC231" s="187">
        <f>IFERROR(_xlfn.XLOOKUP($D231,'Modelling New'!$D:$D,'Modelling New'!$J:$J),"")</f>
        <v>4.0333333333333332</v>
      </c>
      <c r="AD231" s="169">
        <f>IFERROR(_xlfn.XLOOKUP($D231,'Modelling New'!$D:$D,'Modelling New'!$T:$T)*1000,"")</f>
        <v>162550.46310460661</v>
      </c>
      <c r="AE231" s="186"/>
      <c r="AF231" s="186">
        <f>IFERROR(_xlfn.XLOOKUP($D231,'Modelling New'!$D:$D,'Modelling New'!$W:$W),"")</f>
        <v>8.6832512342204377E-2</v>
      </c>
      <c r="AG231" s="186">
        <f>IFERROR(_xlfn.XLOOKUP($D231,'Modelling New'!$D:$D,'Modelling New'!$AE:$AE),"")</f>
        <v>0.96029999999999993</v>
      </c>
      <c r="AH231" s="186">
        <f>IFERROR(_xlfn.XLOOKUP($D231,'Modelling New'!$D:$D,'Modelling New'!$AF:$AF),"")</f>
        <v>0.995</v>
      </c>
      <c r="AI231" s="167" t="str">
        <f>IFERROR(_xlfn.XLOOKUP($A231,Input_Raw!$A:$A,Input_Raw!$DE:$DE),"")</f>
        <v/>
      </c>
      <c r="AJ231" s="167"/>
      <c r="AK231" s="167"/>
      <c r="AL231" s="167"/>
      <c r="AM231" s="167"/>
      <c r="AN231" s="188" t="str">
        <f>IFERROR(_xlfn.XLOOKUP($A231,Input_Raw!$A:$A,Input_Raw!$DB:$DB),"")</f>
        <v/>
      </c>
      <c r="AO231" s="186" t="str">
        <f>IFERROR((_xlfn.XLOOKUP($A231,'WTG Reactive Power'!$A:$A,'WTG Reactive Power'!$AR:$AR))/X231/1000,"")</f>
        <v/>
      </c>
      <c r="AP231" s="186">
        <f>IFERROR(_xlfn.XLOOKUP($D231,'Modelling New'!$D:$D,'Modelling New'!$AK:$AK),"")</f>
        <v>0.05</v>
      </c>
      <c r="AQ231" s="186">
        <f>IFERROR(_xlfn.XLOOKUP($D231,'Modelling New'!$D:$D,'Modelling New'!$AL:$AL),"")</f>
        <v>0.05</v>
      </c>
      <c r="AR231">
        <f>IFERROR(_xlfn.XLOOKUP($D231,'Modelling New'!$D:$D,'Modelling New'!$N:$N),"")</f>
        <v>78</v>
      </c>
    </row>
    <row r="232" spans="1:44">
      <c r="A232" s="180">
        <f t="shared" si="22"/>
        <v>45975</v>
      </c>
      <c r="B232" s="169">
        <f>YEAR(Table13[[#This Row],[Date]])+IF(MONTH(Table13[[#This Row],[Date]])&gt;=4,1,0)</f>
        <v>2026</v>
      </c>
      <c r="C232" s="167">
        <f>YEAR(Table13[[#This Row],[Date]])</f>
        <v>2025</v>
      </c>
      <c r="D232" s="181">
        <f>Table13[[#This Row],[Date]]-DAY(Table13[[#This Row],[Date]])+1</f>
        <v>45962</v>
      </c>
      <c r="E232" s="167">
        <f t="shared" si="19"/>
        <v>30</v>
      </c>
      <c r="F232" s="170"/>
      <c r="G232" s="171"/>
      <c r="H232" s="171"/>
      <c r="I232" s="171"/>
      <c r="J232" s="171"/>
      <c r="K232" s="182"/>
      <c r="L232" s="171"/>
      <c r="M232" s="171" t="str">
        <f>IFERROR(_xlfn.XLOOKUP($A232,Input_Raw!$A:$A,Input_Raw!CG:CG),"")</f>
        <v/>
      </c>
      <c r="N232" s="171" t="str">
        <f>IFERROR(_xlfn.XLOOKUP($A232,Input_Raw!$A:$A,Input_Raw!CH:CH),"")</f>
        <v/>
      </c>
      <c r="O232" s="183" t="str">
        <f t="shared" si="20"/>
        <v/>
      </c>
      <c r="P232" s="183" t="str">
        <f>IFERROR(1-SUMIF(WTG_BD!$B:$B,$A232,WTG_BD!$AB:$AB)/($AA232+SUMIF(WTG_BD!$B:$B,$A232,WTG_BD!$AB:$AB)),"")</f>
        <v/>
      </c>
      <c r="Q232" s="184" t="str">
        <f>IFERROR(1-SUMIF(IGA_BD!$B:$B,$A232,IGA_BD!$X:$X)/($AA232+SUMIF(IGA_BD!$B:$B,$A232,IGA_BD!$X:$X)),"")</f>
        <v/>
      </c>
      <c r="R232" s="189" t="str">
        <f>IFERROR(1-SUMIF(Grid_BD!$B:$B,$A232,Grid_BD!$V:$V)/($AA232+SUMIF(Grid_BD!$B:$B,$A232,Grid_BD!$V:$V)),"")</f>
        <v/>
      </c>
      <c r="S232" s="167"/>
      <c r="T232" s="184"/>
      <c r="U232" s="185"/>
      <c r="V232" s="167"/>
      <c r="W232" s="186" t="str">
        <f>IFERROR(Table13[[#This Row],[Mtr_Net_Exp (KWh)]]/(24*AR232*1000),"")</f>
        <v/>
      </c>
      <c r="X232" s="167" t="str">
        <f>IFERROR(_xlfn.XLOOKUP($A232,Input_Raw!$A:$A,Input_Raw!$CF:$CF),"")</f>
        <v/>
      </c>
      <c r="Y232" s="167" t="str">
        <f>IFERROR(_xlfn.XLOOKUP($A232,Input_Raw!$A:$A,Input_Raw!$CZ:$CZ),"")</f>
        <v/>
      </c>
      <c r="Z232" s="167" t="str">
        <f>IFERROR(_xlfn.XLOOKUP($A232,Input_Raw!$A:$A,Input_Raw!$DA:$DA),"")</f>
        <v/>
      </c>
      <c r="AA232" s="169" t="str">
        <f t="shared" si="21"/>
        <v/>
      </c>
      <c r="AB232" s="167" t="str">
        <f>IFERROR(_xlfn.XLOOKUP($A232,Input_Raw!$A:$A,Input_Raw!$DG:$DG),"")</f>
        <v/>
      </c>
      <c r="AC232" s="187">
        <f>IFERROR(_xlfn.XLOOKUP($D232,'Modelling New'!$D:$D,'Modelling New'!$J:$J),"")</f>
        <v>4.0333333333333332</v>
      </c>
      <c r="AD232" s="169">
        <f>IFERROR(_xlfn.XLOOKUP($D232,'Modelling New'!$D:$D,'Modelling New'!$T:$T)*1000,"")</f>
        <v>162550.46310460661</v>
      </c>
      <c r="AE232" s="186"/>
      <c r="AF232" s="186">
        <f>IFERROR(_xlfn.XLOOKUP($D232,'Modelling New'!$D:$D,'Modelling New'!$W:$W),"")</f>
        <v>8.6832512342204377E-2</v>
      </c>
      <c r="AG232" s="186">
        <f>IFERROR(_xlfn.XLOOKUP($D232,'Modelling New'!$D:$D,'Modelling New'!$AE:$AE),"")</f>
        <v>0.96029999999999993</v>
      </c>
      <c r="AH232" s="186">
        <f>IFERROR(_xlfn.XLOOKUP($D232,'Modelling New'!$D:$D,'Modelling New'!$AF:$AF),"")</f>
        <v>0.995</v>
      </c>
      <c r="AI232" s="167" t="str">
        <f>IFERROR(_xlfn.XLOOKUP($A232,Input_Raw!$A:$A,Input_Raw!$DE:$DE),"")</f>
        <v/>
      </c>
      <c r="AJ232" s="167"/>
      <c r="AK232" s="167"/>
      <c r="AL232" s="167"/>
      <c r="AM232" s="167"/>
      <c r="AN232" s="188" t="str">
        <f>IFERROR(_xlfn.XLOOKUP($A232,Input_Raw!$A:$A,Input_Raw!$DB:$DB),"")</f>
        <v/>
      </c>
      <c r="AO232" s="186" t="str">
        <f>IFERROR((_xlfn.XLOOKUP($A232,'WTG Reactive Power'!$A:$A,'WTG Reactive Power'!$AR:$AR))/X232/1000,"")</f>
        <v/>
      </c>
      <c r="AP232" s="186">
        <f>IFERROR(_xlfn.XLOOKUP($D232,'Modelling New'!$D:$D,'Modelling New'!$AK:$AK),"")</f>
        <v>0.05</v>
      </c>
      <c r="AQ232" s="186">
        <f>IFERROR(_xlfn.XLOOKUP($D232,'Modelling New'!$D:$D,'Modelling New'!$AL:$AL),"")</f>
        <v>0.05</v>
      </c>
      <c r="AR232">
        <f>IFERROR(_xlfn.XLOOKUP($D232,'Modelling New'!$D:$D,'Modelling New'!$N:$N),"")</f>
        <v>78</v>
      </c>
    </row>
    <row r="233" spans="1:44">
      <c r="A233" s="180">
        <f t="shared" si="22"/>
        <v>45976</v>
      </c>
      <c r="B233" s="169">
        <f>YEAR(Table13[[#This Row],[Date]])+IF(MONTH(Table13[[#This Row],[Date]])&gt;=4,1,0)</f>
        <v>2026</v>
      </c>
      <c r="C233" s="167">
        <f>YEAR(Table13[[#This Row],[Date]])</f>
        <v>2025</v>
      </c>
      <c r="D233" s="181">
        <f>Table13[[#This Row],[Date]]-DAY(Table13[[#This Row],[Date]])+1</f>
        <v>45962</v>
      </c>
      <c r="E233" s="167">
        <f t="shared" si="19"/>
        <v>30</v>
      </c>
      <c r="F233" s="170"/>
      <c r="G233" s="171"/>
      <c r="H233" s="171"/>
      <c r="I233" s="171"/>
      <c r="J233" s="171"/>
      <c r="K233" s="182"/>
      <c r="L233" s="171"/>
      <c r="M233" s="171" t="str">
        <f>IFERROR(_xlfn.XLOOKUP($A233,Input_Raw!$A:$A,Input_Raw!CG:CG),"")</f>
        <v/>
      </c>
      <c r="N233" s="171" t="str">
        <f>IFERROR(_xlfn.XLOOKUP($A233,Input_Raw!$A:$A,Input_Raw!CH:CH),"")</f>
        <v/>
      </c>
      <c r="O233" s="183" t="str">
        <f t="shared" si="20"/>
        <v/>
      </c>
      <c r="P233" s="183" t="str">
        <f>IFERROR(1-SUMIF(WTG_BD!$B:$B,$A233,WTG_BD!$AB:$AB)/($AA233+SUMIF(WTG_BD!$B:$B,$A233,WTG_BD!$AB:$AB)),"")</f>
        <v/>
      </c>
      <c r="Q233" s="184" t="str">
        <f>IFERROR(1-SUMIF(IGA_BD!$B:$B,$A233,IGA_BD!$X:$X)/($AA233+SUMIF(IGA_BD!$B:$B,$A233,IGA_BD!$X:$X)),"")</f>
        <v/>
      </c>
      <c r="R233" s="189" t="str">
        <f>IFERROR(1-SUMIF(Grid_BD!$B:$B,$A233,Grid_BD!$V:$V)/($AA233+SUMIF(Grid_BD!$B:$B,$A233,Grid_BD!$V:$V)),"")</f>
        <v/>
      </c>
      <c r="S233" s="167"/>
      <c r="T233" s="184"/>
      <c r="U233" s="185"/>
      <c r="V233" s="167"/>
      <c r="W233" s="186" t="str">
        <f>IFERROR(Table13[[#This Row],[Mtr_Net_Exp (KWh)]]/(24*AR233*1000),"")</f>
        <v/>
      </c>
      <c r="X233" s="167" t="str">
        <f>IFERROR(_xlfn.XLOOKUP($A233,Input_Raw!$A:$A,Input_Raw!$CF:$CF),"")</f>
        <v/>
      </c>
      <c r="Y233" s="167" t="str">
        <f>IFERROR(_xlfn.XLOOKUP($A233,Input_Raw!$A:$A,Input_Raw!$CZ:$CZ),"")</f>
        <v/>
      </c>
      <c r="Z233" s="167" t="str">
        <f>IFERROR(_xlfn.XLOOKUP($A233,Input_Raw!$A:$A,Input_Raw!$DA:$DA),"")</f>
        <v/>
      </c>
      <c r="AA233" s="169" t="str">
        <f t="shared" si="21"/>
        <v/>
      </c>
      <c r="AB233" s="167" t="str">
        <f>IFERROR(_xlfn.XLOOKUP($A233,Input_Raw!$A:$A,Input_Raw!$DG:$DG),"")</f>
        <v/>
      </c>
      <c r="AC233" s="187">
        <f>IFERROR(_xlfn.XLOOKUP($D233,'Modelling New'!$D:$D,'Modelling New'!$J:$J),"")</f>
        <v>4.0333333333333332</v>
      </c>
      <c r="AD233" s="169">
        <f>IFERROR(_xlfn.XLOOKUP($D233,'Modelling New'!$D:$D,'Modelling New'!$T:$T)*1000,"")</f>
        <v>162550.46310460661</v>
      </c>
      <c r="AE233" s="186"/>
      <c r="AF233" s="186">
        <f>IFERROR(_xlfn.XLOOKUP($D233,'Modelling New'!$D:$D,'Modelling New'!$W:$W),"")</f>
        <v>8.6832512342204377E-2</v>
      </c>
      <c r="AG233" s="186">
        <f>IFERROR(_xlfn.XLOOKUP($D233,'Modelling New'!$D:$D,'Modelling New'!$AE:$AE),"")</f>
        <v>0.96029999999999993</v>
      </c>
      <c r="AH233" s="186">
        <f>IFERROR(_xlfn.XLOOKUP($D233,'Modelling New'!$D:$D,'Modelling New'!$AF:$AF),"")</f>
        <v>0.995</v>
      </c>
      <c r="AI233" s="167" t="str">
        <f>IFERROR(_xlfn.XLOOKUP($A233,Input_Raw!$A:$A,Input_Raw!$DE:$DE),"")</f>
        <v/>
      </c>
      <c r="AJ233" s="167"/>
      <c r="AK233" s="167"/>
      <c r="AL233" s="167"/>
      <c r="AM233" s="167"/>
      <c r="AN233" s="188" t="str">
        <f>IFERROR(_xlfn.XLOOKUP($A233,Input_Raw!$A:$A,Input_Raw!$DB:$DB),"")</f>
        <v/>
      </c>
      <c r="AO233" s="186" t="str">
        <f>IFERROR((_xlfn.XLOOKUP($A233,'WTG Reactive Power'!$A:$A,'WTG Reactive Power'!$AR:$AR))/X233/1000,"")</f>
        <v/>
      </c>
      <c r="AP233" s="186">
        <f>IFERROR(_xlfn.XLOOKUP($D233,'Modelling New'!$D:$D,'Modelling New'!$AK:$AK),"")</f>
        <v>0.05</v>
      </c>
      <c r="AQ233" s="186">
        <f>IFERROR(_xlfn.XLOOKUP($D233,'Modelling New'!$D:$D,'Modelling New'!$AL:$AL),"")</f>
        <v>0.05</v>
      </c>
      <c r="AR233">
        <f>IFERROR(_xlfn.XLOOKUP($D233,'Modelling New'!$D:$D,'Modelling New'!$N:$N),"")</f>
        <v>78</v>
      </c>
    </row>
    <row r="234" spans="1:44">
      <c r="A234" s="180">
        <f t="shared" si="22"/>
        <v>45977</v>
      </c>
      <c r="B234" s="169">
        <f>YEAR(Table13[[#This Row],[Date]])+IF(MONTH(Table13[[#This Row],[Date]])&gt;=4,1,0)</f>
        <v>2026</v>
      </c>
      <c r="C234" s="167">
        <f>YEAR(Table13[[#This Row],[Date]])</f>
        <v>2025</v>
      </c>
      <c r="D234" s="181">
        <f>Table13[[#This Row],[Date]]-DAY(Table13[[#This Row],[Date]])+1</f>
        <v>45962</v>
      </c>
      <c r="E234" s="167">
        <f t="shared" si="19"/>
        <v>30</v>
      </c>
      <c r="F234" s="170"/>
      <c r="G234" s="171"/>
      <c r="H234" s="171"/>
      <c r="I234" s="171"/>
      <c r="J234" s="171"/>
      <c r="K234" s="182"/>
      <c r="L234" s="171"/>
      <c r="M234" s="171" t="str">
        <f>IFERROR(_xlfn.XLOOKUP($A234,Input_Raw!$A:$A,Input_Raw!CG:CG),"")</f>
        <v/>
      </c>
      <c r="N234" s="171" t="str">
        <f>IFERROR(_xlfn.XLOOKUP($A234,Input_Raw!$A:$A,Input_Raw!CH:CH),"")</f>
        <v/>
      </c>
      <c r="O234" s="183" t="str">
        <f t="shared" si="20"/>
        <v/>
      </c>
      <c r="P234" s="183" t="str">
        <f>IFERROR(1-SUMIF(WTG_BD!$B:$B,$A234,WTG_BD!$AB:$AB)/($AA234+SUMIF(WTG_BD!$B:$B,$A234,WTG_BD!$AB:$AB)),"")</f>
        <v/>
      </c>
      <c r="Q234" s="184" t="str">
        <f>IFERROR(1-SUMIF(IGA_BD!$B:$B,$A234,IGA_BD!$X:$X)/($AA234+SUMIF(IGA_BD!$B:$B,$A234,IGA_BD!$X:$X)),"")</f>
        <v/>
      </c>
      <c r="R234" s="189" t="str">
        <f>IFERROR(1-SUMIF(Grid_BD!$B:$B,$A234,Grid_BD!$V:$V)/($AA234+SUMIF(Grid_BD!$B:$B,$A234,Grid_BD!$V:$V)),"")</f>
        <v/>
      </c>
      <c r="S234" s="167"/>
      <c r="T234" s="184"/>
      <c r="U234" s="185"/>
      <c r="V234" s="167"/>
      <c r="W234" s="186" t="str">
        <f>IFERROR(Table13[[#This Row],[Mtr_Net_Exp (KWh)]]/(24*AR234*1000),"")</f>
        <v/>
      </c>
      <c r="X234" s="167" t="str">
        <f>IFERROR(_xlfn.XLOOKUP($A234,Input_Raw!$A:$A,Input_Raw!$CF:$CF),"")</f>
        <v/>
      </c>
      <c r="Y234" s="167" t="str">
        <f>IFERROR(_xlfn.XLOOKUP($A234,Input_Raw!$A:$A,Input_Raw!$CZ:$CZ),"")</f>
        <v/>
      </c>
      <c r="Z234" s="167" t="str">
        <f>IFERROR(_xlfn.XLOOKUP($A234,Input_Raw!$A:$A,Input_Raw!$DA:$DA),"")</f>
        <v/>
      </c>
      <c r="AA234" s="169" t="str">
        <f t="shared" si="21"/>
        <v/>
      </c>
      <c r="AB234" s="167" t="str">
        <f>IFERROR(_xlfn.XLOOKUP($A234,Input_Raw!$A:$A,Input_Raw!$DG:$DG),"")</f>
        <v/>
      </c>
      <c r="AC234" s="187">
        <f>IFERROR(_xlfn.XLOOKUP($D234,'Modelling New'!$D:$D,'Modelling New'!$J:$J),"")</f>
        <v>4.0333333333333332</v>
      </c>
      <c r="AD234" s="169">
        <f>IFERROR(_xlfn.XLOOKUP($D234,'Modelling New'!$D:$D,'Modelling New'!$T:$T)*1000,"")</f>
        <v>162550.46310460661</v>
      </c>
      <c r="AE234" s="186"/>
      <c r="AF234" s="186">
        <f>IFERROR(_xlfn.XLOOKUP($D234,'Modelling New'!$D:$D,'Modelling New'!$W:$W),"")</f>
        <v>8.6832512342204377E-2</v>
      </c>
      <c r="AG234" s="186">
        <f>IFERROR(_xlfn.XLOOKUP($D234,'Modelling New'!$D:$D,'Modelling New'!$AE:$AE),"")</f>
        <v>0.96029999999999993</v>
      </c>
      <c r="AH234" s="186">
        <f>IFERROR(_xlfn.XLOOKUP($D234,'Modelling New'!$D:$D,'Modelling New'!$AF:$AF),"")</f>
        <v>0.995</v>
      </c>
      <c r="AI234" s="167" t="str">
        <f>IFERROR(_xlfn.XLOOKUP($A234,Input_Raw!$A:$A,Input_Raw!$DE:$DE),"")</f>
        <v/>
      </c>
      <c r="AJ234" s="167"/>
      <c r="AK234" s="167"/>
      <c r="AL234" s="167"/>
      <c r="AM234" s="167"/>
      <c r="AN234" s="188" t="str">
        <f>IFERROR(_xlfn.XLOOKUP($A234,Input_Raw!$A:$A,Input_Raw!$DB:$DB),"")</f>
        <v/>
      </c>
      <c r="AO234" s="186" t="str">
        <f>IFERROR((_xlfn.XLOOKUP($A234,'WTG Reactive Power'!$A:$A,'WTG Reactive Power'!$AR:$AR))/X234/1000,"")</f>
        <v/>
      </c>
      <c r="AP234" s="186">
        <f>IFERROR(_xlfn.XLOOKUP($D234,'Modelling New'!$D:$D,'Modelling New'!$AK:$AK),"")</f>
        <v>0.05</v>
      </c>
      <c r="AQ234" s="186">
        <f>IFERROR(_xlfn.XLOOKUP($D234,'Modelling New'!$D:$D,'Modelling New'!$AL:$AL),"")</f>
        <v>0.05</v>
      </c>
      <c r="AR234">
        <f>IFERROR(_xlfn.XLOOKUP($D234,'Modelling New'!$D:$D,'Modelling New'!$N:$N),"")</f>
        <v>78</v>
      </c>
    </row>
    <row r="235" spans="1:44">
      <c r="A235" s="180">
        <f t="shared" si="22"/>
        <v>45978</v>
      </c>
      <c r="B235" s="169">
        <f>YEAR(Table13[[#This Row],[Date]])+IF(MONTH(Table13[[#This Row],[Date]])&gt;=4,1,0)</f>
        <v>2026</v>
      </c>
      <c r="C235" s="167">
        <f>YEAR(Table13[[#This Row],[Date]])</f>
        <v>2025</v>
      </c>
      <c r="D235" s="181">
        <f>Table13[[#This Row],[Date]]-DAY(Table13[[#This Row],[Date]])+1</f>
        <v>45962</v>
      </c>
      <c r="E235" s="167">
        <f t="shared" si="19"/>
        <v>30</v>
      </c>
      <c r="F235" s="170"/>
      <c r="G235" s="171"/>
      <c r="H235" s="171"/>
      <c r="I235" s="171"/>
      <c r="J235" s="171"/>
      <c r="K235" s="182"/>
      <c r="L235" s="171"/>
      <c r="M235" s="171" t="str">
        <f>IFERROR(_xlfn.XLOOKUP($A235,Input_Raw!$A:$A,Input_Raw!CG:CG),"")</f>
        <v/>
      </c>
      <c r="N235" s="171" t="str">
        <f>IFERROR(_xlfn.XLOOKUP($A235,Input_Raw!$A:$A,Input_Raw!CH:CH),"")</f>
        <v/>
      </c>
      <c r="O235" s="183" t="str">
        <f t="shared" si="20"/>
        <v/>
      </c>
      <c r="P235" s="183" t="str">
        <f>IFERROR(1-SUMIF(WTG_BD!$B:$B,$A235,WTG_BD!$AB:$AB)/($AA235+SUMIF(WTG_BD!$B:$B,$A235,WTG_BD!$AB:$AB)),"")</f>
        <v/>
      </c>
      <c r="Q235" s="184" t="str">
        <f>IFERROR(1-SUMIF(IGA_BD!$B:$B,$A235,IGA_BD!$X:$X)/($AA235+SUMIF(IGA_BD!$B:$B,$A235,IGA_BD!$X:$X)),"")</f>
        <v/>
      </c>
      <c r="R235" s="189" t="str">
        <f>IFERROR(1-SUMIF(Grid_BD!$B:$B,$A235,Grid_BD!$V:$V)/($AA235+SUMIF(Grid_BD!$B:$B,$A235,Grid_BD!$V:$V)),"")</f>
        <v/>
      </c>
      <c r="S235" s="167"/>
      <c r="T235" s="184"/>
      <c r="U235" s="185"/>
      <c r="V235" s="167"/>
      <c r="W235" s="186" t="str">
        <f>IFERROR(Table13[[#This Row],[Mtr_Net_Exp (KWh)]]/(24*AR235*1000),"")</f>
        <v/>
      </c>
      <c r="X235" s="167" t="str">
        <f>IFERROR(_xlfn.XLOOKUP($A235,Input_Raw!$A:$A,Input_Raw!$CF:$CF),"")</f>
        <v/>
      </c>
      <c r="Y235" s="167" t="str">
        <f>IFERROR(_xlfn.XLOOKUP($A235,Input_Raw!$A:$A,Input_Raw!$CZ:$CZ),"")</f>
        <v/>
      </c>
      <c r="Z235" s="167" t="str">
        <f>IFERROR(_xlfn.XLOOKUP($A235,Input_Raw!$A:$A,Input_Raw!$DA:$DA),"")</f>
        <v/>
      </c>
      <c r="AA235" s="169" t="str">
        <f t="shared" si="21"/>
        <v/>
      </c>
      <c r="AB235" s="167" t="str">
        <f>IFERROR(_xlfn.XLOOKUP($A235,Input_Raw!$A:$A,Input_Raw!$DG:$DG),"")</f>
        <v/>
      </c>
      <c r="AC235" s="187">
        <f>IFERROR(_xlfn.XLOOKUP($D235,'Modelling New'!$D:$D,'Modelling New'!$J:$J),"")</f>
        <v>4.0333333333333332</v>
      </c>
      <c r="AD235" s="169">
        <f>IFERROR(_xlfn.XLOOKUP($D235,'Modelling New'!$D:$D,'Modelling New'!$T:$T)*1000,"")</f>
        <v>162550.46310460661</v>
      </c>
      <c r="AE235" s="186"/>
      <c r="AF235" s="186">
        <f>IFERROR(_xlfn.XLOOKUP($D235,'Modelling New'!$D:$D,'Modelling New'!$W:$W),"")</f>
        <v>8.6832512342204377E-2</v>
      </c>
      <c r="AG235" s="186">
        <f>IFERROR(_xlfn.XLOOKUP($D235,'Modelling New'!$D:$D,'Modelling New'!$AE:$AE),"")</f>
        <v>0.96029999999999993</v>
      </c>
      <c r="AH235" s="186">
        <f>IFERROR(_xlfn.XLOOKUP($D235,'Modelling New'!$D:$D,'Modelling New'!$AF:$AF),"")</f>
        <v>0.995</v>
      </c>
      <c r="AI235" s="167" t="str">
        <f>IFERROR(_xlfn.XLOOKUP($A235,Input_Raw!$A:$A,Input_Raw!$DE:$DE),"")</f>
        <v/>
      </c>
      <c r="AJ235" s="167"/>
      <c r="AK235" s="167"/>
      <c r="AL235" s="167"/>
      <c r="AM235" s="167"/>
      <c r="AN235" s="188" t="str">
        <f>IFERROR(_xlfn.XLOOKUP($A235,Input_Raw!$A:$A,Input_Raw!$DB:$DB),"")</f>
        <v/>
      </c>
      <c r="AO235" s="186" t="str">
        <f>IFERROR((_xlfn.XLOOKUP($A235,'WTG Reactive Power'!$A:$A,'WTG Reactive Power'!$AR:$AR))/X235/1000,"")</f>
        <v/>
      </c>
      <c r="AP235" s="186">
        <f>IFERROR(_xlfn.XLOOKUP($D235,'Modelling New'!$D:$D,'Modelling New'!$AK:$AK),"")</f>
        <v>0.05</v>
      </c>
      <c r="AQ235" s="186">
        <f>IFERROR(_xlfn.XLOOKUP($D235,'Modelling New'!$D:$D,'Modelling New'!$AL:$AL),"")</f>
        <v>0.05</v>
      </c>
      <c r="AR235">
        <f>IFERROR(_xlfn.XLOOKUP($D235,'Modelling New'!$D:$D,'Modelling New'!$N:$N),"")</f>
        <v>78</v>
      </c>
    </row>
    <row r="236" spans="1:44">
      <c r="A236" s="180">
        <f t="shared" si="22"/>
        <v>45979</v>
      </c>
      <c r="B236" s="169">
        <f>YEAR(Table13[[#This Row],[Date]])+IF(MONTH(Table13[[#This Row],[Date]])&gt;=4,1,0)</f>
        <v>2026</v>
      </c>
      <c r="C236" s="167">
        <f>YEAR(Table13[[#This Row],[Date]])</f>
        <v>2025</v>
      </c>
      <c r="D236" s="181">
        <f>Table13[[#This Row],[Date]]-DAY(Table13[[#This Row],[Date]])+1</f>
        <v>45962</v>
      </c>
      <c r="E236" s="167">
        <f t="shared" si="19"/>
        <v>30</v>
      </c>
      <c r="F236" s="170"/>
      <c r="G236" s="171"/>
      <c r="H236" s="171"/>
      <c r="I236" s="171"/>
      <c r="J236" s="171"/>
      <c r="K236" s="182"/>
      <c r="L236" s="171"/>
      <c r="M236" s="171" t="str">
        <f>IFERROR(_xlfn.XLOOKUP($A236,Input_Raw!$A:$A,Input_Raw!CG:CG),"")</f>
        <v/>
      </c>
      <c r="N236" s="171" t="str">
        <f>IFERROR(_xlfn.XLOOKUP($A236,Input_Raw!$A:$A,Input_Raw!CH:CH),"")</f>
        <v/>
      </c>
      <c r="O236" s="183" t="str">
        <f t="shared" si="20"/>
        <v/>
      </c>
      <c r="P236" s="183" t="str">
        <f>IFERROR(1-SUMIF(WTG_BD!$B:$B,$A236,WTG_BD!$AB:$AB)/($AA236+SUMIF(WTG_BD!$B:$B,$A236,WTG_BD!$AB:$AB)),"")</f>
        <v/>
      </c>
      <c r="Q236" s="184" t="str">
        <f>IFERROR(1-SUMIF(IGA_BD!$B:$B,$A236,IGA_BD!$X:$X)/($AA236+SUMIF(IGA_BD!$B:$B,$A236,IGA_BD!$X:$X)),"")</f>
        <v/>
      </c>
      <c r="R236" s="189" t="str">
        <f>IFERROR(1-SUMIF(Grid_BD!$B:$B,$A236,Grid_BD!$V:$V)/($AA236+SUMIF(Grid_BD!$B:$B,$A236,Grid_BD!$V:$V)),"")</f>
        <v/>
      </c>
      <c r="S236" s="167"/>
      <c r="T236" s="184"/>
      <c r="U236" s="185"/>
      <c r="V236" s="167"/>
      <c r="W236" s="186" t="str">
        <f>IFERROR(Table13[[#This Row],[Mtr_Net_Exp (KWh)]]/(24*AR236*1000),"")</f>
        <v/>
      </c>
      <c r="X236" s="167" t="str">
        <f>IFERROR(_xlfn.XLOOKUP($A236,Input_Raw!$A:$A,Input_Raw!$CF:$CF),"")</f>
        <v/>
      </c>
      <c r="Y236" s="167" t="str">
        <f>IFERROR(_xlfn.XLOOKUP($A236,Input_Raw!$A:$A,Input_Raw!$CZ:$CZ),"")</f>
        <v/>
      </c>
      <c r="Z236" s="167" t="str">
        <f>IFERROR(_xlfn.XLOOKUP($A236,Input_Raw!$A:$A,Input_Raw!$DA:$DA),"")</f>
        <v/>
      </c>
      <c r="AA236" s="169" t="str">
        <f t="shared" si="21"/>
        <v/>
      </c>
      <c r="AB236" s="167" t="str">
        <f>IFERROR(_xlfn.XLOOKUP($A236,Input_Raw!$A:$A,Input_Raw!$DG:$DG),"")</f>
        <v/>
      </c>
      <c r="AC236" s="187">
        <f>IFERROR(_xlfn.XLOOKUP($D236,'Modelling New'!$D:$D,'Modelling New'!$J:$J),"")</f>
        <v>4.0333333333333332</v>
      </c>
      <c r="AD236" s="169">
        <f>IFERROR(_xlfn.XLOOKUP($D236,'Modelling New'!$D:$D,'Modelling New'!$T:$T)*1000,"")</f>
        <v>162550.46310460661</v>
      </c>
      <c r="AE236" s="186"/>
      <c r="AF236" s="186">
        <f>IFERROR(_xlfn.XLOOKUP($D236,'Modelling New'!$D:$D,'Modelling New'!$W:$W),"")</f>
        <v>8.6832512342204377E-2</v>
      </c>
      <c r="AG236" s="186">
        <f>IFERROR(_xlfn.XLOOKUP($D236,'Modelling New'!$D:$D,'Modelling New'!$AE:$AE),"")</f>
        <v>0.96029999999999993</v>
      </c>
      <c r="AH236" s="186">
        <f>IFERROR(_xlfn.XLOOKUP($D236,'Modelling New'!$D:$D,'Modelling New'!$AF:$AF),"")</f>
        <v>0.995</v>
      </c>
      <c r="AI236" s="167" t="str">
        <f>IFERROR(_xlfn.XLOOKUP($A236,Input_Raw!$A:$A,Input_Raw!$DE:$DE),"")</f>
        <v/>
      </c>
      <c r="AJ236" s="167"/>
      <c r="AK236" s="167"/>
      <c r="AL236" s="167"/>
      <c r="AM236" s="167"/>
      <c r="AN236" s="188" t="str">
        <f>IFERROR(_xlfn.XLOOKUP($A236,Input_Raw!$A:$A,Input_Raw!$DB:$DB),"")</f>
        <v/>
      </c>
      <c r="AO236" s="186" t="str">
        <f>IFERROR((_xlfn.XLOOKUP($A236,'WTG Reactive Power'!$A:$A,'WTG Reactive Power'!$AR:$AR))/X236/1000,"")</f>
        <v/>
      </c>
      <c r="AP236" s="186">
        <f>IFERROR(_xlfn.XLOOKUP($D236,'Modelling New'!$D:$D,'Modelling New'!$AK:$AK),"")</f>
        <v>0.05</v>
      </c>
      <c r="AQ236" s="186">
        <f>IFERROR(_xlfn.XLOOKUP($D236,'Modelling New'!$D:$D,'Modelling New'!$AL:$AL),"")</f>
        <v>0.05</v>
      </c>
      <c r="AR236">
        <f>IFERROR(_xlfn.XLOOKUP($D236,'Modelling New'!$D:$D,'Modelling New'!$N:$N),"")</f>
        <v>78</v>
      </c>
    </row>
    <row r="237" spans="1:44">
      <c r="A237" s="180">
        <f t="shared" si="22"/>
        <v>45980</v>
      </c>
      <c r="B237" s="169">
        <f>YEAR(Table13[[#This Row],[Date]])+IF(MONTH(Table13[[#This Row],[Date]])&gt;=4,1,0)</f>
        <v>2026</v>
      </c>
      <c r="C237" s="167">
        <f>YEAR(Table13[[#This Row],[Date]])</f>
        <v>2025</v>
      </c>
      <c r="D237" s="181">
        <f>Table13[[#This Row],[Date]]-DAY(Table13[[#This Row],[Date]])+1</f>
        <v>45962</v>
      </c>
      <c r="E237" s="167">
        <f t="shared" si="19"/>
        <v>30</v>
      </c>
      <c r="F237" s="170"/>
      <c r="G237" s="171"/>
      <c r="H237" s="171"/>
      <c r="I237" s="171"/>
      <c r="J237" s="171"/>
      <c r="K237" s="182"/>
      <c r="L237" s="171"/>
      <c r="M237" s="171" t="str">
        <f>IFERROR(_xlfn.XLOOKUP($A237,Input_Raw!$A:$A,Input_Raw!CG:CG),"")</f>
        <v/>
      </c>
      <c r="N237" s="171" t="str">
        <f>IFERROR(_xlfn.XLOOKUP($A237,Input_Raw!$A:$A,Input_Raw!CH:CH),"")</f>
        <v/>
      </c>
      <c r="O237" s="183" t="str">
        <f t="shared" si="20"/>
        <v/>
      </c>
      <c r="P237" s="183" t="str">
        <f>IFERROR(1-SUMIF(WTG_BD!$B:$B,$A237,WTG_BD!$AB:$AB)/($AA237+SUMIF(WTG_BD!$B:$B,$A237,WTG_BD!$AB:$AB)),"")</f>
        <v/>
      </c>
      <c r="Q237" s="184" t="str">
        <f>IFERROR(1-SUMIF(IGA_BD!$B:$B,$A237,IGA_BD!$X:$X)/($AA237+SUMIF(IGA_BD!$B:$B,$A237,IGA_BD!$X:$X)),"")</f>
        <v/>
      </c>
      <c r="R237" s="189" t="str">
        <f>IFERROR(1-SUMIF(Grid_BD!$B:$B,$A237,Grid_BD!$V:$V)/($AA237+SUMIF(Grid_BD!$B:$B,$A237,Grid_BD!$V:$V)),"")</f>
        <v/>
      </c>
      <c r="S237" s="167"/>
      <c r="T237" s="184"/>
      <c r="U237" s="185"/>
      <c r="V237" s="167"/>
      <c r="W237" s="186" t="str">
        <f>IFERROR(Table13[[#This Row],[Mtr_Net_Exp (KWh)]]/(24*AR237*1000),"")</f>
        <v/>
      </c>
      <c r="X237" s="167" t="str">
        <f>IFERROR(_xlfn.XLOOKUP($A237,Input_Raw!$A:$A,Input_Raw!$CF:$CF),"")</f>
        <v/>
      </c>
      <c r="Y237" s="167" t="str">
        <f>IFERROR(_xlfn.XLOOKUP($A237,Input_Raw!$A:$A,Input_Raw!$CZ:$CZ),"")</f>
        <v/>
      </c>
      <c r="Z237" s="167" t="str">
        <f>IFERROR(_xlfn.XLOOKUP($A237,Input_Raw!$A:$A,Input_Raw!$DA:$DA),"")</f>
        <v/>
      </c>
      <c r="AA237" s="169" t="str">
        <f t="shared" si="21"/>
        <v/>
      </c>
      <c r="AB237" s="167" t="str">
        <f>IFERROR(_xlfn.XLOOKUP($A237,Input_Raw!$A:$A,Input_Raw!$DG:$DG),"")</f>
        <v/>
      </c>
      <c r="AC237" s="187">
        <f>IFERROR(_xlfn.XLOOKUP($D237,'Modelling New'!$D:$D,'Modelling New'!$J:$J),"")</f>
        <v>4.0333333333333332</v>
      </c>
      <c r="AD237" s="169">
        <f>IFERROR(_xlfn.XLOOKUP($D237,'Modelling New'!$D:$D,'Modelling New'!$T:$T)*1000,"")</f>
        <v>162550.46310460661</v>
      </c>
      <c r="AE237" s="186"/>
      <c r="AF237" s="186">
        <f>IFERROR(_xlfn.XLOOKUP($D237,'Modelling New'!$D:$D,'Modelling New'!$W:$W),"")</f>
        <v>8.6832512342204377E-2</v>
      </c>
      <c r="AG237" s="186">
        <f>IFERROR(_xlfn.XLOOKUP($D237,'Modelling New'!$D:$D,'Modelling New'!$AE:$AE),"")</f>
        <v>0.96029999999999993</v>
      </c>
      <c r="AH237" s="186">
        <f>IFERROR(_xlfn.XLOOKUP($D237,'Modelling New'!$D:$D,'Modelling New'!$AF:$AF),"")</f>
        <v>0.995</v>
      </c>
      <c r="AI237" s="167" t="str">
        <f>IFERROR(_xlfn.XLOOKUP($A237,Input_Raw!$A:$A,Input_Raw!$DE:$DE),"")</f>
        <v/>
      </c>
      <c r="AJ237" s="167"/>
      <c r="AK237" s="167"/>
      <c r="AL237" s="167"/>
      <c r="AM237" s="167"/>
      <c r="AN237" s="188" t="str">
        <f>IFERROR(_xlfn.XLOOKUP($A237,Input_Raw!$A:$A,Input_Raw!$DB:$DB),"")</f>
        <v/>
      </c>
      <c r="AO237" s="186" t="str">
        <f>IFERROR((_xlfn.XLOOKUP($A237,'WTG Reactive Power'!$A:$A,'WTG Reactive Power'!$AR:$AR))/X237/1000,"")</f>
        <v/>
      </c>
      <c r="AP237" s="186">
        <f>IFERROR(_xlfn.XLOOKUP($D237,'Modelling New'!$D:$D,'Modelling New'!$AK:$AK),"")</f>
        <v>0.05</v>
      </c>
      <c r="AQ237" s="186">
        <f>IFERROR(_xlfn.XLOOKUP($D237,'Modelling New'!$D:$D,'Modelling New'!$AL:$AL),"")</f>
        <v>0.05</v>
      </c>
      <c r="AR237">
        <f>IFERROR(_xlfn.XLOOKUP($D237,'Modelling New'!$D:$D,'Modelling New'!$N:$N),"")</f>
        <v>78</v>
      </c>
    </row>
    <row r="238" spans="1:44">
      <c r="A238" s="180">
        <f t="shared" si="22"/>
        <v>45981</v>
      </c>
      <c r="B238" s="169">
        <f>YEAR(Table13[[#This Row],[Date]])+IF(MONTH(Table13[[#This Row],[Date]])&gt;=4,1,0)</f>
        <v>2026</v>
      </c>
      <c r="C238" s="167">
        <f>YEAR(Table13[[#This Row],[Date]])</f>
        <v>2025</v>
      </c>
      <c r="D238" s="181">
        <f>Table13[[#This Row],[Date]]-DAY(Table13[[#This Row],[Date]])+1</f>
        <v>45962</v>
      </c>
      <c r="E238" s="167">
        <f t="shared" si="19"/>
        <v>30</v>
      </c>
      <c r="F238" s="170"/>
      <c r="G238" s="171"/>
      <c r="H238" s="171"/>
      <c r="I238" s="171"/>
      <c r="J238" s="171"/>
      <c r="K238" s="182"/>
      <c r="L238" s="171"/>
      <c r="M238" s="171" t="str">
        <f>IFERROR(_xlfn.XLOOKUP($A238,Input_Raw!$A:$A,Input_Raw!CG:CG),"")</f>
        <v/>
      </c>
      <c r="N238" s="171" t="str">
        <f>IFERROR(_xlfn.XLOOKUP($A238,Input_Raw!$A:$A,Input_Raw!CH:CH),"")</f>
        <v/>
      </c>
      <c r="O238" s="183" t="str">
        <f t="shared" si="20"/>
        <v/>
      </c>
      <c r="P238" s="183" t="str">
        <f>IFERROR(1-SUMIF(WTG_BD!$B:$B,$A238,WTG_BD!$AB:$AB)/($AA238+SUMIF(WTG_BD!$B:$B,$A238,WTG_BD!$AB:$AB)),"")</f>
        <v/>
      </c>
      <c r="Q238" s="184" t="str">
        <f>IFERROR(1-SUMIF(IGA_BD!$B:$B,$A238,IGA_BD!$X:$X)/($AA238+SUMIF(IGA_BD!$B:$B,$A238,IGA_BD!$X:$X)),"")</f>
        <v/>
      </c>
      <c r="R238" s="189" t="str">
        <f>IFERROR(1-SUMIF(Grid_BD!$B:$B,$A238,Grid_BD!$V:$V)/($AA238+SUMIF(Grid_BD!$B:$B,$A238,Grid_BD!$V:$V)),"")</f>
        <v/>
      </c>
      <c r="S238" s="167"/>
      <c r="T238" s="184"/>
      <c r="U238" s="185"/>
      <c r="V238" s="167"/>
      <c r="W238" s="186" t="str">
        <f>IFERROR(Table13[[#This Row],[Mtr_Net_Exp (KWh)]]/(24*AR238*1000),"")</f>
        <v/>
      </c>
      <c r="X238" s="167" t="str">
        <f>IFERROR(_xlfn.XLOOKUP($A238,Input_Raw!$A:$A,Input_Raw!$CF:$CF),"")</f>
        <v/>
      </c>
      <c r="Y238" s="167" t="str">
        <f>IFERROR(_xlfn.XLOOKUP($A238,Input_Raw!$A:$A,Input_Raw!$CZ:$CZ),"")</f>
        <v/>
      </c>
      <c r="Z238" s="167" t="str">
        <f>IFERROR(_xlfn.XLOOKUP($A238,Input_Raw!$A:$A,Input_Raw!$DA:$DA),"")</f>
        <v/>
      </c>
      <c r="AA238" s="169" t="str">
        <f t="shared" si="21"/>
        <v/>
      </c>
      <c r="AB238" s="167" t="str">
        <f>IFERROR(_xlfn.XLOOKUP($A238,Input_Raw!$A:$A,Input_Raw!$DG:$DG),"")</f>
        <v/>
      </c>
      <c r="AC238" s="187">
        <f>IFERROR(_xlfn.XLOOKUP($D238,'Modelling New'!$D:$D,'Modelling New'!$J:$J),"")</f>
        <v>4.0333333333333332</v>
      </c>
      <c r="AD238" s="169">
        <f>IFERROR(_xlfn.XLOOKUP($D238,'Modelling New'!$D:$D,'Modelling New'!$T:$T)*1000,"")</f>
        <v>162550.46310460661</v>
      </c>
      <c r="AE238" s="186"/>
      <c r="AF238" s="186">
        <f>IFERROR(_xlfn.XLOOKUP($D238,'Modelling New'!$D:$D,'Modelling New'!$W:$W),"")</f>
        <v>8.6832512342204377E-2</v>
      </c>
      <c r="AG238" s="186">
        <f>IFERROR(_xlfn.XLOOKUP($D238,'Modelling New'!$D:$D,'Modelling New'!$AE:$AE),"")</f>
        <v>0.96029999999999993</v>
      </c>
      <c r="AH238" s="186">
        <f>IFERROR(_xlfn.XLOOKUP($D238,'Modelling New'!$D:$D,'Modelling New'!$AF:$AF),"")</f>
        <v>0.995</v>
      </c>
      <c r="AI238" s="167" t="str">
        <f>IFERROR(_xlfn.XLOOKUP($A238,Input_Raw!$A:$A,Input_Raw!$DE:$DE),"")</f>
        <v/>
      </c>
      <c r="AJ238" s="167"/>
      <c r="AK238" s="167"/>
      <c r="AL238" s="167"/>
      <c r="AM238" s="167"/>
      <c r="AN238" s="188" t="str">
        <f>IFERROR(_xlfn.XLOOKUP($A238,Input_Raw!$A:$A,Input_Raw!$DB:$DB),"")</f>
        <v/>
      </c>
      <c r="AO238" s="186" t="str">
        <f>IFERROR((_xlfn.XLOOKUP($A238,'WTG Reactive Power'!$A:$A,'WTG Reactive Power'!$AR:$AR))/X238/1000,"")</f>
        <v/>
      </c>
      <c r="AP238" s="186">
        <f>IFERROR(_xlfn.XLOOKUP($D238,'Modelling New'!$D:$D,'Modelling New'!$AK:$AK),"")</f>
        <v>0.05</v>
      </c>
      <c r="AQ238" s="186">
        <f>IFERROR(_xlfn.XLOOKUP($D238,'Modelling New'!$D:$D,'Modelling New'!$AL:$AL),"")</f>
        <v>0.05</v>
      </c>
      <c r="AR238">
        <f>IFERROR(_xlfn.XLOOKUP($D238,'Modelling New'!$D:$D,'Modelling New'!$N:$N),"")</f>
        <v>78</v>
      </c>
    </row>
    <row r="239" spans="1:44">
      <c r="A239" s="180">
        <f t="shared" si="22"/>
        <v>45982</v>
      </c>
      <c r="B239" s="169">
        <f>YEAR(Table13[[#This Row],[Date]])+IF(MONTH(Table13[[#This Row],[Date]])&gt;=4,1,0)</f>
        <v>2026</v>
      </c>
      <c r="C239" s="167">
        <f>YEAR(Table13[[#This Row],[Date]])</f>
        <v>2025</v>
      </c>
      <c r="D239" s="181">
        <f>Table13[[#This Row],[Date]]-DAY(Table13[[#This Row],[Date]])+1</f>
        <v>45962</v>
      </c>
      <c r="E239" s="167">
        <f t="shared" si="19"/>
        <v>30</v>
      </c>
      <c r="F239" s="170"/>
      <c r="G239" s="171"/>
      <c r="H239" s="171"/>
      <c r="I239" s="171"/>
      <c r="J239" s="171"/>
      <c r="K239" s="182"/>
      <c r="L239" s="171"/>
      <c r="M239" s="171" t="str">
        <f>IFERROR(_xlfn.XLOOKUP($A239,Input_Raw!$A:$A,Input_Raw!CG:CG),"")</f>
        <v/>
      </c>
      <c r="N239" s="171" t="str">
        <f>IFERROR(_xlfn.XLOOKUP($A239,Input_Raw!$A:$A,Input_Raw!CH:CH),"")</f>
        <v/>
      </c>
      <c r="O239" s="183" t="str">
        <f t="shared" si="20"/>
        <v/>
      </c>
      <c r="P239" s="183" t="str">
        <f>IFERROR(1-SUMIF(WTG_BD!$B:$B,$A239,WTG_BD!$AB:$AB)/($AA239+SUMIF(WTG_BD!$B:$B,$A239,WTG_BD!$AB:$AB)),"")</f>
        <v/>
      </c>
      <c r="Q239" s="184" t="str">
        <f>IFERROR(1-SUMIF(IGA_BD!$B:$B,$A239,IGA_BD!$X:$X)/($AA239+SUMIF(IGA_BD!$B:$B,$A239,IGA_BD!$X:$X)),"")</f>
        <v/>
      </c>
      <c r="R239" s="189" t="str">
        <f>IFERROR(1-SUMIF(Grid_BD!$B:$B,$A239,Grid_BD!$V:$V)/($AA239+SUMIF(Grid_BD!$B:$B,$A239,Grid_BD!$V:$V)),"")</f>
        <v/>
      </c>
      <c r="S239" s="167"/>
      <c r="T239" s="184"/>
      <c r="U239" s="185"/>
      <c r="V239" s="167"/>
      <c r="W239" s="186" t="str">
        <f>IFERROR(Table13[[#This Row],[Mtr_Net_Exp (KWh)]]/(24*AR239*1000),"")</f>
        <v/>
      </c>
      <c r="X239" s="167" t="str">
        <f>IFERROR(_xlfn.XLOOKUP($A239,Input_Raw!$A:$A,Input_Raw!$CF:$CF),"")</f>
        <v/>
      </c>
      <c r="Y239" s="167" t="str">
        <f>IFERROR(_xlfn.XLOOKUP($A239,Input_Raw!$A:$A,Input_Raw!$CZ:$CZ),"")</f>
        <v/>
      </c>
      <c r="Z239" s="167" t="str">
        <f>IFERROR(_xlfn.XLOOKUP($A239,Input_Raw!$A:$A,Input_Raw!$DA:$DA),"")</f>
        <v/>
      </c>
      <c r="AA239" s="169" t="str">
        <f t="shared" si="21"/>
        <v/>
      </c>
      <c r="AB239" s="167" t="str">
        <f>IFERROR(_xlfn.XLOOKUP($A239,Input_Raw!$A:$A,Input_Raw!$DG:$DG),"")</f>
        <v/>
      </c>
      <c r="AC239" s="187">
        <f>IFERROR(_xlfn.XLOOKUP($D239,'Modelling New'!$D:$D,'Modelling New'!$J:$J),"")</f>
        <v>4.0333333333333332</v>
      </c>
      <c r="AD239" s="169">
        <f>IFERROR(_xlfn.XLOOKUP($D239,'Modelling New'!$D:$D,'Modelling New'!$T:$T)*1000,"")</f>
        <v>162550.46310460661</v>
      </c>
      <c r="AE239" s="186"/>
      <c r="AF239" s="186">
        <f>IFERROR(_xlfn.XLOOKUP($D239,'Modelling New'!$D:$D,'Modelling New'!$W:$W),"")</f>
        <v>8.6832512342204377E-2</v>
      </c>
      <c r="AG239" s="186">
        <f>IFERROR(_xlfn.XLOOKUP($D239,'Modelling New'!$D:$D,'Modelling New'!$AE:$AE),"")</f>
        <v>0.96029999999999993</v>
      </c>
      <c r="AH239" s="186">
        <f>IFERROR(_xlfn.XLOOKUP($D239,'Modelling New'!$D:$D,'Modelling New'!$AF:$AF),"")</f>
        <v>0.995</v>
      </c>
      <c r="AI239" s="167" t="str">
        <f>IFERROR(_xlfn.XLOOKUP($A239,Input_Raw!$A:$A,Input_Raw!$DE:$DE),"")</f>
        <v/>
      </c>
      <c r="AJ239" s="167"/>
      <c r="AK239" s="167"/>
      <c r="AL239" s="167"/>
      <c r="AM239" s="167"/>
      <c r="AN239" s="188" t="str">
        <f>IFERROR(_xlfn.XLOOKUP($A239,Input_Raw!$A:$A,Input_Raw!$DB:$DB),"")</f>
        <v/>
      </c>
      <c r="AO239" s="186" t="str">
        <f>IFERROR((_xlfn.XLOOKUP($A239,'WTG Reactive Power'!$A:$A,'WTG Reactive Power'!$AR:$AR))/X239/1000,"")</f>
        <v/>
      </c>
      <c r="AP239" s="186">
        <f>IFERROR(_xlfn.XLOOKUP($D239,'Modelling New'!$D:$D,'Modelling New'!$AK:$AK),"")</f>
        <v>0.05</v>
      </c>
      <c r="AQ239" s="186">
        <f>IFERROR(_xlfn.XLOOKUP($D239,'Modelling New'!$D:$D,'Modelling New'!$AL:$AL),"")</f>
        <v>0.05</v>
      </c>
      <c r="AR239">
        <f>IFERROR(_xlfn.XLOOKUP($D239,'Modelling New'!$D:$D,'Modelling New'!$N:$N),"")</f>
        <v>78</v>
      </c>
    </row>
    <row r="240" spans="1:44">
      <c r="A240" s="180">
        <f t="shared" si="22"/>
        <v>45983</v>
      </c>
      <c r="B240" s="169">
        <f>YEAR(Table13[[#This Row],[Date]])+IF(MONTH(Table13[[#This Row],[Date]])&gt;=4,1,0)</f>
        <v>2026</v>
      </c>
      <c r="C240" s="167">
        <f>YEAR(Table13[[#This Row],[Date]])</f>
        <v>2025</v>
      </c>
      <c r="D240" s="181">
        <f>Table13[[#This Row],[Date]]-DAY(Table13[[#This Row],[Date]])+1</f>
        <v>45962</v>
      </c>
      <c r="E240" s="167">
        <f t="shared" si="19"/>
        <v>30</v>
      </c>
      <c r="F240" s="170"/>
      <c r="G240" s="171"/>
      <c r="H240" s="171"/>
      <c r="I240" s="171"/>
      <c r="J240" s="171"/>
      <c r="K240" s="182"/>
      <c r="L240" s="171"/>
      <c r="M240" s="171" t="str">
        <f>IFERROR(_xlfn.XLOOKUP($A240,Input_Raw!$A:$A,Input_Raw!CG:CG),"")</f>
        <v/>
      </c>
      <c r="N240" s="171" t="str">
        <f>IFERROR(_xlfn.XLOOKUP($A240,Input_Raw!$A:$A,Input_Raw!CH:CH),"")</f>
        <v/>
      </c>
      <c r="O240" s="183" t="str">
        <f t="shared" si="20"/>
        <v/>
      </c>
      <c r="P240" s="183" t="str">
        <f>IFERROR(1-SUMIF(WTG_BD!$B:$B,$A240,WTG_BD!$AB:$AB)/($AA240+SUMIF(WTG_BD!$B:$B,$A240,WTG_BD!$AB:$AB)),"")</f>
        <v/>
      </c>
      <c r="Q240" s="184" t="str">
        <f>IFERROR(1-SUMIF(IGA_BD!$B:$B,$A240,IGA_BD!$X:$X)/($AA240+SUMIF(IGA_BD!$B:$B,$A240,IGA_BD!$X:$X)),"")</f>
        <v/>
      </c>
      <c r="R240" s="189" t="str">
        <f>IFERROR(1-SUMIF(Grid_BD!$B:$B,$A240,Grid_BD!$V:$V)/($AA240+SUMIF(Grid_BD!$B:$B,$A240,Grid_BD!$V:$V)),"")</f>
        <v/>
      </c>
      <c r="S240" s="167"/>
      <c r="T240" s="184"/>
      <c r="U240" s="185"/>
      <c r="V240" s="167"/>
      <c r="W240" s="186" t="str">
        <f>IFERROR(Table13[[#This Row],[Mtr_Net_Exp (KWh)]]/(24*AR240*1000),"")</f>
        <v/>
      </c>
      <c r="X240" s="167" t="str">
        <f>IFERROR(_xlfn.XLOOKUP($A240,Input_Raw!$A:$A,Input_Raw!$CF:$CF),"")</f>
        <v/>
      </c>
      <c r="Y240" s="167" t="str">
        <f>IFERROR(_xlfn.XLOOKUP($A240,Input_Raw!$A:$A,Input_Raw!$CZ:$CZ),"")</f>
        <v/>
      </c>
      <c r="Z240" s="167" t="str">
        <f>IFERROR(_xlfn.XLOOKUP($A240,Input_Raw!$A:$A,Input_Raw!$DA:$DA),"")</f>
        <v/>
      </c>
      <c r="AA240" s="169" t="str">
        <f t="shared" si="21"/>
        <v/>
      </c>
      <c r="AB240" s="167" t="str">
        <f>IFERROR(_xlfn.XLOOKUP($A240,Input_Raw!$A:$A,Input_Raw!$DG:$DG),"")</f>
        <v/>
      </c>
      <c r="AC240" s="187">
        <f>IFERROR(_xlfn.XLOOKUP($D240,'Modelling New'!$D:$D,'Modelling New'!$J:$J),"")</f>
        <v>4.0333333333333332</v>
      </c>
      <c r="AD240" s="169">
        <f>IFERROR(_xlfn.XLOOKUP($D240,'Modelling New'!$D:$D,'Modelling New'!$T:$T)*1000,"")</f>
        <v>162550.46310460661</v>
      </c>
      <c r="AE240" s="186"/>
      <c r="AF240" s="186">
        <f>IFERROR(_xlfn.XLOOKUP($D240,'Modelling New'!$D:$D,'Modelling New'!$W:$W),"")</f>
        <v>8.6832512342204377E-2</v>
      </c>
      <c r="AG240" s="186">
        <f>IFERROR(_xlfn.XLOOKUP($D240,'Modelling New'!$D:$D,'Modelling New'!$AE:$AE),"")</f>
        <v>0.96029999999999993</v>
      </c>
      <c r="AH240" s="186">
        <f>IFERROR(_xlfn.XLOOKUP($D240,'Modelling New'!$D:$D,'Modelling New'!$AF:$AF),"")</f>
        <v>0.995</v>
      </c>
      <c r="AI240" s="167" t="str">
        <f>IFERROR(_xlfn.XLOOKUP($A240,Input_Raw!$A:$A,Input_Raw!$DE:$DE),"")</f>
        <v/>
      </c>
      <c r="AJ240" s="167"/>
      <c r="AK240" s="167"/>
      <c r="AL240" s="167"/>
      <c r="AM240" s="167"/>
      <c r="AN240" s="188" t="str">
        <f>IFERROR(_xlfn.XLOOKUP($A240,Input_Raw!$A:$A,Input_Raw!$DB:$DB),"")</f>
        <v/>
      </c>
      <c r="AO240" s="186" t="str">
        <f>IFERROR((_xlfn.XLOOKUP($A240,'WTG Reactive Power'!$A:$A,'WTG Reactive Power'!$AR:$AR))/X240/1000,"")</f>
        <v/>
      </c>
      <c r="AP240" s="186">
        <f>IFERROR(_xlfn.XLOOKUP($D240,'Modelling New'!$D:$D,'Modelling New'!$AK:$AK),"")</f>
        <v>0.05</v>
      </c>
      <c r="AQ240" s="186">
        <f>IFERROR(_xlfn.XLOOKUP($D240,'Modelling New'!$D:$D,'Modelling New'!$AL:$AL),"")</f>
        <v>0.05</v>
      </c>
      <c r="AR240">
        <f>IFERROR(_xlfn.XLOOKUP($D240,'Modelling New'!$D:$D,'Modelling New'!$N:$N),"")</f>
        <v>78</v>
      </c>
    </row>
    <row r="241" spans="1:44">
      <c r="A241" s="180">
        <f t="shared" si="22"/>
        <v>45984</v>
      </c>
      <c r="B241" s="169">
        <f>YEAR(Table13[[#This Row],[Date]])+IF(MONTH(Table13[[#This Row],[Date]])&gt;=4,1,0)</f>
        <v>2026</v>
      </c>
      <c r="C241" s="167">
        <f>YEAR(Table13[[#This Row],[Date]])</f>
        <v>2025</v>
      </c>
      <c r="D241" s="181">
        <f>Table13[[#This Row],[Date]]-DAY(Table13[[#This Row],[Date]])+1</f>
        <v>45962</v>
      </c>
      <c r="E241" s="167">
        <f t="shared" si="19"/>
        <v>30</v>
      </c>
      <c r="F241" s="170"/>
      <c r="G241" s="171"/>
      <c r="H241" s="171"/>
      <c r="I241" s="171"/>
      <c r="J241" s="171"/>
      <c r="K241" s="182"/>
      <c r="L241" s="171"/>
      <c r="M241" s="171" t="str">
        <f>IFERROR(_xlfn.XLOOKUP($A241,Input_Raw!$A:$A,Input_Raw!CG:CG),"")</f>
        <v/>
      </c>
      <c r="N241" s="171" t="str">
        <f>IFERROR(_xlfn.XLOOKUP($A241,Input_Raw!$A:$A,Input_Raw!CH:CH),"")</f>
        <v/>
      </c>
      <c r="O241" s="183" t="str">
        <f t="shared" si="20"/>
        <v/>
      </c>
      <c r="P241" s="183" t="str">
        <f>IFERROR(1-SUMIF(WTG_BD!$B:$B,$A241,WTG_BD!$AB:$AB)/($AA241+SUMIF(WTG_BD!$B:$B,$A241,WTG_BD!$AB:$AB)),"")</f>
        <v/>
      </c>
      <c r="Q241" s="184" t="str">
        <f>IFERROR(1-SUMIF(IGA_BD!$B:$B,$A241,IGA_BD!$X:$X)/($AA241+SUMIF(IGA_BD!$B:$B,$A241,IGA_BD!$X:$X)),"")</f>
        <v/>
      </c>
      <c r="R241" s="189" t="str">
        <f>IFERROR(1-SUMIF(Grid_BD!$B:$B,$A241,Grid_BD!$V:$V)/($AA241+SUMIF(Grid_BD!$B:$B,$A241,Grid_BD!$V:$V)),"")</f>
        <v/>
      </c>
      <c r="S241" s="167"/>
      <c r="T241" s="184"/>
      <c r="U241" s="185"/>
      <c r="V241" s="167"/>
      <c r="W241" s="186" t="str">
        <f>IFERROR(Table13[[#This Row],[Mtr_Net_Exp (KWh)]]/(24*AR241*1000),"")</f>
        <v/>
      </c>
      <c r="X241" s="167" t="str">
        <f>IFERROR(_xlfn.XLOOKUP($A241,Input_Raw!$A:$A,Input_Raw!$CF:$CF),"")</f>
        <v/>
      </c>
      <c r="Y241" s="167" t="str">
        <f>IFERROR(_xlfn.XLOOKUP($A241,Input_Raw!$A:$A,Input_Raw!$CZ:$CZ),"")</f>
        <v/>
      </c>
      <c r="Z241" s="167" t="str">
        <f>IFERROR(_xlfn.XLOOKUP($A241,Input_Raw!$A:$A,Input_Raw!$DA:$DA),"")</f>
        <v/>
      </c>
      <c r="AA241" s="169" t="str">
        <f t="shared" si="21"/>
        <v/>
      </c>
      <c r="AB241" s="167" t="str">
        <f>IFERROR(_xlfn.XLOOKUP($A241,Input_Raw!$A:$A,Input_Raw!$DG:$DG),"")</f>
        <v/>
      </c>
      <c r="AC241" s="187">
        <f>IFERROR(_xlfn.XLOOKUP($D241,'Modelling New'!$D:$D,'Modelling New'!$J:$J),"")</f>
        <v>4.0333333333333332</v>
      </c>
      <c r="AD241" s="169">
        <f>IFERROR(_xlfn.XLOOKUP($D241,'Modelling New'!$D:$D,'Modelling New'!$T:$T)*1000,"")</f>
        <v>162550.46310460661</v>
      </c>
      <c r="AE241" s="186"/>
      <c r="AF241" s="186">
        <f>IFERROR(_xlfn.XLOOKUP($D241,'Modelling New'!$D:$D,'Modelling New'!$W:$W),"")</f>
        <v>8.6832512342204377E-2</v>
      </c>
      <c r="AG241" s="186">
        <f>IFERROR(_xlfn.XLOOKUP($D241,'Modelling New'!$D:$D,'Modelling New'!$AE:$AE),"")</f>
        <v>0.96029999999999993</v>
      </c>
      <c r="AH241" s="186">
        <f>IFERROR(_xlfn.XLOOKUP($D241,'Modelling New'!$D:$D,'Modelling New'!$AF:$AF),"")</f>
        <v>0.995</v>
      </c>
      <c r="AI241" s="167" t="str">
        <f>IFERROR(_xlfn.XLOOKUP($A241,Input_Raw!$A:$A,Input_Raw!$DE:$DE),"")</f>
        <v/>
      </c>
      <c r="AJ241" s="167"/>
      <c r="AK241" s="167"/>
      <c r="AL241" s="167"/>
      <c r="AM241" s="167"/>
      <c r="AN241" s="188" t="str">
        <f>IFERROR(_xlfn.XLOOKUP($A241,Input_Raw!$A:$A,Input_Raw!$DB:$DB),"")</f>
        <v/>
      </c>
      <c r="AO241" s="186" t="str">
        <f>IFERROR((_xlfn.XLOOKUP($A241,'WTG Reactive Power'!$A:$A,'WTG Reactive Power'!$AR:$AR))/X241/1000,"")</f>
        <v/>
      </c>
      <c r="AP241" s="186">
        <f>IFERROR(_xlfn.XLOOKUP($D241,'Modelling New'!$D:$D,'Modelling New'!$AK:$AK),"")</f>
        <v>0.05</v>
      </c>
      <c r="AQ241" s="186">
        <f>IFERROR(_xlfn.XLOOKUP($D241,'Modelling New'!$D:$D,'Modelling New'!$AL:$AL),"")</f>
        <v>0.05</v>
      </c>
      <c r="AR241">
        <f>IFERROR(_xlfn.XLOOKUP($D241,'Modelling New'!$D:$D,'Modelling New'!$N:$N),"")</f>
        <v>78</v>
      </c>
    </row>
    <row r="242" spans="1:44">
      <c r="A242" s="180">
        <f t="shared" si="22"/>
        <v>45985</v>
      </c>
      <c r="B242" s="169">
        <f>YEAR(Table13[[#This Row],[Date]])+IF(MONTH(Table13[[#This Row],[Date]])&gt;=4,1,0)</f>
        <v>2026</v>
      </c>
      <c r="C242" s="167">
        <f>YEAR(Table13[[#This Row],[Date]])</f>
        <v>2025</v>
      </c>
      <c r="D242" s="181">
        <f>Table13[[#This Row],[Date]]-DAY(Table13[[#This Row],[Date]])+1</f>
        <v>45962</v>
      </c>
      <c r="E242" s="167">
        <f t="shared" si="19"/>
        <v>30</v>
      </c>
      <c r="F242" s="170"/>
      <c r="G242" s="171"/>
      <c r="H242" s="171"/>
      <c r="I242" s="171"/>
      <c r="J242" s="171"/>
      <c r="K242" s="182"/>
      <c r="L242" s="171"/>
      <c r="M242" s="171" t="str">
        <f>IFERROR(_xlfn.XLOOKUP($A242,Input_Raw!$A:$A,Input_Raw!CG:CG),"")</f>
        <v/>
      </c>
      <c r="N242" s="171" t="str">
        <f>IFERROR(_xlfn.XLOOKUP($A242,Input_Raw!$A:$A,Input_Raw!CH:CH),"")</f>
        <v/>
      </c>
      <c r="O242" s="183" t="str">
        <f t="shared" si="20"/>
        <v/>
      </c>
      <c r="P242" s="183" t="str">
        <f>IFERROR(1-SUMIF(WTG_BD!$B:$B,$A242,WTG_BD!$AB:$AB)/($AA242+SUMIF(WTG_BD!$B:$B,$A242,WTG_BD!$AB:$AB)),"")</f>
        <v/>
      </c>
      <c r="Q242" s="184" t="str">
        <f>IFERROR(1-SUMIF(IGA_BD!$B:$B,$A242,IGA_BD!$X:$X)/($AA242+SUMIF(IGA_BD!$B:$B,$A242,IGA_BD!$X:$X)),"")</f>
        <v/>
      </c>
      <c r="R242" s="189" t="str">
        <f>IFERROR(1-SUMIF(Grid_BD!$B:$B,$A242,Grid_BD!$V:$V)/($AA242+SUMIF(Grid_BD!$B:$B,$A242,Grid_BD!$V:$V)),"")</f>
        <v/>
      </c>
      <c r="S242" s="167"/>
      <c r="T242" s="184"/>
      <c r="U242" s="185"/>
      <c r="V242" s="167"/>
      <c r="W242" s="186" t="str">
        <f>IFERROR(Table13[[#This Row],[Mtr_Net_Exp (KWh)]]/(24*AR242*1000),"")</f>
        <v/>
      </c>
      <c r="X242" s="167" t="str">
        <f>IFERROR(_xlfn.XLOOKUP($A242,Input_Raw!$A:$A,Input_Raw!$CF:$CF),"")</f>
        <v/>
      </c>
      <c r="Y242" s="167" t="str">
        <f>IFERROR(_xlfn.XLOOKUP($A242,Input_Raw!$A:$A,Input_Raw!$CZ:$CZ),"")</f>
        <v/>
      </c>
      <c r="Z242" s="167" t="str">
        <f>IFERROR(_xlfn.XLOOKUP($A242,Input_Raw!$A:$A,Input_Raw!$DA:$DA),"")</f>
        <v/>
      </c>
      <c r="AA242" s="169" t="str">
        <f t="shared" si="21"/>
        <v/>
      </c>
      <c r="AB242" s="167" t="str">
        <f>IFERROR(_xlfn.XLOOKUP($A242,Input_Raw!$A:$A,Input_Raw!$DG:$DG),"")</f>
        <v/>
      </c>
      <c r="AC242" s="187">
        <f>IFERROR(_xlfn.XLOOKUP($D242,'Modelling New'!$D:$D,'Modelling New'!$J:$J),"")</f>
        <v>4.0333333333333332</v>
      </c>
      <c r="AD242" s="169">
        <f>IFERROR(_xlfn.XLOOKUP($D242,'Modelling New'!$D:$D,'Modelling New'!$T:$T)*1000,"")</f>
        <v>162550.46310460661</v>
      </c>
      <c r="AE242" s="186"/>
      <c r="AF242" s="186">
        <f>IFERROR(_xlfn.XLOOKUP($D242,'Modelling New'!$D:$D,'Modelling New'!$W:$W),"")</f>
        <v>8.6832512342204377E-2</v>
      </c>
      <c r="AG242" s="186">
        <f>IFERROR(_xlfn.XLOOKUP($D242,'Modelling New'!$D:$D,'Modelling New'!$AE:$AE),"")</f>
        <v>0.96029999999999993</v>
      </c>
      <c r="AH242" s="186">
        <f>IFERROR(_xlfn.XLOOKUP($D242,'Modelling New'!$D:$D,'Modelling New'!$AF:$AF),"")</f>
        <v>0.995</v>
      </c>
      <c r="AI242" s="167" t="str">
        <f>IFERROR(_xlfn.XLOOKUP($A242,Input_Raw!$A:$A,Input_Raw!$DE:$DE),"")</f>
        <v/>
      </c>
      <c r="AJ242" s="167"/>
      <c r="AK242" s="167"/>
      <c r="AL242" s="167"/>
      <c r="AM242" s="167"/>
      <c r="AN242" s="188" t="str">
        <f>IFERROR(_xlfn.XLOOKUP($A242,Input_Raw!$A:$A,Input_Raw!$DB:$DB),"")</f>
        <v/>
      </c>
      <c r="AO242" s="186" t="str">
        <f>IFERROR((_xlfn.XLOOKUP($A242,'WTG Reactive Power'!$A:$A,'WTG Reactive Power'!$AR:$AR))/X242/1000,"")</f>
        <v/>
      </c>
      <c r="AP242" s="186">
        <f>IFERROR(_xlfn.XLOOKUP($D242,'Modelling New'!$D:$D,'Modelling New'!$AK:$AK),"")</f>
        <v>0.05</v>
      </c>
      <c r="AQ242" s="186">
        <f>IFERROR(_xlfn.XLOOKUP($D242,'Modelling New'!$D:$D,'Modelling New'!$AL:$AL),"")</f>
        <v>0.05</v>
      </c>
      <c r="AR242">
        <f>IFERROR(_xlfn.XLOOKUP($D242,'Modelling New'!$D:$D,'Modelling New'!$N:$N),"")</f>
        <v>78</v>
      </c>
    </row>
    <row r="243" spans="1:44">
      <c r="A243" s="180">
        <f t="shared" si="22"/>
        <v>45986</v>
      </c>
      <c r="B243" s="169">
        <f>YEAR(Table13[[#This Row],[Date]])+IF(MONTH(Table13[[#This Row],[Date]])&gt;=4,1,0)</f>
        <v>2026</v>
      </c>
      <c r="C243" s="167">
        <f>YEAR(Table13[[#This Row],[Date]])</f>
        <v>2025</v>
      </c>
      <c r="D243" s="181">
        <f>Table13[[#This Row],[Date]]-DAY(Table13[[#This Row],[Date]])+1</f>
        <v>45962</v>
      </c>
      <c r="E243" s="167">
        <f t="shared" si="19"/>
        <v>30</v>
      </c>
      <c r="F243" s="170"/>
      <c r="G243" s="171"/>
      <c r="H243" s="171"/>
      <c r="I243" s="171"/>
      <c r="J243" s="171"/>
      <c r="K243" s="182"/>
      <c r="L243" s="171"/>
      <c r="M243" s="171" t="str">
        <f>IFERROR(_xlfn.XLOOKUP($A243,Input_Raw!$A:$A,Input_Raw!CG:CG),"")</f>
        <v/>
      </c>
      <c r="N243" s="171" t="str">
        <f>IFERROR(_xlfn.XLOOKUP($A243,Input_Raw!$A:$A,Input_Raw!CH:CH),"")</f>
        <v/>
      </c>
      <c r="O243" s="183" t="str">
        <f t="shared" si="20"/>
        <v/>
      </c>
      <c r="P243" s="183" t="str">
        <f>IFERROR(1-SUMIF(WTG_BD!$B:$B,$A243,WTG_BD!$AB:$AB)/($AA243+SUMIF(WTG_BD!$B:$B,$A243,WTG_BD!$AB:$AB)),"")</f>
        <v/>
      </c>
      <c r="Q243" s="184" t="str">
        <f>IFERROR(1-SUMIF(IGA_BD!$B:$B,$A243,IGA_BD!$X:$X)/($AA243+SUMIF(IGA_BD!$B:$B,$A243,IGA_BD!$X:$X)),"")</f>
        <v/>
      </c>
      <c r="R243" s="189" t="str">
        <f>IFERROR(1-SUMIF(Grid_BD!$B:$B,$A243,Grid_BD!$V:$V)/($AA243+SUMIF(Grid_BD!$B:$B,$A243,Grid_BD!$V:$V)),"")</f>
        <v/>
      </c>
      <c r="S243" s="167"/>
      <c r="T243" s="184"/>
      <c r="U243" s="185"/>
      <c r="V243" s="167"/>
      <c r="W243" s="186" t="str">
        <f>IFERROR(Table13[[#This Row],[Mtr_Net_Exp (KWh)]]/(24*AR243*1000),"")</f>
        <v/>
      </c>
      <c r="X243" s="167" t="str">
        <f>IFERROR(_xlfn.XLOOKUP($A243,Input_Raw!$A:$A,Input_Raw!$CF:$CF),"")</f>
        <v/>
      </c>
      <c r="Y243" s="167" t="str">
        <f>IFERROR(_xlfn.XLOOKUP($A243,Input_Raw!$A:$A,Input_Raw!$CZ:$CZ),"")</f>
        <v/>
      </c>
      <c r="Z243" s="167" t="str">
        <f>IFERROR(_xlfn.XLOOKUP($A243,Input_Raw!$A:$A,Input_Raw!$DA:$DA),"")</f>
        <v/>
      </c>
      <c r="AA243" s="169" t="str">
        <f t="shared" si="21"/>
        <v/>
      </c>
      <c r="AB243" s="167" t="str">
        <f>IFERROR(_xlfn.XLOOKUP($A243,Input_Raw!$A:$A,Input_Raw!$DG:$DG),"")</f>
        <v/>
      </c>
      <c r="AC243" s="187">
        <f>IFERROR(_xlfn.XLOOKUP($D243,'Modelling New'!$D:$D,'Modelling New'!$J:$J),"")</f>
        <v>4.0333333333333332</v>
      </c>
      <c r="AD243" s="169">
        <f>IFERROR(_xlfn.XLOOKUP($D243,'Modelling New'!$D:$D,'Modelling New'!$T:$T)*1000,"")</f>
        <v>162550.46310460661</v>
      </c>
      <c r="AE243" s="186"/>
      <c r="AF243" s="186">
        <f>IFERROR(_xlfn.XLOOKUP($D243,'Modelling New'!$D:$D,'Modelling New'!$W:$W),"")</f>
        <v>8.6832512342204377E-2</v>
      </c>
      <c r="AG243" s="186">
        <f>IFERROR(_xlfn.XLOOKUP($D243,'Modelling New'!$D:$D,'Modelling New'!$AE:$AE),"")</f>
        <v>0.96029999999999993</v>
      </c>
      <c r="AH243" s="186">
        <f>IFERROR(_xlfn.XLOOKUP($D243,'Modelling New'!$D:$D,'Modelling New'!$AF:$AF),"")</f>
        <v>0.995</v>
      </c>
      <c r="AI243" s="167" t="str">
        <f>IFERROR(_xlfn.XLOOKUP($A243,Input_Raw!$A:$A,Input_Raw!$DE:$DE),"")</f>
        <v/>
      </c>
      <c r="AJ243" s="167"/>
      <c r="AK243" s="167"/>
      <c r="AL243" s="167"/>
      <c r="AM243" s="167"/>
      <c r="AN243" s="188" t="str">
        <f>IFERROR(_xlfn.XLOOKUP($A243,Input_Raw!$A:$A,Input_Raw!$DB:$DB),"")</f>
        <v/>
      </c>
      <c r="AO243" s="186" t="str">
        <f>IFERROR((_xlfn.XLOOKUP($A243,'WTG Reactive Power'!$A:$A,'WTG Reactive Power'!$AR:$AR))/X243/1000,"")</f>
        <v/>
      </c>
      <c r="AP243" s="186">
        <f>IFERROR(_xlfn.XLOOKUP($D243,'Modelling New'!$D:$D,'Modelling New'!$AK:$AK),"")</f>
        <v>0.05</v>
      </c>
      <c r="AQ243" s="186">
        <f>IFERROR(_xlfn.XLOOKUP($D243,'Modelling New'!$D:$D,'Modelling New'!$AL:$AL),"")</f>
        <v>0.05</v>
      </c>
      <c r="AR243">
        <f>IFERROR(_xlfn.XLOOKUP($D243,'Modelling New'!$D:$D,'Modelling New'!$N:$N),"")</f>
        <v>78</v>
      </c>
    </row>
    <row r="244" spans="1:44">
      <c r="A244" s="180">
        <f t="shared" si="22"/>
        <v>45987</v>
      </c>
      <c r="B244" s="169">
        <f>YEAR(Table13[[#This Row],[Date]])+IF(MONTH(Table13[[#This Row],[Date]])&gt;=4,1,0)</f>
        <v>2026</v>
      </c>
      <c r="C244" s="167">
        <f>YEAR(Table13[[#This Row],[Date]])</f>
        <v>2025</v>
      </c>
      <c r="D244" s="181">
        <f>Table13[[#This Row],[Date]]-DAY(Table13[[#This Row],[Date]])+1</f>
        <v>45962</v>
      </c>
      <c r="E244" s="167">
        <f t="shared" si="19"/>
        <v>30</v>
      </c>
      <c r="F244" s="170"/>
      <c r="G244" s="171"/>
      <c r="H244" s="171"/>
      <c r="I244" s="171"/>
      <c r="J244" s="171"/>
      <c r="K244" s="182"/>
      <c r="L244" s="171"/>
      <c r="M244" s="171" t="str">
        <f>IFERROR(_xlfn.XLOOKUP($A244,Input_Raw!$A:$A,Input_Raw!CG:CG),"")</f>
        <v/>
      </c>
      <c r="N244" s="171" t="str">
        <f>IFERROR(_xlfn.XLOOKUP($A244,Input_Raw!$A:$A,Input_Raw!CH:CH),"")</f>
        <v/>
      </c>
      <c r="O244" s="183" t="str">
        <f t="shared" si="20"/>
        <v/>
      </c>
      <c r="P244" s="183" t="str">
        <f>IFERROR(1-SUMIF(WTG_BD!$B:$B,$A244,WTG_BD!$AB:$AB)/($AA244+SUMIF(WTG_BD!$B:$B,$A244,WTG_BD!$AB:$AB)),"")</f>
        <v/>
      </c>
      <c r="Q244" s="184" t="str">
        <f>IFERROR(1-SUMIF(IGA_BD!$B:$B,$A244,IGA_BD!$X:$X)/($AA244+SUMIF(IGA_BD!$B:$B,$A244,IGA_BD!$X:$X)),"")</f>
        <v/>
      </c>
      <c r="R244" s="189" t="str">
        <f>IFERROR(1-SUMIF(Grid_BD!$B:$B,$A244,Grid_BD!$V:$V)/($AA244+SUMIF(Grid_BD!$B:$B,$A244,Grid_BD!$V:$V)),"")</f>
        <v/>
      </c>
      <c r="S244" s="167"/>
      <c r="T244" s="184"/>
      <c r="U244" s="185"/>
      <c r="V244" s="167"/>
      <c r="W244" s="186" t="str">
        <f>IFERROR(Table13[[#This Row],[Mtr_Net_Exp (KWh)]]/(24*AR244*1000),"")</f>
        <v/>
      </c>
      <c r="X244" s="167" t="str">
        <f>IFERROR(_xlfn.XLOOKUP($A244,Input_Raw!$A:$A,Input_Raw!$CF:$CF),"")</f>
        <v/>
      </c>
      <c r="Y244" s="167" t="str">
        <f>IFERROR(_xlfn.XLOOKUP($A244,Input_Raw!$A:$A,Input_Raw!$CZ:$CZ),"")</f>
        <v/>
      </c>
      <c r="Z244" s="167" t="str">
        <f>IFERROR(_xlfn.XLOOKUP($A244,Input_Raw!$A:$A,Input_Raw!$DA:$DA),"")</f>
        <v/>
      </c>
      <c r="AA244" s="169" t="str">
        <f t="shared" si="21"/>
        <v/>
      </c>
      <c r="AB244" s="167" t="str">
        <f>IFERROR(_xlfn.XLOOKUP($A244,Input_Raw!$A:$A,Input_Raw!$DG:$DG),"")</f>
        <v/>
      </c>
      <c r="AC244" s="187">
        <f>IFERROR(_xlfn.XLOOKUP($D244,'Modelling New'!$D:$D,'Modelling New'!$J:$J),"")</f>
        <v>4.0333333333333332</v>
      </c>
      <c r="AD244" s="169">
        <f>IFERROR(_xlfn.XLOOKUP($D244,'Modelling New'!$D:$D,'Modelling New'!$T:$T)*1000,"")</f>
        <v>162550.46310460661</v>
      </c>
      <c r="AE244" s="186"/>
      <c r="AF244" s="186">
        <f>IFERROR(_xlfn.XLOOKUP($D244,'Modelling New'!$D:$D,'Modelling New'!$W:$W),"")</f>
        <v>8.6832512342204377E-2</v>
      </c>
      <c r="AG244" s="186">
        <f>IFERROR(_xlfn.XLOOKUP($D244,'Modelling New'!$D:$D,'Modelling New'!$AE:$AE),"")</f>
        <v>0.96029999999999993</v>
      </c>
      <c r="AH244" s="186">
        <f>IFERROR(_xlfn.XLOOKUP($D244,'Modelling New'!$D:$D,'Modelling New'!$AF:$AF),"")</f>
        <v>0.995</v>
      </c>
      <c r="AI244" s="167" t="str">
        <f>IFERROR(_xlfn.XLOOKUP($A244,Input_Raw!$A:$A,Input_Raw!$DE:$DE),"")</f>
        <v/>
      </c>
      <c r="AJ244" s="167"/>
      <c r="AK244" s="167"/>
      <c r="AL244" s="167"/>
      <c r="AM244" s="167"/>
      <c r="AN244" s="188" t="str">
        <f>IFERROR(_xlfn.XLOOKUP($A244,Input_Raw!$A:$A,Input_Raw!$DB:$DB),"")</f>
        <v/>
      </c>
      <c r="AO244" s="186" t="str">
        <f>IFERROR((_xlfn.XLOOKUP($A244,'WTG Reactive Power'!$A:$A,'WTG Reactive Power'!$AR:$AR))/X244/1000,"")</f>
        <v/>
      </c>
      <c r="AP244" s="186">
        <f>IFERROR(_xlfn.XLOOKUP($D244,'Modelling New'!$D:$D,'Modelling New'!$AK:$AK),"")</f>
        <v>0.05</v>
      </c>
      <c r="AQ244" s="186">
        <f>IFERROR(_xlfn.XLOOKUP($D244,'Modelling New'!$D:$D,'Modelling New'!$AL:$AL),"")</f>
        <v>0.05</v>
      </c>
      <c r="AR244">
        <f>IFERROR(_xlfn.XLOOKUP($D244,'Modelling New'!$D:$D,'Modelling New'!$N:$N),"")</f>
        <v>78</v>
      </c>
    </row>
    <row r="245" spans="1:44">
      <c r="A245" s="180">
        <f t="shared" si="22"/>
        <v>45988</v>
      </c>
      <c r="B245" s="169">
        <f>YEAR(Table13[[#This Row],[Date]])+IF(MONTH(Table13[[#This Row],[Date]])&gt;=4,1,0)</f>
        <v>2026</v>
      </c>
      <c r="C245" s="167">
        <f>YEAR(Table13[[#This Row],[Date]])</f>
        <v>2025</v>
      </c>
      <c r="D245" s="181">
        <f>Table13[[#This Row],[Date]]-DAY(Table13[[#This Row],[Date]])+1</f>
        <v>45962</v>
      </c>
      <c r="E245" s="167">
        <f t="shared" si="19"/>
        <v>30</v>
      </c>
      <c r="F245" s="170"/>
      <c r="G245" s="171"/>
      <c r="H245" s="171"/>
      <c r="I245" s="171"/>
      <c r="J245" s="171"/>
      <c r="K245" s="182"/>
      <c r="L245" s="171"/>
      <c r="M245" s="171" t="str">
        <f>IFERROR(_xlfn.XLOOKUP($A245,Input_Raw!$A:$A,Input_Raw!CG:CG),"")</f>
        <v/>
      </c>
      <c r="N245" s="171" t="str">
        <f>IFERROR(_xlfn.XLOOKUP($A245,Input_Raw!$A:$A,Input_Raw!CH:CH),"")</f>
        <v/>
      </c>
      <c r="O245" s="183" t="str">
        <f t="shared" si="20"/>
        <v/>
      </c>
      <c r="P245" s="183" t="str">
        <f>IFERROR(1-SUMIF(WTG_BD!$B:$B,$A245,WTG_BD!$AB:$AB)/($AA245+SUMIF(WTG_BD!$B:$B,$A245,WTG_BD!$AB:$AB)),"")</f>
        <v/>
      </c>
      <c r="Q245" s="184" t="str">
        <f>IFERROR(1-SUMIF(IGA_BD!$B:$B,$A245,IGA_BD!$X:$X)/($AA245+SUMIF(IGA_BD!$B:$B,$A245,IGA_BD!$X:$X)),"")</f>
        <v/>
      </c>
      <c r="R245" s="189" t="str">
        <f>IFERROR(1-SUMIF(Grid_BD!$B:$B,$A245,Grid_BD!$V:$V)/($AA245+SUMIF(Grid_BD!$B:$B,$A245,Grid_BD!$V:$V)),"")</f>
        <v/>
      </c>
      <c r="S245" s="167"/>
      <c r="T245" s="184"/>
      <c r="U245" s="185"/>
      <c r="V245" s="167"/>
      <c r="W245" s="186" t="str">
        <f>IFERROR(Table13[[#This Row],[Mtr_Net_Exp (KWh)]]/(24*AR245*1000),"")</f>
        <v/>
      </c>
      <c r="X245" s="167" t="str">
        <f>IFERROR(_xlfn.XLOOKUP($A245,Input_Raw!$A:$A,Input_Raw!$CF:$CF),"")</f>
        <v/>
      </c>
      <c r="Y245" s="167" t="str">
        <f>IFERROR(_xlfn.XLOOKUP($A245,Input_Raw!$A:$A,Input_Raw!$CZ:$CZ),"")</f>
        <v/>
      </c>
      <c r="Z245" s="167" t="str">
        <f>IFERROR(_xlfn.XLOOKUP($A245,Input_Raw!$A:$A,Input_Raw!$DA:$DA),"")</f>
        <v/>
      </c>
      <c r="AA245" s="169" t="str">
        <f t="shared" si="21"/>
        <v/>
      </c>
      <c r="AB245" s="167" t="str">
        <f>IFERROR(_xlfn.XLOOKUP($A245,Input_Raw!$A:$A,Input_Raw!$DG:$DG),"")</f>
        <v/>
      </c>
      <c r="AC245" s="187">
        <f>IFERROR(_xlfn.XLOOKUP($D245,'Modelling New'!$D:$D,'Modelling New'!$J:$J),"")</f>
        <v>4.0333333333333332</v>
      </c>
      <c r="AD245" s="169">
        <f>IFERROR(_xlfn.XLOOKUP($D245,'Modelling New'!$D:$D,'Modelling New'!$T:$T)*1000,"")</f>
        <v>162550.46310460661</v>
      </c>
      <c r="AE245" s="186"/>
      <c r="AF245" s="186">
        <f>IFERROR(_xlfn.XLOOKUP($D245,'Modelling New'!$D:$D,'Modelling New'!$W:$W),"")</f>
        <v>8.6832512342204377E-2</v>
      </c>
      <c r="AG245" s="186">
        <f>IFERROR(_xlfn.XLOOKUP($D245,'Modelling New'!$D:$D,'Modelling New'!$AE:$AE),"")</f>
        <v>0.96029999999999993</v>
      </c>
      <c r="AH245" s="186">
        <f>IFERROR(_xlfn.XLOOKUP($D245,'Modelling New'!$D:$D,'Modelling New'!$AF:$AF),"")</f>
        <v>0.995</v>
      </c>
      <c r="AI245" s="167" t="str">
        <f>IFERROR(_xlfn.XLOOKUP($A245,Input_Raw!$A:$A,Input_Raw!$DE:$DE),"")</f>
        <v/>
      </c>
      <c r="AJ245" s="167"/>
      <c r="AK245" s="167"/>
      <c r="AL245" s="167"/>
      <c r="AM245" s="167"/>
      <c r="AN245" s="188" t="str">
        <f>IFERROR(_xlfn.XLOOKUP($A245,Input_Raw!$A:$A,Input_Raw!$DB:$DB),"")</f>
        <v/>
      </c>
      <c r="AO245" s="186" t="str">
        <f>IFERROR((_xlfn.XLOOKUP($A245,'WTG Reactive Power'!$A:$A,'WTG Reactive Power'!$AR:$AR))/X245/1000,"")</f>
        <v/>
      </c>
      <c r="AP245" s="186">
        <f>IFERROR(_xlfn.XLOOKUP($D245,'Modelling New'!$D:$D,'Modelling New'!$AK:$AK),"")</f>
        <v>0.05</v>
      </c>
      <c r="AQ245" s="186">
        <f>IFERROR(_xlfn.XLOOKUP($D245,'Modelling New'!$D:$D,'Modelling New'!$AL:$AL),"")</f>
        <v>0.05</v>
      </c>
      <c r="AR245">
        <f>IFERROR(_xlfn.XLOOKUP($D245,'Modelling New'!$D:$D,'Modelling New'!$N:$N),"")</f>
        <v>78</v>
      </c>
    </row>
    <row r="246" spans="1:44">
      <c r="A246" s="180">
        <f t="shared" si="22"/>
        <v>45989</v>
      </c>
      <c r="B246" s="169">
        <f>YEAR(Table13[[#This Row],[Date]])+IF(MONTH(Table13[[#This Row],[Date]])&gt;=4,1,0)</f>
        <v>2026</v>
      </c>
      <c r="C246" s="167">
        <f>YEAR(Table13[[#This Row],[Date]])</f>
        <v>2025</v>
      </c>
      <c r="D246" s="181">
        <f>Table13[[#This Row],[Date]]-DAY(Table13[[#This Row],[Date]])+1</f>
        <v>45962</v>
      </c>
      <c r="E246" s="167">
        <f t="shared" si="19"/>
        <v>30</v>
      </c>
      <c r="F246" s="170"/>
      <c r="G246" s="171"/>
      <c r="H246" s="171"/>
      <c r="I246" s="171"/>
      <c r="J246" s="171"/>
      <c r="K246" s="182"/>
      <c r="L246" s="171"/>
      <c r="M246" s="171" t="str">
        <f>IFERROR(_xlfn.XLOOKUP($A246,Input_Raw!$A:$A,Input_Raw!CG:CG),"")</f>
        <v/>
      </c>
      <c r="N246" s="171" t="str">
        <f>IFERROR(_xlfn.XLOOKUP($A246,Input_Raw!$A:$A,Input_Raw!CH:CH),"")</f>
        <v/>
      </c>
      <c r="O246" s="183" t="str">
        <f t="shared" si="20"/>
        <v/>
      </c>
      <c r="P246" s="183" t="str">
        <f>IFERROR(1-SUMIF(WTG_BD!$B:$B,$A246,WTG_BD!$AB:$AB)/($AA246+SUMIF(WTG_BD!$B:$B,$A246,WTG_BD!$AB:$AB)),"")</f>
        <v/>
      </c>
      <c r="Q246" s="184" t="str">
        <f>IFERROR(1-SUMIF(IGA_BD!$B:$B,$A246,IGA_BD!$X:$X)/($AA246+SUMIF(IGA_BD!$B:$B,$A246,IGA_BD!$X:$X)),"")</f>
        <v/>
      </c>
      <c r="R246" s="189" t="str">
        <f>IFERROR(1-SUMIF(Grid_BD!$B:$B,$A246,Grid_BD!$V:$V)/($AA246+SUMIF(Grid_BD!$B:$B,$A246,Grid_BD!$V:$V)),"")</f>
        <v/>
      </c>
      <c r="S246" s="167"/>
      <c r="T246" s="184"/>
      <c r="U246" s="185"/>
      <c r="V246" s="167"/>
      <c r="W246" s="186" t="str">
        <f>IFERROR(Table13[[#This Row],[Mtr_Net_Exp (KWh)]]/(24*AR246*1000),"")</f>
        <v/>
      </c>
      <c r="X246" s="167" t="str">
        <f>IFERROR(_xlfn.XLOOKUP($A246,Input_Raw!$A:$A,Input_Raw!$CF:$CF),"")</f>
        <v/>
      </c>
      <c r="Y246" s="167" t="str">
        <f>IFERROR(_xlfn.XLOOKUP($A246,Input_Raw!$A:$A,Input_Raw!$CZ:$CZ),"")</f>
        <v/>
      </c>
      <c r="Z246" s="167" t="str">
        <f>IFERROR(_xlfn.XLOOKUP($A246,Input_Raw!$A:$A,Input_Raw!$DA:$DA),"")</f>
        <v/>
      </c>
      <c r="AA246" s="169" t="str">
        <f t="shared" si="21"/>
        <v/>
      </c>
      <c r="AB246" s="167" t="str">
        <f>IFERROR(_xlfn.XLOOKUP($A246,Input_Raw!$A:$A,Input_Raw!$DG:$DG),"")</f>
        <v/>
      </c>
      <c r="AC246" s="187">
        <f>IFERROR(_xlfn.XLOOKUP($D246,'Modelling New'!$D:$D,'Modelling New'!$J:$J),"")</f>
        <v>4.0333333333333332</v>
      </c>
      <c r="AD246" s="169">
        <f>IFERROR(_xlfn.XLOOKUP($D246,'Modelling New'!$D:$D,'Modelling New'!$T:$T)*1000,"")</f>
        <v>162550.46310460661</v>
      </c>
      <c r="AE246" s="186"/>
      <c r="AF246" s="186">
        <f>IFERROR(_xlfn.XLOOKUP($D246,'Modelling New'!$D:$D,'Modelling New'!$W:$W),"")</f>
        <v>8.6832512342204377E-2</v>
      </c>
      <c r="AG246" s="186">
        <f>IFERROR(_xlfn.XLOOKUP($D246,'Modelling New'!$D:$D,'Modelling New'!$AE:$AE),"")</f>
        <v>0.96029999999999993</v>
      </c>
      <c r="AH246" s="186">
        <f>IFERROR(_xlfn.XLOOKUP($D246,'Modelling New'!$D:$D,'Modelling New'!$AF:$AF),"")</f>
        <v>0.995</v>
      </c>
      <c r="AI246" s="167" t="str">
        <f>IFERROR(_xlfn.XLOOKUP($A246,Input_Raw!$A:$A,Input_Raw!$DE:$DE),"")</f>
        <v/>
      </c>
      <c r="AJ246" s="167"/>
      <c r="AK246" s="167"/>
      <c r="AL246" s="167"/>
      <c r="AM246" s="167"/>
      <c r="AN246" s="188" t="str">
        <f>IFERROR(_xlfn.XLOOKUP($A246,Input_Raw!$A:$A,Input_Raw!$DB:$DB),"")</f>
        <v/>
      </c>
      <c r="AO246" s="186" t="str">
        <f>IFERROR((_xlfn.XLOOKUP($A246,'WTG Reactive Power'!$A:$A,'WTG Reactive Power'!$AR:$AR))/X246/1000,"")</f>
        <v/>
      </c>
      <c r="AP246" s="186">
        <f>IFERROR(_xlfn.XLOOKUP($D246,'Modelling New'!$D:$D,'Modelling New'!$AK:$AK),"")</f>
        <v>0.05</v>
      </c>
      <c r="AQ246" s="186">
        <f>IFERROR(_xlfn.XLOOKUP($D246,'Modelling New'!$D:$D,'Modelling New'!$AL:$AL),"")</f>
        <v>0.05</v>
      </c>
      <c r="AR246">
        <f>IFERROR(_xlfn.XLOOKUP($D246,'Modelling New'!$D:$D,'Modelling New'!$N:$N),"")</f>
        <v>78</v>
      </c>
    </row>
    <row r="247" spans="1:44">
      <c r="A247" s="180">
        <f t="shared" si="22"/>
        <v>45990</v>
      </c>
      <c r="B247" s="169">
        <f>YEAR(Table13[[#This Row],[Date]])+IF(MONTH(Table13[[#This Row],[Date]])&gt;=4,1,0)</f>
        <v>2026</v>
      </c>
      <c r="C247" s="167">
        <f>YEAR(Table13[[#This Row],[Date]])</f>
        <v>2025</v>
      </c>
      <c r="D247" s="181">
        <f>Table13[[#This Row],[Date]]-DAY(Table13[[#This Row],[Date]])+1</f>
        <v>45962</v>
      </c>
      <c r="E247" s="167">
        <f t="shared" si="19"/>
        <v>30</v>
      </c>
      <c r="F247" s="170"/>
      <c r="G247" s="171"/>
      <c r="H247" s="171"/>
      <c r="I247" s="171"/>
      <c r="J247" s="171"/>
      <c r="K247" s="182"/>
      <c r="L247" s="171"/>
      <c r="M247" s="171" t="str">
        <f>IFERROR(_xlfn.XLOOKUP($A247,Input_Raw!$A:$A,Input_Raw!CG:CG),"")</f>
        <v/>
      </c>
      <c r="N247" s="171" t="str">
        <f>IFERROR(_xlfn.XLOOKUP($A247,Input_Raw!$A:$A,Input_Raw!CH:CH),"")</f>
        <v/>
      </c>
      <c r="O247" s="183" t="str">
        <f t="shared" si="20"/>
        <v/>
      </c>
      <c r="P247" s="183" t="str">
        <f>IFERROR(1-SUMIF(WTG_BD!$B:$B,$A247,WTG_BD!$AB:$AB)/($AA247+SUMIF(WTG_BD!$B:$B,$A247,WTG_BD!$AB:$AB)),"")</f>
        <v/>
      </c>
      <c r="Q247" s="184" t="str">
        <f>IFERROR(1-SUMIF(IGA_BD!$B:$B,$A247,IGA_BD!$X:$X)/($AA247+SUMIF(IGA_BD!$B:$B,$A247,IGA_BD!$X:$X)),"")</f>
        <v/>
      </c>
      <c r="R247" s="189" t="str">
        <f>IFERROR(1-SUMIF(Grid_BD!$B:$B,$A247,Grid_BD!$V:$V)/($AA247+SUMIF(Grid_BD!$B:$B,$A247,Grid_BD!$V:$V)),"")</f>
        <v/>
      </c>
      <c r="S247" s="167"/>
      <c r="T247" s="184"/>
      <c r="U247" s="185"/>
      <c r="V247" s="167"/>
      <c r="W247" s="186" t="str">
        <f>IFERROR(Table13[[#This Row],[Mtr_Net_Exp (KWh)]]/(24*AR247*1000),"")</f>
        <v/>
      </c>
      <c r="X247" s="167" t="str">
        <f>IFERROR(_xlfn.XLOOKUP($A247,Input_Raw!$A:$A,Input_Raw!$CF:$CF),"")</f>
        <v/>
      </c>
      <c r="Y247" s="167" t="str">
        <f>IFERROR(_xlfn.XLOOKUP($A247,Input_Raw!$A:$A,Input_Raw!$CZ:$CZ),"")</f>
        <v/>
      </c>
      <c r="Z247" s="167" t="str">
        <f>IFERROR(_xlfn.XLOOKUP($A247,Input_Raw!$A:$A,Input_Raw!$DA:$DA),"")</f>
        <v/>
      </c>
      <c r="AA247" s="169" t="str">
        <f t="shared" si="21"/>
        <v/>
      </c>
      <c r="AB247" s="167" t="str">
        <f>IFERROR(_xlfn.XLOOKUP($A247,Input_Raw!$A:$A,Input_Raw!$DG:$DG),"")</f>
        <v/>
      </c>
      <c r="AC247" s="187">
        <f>IFERROR(_xlfn.XLOOKUP($D247,'Modelling New'!$D:$D,'Modelling New'!$J:$J),"")</f>
        <v>4.0333333333333332</v>
      </c>
      <c r="AD247" s="169">
        <f>IFERROR(_xlfn.XLOOKUP($D247,'Modelling New'!$D:$D,'Modelling New'!$T:$T)*1000,"")</f>
        <v>162550.46310460661</v>
      </c>
      <c r="AE247" s="186"/>
      <c r="AF247" s="186">
        <f>IFERROR(_xlfn.XLOOKUP($D247,'Modelling New'!$D:$D,'Modelling New'!$W:$W),"")</f>
        <v>8.6832512342204377E-2</v>
      </c>
      <c r="AG247" s="186">
        <f>IFERROR(_xlfn.XLOOKUP($D247,'Modelling New'!$D:$D,'Modelling New'!$AE:$AE),"")</f>
        <v>0.96029999999999993</v>
      </c>
      <c r="AH247" s="186">
        <f>IFERROR(_xlfn.XLOOKUP($D247,'Modelling New'!$D:$D,'Modelling New'!$AF:$AF),"")</f>
        <v>0.995</v>
      </c>
      <c r="AI247" s="167" t="str">
        <f>IFERROR(_xlfn.XLOOKUP($A247,Input_Raw!$A:$A,Input_Raw!$DE:$DE),"")</f>
        <v/>
      </c>
      <c r="AJ247" s="167"/>
      <c r="AK247" s="167"/>
      <c r="AL247" s="167"/>
      <c r="AM247" s="167"/>
      <c r="AN247" s="188" t="str">
        <f>IFERROR(_xlfn.XLOOKUP($A247,Input_Raw!$A:$A,Input_Raw!$DB:$DB),"")</f>
        <v/>
      </c>
      <c r="AO247" s="186" t="str">
        <f>IFERROR((_xlfn.XLOOKUP($A247,'WTG Reactive Power'!$A:$A,'WTG Reactive Power'!$AR:$AR))/X247/1000,"")</f>
        <v/>
      </c>
      <c r="AP247" s="186">
        <f>IFERROR(_xlfn.XLOOKUP($D247,'Modelling New'!$D:$D,'Modelling New'!$AK:$AK),"")</f>
        <v>0.05</v>
      </c>
      <c r="AQ247" s="186">
        <f>IFERROR(_xlfn.XLOOKUP($D247,'Modelling New'!$D:$D,'Modelling New'!$AL:$AL),"")</f>
        <v>0.05</v>
      </c>
      <c r="AR247">
        <f>IFERROR(_xlfn.XLOOKUP($D247,'Modelling New'!$D:$D,'Modelling New'!$N:$N),"")</f>
        <v>78</v>
      </c>
    </row>
    <row r="248" spans="1:44">
      <c r="A248" s="180">
        <f t="shared" si="22"/>
        <v>45991</v>
      </c>
      <c r="B248" s="169">
        <f>YEAR(Table13[[#This Row],[Date]])+IF(MONTH(Table13[[#This Row],[Date]])&gt;=4,1,0)</f>
        <v>2026</v>
      </c>
      <c r="C248" s="167">
        <f>YEAR(Table13[[#This Row],[Date]])</f>
        <v>2025</v>
      </c>
      <c r="D248" s="181">
        <f>Table13[[#This Row],[Date]]-DAY(Table13[[#This Row],[Date]])+1</f>
        <v>45962</v>
      </c>
      <c r="E248" s="167">
        <f t="shared" si="19"/>
        <v>30</v>
      </c>
      <c r="F248" s="170"/>
      <c r="G248" s="171"/>
      <c r="H248" s="171"/>
      <c r="I248" s="171"/>
      <c r="J248" s="171"/>
      <c r="K248" s="182"/>
      <c r="L248" s="171"/>
      <c r="M248" s="171" t="str">
        <f>IFERROR(_xlfn.XLOOKUP($A248,Input_Raw!$A:$A,Input_Raw!CG:CG),"")</f>
        <v/>
      </c>
      <c r="N248" s="171" t="str">
        <f>IFERROR(_xlfn.XLOOKUP($A248,Input_Raw!$A:$A,Input_Raw!CH:CH),"")</f>
        <v/>
      </c>
      <c r="O248" s="183" t="str">
        <f t="shared" si="20"/>
        <v/>
      </c>
      <c r="P248" s="183" t="str">
        <f>IFERROR(1-SUMIF(WTG_BD!$B:$B,$A248,WTG_BD!$AB:$AB)/($AA248+SUMIF(WTG_BD!$B:$B,$A248,WTG_BD!$AB:$AB)),"")</f>
        <v/>
      </c>
      <c r="Q248" s="184" t="str">
        <f>IFERROR(1-SUMIF(IGA_BD!$B:$B,$A248,IGA_BD!$X:$X)/($AA248+SUMIF(IGA_BD!$B:$B,$A248,IGA_BD!$X:$X)),"")</f>
        <v/>
      </c>
      <c r="R248" s="189" t="str">
        <f>IFERROR(1-SUMIF(Grid_BD!$B:$B,$A248,Grid_BD!$V:$V)/($AA248+SUMIF(Grid_BD!$B:$B,$A248,Grid_BD!$V:$V)),"")</f>
        <v/>
      </c>
      <c r="S248" s="167"/>
      <c r="T248" s="184"/>
      <c r="U248" s="185"/>
      <c r="V248" s="167"/>
      <c r="W248" s="186" t="str">
        <f>IFERROR(Table13[[#This Row],[Mtr_Net_Exp (KWh)]]/(24*AR248*1000),"")</f>
        <v/>
      </c>
      <c r="X248" s="167" t="str">
        <f>IFERROR(_xlfn.XLOOKUP($A248,Input_Raw!$A:$A,Input_Raw!$CF:$CF),"")</f>
        <v/>
      </c>
      <c r="Y248" s="167" t="str">
        <f>IFERROR(_xlfn.XLOOKUP($A248,Input_Raw!$A:$A,Input_Raw!$CZ:$CZ),"")</f>
        <v/>
      </c>
      <c r="Z248" s="167" t="str">
        <f>IFERROR(_xlfn.XLOOKUP($A248,Input_Raw!$A:$A,Input_Raw!$DA:$DA),"")</f>
        <v/>
      </c>
      <c r="AA248" s="169" t="str">
        <f t="shared" si="21"/>
        <v/>
      </c>
      <c r="AB248" s="167" t="str">
        <f>IFERROR(_xlfn.XLOOKUP($A248,Input_Raw!$A:$A,Input_Raw!$DG:$DG),"")</f>
        <v/>
      </c>
      <c r="AC248" s="187">
        <f>IFERROR(_xlfn.XLOOKUP($D248,'Modelling New'!$D:$D,'Modelling New'!$J:$J),"")</f>
        <v>4.0333333333333332</v>
      </c>
      <c r="AD248" s="169">
        <f>IFERROR(_xlfn.XLOOKUP($D248,'Modelling New'!$D:$D,'Modelling New'!$T:$T)*1000,"")</f>
        <v>162550.46310460661</v>
      </c>
      <c r="AE248" s="186"/>
      <c r="AF248" s="186">
        <f>IFERROR(_xlfn.XLOOKUP($D248,'Modelling New'!$D:$D,'Modelling New'!$W:$W),"")</f>
        <v>8.6832512342204377E-2</v>
      </c>
      <c r="AG248" s="186">
        <f>IFERROR(_xlfn.XLOOKUP($D248,'Modelling New'!$D:$D,'Modelling New'!$AE:$AE),"")</f>
        <v>0.96029999999999993</v>
      </c>
      <c r="AH248" s="186">
        <f>IFERROR(_xlfn.XLOOKUP($D248,'Modelling New'!$D:$D,'Modelling New'!$AF:$AF),"")</f>
        <v>0.995</v>
      </c>
      <c r="AI248" s="167" t="str">
        <f>IFERROR(_xlfn.XLOOKUP($A248,Input_Raw!$A:$A,Input_Raw!$DE:$DE),"")</f>
        <v/>
      </c>
      <c r="AJ248" s="167"/>
      <c r="AK248" s="167"/>
      <c r="AL248" s="167"/>
      <c r="AM248" s="167"/>
      <c r="AN248" s="188" t="str">
        <f>IFERROR(_xlfn.XLOOKUP($A248,Input_Raw!$A:$A,Input_Raw!$DB:$DB),"")</f>
        <v/>
      </c>
      <c r="AO248" s="186" t="str">
        <f>IFERROR((_xlfn.XLOOKUP($A248,'WTG Reactive Power'!$A:$A,'WTG Reactive Power'!$AR:$AR))/X248/1000,"")</f>
        <v/>
      </c>
      <c r="AP248" s="186">
        <f>IFERROR(_xlfn.XLOOKUP($D248,'Modelling New'!$D:$D,'Modelling New'!$AK:$AK),"")</f>
        <v>0.05</v>
      </c>
      <c r="AQ248" s="186">
        <f>IFERROR(_xlfn.XLOOKUP($D248,'Modelling New'!$D:$D,'Modelling New'!$AL:$AL),"")</f>
        <v>0.05</v>
      </c>
      <c r="AR248">
        <f>IFERROR(_xlfn.XLOOKUP($D248,'Modelling New'!$D:$D,'Modelling New'!$N:$N),"")</f>
        <v>78</v>
      </c>
    </row>
    <row r="249" spans="1:44">
      <c r="A249" s="180">
        <f t="shared" si="22"/>
        <v>45992</v>
      </c>
      <c r="B249" s="169">
        <f>YEAR(Table13[[#This Row],[Date]])+IF(MONTH(Table13[[#This Row],[Date]])&gt;=4,1,0)</f>
        <v>2026</v>
      </c>
      <c r="C249" s="167">
        <f>YEAR(Table13[[#This Row],[Date]])</f>
        <v>2025</v>
      </c>
      <c r="D249" s="181">
        <f>Table13[[#This Row],[Date]]-DAY(Table13[[#This Row],[Date]])+1</f>
        <v>45992</v>
      </c>
      <c r="E249" s="167">
        <f t="shared" si="19"/>
        <v>31</v>
      </c>
      <c r="F249" s="170"/>
      <c r="G249" s="171"/>
      <c r="H249" s="171"/>
      <c r="I249" s="171"/>
      <c r="J249" s="171"/>
      <c r="K249" s="182"/>
      <c r="L249" s="171"/>
      <c r="M249" s="171" t="str">
        <f>IFERROR(_xlfn.XLOOKUP($A249,Input_Raw!$A:$A,Input_Raw!CG:CG),"")</f>
        <v/>
      </c>
      <c r="N249" s="171" t="str">
        <f>IFERROR(_xlfn.XLOOKUP($A249,Input_Raw!$A:$A,Input_Raw!CH:CH),"")</f>
        <v/>
      </c>
      <c r="O249" s="183" t="str">
        <f t="shared" si="20"/>
        <v/>
      </c>
      <c r="P249" s="183" t="str">
        <f>IFERROR(1-SUMIF(WTG_BD!$B:$B,$A249,WTG_BD!$AB:$AB)/($AA249+SUMIF(WTG_BD!$B:$B,$A249,WTG_BD!$AB:$AB)),"")</f>
        <v/>
      </c>
      <c r="Q249" s="184" t="str">
        <f>IFERROR(1-SUMIF(IGA_BD!$B:$B,$A249,IGA_BD!$X:$X)/($AA249+SUMIF(IGA_BD!$B:$B,$A249,IGA_BD!$X:$X)),"")</f>
        <v/>
      </c>
      <c r="R249" s="189" t="str">
        <f>IFERROR(1-SUMIF(Grid_BD!$B:$B,$A249,Grid_BD!$V:$V)/($AA249+SUMIF(Grid_BD!$B:$B,$A249,Grid_BD!$V:$V)),"")</f>
        <v/>
      </c>
      <c r="S249" s="167"/>
      <c r="T249" s="184"/>
      <c r="U249" s="185"/>
      <c r="V249" s="167"/>
      <c r="W249" s="186" t="str">
        <f>IFERROR(Table13[[#This Row],[Mtr_Net_Exp (KWh)]]/(24*AR249*1000),"")</f>
        <v/>
      </c>
      <c r="X249" s="167" t="str">
        <f>IFERROR(_xlfn.XLOOKUP($A249,Input_Raw!$A:$A,Input_Raw!$CF:$CF),"")</f>
        <v/>
      </c>
      <c r="Y249" s="167" t="str">
        <f>IFERROR(_xlfn.XLOOKUP($A249,Input_Raw!$A:$A,Input_Raw!$CZ:$CZ),"")</f>
        <v/>
      </c>
      <c r="Z249" s="167" t="str">
        <f>IFERROR(_xlfn.XLOOKUP($A249,Input_Raw!$A:$A,Input_Raw!$DA:$DA),"")</f>
        <v/>
      </c>
      <c r="AA249" s="169" t="str">
        <f t="shared" si="21"/>
        <v/>
      </c>
      <c r="AB249" s="167" t="str">
        <f>IFERROR(_xlfn.XLOOKUP($A249,Input_Raw!$A:$A,Input_Raw!$DG:$DG),"")</f>
        <v/>
      </c>
      <c r="AC249" s="187">
        <f>IFERROR(_xlfn.XLOOKUP($D249,'Modelling New'!$D:$D,'Modelling New'!$J:$J),"")</f>
        <v>4.4333333333333336</v>
      </c>
      <c r="AD249" s="169">
        <f>IFERROR(_xlfn.XLOOKUP($D249,'Modelling New'!$D:$D,'Modelling New'!$T:$T)*1000,"")</f>
        <v>183922.41431383044</v>
      </c>
      <c r="AE249" s="186"/>
      <c r="AF249" s="186">
        <f>IFERROR(_xlfn.XLOOKUP($D249,'Modelling New'!$D:$D,'Modelling New'!$W:$W),"")</f>
        <v>9.8249152945422247E-2</v>
      </c>
      <c r="AG249" s="186">
        <f>IFERROR(_xlfn.XLOOKUP($D249,'Modelling New'!$D:$D,'Modelling New'!$AE:$AE),"")</f>
        <v>0.96029999999999993</v>
      </c>
      <c r="AH249" s="186">
        <f>IFERROR(_xlfn.XLOOKUP($D249,'Modelling New'!$D:$D,'Modelling New'!$AF:$AF),"")</f>
        <v>0.995</v>
      </c>
      <c r="AI249" s="167" t="str">
        <f>IFERROR(_xlfn.XLOOKUP($A249,Input_Raw!$A:$A,Input_Raw!$DE:$DE),"")</f>
        <v/>
      </c>
      <c r="AJ249" s="167"/>
      <c r="AK249" s="167"/>
      <c r="AL249" s="167"/>
      <c r="AM249" s="167"/>
      <c r="AN249" s="188" t="str">
        <f>IFERROR(_xlfn.XLOOKUP($A249,Input_Raw!$A:$A,Input_Raw!$DB:$DB),"")</f>
        <v/>
      </c>
      <c r="AO249" s="186" t="str">
        <f>IFERROR((_xlfn.XLOOKUP($A249,'WTG Reactive Power'!$A:$A,'WTG Reactive Power'!$AR:$AR))/X249/1000,"")</f>
        <v/>
      </c>
      <c r="AP249" s="186">
        <f>IFERROR(_xlfn.XLOOKUP($D249,'Modelling New'!$D:$D,'Modelling New'!$AK:$AK),"")</f>
        <v>0.05</v>
      </c>
      <c r="AQ249" s="186">
        <f>IFERROR(_xlfn.XLOOKUP($D249,'Modelling New'!$D:$D,'Modelling New'!$AL:$AL),"")</f>
        <v>0.05</v>
      </c>
      <c r="AR249">
        <f>IFERROR(_xlfn.XLOOKUP($D249,'Modelling New'!$D:$D,'Modelling New'!$N:$N),"")</f>
        <v>78</v>
      </c>
    </row>
    <row r="250" spans="1:44">
      <c r="A250" s="180">
        <f t="shared" si="22"/>
        <v>45993</v>
      </c>
      <c r="B250" s="169">
        <f>YEAR(Table13[[#This Row],[Date]])+IF(MONTH(Table13[[#This Row],[Date]])&gt;=4,1,0)</f>
        <v>2026</v>
      </c>
      <c r="C250" s="167">
        <f>YEAR(Table13[[#This Row],[Date]])</f>
        <v>2025</v>
      </c>
      <c r="D250" s="181">
        <f>Table13[[#This Row],[Date]]-DAY(Table13[[#This Row],[Date]])+1</f>
        <v>45992</v>
      </c>
      <c r="E250" s="167">
        <f t="shared" si="19"/>
        <v>31</v>
      </c>
      <c r="F250" s="170"/>
      <c r="G250" s="171"/>
      <c r="H250" s="171"/>
      <c r="I250" s="171"/>
      <c r="J250" s="171"/>
      <c r="K250" s="182"/>
      <c r="L250" s="171"/>
      <c r="M250" s="171" t="str">
        <f>IFERROR(_xlfn.XLOOKUP($A250,Input_Raw!$A:$A,Input_Raw!CG:CG),"")</f>
        <v/>
      </c>
      <c r="N250" s="171" t="str">
        <f>IFERROR(_xlfn.XLOOKUP($A250,Input_Raw!$A:$A,Input_Raw!CH:CH),"")</f>
        <v/>
      </c>
      <c r="O250" s="183" t="str">
        <f t="shared" si="20"/>
        <v/>
      </c>
      <c r="P250" s="183" t="str">
        <f>IFERROR(1-SUMIF(WTG_BD!$B:$B,$A250,WTG_BD!$AB:$AB)/($AA250+SUMIF(WTG_BD!$B:$B,$A250,WTG_BD!$AB:$AB)),"")</f>
        <v/>
      </c>
      <c r="Q250" s="184" t="str">
        <f>IFERROR(1-SUMIF(IGA_BD!$B:$B,$A250,IGA_BD!$X:$X)/($AA250+SUMIF(IGA_BD!$B:$B,$A250,IGA_BD!$X:$X)),"")</f>
        <v/>
      </c>
      <c r="R250" s="189" t="str">
        <f>IFERROR(1-SUMIF(Grid_BD!$B:$B,$A250,Grid_BD!$V:$V)/($AA250+SUMIF(Grid_BD!$B:$B,$A250,Grid_BD!$V:$V)),"")</f>
        <v/>
      </c>
      <c r="S250" s="167"/>
      <c r="T250" s="184"/>
      <c r="U250" s="185"/>
      <c r="V250" s="167"/>
      <c r="W250" s="186" t="str">
        <f>IFERROR(Table13[[#This Row],[Mtr_Net_Exp (KWh)]]/(24*AR250*1000),"")</f>
        <v/>
      </c>
      <c r="X250" s="167" t="str">
        <f>IFERROR(_xlfn.XLOOKUP($A250,Input_Raw!$A:$A,Input_Raw!$CF:$CF),"")</f>
        <v/>
      </c>
      <c r="Y250" s="167" t="str">
        <f>IFERROR(_xlfn.XLOOKUP($A250,Input_Raw!$A:$A,Input_Raw!$CZ:$CZ),"")</f>
        <v/>
      </c>
      <c r="Z250" s="167" t="str">
        <f>IFERROR(_xlfn.XLOOKUP($A250,Input_Raw!$A:$A,Input_Raw!$DA:$DA),"")</f>
        <v/>
      </c>
      <c r="AA250" s="169" t="str">
        <f t="shared" si="21"/>
        <v/>
      </c>
      <c r="AB250" s="167" t="str">
        <f>IFERROR(_xlfn.XLOOKUP($A250,Input_Raw!$A:$A,Input_Raw!$DG:$DG),"")</f>
        <v/>
      </c>
      <c r="AC250" s="187">
        <f>IFERROR(_xlfn.XLOOKUP($D250,'Modelling New'!$D:$D,'Modelling New'!$J:$J),"")</f>
        <v>4.4333333333333336</v>
      </c>
      <c r="AD250" s="169">
        <f>IFERROR(_xlfn.XLOOKUP($D250,'Modelling New'!$D:$D,'Modelling New'!$T:$T)*1000,"")</f>
        <v>183922.41431383044</v>
      </c>
      <c r="AE250" s="186"/>
      <c r="AF250" s="186">
        <f>IFERROR(_xlfn.XLOOKUP($D250,'Modelling New'!$D:$D,'Modelling New'!$W:$W),"")</f>
        <v>9.8249152945422247E-2</v>
      </c>
      <c r="AG250" s="186">
        <f>IFERROR(_xlfn.XLOOKUP($D250,'Modelling New'!$D:$D,'Modelling New'!$AE:$AE),"")</f>
        <v>0.96029999999999993</v>
      </c>
      <c r="AH250" s="186">
        <f>IFERROR(_xlfn.XLOOKUP($D250,'Modelling New'!$D:$D,'Modelling New'!$AF:$AF),"")</f>
        <v>0.995</v>
      </c>
      <c r="AI250" s="167" t="str">
        <f>IFERROR(_xlfn.XLOOKUP($A250,Input_Raw!$A:$A,Input_Raw!$DE:$DE),"")</f>
        <v/>
      </c>
      <c r="AJ250" s="167"/>
      <c r="AK250" s="167"/>
      <c r="AL250" s="167"/>
      <c r="AM250" s="167"/>
      <c r="AN250" s="188" t="str">
        <f>IFERROR(_xlfn.XLOOKUP($A250,Input_Raw!$A:$A,Input_Raw!$DB:$DB),"")</f>
        <v/>
      </c>
      <c r="AO250" s="186" t="str">
        <f>IFERROR((_xlfn.XLOOKUP($A250,'WTG Reactive Power'!$A:$A,'WTG Reactive Power'!$AR:$AR))/X250/1000,"")</f>
        <v/>
      </c>
      <c r="AP250" s="186">
        <f>IFERROR(_xlfn.XLOOKUP($D250,'Modelling New'!$D:$D,'Modelling New'!$AK:$AK),"")</f>
        <v>0.05</v>
      </c>
      <c r="AQ250" s="186">
        <f>IFERROR(_xlfn.XLOOKUP($D250,'Modelling New'!$D:$D,'Modelling New'!$AL:$AL),"")</f>
        <v>0.05</v>
      </c>
      <c r="AR250">
        <f>IFERROR(_xlfn.XLOOKUP($D250,'Modelling New'!$D:$D,'Modelling New'!$N:$N),"")</f>
        <v>78</v>
      </c>
    </row>
    <row r="251" spans="1:44">
      <c r="A251" s="180">
        <f t="shared" si="22"/>
        <v>45994</v>
      </c>
      <c r="B251" s="169">
        <f>YEAR(Table13[[#This Row],[Date]])+IF(MONTH(Table13[[#This Row],[Date]])&gt;=4,1,0)</f>
        <v>2026</v>
      </c>
      <c r="C251" s="167">
        <f>YEAR(Table13[[#This Row],[Date]])</f>
        <v>2025</v>
      </c>
      <c r="D251" s="181">
        <f>Table13[[#This Row],[Date]]-DAY(Table13[[#This Row],[Date]])+1</f>
        <v>45992</v>
      </c>
      <c r="E251" s="167">
        <f t="shared" si="19"/>
        <v>31</v>
      </c>
      <c r="F251" s="170"/>
      <c r="G251" s="171"/>
      <c r="H251" s="171"/>
      <c r="I251" s="171"/>
      <c r="J251" s="171"/>
      <c r="K251" s="182"/>
      <c r="L251" s="171"/>
      <c r="M251" s="171" t="str">
        <f>IFERROR(_xlfn.XLOOKUP($A251,Input_Raw!$A:$A,Input_Raw!CG:CG),"")</f>
        <v/>
      </c>
      <c r="N251" s="171" t="str">
        <f>IFERROR(_xlfn.XLOOKUP($A251,Input_Raw!$A:$A,Input_Raw!CH:CH),"")</f>
        <v/>
      </c>
      <c r="O251" s="183" t="str">
        <f t="shared" si="20"/>
        <v/>
      </c>
      <c r="P251" s="183" t="str">
        <f>IFERROR(1-SUMIF(WTG_BD!$B:$B,$A251,WTG_BD!$AB:$AB)/($AA251+SUMIF(WTG_BD!$B:$B,$A251,WTG_BD!$AB:$AB)),"")</f>
        <v/>
      </c>
      <c r="Q251" s="184" t="str">
        <f>IFERROR(1-SUMIF(IGA_BD!$B:$B,$A251,IGA_BD!$X:$X)/($AA251+SUMIF(IGA_BD!$B:$B,$A251,IGA_BD!$X:$X)),"")</f>
        <v/>
      </c>
      <c r="R251" s="189" t="str">
        <f>IFERROR(1-SUMIF(Grid_BD!$B:$B,$A251,Grid_BD!$V:$V)/($AA251+SUMIF(Grid_BD!$B:$B,$A251,Grid_BD!$V:$V)),"")</f>
        <v/>
      </c>
      <c r="S251" s="167"/>
      <c r="T251" s="184"/>
      <c r="U251" s="185"/>
      <c r="V251" s="167"/>
      <c r="W251" s="186" t="str">
        <f>IFERROR(Table13[[#This Row],[Mtr_Net_Exp (KWh)]]/(24*AR251*1000),"")</f>
        <v/>
      </c>
      <c r="X251" s="167" t="str">
        <f>IFERROR(_xlfn.XLOOKUP($A251,Input_Raw!$A:$A,Input_Raw!$CF:$CF),"")</f>
        <v/>
      </c>
      <c r="Y251" s="167" t="str">
        <f>IFERROR(_xlfn.XLOOKUP($A251,Input_Raw!$A:$A,Input_Raw!$CZ:$CZ),"")</f>
        <v/>
      </c>
      <c r="Z251" s="167" t="str">
        <f>IFERROR(_xlfn.XLOOKUP($A251,Input_Raw!$A:$A,Input_Raw!$DA:$DA),"")</f>
        <v/>
      </c>
      <c r="AA251" s="169" t="str">
        <f t="shared" si="21"/>
        <v/>
      </c>
      <c r="AB251" s="167" t="str">
        <f>IFERROR(_xlfn.XLOOKUP($A251,Input_Raw!$A:$A,Input_Raw!$DG:$DG),"")</f>
        <v/>
      </c>
      <c r="AC251" s="187">
        <f>IFERROR(_xlfn.XLOOKUP($D251,'Modelling New'!$D:$D,'Modelling New'!$J:$J),"")</f>
        <v>4.4333333333333336</v>
      </c>
      <c r="AD251" s="169">
        <f>IFERROR(_xlfn.XLOOKUP($D251,'Modelling New'!$D:$D,'Modelling New'!$T:$T)*1000,"")</f>
        <v>183922.41431383044</v>
      </c>
      <c r="AE251" s="186"/>
      <c r="AF251" s="186">
        <f>IFERROR(_xlfn.XLOOKUP($D251,'Modelling New'!$D:$D,'Modelling New'!$W:$W),"")</f>
        <v>9.8249152945422247E-2</v>
      </c>
      <c r="AG251" s="186">
        <f>IFERROR(_xlfn.XLOOKUP($D251,'Modelling New'!$D:$D,'Modelling New'!$AE:$AE),"")</f>
        <v>0.96029999999999993</v>
      </c>
      <c r="AH251" s="186">
        <f>IFERROR(_xlfn.XLOOKUP($D251,'Modelling New'!$D:$D,'Modelling New'!$AF:$AF),"")</f>
        <v>0.995</v>
      </c>
      <c r="AI251" s="167" t="str">
        <f>IFERROR(_xlfn.XLOOKUP($A251,Input_Raw!$A:$A,Input_Raw!$DE:$DE),"")</f>
        <v/>
      </c>
      <c r="AJ251" s="167"/>
      <c r="AK251" s="167"/>
      <c r="AL251" s="167"/>
      <c r="AM251" s="167"/>
      <c r="AN251" s="188" t="str">
        <f>IFERROR(_xlfn.XLOOKUP($A251,Input_Raw!$A:$A,Input_Raw!$DB:$DB),"")</f>
        <v/>
      </c>
      <c r="AO251" s="186" t="str">
        <f>IFERROR((_xlfn.XLOOKUP($A251,'WTG Reactive Power'!$A:$A,'WTG Reactive Power'!$AR:$AR))/X251/1000,"")</f>
        <v/>
      </c>
      <c r="AP251" s="186">
        <f>IFERROR(_xlfn.XLOOKUP($D251,'Modelling New'!$D:$D,'Modelling New'!$AK:$AK),"")</f>
        <v>0.05</v>
      </c>
      <c r="AQ251" s="186">
        <f>IFERROR(_xlfn.XLOOKUP($D251,'Modelling New'!$D:$D,'Modelling New'!$AL:$AL),"")</f>
        <v>0.05</v>
      </c>
      <c r="AR251">
        <f>IFERROR(_xlfn.XLOOKUP($D251,'Modelling New'!$D:$D,'Modelling New'!$N:$N),"")</f>
        <v>78</v>
      </c>
    </row>
    <row r="252" spans="1:44">
      <c r="A252" s="180">
        <f t="shared" si="22"/>
        <v>45995</v>
      </c>
      <c r="B252" s="169">
        <f>YEAR(Table13[[#This Row],[Date]])+IF(MONTH(Table13[[#This Row],[Date]])&gt;=4,1,0)</f>
        <v>2026</v>
      </c>
      <c r="C252" s="167">
        <f>YEAR(Table13[[#This Row],[Date]])</f>
        <v>2025</v>
      </c>
      <c r="D252" s="181">
        <f>Table13[[#This Row],[Date]]-DAY(Table13[[#This Row],[Date]])+1</f>
        <v>45992</v>
      </c>
      <c r="E252" s="167">
        <f t="shared" si="19"/>
        <v>31</v>
      </c>
      <c r="F252" s="170"/>
      <c r="G252" s="171"/>
      <c r="H252" s="171"/>
      <c r="I252" s="171"/>
      <c r="J252" s="171"/>
      <c r="K252" s="182"/>
      <c r="L252" s="171"/>
      <c r="M252" s="171" t="str">
        <f>IFERROR(_xlfn.XLOOKUP($A252,Input_Raw!$A:$A,Input_Raw!CG:CG),"")</f>
        <v/>
      </c>
      <c r="N252" s="171" t="str">
        <f>IFERROR(_xlfn.XLOOKUP($A252,Input_Raw!$A:$A,Input_Raw!CH:CH),"")</f>
        <v/>
      </c>
      <c r="O252" s="183" t="str">
        <f t="shared" si="20"/>
        <v/>
      </c>
      <c r="P252" s="183" t="str">
        <f>IFERROR(1-SUMIF(WTG_BD!$B:$B,$A252,WTG_BD!$AB:$AB)/($AA252+SUMIF(WTG_BD!$B:$B,$A252,WTG_BD!$AB:$AB)),"")</f>
        <v/>
      </c>
      <c r="Q252" s="184" t="str">
        <f>IFERROR(1-SUMIF(IGA_BD!$B:$B,$A252,IGA_BD!$X:$X)/($AA252+SUMIF(IGA_BD!$B:$B,$A252,IGA_BD!$X:$X)),"")</f>
        <v/>
      </c>
      <c r="R252" s="189" t="str">
        <f>IFERROR(1-SUMIF(Grid_BD!$B:$B,$A252,Grid_BD!$V:$V)/($AA252+SUMIF(Grid_BD!$B:$B,$A252,Grid_BD!$V:$V)),"")</f>
        <v/>
      </c>
      <c r="S252" s="167"/>
      <c r="T252" s="184"/>
      <c r="U252" s="185"/>
      <c r="V252" s="167"/>
      <c r="W252" s="186" t="str">
        <f>IFERROR(Table13[[#This Row],[Mtr_Net_Exp (KWh)]]/(24*AR252*1000),"")</f>
        <v/>
      </c>
      <c r="X252" s="167" t="str">
        <f>IFERROR(_xlfn.XLOOKUP($A252,Input_Raw!$A:$A,Input_Raw!$CF:$CF),"")</f>
        <v/>
      </c>
      <c r="Y252" s="167" t="str">
        <f>IFERROR(_xlfn.XLOOKUP($A252,Input_Raw!$A:$A,Input_Raw!$CZ:$CZ),"")</f>
        <v/>
      </c>
      <c r="Z252" s="167" t="str">
        <f>IFERROR(_xlfn.XLOOKUP($A252,Input_Raw!$A:$A,Input_Raw!$DA:$DA),"")</f>
        <v/>
      </c>
      <c r="AA252" s="169" t="str">
        <f t="shared" si="21"/>
        <v/>
      </c>
      <c r="AB252" s="167" t="str">
        <f>IFERROR(_xlfn.XLOOKUP($A252,Input_Raw!$A:$A,Input_Raw!$DG:$DG),"")</f>
        <v/>
      </c>
      <c r="AC252" s="187">
        <f>IFERROR(_xlfn.XLOOKUP($D252,'Modelling New'!$D:$D,'Modelling New'!$J:$J),"")</f>
        <v>4.4333333333333336</v>
      </c>
      <c r="AD252" s="169">
        <f>IFERROR(_xlfn.XLOOKUP($D252,'Modelling New'!$D:$D,'Modelling New'!$T:$T)*1000,"")</f>
        <v>183922.41431383044</v>
      </c>
      <c r="AE252" s="186"/>
      <c r="AF252" s="186">
        <f>IFERROR(_xlfn.XLOOKUP($D252,'Modelling New'!$D:$D,'Modelling New'!$W:$W),"")</f>
        <v>9.8249152945422247E-2</v>
      </c>
      <c r="AG252" s="186">
        <f>IFERROR(_xlfn.XLOOKUP($D252,'Modelling New'!$D:$D,'Modelling New'!$AE:$AE),"")</f>
        <v>0.96029999999999993</v>
      </c>
      <c r="AH252" s="186">
        <f>IFERROR(_xlfn.XLOOKUP($D252,'Modelling New'!$D:$D,'Modelling New'!$AF:$AF),"")</f>
        <v>0.995</v>
      </c>
      <c r="AI252" s="167" t="str">
        <f>IFERROR(_xlfn.XLOOKUP($A252,Input_Raw!$A:$A,Input_Raw!$DE:$DE),"")</f>
        <v/>
      </c>
      <c r="AJ252" s="167"/>
      <c r="AK252" s="167"/>
      <c r="AL252" s="167"/>
      <c r="AM252" s="167"/>
      <c r="AN252" s="188" t="str">
        <f>IFERROR(_xlfn.XLOOKUP($A252,Input_Raw!$A:$A,Input_Raw!$DB:$DB),"")</f>
        <v/>
      </c>
      <c r="AO252" s="186" t="str">
        <f>IFERROR((_xlfn.XLOOKUP($A252,'WTG Reactive Power'!$A:$A,'WTG Reactive Power'!$AR:$AR))/X252/1000,"")</f>
        <v/>
      </c>
      <c r="AP252" s="186">
        <f>IFERROR(_xlfn.XLOOKUP($D252,'Modelling New'!$D:$D,'Modelling New'!$AK:$AK),"")</f>
        <v>0.05</v>
      </c>
      <c r="AQ252" s="186">
        <f>IFERROR(_xlfn.XLOOKUP($D252,'Modelling New'!$D:$D,'Modelling New'!$AL:$AL),"")</f>
        <v>0.05</v>
      </c>
      <c r="AR252">
        <f>IFERROR(_xlfn.XLOOKUP($D252,'Modelling New'!$D:$D,'Modelling New'!$N:$N),"")</f>
        <v>78</v>
      </c>
    </row>
    <row r="253" spans="1:44">
      <c r="A253" s="180">
        <f t="shared" si="22"/>
        <v>45996</v>
      </c>
      <c r="B253" s="169">
        <f>YEAR(Table13[[#This Row],[Date]])+IF(MONTH(Table13[[#This Row],[Date]])&gt;=4,1,0)</f>
        <v>2026</v>
      </c>
      <c r="C253" s="167">
        <f>YEAR(Table13[[#This Row],[Date]])</f>
        <v>2025</v>
      </c>
      <c r="D253" s="181">
        <f>Table13[[#This Row],[Date]]-DAY(Table13[[#This Row],[Date]])+1</f>
        <v>45992</v>
      </c>
      <c r="E253" s="167">
        <f t="shared" si="19"/>
        <v>31</v>
      </c>
      <c r="F253" s="170"/>
      <c r="G253" s="171"/>
      <c r="H253" s="171"/>
      <c r="I253" s="171"/>
      <c r="J253" s="171"/>
      <c r="K253" s="182"/>
      <c r="L253" s="171"/>
      <c r="M253" s="171" t="str">
        <f>IFERROR(_xlfn.XLOOKUP($A253,Input_Raw!$A:$A,Input_Raw!CG:CG),"")</f>
        <v/>
      </c>
      <c r="N253" s="171" t="str">
        <f>IFERROR(_xlfn.XLOOKUP($A253,Input_Raw!$A:$A,Input_Raw!CH:CH),"")</f>
        <v/>
      </c>
      <c r="O253" s="183" t="str">
        <f t="shared" si="20"/>
        <v/>
      </c>
      <c r="P253" s="183" t="str">
        <f>IFERROR(1-SUMIF(WTG_BD!$B:$B,$A253,WTG_BD!$AB:$AB)/($AA253+SUMIF(WTG_BD!$B:$B,$A253,WTG_BD!$AB:$AB)),"")</f>
        <v/>
      </c>
      <c r="Q253" s="184" t="str">
        <f>IFERROR(1-SUMIF(IGA_BD!$B:$B,$A253,IGA_BD!$X:$X)/($AA253+SUMIF(IGA_BD!$B:$B,$A253,IGA_BD!$X:$X)),"")</f>
        <v/>
      </c>
      <c r="R253" s="189" t="str">
        <f>IFERROR(1-SUMIF(Grid_BD!$B:$B,$A253,Grid_BD!$V:$V)/($AA253+SUMIF(Grid_BD!$B:$B,$A253,Grid_BD!$V:$V)),"")</f>
        <v/>
      </c>
      <c r="S253" s="167"/>
      <c r="T253" s="184"/>
      <c r="U253" s="185"/>
      <c r="V253" s="167"/>
      <c r="W253" s="186" t="str">
        <f>IFERROR(Table13[[#This Row],[Mtr_Net_Exp (KWh)]]/(24*AR253*1000),"")</f>
        <v/>
      </c>
      <c r="X253" s="167" t="str">
        <f>IFERROR(_xlfn.XLOOKUP($A253,Input_Raw!$A:$A,Input_Raw!$CF:$CF),"")</f>
        <v/>
      </c>
      <c r="Y253" s="167" t="str">
        <f>IFERROR(_xlfn.XLOOKUP($A253,Input_Raw!$A:$A,Input_Raw!$CZ:$CZ),"")</f>
        <v/>
      </c>
      <c r="Z253" s="167" t="str">
        <f>IFERROR(_xlfn.XLOOKUP($A253,Input_Raw!$A:$A,Input_Raw!$DA:$DA),"")</f>
        <v/>
      </c>
      <c r="AA253" s="169" t="str">
        <f t="shared" si="21"/>
        <v/>
      </c>
      <c r="AB253" s="167" t="str">
        <f>IFERROR(_xlfn.XLOOKUP($A253,Input_Raw!$A:$A,Input_Raw!$DG:$DG),"")</f>
        <v/>
      </c>
      <c r="AC253" s="187">
        <f>IFERROR(_xlfn.XLOOKUP($D253,'Modelling New'!$D:$D,'Modelling New'!$J:$J),"")</f>
        <v>4.4333333333333336</v>
      </c>
      <c r="AD253" s="169">
        <f>IFERROR(_xlfn.XLOOKUP($D253,'Modelling New'!$D:$D,'Modelling New'!$T:$T)*1000,"")</f>
        <v>183922.41431383044</v>
      </c>
      <c r="AE253" s="186"/>
      <c r="AF253" s="186">
        <f>IFERROR(_xlfn.XLOOKUP($D253,'Modelling New'!$D:$D,'Modelling New'!$W:$W),"")</f>
        <v>9.8249152945422247E-2</v>
      </c>
      <c r="AG253" s="186">
        <f>IFERROR(_xlfn.XLOOKUP($D253,'Modelling New'!$D:$D,'Modelling New'!$AE:$AE),"")</f>
        <v>0.96029999999999993</v>
      </c>
      <c r="AH253" s="186">
        <f>IFERROR(_xlfn.XLOOKUP($D253,'Modelling New'!$D:$D,'Modelling New'!$AF:$AF),"")</f>
        <v>0.995</v>
      </c>
      <c r="AI253" s="167" t="str">
        <f>IFERROR(_xlfn.XLOOKUP($A253,Input_Raw!$A:$A,Input_Raw!$DE:$DE),"")</f>
        <v/>
      </c>
      <c r="AJ253" s="167"/>
      <c r="AK253" s="167"/>
      <c r="AL253" s="167"/>
      <c r="AM253" s="167"/>
      <c r="AN253" s="188" t="str">
        <f>IFERROR(_xlfn.XLOOKUP($A253,Input_Raw!$A:$A,Input_Raw!$DB:$DB),"")</f>
        <v/>
      </c>
      <c r="AO253" s="186" t="str">
        <f>IFERROR((_xlfn.XLOOKUP($A253,'WTG Reactive Power'!$A:$A,'WTG Reactive Power'!$AR:$AR))/X253/1000,"")</f>
        <v/>
      </c>
      <c r="AP253" s="186">
        <f>IFERROR(_xlfn.XLOOKUP($D253,'Modelling New'!$D:$D,'Modelling New'!$AK:$AK),"")</f>
        <v>0.05</v>
      </c>
      <c r="AQ253" s="186">
        <f>IFERROR(_xlfn.XLOOKUP($D253,'Modelling New'!$D:$D,'Modelling New'!$AL:$AL),"")</f>
        <v>0.05</v>
      </c>
      <c r="AR253">
        <f>IFERROR(_xlfn.XLOOKUP($D253,'Modelling New'!$D:$D,'Modelling New'!$N:$N),"")</f>
        <v>78</v>
      </c>
    </row>
    <row r="254" spans="1:44">
      <c r="A254" s="180">
        <f t="shared" si="22"/>
        <v>45997</v>
      </c>
      <c r="B254" s="169">
        <f>YEAR(Table13[[#This Row],[Date]])+IF(MONTH(Table13[[#This Row],[Date]])&gt;=4,1,0)</f>
        <v>2026</v>
      </c>
      <c r="C254" s="167">
        <f>YEAR(Table13[[#This Row],[Date]])</f>
        <v>2025</v>
      </c>
      <c r="D254" s="181">
        <f>Table13[[#This Row],[Date]]-DAY(Table13[[#This Row],[Date]])+1</f>
        <v>45992</v>
      </c>
      <c r="E254" s="167">
        <f t="shared" si="19"/>
        <v>31</v>
      </c>
      <c r="F254" s="170"/>
      <c r="G254" s="171"/>
      <c r="H254" s="171"/>
      <c r="I254" s="171"/>
      <c r="J254" s="171"/>
      <c r="K254" s="182"/>
      <c r="L254" s="171"/>
      <c r="M254" s="171" t="str">
        <f>IFERROR(_xlfn.XLOOKUP($A254,Input_Raw!$A:$A,Input_Raw!CG:CG),"")</f>
        <v/>
      </c>
      <c r="N254" s="171" t="str">
        <f>IFERROR(_xlfn.XLOOKUP($A254,Input_Raw!$A:$A,Input_Raw!CH:CH),"")</f>
        <v/>
      </c>
      <c r="O254" s="183" t="str">
        <f t="shared" si="20"/>
        <v/>
      </c>
      <c r="P254" s="183" t="str">
        <f>IFERROR(1-SUMIF(WTG_BD!$B:$B,$A254,WTG_BD!$AB:$AB)/($AA254+SUMIF(WTG_BD!$B:$B,$A254,WTG_BD!$AB:$AB)),"")</f>
        <v/>
      </c>
      <c r="Q254" s="184" t="str">
        <f>IFERROR(1-SUMIF(IGA_BD!$B:$B,$A254,IGA_BD!$X:$X)/($AA254+SUMIF(IGA_BD!$B:$B,$A254,IGA_BD!$X:$X)),"")</f>
        <v/>
      </c>
      <c r="R254" s="189" t="str">
        <f>IFERROR(1-SUMIF(Grid_BD!$B:$B,$A254,Grid_BD!$V:$V)/($AA254+SUMIF(Grid_BD!$B:$B,$A254,Grid_BD!$V:$V)),"")</f>
        <v/>
      </c>
      <c r="S254" s="167"/>
      <c r="T254" s="184"/>
      <c r="U254" s="185"/>
      <c r="V254" s="167"/>
      <c r="W254" s="186" t="str">
        <f>IFERROR(Table13[[#This Row],[Mtr_Net_Exp (KWh)]]/(24*AR254*1000),"")</f>
        <v/>
      </c>
      <c r="X254" s="167" t="str">
        <f>IFERROR(_xlfn.XLOOKUP($A254,Input_Raw!$A:$A,Input_Raw!$CF:$CF),"")</f>
        <v/>
      </c>
      <c r="Y254" s="167" t="str">
        <f>IFERROR(_xlfn.XLOOKUP($A254,Input_Raw!$A:$A,Input_Raw!$CZ:$CZ),"")</f>
        <v/>
      </c>
      <c r="Z254" s="167" t="str">
        <f>IFERROR(_xlfn.XLOOKUP($A254,Input_Raw!$A:$A,Input_Raw!$DA:$DA),"")</f>
        <v/>
      </c>
      <c r="AA254" s="169" t="str">
        <f t="shared" si="21"/>
        <v/>
      </c>
      <c r="AB254" s="167" t="str">
        <f>IFERROR(_xlfn.XLOOKUP($A254,Input_Raw!$A:$A,Input_Raw!$DG:$DG),"")</f>
        <v/>
      </c>
      <c r="AC254" s="187">
        <f>IFERROR(_xlfn.XLOOKUP($D254,'Modelling New'!$D:$D,'Modelling New'!$J:$J),"")</f>
        <v>4.4333333333333336</v>
      </c>
      <c r="AD254" s="169">
        <f>IFERROR(_xlfn.XLOOKUP($D254,'Modelling New'!$D:$D,'Modelling New'!$T:$T)*1000,"")</f>
        <v>183922.41431383044</v>
      </c>
      <c r="AE254" s="186"/>
      <c r="AF254" s="186">
        <f>IFERROR(_xlfn.XLOOKUP($D254,'Modelling New'!$D:$D,'Modelling New'!$W:$W),"")</f>
        <v>9.8249152945422247E-2</v>
      </c>
      <c r="AG254" s="186">
        <f>IFERROR(_xlfn.XLOOKUP($D254,'Modelling New'!$D:$D,'Modelling New'!$AE:$AE),"")</f>
        <v>0.96029999999999993</v>
      </c>
      <c r="AH254" s="186">
        <f>IFERROR(_xlfn.XLOOKUP($D254,'Modelling New'!$D:$D,'Modelling New'!$AF:$AF),"")</f>
        <v>0.995</v>
      </c>
      <c r="AI254" s="167" t="str">
        <f>IFERROR(_xlfn.XLOOKUP($A254,Input_Raw!$A:$A,Input_Raw!$DE:$DE),"")</f>
        <v/>
      </c>
      <c r="AJ254" s="167"/>
      <c r="AK254" s="167"/>
      <c r="AL254" s="167"/>
      <c r="AM254" s="167"/>
      <c r="AN254" s="188" t="str">
        <f>IFERROR(_xlfn.XLOOKUP($A254,Input_Raw!$A:$A,Input_Raw!$DB:$DB),"")</f>
        <v/>
      </c>
      <c r="AO254" s="186" t="str">
        <f>IFERROR((_xlfn.XLOOKUP($A254,'WTG Reactive Power'!$A:$A,'WTG Reactive Power'!$AR:$AR))/X254/1000,"")</f>
        <v/>
      </c>
      <c r="AP254" s="186">
        <f>IFERROR(_xlfn.XLOOKUP($D254,'Modelling New'!$D:$D,'Modelling New'!$AK:$AK),"")</f>
        <v>0.05</v>
      </c>
      <c r="AQ254" s="186">
        <f>IFERROR(_xlfn.XLOOKUP($D254,'Modelling New'!$D:$D,'Modelling New'!$AL:$AL),"")</f>
        <v>0.05</v>
      </c>
      <c r="AR254">
        <f>IFERROR(_xlfn.XLOOKUP($D254,'Modelling New'!$D:$D,'Modelling New'!$N:$N),"")</f>
        <v>78</v>
      </c>
    </row>
    <row r="255" spans="1:44">
      <c r="A255" s="180">
        <f t="shared" si="22"/>
        <v>45998</v>
      </c>
      <c r="B255" s="169">
        <f>YEAR(Table13[[#This Row],[Date]])+IF(MONTH(Table13[[#This Row],[Date]])&gt;=4,1,0)</f>
        <v>2026</v>
      </c>
      <c r="C255" s="167">
        <f>YEAR(Table13[[#This Row],[Date]])</f>
        <v>2025</v>
      </c>
      <c r="D255" s="181">
        <f>Table13[[#This Row],[Date]]-DAY(Table13[[#This Row],[Date]])+1</f>
        <v>45992</v>
      </c>
      <c r="E255" s="167">
        <f t="shared" ref="E255:E260" si="23">DAY(EOMONTH(A255,0))</f>
        <v>31</v>
      </c>
      <c r="F255" s="170"/>
      <c r="G255" s="171"/>
      <c r="H255" s="171"/>
      <c r="I255" s="171"/>
      <c r="J255" s="171"/>
      <c r="K255" s="182"/>
      <c r="L255" s="171"/>
      <c r="M255" s="171" t="str">
        <f>IFERROR(_xlfn.XLOOKUP($A255,Input_Raw!$A:$A,Input_Raw!CG:CG),"")</f>
        <v/>
      </c>
      <c r="N255" s="171" t="str">
        <f>IFERROR(_xlfn.XLOOKUP($A255,Input_Raw!$A:$A,Input_Raw!CH:CH),"")</f>
        <v/>
      </c>
      <c r="O255" s="183" t="str">
        <f t="shared" ref="O255:O260" si="24">IFERROR(P255*Q255,"")</f>
        <v/>
      </c>
      <c r="P255" s="183" t="str">
        <f>IFERROR(1-SUMIF(WTG_BD!$B:$B,$A255,WTG_BD!$AB:$AB)/($AA255+SUMIF(WTG_BD!$B:$B,$A255,WTG_BD!$AB:$AB)),"")</f>
        <v/>
      </c>
      <c r="Q255" s="184" t="str">
        <f>IFERROR(1-SUMIF(IGA_BD!$B:$B,$A255,IGA_BD!$X:$X)/($AA255+SUMIF(IGA_BD!$B:$B,$A255,IGA_BD!$X:$X)),"")</f>
        <v/>
      </c>
      <c r="R255" s="189" t="str">
        <f>IFERROR(1-SUMIF(Grid_BD!$B:$B,$A255,Grid_BD!$V:$V)/($AA255+SUMIF(Grid_BD!$B:$B,$A255,Grid_BD!$V:$V)),"")</f>
        <v/>
      </c>
      <c r="S255" s="167"/>
      <c r="T255" s="184"/>
      <c r="U255" s="185"/>
      <c r="V255" s="167"/>
      <c r="W255" s="186" t="str">
        <f>IFERROR(Table13[[#This Row],[Mtr_Net_Exp (KWh)]]/(24*AR255*1000),"")</f>
        <v/>
      </c>
      <c r="X255" s="167" t="str">
        <f>IFERROR(_xlfn.XLOOKUP($A255,Input_Raw!$A:$A,Input_Raw!$CF:$CF),"")</f>
        <v/>
      </c>
      <c r="Y255" s="167" t="str">
        <f>IFERROR(_xlfn.XLOOKUP($A255,Input_Raw!$A:$A,Input_Raw!$CZ:$CZ),"")</f>
        <v/>
      </c>
      <c r="Z255" s="167" t="str">
        <f>IFERROR(_xlfn.XLOOKUP($A255,Input_Raw!$A:$A,Input_Raw!$DA:$DA),"")</f>
        <v/>
      </c>
      <c r="AA255" s="169" t="str">
        <f t="shared" ref="AA255:AA260" si="25">IFERROR(Y255-Z255,"")</f>
        <v/>
      </c>
      <c r="AB255" s="167" t="str">
        <f>IFERROR(_xlfn.XLOOKUP($A255,Input_Raw!$A:$A,Input_Raw!$DG:$DG),"")</f>
        <v/>
      </c>
      <c r="AC255" s="187">
        <f>IFERROR(_xlfn.XLOOKUP($D255,'Modelling New'!$D:$D,'Modelling New'!$J:$J),"")</f>
        <v>4.4333333333333336</v>
      </c>
      <c r="AD255" s="169">
        <f>IFERROR(_xlfn.XLOOKUP($D255,'Modelling New'!$D:$D,'Modelling New'!$T:$T)*1000,"")</f>
        <v>183922.41431383044</v>
      </c>
      <c r="AE255" s="186"/>
      <c r="AF255" s="186">
        <f>IFERROR(_xlfn.XLOOKUP($D255,'Modelling New'!$D:$D,'Modelling New'!$W:$W),"")</f>
        <v>9.8249152945422247E-2</v>
      </c>
      <c r="AG255" s="186">
        <f>IFERROR(_xlfn.XLOOKUP($D255,'Modelling New'!$D:$D,'Modelling New'!$AE:$AE),"")</f>
        <v>0.96029999999999993</v>
      </c>
      <c r="AH255" s="186">
        <f>IFERROR(_xlfn.XLOOKUP($D255,'Modelling New'!$D:$D,'Modelling New'!$AF:$AF),"")</f>
        <v>0.995</v>
      </c>
      <c r="AI255" s="167" t="str">
        <f>IFERROR(_xlfn.XLOOKUP($A255,Input_Raw!$A:$A,Input_Raw!$DE:$DE),"")</f>
        <v/>
      </c>
      <c r="AJ255" s="167"/>
      <c r="AK255" s="167"/>
      <c r="AL255" s="167"/>
      <c r="AM255" s="167"/>
      <c r="AN255" s="188" t="str">
        <f>IFERROR(_xlfn.XLOOKUP($A255,Input_Raw!$A:$A,Input_Raw!$DB:$DB),"")</f>
        <v/>
      </c>
      <c r="AO255" s="186" t="str">
        <f>IFERROR((_xlfn.XLOOKUP($A255,'WTG Reactive Power'!$A:$A,'WTG Reactive Power'!$AR:$AR))/X255/1000,"")</f>
        <v/>
      </c>
      <c r="AP255" s="186">
        <f>IFERROR(_xlfn.XLOOKUP($D255,'Modelling New'!$D:$D,'Modelling New'!$AK:$AK),"")</f>
        <v>0.05</v>
      </c>
      <c r="AQ255" s="186">
        <f>IFERROR(_xlfn.XLOOKUP($D255,'Modelling New'!$D:$D,'Modelling New'!$AL:$AL),"")</f>
        <v>0.05</v>
      </c>
      <c r="AR255">
        <f>IFERROR(_xlfn.XLOOKUP($D255,'Modelling New'!$D:$D,'Modelling New'!$N:$N),"")</f>
        <v>78</v>
      </c>
    </row>
    <row r="256" spans="1:44">
      <c r="A256" s="180">
        <f t="shared" si="22"/>
        <v>45999</v>
      </c>
      <c r="B256" s="169">
        <f>YEAR(Table13[[#This Row],[Date]])+IF(MONTH(Table13[[#This Row],[Date]])&gt;=4,1,0)</f>
        <v>2026</v>
      </c>
      <c r="C256" s="167">
        <f>YEAR(Table13[[#This Row],[Date]])</f>
        <v>2025</v>
      </c>
      <c r="D256" s="181">
        <f>Table13[[#This Row],[Date]]-DAY(Table13[[#This Row],[Date]])+1</f>
        <v>45992</v>
      </c>
      <c r="E256" s="167">
        <f t="shared" si="23"/>
        <v>31</v>
      </c>
      <c r="F256" s="170"/>
      <c r="G256" s="171"/>
      <c r="H256" s="171"/>
      <c r="I256" s="171"/>
      <c r="J256" s="171"/>
      <c r="K256" s="182"/>
      <c r="L256" s="171"/>
      <c r="M256" s="171" t="str">
        <f>IFERROR(_xlfn.XLOOKUP($A256,Input_Raw!$A:$A,Input_Raw!CG:CG),"")</f>
        <v/>
      </c>
      <c r="N256" s="171" t="str">
        <f>IFERROR(_xlfn.XLOOKUP($A256,Input_Raw!$A:$A,Input_Raw!CH:CH),"")</f>
        <v/>
      </c>
      <c r="O256" s="183" t="str">
        <f t="shared" si="24"/>
        <v/>
      </c>
      <c r="P256" s="183" t="str">
        <f>IFERROR(1-SUMIF(WTG_BD!$B:$B,$A256,WTG_BD!$AB:$AB)/($AA256+SUMIF(WTG_BD!$B:$B,$A256,WTG_BD!$AB:$AB)),"")</f>
        <v/>
      </c>
      <c r="Q256" s="184" t="str">
        <f>IFERROR(1-SUMIF(IGA_BD!$B:$B,$A256,IGA_BD!$X:$X)/($AA256+SUMIF(IGA_BD!$B:$B,$A256,IGA_BD!$X:$X)),"")</f>
        <v/>
      </c>
      <c r="R256" s="189" t="str">
        <f>IFERROR(1-SUMIF(Grid_BD!$B:$B,$A256,Grid_BD!$V:$V)/($AA256+SUMIF(Grid_BD!$B:$B,$A256,Grid_BD!$V:$V)),"")</f>
        <v/>
      </c>
      <c r="S256" s="167"/>
      <c r="T256" s="184"/>
      <c r="U256" s="185"/>
      <c r="V256" s="167"/>
      <c r="W256" s="186" t="str">
        <f>IFERROR(Table13[[#This Row],[Mtr_Net_Exp (KWh)]]/(24*AR256*1000),"")</f>
        <v/>
      </c>
      <c r="X256" s="167" t="str">
        <f>IFERROR(_xlfn.XLOOKUP($A256,Input_Raw!$A:$A,Input_Raw!$CF:$CF),"")</f>
        <v/>
      </c>
      <c r="Y256" s="167" t="str">
        <f>IFERROR(_xlfn.XLOOKUP($A256,Input_Raw!$A:$A,Input_Raw!$CZ:$CZ),"")</f>
        <v/>
      </c>
      <c r="Z256" s="167" t="str">
        <f>IFERROR(_xlfn.XLOOKUP($A256,Input_Raw!$A:$A,Input_Raw!$DA:$DA),"")</f>
        <v/>
      </c>
      <c r="AA256" s="169" t="str">
        <f t="shared" si="25"/>
        <v/>
      </c>
      <c r="AB256" s="167" t="str">
        <f>IFERROR(_xlfn.XLOOKUP($A256,Input_Raw!$A:$A,Input_Raw!$DG:$DG),"")</f>
        <v/>
      </c>
      <c r="AC256" s="187">
        <f>IFERROR(_xlfn.XLOOKUP($D256,'Modelling New'!$D:$D,'Modelling New'!$J:$J),"")</f>
        <v>4.4333333333333336</v>
      </c>
      <c r="AD256" s="169">
        <f>IFERROR(_xlfn.XLOOKUP($D256,'Modelling New'!$D:$D,'Modelling New'!$T:$T)*1000,"")</f>
        <v>183922.41431383044</v>
      </c>
      <c r="AE256" s="186"/>
      <c r="AF256" s="186">
        <f>IFERROR(_xlfn.XLOOKUP($D256,'Modelling New'!$D:$D,'Modelling New'!$W:$W),"")</f>
        <v>9.8249152945422247E-2</v>
      </c>
      <c r="AG256" s="186">
        <f>IFERROR(_xlfn.XLOOKUP($D256,'Modelling New'!$D:$D,'Modelling New'!$AE:$AE),"")</f>
        <v>0.96029999999999993</v>
      </c>
      <c r="AH256" s="186">
        <f>IFERROR(_xlfn.XLOOKUP($D256,'Modelling New'!$D:$D,'Modelling New'!$AF:$AF),"")</f>
        <v>0.995</v>
      </c>
      <c r="AI256" s="167" t="str">
        <f>IFERROR(_xlfn.XLOOKUP($A256,Input_Raw!$A:$A,Input_Raw!$DE:$DE),"")</f>
        <v/>
      </c>
      <c r="AJ256" s="167"/>
      <c r="AK256" s="167"/>
      <c r="AL256" s="167"/>
      <c r="AM256" s="167"/>
      <c r="AN256" s="188" t="str">
        <f>IFERROR(_xlfn.XLOOKUP($A256,Input_Raw!$A:$A,Input_Raw!$DB:$DB),"")</f>
        <v/>
      </c>
      <c r="AO256" s="186" t="str">
        <f>IFERROR((_xlfn.XLOOKUP($A256,'WTG Reactive Power'!$A:$A,'WTG Reactive Power'!$AR:$AR))/X256/1000,"")</f>
        <v/>
      </c>
      <c r="AP256" s="186">
        <f>IFERROR(_xlfn.XLOOKUP($D256,'Modelling New'!$D:$D,'Modelling New'!$AK:$AK),"")</f>
        <v>0.05</v>
      </c>
      <c r="AQ256" s="186">
        <f>IFERROR(_xlfn.XLOOKUP($D256,'Modelling New'!$D:$D,'Modelling New'!$AL:$AL),"")</f>
        <v>0.05</v>
      </c>
      <c r="AR256">
        <f>IFERROR(_xlfn.XLOOKUP($D256,'Modelling New'!$D:$D,'Modelling New'!$N:$N),"")</f>
        <v>78</v>
      </c>
    </row>
    <row r="257" spans="1:44">
      <c r="A257" s="180">
        <f t="shared" si="22"/>
        <v>46000</v>
      </c>
      <c r="B257" s="169">
        <f>YEAR(Table13[[#This Row],[Date]])+IF(MONTH(Table13[[#This Row],[Date]])&gt;=4,1,0)</f>
        <v>2026</v>
      </c>
      <c r="C257" s="167">
        <f>YEAR(Table13[[#This Row],[Date]])</f>
        <v>2025</v>
      </c>
      <c r="D257" s="181">
        <f>Table13[[#This Row],[Date]]-DAY(Table13[[#This Row],[Date]])+1</f>
        <v>45992</v>
      </c>
      <c r="E257" s="167">
        <f t="shared" si="23"/>
        <v>31</v>
      </c>
      <c r="F257" s="170"/>
      <c r="G257" s="171"/>
      <c r="H257" s="171"/>
      <c r="I257" s="171"/>
      <c r="J257" s="171"/>
      <c r="K257" s="182"/>
      <c r="L257" s="171"/>
      <c r="M257" s="171" t="str">
        <f>IFERROR(_xlfn.XLOOKUP($A257,Input_Raw!$A:$A,Input_Raw!CG:CG),"")</f>
        <v/>
      </c>
      <c r="N257" s="171" t="str">
        <f>IFERROR(_xlfn.XLOOKUP($A257,Input_Raw!$A:$A,Input_Raw!CH:CH),"")</f>
        <v/>
      </c>
      <c r="O257" s="183" t="str">
        <f t="shared" si="24"/>
        <v/>
      </c>
      <c r="P257" s="183" t="str">
        <f>IFERROR(1-SUMIF(WTG_BD!$B:$B,$A257,WTG_BD!$AB:$AB)/($AA257+SUMIF(WTG_BD!$B:$B,$A257,WTG_BD!$AB:$AB)),"")</f>
        <v/>
      </c>
      <c r="Q257" s="184" t="str">
        <f>IFERROR(1-SUMIF(IGA_BD!$B:$B,$A257,IGA_BD!$X:$X)/($AA257+SUMIF(IGA_BD!$B:$B,$A257,IGA_BD!$X:$X)),"")</f>
        <v/>
      </c>
      <c r="R257" s="189" t="str">
        <f>IFERROR(1-SUMIF(Grid_BD!$B:$B,$A257,Grid_BD!$V:$V)/($AA257+SUMIF(Grid_BD!$B:$B,$A257,Grid_BD!$V:$V)),"")</f>
        <v/>
      </c>
      <c r="S257" s="167"/>
      <c r="T257" s="184"/>
      <c r="U257" s="185"/>
      <c r="V257" s="167"/>
      <c r="W257" s="186" t="str">
        <f>IFERROR(Table13[[#This Row],[Mtr_Net_Exp (KWh)]]/(24*AR257*1000),"")</f>
        <v/>
      </c>
      <c r="X257" s="167" t="str">
        <f>IFERROR(_xlfn.XLOOKUP($A257,Input_Raw!$A:$A,Input_Raw!$CF:$CF),"")</f>
        <v/>
      </c>
      <c r="Y257" s="167" t="str">
        <f>IFERROR(_xlfn.XLOOKUP($A257,Input_Raw!$A:$A,Input_Raw!$CZ:$CZ),"")</f>
        <v/>
      </c>
      <c r="Z257" s="167" t="str">
        <f>IFERROR(_xlfn.XLOOKUP($A257,Input_Raw!$A:$A,Input_Raw!$DA:$DA),"")</f>
        <v/>
      </c>
      <c r="AA257" s="169" t="str">
        <f t="shared" si="25"/>
        <v/>
      </c>
      <c r="AB257" s="167" t="str">
        <f>IFERROR(_xlfn.XLOOKUP($A257,Input_Raw!$A:$A,Input_Raw!$DG:$DG),"")</f>
        <v/>
      </c>
      <c r="AC257" s="187">
        <f>IFERROR(_xlfn.XLOOKUP($D257,'Modelling New'!$D:$D,'Modelling New'!$J:$J),"")</f>
        <v>4.4333333333333336</v>
      </c>
      <c r="AD257" s="169">
        <f>IFERROR(_xlfn.XLOOKUP($D257,'Modelling New'!$D:$D,'Modelling New'!$T:$T)*1000,"")</f>
        <v>183922.41431383044</v>
      </c>
      <c r="AE257" s="186"/>
      <c r="AF257" s="186">
        <f>IFERROR(_xlfn.XLOOKUP($D257,'Modelling New'!$D:$D,'Modelling New'!$W:$W),"")</f>
        <v>9.8249152945422247E-2</v>
      </c>
      <c r="AG257" s="186">
        <f>IFERROR(_xlfn.XLOOKUP($D257,'Modelling New'!$D:$D,'Modelling New'!$AE:$AE),"")</f>
        <v>0.96029999999999993</v>
      </c>
      <c r="AH257" s="186">
        <f>IFERROR(_xlfn.XLOOKUP($D257,'Modelling New'!$D:$D,'Modelling New'!$AF:$AF),"")</f>
        <v>0.995</v>
      </c>
      <c r="AI257" s="167" t="str">
        <f>IFERROR(_xlfn.XLOOKUP($A257,Input_Raw!$A:$A,Input_Raw!$DE:$DE),"")</f>
        <v/>
      </c>
      <c r="AJ257" s="167"/>
      <c r="AK257" s="167"/>
      <c r="AL257" s="167"/>
      <c r="AM257" s="167"/>
      <c r="AN257" s="188" t="str">
        <f>IFERROR(_xlfn.XLOOKUP($A257,Input_Raw!$A:$A,Input_Raw!$DB:$DB),"")</f>
        <v/>
      </c>
      <c r="AO257" s="186" t="str">
        <f>IFERROR((_xlfn.XLOOKUP($A257,'WTG Reactive Power'!$A:$A,'WTG Reactive Power'!$AR:$AR))/X257/1000,"")</f>
        <v/>
      </c>
      <c r="AP257" s="186">
        <f>IFERROR(_xlfn.XLOOKUP($D257,'Modelling New'!$D:$D,'Modelling New'!$AK:$AK),"")</f>
        <v>0.05</v>
      </c>
      <c r="AQ257" s="186">
        <f>IFERROR(_xlfn.XLOOKUP($D257,'Modelling New'!$D:$D,'Modelling New'!$AL:$AL),"")</f>
        <v>0.05</v>
      </c>
      <c r="AR257">
        <f>IFERROR(_xlfn.XLOOKUP($D257,'Modelling New'!$D:$D,'Modelling New'!$N:$N),"")</f>
        <v>78</v>
      </c>
    </row>
    <row r="258" spans="1:44">
      <c r="A258" s="180">
        <f t="shared" si="22"/>
        <v>46001</v>
      </c>
      <c r="B258" s="169">
        <f>YEAR(Table13[[#This Row],[Date]])+IF(MONTH(Table13[[#This Row],[Date]])&gt;=4,1,0)</f>
        <v>2026</v>
      </c>
      <c r="C258" s="167">
        <f>YEAR(Table13[[#This Row],[Date]])</f>
        <v>2025</v>
      </c>
      <c r="D258" s="181">
        <f>Table13[[#This Row],[Date]]-DAY(Table13[[#This Row],[Date]])+1</f>
        <v>45992</v>
      </c>
      <c r="E258" s="167">
        <f t="shared" si="23"/>
        <v>31</v>
      </c>
      <c r="F258" s="170"/>
      <c r="G258" s="171"/>
      <c r="H258" s="171"/>
      <c r="I258" s="171"/>
      <c r="J258" s="171"/>
      <c r="K258" s="182"/>
      <c r="L258" s="171"/>
      <c r="M258" s="171" t="str">
        <f>IFERROR(_xlfn.XLOOKUP($A258,Input_Raw!$A:$A,Input_Raw!CG:CG),"")</f>
        <v/>
      </c>
      <c r="N258" s="171" t="str">
        <f>IFERROR(_xlfn.XLOOKUP($A258,Input_Raw!$A:$A,Input_Raw!CH:CH),"")</f>
        <v/>
      </c>
      <c r="O258" s="183" t="str">
        <f t="shared" si="24"/>
        <v/>
      </c>
      <c r="P258" s="183" t="str">
        <f>IFERROR(1-SUMIF(WTG_BD!$B:$B,$A258,WTG_BD!$AB:$AB)/($AA258+SUMIF(WTG_BD!$B:$B,$A258,WTG_BD!$AB:$AB)),"")</f>
        <v/>
      </c>
      <c r="Q258" s="184" t="str">
        <f>IFERROR(1-SUMIF(IGA_BD!$B:$B,$A258,IGA_BD!$X:$X)/($AA258+SUMIF(IGA_BD!$B:$B,$A258,IGA_BD!$X:$X)),"")</f>
        <v/>
      </c>
      <c r="R258" s="189" t="str">
        <f>IFERROR(1-SUMIF(Grid_BD!$B:$B,$A258,Grid_BD!$V:$V)/($AA258+SUMIF(Grid_BD!$B:$B,$A258,Grid_BD!$V:$V)),"")</f>
        <v/>
      </c>
      <c r="S258" s="167"/>
      <c r="T258" s="184"/>
      <c r="U258" s="185"/>
      <c r="V258" s="167"/>
      <c r="W258" s="186" t="str">
        <f>IFERROR(Table13[[#This Row],[Mtr_Net_Exp (KWh)]]/(24*AR258*1000),"")</f>
        <v/>
      </c>
      <c r="X258" s="167" t="str">
        <f>IFERROR(_xlfn.XLOOKUP($A258,Input_Raw!$A:$A,Input_Raw!$CF:$CF),"")</f>
        <v/>
      </c>
      <c r="Y258" s="167" t="str">
        <f>IFERROR(_xlfn.XLOOKUP($A258,Input_Raw!$A:$A,Input_Raw!$CZ:$CZ),"")</f>
        <v/>
      </c>
      <c r="Z258" s="167" t="str">
        <f>IFERROR(_xlfn.XLOOKUP($A258,Input_Raw!$A:$A,Input_Raw!$DA:$DA),"")</f>
        <v/>
      </c>
      <c r="AA258" s="169" t="str">
        <f t="shared" si="25"/>
        <v/>
      </c>
      <c r="AB258" s="167" t="str">
        <f>IFERROR(_xlfn.XLOOKUP($A258,Input_Raw!$A:$A,Input_Raw!$DG:$DG),"")</f>
        <v/>
      </c>
      <c r="AC258" s="187">
        <f>IFERROR(_xlfn.XLOOKUP($D258,'Modelling New'!$D:$D,'Modelling New'!$J:$J),"")</f>
        <v>4.4333333333333336</v>
      </c>
      <c r="AD258" s="169">
        <f>IFERROR(_xlfn.XLOOKUP($D258,'Modelling New'!$D:$D,'Modelling New'!$T:$T)*1000,"")</f>
        <v>183922.41431383044</v>
      </c>
      <c r="AE258" s="186"/>
      <c r="AF258" s="186">
        <f>IFERROR(_xlfn.XLOOKUP($D258,'Modelling New'!$D:$D,'Modelling New'!$W:$W),"")</f>
        <v>9.8249152945422247E-2</v>
      </c>
      <c r="AG258" s="186">
        <f>IFERROR(_xlfn.XLOOKUP($D258,'Modelling New'!$D:$D,'Modelling New'!$AE:$AE),"")</f>
        <v>0.96029999999999993</v>
      </c>
      <c r="AH258" s="186">
        <f>IFERROR(_xlfn.XLOOKUP($D258,'Modelling New'!$D:$D,'Modelling New'!$AF:$AF),"")</f>
        <v>0.995</v>
      </c>
      <c r="AI258" s="167" t="str">
        <f>IFERROR(_xlfn.XLOOKUP($A258,Input_Raw!$A:$A,Input_Raw!$DE:$DE),"")</f>
        <v/>
      </c>
      <c r="AJ258" s="167"/>
      <c r="AK258" s="167"/>
      <c r="AL258" s="167"/>
      <c r="AM258" s="167"/>
      <c r="AN258" s="188" t="str">
        <f>IFERROR(_xlfn.XLOOKUP($A258,Input_Raw!$A:$A,Input_Raw!$DB:$DB),"")</f>
        <v/>
      </c>
      <c r="AO258" s="186" t="str">
        <f>IFERROR((_xlfn.XLOOKUP($A258,'WTG Reactive Power'!$A:$A,'WTG Reactive Power'!$AR:$AR))/X258/1000,"")</f>
        <v/>
      </c>
      <c r="AP258" s="186">
        <f>IFERROR(_xlfn.XLOOKUP($D258,'Modelling New'!$D:$D,'Modelling New'!$AK:$AK),"")</f>
        <v>0.05</v>
      </c>
      <c r="AQ258" s="186">
        <f>IFERROR(_xlfn.XLOOKUP($D258,'Modelling New'!$D:$D,'Modelling New'!$AL:$AL),"")</f>
        <v>0.05</v>
      </c>
      <c r="AR258">
        <f>IFERROR(_xlfn.XLOOKUP($D258,'Modelling New'!$D:$D,'Modelling New'!$N:$N),"")</f>
        <v>78</v>
      </c>
    </row>
    <row r="259" spans="1:44">
      <c r="A259" s="180">
        <f t="shared" si="22"/>
        <v>46002</v>
      </c>
      <c r="B259" s="169">
        <f>YEAR(Table13[[#This Row],[Date]])+IF(MONTH(Table13[[#This Row],[Date]])&gt;=4,1,0)</f>
        <v>2026</v>
      </c>
      <c r="C259" s="167">
        <f>YEAR(Table13[[#This Row],[Date]])</f>
        <v>2025</v>
      </c>
      <c r="D259" s="181">
        <f>Table13[[#This Row],[Date]]-DAY(Table13[[#This Row],[Date]])+1</f>
        <v>45992</v>
      </c>
      <c r="E259" s="167">
        <f t="shared" si="23"/>
        <v>31</v>
      </c>
      <c r="F259" s="170"/>
      <c r="G259" s="171"/>
      <c r="H259" s="171"/>
      <c r="I259" s="171"/>
      <c r="J259" s="171"/>
      <c r="K259" s="182"/>
      <c r="L259" s="171"/>
      <c r="M259" s="171" t="str">
        <f>IFERROR(_xlfn.XLOOKUP($A259,Input_Raw!$A:$A,Input_Raw!CG:CG),"")</f>
        <v/>
      </c>
      <c r="N259" s="171" t="str">
        <f>IFERROR(_xlfn.XLOOKUP($A259,Input_Raw!$A:$A,Input_Raw!CH:CH),"")</f>
        <v/>
      </c>
      <c r="O259" s="183" t="str">
        <f t="shared" si="24"/>
        <v/>
      </c>
      <c r="P259" s="183" t="str">
        <f>IFERROR(1-SUMIF(WTG_BD!$B:$B,$A259,WTG_BD!$AB:$AB)/($AA259+SUMIF(WTG_BD!$B:$B,$A259,WTG_BD!$AB:$AB)),"")</f>
        <v/>
      </c>
      <c r="Q259" s="184" t="str">
        <f>IFERROR(1-SUMIF(IGA_BD!$B:$B,$A259,IGA_BD!$X:$X)/($AA259+SUMIF(IGA_BD!$B:$B,$A259,IGA_BD!$X:$X)),"")</f>
        <v/>
      </c>
      <c r="R259" s="189" t="str">
        <f>IFERROR(1-SUMIF(Grid_BD!$B:$B,$A259,Grid_BD!$V:$V)/($AA259+SUMIF(Grid_BD!$B:$B,$A259,Grid_BD!$V:$V)),"")</f>
        <v/>
      </c>
      <c r="S259" s="167"/>
      <c r="T259" s="184"/>
      <c r="U259" s="185"/>
      <c r="V259" s="167"/>
      <c r="W259" s="186" t="str">
        <f>IFERROR(Table13[[#This Row],[Mtr_Net_Exp (KWh)]]/(24*AR259*1000),"")</f>
        <v/>
      </c>
      <c r="X259" s="167" t="str">
        <f>IFERROR(_xlfn.XLOOKUP($A259,Input_Raw!$A:$A,Input_Raw!$CF:$CF),"")</f>
        <v/>
      </c>
      <c r="Y259" s="167" t="str">
        <f>IFERROR(_xlfn.XLOOKUP($A259,Input_Raw!$A:$A,Input_Raw!$CZ:$CZ),"")</f>
        <v/>
      </c>
      <c r="Z259" s="167" t="str">
        <f>IFERROR(_xlfn.XLOOKUP($A259,Input_Raw!$A:$A,Input_Raw!$DA:$DA),"")</f>
        <v/>
      </c>
      <c r="AA259" s="169" t="str">
        <f t="shared" si="25"/>
        <v/>
      </c>
      <c r="AB259" s="167" t="str">
        <f>IFERROR(_xlfn.XLOOKUP($A259,Input_Raw!$A:$A,Input_Raw!$DG:$DG),"")</f>
        <v/>
      </c>
      <c r="AC259" s="187">
        <f>IFERROR(_xlfn.XLOOKUP($D259,'Modelling New'!$D:$D,'Modelling New'!$J:$J),"")</f>
        <v>4.4333333333333336</v>
      </c>
      <c r="AD259" s="169">
        <f>IFERROR(_xlfn.XLOOKUP($D259,'Modelling New'!$D:$D,'Modelling New'!$T:$T)*1000,"")</f>
        <v>183922.41431383044</v>
      </c>
      <c r="AE259" s="186"/>
      <c r="AF259" s="186">
        <f>IFERROR(_xlfn.XLOOKUP($D259,'Modelling New'!$D:$D,'Modelling New'!$W:$W),"")</f>
        <v>9.8249152945422247E-2</v>
      </c>
      <c r="AG259" s="186">
        <f>IFERROR(_xlfn.XLOOKUP($D259,'Modelling New'!$D:$D,'Modelling New'!$AE:$AE),"")</f>
        <v>0.96029999999999993</v>
      </c>
      <c r="AH259" s="186">
        <f>IFERROR(_xlfn.XLOOKUP($D259,'Modelling New'!$D:$D,'Modelling New'!$AF:$AF),"")</f>
        <v>0.995</v>
      </c>
      <c r="AI259" s="167" t="str">
        <f>IFERROR(_xlfn.XLOOKUP($A259,Input_Raw!$A:$A,Input_Raw!$DE:$DE),"")</f>
        <v/>
      </c>
      <c r="AJ259" s="167"/>
      <c r="AK259" s="167"/>
      <c r="AL259" s="167"/>
      <c r="AM259" s="167"/>
      <c r="AN259" s="188" t="str">
        <f>IFERROR(_xlfn.XLOOKUP($A259,Input_Raw!$A:$A,Input_Raw!$DB:$DB),"")</f>
        <v/>
      </c>
      <c r="AO259" s="186" t="str">
        <f>IFERROR((_xlfn.XLOOKUP($A259,'WTG Reactive Power'!$A:$A,'WTG Reactive Power'!$AR:$AR))/X259/1000,"")</f>
        <v/>
      </c>
      <c r="AP259" s="186">
        <f>IFERROR(_xlfn.XLOOKUP($D259,'Modelling New'!$D:$D,'Modelling New'!$AK:$AK),"")</f>
        <v>0.05</v>
      </c>
      <c r="AQ259" s="186">
        <f>IFERROR(_xlfn.XLOOKUP($D259,'Modelling New'!$D:$D,'Modelling New'!$AL:$AL),"")</f>
        <v>0.05</v>
      </c>
      <c r="AR259">
        <f>IFERROR(_xlfn.XLOOKUP($D259,'Modelling New'!$D:$D,'Modelling New'!$N:$N),"")</f>
        <v>78</v>
      </c>
    </row>
    <row r="260" spans="1:44">
      <c r="A260" s="180">
        <f t="shared" si="22"/>
        <v>46003</v>
      </c>
      <c r="B260" s="169">
        <f>YEAR(Table13[[#This Row],[Date]])+IF(MONTH(Table13[[#This Row],[Date]])&gt;=4,1,0)</f>
        <v>2026</v>
      </c>
      <c r="C260" s="167">
        <f>YEAR(Table13[[#This Row],[Date]])</f>
        <v>2025</v>
      </c>
      <c r="D260" s="181">
        <f>Table13[[#This Row],[Date]]-DAY(Table13[[#This Row],[Date]])+1</f>
        <v>45992</v>
      </c>
      <c r="E260" s="167">
        <f t="shared" si="23"/>
        <v>31</v>
      </c>
      <c r="F260" s="170"/>
      <c r="G260" s="171"/>
      <c r="H260" s="171"/>
      <c r="I260" s="171"/>
      <c r="J260" s="171"/>
      <c r="K260" s="182"/>
      <c r="L260" s="171"/>
      <c r="M260" s="171" t="str">
        <f>IFERROR(_xlfn.XLOOKUP($A260,Input_Raw!$A:$A,Input_Raw!CG:CG),"")</f>
        <v/>
      </c>
      <c r="N260" s="171" t="str">
        <f>IFERROR(_xlfn.XLOOKUP($A260,Input_Raw!$A:$A,Input_Raw!CH:CH),"")</f>
        <v/>
      </c>
      <c r="O260" s="183" t="str">
        <f t="shared" si="24"/>
        <v/>
      </c>
      <c r="P260" s="183" t="str">
        <f>IFERROR(1-SUMIF(WTG_BD!$B:$B,$A260,WTG_BD!$AB:$AB)/($AA260+SUMIF(WTG_BD!$B:$B,$A260,WTG_BD!$AB:$AB)),"")</f>
        <v/>
      </c>
      <c r="Q260" s="184" t="str">
        <f>IFERROR(1-SUMIF(IGA_BD!$B:$B,$A260,IGA_BD!$X:$X)/($AA260+SUMIF(IGA_BD!$B:$B,$A260,IGA_BD!$X:$X)),"")</f>
        <v/>
      </c>
      <c r="R260" s="189" t="str">
        <f>IFERROR(1-SUMIF(Grid_BD!$B:$B,$A260,Grid_BD!$V:$V)/($AA260+SUMIF(Grid_BD!$B:$B,$A260,Grid_BD!$V:$V)),"")</f>
        <v/>
      </c>
      <c r="S260" s="167"/>
      <c r="T260" s="184"/>
      <c r="U260" s="185"/>
      <c r="V260" s="167"/>
      <c r="W260" s="186" t="str">
        <f>IFERROR(Table13[[#This Row],[Mtr_Net_Exp (KWh)]]/(24*AR260*1000),"")</f>
        <v/>
      </c>
      <c r="X260" s="167" t="str">
        <f>IFERROR(_xlfn.XLOOKUP($A260,Input_Raw!$A:$A,Input_Raw!$CF:$CF),"")</f>
        <v/>
      </c>
      <c r="Y260" s="167" t="str">
        <f>IFERROR(_xlfn.XLOOKUP($A260,Input_Raw!$A:$A,Input_Raw!$CZ:$CZ),"")</f>
        <v/>
      </c>
      <c r="Z260" s="167" t="str">
        <f>IFERROR(_xlfn.XLOOKUP($A260,Input_Raw!$A:$A,Input_Raw!$DA:$DA),"")</f>
        <v/>
      </c>
      <c r="AA260" s="169" t="str">
        <f t="shared" si="25"/>
        <v/>
      </c>
      <c r="AB260" s="167" t="str">
        <f>IFERROR(_xlfn.XLOOKUP($A260,Input_Raw!$A:$A,Input_Raw!$DG:$DG),"")</f>
        <v/>
      </c>
      <c r="AC260" s="187">
        <f>IFERROR(_xlfn.XLOOKUP($D260,'Modelling New'!$D:$D,'Modelling New'!$J:$J),"")</f>
        <v>4.4333333333333336</v>
      </c>
      <c r="AD260" s="169">
        <f>IFERROR(_xlfn.XLOOKUP($D260,'Modelling New'!$D:$D,'Modelling New'!$T:$T)*1000,"")</f>
        <v>183922.41431383044</v>
      </c>
      <c r="AE260" s="186"/>
      <c r="AF260" s="186">
        <f>IFERROR(_xlfn.XLOOKUP($D260,'Modelling New'!$D:$D,'Modelling New'!$W:$W),"")</f>
        <v>9.8249152945422247E-2</v>
      </c>
      <c r="AG260" s="186">
        <f>IFERROR(_xlfn.XLOOKUP($D260,'Modelling New'!$D:$D,'Modelling New'!$AE:$AE),"")</f>
        <v>0.96029999999999993</v>
      </c>
      <c r="AH260" s="186">
        <f>IFERROR(_xlfn.XLOOKUP($D260,'Modelling New'!$D:$D,'Modelling New'!$AF:$AF),"")</f>
        <v>0.995</v>
      </c>
      <c r="AI260" s="167" t="str">
        <f>IFERROR(_xlfn.XLOOKUP($A260,Input_Raw!$A:$A,Input_Raw!$DE:$DE),"")</f>
        <v/>
      </c>
      <c r="AJ260" s="167"/>
      <c r="AK260" s="167"/>
      <c r="AL260" s="167"/>
      <c r="AM260" s="167"/>
      <c r="AN260" s="188" t="str">
        <f>IFERROR(_xlfn.XLOOKUP($A260,Input_Raw!$A:$A,Input_Raw!$DB:$DB),"")</f>
        <v/>
      </c>
      <c r="AO260" s="186" t="str">
        <f>IFERROR((_xlfn.XLOOKUP($A260,'WTG Reactive Power'!$A:$A,'WTG Reactive Power'!$AR:$AR))/X260/1000,"")</f>
        <v/>
      </c>
      <c r="AP260" s="186">
        <f>IFERROR(_xlfn.XLOOKUP($D260,'Modelling New'!$D:$D,'Modelling New'!$AK:$AK),"")</f>
        <v>0.05</v>
      </c>
      <c r="AQ260" s="186">
        <f>IFERROR(_xlfn.XLOOKUP($D260,'Modelling New'!$D:$D,'Modelling New'!$AL:$AL),"")</f>
        <v>0.05</v>
      </c>
      <c r="AR260">
        <f>IFERROR(_xlfn.XLOOKUP($D260,'Modelling New'!$D:$D,'Modelling New'!$N:$N),"")</f>
        <v>78</v>
      </c>
    </row>
    <row r="261" spans="1:44">
      <c r="A261" s="180">
        <f t="shared" si="22"/>
        <v>46004</v>
      </c>
      <c r="B261" s="169">
        <f>YEAR(Table13[[#This Row],[Date]])+IF(MONTH(Table13[[#This Row],[Date]])&gt;=4,1,0)</f>
        <v>2026</v>
      </c>
      <c r="C261" s="167">
        <f>YEAR(Table13[[#This Row],[Date]])</f>
        <v>2025</v>
      </c>
      <c r="D261" s="181">
        <f>Table13[[#This Row],[Date]]-DAY(Table13[[#This Row],[Date]])+1</f>
        <v>45992</v>
      </c>
      <c r="E261" s="167">
        <f t="shared" ref="E261:E292" si="26">DAY(EOMONTH(A261,0))</f>
        <v>31</v>
      </c>
      <c r="F261" s="170"/>
      <c r="G261" s="171"/>
      <c r="H261" s="171"/>
      <c r="I261" s="171"/>
      <c r="J261" s="171"/>
      <c r="K261" s="182"/>
      <c r="L261" s="171"/>
      <c r="M261" s="171" t="str">
        <f>IFERROR(_xlfn.XLOOKUP($A261,Input_Raw!$A:$A,Input_Raw!CG:CG),"")</f>
        <v/>
      </c>
      <c r="N261" s="171" t="str">
        <f>IFERROR(_xlfn.XLOOKUP($A261,Input_Raw!$A:$A,Input_Raw!CH:CH),"")</f>
        <v/>
      </c>
      <c r="O261" s="183" t="str">
        <f t="shared" ref="O261:O292" si="27">IFERROR(P261*Q261,"")</f>
        <v/>
      </c>
      <c r="P261" s="183" t="str">
        <f>IFERROR(1-SUMIF(WTG_BD!$B:$B,$A261,WTG_BD!$AB:$AB)/($AA261+SUMIF(WTG_BD!$B:$B,$A261,WTG_BD!$AB:$AB)),"")</f>
        <v/>
      </c>
      <c r="Q261" s="184" t="str">
        <f>IFERROR(1-SUMIF(IGA_BD!$B:$B,$A261,IGA_BD!$X:$X)/($AA261+SUMIF(IGA_BD!$B:$B,$A261,IGA_BD!$X:$X)),"")</f>
        <v/>
      </c>
      <c r="R261" s="189" t="str">
        <f>IFERROR(1-SUMIF(Grid_BD!$B:$B,$A261,Grid_BD!$V:$V)/($AA261+SUMIF(Grid_BD!$B:$B,$A261,Grid_BD!$V:$V)),"")</f>
        <v/>
      </c>
      <c r="S261" s="167"/>
      <c r="T261" s="184"/>
      <c r="U261" s="185"/>
      <c r="V261" s="167"/>
      <c r="W261" s="186" t="str">
        <f>IFERROR(Table13[[#This Row],[Mtr_Net_Exp (KWh)]]/(24*AR261*1000),"")</f>
        <v/>
      </c>
      <c r="X261" s="167" t="str">
        <f>IFERROR(_xlfn.XLOOKUP($A261,Input_Raw!$A:$A,Input_Raw!$CF:$CF),"")</f>
        <v/>
      </c>
      <c r="Y261" s="167" t="str">
        <f>IFERROR(_xlfn.XLOOKUP($A261,Input_Raw!$A:$A,Input_Raw!$CZ:$CZ),"")</f>
        <v/>
      </c>
      <c r="Z261" s="167" t="str">
        <f>IFERROR(_xlfn.XLOOKUP($A261,Input_Raw!$A:$A,Input_Raw!$DA:$DA),"")</f>
        <v/>
      </c>
      <c r="AA261" s="169" t="str">
        <f t="shared" ref="AA261:AA292" si="28">IFERROR(Y261-Z261,"")</f>
        <v/>
      </c>
      <c r="AB261" s="167" t="str">
        <f>IFERROR(_xlfn.XLOOKUP($A261,Input_Raw!$A:$A,Input_Raw!$DG:$DG),"")</f>
        <v/>
      </c>
      <c r="AC261" s="187">
        <f>IFERROR(_xlfn.XLOOKUP($D261,'Modelling New'!$D:$D,'Modelling New'!$J:$J),"")</f>
        <v>4.4333333333333336</v>
      </c>
      <c r="AD261" s="169">
        <f>IFERROR(_xlfn.XLOOKUP($D261,'Modelling New'!$D:$D,'Modelling New'!$T:$T)*1000,"")</f>
        <v>183922.41431383044</v>
      </c>
      <c r="AE261" s="186"/>
      <c r="AF261" s="186">
        <f>IFERROR(_xlfn.XLOOKUP($D261,'Modelling New'!$D:$D,'Modelling New'!$W:$W),"")</f>
        <v>9.8249152945422247E-2</v>
      </c>
      <c r="AG261" s="186">
        <f>IFERROR(_xlfn.XLOOKUP($D261,'Modelling New'!$D:$D,'Modelling New'!$AE:$AE),"")</f>
        <v>0.96029999999999993</v>
      </c>
      <c r="AH261" s="186">
        <f>IFERROR(_xlfn.XLOOKUP($D261,'Modelling New'!$D:$D,'Modelling New'!$AF:$AF),"")</f>
        <v>0.995</v>
      </c>
      <c r="AI261" s="167" t="str">
        <f>IFERROR(_xlfn.XLOOKUP($A261,Input_Raw!$A:$A,Input_Raw!$DE:$DE),"")</f>
        <v/>
      </c>
      <c r="AJ261" s="167"/>
      <c r="AK261" s="167"/>
      <c r="AL261" s="167"/>
      <c r="AM261" s="167"/>
      <c r="AN261" s="188" t="str">
        <f>IFERROR(_xlfn.XLOOKUP($A261,Input_Raw!$A:$A,Input_Raw!$DB:$DB),"")</f>
        <v/>
      </c>
      <c r="AO261" s="186" t="str">
        <f>IFERROR((_xlfn.XLOOKUP($A261,'WTG Reactive Power'!$A:$A,'WTG Reactive Power'!$AR:$AR))/X261/1000,"")</f>
        <v/>
      </c>
      <c r="AP261" s="186">
        <f>IFERROR(_xlfn.XLOOKUP($D261,'Modelling New'!$D:$D,'Modelling New'!$AK:$AK),"")</f>
        <v>0.05</v>
      </c>
      <c r="AQ261" s="186">
        <f>IFERROR(_xlfn.XLOOKUP($D261,'Modelling New'!$D:$D,'Modelling New'!$AL:$AL),"")</f>
        <v>0.05</v>
      </c>
      <c r="AR261">
        <f>IFERROR(_xlfn.XLOOKUP($D261,'Modelling New'!$D:$D,'Modelling New'!$N:$N),"")</f>
        <v>78</v>
      </c>
    </row>
    <row r="262" spans="1:44">
      <c r="A262" s="180">
        <f t="shared" si="22"/>
        <v>46005</v>
      </c>
      <c r="B262" s="169">
        <f>YEAR(Table13[[#This Row],[Date]])+IF(MONTH(Table13[[#This Row],[Date]])&gt;=4,1,0)</f>
        <v>2026</v>
      </c>
      <c r="C262" s="167">
        <f>YEAR(Table13[[#This Row],[Date]])</f>
        <v>2025</v>
      </c>
      <c r="D262" s="181">
        <f>Table13[[#This Row],[Date]]-DAY(Table13[[#This Row],[Date]])+1</f>
        <v>45992</v>
      </c>
      <c r="E262" s="167">
        <f t="shared" si="26"/>
        <v>31</v>
      </c>
      <c r="F262" s="170"/>
      <c r="G262" s="171"/>
      <c r="H262" s="171"/>
      <c r="I262" s="171"/>
      <c r="J262" s="171"/>
      <c r="K262" s="182"/>
      <c r="L262" s="171"/>
      <c r="M262" s="171" t="str">
        <f>IFERROR(_xlfn.XLOOKUP($A262,Input_Raw!$A:$A,Input_Raw!CG:CG),"")</f>
        <v/>
      </c>
      <c r="N262" s="171" t="str">
        <f>IFERROR(_xlfn.XLOOKUP($A262,Input_Raw!$A:$A,Input_Raw!CH:CH),"")</f>
        <v/>
      </c>
      <c r="O262" s="183" t="str">
        <f t="shared" si="27"/>
        <v/>
      </c>
      <c r="P262" s="183" t="str">
        <f>IFERROR(1-SUMIF(WTG_BD!$B:$B,$A262,WTG_BD!$AB:$AB)/($AA262+SUMIF(WTG_BD!$B:$B,$A262,WTG_BD!$AB:$AB)),"")</f>
        <v/>
      </c>
      <c r="Q262" s="184" t="str">
        <f>IFERROR(1-SUMIF(IGA_BD!$B:$B,$A262,IGA_BD!$X:$X)/($AA262+SUMIF(IGA_BD!$B:$B,$A262,IGA_BD!$X:$X)),"")</f>
        <v/>
      </c>
      <c r="R262" s="189" t="str">
        <f>IFERROR(1-SUMIF(Grid_BD!$B:$B,$A262,Grid_BD!$V:$V)/($AA262+SUMIF(Grid_BD!$B:$B,$A262,Grid_BD!$V:$V)),"")</f>
        <v/>
      </c>
      <c r="S262" s="167"/>
      <c r="T262" s="184"/>
      <c r="U262" s="185"/>
      <c r="V262" s="167"/>
      <c r="W262" s="186" t="str">
        <f>IFERROR(Table13[[#This Row],[Mtr_Net_Exp (KWh)]]/(24*AR262*1000),"")</f>
        <v/>
      </c>
      <c r="X262" s="167" t="str">
        <f>IFERROR(_xlfn.XLOOKUP($A262,Input_Raw!$A:$A,Input_Raw!$CF:$CF),"")</f>
        <v/>
      </c>
      <c r="Y262" s="167" t="str">
        <f>IFERROR(_xlfn.XLOOKUP($A262,Input_Raw!$A:$A,Input_Raw!$CZ:$CZ),"")</f>
        <v/>
      </c>
      <c r="Z262" s="167" t="str">
        <f>IFERROR(_xlfn.XLOOKUP($A262,Input_Raw!$A:$A,Input_Raw!$DA:$DA),"")</f>
        <v/>
      </c>
      <c r="AA262" s="169" t="str">
        <f t="shared" si="28"/>
        <v/>
      </c>
      <c r="AB262" s="167" t="str">
        <f>IFERROR(_xlfn.XLOOKUP($A262,Input_Raw!$A:$A,Input_Raw!$DG:$DG),"")</f>
        <v/>
      </c>
      <c r="AC262" s="187">
        <f>IFERROR(_xlfn.XLOOKUP($D262,'Modelling New'!$D:$D,'Modelling New'!$J:$J),"")</f>
        <v>4.4333333333333336</v>
      </c>
      <c r="AD262" s="169">
        <f>IFERROR(_xlfn.XLOOKUP($D262,'Modelling New'!$D:$D,'Modelling New'!$T:$T)*1000,"")</f>
        <v>183922.41431383044</v>
      </c>
      <c r="AE262" s="186"/>
      <c r="AF262" s="186">
        <f>IFERROR(_xlfn.XLOOKUP($D262,'Modelling New'!$D:$D,'Modelling New'!$W:$W),"")</f>
        <v>9.8249152945422247E-2</v>
      </c>
      <c r="AG262" s="186">
        <f>IFERROR(_xlfn.XLOOKUP($D262,'Modelling New'!$D:$D,'Modelling New'!$AE:$AE),"")</f>
        <v>0.96029999999999993</v>
      </c>
      <c r="AH262" s="186">
        <f>IFERROR(_xlfn.XLOOKUP($D262,'Modelling New'!$D:$D,'Modelling New'!$AF:$AF),"")</f>
        <v>0.995</v>
      </c>
      <c r="AI262" s="167" t="str">
        <f>IFERROR(_xlfn.XLOOKUP($A262,Input_Raw!$A:$A,Input_Raw!$DE:$DE),"")</f>
        <v/>
      </c>
      <c r="AJ262" s="167"/>
      <c r="AK262" s="167"/>
      <c r="AL262" s="167"/>
      <c r="AM262" s="167"/>
      <c r="AN262" s="188" t="str">
        <f>IFERROR(_xlfn.XLOOKUP($A262,Input_Raw!$A:$A,Input_Raw!$DB:$DB),"")</f>
        <v/>
      </c>
      <c r="AO262" s="186" t="str">
        <f>IFERROR((_xlfn.XLOOKUP($A262,'WTG Reactive Power'!$A:$A,'WTG Reactive Power'!$AR:$AR))/X262/1000,"")</f>
        <v/>
      </c>
      <c r="AP262" s="186">
        <f>IFERROR(_xlfn.XLOOKUP($D262,'Modelling New'!$D:$D,'Modelling New'!$AK:$AK),"")</f>
        <v>0.05</v>
      </c>
      <c r="AQ262" s="186">
        <f>IFERROR(_xlfn.XLOOKUP($D262,'Modelling New'!$D:$D,'Modelling New'!$AL:$AL),"")</f>
        <v>0.05</v>
      </c>
      <c r="AR262">
        <f>IFERROR(_xlfn.XLOOKUP($D262,'Modelling New'!$D:$D,'Modelling New'!$N:$N),"")</f>
        <v>78</v>
      </c>
    </row>
    <row r="263" spans="1:44">
      <c r="A263" s="180">
        <f t="shared" si="22"/>
        <v>46006</v>
      </c>
      <c r="B263" s="169">
        <f>YEAR(Table13[[#This Row],[Date]])+IF(MONTH(Table13[[#This Row],[Date]])&gt;=4,1,0)</f>
        <v>2026</v>
      </c>
      <c r="C263" s="167">
        <f>YEAR(Table13[[#This Row],[Date]])</f>
        <v>2025</v>
      </c>
      <c r="D263" s="181">
        <f>Table13[[#This Row],[Date]]-DAY(Table13[[#This Row],[Date]])+1</f>
        <v>45992</v>
      </c>
      <c r="E263" s="167">
        <f t="shared" si="26"/>
        <v>31</v>
      </c>
      <c r="F263" s="170"/>
      <c r="G263" s="171"/>
      <c r="H263" s="171"/>
      <c r="I263" s="171"/>
      <c r="J263" s="171"/>
      <c r="K263" s="182"/>
      <c r="L263" s="171"/>
      <c r="M263" s="171" t="str">
        <f>IFERROR(_xlfn.XLOOKUP($A263,Input_Raw!$A:$A,Input_Raw!CG:CG),"")</f>
        <v/>
      </c>
      <c r="N263" s="171" t="str">
        <f>IFERROR(_xlfn.XLOOKUP($A263,Input_Raw!$A:$A,Input_Raw!CH:CH),"")</f>
        <v/>
      </c>
      <c r="O263" s="183" t="str">
        <f t="shared" si="27"/>
        <v/>
      </c>
      <c r="P263" s="183" t="str">
        <f>IFERROR(1-SUMIF(WTG_BD!$B:$B,$A263,WTG_BD!$AB:$AB)/($AA263+SUMIF(WTG_BD!$B:$B,$A263,WTG_BD!$AB:$AB)),"")</f>
        <v/>
      </c>
      <c r="Q263" s="184" t="str">
        <f>IFERROR(1-SUMIF(IGA_BD!$B:$B,$A263,IGA_BD!$X:$X)/($AA263+SUMIF(IGA_BD!$B:$B,$A263,IGA_BD!$X:$X)),"")</f>
        <v/>
      </c>
      <c r="R263" s="189" t="str">
        <f>IFERROR(1-SUMIF(Grid_BD!$B:$B,$A263,Grid_BD!$V:$V)/($AA263+SUMIF(Grid_BD!$B:$B,$A263,Grid_BD!$V:$V)),"")</f>
        <v/>
      </c>
      <c r="S263" s="167"/>
      <c r="T263" s="184"/>
      <c r="U263" s="185"/>
      <c r="V263" s="167"/>
      <c r="W263" s="186" t="str">
        <f>IFERROR(Table13[[#This Row],[Mtr_Net_Exp (KWh)]]/(24*AR263*1000),"")</f>
        <v/>
      </c>
      <c r="X263" s="167" t="str">
        <f>IFERROR(_xlfn.XLOOKUP($A263,Input_Raw!$A:$A,Input_Raw!$CF:$CF),"")</f>
        <v/>
      </c>
      <c r="Y263" s="167" t="str">
        <f>IFERROR(_xlfn.XLOOKUP($A263,Input_Raw!$A:$A,Input_Raw!$CZ:$CZ),"")</f>
        <v/>
      </c>
      <c r="Z263" s="167" t="str">
        <f>IFERROR(_xlfn.XLOOKUP($A263,Input_Raw!$A:$A,Input_Raw!$DA:$DA),"")</f>
        <v/>
      </c>
      <c r="AA263" s="169" t="str">
        <f t="shared" si="28"/>
        <v/>
      </c>
      <c r="AB263" s="167" t="str">
        <f>IFERROR(_xlfn.XLOOKUP($A263,Input_Raw!$A:$A,Input_Raw!$DG:$DG),"")</f>
        <v/>
      </c>
      <c r="AC263" s="187">
        <f>IFERROR(_xlfn.XLOOKUP($D263,'Modelling New'!$D:$D,'Modelling New'!$J:$J),"")</f>
        <v>4.4333333333333336</v>
      </c>
      <c r="AD263" s="169">
        <f>IFERROR(_xlfn.XLOOKUP($D263,'Modelling New'!$D:$D,'Modelling New'!$T:$T)*1000,"")</f>
        <v>183922.41431383044</v>
      </c>
      <c r="AE263" s="186"/>
      <c r="AF263" s="186">
        <f>IFERROR(_xlfn.XLOOKUP($D263,'Modelling New'!$D:$D,'Modelling New'!$W:$W),"")</f>
        <v>9.8249152945422247E-2</v>
      </c>
      <c r="AG263" s="186">
        <f>IFERROR(_xlfn.XLOOKUP($D263,'Modelling New'!$D:$D,'Modelling New'!$AE:$AE),"")</f>
        <v>0.96029999999999993</v>
      </c>
      <c r="AH263" s="186">
        <f>IFERROR(_xlfn.XLOOKUP($D263,'Modelling New'!$D:$D,'Modelling New'!$AF:$AF),"")</f>
        <v>0.995</v>
      </c>
      <c r="AI263" s="167" t="str">
        <f>IFERROR(_xlfn.XLOOKUP($A263,Input_Raw!$A:$A,Input_Raw!$DE:$DE),"")</f>
        <v/>
      </c>
      <c r="AJ263" s="167"/>
      <c r="AK263" s="167"/>
      <c r="AL263" s="167"/>
      <c r="AM263" s="167"/>
      <c r="AN263" s="188" t="str">
        <f>IFERROR(_xlfn.XLOOKUP($A263,Input_Raw!$A:$A,Input_Raw!$DB:$DB),"")</f>
        <v/>
      </c>
      <c r="AO263" s="186" t="str">
        <f>IFERROR((_xlfn.XLOOKUP($A263,'WTG Reactive Power'!$A:$A,'WTG Reactive Power'!$AR:$AR))/X263/1000,"")</f>
        <v/>
      </c>
      <c r="AP263" s="186">
        <f>IFERROR(_xlfn.XLOOKUP($D263,'Modelling New'!$D:$D,'Modelling New'!$AK:$AK),"")</f>
        <v>0.05</v>
      </c>
      <c r="AQ263" s="186">
        <f>IFERROR(_xlfn.XLOOKUP($D263,'Modelling New'!$D:$D,'Modelling New'!$AL:$AL),"")</f>
        <v>0.05</v>
      </c>
      <c r="AR263">
        <f>IFERROR(_xlfn.XLOOKUP($D263,'Modelling New'!$D:$D,'Modelling New'!$N:$N),"")</f>
        <v>78</v>
      </c>
    </row>
    <row r="264" spans="1:44">
      <c r="A264" s="180">
        <f t="shared" si="22"/>
        <v>46007</v>
      </c>
      <c r="B264" s="169">
        <f>YEAR(Table13[[#This Row],[Date]])+IF(MONTH(Table13[[#This Row],[Date]])&gt;=4,1,0)</f>
        <v>2026</v>
      </c>
      <c r="C264" s="167">
        <f>YEAR(Table13[[#This Row],[Date]])</f>
        <v>2025</v>
      </c>
      <c r="D264" s="181">
        <f>Table13[[#This Row],[Date]]-DAY(Table13[[#This Row],[Date]])+1</f>
        <v>45992</v>
      </c>
      <c r="E264" s="167">
        <f t="shared" si="26"/>
        <v>31</v>
      </c>
      <c r="F264" s="170"/>
      <c r="G264" s="171"/>
      <c r="H264" s="171"/>
      <c r="I264" s="171"/>
      <c r="J264" s="171"/>
      <c r="K264" s="182"/>
      <c r="L264" s="171"/>
      <c r="M264" s="171" t="str">
        <f>IFERROR(_xlfn.XLOOKUP($A264,Input_Raw!$A:$A,Input_Raw!CG:CG),"")</f>
        <v/>
      </c>
      <c r="N264" s="171" t="str">
        <f>IFERROR(_xlfn.XLOOKUP($A264,Input_Raw!$A:$A,Input_Raw!CH:CH),"")</f>
        <v/>
      </c>
      <c r="O264" s="183" t="str">
        <f t="shared" si="27"/>
        <v/>
      </c>
      <c r="P264" s="183" t="str">
        <f>IFERROR(1-SUMIF(WTG_BD!$B:$B,$A264,WTG_BD!$AB:$AB)/($AA264+SUMIF(WTG_BD!$B:$B,$A264,WTG_BD!$AB:$AB)),"")</f>
        <v/>
      </c>
      <c r="Q264" s="184" t="str">
        <f>IFERROR(1-SUMIF(IGA_BD!$B:$B,$A264,IGA_BD!$X:$X)/($AA264+SUMIF(IGA_BD!$B:$B,$A264,IGA_BD!$X:$X)),"")</f>
        <v/>
      </c>
      <c r="R264" s="189" t="str">
        <f>IFERROR(1-SUMIF(Grid_BD!$B:$B,$A264,Grid_BD!$V:$V)/($AA264+SUMIF(Grid_BD!$B:$B,$A264,Grid_BD!$V:$V)),"")</f>
        <v/>
      </c>
      <c r="S264" s="167"/>
      <c r="T264" s="184"/>
      <c r="U264" s="185"/>
      <c r="V264" s="167"/>
      <c r="W264" s="186" t="str">
        <f>IFERROR(Table13[[#This Row],[Mtr_Net_Exp (KWh)]]/(24*AR264*1000),"")</f>
        <v/>
      </c>
      <c r="X264" s="167" t="str">
        <f>IFERROR(_xlfn.XLOOKUP($A264,Input_Raw!$A:$A,Input_Raw!$CF:$CF),"")</f>
        <v/>
      </c>
      <c r="Y264" s="167" t="str">
        <f>IFERROR(_xlfn.XLOOKUP($A264,Input_Raw!$A:$A,Input_Raw!$CZ:$CZ),"")</f>
        <v/>
      </c>
      <c r="Z264" s="167" t="str">
        <f>IFERROR(_xlfn.XLOOKUP($A264,Input_Raw!$A:$A,Input_Raw!$DA:$DA),"")</f>
        <v/>
      </c>
      <c r="AA264" s="169" t="str">
        <f t="shared" si="28"/>
        <v/>
      </c>
      <c r="AB264" s="167" t="str">
        <f>IFERROR(_xlfn.XLOOKUP($A264,Input_Raw!$A:$A,Input_Raw!$DG:$DG),"")</f>
        <v/>
      </c>
      <c r="AC264" s="187">
        <f>IFERROR(_xlfn.XLOOKUP($D264,'Modelling New'!$D:$D,'Modelling New'!$J:$J),"")</f>
        <v>4.4333333333333336</v>
      </c>
      <c r="AD264" s="169">
        <f>IFERROR(_xlfn.XLOOKUP($D264,'Modelling New'!$D:$D,'Modelling New'!$T:$T)*1000,"")</f>
        <v>183922.41431383044</v>
      </c>
      <c r="AE264" s="186"/>
      <c r="AF264" s="186">
        <f>IFERROR(_xlfn.XLOOKUP($D264,'Modelling New'!$D:$D,'Modelling New'!$W:$W),"")</f>
        <v>9.8249152945422247E-2</v>
      </c>
      <c r="AG264" s="186">
        <f>IFERROR(_xlfn.XLOOKUP($D264,'Modelling New'!$D:$D,'Modelling New'!$AE:$AE),"")</f>
        <v>0.96029999999999993</v>
      </c>
      <c r="AH264" s="186">
        <f>IFERROR(_xlfn.XLOOKUP($D264,'Modelling New'!$D:$D,'Modelling New'!$AF:$AF),"")</f>
        <v>0.995</v>
      </c>
      <c r="AI264" s="167" t="str">
        <f>IFERROR(_xlfn.XLOOKUP($A264,Input_Raw!$A:$A,Input_Raw!$DE:$DE),"")</f>
        <v/>
      </c>
      <c r="AJ264" s="167"/>
      <c r="AK264" s="167"/>
      <c r="AL264" s="167"/>
      <c r="AM264" s="167"/>
      <c r="AN264" s="188" t="str">
        <f>IFERROR(_xlfn.XLOOKUP($A264,Input_Raw!$A:$A,Input_Raw!$DB:$DB),"")</f>
        <v/>
      </c>
      <c r="AO264" s="186" t="str">
        <f>IFERROR((_xlfn.XLOOKUP($A264,'WTG Reactive Power'!$A:$A,'WTG Reactive Power'!$AR:$AR))/X264/1000,"")</f>
        <v/>
      </c>
      <c r="AP264" s="186">
        <f>IFERROR(_xlfn.XLOOKUP($D264,'Modelling New'!$D:$D,'Modelling New'!$AK:$AK),"")</f>
        <v>0.05</v>
      </c>
      <c r="AQ264" s="186">
        <f>IFERROR(_xlfn.XLOOKUP($D264,'Modelling New'!$D:$D,'Modelling New'!$AL:$AL),"")</f>
        <v>0.05</v>
      </c>
      <c r="AR264">
        <f>IFERROR(_xlfn.XLOOKUP($D264,'Modelling New'!$D:$D,'Modelling New'!$N:$N),"")</f>
        <v>78</v>
      </c>
    </row>
    <row r="265" spans="1:44">
      <c r="A265" s="180">
        <f t="shared" si="22"/>
        <v>46008</v>
      </c>
      <c r="B265" s="169">
        <f>YEAR(Table13[[#This Row],[Date]])+IF(MONTH(Table13[[#This Row],[Date]])&gt;=4,1,0)</f>
        <v>2026</v>
      </c>
      <c r="C265" s="167">
        <f>YEAR(Table13[[#This Row],[Date]])</f>
        <v>2025</v>
      </c>
      <c r="D265" s="181">
        <f>Table13[[#This Row],[Date]]-DAY(Table13[[#This Row],[Date]])+1</f>
        <v>45992</v>
      </c>
      <c r="E265" s="167">
        <f t="shared" si="26"/>
        <v>31</v>
      </c>
      <c r="F265" s="170"/>
      <c r="G265" s="171"/>
      <c r="H265" s="171"/>
      <c r="I265" s="171"/>
      <c r="J265" s="171"/>
      <c r="K265" s="182"/>
      <c r="L265" s="171"/>
      <c r="M265" s="171" t="str">
        <f>IFERROR(_xlfn.XLOOKUP($A265,Input_Raw!$A:$A,Input_Raw!CG:CG),"")</f>
        <v/>
      </c>
      <c r="N265" s="171" t="str">
        <f>IFERROR(_xlfn.XLOOKUP($A265,Input_Raw!$A:$A,Input_Raw!CH:CH),"")</f>
        <v/>
      </c>
      <c r="O265" s="183" t="str">
        <f t="shared" si="27"/>
        <v/>
      </c>
      <c r="P265" s="183" t="str">
        <f>IFERROR(1-SUMIF(WTG_BD!$B:$B,$A265,WTG_BD!$AB:$AB)/($AA265+SUMIF(WTG_BD!$B:$B,$A265,WTG_BD!$AB:$AB)),"")</f>
        <v/>
      </c>
      <c r="Q265" s="184" t="str">
        <f>IFERROR(1-SUMIF(IGA_BD!$B:$B,$A265,IGA_BD!$X:$X)/($AA265+SUMIF(IGA_BD!$B:$B,$A265,IGA_BD!$X:$X)),"")</f>
        <v/>
      </c>
      <c r="R265" s="189" t="str">
        <f>IFERROR(1-SUMIF(Grid_BD!$B:$B,$A265,Grid_BD!$V:$V)/($AA265+SUMIF(Grid_BD!$B:$B,$A265,Grid_BD!$V:$V)),"")</f>
        <v/>
      </c>
      <c r="S265" s="167"/>
      <c r="T265" s="184"/>
      <c r="U265" s="185"/>
      <c r="V265" s="167"/>
      <c r="W265" s="186" t="str">
        <f>IFERROR(Table13[[#This Row],[Mtr_Net_Exp (KWh)]]/(24*AR265*1000),"")</f>
        <v/>
      </c>
      <c r="X265" s="167" t="str">
        <f>IFERROR(_xlfn.XLOOKUP($A265,Input_Raw!$A:$A,Input_Raw!$CF:$CF),"")</f>
        <v/>
      </c>
      <c r="Y265" s="167" t="str">
        <f>IFERROR(_xlfn.XLOOKUP($A265,Input_Raw!$A:$A,Input_Raw!$CZ:$CZ),"")</f>
        <v/>
      </c>
      <c r="Z265" s="167" t="str">
        <f>IFERROR(_xlfn.XLOOKUP($A265,Input_Raw!$A:$A,Input_Raw!$DA:$DA),"")</f>
        <v/>
      </c>
      <c r="AA265" s="169" t="str">
        <f t="shared" si="28"/>
        <v/>
      </c>
      <c r="AB265" s="167" t="str">
        <f>IFERROR(_xlfn.XLOOKUP($A265,Input_Raw!$A:$A,Input_Raw!$DG:$DG),"")</f>
        <v/>
      </c>
      <c r="AC265" s="187">
        <f>IFERROR(_xlfn.XLOOKUP($D265,'Modelling New'!$D:$D,'Modelling New'!$J:$J),"")</f>
        <v>4.4333333333333336</v>
      </c>
      <c r="AD265" s="169">
        <f>IFERROR(_xlfn.XLOOKUP($D265,'Modelling New'!$D:$D,'Modelling New'!$T:$T)*1000,"")</f>
        <v>183922.41431383044</v>
      </c>
      <c r="AE265" s="186"/>
      <c r="AF265" s="186">
        <f>IFERROR(_xlfn.XLOOKUP($D265,'Modelling New'!$D:$D,'Modelling New'!$W:$W),"")</f>
        <v>9.8249152945422247E-2</v>
      </c>
      <c r="AG265" s="186">
        <f>IFERROR(_xlfn.XLOOKUP($D265,'Modelling New'!$D:$D,'Modelling New'!$AE:$AE),"")</f>
        <v>0.96029999999999993</v>
      </c>
      <c r="AH265" s="186">
        <f>IFERROR(_xlfn.XLOOKUP($D265,'Modelling New'!$D:$D,'Modelling New'!$AF:$AF),"")</f>
        <v>0.995</v>
      </c>
      <c r="AI265" s="167" t="str">
        <f>IFERROR(_xlfn.XLOOKUP($A265,Input_Raw!$A:$A,Input_Raw!$DE:$DE),"")</f>
        <v/>
      </c>
      <c r="AJ265" s="167"/>
      <c r="AK265" s="167"/>
      <c r="AL265" s="167"/>
      <c r="AM265" s="167"/>
      <c r="AN265" s="188" t="str">
        <f>IFERROR(_xlfn.XLOOKUP($A265,Input_Raw!$A:$A,Input_Raw!$DB:$DB),"")</f>
        <v/>
      </c>
      <c r="AO265" s="186" t="str">
        <f>IFERROR((_xlfn.XLOOKUP($A265,'WTG Reactive Power'!$A:$A,'WTG Reactive Power'!$AR:$AR))/X265/1000,"")</f>
        <v/>
      </c>
      <c r="AP265" s="186">
        <f>IFERROR(_xlfn.XLOOKUP($D265,'Modelling New'!$D:$D,'Modelling New'!$AK:$AK),"")</f>
        <v>0.05</v>
      </c>
      <c r="AQ265" s="186">
        <f>IFERROR(_xlfn.XLOOKUP($D265,'Modelling New'!$D:$D,'Modelling New'!$AL:$AL),"")</f>
        <v>0.05</v>
      </c>
      <c r="AR265">
        <f>IFERROR(_xlfn.XLOOKUP($D265,'Modelling New'!$D:$D,'Modelling New'!$N:$N),"")</f>
        <v>78</v>
      </c>
    </row>
    <row r="266" spans="1:44">
      <c r="A266" s="180">
        <f t="shared" si="22"/>
        <v>46009</v>
      </c>
      <c r="B266" s="169">
        <f>YEAR(Table13[[#This Row],[Date]])+IF(MONTH(Table13[[#This Row],[Date]])&gt;=4,1,0)</f>
        <v>2026</v>
      </c>
      <c r="C266" s="167">
        <f>YEAR(Table13[[#This Row],[Date]])</f>
        <v>2025</v>
      </c>
      <c r="D266" s="181">
        <f>Table13[[#This Row],[Date]]-DAY(Table13[[#This Row],[Date]])+1</f>
        <v>45992</v>
      </c>
      <c r="E266" s="167">
        <f t="shared" si="26"/>
        <v>31</v>
      </c>
      <c r="F266" s="170"/>
      <c r="G266" s="171"/>
      <c r="H266" s="171"/>
      <c r="I266" s="171"/>
      <c r="J266" s="171"/>
      <c r="K266" s="182"/>
      <c r="L266" s="171"/>
      <c r="M266" s="171" t="str">
        <f>IFERROR(_xlfn.XLOOKUP($A266,Input_Raw!$A:$A,Input_Raw!CG:CG),"")</f>
        <v/>
      </c>
      <c r="N266" s="171" t="str">
        <f>IFERROR(_xlfn.XLOOKUP($A266,Input_Raw!$A:$A,Input_Raw!CH:CH),"")</f>
        <v/>
      </c>
      <c r="O266" s="183" t="str">
        <f t="shared" si="27"/>
        <v/>
      </c>
      <c r="P266" s="183" t="str">
        <f>IFERROR(1-SUMIF(WTG_BD!$B:$B,$A266,WTG_BD!$AB:$AB)/($AA266+SUMIF(WTG_BD!$B:$B,$A266,WTG_BD!$AB:$AB)),"")</f>
        <v/>
      </c>
      <c r="Q266" s="184" t="str">
        <f>IFERROR(1-SUMIF(IGA_BD!$B:$B,$A266,IGA_BD!$X:$X)/($AA266+SUMIF(IGA_BD!$B:$B,$A266,IGA_BD!$X:$X)),"")</f>
        <v/>
      </c>
      <c r="R266" s="189" t="str">
        <f>IFERROR(1-SUMIF(Grid_BD!$B:$B,$A266,Grid_BD!$V:$V)/($AA266+SUMIF(Grid_BD!$B:$B,$A266,Grid_BD!$V:$V)),"")</f>
        <v/>
      </c>
      <c r="S266" s="167"/>
      <c r="T266" s="184"/>
      <c r="U266" s="185"/>
      <c r="V266" s="167"/>
      <c r="W266" s="186" t="str">
        <f>IFERROR(Table13[[#This Row],[Mtr_Net_Exp (KWh)]]/(24*AR266*1000),"")</f>
        <v/>
      </c>
      <c r="X266" s="167" t="str">
        <f>IFERROR(_xlfn.XLOOKUP($A266,Input_Raw!$A:$A,Input_Raw!$CF:$CF),"")</f>
        <v/>
      </c>
      <c r="Y266" s="167" t="str">
        <f>IFERROR(_xlfn.XLOOKUP($A266,Input_Raw!$A:$A,Input_Raw!$CZ:$CZ),"")</f>
        <v/>
      </c>
      <c r="Z266" s="167" t="str">
        <f>IFERROR(_xlfn.XLOOKUP($A266,Input_Raw!$A:$A,Input_Raw!$DA:$DA),"")</f>
        <v/>
      </c>
      <c r="AA266" s="169" t="str">
        <f t="shared" si="28"/>
        <v/>
      </c>
      <c r="AB266" s="167" t="str">
        <f>IFERROR(_xlfn.XLOOKUP($A266,Input_Raw!$A:$A,Input_Raw!$DG:$DG),"")</f>
        <v/>
      </c>
      <c r="AC266" s="187">
        <f>IFERROR(_xlfn.XLOOKUP($D266,'Modelling New'!$D:$D,'Modelling New'!$J:$J),"")</f>
        <v>4.4333333333333336</v>
      </c>
      <c r="AD266" s="169">
        <f>IFERROR(_xlfn.XLOOKUP($D266,'Modelling New'!$D:$D,'Modelling New'!$T:$T)*1000,"")</f>
        <v>183922.41431383044</v>
      </c>
      <c r="AE266" s="186"/>
      <c r="AF266" s="186">
        <f>IFERROR(_xlfn.XLOOKUP($D266,'Modelling New'!$D:$D,'Modelling New'!$W:$W),"")</f>
        <v>9.8249152945422247E-2</v>
      </c>
      <c r="AG266" s="186">
        <f>IFERROR(_xlfn.XLOOKUP($D266,'Modelling New'!$D:$D,'Modelling New'!$AE:$AE),"")</f>
        <v>0.96029999999999993</v>
      </c>
      <c r="AH266" s="186">
        <f>IFERROR(_xlfn.XLOOKUP($D266,'Modelling New'!$D:$D,'Modelling New'!$AF:$AF),"")</f>
        <v>0.995</v>
      </c>
      <c r="AI266" s="167" t="str">
        <f>IFERROR(_xlfn.XLOOKUP($A266,Input_Raw!$A:$A,Input_Raw!$DE:$DE),"")</f>
        <v/>
      </c>
      <c r="AJ266" s="167"/>
      <c r="AK266" s="167"/>
      <c r="AL266" s="167"/>
      <c r="AM266" s="167"/>
      <c r="AN266" s="188" t="str">
        <f>IFERROR(_xlfn.XLOOKUP($A266,Input_Raw!$A:$A,Input_Raw!$DB:$DB),"")</f>
        <v/>
      </c>
      <c r="AO266" s="186" t="str">
        <f>IFERROR((_xlfn.XLOOKUP($A266,'WTG Reactive Power'!$A:$A,'WTG Reactive Power'!$AR:$AR))/X266/1000,"")</f>
        <v/>
      </c>
      <c r="AP266" s="186">
        <f>IFERROR(_xlfn.XLOOKUP($D266,'Modelling New'!$D:$D,'Modelling New'!$AK:$AK),"")</f>
        <v>0.05</v>
      </c>
      <c r="AQ266" s="186">
        <f>IFERROR(_xlfn.XLOOKUP($D266,'Modelling New'!$D:$D,'Modelling New'!$AL:$AL),"")</f>
        <v>0.05</v>
      </c>
      <c r="AR266">
        <f>IFERROR(_xlfn.XLOOKUP($D266,'Modelling New'!$D:$D,'Modelling New'!$N:$N),"")</f>
        <v>78</v>
      </c>
    </row>
    <row r="267" spans="1:44">
      <c r="A267" s="180">
        <f t="shared" si="22"/>
        <v>46010</v>
      </c>
      <c r="B267" s="169">
        <f>YEAR(Table13[[#This Row],[Date]])+IF(MONTH(Table13[[#This Row],[Date]])&gt;=4,1,0)</f>
        <v>2026</v>
      </c>
      <c r="C267" s="167">
        <f>YEAR(Table13[[#This Row],[Date]])</f>
        <v>2025</v>
      </c>
      <c r="D267" s="181">
        <f>Table13[[#This Row],[Date]]-DAY(Table13[[#This Row],[Date]])+1</f>
        <v>45992</v>
      </c>
      <c r="E267" s="167">
        <f t="shared" si="26"/>
        <v>31</v>
      </c>
      <c r="F267" s="170"/>
      <c r="G267" s="171"/>
      <c r="H267" s="171"/>
      <c r="I267" s="171"/>
      <c r="J267" s="171"/>
      <c r="K267" s="182"/>
      <c r="L267" s="171"/>
      <c r="M267" s="171" t="str">
        <f>IFERROR(_xlfn.XLOOKUP($A267,Input_Raw!$A:$A,Input_Raw!CG:CG),"")</f>
        <v/>
      </c>
      <c r="N267" s="171" t="str">
        <f>IFERROR(_xlfn.XLOOKUP($A267,Input_Raw!$A:$A,Input_Raw!CH:CH),"")</f>
        <v/>
      </c>
      <c r="O267" s="183" t="str">
        <f t="shared" si="27"/>
        <v/>
      </c>
      <c r="P267" s="183" t="str">
        <f>IFERROR(1-SUMIF(WTG_BD!$B:$B,$A267,WTG_BD!$AB:$AB)/($AA267+SUMIF(WTG_BD!$B:$B,$A267,WTG_BD!$AB:$AB)),"")</f>
        <v/>
      </c>
      <c r="Q267" s="184" t="str">
        <f>IFERROR(1-SUMIF(IGA_BD!$B:$B,$A267,IGA_BD!$X:$X)/($AA267+SUMIF(IGA_BD!$B:$B,$A267,IGA_BD!$X:$X)),"")</f>
        <v/>
      </c>
      <c r="R267" s="189" t="str">
        <f>IFERROR(1-SUMIF(Grid_BD!$B:$B,$A267,Grid_BD!$V:$V)/($AA267+SUMIF(Grid_BD!$B:$B,$A267,Grid_BD!$V:$V)),"")</f>
        <v/>
      </c>
      <c r="S267" s="167"/>
      <c r="T267" s="184"/>
      <c r="U267" s="185"/>
      <c r="V267" s="167"/>
      <c r="W267" s="186" t="str">
        <f>IFERROR(Table13[[#This Row],[Mtr_Net_Exp (KWh)]]/(24*AR267*1000),"")</f>
        <v/>
      </c>
      <c r="X267" s="167" t="str">
        <f>IFERROR(_xlfn.XLOOKUP($A267,Input_Raw!$A:$A,Input_Raw!$CF:$CF),"")</f>
        <v/>
      </c>
      <c r="Y267" s="167" t="str">
        <f>IFERROR(_xlfn.XLOOKUP($A267,Input_Raw!$A:$A,Input_Raw!$CZ:$CZ),"")</f>
        <v/>
      </c>
      <c r="Z267" s="167" t="str">
        <f>IFERROR(_xlfn.XLOOKUP($A267,Input_Raw!$A:$A,Input_Raw!$DA:$DA),"")</f>
        <v/>
      </c>
      <c r="AA267" s="169" t="str">
        <f t="shared" si="28"/>
        <v/>
      </c>
      <c r="AB267" s="167" t="str">
        <f>IFERROR(_xlfn.XLOOKUP($A267,Input_Raw!$A:$A,Input_Raw!$DG:$DG),"")</f>
        <v/>
      </c>
      <c r="AC267" s="187">
        <f>IFERROR(_xlfn.XLOOKUP($D267,'Modelling New'!$D:$D,'Modelling New'!$J:$J),"")</f>
        <v>4.4333333333333336</v>
      </c>
      <c r="AD267" s="169">
        <f>IFERROR(_xlfn.XLOOKUP($D267,'Modelling New'!$D:$D,'Modelling New'!$T:$T)*1000,"")</f>
        <v>183922.41431383044</v>
      </c>
      <c r="AE267" s="186"/>
      <c r="AF267" s="186">
        <f>IFERROR(_xlfn.XLOOKUP($D267,'Modelling New'!$D:$D,'Modelling New'!$W:$W),"")</f>
        <v>9.8249152945422247E-2</v>
      </c>
      <c r="AG267" s="186">
        <f>IFERROR(_xlfn.XLOOKUP($D267,'Modelling New'!$D:$D,'Modelling New'!$AE:$AE),"")</f>
        <v>0.96029999999999993</v>
      </c>
      <c r="AH267" s="186">
        <f>IFERROR(_xlfn.XLOOKUP($D267,'Modelling New'!$D:$D,'Modelling New'!$AF:$AF),"")</f>
        <v>0.995</v>
      </c>
      <c r="AI267" s="167" t="str">
        <f>IFERROR(_xlfn.XLOOKUP($A267,Input_Raw!$A:$A,Input_Raw!$DE:$DE),"")</f>
        <v/>
      </c>
      <c r="AJ267" s="167"/>
      <c r="AK267" s="167"/>
      <c r="AL267" s="167"/>
      <c r="AM267" s="167"/>
      <c r="AN267" s="188" t="str">
        <f>IFERROR(_xlfn.XLOOKUP($A267,Input_Raw!$A:$A,Input_Raw!$DB:$DB),"")</f>
        <v/>
      </c>
      <c r="AO267" s="186" t="str">
        <f>IFERROR((_xlfn.XLOOKUP($A267,'WTG Reactive Power'!$A:$A,'WTG Reactive Power'!$AR:$AR))/X267/1000,"")</f>
        <v/>
      </c>
      <c r="AP267" s="186">
        <f>IFERROR(_xlfn.XLOOKUP($D267,'Modelling New'!$D:$D,'Modelling New'!$AK:$AK),"")</f>
        <v>0.05</v>
      </c>
      <c r="AQ267" s="186">
        <f>IFERROR(_xlfn.XLOOKUP($D267,'Modelling New'!$D:$D,'Modelling New'!$AL:$AL),"")</f>
        <v>0.05</v>
      </c>
      <c r="AR267">
        <f>IFERROR(_xlfn.XLOOKUP($D267,'Modelling New'!$D:$D,'Modelling New'!$N:$N),"")</f>
        <v>78</v>
      </c>
    </row>
    <row r="268" spans="1:44">
      <c r="A268" s="180">
        <f t="shared" si="22"/>
        <v>46011</v>
      </c>
      <c r="B268" s="169">
        <f>YEAR(Table13[[#This Row],[Date]])+IF(MONTH(Table13[[#This Row],[Date]])&gt;=4,1,0)</f>
        <v>2026</v>
      </c>
      <c r="C268" s="167">
        <f>YEAR(Table13[[#This Row],[Date]])</f>
        <v>2025</v>
      </c>
      <c r="D268" s="181">
        <f>Table13[[#This Row],[Date]]-DAY(Table13[[#This Row],[Date]])+1</f>
        <v>45992</v>
      </c>
      <c r="E268" s="167">
        <f t="shared" si="26"/>
        <v>31</v>
      </c>
      <c r="F268" s="170"/>
      <c r="G268" s="171"/>
      <c r="H268" s="171"/>
      <c r="I268" s="171"/>
      <c r="J268" s="171"/>
      <c r="K268" s="182"/>
      <c r="L268" s="171"/>
      <c r="M268" s="171" t="str">
        <f>IFERROR(_xlfn.XLOOKUP($A268,Input_Raw!$A:$A,Input_Raw!CG:CG),"")</f>
        <v/>
      </c>
      <c r="N268" s="171" t="str">
        <f>IFERROR(_xlfn.XLOOKUP($A268,Input_Raw!$A:$A,Input_Raw!CH:CH),"")</f>
        <v/>
      </c>
      <c r="O268" s="183" t="str">
        <f t="shared" si="27"/>
        <v/>
      </c>
      <c r="P268" s="183" t="str">
        <f>IFERROR(1-SUMIF(WTG_BD!$B:$B,$A268,WTG_BD!$AB:$AB)/($AA268+SUMIF(WTG_BD!$B:$B,$A268,WTG_BD!$AB:$AB)),"")</f>
        <v/>
      </c>
      <c r="Q268" s="184" t="str">
        <f>IFERROR(1-SUMIF(IGA_BD!$B:$B,$A268,IGA_BD!$X:$X)/($AA268+SUMIF(IGA_BD!$B:$B,$A268,IGA_BD!$X:$X)),"")</f>
        <v/>
      </c>
      <c r="R268" s="189" t="str">
        <f>IFERROR(1-SUMIF(Grid_BD!$B:$B,$A268,Grid_BD!$V:$V)/($AA268+SUMIF(Grid_BD!$B:$B,$A268,Grid_BD!$V:$V)),"")</f>
        <v/>
      </c>
      <c r="S268" s="167"/>
      <c r="T268" s="184"/>
      <c r="U268" s="185"/>
      <c r="V268" s="167"/>
      <c r="W268" s="186" t="str">
        <f>IFERROR(Table13[[#This Row],[Mtr_Net_Exp (KWh)]]/(24*AR268*1000),"")</f>
        <v/>
      </c>
      <c r="X268" s="167" t="str">
        <f>IFERROR(_xlfn.XLOOKUP($A268,Input_Raw!$A:$A,Input_Raw!$CF:$CF),"")</f>
        <v/>
      </c>
      <c r="Y268" s="167" t="str">
        <f>IFERROR(_xlfn.XLOOKUP($A268,Input_Raw!$A:$A,Input_Raw!$CZ:$CZ),"")</f>
        <v/>
      </c>
      <c r="Z268" s="167" t="str">
        <f>IFERROR(_xlfn.XLOOKUP($A268,Input_Raw!$A:$A,Input_Raw!$DA:$DA),"")</f>
        <v/>
      </c>
      <c r="AA268" s="169" t="str">
        <f t="shared" si="28"/>
        <v/>
      </c>
      <c r="AB268" s="167" t="str">
        <f>IFERROR(_xlfn.XLOOKUP($A268,Input_Raw!$A:$A,Input_Raw!$DG:$DG),"")</f>
        <v/>
      </c>
      <c r="AC268" s="187">
        <f>IFERROR(_xlfn.XLOOKUP($D268,'Modelling New'!$D:$D,'Modelling New'!$J:$J),"")</f>
        <v>4.4333333333333336</v>
      </c>
      <c r="AD268" s="169">
        <f>IFERROR(_xlfn.XLOOKUP($D268,'Modelling New'!$D:$D,'Modelling New'!$T:$T)*1000,"")</f>
        <v>183922.41431383044</v>
      </c>
      <c r="AE268" s="186"/>
      <c r="AF268" s="186">
        <f>IFERROR(_xlfn.XLOOKUP($D268,'Modelling New'!$D:$D,'Modelling New'!$W:$W),"")</f>
        <v>9.8249152945422247E-2</v>
      </c>
      <c r="AG268" s="186">
        <f>IFERROR(_xlfn.XLOOKUP($D268,'Modelling New'!$D:$D,'Modelling New'!$AE:$AE),"")</f>
        <v>0.96029999999999993</v>
      </c>
      <c r="AH268" s="186">
        <f>IFERROR(_xlfn.XLOOKUP($D268,'Modelling New'!$D:$D,'Modelling New'!$AF:$AF),"")</f>
        <v>0.995</v>
      </c>
      <c r="AI268" s="167" t="str">
        <f>IFERROR(_xlfn.XLOOKUP($A268,Input_Raw!$A:$A,Input_Raw!$DE:$DE),"")</f>
        <v/>
      </c>
      <c r="AJ268" s="167"/>
      <c r="AK268" s="167"/>
      <c r="AL268" s="167"/>
      <c r="AM268" s="167"/>
      <c r="AN268" s="188" t="str">
        <f>IFERROR(_xlfn.XLOOKUP($A268,Input_Raw!$A:$A,Input_Raw!$DB:$DB),"")</f>
        <v/>
      </c>
      <c r="AO268" s="186" t="str">
        <f>IFERROR((_xlfn.XLOOKUP($A268,'WTG Reactive Power'!$A:$A,'WTG Reactive Power'!$AR:$AR))/X268/1000,"")</f>
        <v/>
      </c>
      <c r="AP268" s="186">
        <f>IFERROR(_xlfn.XLOOKUP($D268,'Modelling New'!$D:$D,'Modelling New'!$AK:$AK),"")</f>
        <v>0.05</v>
      </c>
      <c r="AQ268" s="186">
        <f>IFERROR(_xlfn.XLOOKUP($D268,'Modelling New'!$D:$D,'Modelling New'!$AL:$AL),"")</f>
        <v>0.05</v>
      </c>
      <c r="AR268">
        <f>IFERROR(_xlfn.XLOOKUP($D268,'Modelling New'!$D:$D,'Modelling New'!$N:$N),"")</f>
        <v>78</v>
      </c>
    </row>
    <row r="269" spans="1:44">
      <c r="A269" s="180">
        <f t="shared" si="22"/>
        <v>46012</v>
      </c>
      <c r="B269" s="169">
        <f>YEAR(Table13[[#This Row],[Date]])+IF(MONTH(Table13[[#This Row],[Date]])&gt;=4,1,0)</f>
        <v>2026</v>
      </c>
      <c r="C269" s="167">
        <f>YEAR(Table13[[#This Row],[Date]])</f>
        <v>2025</v>
      </c>
      <c r="D269" s="181">
        <f>Table13[[#This Row],[Date]]-DAY(Table13[[#This Row],[Date]])+1</f>
        <v>45992</v>
      </c>
      <c r="E269" s="167">
        <f t="shared" si="26"/>
        <v>31</v>
      </c>
      <c r="F269" s="170"/>
      <c r="G269" s="171"/>
      <c r="H269" s="171"/>
      <c r="I269" s="171"/>
      <c r="J269" s="171"/>
      <c r="K269" s="182"/>
      <c r="L269" s="171"/>
      <c r="M269" s="171" t="str">
        <f>IFERROR(_xlfn.XLOOKUP($A269,Input_Raw!$A:$A,Input_Raw!CG:CG),"")</f>
        <v/>
      </c>
      <c r="N269" s="171" t="str">
        <f>IFERROR(_xlfn.XLOOKUP($A269,Input_Raw!$A:$A,Input_Raw!CH:CH),"")</f>
        <v/>
      </c>
      <c r="O269" s="183" t="str">
        <f t="shared" si="27"/>
        <v/>
      </c>
      <c r="P269" s="183" t="str">
        <f>IFERROR(1-SUMIF(WTG_BD!$B:$B,$A269,WTG_BD!$AB:$AB)/($AA269+SUMIF(WTG_BD!$B:$B,$A269,WTG_BD!$AB:$AB)),"")</f>
        <v/>
      </c>
      <c r="Q269" s="184" t="str">
        <f>IFERROR(1-SUMIF(IGA_BD!$B:$B,$A269,IGA_BD!$X:$X)/($AA269+SUMIF(IGA_BD!$B:$B,$A269,IGA_BD!$X:$X)),"")</f>
        <v/>
      </c>
      <c r="R269" s="189" t="str">
        <f>IFERROR(1-SUMIF(Grid_BD!$B:$B,$A269,Grid_BD!$V:$V)/($AA269+SUMIF(Grid_BD!$B:$B,$A269,Grid_BD!$V:$V)),"")</f>
        <v/>
      </c>
      <c r="S269" s="167"/>
      <c r="T269" s="184"/>
      <c r="U269" s="185"/>
      <c r="V269" s="167"/>
      <c r="W269" s="186" t="str">
        <f>IFERROR(Table13[[#This Row],[Mtr_Net_Exp (KWh)]]/(24*AR269*1000),"")</f>
        <v/>
      </c>
      <c r="X269" s="167" t="str">
        <f>IFERROR(_xlfn.XLOOKUP($A269,Input_Raw!$A:$A,Input_Raw!$CF:$CF),"")</f>
        <v/>
      </c>
      <c r="Y269" s="167" t="str">
        <f>IFERROR(_xlfn.XLOOKUP($A269,Input_Raw!$A:$A,Input_Raw!$CZ:$CZ),"")</f>
        <v/>
      </c>
      <c r="Z269" s="167" t="str">
        <f>IFERROR(_xlfn.XLOOKUP($A269,Input_Raw!$A:$A,Input_Raw!$DA:$DA),"")</f>
        <v/>
      </c>
      <c r="AA269" s="169" t="str">
        <f t="shared" si="28"/>
        <v/>
      </c>
      <c r="AB269" s="167" t="str">
        <f>IFERROR(_xlfn.XLOOKUP($A269,Input_Raw!$A:$A,Input_Raw!$DG:$DG),"")</f>
        <v/>
      </c>
      <c r="AC269" s="187">
        <f>IFERROR(_xlfn.XLOOKUP($D269,'Modelling New'!$D:$D,'Modelling New'!$J:$J),"")</f>
        <v>4.4333333333333336</v>
      </c>
      <c r="AD269" s="169">
        <f>IFERROR(_xlfn.XLOOKUP($D269,'Modelling New'!$D:$D,'Modelling New'!$T:$T)*1000,"")</f>
        <v>183922.41431383044</v>
      </c>
      <c r="AE269" s="186"/>
      <c r="AF269" s="186">
        <f>IFERROR(_xlfn.XLOOKUP($D269,'Modelling New'!$D:$D,'Modelling New'!$W:$W),"")</f>
        <v>9.8249152945422247E-2</v>
      </c>
      <c r="AG269" s="186">
        <f>IFERROR(_xlfn.XLOOKUP($D269,'Modelling New'!$D:$D,'Modelling New'!$AE:$AE),"")</f>
        <v>0.96029999999999993</v>
      </c>
      <c r="AH269" s="186">
        <f>IFERROR(_xlfn.XLOOKUP($D269,'Modelling New'!$D:$D,'Modelling New'!$AF:$AF),"")</f>
        <v>0.995</v>
      </c>
      <c r="AI269" s="167" t="str">
        <f>IFERROR(_xlfn.XLOOKUP($A269,Input_Raw!$A:$A,Input_Raw!$DE:$DE),"")</f>
        <v/>
      </c>
      <c r="AJ269" s="167"/>
      <c r="AK269" s="167"/>
      <c r="AL269" s="167"/>
      <c r="AM269" s="167"/>
      <c r="AN269" s="188" t="str">
        <f>IFERROR(_xlfn.XLOOKUP($A269,Input_Raw!$A:$A,Input_Raw!$DB:$DB),"")</f>
        <v/>
      </c>
      <c r="AO269" s="186" t="str">
        <f>IFERROR((_xlfn.XLOOKUP($A269,'WTG Reactive Power'!$A:$A,'WTG Reactive Power'!$AR:$AR))/X269/1000,"")</f>
        <v/>
      </c>
      <c r="AP269" s="186">
        <f>IFERROR(_xlfn.XLOOKUP($D269,'Modelling New'!$D:$D,'Modelling New'!$AK:$AK),"")</f>
        <v>0.05</v>
      </c>
      <c r="AQ269" s="186">
        <f>IFERROR(_xlfn.XLOOKUP($D269,'Modelling New'!$D:$D,'Modelling New'!$AL:$AL),"")</f>
        <v>0.05</v>
      </c>
      <c r="AR269">
        <f>IFERROR(_xlfn.XLOOKUP($D269,'Modelling New'!$D:$D,'Modelling New'!$N:$N),"")</f>
        <v>78</v>
      </c>
    </row>
    <row r="270" spans="1:44">
      <c r="A270" s="180">
        <f t="shared" si="22"/>
        <v>46013</v>
      </c>
      <c r="B270" s="169">
        <f>YEAR(Table13[[#This Row],[Date]])+IF(MONTH(Table13[[#This Row],[Date]])&gt;=4,1,0)</f>
        <v>2026</v>
      </c>
      <c r="C270" s="167">
        <f>YEAR(Table13[[#This Row],[Date]])</f>
        <v>2025</v>
      </c>
      <c r="D270" s="181">
        <f>Table13[[#This Row],[Date]]-DAY(Table13[[#This Row],[Date]])+1</f>
        <v>45992</v>
      </c>
      <c r="E270" s="167">
        <f t="shared" si="26"/>
        <v>31</v>
      </c>
      <c r="F270" s="170"/>
      <c r="G270" s="171"/>
      <c r="H270" s="171"/>
      <c r="I270" s="171"/>
      <c r="J270" s="171"/>
      <c r="K270" s="182"/>
      <c r="L270" s="171"/>
      <c r="M270" s="171" t="str">
        <f>IFERROR(_xlfn.XLOOKUP($A270,Input_Raw!$A:$A,Input_Raw!CG:CG),"")</f>
        <v/>
      </c>
      <c r="N270" s="171" t="str">
        <f>IFERROR(_xlfn.XLOOKUP($A270,Input_Raw!$A:$A,Input_Raw!CH:CH),"")</f>
        <v/>
      </c>
      <c r="O270" s="183" t="str">
        <f t="shared" si="27"/>
        <v/>
      </c>
      <c r="P270" s="183" t="str">
        <f>IFERROR(1-SUMIF(WTG_BD!$B:$B,$A270,WTG_BD!$AB:$AB)/($AA270+SUMIF(WTG_BD!$B:$B,$A270,WTG_BD!$AB:$AB)),"")</f>
        <v/>
      </c>
      <c r="Q270" s="184" t="str">
        <f>IFERROR(1-SUMIF(IGA_BD!$B:$B,$A270,IGA_BD!$X:$X)/($AA270+SUMIF(IGA_BD!$B:$B,$A270,IGA_BD!$X:$X)),"")</f>
        <v/>
      </c>
      <c r="R270" s="189" t="str">
        <f>IFERROR(1-SUMIF(Grid_BD!$B:$B,$A270,Grid_BD!$V:$V)/($AA270+SUMIF(Grid_BD!$B:$B,$A270,Grid_BD!$V:$V)),"")</f>
        <v/>
      </c>
      <c r="S270" s="167"/>
      <c r="T270" s="184"/>
      <c r="U270" s="185"/>
      <c r="V270" s="167"/>
      <c r="W270" s="186" t="str">
        <f>IFERROR(Table13[[#This Row],[Mtr_Net_Exp (KWh)]]/(24*AR270*1000),"")</f>
        <v/>
      </c>
      <c r="X270" s="167" t="str">
        <f>IFERROR(_xlfn.XLOOKUP($A270,Input_Raw!$A:$A,Input_Raw!$CF:$CF),"")</f>
        <v/>
      </c>
      <c r="Y270" s="167" t="str">
        <f>IFERROR(_xlfn.XLOOKUP($A270,Input_Raw!$A:$A,Input_Raw!$CZ:$CZ),"")</f>
        <v/>
      </c>
      <c r="Z270" s="167" t="str">
        <f>IFERROR(_xlfn.XLOOKUP($A270,Input_Raw!$A:$A,Input_Raw!$DA:$DA),"")</f>
        <v/>
      </c>
      <c r="AA270" s="169" t="str">
        <f t="shared" si="28"/>
        <v/>
      </c>
      <c r="AB270" s="167" t="str">
        <f>IFERROR(_xlfn.XLOOKUP($A270,Input_Raw!$A:$A,Input_Raw!$DG:$DG),"")</f>
        <v/>
      </c>
      <c r="AC270" s="187">
        <f>IFERROR(_xlfn.XLOOKUP($D270,'Modelling New'!$D:$D,'Modelling New'!$J:$J),"")</f>
        <v>4.4333333333333336</v>
      </c>
      <c r="AD270" s="169">
        <f>IFERROR(_xlfn.XLOOKUP($D270,'Modelling New'!$D:$D,'Modelling New'!$T:$T)*1000,"")</f>
        <v>183922.41431383044</v>
      </c>
      <c r="AE270" s="186"/>
      <c r="AF270" s="186">
        <f>IFERROR(_xlfn.XLOOKUP($D270,'Modelling New'!$D:$D,'Modelling New'!$W:$W),"")</f>
        <v>9.8249152945422247E-2</v>
      </c>
      <c r="AG270" s="186">
        <f>IFERROR(_xlfn.XLOOKUP($D270,'Modelling New'!$D:$D,'Modelling New'!$AE:$AE),"")</f>
        <v>0.96029999999999993</v>
      </c>
      <c r="AH270" s="186">
        <f>IFERROR(_xlfn.XLOOKUP($D270,'Modelling New'!$D:$D,'Modelling New'!$AF:$AF),"")</f>
        <v>0.995</v>
      </c>
      <c r="AI270" s="167" t="str">
        <f>IFERROR(_xlfn.XLOOKUP($A270,Input_Raw!$A:$A,Input_Raw!$DE:$DE),"")</f>
        <v/>
      </c>
      <c r="AJ270" s="167"/>
      <c r="AK270" s="167"/>
      <c r="AL270" s="167"/>
      <c r="AM270" s="167"/>
      <c r="AN270" s="188" t="str">
        <f>IFERROR(_xlfn.XLOOKUP($A270,Input_Raw!$A:$A,Input_Raw!$DB:$DB),"")</f>
        <v/>
      </c>
      <c r="AO270" s="186" t="str">
        <f>IFERROR((_xlfn.XLOOKUP($A270,'WTG Reactive Power'!$A:$A,'WTG Reactive Power'!$AR:$AR))/X270/1000,"")</f>
        <v/>
      </c>
      <c r="AP270" s="186">
        <f>IFERROR(_xlfn.XLOOKUP($D270,'Modelling New'!$D:$D,'Modelling New'!$AK:$AK),"")</f>
        <v>0.05</v>
      </c>
      <c r="AQ270" s="186">
        <f>IFERROR(_xlfn.XLOOKUP($D270,'Modelling New'!$D:$D,'Modelling New'!$AL:$AL),"")</f>
        <v>0.05</v>
      </c>
      <c r="AR270">
        <f>IFERROR(_xlfn.XLOOKUP($D270,'Modelling New'!$D:$D,'Modelling New'!$N:$N),"")</f>
        <v>78</v>
      </c>
    </row>
    <row r="271" spans="1:44">
      <c r="A271" s="180">
        <f t="shared" si="22"/>
        <v>46014</v>
      </c>
      <c r="B271" s="169">
        <f>YEAR(Table13[[#This Row],[Date]])+IF(MONTH(Table13[[#This Row],[Date]])&gt;=4,1,0)</f>
        <v>2026</v>
      </c>
      <c r="C271" s="167">
        <f>YEAR(Table13[[#This Row],[Date]])</f>
        <v>2025</v>
      </c>
      <c r="D271" s="181">
        <f>Table13[[#This Row],[Date]]-DAY(Table13[[#This Row],[Date]])+1</f>
        <v>45992</v>
      </c>
      <c r="E271" s="167">
        <f t="shared" si="26"/>
        <v>31</v>
      </c>
      <c r="F271" s="170"/>
      <c r="G271" s="171"/>
      <c r="H271" s="171"/>
      <c r="I271" s="171"/>
      <c r="J271" s="171"/>
      <c r="K271" s="182"/>
      <c r="L271" s="171"/>
      <c r="M271" s="171" t="str">
        <f>IFERROR(_xlfn.XLOOKUP($A271,Input_Raw!$A:$A,Input_Raw!CG:CG),"")</f>
        <v/>
      </c>
      <c r="N271" s="171" t="str">
        <f>IFERROR(_xlfn.XLOOKUP($A271,Input_Raw!$A:$A,Input_Raw!CH:CH),"")</f>
        <v/>
      </c>
      <c r="O271" s="183" t="str">
        <f t="shared" si="27"/>
        <v/>
      </c>
      <c r="P271" s="183" t="str">
        <f>IFERROR(1-SUMIF(WTG_BD!$B:$B,$A271,WTG_BD!$AB:$AB)/($AA271+SUMIF(WTG_BD!$B:$B,$A271,WTG_BD!$AB:$AB)),"")</f>
        <v/>
      </c>
      <c r="Q271" s="184" t="str">
        <f>IFERROR(1-SUMIF(IGA_BD!$B:$B,$A271,IGA_BD!$X:$X)/($AA271+SUMIF(IGA_BD!$B:$B,$A271,IGA_BD!$X:$X)),"")</f>
        <v/>
      </c>
      <c r="R271" s="189" t="str">
        <f>IFERROR(1-SUMIF(Grid_BD!$B:$B,$A271,Grid_BD!$V:$V)/($AA271+SUMIF(Grid_BD!$B:$B,$A271,Grid_BD!$V:$V)),"")</f>
        <v/>
      </c>
      <c r="S271" s="167"/>
      <c r="T271" s="184"/>
      <c r="U271" s="185"/>
      <c r="V271" s="167"/>
      <c r="W271" s="186" t="str">
        <f>IFERROR(Table13[[#This Row],[Mtr_Net_Exp (KWh)]]/(24*AR271*1000),"")</f>
        <v/>
      </c>
      <c r="X271" s="167" t="str">
        <f>IFERROR(_xlfn.XLOOKUP($A271,Input_Raw!$A:$A,Input_Raw!$CF:$CF),"")</f>
        <v/>
      </c>
      <c r="Y271" s="167" t="str">
        <f>IFERROR(_xlfn.XLOOKUP($A271,Input_Raw!$A:$A,Input_Raw!$CZ:$CZ),"")</f>
        <v/>
      </c>
      <c r="Z271" s="167" t="str">
        <f>IFERROR(_xlfn.XLOOKUP($A271,Input_Raw!$A:$A,Input_Raw!$DA:$DA),"")</f>
        <v/>
      </c>
      <c r="AA271" s="169" t="str">
        <f t="shared" si="28"/>
        <v/>
      </c>
      <c r="AB271" s="167" t="str">
        <f>IFERROR(_xlfn.XLOOKUP($A271,Input_Raw!$A:$A,Input_Raw!$DG:$DG),"")</f>
        <v/>
      </c>
      <c r="AC271" s="187">
        <f>IFERROR(_xlfn.XLOOKUP($D271,'Modelling New'!$D:$D,'Modelling New'!$J:$J),"")</f>
        <v>4.4333333333333336</v>
      </c>
      <c r="AD271" s="169">
        <f>IFERROR(_xlfn.XLOOKUP($D271,'Modelling New'!$D:$D,'Modelling New'!$T:$T)*1000,"")</f>
        <v>183922.41431383044</v>
      </c>
      <c r="AE271" s="186"/>
      <c r="AF271" s="186">
        <f>IFERROR(_xlfn.XLOOKUP($D271,'Modelling New'!$D:$D,'Modelling New'!$W:$W),"")</f>
        <v>9.8249152945422247E-2</v>
      </c>
      <c r="AG271" s="186">
        <f>IFERROR(_xlfn.XLOOKUP($D271,'Modelling New'!$D:$D,'Modelling New'!$AE:$AE),"")</f>
        <v>0.96029999999999993</v>
      </c>
      <c r="AH271" s="186">
        <f>IFERROR(_xlfn.XLOOKUP($D271,'Modelling New'!$D:$D,'Modelling New'!$AF:$AF),"")</f>
        <v>0.995</v>
      </c>
      <c r="AI271" s="167" t="str">
        <f>IFERROR(_xlfn.XLOOKUP($A271,Input_Raw!$A:$A,Input_Raw!$DE:$DE),"")</f>
        <v/>
      </c>
      <c r="AJ271" s="167"/>
      <c r="AK271" s="167"/>
      <c r="AL271" s="167"/>
      <c r="AM271" s="167"/>
      <c r="AN271" s="188" t="str">
        <f>IFERROR(_xlfn.XLOOKUP($A271,Input_Raw!$A:$A,Input_Raw!$DB:$DB),"")</f>
        <v/>
      </c>
      <c r="AO271" s="186" t="str">
        <f>IFERROR((_xlfn.XLOOKUP($A271,'WTG Reactive Power'!$A:$A,'WTG Reactive Power'!$AR:$AR))/X271/1000,"")</f>
        <v/>
      </c>
      <c r="AP271" s="186">
        <f>IFERROR(_xlfn.XLOOKUP($D271,'Modelling New'!$D:$D,'Modelling New'!$AK:$AK),"")</f>
        <v>0.05</v>
      </c>
      <c r="AQ271" s="186">
        <f>IFERROR(_xlfn.XLOOKUP($D271,'Modelling New'!$D:$D,'Modelling New'!$AL:$AL),"")</f>
        <v>0.05</v>
      </c>
      <c r="AR271">
        <f>IFERROR(_xlfn.XLOOKUP($D271,'Modelling New'!$D:$D,'Modelling New'!$N:$N),"")</f>
        <v>78</v>
      </c>
    </row>
    <row r="272" spans="1:44">
      <c r="A272" s="180">
        <f t="shared" si="22"/>
        <v>46015</v>
      </c>
      <c r="B272" s="169">
        <f>YEAR(Table13[[#This Row],[Date]])+IF(MONTH(Table13[[#This Row],[Date]])&gt;=4,1,0)</f>
        <v>2026</v>
      </c>
      <c r="C272" s="167">
        <f>YEAR(Table13[[#This Row],[Date]])</f>
        <v>2025</v>
      </c>
      <c r="D272" s="181">
        <f>Table13[[#This Row],[Date]]-DAY(Table13[[#This Row],[Date]])+1</f>
        <v>45992</v>
      </c>
      <c r="E272" s="167">
        <f t="shared" si="26"/>
        <v>31</v>
      </c>
      <c r="F272" s="170"/>
      <c r="G272" s="171"/>
      <c r="H272" s="171"/>
      <c r="I272" s="171"/>
      <c r="J272" s="171"/>
      <c r="K272" s="182"/>
      <c r="L272" s="171"/>
      <c r="M272" s="171" t="str">
        <f>IFERROR(_xlfn.XLOOKUP($A272,Input_Raw!$A:$A,Input_Raw!CG:CG),"")</f>
        <v/>
      </c>
      <c r="N272" s="171" t="str">
        <f>IFERROR(_xlfn.XLOOKUP($A272,Input_Raw!$A:$A,Input_Raw!CH:CH),"")</f>
        <v/>
      </c>
      <c r="O272" s="183" t="str">
        <f t="shared" si="27"/>
        <v/>
      </c>
      <c r="P272" s="183" t="str">
        <f>IFERROR(1-SUMIF(WTG_BD!$B:$B,$A272,WTG_BD!$AB:$AB)/($AA272+SUMIF(WTG_BD!$B:$B,$A272,WTG_BD!$AB:$AB)),"")</f>
        <v/>
      </c>
      <c r="Q272" s="184" t="str">
        <f>IFERROR(1-SUMIF(IGA_BD!$B:$B,$A272,IGA_BD!$X:$X)/($AA272+SUMIF(IGA_BD!$B:$B,$A272,IGA_BD!$X:$X)),"")</f>
        <v/>
      </c>
      <c r="R272" s="189" t="str">
        <f>IFERROR(1-SUMIF(Grid_BD!$B:$B,$A272,Grid_BD!$V:$V)/($AA272+SUMIF(Grid_BD!$B:$B,$A272,Grid_BD!$V:$V)),"")</f>
        <v/>
      </c>
      <c r="S272" s="167"/>
      <c r="T272" s="184"/>
      <c r="U272" s="185"/>
      <c r="V272" s="167"/>
      <c r="W272" s="186" t="str">
        <f>IFERROR(Table13[[#This Row],[Mtr_Net_Exp (KWh)]]/(24*AR272*1000),"")</f>
        <v/>
      </c>
      <c r="X272" s="167" t="str">
        <f>IFERROR(_xlfn.XLOOKUP($A272,Input_Raw!$A:$A,Input_Raw!$CF:$CF),"")</f>
        <v/>
      </c>
      <c r="Y272" s="167" t="str">
        <f>IFERROR(_xlfn.XLOOKUP($A272,Input_Raw!$A:$A,Input_Raw!$CZ:$CZ),"")</f>
        <v/>
      </c>
      <c r="Z272" s="167" t="str">
        <f>IFERROR(_xlfn.XLOOKUP($A272,Input_Raw!$A:$A,Input_Raw!$DA:$DA),"")</f>
        <v/>
      </c>
      <c r="AA272" s="169" t="str">
        <f t="shared" si="28"/>
        <v/>
      </c>
      <c r="AB272" s="167" t="str">
        <f>IFERROR(_xlfn.XLOOKUP($A272,Input_Raw!$A:$A,Input_Raw!$DG:$DG),"")</f>
        <v/>
      </c>
      <c r="AC272" s="187">
        <f>IFERROR(_xlfn.XLOOKUP($D272,'Modelling New'!$D:$D,'Modelling New'!$J:$J),"")</f>
        <v>4.4333333333333336</v>
      </c>
      <c r="AD272" s="169">
        <f>IFERROR(_xlfn.XLOOKUP($D272,'Modelling New'!$D:$D,'Modelling New'!$T:$T)*1000,"")</f>
        <v>183922.41431383044</v>
      </c>
      <c r="AE272" s="186"/>
      <c r="AF272" s="186">
        <f>IFERROR(_xlfn.XLOOKUP($D272,'Modelling New'!$D:$D,'Modelling New'!$W:$W),"")</f>
        <v>9.8249152945422247E-2</v>
      </c>
      <c r="AG272" s="186">
        <f>IFERROR(_xlfn.XLOOKUP($D272,'Modelling New'!$D:$D,'Modelling New'!$AE:$AE),"")</f>
        <v>0.96029999999999993</v>
      </c>
      <c r="AH272" s="186">
        <f>IFERROR(_xlfn.XLOOKUP($D272,'Modelling New'!$D:$D,'Modelling New'!$AF:$AF),"")</f>
        <v>0.995</v>
      </c>
      <c r="AI272" s="167" t="str">
        <f>IFERROR(_xlfn.XLOOKUP($A272,Input_Raw!$A:$A,Input_Raw!$DE:$DE),"")</f>
        <v/>
      </c>
      <c r="AJ272" s="167"/>
      <c r="AK272" s="167"/>
      <c r="AL272" s="167"/>
      <c r="AM272" s="167"/>
      <c r="AN272" s="188" t="str">
        <f>IFERROR(_xlfn.XLOOKUP($A272,Input_Raw!$A:$A,Input_Raw!$DB:$DB),"")</f>
        <v/>
      </c>
      <c r="AO272" s="186" t="str">
        <f>IFERROR((_xlfn.XLOOKUP($A272,'WTG Reactive Power'!$A:$A,'WTG Reactive Power'!$AR:$AR))/X272/1000,"")</f>
        <v/>
      </c>
      <c r="AP272" s="186">
        <f>IFERROR(_xlfn.XLOOKUP($D272,'Modelling New'!$D:$D,'Modelling New'!$AK:$AK),"")</f>
        <v>0.05</v>
      </c>
      <c r="AQ272" s="186">
        <f>IFERROR(_xlfn.XLOOKUP($D272,'Modelling New'!$D:$D,'Modelling New'!$AL:$AL),"")</f>
        <v>0.05</v>
      </c>
      <c r="AR272">
        <f>IFERROR(_xlfn.XLOOKUP($D272,'Modelling New'!$D:$D,'Modelling New'!$N:$N),"")</f>
        <v>78</v>
      </c>
    </row>
    <row r="273" spans="1:44">
      <c r="A273" s="180">
        <f t="shared" si="22"/>
        <v>46016</v>
      </c>
      <c r="B273" s="169">
        <f>YEAR(Table13[[#This Row],[Date]])+IF(MONTH(Table13[[#This Row],[Date]])&gt;=4,1,0)</f>
        <v>2026</v>
      </c>
      <c r="C273" s="167">
        <f>YEAR(Table13[[#This Row],[Date]])</f>
        <v>2025</v>
      </c>
      <c r="D273" s="181">
        <f>Table13[[#This Row],[Date]]-DAY(Table13[[#This Row],[Date]])+1</f>
        <v>45992</v>
      </c>
      <c r="E273" s="167">
        <f t="shared" si="26"/>
        <v>31</v>
      </c>
      <c r="F273" s="170"/>
      <c r="G273" s="171"/>
      <c r="H273" s="171"/>
      <c r="I273" s="171"/>
      <c r="J273" s="171"/>
      <c r="K273" s="182"/>
      <c r="L273" s="171"/>
      <c r="M273" s="171" t="str">
        <f>IFERROR(_xlfn.XLOOKUP($A273,Input_Raw!$A:$A,Input_Raw!CG:CG),"")</f>
        <v/>
      </c>
      <c r="N273" s="171" t="str">
        <f>IFERROR(_xlfn.XLOOKUP($A273,Input_Raw!$A:$A,Input_Raw!CH:CH),"")</f>
        <v/>
      </c>
      <c r="O273" s="183" t="str">
        <f t="shared" si="27"/>
        <v/>
      </c>
      <c r="P273" s="183" t="str">
        <f>IFERROR(1-SUMIF(WTG_BD!$B:$B,$A273,WTG_BD!$AB:$AB)/($AA273+SUMIF(WTG_BD!$B:$B,$A273,WTG_BD!$AB:$AB)),"")</f>
        <v/>
      </c>
      <c r="Q273" s="184" t="str">
        <f>IFERROR(1-SUMIF(IGA_BD!$B:$B,$A273,IGA_BD!$X:$X)/($AA273+SUMIF(IGA_BD!$B:$B,$A273,IGA_BD!$X:$X)),"")</f>
        <v/>
      </c>
      <c r="R273" s="189" t="str">
        <f>IFERROR(1-SUMIF(Grid_BD!$B:$B,$A273,Grid_BD!$V:$V)/($AA273+SUMIF(Grid_BD!$B:$B,$A273,Grid_BD!$V:$V)),"")</f>
        <v/>
      </c>
      <c r="S273" s="167"/>
      <c r="T273" s="184"/>
      <c r="U273" s="185"/>
      <c r="V273" s="167"/>
      <c r="W273" s="186" t="str">
        <f>IFERROR(Table13[[#This Row],[Mtr_Net_Exp (KWh)]]/(24*AR273*1000),"")</f>
        <v/>
      </c>
      <c r="X273" s="167" t="str">
        <f>IFERROR(_xlfn.XLOOKUP($A273,Input_Raw!$A:$A,Input_Raw!$CF:$CF),"")</f>
        <v/>
      </c>
      <c r="Y273" s="167" t="str">
        <f>IFERROR(_xlfn.XLOOKUP($A273,Input_Raw!$A:$A,Input_Raw!$CZ:$CZ),"")</f>
        <v/>
      </c>
      <c r="Z273" s="167" t="str">
        <f>IFERROR(_xlfn.XLOOKUP($A273,Input_Raw!$A:$A,Input_Raw!$DA:$DA),"")</f>
        <v/>
      </c>
      <c r="AA273" s="169" t="str">
        <f t="shared" si="28"/>
        <v/>
      </c>
      <c r="AB273" s="167" t="str">
        <f>IFERROR(_xlfn.XLOOKUP($A273,Input_Raw!$A:$A,Input_Raw!$DG:$DG),"")</f>
        <v/>
      </c>
      <c r="AC273" s="187">
        <f>IFERROR(_xlfn.XLOOKUP($D273,'Modelling New'!$D:$D,'Modelling New'!$J:$J),"")</f>
        <v>4.4333333333333336</v>
      </c>
      <c r="AD273" s="169">
        <f>IFERROR(_xlfn.XLOOKUP($D273,'Modelling New'!$D:$D,'Modelling New'!$T:$T)*1000,"")</f>
        <v>183922.41431383044</v>
      </c>
      <c r="AE273" s="186"/>
      <c r="AF273" s="186">
        <f>IFERROR(_xlfn.XLOOKUP($D273,'Modelling New'!$D:$D,'Modelling New'!$W:$W),"")</f>
        <v>9.8249152945422247E-2</v>
      </c>
      <c r="AG273" s="186">
        <f>IFERROR(_xlfn.XLOOKUP($D273,'Modelling New'!$D:$D,'Modelling New'!$AE:$AE),"")</f>
        <v>0.96029999999999993</v>
      </c>
      <c r="AH273" s="186">
        <f>IFERROR(_xlfn.XLOOKUP($D273,'Modelling New'!$D:$D,'Modelling New'!$AF:$AF),"")</f>
        <v>0.995</v>
      </c>
      <c r="AI273" s="167" t="str">
        <f>IFERROR(_xlfn.XLOOKUP($A273,Input_Raw!$A:$A,Input_Raw!$DE:$DE),"")</f>
        <v/>
      </c>
      <c r="AJ273" s="167"/>
      <c r="AK273" s="167"/>
      <c r="AL273" s="167"/>
      <c r="AM273" s="167"/>
      <c r="AN273" s="188" t="str">
        <f>IFERROR(_xlfn.XLOOKUP($A273,Input_Raw!$A:$A,Input_Raw!$DB:$DB),"")</f>
        <v/>
      </c>
      <c r="AO273" s="186" t="str">
        <f>IFERROR((_xlfn.XLOOKUP($A273,'WTG Reactive Power'!$A:$A,'WTG Reactive Power'!$AR:$AR))/X273/1000,"")</f>
        <v/>
      </c>
      <c r="AP273" s="186">
        <f>IFERROR(_xlfn.XLOOKUP($D273,'Modelling New'!$D:$D,'Modelling New'!$AK:$AK),"")</f>
        <v>0.05</v>
      </c>
      <c r="AQ273" s="186">
        <f>IFERROR(_xlfn.XLOOKUP($D273,'Modelling New'!$D:$D,'Modelling New'!$AL:$AL),"")</f>
        <v>0.05</v>
      </c>
      <c r="AR273">
        <f>IFERROR(_xlfn.XLOOKUP($D273,'Modelling New'!$D:$D,'Modelling New'!$N:$N),"")</f>
        <v>78</v>
      </c>
    </row>
    <row r="274" spans="1:44">
      <c r="A274" s="180">
        <f t="shared" si="22"/>
        <v>46017</v>
      </c>
      <c r="B274" s="169">
        <f>YEAR(Table13[[#This Row],[Date]])+IF(MONTH(Table13[[#This Row],[Date]])&gt;=4,1,0)</f>
        <v>2026</v>
      </c>
      <c r="C274" s="167">
        <f>YEAR(Table13[[#This Row],[Date]])</f>
        <v>2025</v>
      </c>
      <c r="D274" s="181">
        <f>Table13[[#This Row],[Date]]-DAY(Table13[[#This Row],[Date]])+1</f>
        <v>45992</v>
      </c>
      <c r="E274" s="167">
        <f t="shared" si="26"/>
        <v>31</v>
      </c>
      <c r="F274" s="170"/>
      <c r="G274" s="171"/>
      <c r="H274" s="171"/>
      <c r="I274" s="171"/>
      <c r="J274" s="171"/>
      <c r="K274" s="182"/>
      <c r="L274" s="171"/>
      <c r="M274" s="171" t="str">
        <f>IFERROR(_xlfn.XLOOKUP($A274,Input_Raw!$A:$A,Input_Raw!CG:CG),"")</f>
        <v/>
      </c>
      <c r="N274" s="171" t="str">
        <f>IFERROR(_xlfn.XLOOKUP($A274,Input_Raw!$A:$A,Input_Raw!CH:CH),"")</f>
        <v/>
      </c>
      <c r="O274" s="183" t="str">
        <f t="shared" si="27"/>
        <v/>
      </c>
      <c r="P274" s="183" t="str">
        <f>IFERROR(1-SUMIF(WTG_BD!$B:$B,$A274,WTG_BD!$AB:$AB)/($AA274+SUMIF(WTG_BD!$B:$B,$A274,WTG_BD!$AB:$AB)),"")</f>
        <v/>
      </c>
      <c r="Q274" s="184" t="str">
        <f>IFERROR(1-SUMIF(IGA_BD!$B:$B,$A274,IGA_BD!$X:$X)/($AA274+SUMIF(IGA_BD!$B:$B,$A274,IGA_BD!$X:$X)),"")</f>
        <v/>
      </c>
      <c r="R274" s="189" t="str">
        <f>IFERROR(1-SUMIF(Grid_BD!$B:$B,$A274,Grid_BD!$V:$V)/($AA274+SUMIF(Grid_BD!$B:$B,$A274,Grid_BD!$V:$V)),"")</f>
        <v/>
      </c>
      <c r="S274" s="167"/>
      <c r="T274" s="184"/>
      <c r="U274" s="185"/>
      <c r="V274" s="167"/>
      <c r="W274" s="186" t="str">
        <f>IFERROR(Table13[[#This Row],[Mtr_Net_Exp (KWh)]]/(24*AR274*1000),"")</f>
        <v/>
      </c>
      <c r="X274" s="167" t="str">
        <f>IFERROR(_xlfn.XLOOKUP($A274,Input_Raw!$A:$A,Input_Raw!$CF:$CF),"")</f>
        <v/>
      </c>
      <c r="Y274" s="167" t="str">
        <f>IFERROR(_xlfn.XLOOKUP($A274,Input_Raw!$A:$A,Input_Raw!$CZ:$CZ),"")</f>
        <v/>
      </c>
      <c r="Z274" s="167" t="str">
        <f>IFERROR(_xlfn.XLOOKUP($A274,Input_Raw!$A:$A,Input_Raw!$DA:$DA),"")</f>
        <v/>
      </c>
      <c r="AA274" s="169" t="str">
        <f t="shared" si="28"/>
        <v/>
      </c>
      <c r="AB274" s="167" t="str">
        <f>IFERROR(_xlfn.XLOOKUP($A274,Input_Raw!$A:$A,Input_Raw!$DG:$DG),"")</f>
        <v/>
      </c>
      <c r="AC274" s="187">
        <f>IFERROR(_xlfn.XLOOKUP($D274,'Modelling New'!$D:$D,'Modelling New'!$J:$J),"")</f>
        <v>4.4333333333333336</v>
      </c>
      <c r="AD274" s="169">
        <f>IFERROR(_xlfn.XLOOKUP($D274,'Modelling New'!$D:$D,'Modelling New'!$T:$T)*1000,"")</f>
        <v>183922.41431383044</v>
      </c>
      <c r="AE274" s="186"/>
      <c r="AF274" s="186">
        <f>IFERROR(_xlfn.XLOOKUP($D274,'Modelling New'!$D:$D,'Modelling New'!$W:$W),"")</f>
        <v>9.8249152945422247E-2</v>
      </c>
      <c r="AG274" s="186">
        <f>IFERROR(_xlfn.XLOOKUP($D274,'Modelling New'!$D:$D,'Modelling New'!$AE:$AE),"")</f>
        <v>0.96029999999999993</v>
      </c>
      <c r="AH274" s="186">
        <f>IFERROR(_xlfn.XLOOKUP($D274,'Modelling New'!$D:$D,'Modelling New'!$AF:$AF),"")</f>
        <v>0.995</v>
      </c>
      <c r="AI274" s="167" t="str">
        <f>IFERROR(_xlfn.XLOOKUP($A274,Input_Raw!$A:$A,Input_Raw!$DE:$DE),"")</f>
        <v/>
      </c>
      <c r="AJ274" s="167"/>
      <c r="AK274" s="167"/>
      <c r="AL274" s="167"/>
      <c r="AM274" s="167"/>
      <c r="AN274" s="188" t="str">
        <f>IFERROR(_xlfn.XLOOKUP($A274,Input_Raw!$A:$A,Input_Raw!$DB:$DB),"")</f>
        <v/>
      </c>
      <c r="AO274" s="186" t="str">
        <f>IFERROR((_xlfn.XLOOKUP($A274,'WTG Reactive Power'!$A:$A,'WTG Reactive Power'!$AR:$AR))/X274/1000,"")</f>
        <v/>
      </c>
      <c r="AP274" s="186">
        <f>IFERROR(_xlfn.XLOOKUP($D274,'Modelling New'!$D:$D,'Modelling New'!$AK:$AK),"")</f>
        <v>0.05</v>
      </c>
      <c r="AQ274" s="186">
        <f>IFERROR(_xlfn.XLOOKUP($D274,'Modelling New'!$D:$D,'Modelling New'!$AL:$AL),"")</f>
        <v>0.05</v>
      </c>
      <c r="AR274">
        <f>IFERROR(_xlfn.XLOOKUP($D274,'Modelling New'!$D:$D,'Modelling New'!$N:$N),"")</f>
        <v>78</v>
      </c>
    </row>
    <row r="275" spans="1:44">
      <c r="A275" s="180">
        <f t="shared" si="22"/>
        <v>46018</v>
      </c>
      <c r="B275" s="169">
        <f>YEAR(Table13[[#This Row],[Date]])+IF(MONTH(Table13[[#This Row],[Date]])&gt;=4,1,0)</f>
        <v>2026</v>
      </c>
      <c r="C275" s="167">
        <f>YEAR(Table13[[#This Row],[Date]])</f>
        <v>2025</v>
      </c>
      <c r="D275" s="181">
        <f>Table13[[#This Row],[Date]]-DAY(Table13[[#This Row],[Date]])+1</f>
        <v>45992</v>
      </c>
      <c r="E275" s="167">
        <f t="shared" si="26"/>
        <v>31</v>
      </c>
      <c r="F275" s="170"/>
      <c r="G275" s="171"/>
      <c r="H275" s="171"/>
      <c r="I275" s="171"/>
      <c r="J275" s="171"/>
      <c r="K275" s="182"/>
      <c r="L275" s="171"/>
      <c r="M275" s="171" t="str">
        <f>IFERROR(_xlfn.XLOOKUP($A275,Input_Raw!$A:$A,Input_Raw!CG:CG),"")</f>
        <v/>
      </c>
      <c r="N275" s="171" t="str">
        <f>IFERROR(_xlfn.XLOOKUP($A275,Input_Raw!$A:$A,Input_Raw!CH:CH),"")</f>
        <v/>
      </c>
      <c r="O275" s="183" t="str">
        <f t="shared" si="27"/>
        <v/>
      </c>
      <c r="P275" s="183" t="str">
        <f>IFERROR(1-SUMIF(WTG_BD!$B:$B,$A275,WTG_BD!$AB:$AB)/($AA275+SUMIF(WTG_BD!$B:$B,$A275,WTG_BD!$AB:$AB)),"")</f>
        <v/>
      </c>
      <c r="Q275" s="184" t="str">
        <f>IFERROR(1-SUMIF(IGA_BD!$B:$B,$A275,IGA_BD!$X:$X)/($AA275+SUMIF(IGA_BD!$B:$B,$A275,IGA_BD!$X:$X)),"")</f>
        <v/>
      </c>
      <c r="R275" s="189" t="str">
        <f>IFERROR(1-SUMIF(Grid_BD!$B:$B,$A275,Grid_BD!$V:$V)/($AA275+SUMIF(Grid_BD!$B:$B,$A275,Grid_BD!$V:$V)),"")</f>
        <v/>
      </c>
      <c r="S275" s="167"/>
      <c r="T275" s="184"/>
      <c r="U275" s="185"/>
      <c r="V275" s="167"/>
      <c r="W275" s="186" t="str">
        <f>IFERROR(Table13[[#This Row],[Mtr_Net_Exp (KWh)]]/(24*AR275*1000),"")</f>
        <v/>
      </c>
      <c r="X275" s="167" t="str">
        <f>IFERROR(_xlfn.XLOOKUP($A275,Input_Raw!$A:$A,Input_Raw!$CF:$CF),"")</f>
        <v/>
      </c>
      <c r="Y275" s="167" t="str">
        <f>IFERROR(_xlfn.XLOOKUP($A275,Input_Raw!$A:$A,Input_Raw!$CZ:$CZ),"")</f>
        <v/>
      </c>
      <c r="Z275" s="167" t="str">
        <f>IFERROR(_xlfn.XLOOKUP($A275,Input_Raw!$A:$A,Input_Raw!$DA:$DA),"")</f>
        <v/>
      </c>
      <c r="AA275" s="169" t="str">
        <f t="shared" si="28"/>
        <v/>
      </c>
      <c r="AB275" s="167" t="str">
        <f>IFERROR(_xlfn.XLOOKUP($A275,Input_Raw!$A:$A,Input_Raw!$DG:$DG),"")</f>
        <v/>
      </c>
      <c r="AC275" s="187">
        <f>IFERROR(_xlfn.XLOOKUP($D275,'Modelling New'!$D:$D,'Modelling New'!$J:$J),"")</f>
        <v>4.4333333333333336</v>
      </c>
      <c r="AD275" s="169">
        <f>IFERROR(_xlfn.XLOOKUP($D275,'Modelling New'!$D:$D,'Modelling New'!$T:$T)*1000,"")</f>
        <v>183922.41431383044</v>
      </c>
      <c r="AE275" s="186"/>
      <c r="AF275" s="186">
        <f>IFERROR(_xlfn.XLOOKUP($D275,'Modelling New'!$D:$D,'Modelling New'!$W:$W),"")</f>
        <v>9.8249152945422247E-2</v>
      </c>
      <c r="AG275" s="186">
        <f>IFERROR(_xlfn.XLOOKUP($D275,'Modelling New'!$D:$D,'Modelling New'!$AE:$AE),"")</f>
        <v>0.96029999999999993</v>
      </c>
      <c r="AH275" s="186">
        <f>IFERROR(_xlfn.XLOOKUP($D275,'Modelling New'!$D:$D,'Modelling New'!$AF:$AF),"")</f>
        <v>0.995</v>
      </c>
      <c r="AI275" s="167" t="str">
        <f>IFERROR(_xlfn.XLOOKUP($A275,Input_Raw!$A:$A,Input_Raw!$DE:$DE),"")</f>
        <v/>
      </c>
      <c r="AJ275" s="167"/>
      <c r="AK275" s="167"/>
      <c r="AL275" s="167"/>
      <c r="AM275" s="167"/>
      <c r="AN275" s="188" t="str">
        <f>IFERROR(_xlfn.XLOOKUP($A275,Input_Raw!$A:$A,Input_Raw!$DB:$DB),"")</f>
        <v/>
      </c>
      <c r="AO275" s="186" t="str">
        <f>IFERROR((_xlfn.XLOOKUP($A275,'WTG Reactive Power'!$A:$A,'WTG Reactive Power'!$AR:$AR))/X275/1000,"")</f>
        <v/>
      </c>
      <c r="AP275" s="186">
        <f>IFERROR(_xlfn.XLOOKUP($D275,'Modelling New'!$D:$D,'Modelling New'!$AK:$AK),"")</f>
        <v>0.05</v>
      </c>
      <c r="AQ275" s="186">
        <f>IFERROR(_xlfn.XLOOKUP($D275,'Modelling New'!$D:$D,'Modelling New'!$AL:$AL),"")</f>
        <v>0.05</v>
      </c>
      <c r="AR275">
        <f>IFERROR(_xlfn.XLOOKUP($D275,'Modelling New'!$D:$D,'Modelling New'!$N:$N),"")</f>
        <v>78</v>
      </c>
    </row>
    <row r="276" spans="1:44">
      <c r="A276" s="180">
        <f t="shared" si="22"/>
        <v>46019</v>
      </c>
      <c r="B276" s="169">
        <f>YEAR(Table13[[#This Row],[Date]])+IF(MONTH(Table13[[#This Row],[Date]])&gt;=4,1,0)</f>
        <v>2026</v>
      </c>
      <c r="C276" s="167">
        <f>YEAR(Table13[[#This Row],[Date]])</f>
        <v>2025</v>
      </c>
      <c r="D276" s="181">
        <f>Table13[[#This Row],[Date]]-DAY(Table13[[#This Row],[Date]])+1</f>
        <v>45992</v>
      </c>
      <c r="E276" s="167">
        <f t="shared" si="26"/>
        <v>31</v>
      </c>
      <c r="F276" s="170"/>
      <c r="G276" s="171"/>
      <c r="H276" s="171"/>
      <c r="I276" s="171"/>
      <c r="J276" s="171"/>
      <c r="K276" s="182"/>
      <c r="L276" s="171"/>
      <c r="M276" s="171" t="str">
        <f>IFERROR(_xlfn.XLOOKUP($A276,Input_Raw!$A:$A,Input_Raw!CG:CG),"")</f>
        <v/>
      </c>
      <c r="N276" s="171" t="str">
        <f>IFERROR(_xlfn.XLOOKUP($A276,Input_Raw!$A:$A,Input_Raw!CH:CH),"")</f>
        <v/>
      </c>
      <c r="O276" s="183" t="str">
        <f t="shared" si="27"/>
        <v/>
      </c>
      <c r="P276" s="183" t="str">
        <f>IFERROR(1-SUMIF(WTG_BD!$B:$B,$A276,WTG_BD!$AB:$AB)/($AA276+SUMIF(WTG_BD!$B:$B,$A276,WTG_BD!$AB:$AB)),"")</f>
        <v/>
      </c>
      <c r="Q276" s="184" t="str">
        <f>IFERROR(1-SUMIF(IGA_BD!$B:$B,$A276,IGA_BD!$X:$X)/($AA276+SUMIF(IGA_BD!$B:$B,$A276,IGA_BD!$X:$X)),"")</f>
        <v/>
      </c>
      <c r="R276" s="189" t="str">
        <f>IFERROR(1-SUMIF(Grid_BD!$B:$B,$A276,Grid_BD!$V:$V)/($AA276+SUMIF(Grid_BD!$B:$B,$A276,Grid_BD!$V:$V)),"")</f>
        <v/>
      </c>
      <c r="S276" s="167"/>
      <c r="T276" s="184"/>
      <c r="U276" s="185"/>
      <c r="V276" s="167"/>
      <c r="W276" s="186" t="str">
        <f>IFERROR(Table13[[#This Row],[Mtr_Net_Exp (KWh)]]/(24*AR276*1000),"")</f>
        <v/>
      </c>
      <c r="X276" s="167" t="str">
        <f>IFERROR(_xlfn.XLOOKUP($A276,Input_Raw!$A:$A,Input_Raw!$CF:$CF),"")</f>
        <v/>
      </c>
      <c r="Y276" s="167" t="str">
        <f>IFERROR(_xlfn.XLOOKUP($A276,Input_Raw!$A:$A,Input_Raw!$CZ:$CZ),"")</f>
        <v/>
      </c>
      <c r="Z276" s="167" t="str">
        <f>IFERROR(_xlfn.XLOOKUP($A276,Input_Raw!$A:$A,Input_Raw!$DA:$DA),"")</f>
        <v/>
      </c>
      <c r="AA276" s="169" t="str">
        <f t="shared" si="28"/>
        <v/>
      </c>
      <c r="AB276" s="167" t="str">
        <f>IFERROR(_xlfn.XLOOKUP($A276,Input_Raw!$A:$A,Input_Raw!$DG:$DG),"")</f>
        <v/>
      </c>
      <c r="AC276" s="187">
        <f>IFERROR(_xlfn.XLOOKUP($D276,'Modelling New'!$D:$D,'Modelling New'!$J:$J),"")</f>
        <v>4.4333333333333336</v>
      </c>
      <c r="AD276" s="169">
        <f>IFERROR(_xlfn.XLOOKUP($D276,'Modelling New'!$D:$D,'Modelling New'!$T:$T)*1000,"")</f>
        <v>183922.41431383044</v>
      </c>
      <c r="AE276" s="186"/>
      <c r="AF276" s="186">
        <f>IFERROR(_xlfn.XLOOKUP($D276,'Modelling New'!$D:$D,'Modelling New'!$W:$W),"")</f>
        <v>9.8249152945422247E-2</v>
      </c>
      <c r="AG276" s="186">
        <f>IFERROR(_xlfn.XLOOKUP($D276,'Modelling New'!$D:$D,'Modelling New'!$AE:$AE),"")</f>
        <v>0.96029999999999993</v>
      </c>
      <c r="AH276" s="186">
        <f>IFERROR(_xlfn.XLOOKUP($D276,'Modelling New'!$D:$D,'Modelling New'!$AF:$AF),"")</f>
        <v>0.995</v>
      </c>
      <c r="AI276" s="167" t="str">
        <f>IFERROR(_xlfn.XLOOKUP($A276,Input_Raw!$A:$A,Input_Raw!$DE:$DE),"")</f>
        <v/>
      </c>
      <c r="AJ276" s="167"/>
      <c r="AK276" s="167"/>
      <c r="AL276" s="167"/>
      <c r="AM276" s="167"/>
      <c r="AN276" s="188" t="str">
        <f>IFERROR(_xlfn.XLOOKUP($A276,Input_Raw!$A:$A,Input_Raw!$DB:$DB),"")</f>
        <v/>
      </c>
      <c r="AO276" s="186" t="str">
        <f>IFERROR((_xlfn.XLOOKUP($A276,'WTG Reactive Power'!$A:$A,'WTG Reactive Power'!$AR:$AR))/X276/1000,"")</f>
        <v/>
      </c>
      <c r="AP276" s="186">
        <f>IFERROR(_xlfn.XLOOKUP($D276,'Modelling New'!$D:$D,'Modelling New'!$AK:$AK),"")</f>
        <v>0.05</v>
      </c>
      <c r="AQ276" s="186">
        <f>IFERROR(_xlfn.XLOOKUP($D276,'Modelling New'!$D:$D,'Modelling New'!$AL:$AL),"")</f>
        <v>0.05</v>
      </c>
      <c r="AR276">
        <f>IFERROR(_xlfn.XLOOKUP($D276,'Modelling New'!$D:$D,'Modelling New'!$N:$N),"")</f>
        <v>78</v>
      </c>
    </row>
    <row r="277" spans="1:44">
      <c r="A277" s="180">
        <f t="shared" si="22"/>
        <v>46020</v>
      </c>
      <c r="B277" s="169">
        <f>YEAR(Table13[[#This Row],[Date]])+IF(MONTH(Table13[[#This Row],[Date]])&gt;=4,1,0)</f>
        <v>2026</v>
      </c>
      <c r="C277" s="167">
        <f>YEAR(Table13[[#This Row],[Date]])</f>
        <v>2025</v>
      </c>
      <c r="D277" s="181">
        <f>Table13[[#This Row],[Date]]-DAY(Table13[[#This Row],[Date]])+1</f>
        <v>45992</v>
      </c>
      <c r="E277" s="167">
        <f t="shared" si="26"/>
        <v>31</v>
      </c>
      <c r="F277" s="170"/>
      <c r="G277" s="171"/>
      <c r="H277" s="171"/>
      <c r="I277" s="171"/>
      <c r="J277" s="171"/>
      <c r="K277" s="182"/>
      <c r="L277" s="171"/>
      <c r="M277" s="171" t="str">
        <f>IFERROR(_xlfn.XLOOKUP($A277,Input_Raw!$A:$A,Input_Raw!CG:CG),"")</f>
        <v/>
      </c>
      <c r="N277" s="171" t="str">
        <f>IFERROR(_xlfn.XLOOKUP($A277,Input_Raw!$A:$A,Input_Raw!CH:CH),"")</f>
        <v/>
      </c>
      <c r="O277" s="183" t="str">
        <f t="shared" si="27"/>
        <v/>
      </c>
      <c r="P277" s="183" t="str">
        <f>IFERROR(1-SUMIF(WTG_BD!$B:$B,$A277,WTG_BD!$AB:$AB)/($AA277+SUMIF(WTG_BD!$B:$B,$A277,WTG_BD!$AB:$AB)),"")</f>
        <v/>
      </c>
      <c r="Q277" s="184" t="str">
        <f>IFERROR(1-SUMIF(IGA_BD!$B:$B,$A277,IGA_BD!$X:$X)/($AA277+SUMIF(IGA_BD!$B:$B,$A277,IGA_BD!$X:$X)),"")</f>
        <v/>
      </c>
      <c r="R277" s="189" t="str">
        <f>IFERROR(1-SUMIF(Grid_BD!$B:$B,$A277,Grid_BD!$V:$V)/($AA277+SUMIF(Grid_BD!$B:$B,$A277,Grid_BD!$V:$V)),"")</f>
        <v/>
      </c>
      <c r="S277" s="167"/>
      <c r="T277" s="184"/>
      <c r="U277" s="185"/>
      <c r="V277" s="167"/>
      <c r="W277" s="186" t="str">
        <f>IFERROR(Table13[[#This Row],[Mtr_Net_Exp (KWh)]]/(24*AR277*1000),"")</f>
        <v/>
      </c>
      <c r="X277" s="167" t="str">
        <f>IFERROR(_xlfn.XLOOKUP($A277,Input_Raw!$A:$A,Input_Raw!$CF:$CF),"")</f>
        <v/>
      </c>
      <c r="Y277" s="167" t="str">
        <f>IFERROR(_xlfn.XLOOKUP($A277,Input_Raw!$A:$A,Input_Raw!$CZ:$CZ),"")</f>
        <v/>
      </c>
      <c r="Z277" s="167" t="str">
        <f>IFERROR(_xlfn.XLOOKUP($A277,Input_Raw!$A:$A,Input_Raw!$DA:$DA),"")</f>
        <v/>
      </c>
      <c r="AA277" s="169" t="str">
        <f t="shared" si="28"/>
        <v/>
      </c>
      <c r="AB277" s="167" t="str">
        <f>IFERROR(_xlfn.XLOOKUP($A277,Input_Raw!$A:$A,Input_Raw!$DG:$DG),"")</f>
        <v/>
      </c>
      <c r="AC277" s="187">
        <f>IFERROR(_xlfn.XLOOKUP($D277,'Modelling New'!$D:$D,'Modelling New'!$J:$J),"")</f>
        <v>4.4333333333333336</v>
      </c>
      <c r="AD277" s="169">
        <f>IFERROR(_xlfn.XLOOKUP($D277,'Modelling New'!$D:$D,'Modelling New'!$T:$T)*1000,"")</f>
        <v>183922.41431383044</v>
      </c>
      <c r="AE277" s="186"/>
      <c r="AF277" s="186">
        <f>IFERROR(_xlfn.XLOOKUP($D277,'Modelling New'!$D:$D,'Modelling New'!$W:$W),"")</f>
        <v>9.8249152945422247E-2</v>
      </c>
      <c r="AG277" s="186">
        <f>IFERROR(_xlfn.XLOOKUP($D277,'Modelling New'!$D:$D,'Modelling New'!$AE:$AE),"")</f>
        <v>0.96029999999999993</v>
      </c>
      <c r="AH277" s="186">
        <f>IFERROR(_xlfn.XLOOKUP($D277,'Modelling New'!$D:$D,'Modelling New'!$AF:$AF),"")</f>
        <v>0.995</v>
      </c>
      <c r="AI277" s="167" t="str">
        <f>IFERROR(_xlfn.XLOOKUP($A277,Input_Raw!$A:$A,Input_Raw!$DE:$DE),"")</f>
        <v/>
      </c>
      <c r="AJ277" s="167"/>
      <c r="AK277" s="167"/>
      <c r="AL277" s="167"/>
      <c r="AM277" s="167"/>
      <c r="AN277" s="188" t="str">
        <f>IFERROR(_xlfn.XLOOKUP($A277,Input_Raw!$A:$A,Input_Raw!$DB:$DB),"")</f>
        <v/>
      </c>
      <c r="AO277" s="186" t="str">
        <f>IFERROR((_xlfn.XLOOKUP($A277,'WTG Reactive Power'!$A:$A,'WTG Reactive Power'!$AR:$AR))/X277/1000,"")</f>
        <v/>
      </c>
      <c r="AP277" s="186">
        <f>IFERROR(_xlfn.XLOOKUP($D277,'Modelling New'!$D:$D,'Modelling New'!$AK:$AK),"")</f>
        <v>0.05</v>
      </c>
      <c r="AQ277" s="186">
        <f>IFERROR(_xlfn.XLOOKUP($D277,'Modelling New'!$D:$D,'Modelling New'!$AL:$AL),"")</f>
        <v>0.05</v>
      </c>
      <c r="AR277">
        <f>IFERROR(_xlfn.XLOOKUP($D277,'Modelling New'!$D:$D,'Modelling New'!$N:$N),"")</f>
        <v>78</v>
      </c>
    </row>
    <row r="278" spans="1:44">
      <c r="A278" s="180">
        <f t="shared" si="22"/>
        <v>46021</v>
      </c>
      <c r="B278" s="169">
        <f>YEAR(Table13[[#This Row],[Date]])+IF(MONTH(Table13[[#This Row],[Date]])&gt;=4,1,0)</f>
        <v>2026</v>
      </c>
      <c r="C278" s="167">
        <f>YEAR(Table13[[#This Row],[Date]])</f>
        <v>2025</v>
      </c>
      <c r="D278" s="181">
        <f>Table13[[#This Row],[Date]]-DAY(Table13[[#This Row],[Date]])+1</f>
        <v>45992</v>
      </c>
      <c r="E278" s="167">
        <f t="shared" si="26"/>
        <v>31</v>
      </c>
      <c r="F278" s="170"/>
      <c r="G278" s="171"/>
      <c r="H278" s="171"/>
      <c r="I278" s="171"/>
      <c r="J278" s="171"/>
      <c r="K278" s="182"/>
      <c r="L278" s="171"/>
      <c r="M278" s="171" t="str">
        <f>IFERROR(_xlfn.XLOOKUP($A278,Input_Raw!$A:$A,Input_Raw!CG:CG),"")</f>
        <v/>
      </c>
      <c r="N278" s="171" t="str">
        <f>IFERROR(_xlfn.XLOOKUP($A278,Input_Raw!$A:$A,Input_Raw!CH:CH),"")</f>
        <v/>
      </c>
      <c r="O278" s="183" t="str">
        <f t="shared" si="27"/>
        <v/>
      </c>
      <c r="P278" s="183" t="str">
        <f>IFERROR(1-SUMIF(WTG_BD!$B:$B,$A278,WTG_BD!$AB:$AB)/($AA278+SUMIF(WTG_BD!$B:$B,$A278,WTG_BD!$AB:$AB)),"")</f>
        <v/>
      </c>
      <c r="Q278" s="184" t="str">
        <f>IFERROR(1-SUMIF(IGA_BD!$B:$B,$A278,IGA_BD!$X:$X)/($AA278+SUMIF(IGA_BD!$B:$B,$A278,IGA_BD!$X:$X)),"")</f>
        <v/>
      </c>
      <c r="R278" s="189" t="str">
        <f>IFERROR(1-SUMIF(Grid_BD!$B:$B,$A278,Grid_BD!$V:$V)/($AA278+SUMIF(Grid_BD!$B:$B,$A278,Grid_BD!$V:$V)),"")</f>
        <v/>
      </c>
      <c r="S278" s="167"/>
      <c r="T278" s="184"/>
      <c r="U278" s="185"/>
      <c r="V278" s="167"/>
      <c r="W278" s="186" t="str">
        <f>IFERROR(Table13[[#This Row],[Mtr_Net_Exp (KWh)]]/(24*AR278*1000),"")</f>
        <v/>
      </c>
      <c r="X278" s="167" t="str">
        <f>IFERROR(_xlfn.XLOOKUP($A278,Input_Raw!$A:$A,Input_Raw!$CF:$CF),"")</f>
        <v/>
      </c>
      <c r="Y278" s="167" t="str">
        <f>IFERROR(_xlfn.XLOOKUP($A278,Input_Raw!$A:$A,Input_Raw!$CZ:$CZ),"")</f>
        <v/>
      </c>
      <c r="Z278" s="167" t="str">
        <f>IFERROR(_xlfn.XLOOKUP($A278,Input_Raw!$A:$A,Input_Raw!$DA:$DA),"")</f>
        <v/>
      </c>
      <c r="AA278" s="169" t="str">
        <f t="shared" si="28"/>
        <v/>
      </c>
      <c r="AB278" s="167" t="str">
        <f>IFERROR(_xlfn.XLOOKUP($A278,Input_Raw!$A:$A,Input_Raw!$DG:$DG),"")</f>
        <v/>
      </c>
      <c r="AC278" s="187">
        <f>IFERROR(_xlfn.XLOOKUP($D278,'Modelling New'!$D:$D,'Modelling New'!$J:$J),"")</f>
        <v>4.4333333333333336</v>
      </c>
      <c r="AD278" s="169">
        <f>IFERROR(_xlfn.XLOOKUP($D278,'Modelling New'!$D:$D,'Modelling New'!$T:$T)*1000,"")</f>
        <v>183922.41431383044</v>
      </c>
      <c r="AE278" s="186"/>
      <c r="AF278" s="186">
        <f>IFERROR(_xlfn.XLOOKUP($D278,'Modelling New'!$D:$D,'Modelling New'!$W:$W),"")</f>
        <v>9.8249152945422247E-2</v>
      </c>
      <c r="AG278" s="186">
        <f>IFERROR(_xlfn.XLOOKUP($D278,'Modelling New'!$D:$D,'Modelling New'!$AE:$AE),"")</f>
        <v>0.96029999999999993</v>
      </c>
      <c r="AH278" s="186">
        <f>IFERROR(_xlfn.XLOOKUP($D278,'Modelling New'!$D:$D,'Modelling New'!$AF:$AF),"")</f>
        <v>0.995</v>
      </c>
      <c r="AI278" s="167" t="str">
        <f>IFERROR(_xlfn.XLOOKUP($A278,Input_Raw!$A:$A,Input_Raw!$DE:$DE),"")</f>
        <v/>
      </c>
      <c r="AJ278" s="167"/>
      <c r="AK278" s="167"/>
      <c r="AL278" s="167"/>
      <c r="AM278" s="167"/>
      <c r="AN278" s="188" t="str">
        <f>IFERROR(_xlfn.XLOOKUP($A278,Input_Raw!$A:$A,Input_Raw!$DB:$DB),"")</f>
        <v/>
      </c>
      <c r="AO278" s="186" t="str">
        <f>IFERROR((_xlfn.XLOOKUP($A278,'WTG Reactive Power'!$A:$A,'WTG Reactive Power'!$AR:$AR))/X278/1000,"")</f>
        <v/>
      </c>
      <c r="AP278" s="186">
        <f>IFERROR(_xlfn.XLOOKUP($D278,'Modelling New'!$D:$D,'Modelling New'!$AK:$AK),"")</f>
        <v>0.05</v>
      </c>
      <c r="AQ278" s="186">
        <f>IFERROR(_xlfn.XLOOKUP($D278,'Modelling New'!$D:$D,'Modelling New'!$AL:$AL),"")</f>
        <v>0.05</v>
      </c>
      <c r="AR278">
        <f>IFERROR(_xlfn.XLOOKUP($D278,'Modelling New'!$D:$D,'Modelling New'!$N:$N),"")</f>
        <v>78</v>
      </c>
    </row>
    <row r="279" spans="1:44">
      <c r="A279" s="180">
        <f t="shared" si="22"/>
        <v>46022</v>
      </c>
      <c r="B279" s="169">
        <f>YEAR(Table13[[#This Row],[Date]])+IF(MONTH(Table13[[#This Row],[Date]])&gt;=4,1,0)</f>
        <v>2026</v>
      </c>
      <c r="C279" s="167">
        <f>YEAR(Table13[[#This Row],[Date]])</f>
        <v>2025</v>
      </c>
      <c r="D279" s="181">
        <f>Table13[[#This Row],[Date]]-DAY(Table13[[#This Row],[Date]])+1</f>
        <v>45992</v>
      </c>
      <c r="E279" s="167">
        <f t="shared" si="26"/>
        <v>31</v>
      </c>
      <c r="F279" s="170"/>
      <c r="G279" s="171"/>
      <c r="H279" s="171"/>
      <c r="I279" s="171"/>
      <c r="J279" s="171"/>
      <c r="K279" s="182"/>
      <c r="L279" s="171"/>
      <c r="M279" s="171" t="str">
        <f>IFERROR(_xlfn.XLOOKUP($A279,Input_Raw!$A:$A,Input_Raw!CG:CG),"")</f>
        <v/>
      </c>
      <c r="N279" s="171" t="str">
        <f>IFERROR(_xlfn.XLOOKUP($A279,Input_Raw!$A:$A,Input_Raw!CH:CH),"")</f>
        <v/>
      </c>
      <c r="O279" s="183" t="str">
        <f t="shared" si="27"/>
        <v/>
      </c>
      <c r="P279" s="183" t="str">
        <f>IFERROR(1-SUMIF(WTG_BD!$B:$B,$A279,WTG_BD!$AB:$AB)/($AA279+SUMIF(WTG_BD!$B:$B,$A279,WTG_BD!$AB:$AB)),"")</f>
        <v/>
      </c>
      <c r="Q279" s="184" t="str">
        <f>IFERROR(1-SUMIF(IGA_BD!$B:$B,$A279,IGA_BD!$X:$X)/($AA279+SUMIF(IGA_BD!$B:$B,$A279,IGA_BD!$X:$X)),"")</f>
        <v/>
      </c>
      <c r="R279" s="189" t="str">
        <f>IFERROR(1-SUMIF(Grid_BD!$B:$B,$A279,Grid_BD!$V:$V)/($AA279+SUMIF(Grid_BD!$B:$B,$A279,Grid_BD!$V:$V)),"")</f>
        <v/>
      </c>
      <c r="S279" s="167"/>
      <c r="T279" s="184"/>
      <c r="U279" s="185"/>
      <c r="V279" s="167"/>
      <c r="W279" s="186" t="str">
        <f>IFERROR(Table13[[#This Row],[Mtr_Net_Exp (KWh)]]/(24*AR279*1000),"")</f>
        <v/>
      </c>
      <c r="X279" s="167" t="str">
        <f>IFERROR(_xlfn.XLOOKUP($A279,Input_Raw!$A:$A,Input_Raw!$CF:$CF),"")</f>
        <v/>
      </c>
      <c r="Y279" s="167" t="str">
        <f>IFERROR(_xlfn.XLOOKUP($A279,Input_Raw!$A:$A,Input_Raw!$CZ:$CZ),"")</f>
        <v/>
      </c>
      <c r="Z279" s="167" t="str">
        <f>IFERROR(_xlfn.XLOOKUP($A279,Input_Raw!$A:$A,Input_Raw!$DA:$DA),"")</f>
        <v/>
      </c>
      <c r="AA279" s="169" t="str">
        <f t="shared" si="28"/>
        <v/>
      </c>
      <c r="AB279" s="167" t="str">
        <f>IFERROR(_xlfn.XLOOKUP($A279,Input_Raw!$A:$A,Input_Raw!$DG:$DG),"")</f>
        <v/>
      </c>
      <c r="AC279" s="187">
        <f>IFERROR(_xlfn.XLOOKUP($D279,'Modelling New'!$D:$D,'Modelling New'!$J:$J),"")</f>
        <v>4.4333333333333336</v>
      </c>
      <c r="AD279" s="169">
        <f>IFERROR(_xlfn.XLOOKUP($D279,'Modelling New'!$D:$D,'Modelling New'!$T:$T)*1000,"")</f>
        <v>183922.41431383044</v>
      </c>
      <c r="AE279" s="186"/>
      <c r="AF279" s="186">
        <f>IFERROR(_xlfn.XLOOKUP($D279,'Modelling New'!$D:$D,'Modelling New'!$W:$W),"")</f>
        <v>9.8249152945422247E-2</v>
      </c>
      <c r="AG279" s="186">
        <f>IFERROR(_xlfn.XLOOKUP($D279,'Modelling New'!$D:$D,'Modelling New'!$AE:$AE),"")</f>
        <v>0.96029999999999993</v>
      </c>
      <c r="AH279" s="186">
        <f>IFERROR(_xlfn.XLOOKUP($D279,'Modelling New'!$D:$D,'Modelling New'!$AF:$AF),"")</f>
        <v>0.995</v>
      </c>
      <c r="AI279" s="167" t="str">
        <f>IFERROR(_xlfn.XLOOKUP($A279,Input_Raw!$A:$A,Input_Raw!$DE:$DE),"")</f>
        <v/>
      </c>
      <c r="AJ279" s="167"/>
      <c r="AK279" s="167"/>
      <c r="AL279" s="167"/>
      <c r="AM279" s="167"/>
      <c r="AN279" s="188" t="str">
        <f>IFERROR(_xlfn.XLOOKUP($A279,Input_Raw!$A:$A,Input_Raw!$DB:$DB),"")</f>
        <v/>
      </c>
      <c r="AO279" s="186" t="str">
        <f>IFERROR((_xlfn.XLOOKUP($A279,'WTG Reactive Power'!$A:$A,'WTG Reactive Power'!$AR:$AR))/X279/1000,"")</f>
        <v/>
      </c>
      <c r="AP279" s="186">
        <f>IFERROR(_xlfn.XLOOKUP($D279,'Modelling New'!$D:$D,'Modelling New'!$AK:$AK),"")</f>
        <v>0.05</v>
      </c>
      <c r="AQ279" s="186">
        <f>IFERROR(_xlfn.XLOOKUP($D279,'Modelling New'!$D:$D,'Modelling New'!$AL:$AL),"")</f>
        <v>0.05</v>
      </c>
      <c r="AR279">
        <f>IFERROR(_xlfn.XLOOKUP($D279,'Modelling New'!$D:$D,'Modelling New'!$N:$N),"")</f>
        <v>78</v>
      </c>
    </row>
    <row r="280" spans="1:44">
      <c r="A280" s="180">
        <f t="shared" si="22"/>
        <v>46023</v>
      </c>
      <c r="B280" s="169">
        <f>YEAR(Table13[[#This Row],[Date]])+IF(MONTH(Table13[[#This Row],[Date]])&gt;=4,1,0)</f>
        <v>2026</v>
      </c>
      <c r="C280" s="167">
        <f>YEAR(Table13[[#This Row],[Date]])</f>
        <v>2026</v>
      </c>
      <c r="D280" s="181">
        <f>Table13[[#This Row],[Date]]-DAY(Table13[[#This Row],[Date]])+1</f>
        <v>46023</v>
      </c>
      <c r="E280" s="167">
        <f t="shared" si="26"/>
        <v>31</v>
      </c>
      <c r="F280" s="170"/>
      <c r="G280" s="171"/>
      <c r="H280" s="171"/>
      <c r="I280" s="171"/>
      <c r="J280" s="171"/>
      <c r="K280" s="182"/>
      <c r="L280" s="171"/>
      <c r="M280" s="171" t="str">
        <f>IFERROR(_xlfn.XLOOKUP($A280,Input_Raw!$A:$A,Input_Raw!CG:CG),"")</f>
        <v/>
      </c>
      <c r="N280" s="171" t="str">
        <f>IFERROR(_xlfn.XLOOKUP($A280,Input_Raw!$A:$A,Input_Raw!CH:CH),"")</f>
        <v/>
      </c>
      <c r="O280" s="183" t="str">
        <f t="shared" si="27"/>
        <v/>
      </c>
      <c r="P280" s="183" t="str">
        <f>IFERROR(1-SUMIF(WTG_BD!$B:$B,$A280,WTG_BD!$AB:$AB)/($AA280+SUMIF(WTG_BD!$B:$B,$A280,WTG_BD!$AB:$AB)),"")</f>
        <v/>
      </c>
      <c r="Q280" s="184" t="str">
        <f>IFERROR(1-SUMIF(IGA_BD!$B:$B,$A280,IGA_BD!$X:$X)/($AA280+SUMIF(IGA_BD!$B:$B,$A280,IGA_BD!$X:$X)),"")</f>
        <v/>
      </c>
      <c r="R280" s="189" t="str">
        <f>IFERROR(1-SUMIF(Grid_BD!$B:$B,$A280,Grid_BD!$V:$V)/($AA280+SUMIF(Grid_BD!$B:$B,$A280,Grid_BD!$V:$V)),"")</f>
        <v/>
      </c>
      <c r="S280" s="167"/>
      <c r="T280" s="184"/>
      <c r="U280" s="185"/>
      <c r="V280" s="167"/>
      <c r="W280" s="186" t="str">
        <f>IFERROR(Table13[[#This Row],[Mtr_Net_Exp (KWh)]]/(24*AR280*1000),"")</f>
        <v/>
      </c>
      <c r="X280" s="167" t="str">
        <f>IFERROR(_xlfn.XLOOKUP($A280,Input_Raw!$A:$A,Input_Raw!$CF:$CF),"")</f>
        <v/>
      </c>
      <c r="Y280" s="167" t="str">
        <f>IFERROR(_xlfn.XLOOKUP($A280,Input_Raw!$A:$A,Input_Raw!$CZ:$CZ),"")</f>
        <v/>
      </c>
      <c r="Z280" s="167" t="str">
        <f>IFERROR(_xlfn.XLOOKUP($A280,Input_Raw!$A:$A,Input_Raw!$DA:$DA),"")</f>
        <v/>
      </c>
      <c r="AA280" s="169" t="str">
        <f t="shared" si="28"/>
        <v/>
      </c>
      <c r="AB280" s="167" t="str">
        <f>IFERROR(_xlfn.XLOOKUP($A280,Input_Raw!$A:$A,Input_Raw!$DG:$DG),"")</f>
        <v/>
      </c>
      <c r="AC280" s="187">
        <f>IFERROR(_xlfn.XLOOKUP($D280,'Modelling New'!$D:$D,'Modelling New'!$J:$J),"")</f>
        <v>3.8</v>
      </c>
      <c r="AD280" s="169">
        <f>IFERROR(_xlfn.XLOOKUP($D280,'Modelling New'!$D:$D,'Modelling New'!$T:$T)*1000,"")</f>
        <v>128093.39599615177</v>
      </c>
      <c r="AE280" s="186"/>
      <c r="AF280" s="186">
        <f>IFERROR(_xlfn.XLOOKUP($D280,'Modelling New'!$D:$D,'Modelling New'!$W:$W),"")</f>
        <v>6.8425959399653721E-2</v>
      </c>
      <c r="AG280" s="186">
        <f>IFERROR(_xlfn.XLOOKUP($D280,'Modelling New'!$D:$D,'Modelling New'!$AE:$AE),"")</f>
        <v>0.96029999999999993</v>
      </c>
      <c r="AH280" s="186">
        <f>IFERROR(_xlfn.XLOOKUP($D280,'Modelling New'!$D:$D,'Modelling New'!$AF:$AF),"")</f>
        <v>0.995</v>
      </c>
      <c r="AI280" s="167" t="str">
        <f>IFERROR(_xlfn.XLOOKUP($A280,Input_Raw!$A:$A,Input_Raw!$DE:$DE),"")</f>
        <v/>
      </c>
      <c r="AJ280" s="167"/>
      <c r="AK280" s="167"/>
      <c r="AL280" s="167"/>
      <c r="AM280" s="167"/>
      <c r="AN280" s="188" t="str">
        <f>IFERROR(_xlfn.XLOOKUP($A280,Input_Raw!$A:$A,Input_Raw!$DB:$DB),"")</f>
        <v/>
      </c>
      <c r="AO280" s="186" t="str">
        <f>IFERROR((_xlfn.XLOOKUP($A280,'WTG Reactive Power'!$A:$A,'WTG Reactive Power'!$AR:$AR))/X280/1000,"")</f>
        <v/>
      </c>
      <c r="AP280" s="186">
        <f>IFERROR(_xlfn.XLOOKUP($D280,'Modelling New'!$D:$D,'Modelling New'!$AK:$AK),"")</f>
        <v>0.05</v>
      </c>
      <c r="AQ280" s="186">
        <f>IFERROR(_xlfn.XLOOKUP($D280,'Modelling New'!$D:$D,'Modelling New'!$AL:$AL),"")</f>
        <v>0.05</v>
      </c>
      <c r="AR280">
        <f>IFERROR(_xlfn.XLOOKUP($D280,'Modelling New'!$D:$D,'Modelling New'!$N:$N),"")</f>
        <v>78</v>
      </c>
    </row>
    <row r="281" spans="1:44">
      <c r="A281" s="180">
        <f t="shared" si="22"/>
        <v>46024</v>
      </c>
      <c r="B281" s="169">
        <f>YEAR(Table13[[#This Row],[Date]])+IF(MONTH(Table13[[#This Row],[Date]])&gt;=4,1,0)</f>
        <v>2026</v>
      </c>
      <c r="C281" s="167">
        <f>YEAR(Table13[[#This Row],[Date]])</f>
        <v>2026</v>
      </c>
      <c r="D281" s="181">
        <f>Table13[[#This Row],[Date]]-DAY(Table13[[#This Row],[Date]])+1</f>
        <v>46023</v>
      </c>
      <c r="E281" s="167">
        <f t="shared" si="26"/>
        <v>31</v>
      </c>
      <c r="F281" s="170"/>
      <c r="G281" s="171"/>
      <c r="H281" s="171"/>
      <c r="I281" s="171"/>
      <c r="J281" s="171"/>
      <c r="K281" s="182"/>
      <c r="L281" s="171"/>
      <c r="M281" s="171" t="str">
        <f>IFERROR(_xlfn.XLOOKUP($A281,Input_Raw!$A:$A,Input_Raw!CG:CG),"")</f>
        <v/>
      </c>
      <c r="N281" s="171" t="str">
        <f>IFERROR(_xlfn.XLOOKUP($A281,Input_Raw!$A:$A,Input_Raw!CH:CH),"")</f>
        <v/>
      </c>
      <c r="O281" s="183" t="str">
        <f t="shared" si="27"/>
        <v/>
      </c>
      <c r="P281" s="183" t="str">
        <f>IFERROR(1-SUMIF(WTG_BD!$B:$B,$A281,WTG_BD!$AB:$AB)/($AA281+SUMIF(WTG_BD!$B:$B,$A281,WTG_BD!$AB:$AB)),"")</f>
        <v/>
      </c>
      <c r="Q281" s="184" t="str">
        <f>IFERROR(1-SUMIF(IGA_BD!$B:$B,$A281,IGA_BD!$X:$X)/($AA281+SUMIF(IGA_BD!$B:$B,$A281,IGA_BD!$X:$X)),"")</f>
        <v/>
      </c>
      <c r="R281" s="189" t="str">
        <f>IFERROR(1-SUMIF(Grid_BD!$B:$B,$A281,Grid_BD!$V:$V)/($AA281+SUMIF(Grid_BD!$B:$B,$A281,Grid_BD!$V:$V)),"")</f>
        <v/>
      </c>
      <c r="S281" s="167"/>
      <c r="T281" s="184"/>
      <c r="U281" s="185"/>
      <c r="V281" s="167"/>
      <c r="W281" s="186" t="str">
        <f>IFERROR(Table13[[#This Row],[Mtr_Net_Exp (KWh)]]/(24*AR281*1000),"")</f>
        <v/>
      </c>
      <c r="X281" s="167" t="str">
        <f>IFERROR(_xlfn.XLOOKUP($A281,Input_Raw!$A:$A,Input_Raw!$CF:$CF),"")</f>
        <v/>
      </c>
      <c r="Y281" s="167" t="str">
        <f>IFERROR(_xlfn.XLOOKUP($A281,Input_Raw!$A:$A,Input_Raw!$CZ:$CZ),"")</f>
        <v/>
      </c>
      <c r="Z281" s="167" t="str">
        <f>IFERROR(_xlfn.XLOOKUP($A281,Input_Raw!$A:$A,Input_Raw!$DA:$DA),"")</f>
        <v/>
      </c>
      <c r="AA281" s="169" t="str">
        <f t="shared" si="28"/>
        <v/>
      </c>
      <c r="AB281" s="167" t="str">
        <f>IFERROR(_xlfn.XLOOKUP($A281,Input_Raw!$A:$A,Input_Raw!$DG:$DG),"")</f>
        <v/>
      </c>
      <c r="AC281" s="187">
        <f>IFERROR(_xlfn.XLOOKUP($D281,'Modelling New'!$D:$D,'Modelling New'!$J:$J),"")</f>
        <v>3.8</v>
      </c>
      <c r="AD281" s="169">
        <f>IFERROR(_xlfn.XLOOKUP($D281,'Modelling New'!$D:$D,'Modelling New'!$T:$T)*1000,"")</f>
        <v>128093.39599615177</v>
      </c>
      <c r="AE281" s="186"/>
      <c r="AF281" s="186">
        <f>IFERROR(_xlfn.XLOOKUP($D281,'Modelling New'!$D:$D,'Modelling New'!$W:$W),"")</f>
        <v>6.8425959399653721E-2</v>
      </c>
      <c r="AG281" s="186">
        <f>IFERROR(_xlfn.XLOOKUP($D281,'Modelling New'!$D:$D,'Modelling New'!$AE:$AE),"")</f>
        <v>0.96029999999999993</v>
      </c>
      <c r="AH281" s="186">
        <f>IFERROR(_xlfn.XLOOKUP($D281,'Modelling New'!$D:$D,'Modelling New'!$AF:$AF),"")</f>
        <v>0.995</v>
      </c>
      <c r="AI281" s="167" t="str">
        <f>IFERROR(_xlfn.XLOOKUP($A281,Input_Raw!$A:$A,Input_Raw!$DE:$DE),"")</f>
        <v/>
      </c>
      <c r="AJ281" s="167"/>
      <c r="AK281" s="167"/>
      <c r="AL281" s="167"/>
      <c r="AM281" s="167"/>
      <c r="AN281" s="188" t="str">
        <f>IFERROR(_xlfn.XLOOKUP($A281,Input_Raw!$A:$A,Input_Raw!$DB:$DB),"")</f>
        <v/>
      </c>
      <c r="AO281" s="186" t="str">
        <f>IFERROR((_xlfn.XLOOKUP($A281,'WTG Reactive Power'!$A:$A,'WTG Reactive Power'!$AR:$AR))/X281/1000,"")</f>
        <v/>
      </c>
      <c r="AP281" s="186">
        <f>IFERROR(_xlfn.XLOOKUP($D281,'Modelling New'!$D:$D,'Modelling New'!$AK:$AK),"")</f>
        <v>0.05</v>
      </c>
      <c r="AQ281" s="186">
        <f>IFERROR(_xlfn.XLOOKUP($D281,'Modelling New'!$D:$D,'Modelling New'!$AL:$AL),"")</f>
        <v>0.05</v>
      </c>
      <c r="AR281">
        <f>IFERROR(_xlfn.XLOOKUP($D281,'Modelling New'!$D:$D,'Modelling New'!$N:$N),"")</f>
        <v>78</v>
      </c>
    </row>
    <row r="282" spans="1:44">
      <c r="A282" s="180">
        <f t="shared" si="22"/>
        <v>46025</v>
      </c>
      <c r="B282" s="169">
        <f>YEAR(Table13[[#This Row],[Date]])+IF(MONTH(Table13[[#This Row],[Date]])&gt;=4,1,0)</f>
        <v>2026</v>
      </c>
      <c r="C282" s="167">
        <f>YEAR(Table13[[#This Row],[Date]])</f>
        <v>2026</v>
      </c>
      <c r="D282" s="181">
        <f>Table13[[#This Row],[Date]]-DAY(Table13[[#This Row],[Date]])+1</f>
        <v>46023</v>
      </c>
      <c r="E282" s="167">
        <f t="shared" si="26"/>
        <v>31</v>
      </c>
      <c r="F282" s="170"/>
      <c r="G282" s="171"/>
      <c r="H282" s="171"/>
      <c r="I282" s="171"/>
      <c r="J282" s="171"/>
      <c r="K282" s="182"/>
      <c r="L282" s="171"/>
      <c r="M282" s="171" t="str">
        <f>IFERROR(_xlfn.XLOOKUP($A282,Input_Raw!$A:$A,Input_Raw!CG:CG),"")</f>
        <v/>
      </c>
      <c r="N282" s="171" t="str">
        <f>IFERROR(_xlfn.XLOOKUP($A282,Input_Raw!$A:$A,Input_Raw!CH:CH),"")</f>
        <v/>
      </c>
      <c r="O282" s="183" t="str">
        <f t="shared" si="27"/>
        <v/>
      </c>
      <c r="P282" s="183" t="str">
        <f>IFERROR(1-SUMIF(WTG_BD!$B:$B,$A282,WTG_BD!$AB:$AB)/($AA282+SUMIF(WTG_BD!$B:$B,$A282,WTG_BD!$AB:$AB)),"")</f>
        <v/>
      </c>
      <c r="Q282" s="184" t="str">
        <f>IFERROR(1-SUMIF(IGA_BD!$B:$B,$A282,IGA_BD!$X:$X)/($AA282+SUMIF(IGA_BD!$B:$B,$A282,IGA_BD!$X:$X)),"")</f>
        <v/>
      </c>
      <c r="R282" s="189" t="str">
        <f>IFERROR(1-SUMIF(Grid_BD!$B:$B,$A282,Grid_BD!$V:$V)/($AA282+SUMIF(Grid_BD!$B:$B,$A282,Grid_BD!$V:$V)),"")</f>
        <v/>
      </c>
      <c r="S282" s="167"/>
      <c r="T282" s="184"/>
      <c r="U282" s="185"/>
      <c r="V282" s="167"/>
      <c r="W282" s="186" t="str">
        <f>IFERROR(Table13[[#This Row],[Mtr_Net_Exp (KWh)]]/(24*AR282*1000),"")</f>
        <v/>
      </c>
      <c r="X282" s="167" t="str">
        <f>IFERROR(_xlfn.XLOOKUP($A282,Input_Raw!$A:$A,Input_Raw!$CF:$CF),"")</f>
        <v/>
      </c>
      <c r="Y282" s="167" t="str">
        <f>IFERROR(_xlfn.XLOOKUP($A282,Input_Raw!$A:$A,Input_Raw!$CZ:$CZ),"")</f>
        <v/>
      </c>
      <c r="Z282" s="167" t="str">
        <f>IFERROR(_xlfn.XLOOKUP($A282,Input_Raw!$A:$A,Input_Raw!$DA:$DA),"")</f>
        <v/>
      </c>
      <c r="AA282" s="169" t="str">
        <f t="shared" si="28"/>
        <v/>
      </c>
      <c r="AB282" s="167" t="str">
        <f>IFERROR(_xlfn.XLOOKUP($A282,Input_Raw!$A:$A,Input_Raw!$DG:$DG),"")</f>
        <v/>
      </c>
      <c r="AC282" s="187">
        <f>IFERROR(_xlfn.XLOOKUP($D282,'Modelling New'!$D:$D,'Modelling New'!$J:$J),"")</f>
        <v>3.8</v>
      </c>
      <c r="AD282" s="169">
        <f>IFERROR(_xlfn.XLOOKUP($D282,'Modelling New'!$D:$D,'Modelling New'!$T:$T)*1000,"")</f>
        <v>128093.39599615177</v>
      </c>
      <c r="AE282" s="186"/>
      <c r="AF282" s="186">
        <f>IFERROR(_xlfn.XLOOKUP($D282,'Modelling New'!$D:$D,'Modelling New'!$W:$W),"")</f>
        <v>6.8425959399653721E-2</v>
      </c>
      <c r="AG282" s="186">
        <f>IFERROR(_xlfn.XLOOKUP($D282,'Modelling New'!$D:$D,'Modelling New'!$AE:$AE),"")</f>
        <v>0.96029999999999993</v>
      </c>
      <c r="AH282" s="186">
        <f>IFERROR(_xlfn.XLOOKUP($D282,'Modelling New'!$D:$D,'Modelling New'!$AF:$AF),"")</f>
        <v>0.995</v>
      </c>
      <c r="AI282" s="167" t="str">
        <f>IFERROR(_xlfn.XLOOKUP($A282,Input_Raw!$A:$A,Input_Raw!$DE:$DE),"")</f>
        <v/>
      </c>
      <c r="AJ282" s="167"/>
      <c r="AK282" s="167"/>
      <c r="AL282" s="167"/>
      <c r="AM282" s="167"/>
      <c r="AN282" s="188" t="str">
        <f>IFERROR(_xlfn.XLOOKUP($A282,Input_Raw!$A:$A,Input_Raw!$DB:$DB),"")</f>
        <v/>
      </c>
      <c r="AO282" s="186" t="str">
        <f>IFERROR((_xlfn.XLOOKUP($A282,'WTG Reactive Power'!$A:$A,'WTG Reactive Power'!$AR:$AR))/X282/1000,"")</f>
        <v/>
      </c>
      <c r="AP282" s="186">
        <f>IFERROR(_xlfn.XLOOKUP($D282,'Modelling New'!$D:$D,'Modelling New'!$AK:$AK),"")</f>
        <v>0.05</v>
      </c>
      <c r="AQ282" s="186">
        <f>IFERROR(_xlfn.XLOOKUP($D282,'Modelling New'!$D:$D,'Modelling New'!$AL:$AL),"")</f>
        <v>0.05</v>
      </c>
      <c r="AR282">
        <f>IFERROR(_xlfn.XLOOKUP($D282,'Modelling New'!$D:$D,'Modelling New'!$N:$N),"")</f>
        <v>78</v>
      </c>
    </row>
    <row r="283" spans="1:44">
      <c r="A283" s="180">
        <f t="shared" si="22"/>
        <v>46026</v>
      </c>
      <c r="B283" s="169">
        <f>YEAR(Table13[[#This Row],[Date]])+IF(MONTH(Table13[[#This Row],[Date]])&gt;=4,1,0)</f>
        <v>2026</v>
      </c>
      <c r="C283" s="167">
        <f>YEAR(Table13[[#This Row],[Date]])</f>
        <v>2026</v>
      </c>
      <c r="D283" s="181">
        <f>Table13[[#This Row],[Date]]-DAY(Table13[[#This Row],[Date]])+1</f>
        <v>46023</v>
      </c>
      <c r="E283" s="167">
        <f t="shared" si="26"/>
        <v>31</v>
      </c>
      <c r="F283" s="170"/>
      <c r="G283" s="171"/>
      <c r="H283" s="171"/>
      <c r="I283" s="171"/>
      <c r="J283" s="171"/>
      <c r="K283" s="182"/>
      <c r="L283" s="171"/>
      <c r="M283" s="171" t="str">
        <f>IFERROR(_xlfn.XLOOKUP($A283,Input_Raw!$A:$A,Input_Raw!CG:CG),"")</f>
        <v/>
      </c>
      <c r="N283" s="171" t="str">
        <f>IFERROR(_xlfn.XLOOKUP($A283,Input_Raw!$A:$A,Input_Raw!CH:CH),"")</f>
        <v/>
      </c>
      <c r="O283" s="183" t="str">
        <f t="shared" si="27"/>
        <v/>
      </c>
      <c r="P283" s="183" t="str">
        <f>IFERROR(1-SUMIF(WTG_BD!$B:$B,$A283,WTG_BD!$AB:$AB)/($AA283+SUMIF(WTG_BD!$B:$B,$A283,WTG_BD!$AB:$AB)),"")</f>
        <v/>
      </c>
      <c r="Q283" s="184" t="str">
        <f>IFERROR(1-SUMIF(IGA_BD!$B:$B,$A283,IGA_BD!$X:$X)/($AA283+SUMIF(IGA_BD!$B:$B,$A283,IGA_BD!$X:$X)),"")</f>
        <v/>
      </c>
      <c r="R283" s="189" t="str">
        <f>IFERROR(1-SUMIF(Grid_BD!$B:$B,$A283,Grid_BD!$V:$V)/($AA283+SUMIF(Grid_BD!$B:$B,$A283,Grid_BD!$V:$V)),"")</f>
        <v/>
      </c>
      <c r="S283" s="167"/>
      <c r="T283" s="184"/>
      <c r="U283" s="185"/>
      <c r="V283" s="167"/>
      <c r="W283" s="186" t="str">
        <f>IFERROR(Table13[[#This Row],[Mtr_Net_Exp (KWh)]]/(24*AR283*1000),"")</f>
        <v/>
      </c>
      <c r="X283" s="167" t="str">
        <f>IFERROR(_xlfn.XLOOKUP($A283,Input_Raw!$A:$A,Input_Raw!$CF:$CF),"")</f>
        <v/>
      </c>
      <c r="Y283" s="167" t="str">
        <f>IFERROR(_xlfn.XLOOKUP($A283,Input_Raw!$A:$A,Input_Raw!$CZ:$CZ),"")</f>
        <v/>
      </c>
      <c r="Z283" s="167" t="str">
        <f>IFERROR(_xlfn.XLOOKUP($A283,Input_Raw!$A:$A,Input_Raw!$DA:$DA),"")</f>
        <v/>
      </c>
      <c r="AA283" s="169" t="str">
        <f t="shared" si="28"/>
        <v/>
      </c>
      <c r="AB283" s="167" t="str">
        <f>IFERROR(_xlfn.XLOOKUP($A283,Input_Raw!$A:$A,Input_Raw!$DG:$DG),"")</f>
        <v/>
      </c>
      <c r="AC283" s="187">
        <f>IFERROR(_xlfn.XLOOKUP($D283,'Modelling New'!$D:$D,'Modelling New'!$J:$J),"")</f>
        <v>3.8</v>
      </c>
      <c r="AD283" s="169">
        <f>IFERROR(_xlfn.XLOOKUP($D283,'Modelling New'!$D:$D,'Modelling New'!$T:$T)*1000,"")</f>
        <v>128093.39599615177</v>
      </c>
      <c r="AE283" s="186"/>
      <c r="AF283" s="186">
        <f>IFERROR(_xlfn.XLOOKUP($D283,'Modelling New'!$D:$D,'Modelling New'!$W:$W),"")</f>
        <v>6.8425959399653721E-2</v>
      </c>
      <c r="AG283" s="186">
        <f>IFERROR(_xlfn.XLOOKUP($D283,'Modelling New'!$D:$D,'Modelling New'!$AE:$AE),"")</f>
        <v>0.96029999999999993</v>
      </c>
      <c r="AH283" s="186">
        <f>IFERROR(_xlfn.XLOOKUP($D283,'Modelling New'!$D:$D,'Modelling New'!$AF:$AF),"")</f>
        <v>0.995</v>
      </c>
      <c r="AI283" s="167" t="str">
        <f>IFERROR(_xlfn.XLOOKUP($A283,Input_Raw!$A:$A,Input_Raw!$DE:$DE),"")</f>
        <v/>
      </c>
      <c r="AJ283" s="167"/>
      <c r="AK283" s="167"/>
      <c r="AL283" s="167"/>
      <c r="AM283" s="167"/>
      <c r="AN283" s="188" t="str">
        <f>IFERROR(_xlfn.XLOOKUP($A283,Input_Raw!$A:$A,Input_Raw!$DB:$DB),"")</f>
        <v/>
      </c>
      <c r="AO283" s="186" t="str">
        <f>IFERROR((_xlfn.XLOOKUP($A283,'WTG Reactive Power'!$A:$A,'WTG Reactive Power'!$AR:$AR))/X283/1000,"")</f>
        <v/>
      </c>
      <c r="AP283" s="186">
        <f>IFERROR(_xlfn.XLOOKUP($D283,'Modelling New'!$D:$D,'Modelling New'!$AK:$AK),"")</f>
        <v>0.05</v>
      </c>
      <c r="AQ283" s="186">
        <f>IFERROR(_xlfn.XLOOKUP($D283,'Modelling New'!$D:$D,'Modelling New'!$AL:$AL),"")</f>
        <v>0.05</v>
      </c>
      <c r="AR283">
        <f>IFERROR(_xlfn.XLOOKUP($D283,'Modelling New'!$D:$D,'Modelling New'!$N:$N),"")</f>
        <v>78</v>
      </c>
    </row>
    <row r="284" spans="1:44">
      <c r="A284" s="180">
        <f t="shared" si="22"/>
        <v>46027</v>
      </c>
      <c r="B284" s="169">
        <f>YEAR(Table13[[#This Row],[Date]])+IF(MONTH(Table13[[#This Row],[Date]])&gt;=4,1,0)</f>
        <v>2026</v>
      </c>
      <c r="C284" s="167">
        <f>YEAR(Table13[[#This Row],[Date]])</f>
        <v>2026</v>
      </c>
      <c r="D284" s="181">
        <f>Table13[[#This Row],[Date]]-DAY(Table13[[#This Row],[Date]])+1</f>
        <v>46023</v>
      </c>
      <c r="E284" s="167">
        <f t="shared" si="26"/>
        <v>31</v>
      </c>
      <c r="F284" s="170"/>
      <c r="G284" s="171"/>
      <c r="H284" s="171"/>
      <c r="I284" s="171"/>
      <c r="J284" s="171"/>
      <c r="K284" s="182"/>
      <c r="L284" s="171"/>
      <c r="M284" s="171" t="str">
        <f>IFERROR(_xlfn.XLOOKUP($A284,Input_Raw!$A:$A,Input_Raw!CG:CG),"")</f>
        <v/>
      </c>
      <c r="N284" s="171" t="str">
        <f>IFERROR(_xlfn.XLOOKUP($A284,Input_Raw!$A:$A,Input_Raw!CH:CH),"")</f>
        <v/>
      </c>
      <c r="O284" s="183" t="str">
        <f t="shared" si="27"/>
        <v/>
      </c>
      <c r="P284" s="183" t="str">
        <f>IFERROR(1-SUMIF(WTG_BD!$B:$B,$A284,WTG_BD!$AB:$AB)/($AA284+SUMIF(WTG_BD!$B:$B,$A284,WTG_BD!$AB:$AB)),"")</f>
        <v/>
      </c>
      <c r="Q284" s="184" t="str">
        <f>IFERROR(1-SUMIF(IGA_BD!$B:$B,$A284,IGA_BD!$X:$X)/($AA284+SUMIF(IGA_BD!$B:$B,$A284,IGA_BD!$X:$X)),"")</f>
        <v/>
      </c>
      <c r="R284" s="189" t="str">
        <f>IFERROR(1-SUMIF(Grid_BD!$B:$B,$A284,Grid_BD!$V:$V)/($AA284+SUMIF(Grid_BD!$B:$B,$A284,Grid_BD!$V:$V)),"")</f>
        <v/>
      </c>
      <c r="S284" s="167"/>
      <c r="T284" s="184"/>
      <c r="U284" s="185"/>
      <c r="V284" s="167"/>
      <c r="W284" s="186" t="str">
        <f>IFERROR(Table13[[#This Row],[Mtr_Net_Exp (KWh)]]/(24*AR284*1000),"")</f>
        <v/>
      </c>
      <c r="X284" s="167" t="str">
        <f>IFERROR(_xlfn.XLOOKUP($A284,Input_Raw!$A:$A,Input_Raw!$CF:$CF),"")</f>
        <v/>
      </c>
      <c r="Y284" s="167" t="str">
        <f>IFERROR(_xlfn.XLOOKUP($A284,Input_Raw!$A:$A,Input_Raw!$CZ:$CZ),"")</f>
        <v/>
      </c>
      <c r="Z284" s="167" t="str">
        <f>IFERROR(_xlfn.XLOOKUP($A284,Input_Raw!$A:$A,Input_Raw!$DA:$DA),"")</f>
        <v/>
      </c>
      <c r="AA284" s="169" t="str">
        <f t="shared" si="28"/>
        <v/>
      </c>
      <c r="AB284" s="167" t="str">
        <f>IFERROR(_xlfn.XLOOKUP($A284,Input_Raw!$A:$A,Input_Raw!$DG:$DG),"")</f>
        <v/>
      </c>
      <c r="AC284" s="187">
        <f>IFERROR(_xlfn.XLOOKUP($D284,'Modelling New'!$D:$D,'Modelling New'!$J:$J),"")</f>
        <v>3.8</v>
      </c>
      <c r="AD284" s="169">
        <f>IFERROR(_xlfn.XLOOKUP($D284,'Modelling New'!$D:$D,'Modelling New'!$T:$T)*1000,"")</f>
        <v>128093.39599615177</v>
      </c>
      <c r="AE284" s="186"/>
      <c r="AF284" s="186">
        <f>IFERROR(_xlfn.XLOOKUP($D284,'Modelling New'!$D:$D,'Modelling New'!$W:$W),"")</f>
        <v>6.8425959399653721E-2</v>
      </c>
      <c r="AG284" s="186">
        <f>IFERROR(_xlfn.XLOOKUP($D284,'Modelling New'!$D:$D,'Modelling New'!$AE:$AE),"")</f>
        <v>0.96029999999999993</v>
      </c>
      <c r="AH284" s="186">
        <f>IFERROR(_xlfn.XLOOKUP($D284,'Modelling New'!$D:$D,'Modelling New'!$AF:$AF),"")</f>
        <v>0.995</v>
      </c>
      <c r="AI284" s="167" t="str">
        <f>IFERROR(_xlfn.XLOOKUP($A284,Input_Raw!$A:$A,Input_Raw!$DE:$DE),"")</f>
        <v/>
      </c>
      <c r="AJ284" s="167"/>
      <c r="AK284" s="167"/>
      <c r="AL284" s="167"/>
      <c r="AM284" s="167"/>
      <c r="AN284" s="188" t="str">
        <f>IFERROR(_xlfn.XLOOKUP($A284,Input_Raw!$A:$A,Input_Raw!$DB:$DB),"")</f>
        <v/>
      </c>
      <c r="AO284" s="186" t="str">
        <f>IFERROR((_xlfn.XLOOKUP($A284,'WTG Reactive Power'!$A:$A,'WTG Reactive Power'!$AR:$AR))/X284/1000,"")</f>
        <v/>
      </c>
      <c r="AP284" s="186">
        <f>IFERROR(_xlfn.XLOOKUP($D284,'Modelling New'!$D:$D,'Modelling New'!$AK:$AK),"")</f>
        <v>0.05</v>
      </c>
      <c r="AQ284" s="186">
        <f>IFERROR(_xlfn.XLOOKUP($D284,'Modelling New'!$D:$D,'Modelling New'!$AL:$AL),"")</f>
        <v>0.05</v>
      </c>
      <c r="AR284">
        <f>IFERROR(_xlfn.XLOOKUP($D284,'Modelling New'!$D:$D,'Modelling New'!$N:$N),"")</f>
        <v>78</v>
      </c>
    </row>
    <row r="285" spans="1:44">
      <c r="A285" s="180">
        <f t="shared" si="22"/>
        <v>46028</v>
      </c>
      <c r="B285" s="169">
        <f>YEAR(Table13[[#This Row],[Date]])+IF(MONTH(Table13[[#This Row],[Date]])&gt;=4,1,0)</f>
        <v>2026</v>
      </c>
      <c r="C285" s="167">
        <f>YEAR(Table13[[#This Row],[Date]])</f>
        <v>2026</v>
      </c>
      <c r="D285" s="181">
        <f>Table13[[#This Row],[Date]]-DAY(Table13[[#This Row],[Date]])+1</f>
        <v>46023</v>
      </c>
      <c r="E285" s="167">
        <f t="shared" si="26"/>
        <v>31</v>
      </c>
      <c r="F285" s="170"/>
      <c r="G285" s="171"/>
      <c r="H285" s="171"/>
      <c r="I285" s="171"/>
      <c r="J285" s="171"/>
      <c r="K285" s="182"/>
      <c r="L285" s="171"/>
      <c r="M285" s="171" t="str">
        <f>IFERROR(_xlfn.XLOOKUP($A285,Input_Raw!$A:$A,Input_Raw!CG:CG),"")</f>
        <v/>
      </c>
      <c r="N285" s="171" t="str">
        <f>IFERROR(_xlfn.XLOOKUP($A285,Input_Raw!$A:$A,Input_Raw!CH:CH),"")</f>
        <v/>
      </c>
      <c r="O285" s="183" t="str">
        <f t="shared" si="27"/>
        <v/>
      </c>
      <c r="P285" s="183" t="str">
        <f>IFERROR(1-SUMIF(WTG_BD!$B:$B,$A285,WTG_BD!$AB:$AB)/($AA285+SUMIF(WTG_BD!$B:$B,$A285,WTG_BD!$AB:$AB)),"")</f>
        <v/>
      </c>
      <c r="Q285" s="184" t="str">
        <f>IFERROR(1-SUMIF(IGA_BD!$B:$B,$A285,IGA_BD!$X:$X)/($AA285+SUMIF(IGA_BD!$B:$B,$A285,IGA_BD!$X:$X)),"")</f>
        <v/>
      </c>
      <c r="R285" s="189" t="str">
        <f>IFERROR(1-SUMIF(Grid_BD!$B:$B,$A285,Grid_BD!$V:$V)/($AA285+SUMIF(Grid_BD!$B:$B,$A285,Grid_BD!$V:$V)),"")</f>
        <v/>
      </c>
      <c r="S285" s="167"/>
      <c r="T285" s="184"/>
      <c r="U285" s="185"/>
      <c r="V285" s="167"/>
      <c r="W285" s="186" t="str">
        <f>IFERROR(Table13[[#This Row],[Mtr_Net_Exp (KWh)]]/(24*AR285*1000),"")</f>
        <v/>
      </c>
      <c r="X285" s="167" t="str">
        <f>IFERROR(_xlfn.XLOOKUP($A285,Input_Raw!$A:$A,Input_Raw!$CF:$CF),"")</f>
        <v/>
      </c>
      <c r="Y285" s="167" t="str">
        <f>IFERROR(_xlfn.XLOOKUP($A285,Input_Raw!$A:$A,Input_Raw!$CZ:$CZ),"")</f>
        <v/>
      </c>
      <c r="Z285" s="167" t="str">
        <f>IFERROR(_xlfn.XLOOKUP($A285,Input_Raw!$A:$A,Input_Raw!$DA:$DA),"")</f>
        <v/>
      </c>
      <c r="AA285" s="169" t="str">
        <f t="shared" si="28"/>
        <v/>
      </c>
      <c r="AB285" s="167" t="str">
        <f>IFERROR(_xlfn.XLOOKUP($A285,Input_Raw!$A:$A,Input_Raw!$DG:$DG),"")</f>
        <v/>
      </c>
      <c r="AC285" s="187">
        <f>IFERROR(_xlfn.XLOOKUP($D285,'Modelling New'!$D:$D,'Modelling New'!$J:$J),"")</f>
        <v>3.8</v>
      </c>
      <c r="AD285" s="169">
        <f>IFERROR(_xlfn.XLOOKUP($D285,'Modelling New'!$D:$D,'Modelling New'!$T:$T)*1000,"")</f>
        <v>128093.39599615177</v>
      </c>
      <c r="AE285" s="186"/>
      <c r="AF285" s="186">
        <f>IFERROR(_xlfn.XLOOKUP($D285,'Modelling New'!$D:$D,'Modelling New'!$W:$W),"")</f>
        <v>6.8425959399653721E-2</v>
      </c>
      <c r="AG285" s="186">
        <f>IFERROR(_xlfn.XLOOKUP($D285,'Modelling New'!$D:$D,'Modelling New'!$AE:$AE),"")</f>
        <v>0.96029999999999993</v>
      </c>
      <c r="AH285" s="186">
        <f>IFERROR(_xlfn.XLOOKUP($D285,'Modelling New'!$D:$D,'Modelling New'!$AF:$AF),"")</f>
        <v>0.995</v>
      </c>
      <c r="AI285" s="167" t="str">
        <f>IFERROR(_xlfn.XLOOKUP($A285,Input_Raw!$A:$A,Input_Raw!$DE:$DE),"")</f>
        <v/>
      </c>
      <c r="AJ285" s="167"/>
      <c r="AK285" s="167"/>
      <c r="AL285" s="167"/>
      <c r="AM285" s="167"/>
      <c r="AN285" s="188" t="str">
        <f>IFERROR(_xlfn.XLOOKUP($A285,Input_Raw!$A:$A,Input_Raw!$DB:$DB),"")</f>
        <v/>
      </c>
      <c r="AO285" s="186" t="str">
        <f>IFERROR((_xlfn.XLOOKUP($A285,'WTG Reactive Power'!$A:$A,'WTG Reactive Power'!$AR:$AR))/X285/1000,"")</f>
        <v/>
      </c>
      <c r="AP285" s="186">
        <f>IFERROR(_xlfn.XLOOKUP($D285,'Modelling New'!$D:$D,'Modelling New'!$AK:$AK),"")</f>
        <v>0.05</v>
      </c>
      <c r="AQ285" s="186">
        <f>IFERROR(_xlfn.XLOOKUP($D285,'Modelling New'!$D:$D,'Modelling New'!$AL:$AL),"")</f>
        <v>0.05</v>
      </c>
      <c r="AR285">
        <f>IFERROR(_xlfn.XLOOKUP($D285,'Modelling New'!$D:$D,'Modelling New'!$N:$N),"")</f>
        <v>78</v>
      </c>
    </row>
    <row r="286" spans="1:44">
      <c r="A286" s="180">
        <f t="shared" si="22"/>
        <v>46029</v>
      </c>
      <c r="B286" s="169">
        <f>YEAR(Table13[[#This Row],[Date]])+IF(MONTH(Table13[[#This Row],[Date]])&gt;=4,1,0)</f>
        <v>2026</v>
      </c>
      <c r="C286" s="167">
        <f>YEAR(Table13[[#This Row],[Date]])</f>
        <v>2026</v>
      </c>
      <c r="D286" s="181">
        <f>Table13[[#This Row],[Date]]-DAY(Table13[[#This Row],[Date]])+1</f>
        <v>46023</v>
      </c>
      <c r="E286" s="167">
        <f t="shared" si="26"/>
        <v>31</v>
      </c>
      <c r="F286" s="170"/>
      <c r="G286" s="171"/>
      <c r="H286" s="171"/>
      <c r="I286" s="171"/>
      <c r="J286" s="171"/>
      <c r="K286" s="182"/>
      <c r="L286" s="171"/>
      <c r="M286" s="171" t="str">
        <f>IFERROR(_xlfn.XLOOKUP($A286,Input_Raw!$A:$A,Input_Raw!CG:CG),"")</f>
        <v/>
      </c>
      <c r="N286" s="171" t="str">
        <f>IFERROR(_xlfn.XLOOKUP($A286,Input_Raw!$A:$A,Input_Raw!CH:CH),"")</f>
        <v/>
      </c>
      <c r="O286" s="183" t="str">
        <f t="shared" si="27"/>
        <v/>
      </c>
      <c r="P286" s="183" t="str">
        <f>IFERROR(1-SUMIF(WTG_BD!$B:$B,$A286,WTG_BD!$AB:$AB)/($AA286+SUMIF(WTG_BD!$B:$B,$A286,WTG_BD!$AB:$AB)),"")</f>
        <v/>
      </c>
      <c r="Q286" s="184" t="str">
        <f>IFERROR(1-SUMIF(IGA_BD!$B:$B,$A286,IGA_BD!$X:$X)/($AA286+SUMIF(IGA_BD!$B:$B,$A286,IGA_BD!$X:$X)),"")</f>
        <v/>
      </c>
      <c r="R286" s="189" t="str">
        <f>IFERROR(1-SUMIF(Grid_BD!$B:$B,$A286,Grid_BD!$V:$V)/($AA286+SUMIF(Grid_BD!$B:$B,$A286,Grid_BD!$V:$V)),"")</f>
        <v/>
      </c>
      <c r="S286" s="167"/>
      <c r="T286" s="184"/>
      <c r="U286" s="185"/>
      <c r="V286" s="167"/>
      <c r="W286" s="186" t="str">
        <f>IFERROR(Table13[[#This Row],[Mtr_Net_Exp (KWh)]]/(24*AR286*1000),"")</f>
        <v/>
      </c>
      <c r="X286" s="167" t="str">
        <f>IFERROR(_xlfn.XLOOKUP($A286,Input_Raw!$A:$A,Input_Raw!$CF:$CF),"")</f>
        <v/>
      </c>
      <c r="Y286" s="167" t="str">
        <f>IFERROR(_xlfn.XLOOKUP($A286,Input_Raw!$A:$A,Input_Raw!$CZ:$CZ),"")</f>
        <v/>
      </c>
      <c r="Z286" s="167" t="str">
        <f>IFERROR(_xlfn.XLOOKUP($A286,Input_Raw!$A:$A,Input_Raw!$DA:$DA),"")</f>
        <v/>
      </c>
      <c r="AA286" s="169" t="str">
        <f t="shared" si="28"/>
        <v/>
      </c>
      <c r="AB286" s="167" t="str">
        <f>IFERROR(_xlfn.XLOOKUP($A286,Input_Raw!$A:$A,Input_Raw!$DG:$DG),"")</f>
        <v/>
      </c>
      <c r="AC286" s="187">
        <f>IFERROR(_xlfn.XLOOKUP($D286,'Modelling New'!$D:$D,'Modelling New'!$J:$J),"")</f>
        <v>3.8</v>
      </c>
      <c r="AD286" s="169">
        <f>IFERROR(_xlfn.XLOOKUP($D286,'Modelling New'!$D:$D,'Modelling New'!$T:$T)*1000,"")</f>
        <v>128093.39599615177</v>
      </c>
      <c r="AE286" s="186"/>
      <c r="AF286" s="186">
        <f>IFERROR(_xlfn.XLOOKUP($D286,'Modelling New'!$D:$D,'Modelling New'!$W:$W),"")</f>
        <v>6.8425959399653721E-2</v>
      </c>
      <c r="AG286" s="186">
        <f>IFERROR(_xlfn.XLOOKUP($D286,'Modelling New'!$D:$D,'Modelling New'!$AE:$AE),"")</f>
        <v>0.96029999999999993</v>
      </c>
      <c r="AH286" s="186">
        <f>IFERROR(_xlfn.XLOOKUP($D286,'Modelling New'!$D:$D,'Modelling New'!$AF:$AF),"")</f>
        <v>0.995</v>
      </c>
      <c r="AI286" s="167" t="str">
        <f>IFERROR(_xlfn.XLOOKUP($A286,Input_Raw!$A:$A,Input_Raw!$DE:$DE),"")</f>
        <v/>
      </c>
      <c r="AJ286" s="167"/>
      <c r="AK286" s="167"/>
      <c r="AL286" s="167"/>
      <c r="AM286" s="167"/>
      <c r="AN286" s="188" t="str">
        <f>IFERROR(_xlfn.XLOOKUP($A286,Input_Raw!$A:$A,Input_Raw!$DB:$DB),"")</f>
        <v/>
      </c>
      <c r="AO286" s="186" t="str">
        <f>IFERROR((_xlfn.XLOOKUP($A286,'WTG Reactive Power'!$A:$A,'WTG Reactive Power'!$AR:$AR))/X286/1000,"")</f>
        <v/>
      </c>
      <c r="AP286" s="186">
        <f>IFERROR(_xlfn.XLOOKUP($D286,'Modelling New'!$D:$D,'Modelling New'!$AK:$AK),"")</f>
        <v>0.05</v>
      </c>
      <c r="AQ286" s="186">
        <f>IFERROR(_xlfn.XLOOKUP($D286,'Modelling New'!$D:$D,'Modelling New'!$AL:$AL),"")</f>
        <v>0.05</v>
      </c>
      <c r="AR286">
        <f>IFERROR(_xlfn.XLOOKUP($D286,'Modelling New'!$D:$D,'Modelling New'!$N:$N),"")</f>
        <v>78</v>
      </c>
    </row>
    <row r="287" spans="1:44">
      <c r="A287" s="180">
        <f t="shared" si="22"/>
        <v>46030</v>
      </c>
      <c r="B287" s="169">
        <f>YEAR(Table13[[#This Row],[Date]])+IF(MONTH(Table13[[#This Row],[Date]])&gt;=4,1,0)</f>
        <v>2026</v>
      </c>
      <c r="C287" s="167">
        <f>YEAR(Table13[[#This Row],[Date]])</f>
        <v>2026</v>
      </c>
      <c r="D287" s="181">
        <f>Table13[[#This Row],[Date]]-DAY(Table13[[#This Row],[Date]])+1</f>
        <v>46023</v>
      </c>
      <c r="E287" s="167">
        <f t="shared" si="26"/>
        <v>31</v>
      </c>
      <c r="F287" s="170"/>
      <c r="G287" s="171"/>
      <c r="H287" s="171"/>
      <c r="I287" s="171"/>
      <c r="J287" s="171"/>
      <c r="K287" s="182"/>
      <c r="L287" s="171"/>
      <c r="M287" s="171" t="str">
        <f>IFERROR(_xlfn.XLOOKUP($A287,Input_Raw!$A:$A,Input_Raw!CG:CG),"")</f>
        <v/>
      </c>
      <c r="N287" s="171" t="str">
        <f>IFERROR(_xlfn.XLOOKUP($A287,Input_Raw!$A:$A,Input_Raw!CH:CH),"")</f>
        <v/>
      </c>
      <c r="O287" s="183" t="str">
        <f t="shared" si="27"/>
        <v/>
      </c>
      <c r="P287" s="183" t="str">
        <f>IFERROR(1-SUMIF(WTG_BD!$B:$B,$A287,WTG_BD!$AB:$AB)/($AA287+SUMIF(WTG_BD!$B:$B,$A287,WTG_BD!$AB:$AB)),"")</f>
        <v/>
      </c>
      <c r="Q287" s="184" t="str">
        <f>IFERROR(1-SUMIF(IGA_BD!$B:$B,$A287,IGA_BD!$X:$X)/($AA287+SUMIF(IGA_BD!$B:$B,$A287,IGA_BD!$X:$X)),"")</f>
        <v/>
      </c>
      <c r="R287" s="189" t="str">
        <f>IFERROR(1-SUMIF(Grid_BD!$B:$B,$A287,Grid_BD!$V:$V)/($AA287+SUMIF(Grid_BD!$B:$B,$A287,Grid_BD!$V:$V)),"")</f>
        <v/>
      </c>
      <c r="S287" s="167"/>
      <c r="T287" s="184"/>
      <c r="U287" s="185"/>
      <c r="V287" s="167"/>
      <c r="W287" s="186" t="str">
        <f>IFERROR(Table13[[#This Row],[Mtr_Net_Exp (KWh)]]/(24*AR287*1000),"")</f>
        <v/>
      </c>
      <c r="X287" s="167" t="str">
        <f>IFERROR(_xlfn.XLOOKUP($A287,Input_Raw!$A:$A,Input_Raw!$CF:$CF),"")</f>
        <v/>
      </c>
      <c r="Y287" s="167" t="str">
        <f>IFERROR(_xlfn.XLOOKUP($A287,Input_Raw!$A:$A,Input_Raw!$CZ:$CZ),"")</f>
        <v/>
      </c>
      <c r="Z287" s="167" t="str">
        <f>IFERROR(_xlfn.XLOOKUP($A287,Input_Raw!$A:$A,Input_Raw!$DA:$DA),"")</f>
        <v/>
      </c>
      <c r="AA287" s="169" t="str">
        <f t="shared" si="28"/>
        <v/>
      </c>
      <c r="AB287" s="167" t="str">
        <f>IFERROR(_xlfn.XLOOKUP($A287,Input_Raw!$A:$A,Input_Raw!$DG:$DG),"")</f>
        <v/>
      </c>
      <c r="AC287" s="187">
        <f>IFERROR(_xlfn.XLOOKUP($D287,'Modelling New'!$D:$D,'Modelling New'!$J:$J),"")</f>
        <v>3.8</v>
      </c>
      <c r="AD287" s="169">
        <f>IFERROR(_xlfn.XLOOKUP($D287,'Modelling New'!$D:$D,'Modelling New'!$T:$T)*1000,"")</f>
        <v>128093.39599615177</v>
      </c>
      <c r="AE287" s="186"/>
      <c r="AF287" s="186">
        <f>IFERROR(_xlfn.XLOOKUP($D287,'Modelling New'!$D:$D,'Modelling New'!$W:$W),"")</f>
        <v>6.8425959399653721E-2</v>
      </c>
      <c r="AG287" s="186">
        <f>IFERROR(_xlfn.XLOOKUP($D287,'Modelling New'!$D:$D,'Modelling New'!$AE:$AE),"")</f>
        <v>0.96029999999999993</v>
      </c>
      <c r="AH287" s="186">
        <f>IFERROR(_xlfn.XLOOKUP($D287,'Modelling New'!$D:$D,'Modelling New'!$AF:$AF),"")</f>
        <v>0.995</v>
      </c>
      <c r="AI287" s="167" t="str">
        <f>IFERROR(_xlfn.XLOOKUP($A287,Input_Raw!$A:$A,Input_Raw!$DE:$DE),"")</f>
        <v/>
      </c>
      <c r="AJ287" s="167"/>
      <c r="AK287" s="167"/>
      <c r="AL287" s="167"/>
      <c r="AM287" s="167"/>
      <c r="AN287" s="188" t="str">
        <f>IFERROR(_xlfn.XLOOKUP($A287,Input_Raw!$A:$A,Input_Raw!$DB:$DB),"")</f>
        <v/>
      </c>
      <c r="AO287" s="186" t="str">
        <f>IFERROR((_xlfn.XLOOKUP($A287,'WTG Reactive Power'!$A:$A,'WTG Reactive Power'!$AR:$AR))/X287/1000,"")</f>
        <v/>
      </c>
      <c r="AP287" s="186">
        <f>IFERROR(_xlfn.XLOOKUP($D287,'Modelling New'!$D:$D,'Modelling New'!$AK:$AK),"")</f>
        <v>0.05</v>
      </c>
      <c r="AQ287" s="186">
        <f>IFERROR(_xlfn.XLOOKUP($D287,'Modelling New'!$D:$D,'Modelling New'!$AL:$AL),"")</f>
        <v>0.05</v>
      </c>
      <c r="AR287">
        <f>IFERROR(_xlfn.XLOOKUP($D287,'Modelling New'!$D:$D,'Modelling New'!$N:$N),"")</f>
        <v>78</v>
      </c>
    </row>
    <row r="288" spans="1:44">
      <c r="A288" s="180">
        <f t="shared" si="22"/>
        <v>46031</v>
      </c>
      <c r="B288" s="169">
        <f>YEAR(Table13[[#This Row],[Date]])+IF(MONTH(Table13[[#This Row],[Date]])&gt;=4,1,0)</f>
        <v>2026</v>
      </c>
      <c r="C288" s="167">
        <f>YEAR(Table13[[#This Row],[Date]])</f>
        <v>2026</v>
      </c>
      <c r="D288" s="181">
        <f>Table13[[#This Row],[Date]]-DAY(Table13[[#This Row],[Date]])+1</f>
        <v>46023</v>
      </c>
      <c r="E288" s="167">
        <f t="shared" si="26"/>
        <v>31</v>
      </c>
      <c r="F288" s="170"/>
      <c r="G288" s="171"/>
      <c r="H288" s="171"/>
      <c r="I288" s="171"/>
      <c r="J288" s="171"/>
      <c r="K288" s="182"/>
      <c r="L288" s="171"/>
      <c r="M288" s="171" t="str">
        <f>IFERROR(_xlfn.XLOOKUP($A288,Input_Raw!$A:$A,Input_Raw!CG:CG),"")</f>
        <v/>
      </c>
      <c r="N288" s="171" t="str">
        <f>IFERROR(_xlfn.XLOOKUP($A288,Input_Raw!$A:$A,Input_Raw!CH:CH),"")</f>
        <v/>
      </c>
      <c r="O288" s="183" t="str">
        <f t="shared" si="27"/>
        <v/>
      </c>
      <c r="P288" s="183" t="str">
        <f>IFERROR(1-SUMIF(WTG_BD!$B:$B,$A288,WTG_BD!$AB:$AB)/($AA288+SUMIF(WTG_BD!$B:$B,$A288,WTG_BD!$AB:$AB)),"")</f>
        <v/>
      </c>
      <c r="Q288" s="184" t="str">
        <f>IFERROR(1-SUMIF(IGA_BD!$B:$B,$A288,IGA_BD!$X:$X)/($AA288+SUMIF(IGA_BD!$B:$B,$A288,IGA_BD!$X:$X)),"")</f>
        <v/>
      </c>
      <c r="R288" s="189" t="str">
        <f>IFERROR(1-SUMIF(Grid_BD!$B:$B,$A288,Grid_BD!$V:$V)/($AA288+SUMIF(Grid_BD!$B:$B,$A288,Grid_BD!$V:$V)),"")</f>
        <v/>
      </c>
      <c r="S288" s="167"/>
      <c r="T288" s="184"/>
      <c r="U288" s="185"/>
      <c r="V288" s="167"/>
      <c r="W288" s="186" t="str">
        <f>IFERROR(Table13[[#This Row],[Mtr_Net_Exp (KWh)]]/(24*AR288*1000),"")</f>
        <v/>
      </c>
      <c r="X288" s="167" t="str">
        <f>IFERROR(_xlfn.XLOOKUP($A288,Input_Raw!$A:$A,Input_Raw!$CF:$CF),"")</f>
        <v/>
      </c>
      <c r="Y288" s="167" t="str">
        <f>IFERROR(_xlfn.XLOOKUP($A288,Input_Raw!$A:$A,Input_Raw!$CZ:$CZ),"")</f>
        <v/>
      </c>
      <c r="Z288" s="167" t="str">
        <f>IFERROR(_xlfn.XLOOKUP($A288,Input_Raw!$A:$A,Input_Raw!$DA:$DA),"")</f>
        <v/>
      </c>
      <c r="AA288" s="169" t="str">
        <f t="shared" si="28"/>
        <v/>
      </c>
      <c r="AB288" s="167" t="str">
        <f>IFERROR(_xlfn.XLOOKUP($A288,Input_Raw!$A:$A,Input_Raw!$DG:$DG),"")</f>
        <v/>
      </c>
      <c r="AC288" s="187">
        <f>IFERROR(_xlfn.XLOOKUP($D288,'Modelling New'!$D:$D,'Modelling New'!$J:$J),"")</f>
        <v>3.8</v>
      </c>
      <c r="AD288" s="169">
        <f>IFERROR(_xlfn.XLOOKUP($D288,'Modelling New'!$D:$D,'Modelling New'!$T:$T)*1000,"")</f>
        <v>128093.39599615177</v>
      </c>
      <c r="AE288" s="186"/>
      <c r="AF288" s="186">
        <f>IFERROR(_xlfn.XLOOKUP($D288,'Modelling New'!$D:$D,'Modelling New'!$W:$W),"")</f>
        <v>6.8425959399653721E-2</v>
      </c>
      <c r="AG288" s="186">
        <f>IFERROR(_xlfn.XLOOKUP($D288,'Modelling New'!$D:$D,'Modelling New'!$AE:$AE),"")</f>
        <v>0.96029999999999993</v>
      </c>
      <c r="AH288" s="186">
        <f>IFERROR(_xlfn.XLOOKUP($D288,'Modelling New'!$D:$D,'Modelling New'!$AF:$AF),"")</f>
        <v>0.995</v>
      </c>
      <c r="AI288" s="167" t="str">
        <f>IFERROR(_xlfn.XLOOKUP($A288,Input_Raw!$A:$A,Input_Raw!$DE:$DE),"")</f>
        <v/>
      </c>
      <c r="AJ288" s="167"/>
      <c r="AK288" s="167"/>
      <c r="AL288" s="167"/>
      <c r="AM288" s="167"/>
      <c r="AN288" s="188" t="str">
        <f>IFERROR(_xlfn.XLOOKUP($A288,Input_Raw!$A:$A,Input_Raw!$DB:$DB),"")</f>
        <v/>
      </c>
      <c r="AO288" s="186" t="str">
        <f>IFERROR((_xlfn.XLOOKUP($A288,'WTG Reactive Power'!$A:$A,'WTG Reactive Power'!$AR:$AR))/X288/1000,"")</f>
        <v/>
      </c>
      <c r="AP288" s="186">
        <f>IFERROR(_xlfn.XLOOKUP($D288,'Modelling New'!$D:$D,'Modelling New'!$AK:$AK),"")</f>
        <v>0.05</v>
      </c>
      <c r="AQ288" s="186">
        <f>IFERROR(_xlfn.XLOOKUP($D288,'Modelling New'!$D:$D,'Modelling New'!$AL:$AL),"")</f>
        <v>0.05</v>
      </c>
      <c r="AR288">
        <f>IFERROR(_xlfn.XLOOKUP($D288,'Modelling New'!$D:$D,'Modelling New'!$N:$N),"")</f>
        <v>78</v>
      </c>
    </row>
    <row r="289" spans="1:44">
      <c r="A289" s="180">
        <f t="shared" si="22"/>
        <v>46032</v>
      </c>
      <c r="B289" s="169">
        <f>YEAR(Table13[[#This Row],[Date]])+IF(MONTH(Table13[[#This Row],[Date]])&gt;=4,1,0)</f>
        <v>2026</v>
      </c>
      <c r="C289" s="167">
        <f>YEAR(Table13[[#This Row],[Date]])</f>
        <v>2026</v>
      </c>
      <c r="D289" s="181">
        <f>Table13[[#This Row],[Date]]-DAY(Table13[[#This Row],[Date]])+1</f>
        <v>46023</v>
      </c>
      <c r="E289" s="167">
        <f t="shared" si="26"/>
        <v>31</v>
      </c>
      <c r="F289" s="170"/>
      <c r="G289" s="171"/>
      <c r="H289" s="171"/>
      <c r="I289" s="171"/>
      <c r="J289" s="171"/>
      <c r="K289" s="182"/>
      <c r="L289" s="171"/>
      <c r="M289" s="171" t="str">
        <f>IFERROR(_xlfn.XLOOKUP($A289,Input_Raw!$A:$A,Input_Raw!CG:CG),"")</f>
        <v/>
      </c>
      <c r="N289" s="171" t="str">
        <f>IFERROR(_xlfn.XLOOKUP($A289,Input_Raw!$A:$A,Input_Raw!CH:CH),"")</f>
        <v/>
      </c>
      <c r="O289" s="183" t="str">
        <f t="shared" si="27"/>
        <v/>
      </c>
      <c r="P289" s="183" t="str">
        <f>IFERROR(1-SUMIF(WTG_BD!$B:$B,$A289,WTG_BD!$AB:$AB)/($AA289+SUMIF(WTG_BD!$B:$B,$A289,WTG_BD!$AB:$AB)),"")</f>
        <v/>
      </c>
      <c r="Q289" s="184" t="str">
        <f>IFERROR(1-SUMIF(IGA_BD!$B:$B,$A289,IGA_BD!$X:$X)/($AA289+SUMIF(IGA_BD!$B:$B,$A289,IGA_BD!$X:$X)),"")</f>
        <v/>
      </c>
      <c r="R289" s="189" t="str">
        <f>IFERROR(1-SUMIF(Grid_BD!$B:$B,$A289,Grid_BD!$V:$V)/($AA289+SUMIF(Grid_BD!$B:$B,$A289,Grid_BD!$V:$V)),"")</f>
        <v/>
      </c>
      <c r="S289" s="167"/>
      <c r="T289" s="184"/>
      <c r="U289" s="185"/>
      <c r="V289" s="167"/>
      <c r="W289" s="186" t="str">
        <f>IFERROR(Table13[[#This Row],[Mtr_Net_Exp (KWh)]]/(24*AR289*1000),"")</f>
        <v/>
      </c>
      <c r="X289" s="167" t="str">
        <f>IFERROR(_xlfn.XLOOKUP($A289,Input_Raw!$A:$A,Input_Raw!$CF:$CF),"")</f>
        <v/>
      </c>
      <c r="Y289" s="167" t="str">
        <f>IFERROR(_xlfn.XLOOKUP($A289,Input_Raw!$A:$A,Input_Raw!$CZ:$CZ),"")</f>
        <v/>
      </c>
      <c r="Z289" s="167" t="str">
        <f>IFERROR(_xlfn.XLOOKUP($A289,Input_Raw!$A:$A,Input_Raw!$DA:$DA),"")</f>
        <v/>
      </c>
      <c r="AA289" s="169" t="str">
        <f t="shared" si="28"/>
        <v/>
      </c>
      <c r="AB289" s="167" t="str">
        <f>IFERROR(_xlfn.XLOOKUP($A289,Input_Raw!$A:$A,Input_Raw!$DG:$DG),"")</f>
        <v/>
      </c>
      <c r="AC289" s="187">
        <f>IFERROR(_xlfn.XLOOKUP($D289,'Modelling New'!$D:$D,'Modelling New'!$J:$J),"")</f>
        <v>3.8</v>
      </c>
      <c r="AD289" s="169">
        <f>IFERROR(_xlfn.XLOOKUP($D289,'Modelling New'!$D:$D,'Modelling New'!$T:$T)*1000,"")</f>
        <v>128093.39599615177</v>
      </c>
      <c r="AE289" s="186"/>
      <c r="AF289" s="186">
        <f>IFERROR(_xlfn.XLOOKUP($D289,'Modelling New'!$D:$D,'Modelling New'!$W:$W),"")</f>
        <v>6.8425959399653721E-2</v>
      </c>
      <c r="AG289" s="186">
        <f>IFERROR(_xlfn.XLOOKUP($D289,'Modelling New'!$D:$D,'Modelling New'!$AE:$AE),"")</f>
        <v>0.96029999999999993</v>
      </c>
      <c r="AH289" s="186">
        <f>IFERROR(_xlfn.XLOOKUP($D289,'Modelling New'!$D:$D,'Modelling New'!$AF:$AF),"")</f>
        <v>0.995</v>
      </c>
      <c r="AI289" s="167" t="str">
        <f>IFERROR(_xlfn.XLOOKUP($A289,Input_Raw!$A:$A,Input_Raw!$DE:$DE),"")</f>
        <v/>
      </c>
      <c r="AJ289" s="167"/>
      <c r="AK289" s="167"/>
      <c r="AL289" s="167"/>
      <c r="AM289" s="167"/>
      <c r="AN289" s="188" t="str">
        <f>IFERROR(_xlfn.XLOOKUP($A289,Input_Raw!$A:$A,Input_Raw!$DB:$DB),"")</f>
        <v/>
      </c>
      <c r="AO289" s="186" t="str">
        <f>IFERROR((_xlfn.XLOOKUP($A289,'WTG Reactive Power'!$A:$A,'WTG Reactive Power'!$AR:$AR))/X289/1000,"")</f>
        <v/>
      </c>
      <c r="AP289" s="186">
        <f>IFERROR(_xlfn.XLOOKUP($D289,'Modelling New'!$D:$D,'Modelling New'!$AK:$AK),"")</f>
        <v>0.05</v>
      </c>
      <c r="AQ289" s="186">
        <f>IFERROR(_xlfn.XLOOKUP($D289,'Modelling New'!$D:$D,'Modelling New'!$AL:$AL),"")</f>
        <v>0.05</v>
      </c>
      <c r="AR289">
        <f>IFERROR(_xlfn.XLOOKUP($D289,'Modelling New'!$D:$D,'Modelling New'!$N:$N),"")</f>
        <v>78</v>
      </c>
    </row>
    <row r="290" spans="1:44">
      <c r="A290" s="180">
        <f t="shared" si="22"/>
        <v>46033</v>
      </c>
      <c r="B290" s="169">
        <f>YEAR(Table13[[#This Row],[Date]])+IF(MONTH(Table13[[#This Row],[Date]])&gt;=4,1,0)</f>
        <v>2026</v>
      </c>
      <c r="C290" s="167">
        <f>YEAR(Table13[[#This Row],[Date]])</f>
        <v>2026</v>
      </c>
      <c r="D290" s="181">
        <f>Table13[[#This Row],[Date]]-DAY(Table13[[#This Row],[Date]])+1</f>
        <v>46023</v>
      </c>
      <c r="E290" s="167">
        <f t="shared" si="26"/>
        <v>31</v>
      </c>
      <c r="F290" s="170"/>
      <c r="G290" s="171"/>
      <c r="H290" s="171"/>
      <c r="I290" s="171"/>
      <c r="J290" s="171"/>
      <c r="K290" s="182"/>
      <c r="L290" s="171"/>
      <c r="M290" s="171" t="str">
        <f>IFERROR(_xlfn.XLOOKUP($A290,Input_Raw!$A:$A,Input_Raw!CG:CG),"")</f>
        <v/>
      </c>
      <c r="N290" s="171" t="str">
        <f>IFERROR(_xlfn.XLOOKUP($A290,Input_Raw!$A:$A,Input_Raw!CH:CH),"")</f>
        <v/>
      </c>
      <c r="O290" s="183" t="str">
        <f t="shared" si="27"/>
        <v/>
      </c>
      <c r="P290" s="183" t="str">
        <f>IFERROR(1-SUMIF(WTG_BD!$B:$B,$A290,WTG_BD!$AB:$AB)/($AA290+SUMIF(WTG_BD!$B:$B,$A290,WTG_BD!$AB:$AB)),"")</f>
        <v/>
      </c>
      <c r="Q290" s="184" t="str">
        <f>IFERROR(1-SUMIF(IGA_BD!$B:$B,$A290,IGA_BD!$X:$X)/($AA290+SUMIF(IGA_BD!$B:$B,$A290,IGA_BD!$X:$X)),"")</f>
        <v/>
      </c>
      <c r="R290" s="189" t="str">
        <f>IFERROR(1-SUMIF(Grid_BD!$B:$B,$A290,Grid_BD!$V:$V)/($AA290+SUMIF(Grid_BD!$B:$B,$A290,Grid_BD!$V:$V)),"")</f>
        <v/>
      </c>
      <c r="S290" s="167"/>
      <c r="T290" s="184"/>
      <c r="U290" s="185"/>
      <c r="V290" s="167"/>
      <c r="W290" s="186" t="str">
        <f>IFERROR(Table13[[#This Row],[Mtr_Net_Exp (KWh)]]/(24*AR290*1000),"")</f>
        <v/>
      </c>
      <c r="X290" s="167" t="str">
        <f>IFERROR(_xlfn.XLOOKUP($A290,Input_Raw!$A:$A,Input_Raw!$CF:$CF),"")</f>
        <v/>
      </c>
      <c r="Y290" s="167" t="str">
        <f>IFERROR(_xlfn.XLOOKUP($A290,Input_Raw!$A:$A,Input_Raw!$CZ:$CZ),"")</f>
        <v/>
      </c>
      <c r="Z290" s="167" t="str">
        <f>IFERROR(_xlfn.XLOOKUP($A290,Input_Raw!$A:$A,Input_Raw!$DA:$DA),"")</f>
        <v/>
      </c>
      <c r="AA290" s="169" t="str">
        <f t="shared" si="28"/>
        <v/>
      </c>
      <c r="AB290" s="167" t="str">
        <f>IFERROR(_xlfn.XLOOKUP($A290,Input_Raw!$A:$A,Input_Raw!$DG:$DG),"")</f>
        <v/>
      </c>
      <c r="AC290" s="187">
        <f>IFERROR(_xlfn.XLOOKUP($D290,'Modelling New'!$D:$D,'Modelling New'!$J:$J),"")</f>
        <v>3.8</v>
      </c>
      <c r="AD290" s="169">
        <f>IFERROR(_xlfn.XLOOKUP($D290,'Modelling New'!$D:$D,'Modelling New'!$T:$T)*1000,"")</f>
        <v>128093.39599615177</v>
      </c>
      <c r="AE290" s="186"/>
      <c r="AF290" s="186">
        <f>IFERROR(_xlfn.XLOOKUP($D290,'Modelling New'!$D:$D,'Modelling New'!$W:$W),"")</f>
        <v>6.8425959399653721E-2</v>
      </c>
      <c r="AG290" s="186">
        <f>IFERROR(_xlfn.XLOOKUP($D290,'Modelling New'!$D:$D,'Modelling New'!$AE:$AE),"")</f>
        <v>0.96029999999999993</v>
      </c>
      <c r="AH290" s="186">
        <f>IFERROR(_xlfn.XLOOKUP($D290,'Modelling New'!$D:$D,'Modelling New'!$AF:$AF),"")</f>
        <v>0.995</v>
      </c>
      <c r="AI290" s="167" t="str">
        <f>IFERROR(_xlfn.XLOOKUP($A290,Input_Raw!$A:$A,Input_Raw!$DE:$DE),"")</f>
        <v/>
      </c>
      <c r="AJ290" s="167"/>
      <c r="AK290" s="167"/>
      <c r="AL290" s="167"/>
      <c r="AM290" s="167"/>
      <c r="AN290" s="188" t="str">
        <f>IFERROR(_xlfn.XLOOKUP($A290,Input_Raw!$A:$A,Input_Raw!$DB:$DB),"")</f>
        <v/>
      </c>
      <c r="AO290" s="186" t="str">
        <f>IFERROR((_xlfn.XLOOKUP($A290,'WTG Reactive Power'!$A:$A,'WTG Reactive Power'!$AR:$AR))/X290/1000,"")</f>
        <v/>
      </c>
      <c r="AP290" s="186">
        <f>IFERROR(_xlfn.XLOOKUP($D290,'Modelling New'!$D:$D,'Modelling New'!$AK:$AK),"")</f>
        <v>0.05</v>
      </c>
      <c r="AQ290" s="186">
        <f>IFERROR(_xlfn.XLOOKUP($D290,'Modelling New'!$D:$D,'Modelling New'!$AL:$AL),"")</f>
        <v>0.05</v>
      </c>
      <c r="AR290">
        <f>IFERROR(_xlfn.XLOOKUP($D290,'Modelling New'!$D:$D,'Modelling New'!$N:$N),"")</f>
        <v>78</v>
      </c>
    </row>
    <row r="291" spans="1:44">
      <c r="A291" s="180">
        <f t="shared" si="22"/>
        <v>46034</v>
      </c>
      <c r="B291" s="169">
        <f>YEAR(Table13[[#This Row],[Date]])+IF(MONTH(Table13[[#This Row],[Date]])&gt;=4,1,0)</f>
        <v>2026</v>
      </c>
      <c r="C291" s="167">
        <f>YEAR(Table13[[#This Row],[Date]])</f>
        <v>2026</v>
      </c>
      <c r="D291" s="181">
        <f>Table13[[#This Row],[Date]]-DAY(Table13[[#This Row],[Date]])+1</f>
        <v>46023</v>
      </c>
      <c r="E291" s="167">
        <f t="shared" si="26"/>
        <v>31</v>
      </c>
      <c r="F291" s="170"/>
      <c r="G291" s="171"/>
      <c r="H291" s="171"/>
      <c r="I291" s="171"/>
      <c r="J291" s="171"/>
      <c r="K291" s="182"/>
      <c r="L291" s="171"/>
      <c r="M291" s="171" t="str">
        <f>IFERROR(_xlfn.XLOOKUP($A291,Input_Raw!$A:$A,Input_Raw!CG:CG),"")</f>
        <v/>
      </c>
      <c r="N291" s="171" t="str">
        <f>IFERROR(_xlfn.XLOOKUP($A291,Input_Raw!$A:$A,Input_Raw!CH:CH),"")</f>
        <v/>
      </c>
      <c r="O291" s="183" t="str">
        <f t="shared" si="27"/>
        <v/>
      </c>
      <c r="P291" s="183" t="str">
        <f>IFERROR(1-SUMIF(WTG_BD!$B:$B,$A291,WTG_BD!$AB:$AB)/($AA291+SUMIF(WTG_BD!$B:$B,$A291,WTG_BD!$AB:$AB)),"")</f>
        <v/>
      </c>
      <c r="Q291" s="184" t="str">
        <f>IFERROR(1-SUMIF(IGA_BD!$B:$B,$A291,IGA_BD!$X:$X)/($AA291+SUMIF(IGA_BD!$B:$B,$A291,IGA_BD!$X:$X)),"")</f>
        <v/>
      </c>
      <c r="R291" s="189" t="str">
        <f>IFERROR(1-SUMIF(Grid_BD!$B:$B,$A291,Grid_BD!$V:$V)/($AA291+SUMIF(Grid_BD!$B:$B,$A291,Grid_BD!$V:$V)),"")</f>
        <v/>
      </c>
      <c r="S291" s="167"/>
      <c r="T291" s="184"/>
      <c r="U291" s="185"/>
      <c r="V291" s="167"/>
      <c r="W291" s="186" t="str">
        <f>IFERROR(Table13[[#This Row],[Mtr_Net_Exp (KWh)]]/(24*AR291*1000),"")</f>
        <v/>
      </c>
      <c r="X291" s="167" t="str">
        <f>IFERROR(_xlfn.XLOOKUP($A291,Input_Raw!$A:$A,Input_Raw!$CF:$CF),"")</f>
        <v/>
      </c>
      <c r="Y291" s="167" t="str">
        <f>IFERROR(_xlfn.XLOOKUP($A291,Input_Raw!$A:$A,Input_Raw!$CZ:$CZ),"")</f>
        <v/>
      </c>
      <c r="Z291" s="167" t="str">
        <f>IFERROR(_xlfn.XLOOKUP($A291,Input_Raw!$A:$A,Input_Raw!$DA:$DA),"")</f>
        <v/>
      </c>
      <c r="AA291" s="169" t="str">
        <f t="shared" si="28"/>
        <v/>
      </c>
      <c r="AB291" s="167" t="str">
        <f>IFERROR(_xlfn.XLOOKUP($A291,Input_Raw!$A:$A,Input_Raw!$DG:$DG),"")</f>
        <v/>
      </c>
      <c r="AC291" s="187">
        <f>IFERROR(_xlfn.XLOOKUP($D291,'Modelling New'!$D:$D,'Modelling New'!$J:$J),"")</f>
        <v>3.8</v>
      </c>
      <c r="AD291" s="169">
        <f>IFERROR(_xlfn.XLOOKUP($D291,'Modelling New'!$D:$D,'Modelling New'!$T:$T)*1000,"")</f>
        <v>128093.39599615177</v>
      </c>
      <c r="AE291" s="186"/>
      <c r="AF291" s="186">
        <f>IFERROR(_xlfn.XLOOKUP($D291,'Modelling New'!$D:$D,'Modelling New'!$W:$W),"")</f>
        <v>6.8425959399653721E-2</v>
      </c>
      <c r="AG291" s="186">
        <f>IFERROR(_xlfn.XLOOKUP($D291,'Modelling New'!$D:$D,'Modelling New'!$AE:$AE),"")</f>
        <v>0.96029999999999993</v>
      </c>
      <c r="AH291" s="186">
        <f>IFERROR(_xlfn.XLOOKUP($D291,'Modelling New'!$D:$D,'Modelling New'!$AF:$AF),"")</f>
        <v>0.995</v>
      </c>
      <c r="AI291" s="167" t="str">
        <f>IFERROR(_xlfn.XLOOKUP($A291,Input_Raw!$A:$A,Input_Raw!$DE:$DE),"")</f>
        <v/>
      </c>
      <c r="AJ291" s="167"/>
      <c r="AK291" s="167"/>
      <c r="AL291" s="167"/>
      <c r="AM291" s="167"/>
      <c r="AN291" s="188" t="str">
        <f>IFERROR(_xlfn.XLOOKUP($A291,Input_Raw!$A:$A,Input_Raw!$DB:$DB),"")</f>
        <v/>
      </c>
      <c r="AO291" s="186" t="str">
        <f>IFERROR((_xlfn.XLOOKUP($A291,'WTG Reactive Power'!$A:$A,'WTG Reactive Power'!$AR:$AR))/X291/1000,"")</f>
        <v/>
      </c>
      <c r="AP291" s="186">
        <f>IFERROR(_xlfn.XLOOKUP($D291,'Modelling New'!$D:$D,'Modelling New'!$AK:$AK),"")</f>
        <v>0.05</v>
      </c>
      <c r="AQ291" s="186">
        <f>IFERROR(_xlfn.XLOOKUP($D291,'Modelling New'!$D:$D,'Modelling New'!$AL:$AL),"")</f>
        <v>0.05</v>
      </c>
      <c r="AR291">
        <f>IFERROR(_xlfn.XLOOKUP($D291,'Modelling New'!$D:$D,'Modelling New'!$N:$N),"")</f>
        <v>78</v>
      </c>
    </row>
    <row r="292" spans="1:44">
      <c r="A292" s="180">
        <f t="shared" si="22"/>
        <v>46035</v>
      </c>
      <c r="B292" s="169">
        <f>YEAR(Table13[[#This Row],[Date]])+IF(MONTH(Table13[[#This Row],[Date]])&gt;=4,1,0)</f>
        <v>2026</v>
      </c>
      <c r="C292" s="167">
        <f>YEAR(Table13[[#This Row],[Date]])</f>
        <v>2026</v>
      </c>
      <c r="D292" s="181">
        <f>Table13[[#This Row],[Date]]-DAY(Table13[[#This Row],[Date]])+1</f>
        <v>46023</v>
      </c>
      <c r="E292" s="167">
        <f t="shared" si="26"/>
        <v>31</v>
      </c>
      <c r="F292" s="170"/>
      <c r="G292" s="171"/>
      <c r="H292" s="171"/>
      <c r="I292" s="171"/>
      <c r="J292" s="171"/>
      <c r="K292" s="182"/>
      <c r="L292" s="171"/>
      <c r="M292" s="171" t="str">
        <f>IFERROR(_xlfn.XLOOKUP($A292,Input_Raw!$A:$A,Input_Raw!CG:CG),"")</f>
        <v/>
      </c>
      <c r="N292" s="171" t="str">
        <f>IFERROR(_xlfn.XLOOKUP($A292,Input_Raw!$A:$A,Input_Raw!CH:CH),"")</f>
        <v/>
      </c>
      <c r="O292" s="183" t="str">
        <f t="shared" si="27"/>
        <v/>
      </c>
      <c r="P292" s="183" t="str">
        <f>IFERROR(1-SUMIF(WTG_BD!$B:$B,$A292,WTG_BD!$AB:$AB)/($AA292+SUMIF(WTG_BD!$B:$B,$A292,WTG_BD!$AB:$AB)),"")</f>
        <v/>
      </c>
      <c r="Q292" s="184" t="str">
        <f>IFERROR(1-SUMIF(IGA_BD!$B:$B,$A292,IGA_BD!$X:$X)/($AA292+SUMIF(IGA_BD!$B:$B,$A292,IGA_BD!$X:$X)),"")</f>
        <v/>
      </c>
      <c r="R292" s="189" t="str">
        <f>IFERROR(1-SUMIF(Grid_BD!$B:$B,$A292,Grid_BD!$V:$V)/($AA292+SUMIF(Grid_BD!$B:$B,$A292,Grid_BD!$V:$V)),"")</f>
        <v/>
      </c>
      <c r="S292" s="167"/>
      <c r="T292" s="184"/>
      <c r="U292" s="185"/>
      <c r="V292" s="167"/>
      <c r="W292" s="186" t="str">
        <f>IFERROR(Table13[[#This Row],[Mtr_Net_Exp (KWh)]]/(24*AR292*1000),"")</f>
        <v/>
      </c>
      <c r="X292" s="167" t="str">
        <f>IFERROR(_xlfn.XLOOKUP($A292,Input_Raw!$A:$A,Input_Raw!$CF:$CF),"")</f>
        <v/>
      </c>
      <c r="Y292" s="167" t="str">
        <f>IFERROR(_xlfn.XLOOKUP($A292,Input_Raw!$A:$A,Input_Raw!$CZ:$CZ),"")</f>
        <v/>
      </c>
      <c r="Z292" s="167" t="str">
        <f>IFERROR(_xlfn.XLOOKUP($A292,Input_Raw!$A:$A,Input_Raw!$DA:$DA),"")</f>
        <v/>
      </c>
      <c r="AA292" s="169" t="str">
        <f t="shared" si="28"/>
        <v/>
      </c>
      <c r="AB292" s="167" t="str">
        <f>IFERROR(_xlfn.XLOOKUP($A292,Input_Raw!$A:$A,Input_Raw!$DG:$DG),"")</f>
        <v/>
      </c>
      <c r="AC292" s="187">
        <f>IFERROR(_xlfn.XLOOKUP($D292,'Modelling New'!$D:$D,'Modelling New'!$J:$J),"")</f>
        <v>3.8</v>
      </c>
      <c r="AD292" s="169">
        <f>IFERROR(_xlfn.XLOOKUP($D292,'Modelling New'!$D:$D,'Modelling New'!$T:$T)*1000,"")</f>
        <v>128093.39599615177</v>
      </c>
      <c r="AE292" s="186"/>
      <c r="AF292" s="186">
        <f>IFERROR(_xlfn.XLOOKUP($D292,'Modelling New'!$D:$D,'Modelling New'!$W:$W),"")</f>
        <v>6.8425959399653721E-2</v>
      </c>
      <c r="AG292" s="186">
        <f>IFERROR(_xlfn.XLOOKUP($D292,'Modelling New'!$D:$D,'Modelling New'!$AE:$AE),"")</f>
        <v>0.96029999999999993</v>
      </c>
      <c r="AH292" s="186">
        <f>IFERROR(_xlfn.XLOOKUP($D292,'Modelling New'!$D:$D,'Modelling New'!$AF:$AF),"")</f>
        <v>0.995</v>
      </c>
      <c r="AI292" s="167" t="str">
        <f>IFERROR(_xlfn.XLOOKUP($A292,Input_Raw!$A:$A,Input_Raw!$DE:$DE),"")</f>
        <v/>
      </c>
      <c r="AJ292" s="167"/>
      <c r="AK292" s="167"/>
      <c r="AL292" s="167"/>
      <c r="AM292" s="167"/>
      <c r="AN292" s="188" t="str">
        <f>IFERROR(_xlfn.XLOOKUP($A292,Input_Raw!$A:$A,Input_Raw!$DB:$DB),"")</f>
        <v/>
      </c>
      <c r="AO292" s="186" t="str">
        <f>IFERROR((_xlfn.XLOOKUP($A292,'WTG Reactive Power'!$A:$A,'WTG Reactive Power'!$AR:$AR))/X292/1000,"")</f>
        <v/>
      </c>
      <c r="AP292" s="186">
        <f>IFERROR(_xlfn.XLOOKUP($D292,'Modelling New'!$D:$D,'Modelling New'!$AK:$AK),"")</f>
        <v>0.05</v>
      </c>
      <c r="AQ292" s="186">
        <f>IFERROR(_xlfn.XLOOKUP($D292,'Modelling New'!$D:$D,'Modelling New'!$AL:$AL),"")</f>
        <v>0.05</v>
      </c>
      <c r="AR292">
        <f>IFERROR(_xlfn.XLOOKUP($D292,'Modelling New'!$D:$D,'Modelling New'!$N:$N),"")</f>
        <v>78</v>
      </c>
    </row>
    <row r="293" spans="1:44">
      <c r="A293" s="180">
        <f t="shared" si="22"/>
        <v>46036</v>
      </c>
      <c r="B293" s="169">
        <f>YEAR(Table13[[#This Row],[Date]])+IF(MONTH(Table13[[#This Row],[Date]])&gt;=4,1,0)</f>
        <v>2026</v>
      </c>
      <c r="C293" s="167">
        <f>YEAR(Table13[[#This Row],[Date]])</f>
        <v>2026</v>
      </c>
      <c r="D293" s="181">
        <f>Table13[[#This Row],[Date]]-DAY(Table13[[#This Row],[Date]])+1</f>
        <v>46023</v>
      </c>
      <c r="E293" s="167">
        <f t="shared" ref="E293:E324" si="29">DAY(EOMONTH(A293,0))</f>
        <v>31</v>
      </c>
      <c r="F293" s="170"/>
      <c r="G293" s="171"/>
      <c r="H293" s="171"/>
      <c r="I293" s="171"/>
      <c r="J293" s="171"/>
      <c r="K293" s="182"/>
      <c r="L293" s="171"/>
      <c r="M293" s="171" t="str">
        <f>IFERROR(_xlfn.XLOOKUP($A293,Input_Raw!$A:$A,Input_Raw!CG:CG),"")</f>
        <v/>
      </c>
      <c r="N293" s="171" t="str">
        <f>IFERROR(_xlfn.XLOOKUP($A293,Input_Raw!$A:$A,Input_Raw!CH:CH),"")</f>
        <v/>
      </c>
      <c r="O293" s="183" t="str">
        <f t="shared" ref="O293:O324" si="30">IFERROR(P293*Q293,"")</f>
        <v/>
      </c>
      <c r="P293" s="183" t="str">
        <f>IFERROR(1-SUMIF(WTG_BD!$B:$B,$A293,WTG_BD!$AB:$AB)/($AA293+SUMIF(WTG_BD!$B:$B,$A293,WTG_BD!$AB:$AB)),"")</f>
        <v/>
      </c>
      <c r="Q293" s="184" t="str">
        <f>IFERROR(1-SUMIF(IGA_BD!$B:$B,$A293,IGA_BD!$X:$X)/($AA293+SUMIF(IGA_BD!$B:$B,$A293,IGA_BD!$X:$X)),"")</f>
        <v/>
      </c>
      <c r="R293" s="189" t="str">
        <f>IFERROR(1-SUMIF(Grid_BD!$B:$B,$A293,Grid_BD!$V:$V)/($AA293+SUMIF(Grid_BD!$B:$B,$A293,Grid_BD!$V:$V)),"")</f>
        <v/>
      </c>
      <c r="S293" s="167"/>
      <c r="T293" s="184"/>
      <c r="U293" s="185"/>
      <c r="V293" s="167"/>
      <c r="W293" s="186" t="str">
        <f>IFERROR(Table13[[#This Row],[Mtr_Net_Exp (KWh)]]/(24*AR293*1000),"")</f>
        <v/>
      </c>
      <c r="X293" s="167" t="str">
        <f>IFERROR(_xlfn.XLOOKUP($A293,Input_Raw!$A:$A,Input_Raw!$CF:$CF),"")</f>
        <v/>
      </c>
      <c r="Y293" s="167" t="str">
        <f>IFERROR(_xlfn.XLOOKUP($A293,Input_Raw!$A:$A,Input_Raw!$CZ:$CZ),"")</f>
        <v/>
      </c>
      <c r="Z293" s="167" t="str">
        <f>IFERROR(_xlfn.XLOOKUP($A293,Input_Raw!$A:$A,Input_Raw!$DA:$DA),"")</f>
        <v/>
      </c>
      <c r="AA293" s="169" t="str">
        <f t="shared" ref="AA293:AA324" si="31">IFERROR(Y293-Z293,"")</f>
        <v/>
      </c>
      <c r="AB293" s="167" t="str">
        <f>IFERROR(_xlfn.XLOOKUP($A293,Input_Raw!$A:$A,Input_Raw!$DG:$DG),"")</f>
        <v/>
      </c>
      <c r="AC293" s="187">
        <f>IFERROR(_xlfn.XLOOKUP($D293,'Modelling New'!$D:$D,'Modelling New'!$J:$J),"")</f>
        <v>3.8</v>
      </c>
      <c r="AD293" s="169">
        <f>IFERROR(_xlfn.XLOOKUP($D293,'Modelling New'!$D:$D,'Modelling New'!$T:$T)*1000,"")</f>
        <v>128093.39599615177</v>
      </c>
      <c r="AE293" s="186"/>
      <c r="AF293" s="186">
        <f>IFERROR(_xlfn.XLOOKUP($D293,'Modelling New'!$D:$D,'Modelling New'!$W:$W),"")</f>
        <v>6.8425959399653721E-2</v>
      </c>
      <c r="AG293" s="186">
        <f>IFERROR(_xlfn.XLOOKUP($D293,'Modelling New'!$D:$D,'Modelling New'!$AE:$AE),"")</f>
        <v>0.96029999999999993</v>
      </c>
      <c r="AH293" s="186">
        <f>IFERROR(_xlfn.XLOOKUP($D293,'Modelling New'!$D:$D,'Modelling New'!$AF:$AF),"")</f>
        <v>0.995</v>
      </c>
      <c r="AI293" s="167" t="str">
        <f>IFERROR(_xlfn.XLOOKUP($A293,Input_Raw!$A:$A,Input_Raw!$DE:$DE),"")</f>
        <v/>
      </c>
      <c r="AJ293" s="167"/>
      <c r="AK293" s="167"/>
      <c r="AL293" s="167"/>
      <c r="AM293" s="167"/>
      <c r="AN293" s="188" t="str">
        <f>IFERROR(_xlfn.XLOOKUP($A293,Input_Raw!$A:$A,Input_Raw!$DB:$DB),"")</f>
        <v/>
      </c>
      <c r="AO293" s="186" t="str">
        <f>IFERROR((_xlfn.XLOOKUP($A293,'WTG Reactive Power'!$A:$A,'WTG Reactive Power'!$AR:$AR))/X293/1000,"")</f>
        <v/>
      </c>
      <c r="AP293" s="186">
        <f>IFERROR(_xlfn.XLOOKUP($D293,'Modelling New'!$D:$D,'Modelling New'!$AK:$AK),"")</f>
        <v>0.05</v>
      </c>
      <c r="AQ293" s="186">
        <f>IFERROR(_xlfn.XLOOKUP($D293,'Modelling New'!$D:$D,'Modelling New'!$AL:$AL),"")</f>
        <v>0.05</v>
      </c>
      <c r="AR293">
        <f>IFERROR(_xlfn.XLOOKUP($D293,'Modelling New'!$D:$D,'Modelling New'!$N:$N),"")</f>
        <v>78</v>
      </c>
    </row>
    <row r="294" spans="1:44">
      <c r="A294" s="180">
        <f t="shared" ref="A294:A357" si="32">A293+1</f>
        <v>46037</v>
      </c>
      <c r="B294" s="169">
        <f>YEAR(Table13[[#This Row],[Date]])+IF(MONTH(Table13[[#This Row],[Date]])&gt;=4,1,0)</f>
        <v>2026</v>
      </c>
      <c r="C294" s="167">
        <f>YEAR(Table13[[#This Row],[Date]])</f>
        <v>2026</v>
      </c>
      <c r="D294" s="181">
        <f>Table13[[#This Row],[Date]]-DAY(Table13[[#This Row],[Date]])+1</f>
        <v>46023</v>
      </c>
      <c r="E294" s="167">
        <f t="shared" si="29"/>
        <v>31</v>
      </c>
      <c r="F294" s="170"/>
      <c r="G294" s="171"/>
      <c r="H294" s="171"/>
      <c r="I294" s="171"/>
      <c r="J294" s="171"/>
      <c r="K294" s="182"/>
      <c r="L294" s="171"/>
      <c r="M294" s="171" t="str">
        <f>IFERROR(_xlfn.XLOOKUP($A294,Input_Raw!$A:$A,Input_Raw!CG:CG),"")</f>
        <v/>
      </c>
      <c r="N294" s="171" t="str">
        <f>IFERROR(_xlfn.XLOOKUP($A294,Input_Raw!$A:$A,Input_Raw!CH:CH),"")</f>
        <v/>
      </c>
      <c r="O294" s="183" t="str">
        <f t="shared" si="30"/>
        <v/>
      </c>
      <c r="P294" s="183" t="str">
        <f>IFERROR(1-SUMIF(WTG_BD!$B:$B,$A294,WTG_BD!$AB:$AB)/($AA294+SUMIF(WTG_BD!$B:$B,$A294,WTG_BD!$AB:$AB)),"")</f>
        <v/>
      </c>
      <c r="Q294" s="184" t="str">
        <f>IFERROR(1-SUMIF(IGA_BD!$B:$B,$A294,IGA_BD!$X:$X)/($AA294+SUMIF(IGA_BD!$B:$B,$A294,IGA_BD!$X:$X)),"")</f>
        <v/>
      </c>
      <c r="R294" s="189" t="str">
        <f>IFERROR(1-SUMIF(Grid_BD!$B:$B,$A294,Grid_BD!$V:$V)/($AA294+SUMIF(Grid_BD!$B:$B,$A294,Grid_BD!$V:$V)),"")</f>
        <v/>
      </c>
      <c r="S294" s="167"/>
      <c r="T294" s="184"/>
      <c r="U294" s="185"/>
      <c r="V294" s="167"/>
      <c r="W294" s="186" t="str">
        <f>IFERROR(Table13[[#This Row],[Mtr_Net_Exp (KWh)]]/(24*AR294*1000),"")</f>
        <v/>
      </c>
      <c r="X294" s="167" t="str">
        <f>IFERROR(_xlfn.XLOOKUP($A294,Input_Raw!$A:$A,Input_Raw!$CF:$CF),"")</f>
        <v/>
      </c>
      <c r="Y294" s="167" t="str">
        <f>IFERROR(_xlfn.XLOOKUP($A294,Input_Raw!$A:$A,Input_Raw!$CZ:$CZ),"")</f>
        <v/>
      </c>
      <c r="Z294" s="167" t="str">
        <f>IFERROR(_xlfn.XLOOKUP($A294,Input_Raw!$A:$A,Input_Raw!$DA:$DA),"")</f>
        <v/>
      </c>
      <c r="AA294" s="169" t="str">
        <f t="shared" si="31"/>
        <v/>
      </c>
      <c r="AB294" s="167" t="str">
        <f>IFERROR(_xlfn.XLOOKUP($A294,Input_Raw!$A:$A,Input_Raw!$DG:$DG),"")</f>
        <v/>
      </c>
      <c r="AC294" s="187">
        <f>IFERROR(_xlfn.XLOOKUP($D294,'Modelling New'!$D:$D,'Modelling New'!$J:$J),"")</f>
        <v>3.8</v>
      </c>
      <c r="AD294" s="169">
        <f>IFERROR(_xlfn.XLOOKUP($D294,'Modelling New'!$D:$D,'Modelling New'!$T:$T)*1000,"")</f>
        <v>128093.39599615177</v>
      </c>
      <c r="AE294" s="186"/>
      <c r="AF294" s="186">
        <f>IFERROR(_xlfn.XLOOKUP($D294,'Modelling New'!$D:$D,'Modelling New'!$W:$W),"")</f>
        <v>6.8425959399653721E-2</v>
      </c>
      <c r="AG294" s="186">
        <f>IFERROR(_xlfn.XLOOKUP($D294,'Modelling New'!$D:$D,'Modelling New'!$AE:$AE),"")</f>
        <v>0.96029999999999993</v>
      </c>
      <c r="AH294" s="186">
        <f>IFERROR(_xlfn.XLOOKUP($D294,'Modelling New'!$D:$D,'Modelling New'!$AF:$AF),"")</f>
        <v>0.995</v>
      </c>
      <c r="AI294" s="167" t="str">
        <f>IFERROR(_xlfn.XLOOKUP($A294,Input_Raw!$A:$A,Input_Raw!$DE:$DE),"")</f>
        <v/>
      </c>
      <c r="AJ294" s="167"/>
      <c r="AK294" s="167"/>
      <c r="AL294" s="167"/>
      <c r="AM294" s="167"/>
      <c r="AN294" s="188" t="str">
        <f>IFERROR(_xlfn.XLOOKUP($A294,Input_Raw!$A:$A,Input_Raw!$DB:$DB),"")</f>
        <v/>
      </c>
      <c r="AO294" s="186" t="str">
        <f>IFERROR((_xlfn.XLOOKUP($A294,'WTG Reactive Power'!$A:$A,'WTG Reactive Power'!$AR:$AR))/X294/1000,"")</f>
        <v/>
      </c>
      <c r="AP294" s="186">
        <f>IFERROR(_xlfn.XLOOKUP($D294,'Modelling New'!$D:$D,'Modelling New'!$AK:$AK),"")</f>
        <v>0.05</v>
      </c>
      <c r="AQ294" s="186">
        <f>IFERROR(_xlfn.XLOOKUP($D294,'Modelling New'!$D:$D,'Modelling New'!$AL:$AL),"")</f>
        <v>0.05</v>
      </c>
      <c r="AR294">
        <f>IFERROR(_xlfn.XLOOKUP($D294,'Modelling New'!$D:$D,'Modelling New'!$N:$N),"")</f>
        <v>78</v>
      </c>
    </row>
    <row r="295" spans="1:44">
      <c r="A295" s="180">
        <f t="shared" si="32"/>
        <v>46038</v>
      </c>
      <c r="B295" s="169">
        <f>YEAR(Table13[[#This Row],[Date]])+IF(MONTH(Table13[[#This Row],[Date]])&gt;=4,1,0)</f>
        <v>2026</v>
      </c>
      <c r="C295" s="167">
        <f>YEAR(Table13[[#This Row],[Date]])</f>
        <v>2026</v>
      </c>
      <c r="D295" s="181">
        <f>Table13[[#This Row],[Date]]-DAY(Table13[[#This Row],[Date]])+1</f>
        <v>46023</v>
      </c>
      <c r="E295" s="167">
        <f t="shared" si="29"/>
        <v>31</v>
      </c>
      <c r="F295" s="170"/>
      <c r="G295" s="171"/>
      <c r="H295" s="171"/>
      <c r="I295" s="171"/>
      <c r="J295" s="171"/>
      <c r="K295" s="182"/>
      <c r="L295" s="171"/>
      <c r="M295" s="171" t="str">
        <f>IFERROR(_xlfn.XLOOKUP($A295,Input_Raw!$A:$A,Input_Raw!CG:CG),"")</f>
        <v/>
      </c>
      <c r="N295" s="171" t="str">
        <f>IFERROR(_xlfn.XLOOKUP($A295,Input_Raw!$A:$A,Input_Raw!CH:CH),"")</f>
        <v/>
      </c>
      <c r="O295" s="183" t="str">
        <f t="shared" si="30"/>
        <v/>
      </c>
      <c r="P295" s="183" t="str">
        <f>IFERROR(1-SUMIF(WTG_BD!$B:$B,$A295,WTG_BD!$AB:$AB)/($AA295+SUMIF(WTG_BD!$B:$B,$A295,WTG_BD!$AB:$AB)),"")</f>
        <v/>
      </c>
      <c r="Q295" s="184" t="str">
        <f>IFERROR(1-SUMIF(IGA_BD!$B:$B,$A295,IGA_BD!$X:$X)/($AA295+SUMIF(IGA_BD!$B:$B,$A295,IGA_BD!$X:$X)),"")</f>
        <v/>
      </c>
      <c r="R295" s="189" t="str">
        <f>IFERROR(1-SUMIF(Grid_BD!$B:$B,$A295,Grid_BD!$V:$V)/($AA295+SUMIF(Grid_BD!$B:$B,$A295,Grid_BD!$V:$V)),"")</f>
        <v/>
      </c>
      <c r="S295" s="167"/>
      <c r="T295" s="184"/>
      <c r="U295" s="185"/>
      <c r="V295" s="167"/>
      <c r="W295" s="186" t="str">
        <f>IFERROR(Table13[[#This Row],[Mtr_Net_Exp (KWh)]]/(24*AR295*1000),"")</f>
        <v/>
      </c>
      <c r="X295" s="167" t="str">
        <f>IFERROR(_xlfn.XLOOKUP($A295,Input_Raw!$A:$A,Input_Raw!$CF:$CF),"")</f>
        <v/>
      </c>
      <c r="Y295" s="167" t="str">
        <f>IFERROR(_xlfn.XLOOKUP($A295,Input_Raw!$A:$A,Input_Raw!$CZ:$CZ),"")</f>
        <v/>
      </c>
      <c r="Z295" s="167" t="str">
        <f>IFERROR(_xlfn.XLOOKUP($A295,Input_Raw!$A:$A,Input_Raw!$DA:$DA),"")</f>
        <v/>
      </c>
      <c r="AA295" s="169" t="str">
        <f t="shared" si="31"/>
        <v/>
      </c>
      <c r="AB295" s="167" t="str">
        <f>IFERROR(_xlfn.XLOOKUP($A295,Input_Raw!$A:$A,Input_Raw!$DG:$DG),"")</f>
        <v/>
      </c>
      <c r="AC295" s="187">
        <f>IFERROR(_xlfn.XLOOKUP($D295,'Modelling New'!$D:$D,'Modelling New'!$J:$J),"")</f>
        <v>3.8</v>
      </c>
      <c r="AD295" s="169">
        <f>IFERROR(_xlfn.XLOOKUP($D295,'Modelling New'!$D:$D,'Modelling New'!$T:$T)*1000,"")</f>
        <v>128093.39599615177</v>
      </c>
      <c r="AE295" s="186"/>
      <c r="AF295" s="186">
        <f>IFERROR(_xlfn.XLOOKUP($D295,'Modelling New'!$D:$D,'Modelling New'!$W:$W),"")</f>
        <v>6.8425959399653721E-2</v>
      </c>
      <c r="AG295" s="186">
        <f>IFERROR(_xlfn.XLOOKUP($D295,'Modelling New'!$D:$D,'Modelling New'!$AE:$AE),"")</f>
        <v>0.96029999999999993</v>
      </c>
      <c r="AH295" s="186">
        <f>IFERROR(_xlfn.XLOOKUP($D295,'Modelling New'!$D:$D,'Modelling New'!$AF:$AF),"")</f>
        <v>0.995</v>
      </c>
      <c r="AI295" s="167" t="str">
        <f>IFERROR(_xlfn.XLOOKUP($A295,Input_Raw!$A:$A,Input_Raw!$DE:$DE),"")</f>
        <v/>
      </c>
      <c r="AJ295" s="167"/>
      <c r="AK295" s="167"/>
      <c r="AL295" s="167"/>
      <c r="AM295" s="167"/>
      <c r="AN295" s="188" t="str">
        <f>IFERROR(_xlfn.XLOOKUP($A295,Input_Raw!$A:$A,Input_Raw!$DB:$DB),"")</f>
        <v/>
      </c>
      <c r="AO295" s="186" t="str">
        <f>IFERROR((_xlfn.XLOOKUP($A295,'WTG Reactive Power'!$A:$A,'WTG Reactive Power'!$AR:$AR))/X295/1000,"")</f>
        <v/>
      </c>
      <c r="AP295" s="186">
        <f>IFERROR(_xlfn.XLOOKUP($D295,'Modelling New'!$D:$D,'Modelling New'!$AK:$AK),"")</f>
        <v>0.05</v>
      </c>
      <c r="AQ295" s="186">
        <f>IFERROR(_xlfn.XLOOKUP($D295,'Modelling New'!$D:$D,'Modelling New'!$AL:$AL),"")</f>
        <v>0.05</v>
      </c>
      <c r="AR295">
        <f>IFERROR(_xlfn.XLOOKUP($D295,'Modelling New'!$D:$D,'Modelling New'!$N:$N),"")</f>
        <v>78</v>
      </c>
    </row>
    <row r="296" spans="1:44">
      <c r="A296" s="180">
        <f t="shared" si="32"/>
        <v>46039</v>
      </c>
      <c r="B296" s="169">
        <f>YEAR(Table13[[#This Row],[Date]])+IF(MONTH(Table13[[#This Row],[Date]])&gt;=4,1,0)</f>
        <v>2026</v>
      </c>
      <c r="C296" s="167">
        <f>YEAR(Table13[[#This Row],[Date]])</f>
        <v>2026</v>
      </c>
      <c r="D296" s="181">
        <f>Table13[[#This Row],[Date]]-DAY(Table13[[#This Row],[Date]])+1</f>
        <v>46023</v>
      </c>
      <c r="E296" s="167">
        <f t="shared" si="29"/>
        <v>31</v>
      </c>
      <c r="F296" s="170"/>
      <c r="G296" s="171"/>
      <c r="H296" s="171"/>
      <c r="I296" s="171"/>
      <c r="J296" s="171"/>
      <c r="K296" s="182"/>
      <c r="L296" s="171"/>
      <c r="M296" s="171" t="str">
        <f>IFERROR(_xlfn.XLOOKUP($A296,Input_Raw!$A:$A,Input_Raw!CG:CG),"")</f>
        <v/>
      </c>
      <c r="N296" s="171" t="str">
        <f>IFERROR(_xlfn.XLOOKUP($A296,Input_Raw!$A:$A,Input_Raw!CH:CH),"")</f>
        <v/>
      </c>
      <c r="O296" s="183" t="str">
        <f t="shared" si="30"/>
        <v/>
      </c>
      <c r="P296" s="183" t="str">
        <f>IFERROR(1-SUMIF(WTG_BD!$B:$B,$A296,WTG_BD!$AB:$AB)/($AA296+SUMIF(WTG_BD!$B:$B,$A296,WTG_BD!$AB:$AB)),"")</f>
        <v/>
      </c>
      <c r="Q296" s="184" t="str">
        <f>IFERROR(1-SUMIF(IGA_BD!$B:$B,$A296,IGA_BD!$X:$X)/($AA296+SUMIF(IGA_BD!$B:$B,$A296,IGA_BD!$X:$X)),"")</f>
        <v/>
      </c>
      <c r="R296" s="189" t="str">
        <f>IFERROR(1-SUMIF(Grid_BD!$B:$B,$A296,Grid_BD!$V:$V)/($AA296+SUMIF(Grid_BD!$B:$B,$A296,Grid_BD!$V:$V)),"")</f>
        <v/>
      </c>
      <c r="S296" s="167"/>
      <c r="T296" s="184"/>
      <c r="U296" s="185"/>
      <c r="V296" s="167"/>
      <c r="W296" s="186" t="str">
        <f>IFERROR(Table13[[#This Row],[Mtr_Net_Exp (KWh)]]/(24*AR296*1000),"")</f>
        <v/>
      </c>
      <c r="X296" s="167" t="str">
        <f>IFERROR(_xlfn.XLOOKUP($A296,Input_Raw!$A:$A,Input_Raw!$CF:$CF),"")</f>
        <v/>
      </c>
      <c r="Y296" s="167" t="str">
        <f>IFERROR(_xlfn.XLOOKUP($A296,Input_Raw!$A:$A,Input_Raw!$CZ:$CZ),"")</f>
        <v/>
      </c>
      <c r="Z296" s="167" t="str">
        <f>IFERROR(_xlfn.XLOOKUP($A296,Input_Raw!$A:$A,Input_Raw!$DA:$DA),"")</f>
        <v/>
      </c>
      <c r="AA296" s="169" t="str">
        <f t="shared" si="31"/>
        <v/>
      </c>
      <c r="AB296" s="167" t="str">
        <f>IFERROR(_xlfn.XLOOKUP($A296,Input_Raw!$A:$A,Input_Raw!$DG:$DG),"")</f>
        <v/>
      </c>
      <c r="AC296" s="187">
        <f>IFERROR(_xlfn.XLOOKUP($D296,'Modelling New'!$D:$D,'Modelling New'!$J:$J),"")</f>
        <v>3.8</v>
      </c>
      <c r="AD296" s="169">
        <f>IFERROR(_xlfn.XLOOKUP($D296,'Modelling New'!$D:$D,'Modelling New'!$T:$T)*1000,"")</f>
        <v>128093.39599615177</v>
      </c>
      <c r="AE296" s="186"/>
      <c r="AF296" s="186">
        <f>IFERROR(_xlfn.XLOOKUP($D296,'Modelling New'!$D:$D,'Modelling New'!$W:$W),"")</f>
        <v>6.8425959399653721E-2</v>
      </c>
      <c r="AG296" s="186">
        <f>IFERROR(_xlfn.XLOOKUP($D296,'Modelling New'!$D:$D,'Modelling New'!$AE:$AE),"")</f>
        <v>0.96029999999999993</v>
      </c>
      <c r="AH296" s="186">
        <f>IFERROR(_xlfn.XLOOKUP($D296,'Modelling New'!$D:$D,'Modelling New'!$AF:$AF),"")</f>
        <v>0.995</v>
      </c>
      <c r="AI296" s="167" t="str">
        <f>IFERROR(_xlfn.XLOOKUP($A296,Input_Raw!$A:$A,Input_Raw!$DE:$DE),"")</f>
        <v/>
      </c>
      <c r="AJ296" s="167"/>
      <c r="AK296" s="167"/>
      <c r="AL296" s="167"/>
      <c r="AM296" s="167"/>
      <c r="AN296" s="188" t="str">
        <f>IFERROR(_xlfn.XLOOKUP($A296,Input_Raw!$A:$A,Input_Raw!$DB:$DB),"")</f>
        <v/>
      </c>
      <c r="AO296" s="186" t="str">
        <f>IFERROR((_xlfn.XLOOKUP($A296,'WTG Reactive Power'!$A:$A,'WTG Reactive Power'!$AR:$AR))/X296/1000,"")</f>
        <v/>
      </c>
      <c r="AP296" s="186">
        <f>IFERROR(_xlfn.XLOOKUP($D296,'Modelling New'!$D:$D,'Modelling New'!$AK:$AK),"")</f>
        <v>0.05</v>
      </c>
      <c r="AQ296" s="186">
        <f>IFERROR(_xlfn.XLOOKUP($D296,'Modelling New'!$D:$D,'Modelling New'!$AL:$AL),"")</f>
        <v>0.05</v>
      </c>
      <c r="AR296">
        <f>IFERROR(_xlfn.XLOOKUP($D296,'Modelling New'!$D:$D,'Modelling New'!$N:$N),"")</f>
        <v>78</v>
      </c>
    </row>
    <row r="297" spans="1:44">
      <c r="A297" s="180">
        <f t="shared" si="32"/>
        <v>46040</v>
      </c>
      <c r="B297" s="169">
        <f>YEAR(Table13[[#This Row],[Date]])+IF(MONTH(Table13[[#This Row],[Date]])&gt;=4,1,0)</f>
        <v>2026</v>
      </c>
      <c r="C297" s="167">
        <f>YEAR(Table13[[#This Row],[Date]])</f>
        <v>2026</v>
      </c>
      <c r="D297" s="181">
        <f>Table13[[#This Row],[Date]]-DAY(Table13[[#This Row],[Date]])+1</f>
        <v>46023</v>
      </c>
      <c r="E297" s="167">
        <f t="shared" si="29"/>
        <v>31</v>
      </c>
      <c r="F297" s="170"/>
      <c r="G297" s="171"/>
      <c r="H297" s="171"/>
      <c r="I297" s="171"/>
      <c r="J297" s="171"/>
      <c r="K297" s="182"/>
      <c r="L297" s="171"/>
      <c r="M297" s="171" t="str">
        <f>IFERROR(_xlfn.XLOOKUP($A297,Input_Raw!$A:$A,Input_Raw!CG:CG),"")</f>
        <v/>
      </c>
      <c r="N297" s="171" t="str">
        <f>IFERROR(_xlfn.XLOOKUP($A297,Input_Raw!$A:$A,Input_Raw!CH:CH),"")</f>
        <v/>
      </c>
      <c r="O297" s="183" t="str">
        <f t="shared" si="30"/>
        <v/>
      </c>
      <c r="P297" s="183" t="str">
        <f>IFERROR(1-SUMIF(WTG_BD!$B:$B,$A297,WTG_BD!$AB:$AB)/($AA297+SUMIF(WTG_BD!$B:$B,$A297,WTG_BD!$AB:$AB)),"")</f>
        <v/>
      </c>
      <c r="Q297" s="184" t="str">
        <f>IFERROR(1-SUMIF(IGA_BD!$B:$B,$A297,IGA_BD!$X:$X)/($AA297+SUMIF(IGA_BD!$B:$B,$A297,IGA_BD!$X:$X)),"")</f>
        <v/>
      </c>
      <c r="R297" s="189" t="str">
        <f>IFERROR(1-SUMIF(Grid_BD!$B:$B,$A297,Grid_BD!$V:$V)/($AA297+SUMIF(Grid_BD!$B:$B,$A297,Grid_BD!$V:$V)),"")</f>
        <v/>
      </c>
      <c r="S297" s="167"/>
      <c r="T297" s="184"/>
      <c r="U297" s="185"/>
      <c r="V297" s="167"/>
      <c r="W297" s="186" t="str">
        <f>IFERROR(Table13[[#This Row],[Mtr_Net_Exp (KWh)]]/(24*AR297*1000),"")</f>
        <v/>
      </c>
      <c r="X297" s="167" t="str">
        <f>IFERROR(_xlfn.XLOOKUP($A297,Input_Raw!$A:$A,Input_Raw!$CF:$CF),"")</f>
        <v/>
      </c>
      <c r="Y297" s="167" t="str">
        <f>IFERROR(_xlfn.XLOOKUP($A297,Input_Raw!$A:$A,Input_Raw!$CZ:$CZ),"")</f>
        <v/>
      </c>
      <c r="Z297" s="167" t="str">
        <f>IFERROR(_xlfn.XLOOKUP($A297,Input_Raw!$A:$A,Input_Raw!$DA:$DA),"")</f>
        <v/>
      </c>
      <c r="AA297" s="169" t="str">
        <f t="shared" si="31"/>
        <v/>
      </c>
      <c r="AB297" s="167" t="str">
        <f>IFERROR(_xlfn.XLOOKUP($A297,Input_Raw!$A:$A,Input_Raw!$DG:$DG),"")</f>
        <v/>
      </c>
      <c r="AC297" s="187">
        <f>IFERROR(_xlfn.XLOOKUP($D297,'Modelling New'!$D:$D,'Modelling New'!$J:$J),"")</f>
        <v>3.8</v>
      </c>
      <c r="AD297" s="169">
        <f>IFERROR(_xlfn.XLOOKUP($D297,'Modelling New'!$D:$D,'Modelling New'!$T:$T)*1000,"")</f>
        <v>128093.39599615177</v>
      </c>
      <c r="AE297" s="186"/>
      <c r="AF297" s="186">
        <f>IFERROR(_xlfn.XLOOKUP($D297,'Modelling New'!$D:$D,'Modelling New'!$W:$W),"")</f>
        <v>6.8425959399653721E-2</v>
      </c>
      <c r="AG297" s="186">
        <f>IFERROR(_xlfn.XLOOKUP($D297,'Modelling New'!$D:$D,'Modelling New'!$AE:$AE),"")</f>
        <v>0.96029999999999993</v>
      </c>
      <c r="AH297" s="186">
        <f>IFERROR(_xlfn.XLOOKUP($D297,'Modelling New'!$D:$D,'Modelling New'!$AF:$AF),"")</f>
        <v>0.995</v>
      </c>
      <c r="AI297" s="167" t="str">
        <f>IFERROR(_xlfn.XLOOKUP($A297,Input_Raw!$A:$A,Input_Raw!$DE:$DE),"")</f>
        <v/>
      </c>
      <c r="AJ297" s="167"/>
      <c r="AK297" s="167"/>
      <c r="AL297" s="167"/>
      <c r="AM297" s="167"/>
      <c r="AN297" s="188" t="str">
        <f>IFERROR(_xlfn.XLOOKUP($A297,Input_Raw!$A:$A,Input_Raw!$DB:$DB),"")</f>
        <v/>
      </c>
      <c r="AO297" s="186" t="str">
        <f>IFERROR((_xlfn.XLOOKUP($A297,'WTG Reactive Power'!$A:$A,'WTG Reactive Power'!$AR:$AR))/X297/1000,"")</f>
        <v/>
      </c>
      <c r="AP297" s="186">
        <f>IFERROR(_xlfn.XLOOKUP($D297,'Modelling New'!$D:$D,'Modelling New'!$AK:$AK),"")</f>
        <v>0.05</v>
      </c>
      <c r="AQ297" s="186">
        <f>IFERROR(_xlfn.XLOOKUP($D297,'Modelling New'!$D:$D,'Modelling New'!$AL:$AL),"")</f>
        <v>0.05</v>
      </c>
      <c r="AR297">
        <f>IFERROR(_xlfn.XLOOKUP($D297,'Modelling New'!$D:$D,'Modelling New'!$N:$N),"")</f>
        <v>78</v>
      </c>
    </row>
    <row r="298" spans="1:44">
      <c r="A298" s="180">
        <f t="shared" si="32"/>
        <v>46041</v>
      </c>
      <c r="B298" s="169">
        <f>YEAR(Table13[[#This Row],[Date]])+IF(MONTH(Table13[[#This Row],[Date]])&gt;=4,1,0)</f>
        <v>2026</v>
      </c>
      <c r="C298" s="167">
        <f>YEAR(Table13[[#This Row],[Date]])</f>
        <v>2026</v>
      </c>
      <c r="D298" s="181">
        <f>Table13[[#This Row],[Date]]-DAY(Table13[[#This Row],[Date]])+1</f>
        <v>46023</v>
      </c>
      <c r="E298" s="167">
        <f t="shared" si="29"/>
        <v>31</v>
      </c>
      <c r="F298" s="170"/>
      <c r="G298" s="171"/>
      <c r="H298" s="171"/>
      <c r="I298" s="171"/>
      <c r="J298" s="171"/>
      <c r="K298" s="182"/>
      <c r="L298" s="171"/>
      <c r="M298" s="171" t="str">
        <f>IFERROR(_xlfn.XLOOKUP($A298,Input_Raw!$A:$A,Input_Raw!CG:CG),"")</f>
        <v/>
      </c>
      <c r="N298" s="171" t="str">
        <f>IFERROR(_xlfn.XLOOKUP($A298,Input_Raw!$A:$A,Input_Raw!CH:CH),"")</f>
        <v/>
      </c>
      <c r="O298" s="183" t="str">
        <f t="shared" si="30"/>
        <v/>
      </c>
      <c r="P298" s="183" t="str">
        <f>IFERROR(1-SUMIF(WTG_BD!$B:$B,$A298,WTG_BD!$AB:$AB)/($AA298+SUMIF(WTG_BD!$B:$B,$A298,WTG_BD!$AB:$AB)),"")</f>
        <v/>
      </c>
      <c r="Q298" s="184" t="str">
        <f>IFERROR(1-SUMIF(IGA_BD!$B:$B,$A298,IGA_BD!$X:$X)/($AA298+SUMIF(IGA_BD!$B:$B,$A298,IGA_BD!$X:$X)),"")</f>
        <v/>
      </c>
      <c r="R298" s="189" t="str">
        <f>IFERROR(1-SUMIF(Grid_BD!$B:$B,$A298,Grid_BD!$V:$V)/($AA298+SUMIF(Grid_BD!$B:$B,$A298,Grid_BD!$V:$V)),"")</f>
        <v/>
      </c>
      <c r="S298" s="167"/>
      <c r="T298" s="184"/>
      <c r="U298" s="185"/>
      <c r="V298" s="167"/>
      <c r="W298" s="186" t="str">
        <f>IFERROR(Table13[[#This Row],[Mtr_Net_Exp (KWh)]]/(24*AR298*1000),"")</f>
        <v/>
      </c>
      <c r="X298" s="167" t="str">
        <f>IFERROR(_xlfn.XLOOKUP($A298,Input_Raw!$A:$A,Input_Raw!$CF:$CF),"")</f>
        <v/>
      </c>
      <c r="Y298" s="167" t="str">
        <f>IFERROR(_xlfn.XLOOKUP($A298,Input_Raw!$A:$A,Input_Raw!$CZ:$CZ),"")</f>
        <v/>
      </c>
      <c r="Z298" s="167" t="str">
        <f>IFERROR(_xlfn.XLOOKUP($A298,Input_Raw!$A:$A,Input_Raw!$DA:$DA),"")</f>
        <v/>
      </c>
      <c r="AA298" s="169" t="str">
        <f t="shared" si="31"/>
        <v/>
      </c>
      <c r="AB298" s="167" t="str">
        <f>IFERROR(_xlfn.XLOOKUP($A298,Input_Raw!$A:$A,Input_Raw!$DG:$DG),"")</f>
        <v/>
      </c>
      <c r="AC298" s="187">
        <f>IFERROR(_xlfn.XLOOKUP($D298,'Modelling New'!$D:$D,'Modelling New'!$J:$J),"")</f>
        <v>3.8</v>
      </c>
      <c r="AD298" s="169">
        <f>IFERROR(_xlfn.XLOOKUP($D298,'Modelling New'!$D:$D,'Modelling New'!$T:$T)*1000,"")</f>
        <v>128093.39599615177</v>
      </c>
      <c r="AE298" s="186"/>
      <c r="AF298" s="186">
        <f>IFERROR(_xlfn.XLOOKUP($D298,'Modelling New'!$D:$D,'Modelling New'!$W:$W),"")</f>
        <v>6.8425959399653721E-2</v>
      </c>
      <c r="AG298" s="186">
        <f>IFERROR(_xlfn.XLOOKUP($D298,'Modelling New'!$D:$D,'Modelling New'!$AE:$AE),"")</f>
        <v>0.96029999999999993</v>
      </c>
      <c r="AH298" s="186">
        <f>IFERROR(_xlfn.XLOOKUP($D298,'Modelling New'!$D:$D,'Modelling New'!$AF:$AF),"")</f>
        <v>0.995</v>
      </c>
      <c r="AI298" s="167" t="str">
        <f>IFERROR(_xlfn.XLOOKUP($A298,Input_Raw!$A:$A,Input_Raw!$DE:$DE),"")</f>
        <v/>
      </c>
      <c r="AJ298" s="167"/>
      <c r="AK298" s="167"/>
      <c r="AL298" s="167"/>
      <c r="AM298" s="167"/>
      <c r="AN298" s="188" t="str">
        <f>IFERROR(_xlfn.XLOOKUP($A298,Input_Raw!$A:$A,Input_Raw!$DB:$DB),"")</f>
        <v/>
      </c>
      <c r="AO298" s="186" t="str">
        <f>IFERROR((_xlfn.XLOOKUP($A298,'WTG Reactive Power'!$A:$A,'WTG Reactive Power'!$AR:$AR))/X298/1000,"")</f>
        <v/>
      </c>
      <c r="AP298" s="186">
        <f>IFERROR(_xlfn.XLOOKUP($D298,'Modelling New'!$D:$D,'Modelling New'!$AK:$AK),"")</f>
        <v>0.05</v>
      </c>
      <c r="AQ298" s="186">
        <f>IFERROR(_xlfn.XLOOKUP($D298,'Modelling New'!$D:$D,'Modelling New'!$AL:$AL),"")</f>
        <v>0.05</v>
      </c>
      <c r="AR298">
        <f>IFERROR(_xlfn.XLOOKUP($D298,'Modelling New'!$D:$D,'Modelling New'!$N:$N),"")</f>
        <v>78</v>
      </c>
    </row>
    <row r="299" spans="1:44">
      <c r="A299" s="180">
        <f t="shared" si="32"/>
        <v>46042</v>
      </c>
      <c r="B299" s="169">
        <f>YEAR(Table13[[#This Row],[Date]])+IF(MONTH(Table13[[#This Row],[Date]])&gt;=4,1,0)</f>
        <v>2026</v>
      </c>
      <c r="C299" s="167">
        <f>YEAR(Table13[[#This Row],[Date]])</f>
        <v>2026</v>
      </c>
      <c r="D299" s="181">
        <f>Table13[[#This Row],[Date]]-DAY(Table13[[#This Row],[Date]])+1</f>
        <v>46023</v>
      </c>
      <c r="E299" s="167">
        <f t="shared" si="29"/>
        <v>31</v>
      </c>
      <c r="F299" s="170"/>
      <c r="G299" s="171"/>
      <c r="H299" s="171"/>
      <c r="I299" s="171"/>
      <c r="J299" s="171"/>
      <c r="K299" s="182"/>
      <c r="L299" s="171"/>
      <c r="M299" s="171" t="str">
        <f>IFERROR(_xlfn.XLOOKUP($A299,Input_Raw!$A:$A,Input_Raw!CG:CG),"")</f>
        <v/>
      </c>
      <c r="N299" s="171" t="str">
        <f>IFERROR(_xlfn.XLOOKUP($A299,Input_Raw!$A:$A,Input_Raw!CH:CH),"")</f>
        <v/>
      </c>
      <c r="O299" s="183" t="str">
        <f t="shared" si="30"/>
        <v/>
      </c>
      <c r="P299" s="183" t="str">
        <f>IFERROR(1-SUMIF(WTG_BD!$B:$B,$A299,WTG_BD!$AB:$AB)/($AA299+SUMIF(WTG_BD!$B:$B,$A299,WTG_BD!$AB:$AB)),"")</f>
        <v/>
      </c>
      <c r="Q299" s="184" t="str">
        <f>IFERROR(1-SUMIF(IGA_BD!$B:$B,$A299,IGA_BD!$X:$X)/($AA299+SUMIF(IGA_BD!$B:$B,$A299,IGA_BD!$X:$X)),"")</f>
        <v/>
      </c>
      <c r="R299" s="189" t="str">
        <f>IFERROR(1-SUMIF(Grid_BD!$B:$B,$A299,Grid_BD!$V:$V)/($AA299+SUMIF(Grid_BD!$B:$B,$A299,Grid_BD!$V:$V)),"")</f>
        <v/>
      </c>
      <c r="S299" s="167"/>
      <c r="T299" s="184"/>
      <c r="U299" s="185"/>
      <c r="V299" s="167"/>
      <c r="W299" s="186" t="str">
        <f>IFERROR(Table13[[#This Row],[Mtr_Net_Exp (KWh)]]/(24*AR299*1000),"")</f>
        <v/>
      </c>
      <c r="X299" s="167" t="str">
        <f>IFERROR(_xlfn.XLOOKUP($A299,Input_Raw!$A:$A,Input_Raw!$CF:$CF),"")</f>
        <v/>
      </c>
      <c r="Y299" s="167" t="str">
        <f>IFERROR(_xlfn.XLOOKUP($A299,Input_Raw!$A:$A,Input_Raw!$CZ:$CZ),"")</f>
        <v/>
      </c>
      <c r="Z299" s="167" t="str">
        <f>IFERROR(_xlfn.XLOOKUP($A299,Input_Raw!$A:$A,Input_Raw!$DA:$DA),"")</f>
        <v/>
      </c>
      <c r="AA299" s="169" t="str">
        <f t="shared" si="31"/>
        <v/>
      </c>
      <c r="AB299" s="167" t="str">
        <f>IFERROR(_xlfn.XLOOKUP($A299,Input_Raw!$A:$A,Input_Raw!$DG:$DG),"")</f>
        <v/>
      </c>
      <c r="AC299" s="187">
        <f>IFERROR(_xlfn.XLOOKUP($D299,'Modelling New'!$D:$D,'Modelling New'!$J:$J),"")</f>
        <v>3.8</v>
      </c>
      <c r="AD299" s="169">
        <f>IFERROR(_xlfn.XLOOKUP($D299,'Modelling New'!$D:$D,'Modelling New'!$T:$T)*1000,"")</f>
        <v>128093.39599615177</v>
      </c>
      <c r="AE299" s="186"/>
      <c r="AF299" s="186">
        <f>IFERROR(_xlfn.XLOOKUP($D299,'Modelling New'!$D:$D,'Modelling New'!$W:$W),"")</f>
        <v>6.8425959399653721E-2</v>
      </c>
      <c r="AG299" s="186">
        <f>IFERROR(_xlfn.XLOOKUP($D299,'Modelling New'!$D:$D,'Modelling New'!$AE:$AE),"")</f>
        <v>0.96029999999999993</v>
      </c>
      <c r="AH299" s="186">
        <f>IFERROR(_xlfn.XLOOKUP($D299,'Modelling New'!$D:$D,'Modelling New'!$AF:$AF),"")</f>
        <v>0.995</v>
      </c>
      <c r="AI299" s="167" t="str">
        <f>IFERROR(_xlfn.XLOOKUP($A299,Input_Raw!$A:$A,Input_Raw!$DE:$DE),"")</f>
        <v/>
      </c>
      <c r="AJ299" s="167"/>
      <c r="AK299" s="167"/>
      <c r="AL299" s="167"/>
      <c r="AM299" s="167"/>
      <c r="AN299" s="188" t="str">
        <f>IFERROR(_xlfn.XLOOKUP($A299,Input_Raw!$A:$A,Input_Raw!$DB:$DB),"")</f>
        <v/>
      </c>
      <c r="AO299" s="186" t="str">
        <f>IFERROR((_xlfn.XLOOKUP($A299,'WTG Reactive Power'!$A:$A,'WTG Reactive Power'!$AR:$AR))/X299/1000,"")</f>
        <v/>
      </c>
      <c r="AP299" s="186">
        <f>IFERROR(_xlfn.XLOOKUP($D299,'Modelling New'!$D:$D,'Modelling New'!$AK:$AK),"")</f>
        <v>0.05</v>
      </c>
      <c r="AQ299" s="186">
        <f>IFERROR(_xlfn.XLOOKUP($D299,'Modelling New'!$D:$D,'Modelling New'!$AL:$AL),"")</f>
        <v>0.05</v>
      </c>
      <c r="AR299">
        <f>IFERROR(_xlfn.XLOOKUP($D299,'Modelling New'!$D:$D,'Modelling New'!$N:$N),"")</f>
        <v>78</v>
      </c>
    </row>
    <row r="300" spans="1:44">
      <c r="A300" s="180">
        <f t="shared" si="32"/>
        <v>46043</v>
      </c>
      <c r="B300" s="169">
        <f>YEAR(Table13[[#This Row],[Date]])+IF(MONTH(Table13[[#This Row],[Date]])&gt;=4,1,0)</f>
        <v>2026</v>
      </c>
      <c r="C300" s="167">
        <f>YEAR(Table13[[#This Row],[Date]])</f>
        <v>2026</v>
      </c>
      <c r="D300" s="181">
        <f>Table13[[#This Row],[Date]]-DAY(Table13[[#This Row],[Date]])+1</f>
        <v>46023</v>
      </c>
      <c r="E300" s="167">
        <f t="shared" si="29"/>
        <v>31</v>
      </c>
      <c r="F300" s="170"/>
      <c r="G300" s="171"/>
      <c r="H300" s="171"/>
      <c r="I300" s="171"/>
      <c r="J300" s="171"/>
      <c r="K300" s="182"/>
      <c r="L300" s="171"/>
      <c r="M300" s="171" t="str">
        <f>IFERROR(_xlfn.XLOOKUP($A300,Input_Raw!$A:$A,Input_Raw!CG:CG),"")</f>
        <v/>
      </c>
      <c r="N300" s="171" t="str">
        <f>IFERROR(_xlfn.XLOOKUP($A300,Input_Raw!$A:$A,Input_Raw!CH:CH),"")</f>
        <v/>
      </c>
      <c r="O300" s="183" t="str">
        <f t="shared" si="30"/>
        <v/>
      </c>
      <c r="P300" s="183" t="str">
        <f>IFERROR(1-SUMIF(WTG_BD!$B:$B,$A300,WTG_BD!$AB:$AB)/($AA300+SUMIF(WTG_BD!$B:$B,$A300,WTG_BD!$AB:$AB)),"")</f>
        <v/>
      </c>
      <c r="Q300" s="184" t="str">
        <f>IFERROR(1-SUMIF(IGA_BD!$B:$B,$A300,IGA_BD!$X:$X)/($AA300+SUMIF(IGA_BD!$B:$B,$A300,IGA_BD!$X:$X)),"")</f>
        <v/>
      </c>
      <c r="R300" s="189" t="str">
        <f>IFERROR(1-SUMIF(Grid_BD!$B:$B,$A300,Grid_BD!$V:$V)/($AA300+SUMIF(Grid_BD!$B:$B,$A300,Grid_BD!$V:$V)),"")</f>
        <v/>
      </c>
      <c r="S300" s="167"/>
      <c r="T300" s="184"/>
      <c r="U300" s="185"/>
      <c r="V300" s="167"/>
      <c r="W300" s="186" t="str">
        <f>IFERROR(Table13[[#This Row],[Mtr_Net_Exp (KWh)]]/(24*AR300*1000),"")</f>
        <v/>
      </c>
      <c r="X300" s="167" t="str">
        <f>IFERROR(_xlfn.XLOOKUP($A300,Input_Raw!$A:$A,Input_Raw!$CF:$CF),"")</f>
        <v/>
      </c>
      <c r="Y300" s="167" t="str">
        <f>IFERROR(_xlfn.XLOOKUP($A300,Input_Raw!$A:$A,Input_Raw!$CZ:$CZ),"")</f>
        <v/>
      </c>
      <c r="Z300" s="167" t="str">
        <f>IFERROR(_xlfn.XLOOKUP($A300,Input_Raw!$A:$A,Input_Raw!$DA:$DA),"")</f>
        <v/>
      </c>
      <c r="AA300" s="169" t="str">
        <f t="shared" si="31"/>
        <v/>
      </c>
      <c r="AB300" s="167" t="str">
        <f>IFERROR(_xlfn.XLOOKUP($A300,Input_Raw!$A:$A,Input_Raw!$DG:$DG),"")</f>
        <v/>
      </c>
      <c r="AC300" s="187">
        <f>IFERROR(_xlfn.XLOOKUP($D300,'Modelling New'!$D:$D,'Modelling New'!$J:$J),"")</f>
        <v>3.8</v>
      </c>
      <c r="AD300" s="169">
        <f>IFERROR(_xlfn.XLOOKUP($D300,'Modelling New'!$D:$D,'Modelling New'!$T:$T)*1000,"")</f>
        <v>128093.39599615177</v>
      </c>
      <c r="AE300" s="186"/>
      <c r="AF300" s="186">
        <f>IFERROR(_xlfn.XLOOKUP($D300,'Modelling New'!$D:$D,'Modelling New'!$W:$W),"")</f>
        <v>6.8425959399653721E-2</v>
      </c>
      <c r="AG300" s="186">
        <f>IFERROR(_xlfn.XLOOKUP($D300,'Modelling New'!$D:$D,'Modelling New'!$AE:$AE),"")</f>
        <v>0.96029999999999993</v>
      </c>
      <c r="AH300" s="186">
        <f>IFERROR(_xlfn.XLOOKUP($D300,'Modelling New'!$D:$D,'Modelling New'!$AF:$AF),"")</f>
        <v>0.995</v>
      </c>
      <c r="AI300" s="167" t="str">
        <f>IFERROR(_xlfn.XLOOKUP($A300,Input_Raw!$A:$A,Input_Raw!$DE:$DE),"")</f>
        <v/>
      </c>
      <c r="AJ300" s="167"/>
      <c r="AK300" s="167"/>
      <c r="AL300" s="167"/>
      <c r="AM300" s="167"/>
      <c r="AN300" s="188" t="str">
        <f>IFERROR(_xlfn.XLOOKUP($A300,Input_Raw!$A:$A,Input_Raw!$DB:$DB),"")</f>
        <v/>
      </c>
      <c r="AO300" s="186" t="str">
        <f>IFERROR((_xlfn.XLOOKUP($A300,'WTG Reactive Power'!$A:$A,'WTG Reactive Power'!$AR:$AR))/X300/1000,"")</f>
        <v/>
      </c>
      <c r="AP300" s="186">
        <f>IFERROR(_xlfn.XLOOKUP($D300,'Modelling New'!$D:$D,'Modelling New'!$AK:$AK),"")</f>
        <v>0.05</v>
      </c>
      <c r="AQ300" s="186">
        <f>IFERROR(_xlfn.XLOOKUP($D300,'Modelling New'!$D:$D,'Modelling New'!$AL:$AL),"")</f>
        <v>0.05</v>
      </c>
      <c r="AR300">
        <f>IFERROR(_xlfn.XLOOKUP($D300,'Modelling New'!$D:$D,'Modelling New'!$N:$N),"")</f>
        <v>78</v>
      </c>
    </row>
    <row r="301" spans="1:44">
      <c r="A301" s="180">
        <f t="shared" si="32"/>
        <v>46044</v>
      </c>
      <c r="B301" s="169">
        <f>YEAR(Table13[[#This Row],[Date]])+IF(MONTH(Table13[[#This Row],[Date]])&gt;=4,1,0)</f>
        <v>2026</v>
      </c>
      <c r="C301" s="167">
        <f>YEAR(Table13[[#This Row],[Date]])</f>
        <v>2026</v>
      </c>
      <c r="D301" s="181">
        <f>Table13[[#This Row],[Date]]-DAY(Table13[[#This Row],[Date]])+1</f>
        <v>46023</v>
      </c>
      <c r="E301" s="167">
        <f t="shared" si="29"/>
        <v>31</v>
      </c>
      <c r="F301" s="170"/>
      <c r="G301" s="171"/>
      <c r="H301" s="171"/>
      <c r="I301" s="171"/>
      <c r="J301" s="171"/>
      <c r="K301" s="182"/>
      <c r="L301" s="171"/>
      <c r="M301" s="171" t="str">
        <f>IFERROR(_xlfn.XLOOKUP($A301,Input_Raw!$A:$A,Input_Raw!CG:CG),"")</f>
        <v/>
      </c>
      <c r="N301" s="171" t="str">
        <f>IFERROR(_xlfn.XLOOKUP($A301,Input_Raw!$A:$A,Input_Raw!CH:CH),"")</f>
        <v/>
      </c>
      <c r="O301" s="183" t="str">
        <f t="shared" si="30"/>
        <v/>
      </c>
      <c r="P301" s="183" t="str">
        <f>IFERROR(1-SUMIF(WTG_BD!$B:$B,$A301,WTG_BD!$AB:$AB)/($AA301+SUMIF(WTG_BD!$B:$B,$A301,WTG_BD!$AB:$AB)),"")</f>
        <v/>
      </c>
      <c r="Q301" s="184" t="str">
        <f>IFERROR(1-SUMIF(IGA_BD!$B:$B,$A301,IGA_BD!$X:$X)/($AA301+SUMIF(IGA_BD!$B:$B,$A301,IGA_BD!$X:$X)),"")</f>
        <v/>
      </c>
      <c r="R301" s="189" t="str">
        <f>IFERROR(1-SUMIF(Grid_BD!$B:$B,$A301,Grid_BD!$V:$V)/($AA301+SUMIF(Grid_BD!$B:$B,$A301,Grid_BD!$V:$V)),"")</f>
        <v/>
      </c>
      <c r="S301" s="167"/>
      <c r="T301" s="184"/>
      <c r="U301" s="185"/>
      <c r="V301" s="167"/>
      <c r="W301" s="186" t="str">
        <f>IFERROR(Table13[[#This Row],[Mtr_Net_Exp (KWh)]]/(24*AR301*1000),"")</f>
        <v/>
      </c>
      <c r="X301" s="167" t="str">
        <f>IFERROR(_xlfn.XLOOKUP($A301,Input_Raw!$A:$A,Input_Raw!$CF:$CF),"")</f>
        <v/>
      </c>
      <c r="Y301" s="167" t="str">
        <f>IFERROR(_xlfn.XLOOKUP($A301,Input_Raw!$A:$A,Input_Raw!$CZ:$CZ),"")</f>
        <v/>
      </c>
      <c r="Z301" s="167" t="str">
        <f>IFERROR(_xlfn.XLOOKUP($A301,Input_Raw!$A:$A,Input_Raw!$DA:$DA),"")</f>
        <v/>
      </c>
      <c r="AA301" s="169" t="str">
        <f t="shared" si="31"/>
        <v/>
      </c>
      <c r="AB301" s="167" t="str">
        <f>IFERROR(_xlfn.XLOOKUP($A301,Input_Raw!$A:$A,Input_Raw!$DG:$DG),"")</f>
        <v/>
      </c>
      <c r="AC301" s="187">
        <f>IFERROR(_xlfn.XLOOKUP($D301,'Modelling New'!$D:$D,'Modelling New'!$J:$J),"")</f>
        <v>3.8</v>
      </c>
      <c r="AD301" s="169">
        <f>IFERROR(_xlfn.XLOOKUP($D301,'Modelling New'!$D:$D,'Modelling New'!$T:$T)*1000,"")</f>
        <v>128093.39599615177</v>
      </c>
      <c r="AE301" s="186"/>
      <c r="AF301" s="186">
        <f>IFERROR(_xlfn.XLOOKUP($D301,'Modelling New'!$D:$D,'Modelling New'!$W:$W),"")</f>
        <v>6.8425959399653721E-2</v>
      </c>
      <c r="AG301" s="186">
        <f>IFERROR(_xlfn.XLOOKUP($D301,'Modelling New'!$D:$D,'Modelling New'!$AE:$AE),"")</f>
        <v>0.96029999999999993</v>
      </c>
      <c r="AH301" s="186">
        <f>IFERROR(_xlfn.XLOOKUP($D301,'Modelling New'!$D:$D,'Modelling New'!$AF:$AF),"")</f>
        <v>0.995</v>
      </c>
      <c r="AI301" s="167" t="str">
        <f>IFERROR(_xlfn.XLOOKUP($A301,Input_Raw!$A:$A,Input_Raw!$DE:$DE),"")</f>
        <v/>
      </c>
      <c r="AJ301" s="167"/>
      <c r="AK301" s="167"/>
      <c r="AL301" s="167"/>
      <c r="AM301" s="167"/>
      <c r="AN301" s="188" t="str">
        <f>IFERROR(_xlfn.XLOOKUP($A301,Input_Raw!$A:$A,Input_Raw!$DB:$DB),"")</f>
        <v/>
      </c>
      <c r="AO301" s="186" t="str">
        <f>IFERROR((_xlfn.XLOOKUP($A301,'WTG Reactive Power'!$A:$A,'WTG Reactive Power'!$AR:$AR))/X301/1000,"")</f>
        <v/>
      </c>
      <c r="AP301" s="186">
        <f>IFERROR(_xlfn.XLOOKUP($D301,'Modelling New'!$D:$D,'Modelling New'!$AK:$AK),"")</f>
        <v>0.05</v>
      </c>
      <c r="AQ301" s="186">
        <f>IFERROR(_xlfn.XLOOKUP($D301,'Modelling New'!$D:$D,'Modelling New'!$AL:$AL),"")</f>
        <v>0.05</v>
      </c>
      <c r="AR301">
        <f>IFERROR(_xlfn.XLOOKUP($D301,'Modelling New'!$D:$D,'Modelling New'!$N:$N),"")</f>
        <v>78</v>
      </c>
    </row>
    <row r="302" spans="1:44">
      <c r="A302" s="180">
        <f t="shared" si="32"/>
        <v>46045</v>
      </c>
      <c r="B302" s="169">
        <f>YEAR(Table13[[#This Row],[Date]])+IF(MONTH(Table13[[#This Row],[Date]])&gt;=4,1,0)</f>
        <v>2026</v>
      </c>
      <c r="C302" s="167">
        <f>YEAR(Table13[[#This Row],[Date]])</f>
        <v>2026</v>
      </c>
      <c r="D302" s="181">
        <f>Table13[[#This Row],[Date]]-DAY(Table13[[#This Row],[Date]])+1</f>
        <v>46023</v>
      </c>
      <c r="E302" s="167">
        <f t="shared" si="29"/>
        <v>31</v>
      </c>
      <c r="F302" s="170"/>
      <c r="G302" s="171"/>
      <c r="H302" s="171"/>
      <c r="I302" s="171"/>
      <c r="J302" s="171"/>
      <c r="K302" s="182"/>
      <c r="L302" s="171"/>
      <c r="M302" s="171" t="str">
        <f>IFERROR(_xlfn.XLOOKUP($A302,Input_Raw!$A:$A,Input_Raw!CG:CG),"")</f>
        <v/>
      </c>
      <c r="N302" s="171" t="str">
        <f>IFERROR(_xlfn.XLOOKUP($A302,Input_Raw!$A:$A,Input_Raw!CH:CH),"")</f>
        <v/>
      </c>
      <c r="O302" s="183" t="str">
        <f t="shared" si="30"/>
        <v/>
      </c>
      <c r="P302" s="183" t="str">
        <f>IFERROR(1-SUMIF(WTG_BD!$B:$B,$A302,WTG_BD!$AB:$AB)/($AA302+SUMIF(WTG_BD!$B:$B,$A302,WTG_BD!$AB:$AB)),"")</f>
        <v/>
      </c>
      <c r="Q302" s="184" t="str">
        <f>IFERROR(1-SUMIF(IGA_BD!$B:$B,$A302,IGA_BD!$X:$X)/($AA302+SUMIF(IGA_BD!$B:$B,$A302,IGA_BD!$X:$X)),"")</f>
        <v/>
      </c>
      <c r="R302" s="189" t="str">
        <f>IFERROR(1-SUMIF(Grid_BD!$B:$B,$A302,Grid_BD!$V:$V)/($AA302+SUMIF(Grid_BD!$B:$B,$A302,Grid_BD!$V:$V)),"")</f>
        <v/>
      </c>
      <c r="S302" s="167"/>
      <c r="T302" s="184"/>
      <c r="U302" s="185"/>
      <c r="V302" s="167"/>
      <c r="W302" s="186" t="str">
        <f>IFERROR(Table13[[#This Row],[Mtr_Net_Exp (KWh)]]/(24*AR302*1000),"")</f>
        <v/>
      </c>
      <c r="X302" s="167" t="str">
        <f>IFERROR(_xlfn.XLOOKUP($A302,Input_Raw!$A:$A,Input_Raw!$CF:$CF),"")</f>
        <v/>
      </c>
      <c r="Y302" s="167" t="str">
        <f>IFERROR(_xlfn.XLOOKUP($A302,Input_Raw!$A:$A,Input_Raw!$CZ:$CZ),"")</f>
        <v/>
      </c>
      <c r="Z302" s="167" t="str">
        <f>IFERROR(_xlfn.XLOOKUP($A302,Input_Raw!$A:$A,Input_Raw!$DA:$DA),"")</f>
        <v/>
      </c>
      <c r="AA302" s="169" t="str">
        <f t="shared" si="31"/>
        <v/>
      </c>
      <c r="AB302" s="167" t="str">
        <f>IFERROR(_xlfn.XLOOKUP($A302,Input_Raw!$A:$A,Input_Raw!$DG:$DG),"")</f>
        <v/>
      </c>
      <c r="AC302" s="187">
        <f>IFERROR(_xlfn.XLOOKUP($D302,'Modelling New'!$D:$D,'Modelling New'!$J:$J),"")</f>
        <v>3.8</v>
      </c>
      <c r="AD302" s="169">
        <f>IFERROR(_xlfn.XLOOKUP($D302,'Modelling New'!$D:$D,'Modelling New'!$T:$T)*1000,"")</f>
        <v>128093.39599615177</v>
      </c>
      <c r="AE302" s="186"/>
      <c r="AF302" s="186">
        <f>IFERROR(_xlfn.XLOOKUP($D302,'Modelling New'!$D:$D,'Modelling New'!$W:$W),"")</f>
        <v>6.8425959399653721E-2</v>
      </c>
      <c r="AG302" s="186">
        <f>IFERROR(_xlfn.XLOOKUP($D302,'Modelling New'!$D:$D,'Modelling New'!$AE:$AE),"")</f>
        <v>0.96029999999999993</v>
      </c>
      <c r="AH302" s="186">
        <f>IFERROR(_xlfn.XLOOKUP($D302,'Modelling New'!$D:$D,'Modelling New'!$AF:$AF),"")</f>
        <v>0.995</v>
      </c>
      <c r="AI302" s="167" t="str">
        <f>IFERROR(_xlfn.XLOOKUP($A302,Input_Raw!$A:$A,Input_Raw!$DE:$DE),"")</f>
        <v/>
      </c>
      <c r="AJ302" s="167"/>
      <c r="AK302" s="167"/>
      <c r="AL302" s="167"/>
      <c r="AM302" s="167"/>
      <c r="AN302" s="188" t="str">
        <f>IFERROR(_xlfn.XLOOKUP($A302,Input_Raw!$A:$A,Input_Raw!$DB:$DB),"")</f>
        <v/>
      </c>
      <c r="AO302" s="186" t="str">
        <f>IFERROR((_xlfn.XLOOKUP($A302,'WTG Reactive Power'!$A:$A,'WTG Reactive Power'!$AR:$AR))/X302/1000,"")</f>
        <v/>
      </c>
      <c r="AP302" s="186">
        <f>IFERROR(_xlfn.XLOOKUP($D302,'Modelling New'!$D:$D,'Modelling New'!$AK:$AK),"")</f>
        <v>0.05</v>
      </c>
      <c r="AQ302" s="186">
        <f>IFERROR(_xlfn.XLOOKUP($D302,'Modelling New'!$D:$D,'Modelling New'!$AL:$AL),"")</f>
        <v>0.05</v>
      </c>
      <c r="AR302">
        <f>IFERROR(_xlfn.XLOOKUP($D302,'Modelling New'!$D:$D,'Modelling New'!$N:$N),"")</f>
        <v>78</v>
      </c>
    </row>
    <row r="303" spans="1:44">
      <c r="A303" s="180">
        <f t="shared" si="32"/>
        <v>46046</v>
      </c>
      <c r="B303" s="169">
        <f>YEAR(Table13[[#This Row],[Date]])+IF(MONTH(Table13[[#This Row],[Date]])&gt;=4,1,0)</f>
        <v>2026</v>
      </c>
      <c r="C303" s="167">
        <f>YEAR(Table13[[#This Row],[Date]])</f>
        <v>2026</v>
      </c>
      <c r="D303" s="181">
        <f>Table13[[#This Row],[Date]]-DAY(Table13[[#This Row],[Date]])+1</f>
        <v>46023</v>
      </c>
      <c r="E303" s="167">
        <f t="shared" si="29"/>
        <v>31</v>
      </c>
      <c r="F303" s="170"/>
      <c r="G303" s="171"/>
      <c r="H303" s="171"/>
      <c r="I303" s="171"/>
      <c r="J303" s="171"/>
      <c r="K303" s="182"/>
      <c r="L303" s="171"/>
      <c r="M303" s="171" t="str">
        <f>IFERROR(_xlfn.XLOOKUP($A303,Input_Raw!$A:$A,Input_Raw!CG:CG),"")</f>
        <v/>
      </c>
      <c r="N303" s="171" t="str">
        <f>IFERROR(_xlfn.XLOOKUP($A303,Input_Raw!$A:$A,Input_Raw!CH:CH),"")</f>
        <v/>
      </c>
      <c r="O303" s="183" t="str">
        <f t="shared" si="30"/>
        <v/>
      </c>
      <c r="P303" s="183" t="str">
        <f>IFERROR(1-SUMIF(WTG_BD!$B:$B,$A303,WTG_BD!$AB:$AB)/($AA303+SUMIF(WTG_BD!$B:$B,$A303,WTG_BD!$AB:$AB)),"")</f>
        <v/>
      </c>
      <c r="Q303" s="184" t="str">
        <f>IFERROR(1-SUMIF(IGA_BD!$B:$B,$A303,IGA_BD!$X:$X)/($AA303+SUMIF(IGA_BD!$B:$B,$A303,IGA_BD!$X:$X)),"")</f>
        <v/>
      </c>
      <c r="R303" s="189" t="str">
        <f>IFERROR(1-SUMIF(Grid_BD!$B:$B,$A303,Grid_BD!$V:$V)/($AA303+SUMIF(Grid_BD!$B:$B,$A303,Grid_BD!$V:$V)),"")</f>
        <v/>
      </c>
      <c r="S303" s="167"/>
      <c r="T303" s="184"/>
      <c r="U303" s="185"/>
      <c r="V303" s="167"/>
      <c r="W303" s="186" t="str">
        <f>IFERROR(Table13[[#This Row],[Mtr_Net_Exp (KWh)]]/(24*AR303*1000),"")</f>
        <v/>
      </c>
      <c r="X303" s="167" t="str">
        <f>IFERROR(_xlfn.XLOOKUP($A303,Input_Raw!$A:$A,Input_Raw!$CF:$CF),"")</f>
        <v/>
      </c>
      <c r="Y303" s="167" t="str">
        <f>IFERROR(_xlfn.XLOOKUP($A303,Input_Raw!$A:$A,Input_Raw!$CZ:$CZ),"")</f>
        <v/>
      </c>
      <c r="Z303" s="167" t="str">
        <f>IFERROR(_xlfn.XLOOKUP($A303,Input_Raw!$A:$A,Input_Raw!$DA:$DA),"")</f>
        <v/>
      </c>
      <c r="AA303" s="169" t="str">
        <f t="shared" si="31"/>
        <v/>
      </c>
      <c r="AB303" s="167" t="str">
        <f>IFERROR(_xlfn.XLOOKUP($A303,Input_Raw!$A:$A,Input_Raw!$DG:$DG),"")</f>
        <v/>
      </c>
      <c r="AC303" s="187">
        <f>IFERROR(_xlfn.XLOOKUP($D303,'Modelling New'!$D:$D,'Modelling New'!$J:$J),"")</f>
        <v>3.8</v>
      </c>
      <c r="AD303" s="169">
        <f>IFERROR(_xlfn.XLOOKUP($D303,'Modelling New'!$D:$D,'Modelling New'!$T:$T)*1000,"")</f>
        <v>128093.39599615177</v>
      </c>
      <c r="AE303" s="186"/>
      <c r="AF303" s="186">
        <f>IFERROR(_xlfn.XLOOKUP($D303,'Modelling New'!$D:$D,'Modelling New'!$W:$W),"")</f>
        <v>6.8425959399653721E-2</v>
      </c>
      <c r="AG303" s="186">
        <f>IFERROR(_xlfn.XLOOKUP($D303,'Modelling New'!$D:$D,'Modelling New'!$AE:$AE),"")</f>
        <v>0.96029999999999993</v>
      </c>
      <c r="AH303" s="186">
        <f>IFERROR(_xlfn.XLOOKUP($D303,'Modelling New'!$D:$D,'Modelling New'!$AF:$AF),"")</f>
        <v>0.995</v>
      </c>
      <c r="AI303" s="167" t="str">
        <f>IFERROR(_xlfn.XLOOKUP($A303,Input_Raw!$A:$A,Input_Raw!$DE:$DE),"")</f>
        <v/>
      </c>
      <c r="AJ303" s="167"/>
      <c r="AK303" s="167"/>
      <c r="AL303" s="167"/>
      <c r="AM303" s="167"/>
      <c r="AN303" s="188" t="str">
        <f>IFERROR(_xlfn.XLOOKUP($A303,Input_Raw!$A:$A,Input_Raw!$DB:$DB),"")</f>
        <v/>
      </c>
      <c r="AO303" s="186" t="str">
        <f>IFERROR((_xlfn.XLOOKUP($A303,'WTG Reactive Power'!$A:$A,'WTG Reactive Power'!$AR:$AR))/X303/1000,"")</f>
        <v/>
      </c>
      <c r="AP303" s="186">
        <f>IFERROR(_xlfn.XLOOKUP($D303,'Modelling New'!$D:$D,'Modelling New'!$AK:$AK),"")</f>
        <v>0.05</v>
      </c>
      <c r="AQ303" s="186">
        <f>IFERROR(_xlfn.XLOOKUP($D303,'Modelling New'!$D:$D,'Modelling New'!$AL:$AL),"")</f>
        <v>0.05</v>
      </c>
      <c r="AR303">
        <f>IFERROR(_xlfn.XLOOKUP($D303,'Modelling New'!$D:$D,'Modelling New'!$N:$N),"")</f>
        <v>78</v>
      </c>
    </row>
    <row r="304" spans="1:44">
      <c r="A304" s="180">
        <f t="shared" si="32"/>
        <v>46047</v>
      </c>
      <c r="B304" s="169">
        <f>YEAR(Table13[[#This Row],[Date]])+IF(MONTH(Table13[[#This Row],[Date]])&gt;=4,1,0)</f>
        <v>2026</v>
      </c>
      <c r="C304" s="167">
        <f>YEAR(Table13[[#This Row],[Date]])</f>
        <v>2026</v>
      </c>
      <c r="D304" s="181">
        <f>Table13[[#This Row],[Date]]-DAY(Table13[[#This Row],[Date]])+1</f>
        <v>46023</v>
      </c>
      <c r="E304" s="167">
        <f t="shared" si="29"/>
        <v>31</v>
      </c>
      <c r="F304" s="170"/>
      <c r="G304" s="171"/>
      <c r="H304" s="171"/>
      <c r="I304" s="171"/>
      <c r="J304" s="171"/>
      <c r="K304" s="182"/>
      <c r="L304" s="171"/>
      <c r="M304" s="171" t="str">
        <f>IFERROR(_xlfn.XLOOKUP($A304,Input_Raw!$A:$A,Input_Raw!CG:CG),"")</f>
        <v/>
      </c>
      <c r="N304" s="171" t="str">
        <f>IFERROR(_xlfn.XLOOKUP($A304,Input_Raw!$A:$A,Input_Raw!CH:CH),"")</f>
        <v/>
      </c>
      <c r="O304" s="183" t="str">
        <f t="shared" si="30"/>
        <v/>
      </c>
      <c r="P304" s="183" t="str">
        <f>IFERROR(1-SUMIF(WTG_BD!$B:$B,$A304,WTG_BD!$AB:$AB)/($AA304+SUMIF(WTG_BD!$B:$B,$A304,WTG_BD!$AB:$AB)),"")</f>
        <v/>
      </c>
      <c r="Q304" s="184" t="str">
        <f>IFERROR(1-SUMIF(IGA_BD!$B:$B,$A304,IGA_BD!$X:$X)/($AA304+SUMIF(IGA_BD!$B:$B,$A304,IGA_BD!$X:$X)),"")</f>
        <v/>
      </c>
      <c r="R304" s="189" t="str">
        <f>IFERROR(1-SUMIF(Grid_BD!$B:$B,$A304,Grid_BD!$V:$V)/($AA304+SUMIF(Grid_BD!$B:$B,$A304,Grid_BD!$V:$V)),"")</f>
        <v/>
      </c>
      <c r="S304" s="167"/>
      <c r="T304" s="184"/>
      <c r="U304" s="185"/>
      <c r="V304" s="167"/>
      <c r="W304" s="186" t="str">
        <f>IFERROR(Table13[[#This Row],[Mtr_Net_Exp (KWh)]]/(24*AR304*1000),"")</f>
        <v/>
      </c>
      <c r="X304" s="167" t="str">
        <f>IFERROR(_xlfn.XLOOKUP($A304,Input_Raw!$A:$A,Input_Raw!$CF:$CF),"")</f>
        <v/>
      </c>
      <c r="Y304" s="167" t="str">
        <f>IFERROR(_xlfn.XLOOKUP($A304,Input_Raw!$A:$A,Input_Raw!$CZ:$CZ),"")</f>
        <v/>
      </c>
      <c r="Z304" s="167" t="str">
        <f>IFERROR(_xlfn.XLOOKUP($A304,Input_Raw!$A:$A,Input_Raw!$DA:$DA),"")</f>
        <v/>
      </c>
      <c r="AA304" s="169" t="str">
        <f t="shared" si="31"/>
        <v/>
      </c>
      <c r="AB304" s="167" t="str">
        <f>IFERROR(_xlfn.XLOOKUP($A304,Input_Raw!$A:$A,Input_Raw!$DG:$DG),"")</f>
        <v/>
      </c>
      <c r="AC304" s="187">
        <f>IFERROR(_xlfn.XLOOKUP($D304,'Modelling New'!$D:$D,'Modelling New'!$J:$J),"")</f>
        <v>3.8</v>
      </c>
      <c r="AD304" s="169">
        <f>IFERROR(_xlfn.XLOOKUP($D304,'Modelling New'!$D:$D,'Modelling New'!$T:$T)*1000,"")</f>
        <v>128093.39599615177</v>
      </c>
      <c r="AE304" s="186"/>
      <c r="AF304" s="186">
        <f>IFERROR(_xlfn.XLOOKUP($D304,'Modelling New'!$D:$D,'Modelling New'!$W:$W),"")</f>
        <v>6.8425959399653721E-2</v>
      </c>
      <c r="AG304" s="186">
        <f>IFERROR(_xlfn.XLOOKUP($D304,'Modelling New'!$D:$D,'Modelling New'!$AE:$AE),"")</f>
        <v>0.96029999999999993</v>
      </c>
      <c r="AH304" s="186">
        <f>IFERROR(_xlfn.XLOOKUP($D304,'Modelling New'!$D:$D,'Modelling New'!$AF:$AF),"")</f>
        <v>0.995</v>
      </c>
      <c r="AI304" s="167" t="str">
        <f>IFERROR(_xlfn.XLOOKUP($A304,Input_Raw!$A:$A,Input_Raw!$DE:$DE),"")</f>
        <v/>
      </c>
      <c r="AJ304" s="167"/>
      <c r="AK304" s="167"/>
      <c r="AL304" s="167"/>
      <c r="AM304" s="167"/>
      <c r="AN304" s="188" t="str">
        <f>IFERROR(_xlfn.XLOOKUP($A304,Input_Raw!$A:$A,Input_Raw!$DB:$DB),"")</f>
        <v/>
      </c>
      <c r="AO304" s="186" t="str">
        <f>IFERROR((_xlfn.XLOOKUP($A304,'WTG Reactive Power'!$A:$A,'WTG Reactive Power'!$AR:$AR))/X304/1000,"")</f>
        <v/>
      </c>
      <c r="AP304" s="186">
        <f>IFERROR(_xlfn.XLOOKUP($D304,'Modelling New'!$D:$D,'Modelling New'!$AK:$AK),"")</f>
        <v>0.05</v>
      </c>
      <c r="AQ304" s="186">
        <f>IFERROR(_xlfn.XLOOKUP($D304,'Modelling New'!$D:$D,'Modelling New'!$AL:$AL),"")</f>
        <v>0.05</v>
      </c>
      <c r="AR304">
        <f>IFERROR(_xlfn.XLOOKUP($D304,'Modelling New'!$D:$D,'Modelling New'!$N:$N),"")</f>
        <v>78</v>
      </c>
    </row>
    <row r="305" spans="1:44">
      <c r="A305" s="180">
        <f t="shared" si="32"/>
        <v>46048</v>
      </c>
      <c r="B305" s="169">
        <f>YEAR(Table13[[#This Row],[Date]])+IF(MONTH(Table13[[#This Row],[Date]])&gt;=4,1,0)</f>
        <v>2026</v>
      </c>
      <c r="C305" s="167">
        <f>YEAR(Table13[[#This Row],[Date]])</f>
        <v>2026</v>
      </c>
      <c r="D305" s="181">
        <f>Table13[[#This Row],[Date]]-DAY(Table13[[#This Row],[Date]])+1</f>
        <v>46023</v>
      </c>
      <c r="E305" s="167">
        <f t="shared" si="29"/>
        <v>31</v>
      </c>
      <c r="F305" s="170"/>
      <c r="G305" s="171"/>
      <c r="H305" s="171"/>
      <c r="I305" s="171"/>
      <c r="J305" s="171"/>
      <c r="K305" s="182"/>
      <c r="L305" s="171"/>
      <c r="M305" s="171" t="str">
        <f>IFERROR(_xlfn.XLOOKUP($A305,Input_Raw!$A:$A,Input_Raw!CG:CG),"")</f>
        <v/>
      </c>
      <c r="N305" s="171" t="str">
        <f>IFERROR(_xlfn.XLOOKUP($A305,Input_Raw!$A:$A,Input_Raw!CH:CH),"")</f>
        <v/>
      </c>
      <c r="O305" s="183" t="str">
        <f t="shared" si="30"/>
        <v/>
      </c>
      <c r="P305" s="183" t="str">
        <f>IFERROR(1-SUMIF(WTG_BD!$B:$B,$A305,WTG_BD!$AB:$AB)/($AA305+SUMIF(WTG_BD!$B:$B,$A305,WTG_BD!$AB:$AB)),"")</f>
        <v/>
      </c>
      <c r="Q305" s="184" t="str">
        <f>IFERROR(1-SUMIF(IGA_BD!$B:$B,$A305,IGA_BD!$X:$X)/($AA305+SUMIF(IGA_BD!$B:$B,$A305,IGA_BD!$X:$X)),"")</f>
        <v/>
      </c>
      <c r="R305" s="189" t="str">
        <f>IFERROR(1-SUMIF(Grid_BD!$B:$B,$A305,Grid_BD!$V:$V)/($AA305+SUMIF(Grid_BD!$B:$B,$A305,Grid_BD!$V:$V)),"")</f>
        <v/>
      </c>
      <c r="S305" s="167"/>
      <c r="T305" s="184"/>
      <c r="U305" s="185"/>
      <c r="V305" s="167"/>
      <c r="W305" s="186" t="str">
        <f>IFERROR(Table13[[#This Row],[Mtr_Net_Exp (KWh)]]/(24*AR305*1000),"")</f>
        <v/>
      </c>
      <c r="X305" s="167" t="str">
        <f>IFERROR(_xlfn.XLOOKUP($A305,Input_Raw!$A:$A,Input_Raw!$CF:$CF),"")</f>
        <v/>
      </c>
      <c r="Y305" s="167" t="str">
        <f>IFERROR(_xlfn.XLOOKUP($A305,Input_Raw!$A:$A,Input_Raw!$CZ:$CZ),"")</f>
        <v/>
      </c>
      <c r="Z305" s="167" t="str">
        <f>IFERROR(_xlfn.XLOOKUP($A305,Input_Raw!$A:$A,Input_Raw!$DA:$DA),"")</f>
        <v/>
      </c>
      <c r="AA305" s="169" t="str">
        <f t="shared" si="31"/>
        <v/>
      </c>
      <c r="AB305" s="167" t="str">
        <f>IFERROR(_xlfn.XLOOKUP($A305,Input_Raw!$A:$A,Input_Raw!$DG:$DG),"")</f>
        <v/>
      </c>
      <c r="AC305" s="187">
        <f>IFERROR(_xlfn.XLOOKUP($D305,'Modelling New'!$D:$D,'Modelling New'!$J:$J),"")</f>
        <v>3.8</v>
      </c>
      <c r="AD305" s="169">
        <f>IFERROR(_xlfn.XLOOKUP($D305,'Modelling New'!$D:$D,'Modelling New'!$T:$T)*1000,"")</f>
        <v>128093.39599615177</v>
      </c>
      <c r="AE305" s="186"/>
      <c r="AF305" s="186">
        <f>IFERROR(_xlfn.XLOOKUP($D305,'Modelling New'!$D:$D,'Modelling New'!$W:$W),"")</f>
        <v>6.8425959399653721E-2</v>
      </c>
      <c r="AG305" s="186">
        <f>IFERROR(_xlfn.XLOOKUP($D305,'Modelling New'!$D:$D,'Modelling New'!$AE:$AE),"")</f>
        <v>0.96029999999999993</v>
      </c>
      <c r="AH305" s="186">
        <f>IFERROR(_xlfn.XLOOKUP($D305,'Modelling New'!$D:$D,'Modelling New'!$AF:$AF),"")</f>
        <v>0.995</v>
      </c>
      <c r="AI305" s="167" t="str">
        <f>IFERROR(_xlfn.XLOOKUP($A305,Input_Raw!$A:$A,Input_Raw!$DE:$DE),"")</f>
        <v/>
      </c>
      <c r="AJ305" s="167"/>
      <c r="AK305" s="167"/>
      <c r="AL305" s="167"/>
      <c r="AM305" s="167"/>
      <c r="AN305" s="188" t="str">
        <f>IFERROR(_xlfn.XLOOKUP($A305,Input_Raw!$A:$A,Input_Raw!$DB:$DB),"")</f>
        <v/>
      </c>
      <c r="AO305" s="186" t="str">
        <f>IFERROR((_xlfn.XLOOKUP($A305,'WTG Reactive Power'!$A:$A,'WTG Reactive Power'!$AR:$AR))/X305/1000,"")</f>
        <v/>
      </c>
      <c r="AP305" s="186">
        <f>IFERROR(_xlfn.XLOOKUP($D305,'Modelling New'!$D:$D,'Modelling New'!$AK:$AK),"")</f>
        <v>0.05</v>
      </c>
      <c r="AQ305" s="186">
        <f>IFERROR(_xlfn.XLOOKUP($D305,'Modelling New'!$D:$D,'Modelling New'!$AL:$AL),"")</f>
        <v>0.05</v>
      </c>
      <c r="AR305">
        <f>IFERROR(_xlfn.XLOOKUP($D305,'Modelling New'!$D:$D,'Modelling New'!$N:$N),"")</f>
        <v>78</v>
      </c>
    </row>
    <row r="306" spans="1:44">
      <c r="A306" s="180">
        <f t="shared" si="32"/>
        <v>46049</v>
      </c>
      <c r="B306" s="169">
        <f>YEAR(Table13[[#This Row],[Date]])+IF(MONTH(Table13[[#This Row],[Date]])&gt;=4,1,0)</f>
        <v>2026</v>
      </c>
      <c r="C306" s="167">
        <f>YEAR(Table13[[#This Row],[Date]])</f>
        <v>2026</v>
      </c>
      <c r="D306" s="181">
        <f>Table13[[#This Row],[Date]]-DAY(Table13[[#This Row],[Date]])+1</f>
        <v>46023</v>
      </c>
      <c r="E306" s="167">
        <f t="shared" si="29"/>
        <v>31</v>
      </c>
      <c r="F306" s="170"/>
      <c r="G306" s="171"/>
      <c r="H306" s="171"/>
      <c r="I306" s="171"/>
      <c r="J306" s="171"/>
      <c r="K306" s="182"/>
      <c r="L306" s="171"/>
      <c r="M306" s="171" t="str">
        <f>IFERROR(_xlfn.XLOOKUP($A306,Input_Raw!$A:$A,Input_Raw!CG:CG),"")</f>
        <v/>
      </c>
      <c r="N306" s="171" t="str">
        <f>IFERROR(_xlfn.XLOOKUP($A306,Input_Raw!$A:$A,Input_Raw!CH:CH),"")</f>
        <v/>
      </c>
      <c r="O306" s="183" t="str">
        <f t="shared" si="30"/>
        <v/>
      </c>
      <c r="P306" s="183" t="str">
        <f>IFERROR(1-SUMIF(WTG_BD!$B:$B,$A306,WTG_BD!$AB:$AB)/($AA306+SUMIF(WTG_BD!$B:$B,$A306,WTG_BD!$AB:$AB)),"")</f>
        <v/>
      </c>
      <c r="Q306" s="184" t="str">
        <f>IFERROR(1-SUMIF(IGA_BD!$B:$B,$A306,IGA_BD!$X:$X)/($AA306+SUMIF(IGA_BD!$B:$B,$A306,IGA_BD!$X:$X)),"")</f>
        <v/>
      </c>
      <c r="R306" s="189" t="str">
        <f>IFERROR(1-SUMIF(Grid_BD!$B:$B,$A306,Grid_BD!$V:$V)/($AA306+SUMIF(Grid_BD!$B:$B,$A306,Grid_BD!$V:$V)),"")</f>
        <v/>
      </c>
      <c r="S306" s="167"/>
      <c r="T306" s="184"/>
      <c r="U306" s="185"/>
      <c r="V306" s="167"/>
      <c r="W306" s="186" t="str">
        <f>IFERROR(Table13[[#This Row],[Mtr_Net_Exp (KWh)]]/(24*AR306*1000),"")</f>
        <v/>
      </c>
      <c r="X306" s="167" t="str">
        <f>IFERROR(_xlfn.XLOOKUP($A306,Input_Raw!$A:$A,Input_Raw!$CF:$CF),"")</f>
        <v/>
      </c>
      <c r="Y306" s="167" t="str">
        <f>IFERROR(_xlfn.XLOOKUP($A306,Input_Raw!$A:$A,Input_Raw!$CZ:$CZ),"")</f>
        <v/>
      </c>
      <c r="Z306" s="167" t="str">
        <f>IFERROR(_xlfn.XLOOKUP($A306,Input_Raw!$A:$A,Input_Raw!$DA:$DA),"")</f>
        <v/>
      </c>
      <c r="AA306" s="169" t="str">
        <f t="shared" si="31"/>
        <v/>
      </c>
      <c r="AB306" s="167" t="str">
        <f>IFERROR(_xlfn.XLOOKUP($A306,Input_Raw!$A:$A,Input_Raw!$DG:$DG),"")</f>
        <v/>
      </c>
      <c r="AC306" s="187">
        <f>IFERROR(_xlfn.XLOOKUP($D306,'Modelling New'!$D:$D,'Modelling New'!$J:$J),"")</f>
        <v>3.8</v>
      </c>
      <c r="AD306" s="169">
        <f>IFERROR(_xlfn.XLOOKUP($D306,'Modelling New'!$D:$D,'Modelling New'!$T:$T)*1000,"")</f>
        <v>128093.39599615177</v>
      </c>
      <c r="AE306" s="186"/>
      <c r="AF306" s="186">
        <f>IFERROR(_xlfn.XLOOKUP($D306,'Modelling New'!$D:$D,'Modelling New'!$W:$W),"")</f>
        <v>6.8425959399653721E-2</v>
      </c>
      <c r="AG306" s="186">
        <f>IFERROR(_xlfn.XLOOKUP($D306,'Modelling New'!$D:$D,'Modelling New'!$AE:$AE),"")</f>
        <v>0.96029999999999993</v>
      </c>
      <c r="AH306" s="186">
        <f>IFERROR(_xlfn.XLOOKUP($D306,'Modelling New'!$D:$D,'Modelling New'!$AF:$AF),"")</f>
        <v>0.995</v>
      </c>
      <c r="AI306" s="167" t="str">
        <f>IFERROR(_xlfn.XLOOKUP($A306,Input_Raw!$A:$A,Input_Raw!$DE:$DE),"")</f>
        <v/>
      </c>
      <c r="AJ306" s="167"/>
      <c r="AK306" s="167"/>
      <c r="AL306" s="167"/>
      <c r="AM306" s="167"/>
      <c r="AN306" s="188" t="str">
        <f>IFERROR(_xlfn.XLOOKUP($A306,Input_Raw!$A:$A,Input_Raw!$DB:$DB),"")</f>
        <v/>
      </c>
      <c r="AO306" s="186" t="str">
        <f>IFERROR((_xlfn.XLOOKUP($A306,'WTG Reactive Power'!$A:$A,'WTG Reactive Power'!$AR:$AR))/X306/1000,"")</f>
        <v/>
      </c>
      <c r="AP306" s="186">
        <f>IFERROR(_xlfn.XLOOKUP($D306,'Modelling New'!$D:$D,'Modelling New'!$AK:$AK),"")</f>
        <v>0.05</v>
      </c>
      <c r="AQ306" s="186">
        <f>IFERROR(_xlfn.XLOOKUP($D306,'Modelling New'!$D:$D,'Modelling New'!$AL:$AL),"")</f>
        <v>0.05</v>
      </c>
      <c r="AR306">
        <f>IFERROR(_xlfn.XLOOKUP($D306,'Modelling New'!$D:$D,'Modelling New'!$N:$N),"")</f>
        <v>78</v>
      </c>
    </row>
    <row r="307" spans="1:44">
      <c r="A307" s="180">
        <f t="shared" si="32"/>
        <v>46050</v>
      </c>
      <c r="B307" s="169">
        <f>YEAR(Table13[[#This Row],[Date]])+IF(MONTH(Table13[[#This Row],[Date]])&gt;=4,1,0)</f>
        <v>2026</v>
      </c>
      <c r="C307" s="167">
        <f>YEAR(Table13[[#This Row],[Date]])</f>
        <v>2026</v>
      </c>
      <c r="D307" s="181">
        <f>Table13[[#This Row],[Date]]-DAY(Table13[[#This Row],[Date]])+1</f>
        <v>46023</v>
      </c>
      <c r="E307" s="167">
        <f t="shared" si="29"/>
        <v>31</v>
      </c>
      <c r="F307" s="170"/>
      <c r="G307" s="171"/>
      <c r="H307" s="171"/>
      <c r="I307" s="171"/>
      <c r="J307" s="171"/>
      <c r="K307" s="182"/>
      <c r="L307" s="171"/>
      <c r="M307" s="171" t="str">
        <f>IFERROR(_xlfn.XLOOKUP($A307,Input_Raw!$A:$A,Input_Raw!CG:CG),"")</f>
        <v/>
      </c>
      <c r="N307" s="171" t="str">
        <f>IFERROR(_xlfn.XLOOKUP($A307,Input_Raw!$A:$A,Input_Raw!CH:CH),"")</f>
        <v/>
      </c>
      <c r="O307" s="183" t="str">
        <f t="shared" si="30"/>
        <v/>
      </c>
      <c r="P307" s="183" t="str">
        <f>IFERROR(1-SUMIF(WTG_BD!$B:$B,$A307,WTG_BD!$AB:$AB)/($AA307+SUMIF(WTG_BD!$B:$B,$A307,WTG_BD!$AB:$AB)),"")</f>
        <v/>
      </c>
      <c r="Q307" s="184" t="str">
        <f>IFERROR(1-SUMIF(IGA_BD!$B:$B,$A307,IGA_BD!$X:$X)/($AA307+SUMIF(IGA_BD!$B:$B,$A307,IGA_BD!$X:$X)),"")</f>
        <v/>
      </c>
      <c r="R307" s="189" t="str">
        <f>IFERROR(1-SUMIF(Grid_BD!$B:$B,$A307,Grid_BD!$V:$V)/($AA307+SUMIF(Grid_BD!$B:$B,$A307,Grid_BD!$V:$V)),"")</f>
        <v/>
      </c>
      <c r="S307" s="167"/>
      <c r="T307" s="184"/>
      <c r="U307" s="185"/>
      <c r="V307" s="167"/>
      <c r="W307" s="186" t="str">
        <f>IFERROR(Table13[[#This Row],[Mtr_Net_Exp (KWh)]]/(24*AR307*1000),"")</f>
        <v/>
      </c>
      <c r="X307" s="167" t="str">
        <f>IFERROR(_xlfn.XLOOKUP($A307,Input_Raw!$A:$A,Input_Raw!$CF:$CF),"")</f>
        <v/>
      </c>
      <c r="Y307" s="167" t="str">
        <f>IFERROR(_xlfn.XLOOKUP($A307,Input_Raw!$A:$A,Input_Raw!$CZ:$CZ),"")</f>
        <v/>
      </c>
      <c r="Z307" s="167" t="str">
        <f>IFERROR(_xlfn.XLOOKUP($A307,Input_Raw!$A:$A,Input_Raw!$DA:$DA),"")</f>
        <v/>
      </c>
      <c r="AA307" s="169" t="str">
        <f t="shared" si="31"/>
        <v/>
      </c>
      <c r="AB307" s="167" t="str">
        <f>IFERROR(_xlfn.XLOOKUP($A307,Input_Raw!$A:$A,Input_Raw!$DG:$DG),"")</f>
        <v/>
      </c>
      <c r="AC307" s="187">
        <f>IFERROR(_xlfn.XLOOKUP($D307,'Modelling New'!$D:$D,'Modelling New'!$J:$J),"")</f>
        <v>3.8</v>
      </c>
      <c r="AD307" s="169">
        <f>IFERROR(_xlfn.XLOOKUP($D307,'Modelling New'!$D:$D,'Modelling New'!$T:$T)*1000,"")</f>
        <v>128093.39599615177</v>
      </c>
      <c r="AE307" s="186"/>
      <c r="AF307" s="186">
        <f>IFERROR(_xlfn.XLOOKUP($D307,'Modelling New'!$D:$D,'Modelling New'!$W:$W),"")</f>
        <v>6.8425959399653721E-2</v>
      </c>
      <c r="AG307" s="186">
        <f>IFERROR(_xlfn.XLOOKUP($D307,'Modelling New'!$D:$D,'Modelling New'!$AE:$AE),"")</f>
        <v>0.96029999999999993</v>
      </c>
      <c r="AH307" s="186">
        <f>IFERROR(_xlfn.XLOOKUP($D307,'Modelling New'!$D:$D,'Modelling New'!$AF:$AF),"")</f>
        <v>0.995</v>
      </c>
      <c r="AI307" s="167" t="str">
        <f>IFERROR(_xlfn.XLOOKUP($A307,Input_Raw!$A:$A,Input_Raw!$DE:$DE),"")</f>
        <v/>
      </c>
      <c r="AJ307" s="167"/>
      <c r="AK307" s="167"/>
      <c r="AL307" s="167"/>
      <c r="AM307" s="167"/>
      <c r="AN307" s="188" t="str">
        <f>IFERROR(_xlfn.XLOOKUP($A307,Input_Raw!$A:$A,Input_Raw!$DB:$DB),"")</f>
        <v/>
      </c>
      <c r="AO307" s="186" t="str">
        <f>IFERROR((_xlfn.XLOOKUP($A307,'WTG Reactive Power'!$A:$A,'WTG Reactive Power'!$AR:$AR))/X307/1000,"")</f>
        <v/>
      </c>
      <c r="AP307" s="186">
        <f>IFERROR(_xlfn.XLOOKUP($D307,'Modelling New'!$D:$D,'Modelling New'!$AK:$AK),"")</f>
        <v>0.05</v>
      </c>
      <c r="AQ307" s="186">
        <f>IFERROR(_xlfn.XLOOKUP($D307,'Modelling New'!$D:$D,'Modelling New'!$AL:$AL),"")</f>
        <v>0.05</v>
      </c>
      <c r="AR307">
        <f>IFERROR(_xlfn.XLOOKUP($D307,'Modelling New'!$D:$D,'Modelling New'!$N:$N),"")</f>
        <v>78</v>
      </c>
    </row>
    <row r="308" spans="1:44">
      <c r="A308" s="180">
        <f t="shared" si="32"/>
        <v>46051</v>
      </c>
      <c r="B308" s="169">
        <f>YEAR(Table13[[#This Row],[Date]])+IF(MONTH(Table13[[#This Row],[Date]])&gt;=4,1,0)</f>
        <v>2026</v>
      </c>
      <c r="C308" s="167">
        <f>YEAR(Table13[[#This Row],[Date]])</f>
        <v>2026</v>
      </c>
      <c r="D308" s="181">
        <f>Table13[[#This Row],[Date]]-DAY(Table13[[#This Row],[Date]])+1</f>
        <v>46023</v>
      </c>
      <c r="E308" s="167">
        <f t="shared" si="29"/>
        <v>31</v>
      </c>
      <c r="F308" s="170"/>
      <c r="G308" s="171"/>
      <c r="H308" s="171"/>
      <c r="I308" s="171"/>
      <c r="J308" s="171"/>
      <c r="K308" s="182"/>
      <c r="L308" s="171"/>
      <c r="M308" s="171" t="str">
        <f>IFERROR(_xlfn.XLOOKUP($A308,Input_Raw!$A:$A,Input_Raw!CG:CG),"")</f>
        <v/>
      </c>
      <c r="N308" s="171" t="str">
        <f>IFERROR(_xlfn.XLOOKUP($A308,Input_Raw!$A:$A,Input_Raw!CH:CH),"")</f>
        <v/>
      </c>
      <c r="O308" s="183" t="str">
        <f t="shared" si="30"/>
        <v/>
      </c>
      <c r="P308" s="183" t="str">
        <f>IFERROR(1-SUMIF(WTG_BD!$B:$B,$A308,WTG_BD!$AB:$AB)/($AA308+SUMIF(WTG_BD!$B:$B,$A308,WTG_BD!$AB:$AB)),"")</f>
        <v/>
      </c>
      <c r="Q308" s="184" t="str">
        <f>IFERROR(1-SUMIF(IGA_BD!$B:$B,$A308,IGA_BD!$X:$X)/($AA308+SUMIF(IGA_BD!$B:$B,$A308,IGA_BD!$X:$X)),"")</f>
        <v/>
      </c>
      <c r="R308" s="189" t="str">
        <f>IFERROR(1-SUMIF(Grid_BD!$B:$B,$A308,Grid_BD!$V:$V)/($AA308+SUMIF(Grid_BD!$B:$B,$A308,Grid_BD!$V:$V)),"")</f>
        <v/>
      </c>
      <c r="S308" s="167"/>
      <c r="T308" s="184"/>
      <c r="U308" s="185"/>
      <c r="V308" s="167"/>
      <c r="W308" s="186" t="str">
        <f>IFERROR(Table13[[#This Row],[Mtr_Net_Exp (KWh)]]/(24*AR308*1000),"")</f>
        <v/>
      </c>
      <c r="X308" s="167" t="str">
        <f>IFERROR(_xlfn.XLOOKUP($A308,Input_Raw!$A:$A,Input_Raw!$CF:$CF),"")</f>
        <v/>
      </c>
      <c r="Y308" s="167" t="str">
        <f>IFERROR(_xlfn.XLOOKUP($A308,Input_Raw!$A:$A,Input_Raw!$CZ:$CZ),"")</f>
        <v/>
      </c>
      <c r="Z308" s="167" t="str">
        <f>IFERROR(_xlfn.XLOOKUP($A308,Input_Raw!$A:$A,Input_Raw!$DA:$DA),"")</f>
        <v/>
      </c>
      <c r="AA308" s="169" t="str">
        <f t="shared" si="31"/>
        <v/>
      </c>
      <c r="AB308" s="167" t="str">
        <f>IFERROR(_xlfn.XLOOKUP($A308,Input_Raw!$A:$A,Input_Raw!$DG:$DG),"")</f>
        <v/>
      </c>
      <c r="AC308" s="187">
        <f>IFERROR(_xlfn.XLOOKUP($D308,'Modelling New'!$D:$D,'Modelling New'!$J:$J),"")</f>
        <v>3.8</v>
      </c>
      <c r="AD308" s="169">
        <f>IFERROR(_xlfn.XLOOKUP($D308,'Modelling New'!$D:$D,'Modelling New'!$T:$T)*1000,"")</f>
        <v>128093.39599615177</v>
      </c>
      <c r="AE308" s="186"/>
      <c r="AF308" s="186">
        <f>IFERROR(_xlfn.XLOOKUP($D308,'Modelling New'!$D:$D,'Modelling New'!$W:$W),"")</f>
        <v>6.8425959399653721E-2</v>
      </c>
      <c r="AG308" s="186">
        <f>IFERROR(_xlfn.XLOOKUP($D308,'Modelling New'!$D:$D,'Modelling New'!$AE:$AE),"")</f>
        <v>0.96029999999999993</v>
      </c>
      <c r="AH308" s="186">
        <f>IFERROR(_xlfn.XLOOKUP($D308,'Modelling New'!$D:$D,'Modelling New'!$AF:$AF),"")</f>
        <v>0.995</v>
      </c>
      <c r="AI308" s="167" t="str">
        <f>IFERROR(_xlfn.XLOOKUP($A308,Input_Raw!$A:$A,Input_Raw!$DE:$DE),"")</f>
        <v/>
      </c>
      <c r="AJ308" s="167"/>
      <c r="AK308" s="167"/>
      <c r="AL308" s="167"/>
      <c r="AM308" s="167"/>
      <c r="AN308" s="188" t="str">
        <f>IFERROR(_xlfn.XLOOKUP($A308,Input_Raw!$A:$A,Input_Raw!$DB:$DB),"")</f>
        <v/>
      </c>
      <c r="AO308" s="186" t="str">
        <f>IFERROR((_xlfn.XLOOKUP($A308,'WTG Reactive Power'!$A:$A,'WTG Reactive Power'!$AR:$AR))/X308/1000,"")</f>
        <v/>
      </c>
      <c r="AP308" s="186">
        <f>IFERROR(_xlfn.XLOOKUP($D308,'Modelling New'!$D:$D,'Modelling New'!$AK:$AK),"")</f>
        <v>0.05</v>
      </c>
      <c r="AQ308" s="186">
        <f>IFERROR(_xlfn.XLOOKUP($D308,'Modelling New'!$D:$D,'Modelling New'!$AL:$AL),"")</f>
        <v>0.05</v>
      </c>
      <c r="AR308">
        <f>IFERROR(_xlfn.XLOOKUP($D308,'Modelling New'!$D:$D,'Modelling New'!$N:$N),"")</f>
        <v>78</v>
      </c>
    </row>
    <row r="309" spans="1:44">
      <c r="A309" s="180">
        <f t="shared" si="32"/>
        <v>46052</v>
      </c>
      <c r="B309" s="169">
        <f>YEAR(Table13[[#This Row],[Date]])+IF(MONTH(Table13[[#This Row],[Date]])&gt;=4,1,0)</f>
        <v>2026</v>
      </c>
      <c r="C309" s="167">
        <f>YEAR(Table13[[#This Row],[Date]])</f>
        <v>2026</v>
      </c>
      <c r="D309" s="181">
        <f>Table13[[#This Row],[Date]]-DAY(Table13[[#This Row],[Date]])+1</f>
        <v>46023</v>
      </c>
      <c r="E309" s="167">
        <f t="shared" si="29"/>
        <v>31</v>
      </c>
      <c r="F309" s="170"/>
      <c r="G309" s="171"/>
      <c r="H309" s="171"/>
      <c r="I309" s="171"/>
      <c r="J309" s="171"/>
      <c r="K309" s="182"/>
      <c r="L309" s="171"/>
      <c r="M309" s="171" t="str">
        <f>IFERROR(_xlfn.XLOOKUP($A309,Input_Raw!$A:$A,Input_Raw!CG:CG),"")</f>
        <v/>
      </c>
      <c r="N309" s="171" t="str">
        <f>IFERROR(_xlfn.XLOOKUP($A309,Input_Raw!$A:$A,Input_Raw!CH:CH),"")</f>
        <v/>
      </c>
      <c r="O309" s="183" t="str">
        <f t="shared" si="30"/>
        <v/>
      </c>
      <c r="P309" s="183" t="str">
        <f>IFERROR(1-SUMIF(WTG_BD!$B:$B,$A309,WTG_BD!$AB:$AB)/($AA309+SUMIF(WTG_BD!$B:$B,$A309,WTG_BD!$AB:$AB)),"")</f>
        <v/>
      </c>
      <c r="Q309" s="184" t="str">
        <f>IFERROR(1-SUMIF(IGA_BD!$B:$B,$A309,IGA_BD!$X:$X)/($AA309+SUMIF(IGA_BD!$B:$B,$A309,IGA_BD!$X:$X)),"")</f>
        <v/>
      </c>
      <c r="R309" s="189" t="str">
        <f>IFERROR(1-SUMIF(Grid_BD!$B:$B,$A309,Grid_BD!$V:$V)/($AA309+SUMIF(Grid_BD!$B:$B,$A309,Grid_BD!$V:$V)),"")</f>
        <v/>
      </c>
      <c r="S309" s="167"/>
      <c r="T309" s="184"/>
      <c r="U309" s="185"/>
      <c r="V309" s="167"/>
      <c r="W309" s="186" t="str">
        <f>IFERROR(Table13[[#This Row],[Mtr_Net_Exp (KWh)]]/(24*AR309*1000),"")</f>
        <v/>
      </c>
      <c r="X309" s="167" t="str">
        <f>IFERROR(_xlfn.XLOOKUP($A309,Input_Raw!$A:$A,Input_Raw!$CF:$CF),"")</f>
        <v/>
      </c>
      <c r="Y309" s="167" t="str">
        <f>IFERROR(_xlfn.XLOOKUP($A309,Input_Raw!$A:$A,Input_Raw!$CZ:$CZ),"")</f>
        <v/>
      </c>
      <c r="Z309" s="167" t="str">
        <f>IFERROR(_xlfn.XLOOKUP($A309,Input_Raw!$A:$A,Input_Raw!$DA:$DA),"")</f>
        <v/>
      </c>
      <c r="AA309" s="169" t="str">
        <f t="shared" si="31"/>
        <v/>
      </c>
      <c r="AB309" s="167" t="str">
        <f>IFERROR(_xlfn.XLOOKUP($A309,Input_Raw!$A:$A,Input_Raw!$DG:$DG),"")</f>
        <v/>
      </c>
      <c r="AC309" s="187">
        <f>IFERROR(_xlfn.XLOOKUP($D309,'Modelling New'!$D:$D,'Modelling New'!$J:$J),"")</f>
        <v>3.8</v>
      </c>
      <c r="AD309" s="169">
        <f>IFERROR(_xlfn.XLOOKUP($D309,'Modelling New'!$D:$D,'Modelling New'!$T:$T)*1000,"")</f>
        <v>128093.39599615177</v>
      </c>
      <c r="AE309" s="186"/>
      <c r="AF309" s="186">
        <f>IFERROR(_xlfn.XLOOKUP($D309,'Modelling New'!$D:$D,'Modelling New'!$W:$W),"")</f>
        <v>6.8425959399653721E-2</v>
      </c>
      <c r="AG309" s="186">
        <f>IFERROR(_xlfn.XLOOKUP($D309,'Modelling New'!$D:$D,'Modelling New'!$AE:$AE),"")</f>
        <v>0.96029999999999993</v>
      </c>
      <c r="AH309" s="186">
        <f>IFERROR(_xlfn.XLOOKUP($D309,'Modelling New'!$D:$D,'Modelling New'!$AF:$AF),"")</f>
        <v>0.995</v>
      </c>
      <c r="AI309" s="167" t="str">
        <f>IFERROR(_xlfn.XLOOKUP($A309,Input_Raw!$A:$A,Input_Raw!$DE:$DE),"")</f>
        <v/>
      </c>
      <c r="AJ309" s="167"/>
      <c r="AK309" s="167"/>
      <c r="AL309" s="167"/>
      <c r="AM309" s="167"/>
      <c r="AN309" s="188" t="str">
        <f>IFERROR(_xlfn.XLOOKUP($A309,Input_Raw!$A:$A,Input_Raw!$DB:$DB),"")</f>
        <v/>
      </c>
      <c r="AO309" s="186" t="str">
        <f>IFERROR((_xlfn.XLOOKUP($A309,'WTG Reactive Power'!$A:$A,'WTG Reactive Power'!$AR:$AR))/X309/1000,"")</f>
        <v/>
      </c>
      <c r="AP309" s="186">
        <f>IFERROR(_xlfn.XLOOKUP($D309,'Modelling New'!$D:$D,'Modelling New'!$AK:$AK),"")</f>
        <v>0.05</v>
      </c>
      <c r="AQ309" s="186">
        <f>IFERROR(_xlfn.XLOOKUP($D309,'Modelling New'!$D:$D,'Modelling New'!$AL:$AL),"")</f>
        <v>0.05</v>
      </c>
      <c r="AR309">
        <f>IFERROR(_xlfn.XLOOKUP($D309,'Modelling New'!$D:$D,'Modelling New'!$N:$N),"")</f>
        <v>78</v>
      </c>
    </row>
    <row r="310" spans="1:44">
      <c r="A310" s="180">
        <f t="shared" si="32"/>
        <v>46053</v>
      </c>
      <c r="B310" s="169">
        <f>YEAR(Table13[[#This Row],[Date]])+IF(MONTH(Table13[[#This Row],[Date]])&gt;=4,1,0)</f>
        <v>2026</v>
      </c>
      <c r="C310" s="167">
        <f>YEAR(Table13[[#This Row],[Date]])</f>
        <v>2026</v>
      </c>
      <c r="D310" s="181">
        <f>Table13[[#This Row],[Date]]-DAY(Table13[[#This Row],[Date]])+1</f>
        <v>46023</v>
      </c>
      <c r="E310" s="167">
        <f t="shared" si="29"/>
        <v>31</v>
      </c>
      <c r="F310" s="170"/>
      <c r="G310" s="171"/>
      <c r="H310" s="171"/>
      <c r="I310" s="171"/>
      <c r="J310" s="171"/>
      <c r="K310" s="182"/>
      <c r="L310" s="171"/>
      <c r="M310" s="171" t="str">
        <f>IFERROR(_xlfn.XLOOKUP($A310,Input_Raw!$A:$A,Input_Raw!CG:CG),"")</f>
        <v/>
      </c>
      <c r="N310" s="171" t="str">
        <f>IFERROR(_xlfn.XLOOKUP($A310,Input_Raw!$A:$A,Input_Raw!CH:CH),"")</f>
        <v/>
      </c>
      <c r="O310" s="183" t="str">
        <f t="shared" si="30"/>
        <v/>
      </c>
      <c r="P310" s="183" t="str">
        <f>IFERROR(1-SUMIF(WTG_BD!$B:$B,$A310,WTG_BD!$AB:$AB)/($AA310+SUMIF(WTG_BD!$B:$B,$A310,WTG_BD!$AB:$AB)),"")</f>
        <v/>
      </c>
      <c r="Q310" s="184" t="str">
        <f>IFERROR(1-SUMIF(IGA_BD!$B:$B,$A310,IGA_BD!$X:$X)/($AA310+SUMIF(IGA_BD!$B:$B,$A310,IGA_BD!$X:$X)),"")</f>
        <v/>
      </c>
      <c r="R310" s="189" t="str">
        <f>IFERROR(1-SUMIF(Grid_BD!$B:$B,$A310,Grid_BD!$V:$V)/($AA310+SUMIF(Grid_BD!$B:$B,$A310,Grid_BD!$V:$V)),"")</f>
        <v/>
      </c>
      <c r="S310" s="167"/>
      <c r="T310" s="184"/>
      <c r="U310" s="185"/>
      <c r="V310" s="167"/>
      <c r="W310" s="186" t="str">
        <f>IFERROR(Table13[[#This Row],[Mtr_Net_Exp (KWh)]]/(24*AR310*1000),"")</f>
        <v/>
      </c>
      <c r="X310" s="167" t="str">
        <f>IFERROR(_xlfn.XLOOKUP($A310,Input_Raw!$A:$A,Input_Raw!$CF:$CF),"")</f>
        <v/>
      </c>
      <c r="Y310" s="167" t="str">
        <f>IFERROR(_xlfn.XLOOKUP($A310,Input_Raw!$A:$A,Input_Raw!$CZ:$CZ),"")</f>
        <v/>
      </c>
      <c r="Z310" s="167" t="str">
        <f>IFERROR(_xlfn.XLOOKUP($A310,Input_Raw!$A:$A,Input_Raw!$DA:$DA),"")</f>
        <v/>
      </c>
      <c r="AA310" s="169" t="str">
        <f t="shared" si="31"/>
        <v/>
      </c>
      <c r="AB310" s="167" t="str">
        <f>IFERROR(_xlfn.XLOOKUP($A310,Input_Raw!$A:$A,Input_Raw!$DG:$DG),"")</f>
        <v/>
      </c>
      <c r="AC310" s="187">
        <f>IFERROR(_xlfn.XLOOKUP($D310,'Modelling New'!$D:$D,'Modelling New'!$J:$J),"")</f>
        <v>3.8</v>
      </c>
      <c r="AD310" s="169">
        <f>IFERROR(_xlfn.XLOOKUP($D310,'Modelling New'!$D:$D,'Modelling New'!$T:$T)*1000,"")</f>
        <v>128093.39599615177</v>
      </c>
      <c r="AE310" s="186"/>
      <c r="AF310" s="186">
        <f>IFERROR(_xlfn.XLOOKUP($D310,'Modelling New'!$D:$D,'Modelling New'!$W:$W),"")</f>
        <v>6.8425959399653721E-2</v>
      </c>
      <c r="AG310" s="186">
        <f>IFERROR(_xlfn.XLOOKUP($D310,'Modelling New'!$D:$D,'Modelling New'!$AE:$AE),"")</f>
        <v>0.96029999999999993</v>
      </c>
      <c r="AH310" s="186">
        <f>IFERROR(_xlfn.XLOOKUP($D310,'Modelling New'!$D:$D,'Modelling New'!$AF:$AF),"")</f>
        <v>0.995</v>
      </c>
      <c r="AI310" s="167" t="str">
        <f>IFERROR(_xlfn.XLOOKUP($A310,Input_Raw!$A:$A,Input_Raw!$DE:$DE),"")</f>
        <v/>
      </c>
      <c r="AJ310" s="167"/>
      <c r="AK310" s="167"/>
      <c r="AL310" s="167"/>
      <c r="AM310" s="167"/>
      <c r="AN310" s="188" t="str">
        <f>IFERROR(_xlfn.XLOOKUP($A310,Input_Raw!$A:$A,Input_Raw!$DB:$DB),"")</f>
        <v/>
      </c>
      <c r="AO310" s="186" t="str">
        <f>IFERROR((_xlfn.XLOOKUP($A310,'WTG Reactive Power'!$A:$A,'WTG Reactive Power'!$AR:$AR))/X310/1000,"")</f>
        <v/>
      </c>
      <c r="AP310" s="186">
        <f>IFERROR(_xlfn.XLOOKUP($D310,'Modelling New'!$D:$D,'Modelling New'!$AK:$AK),"")</f>
        <v>0.05</v>
      </c>
      <c r="AQ310" s="186">
        <f>IFERROR(_xlfn.XLOOKUP($D310,'Modelling New'!$D:$D,'Modelling New'!$AL:$AL),"")</f>
        <v>0.05</v>
      </c>
      <c r="AR310">
        <f>IFERROR(_xlfn.XLOOKUP($D310,'Modelling New'!$D:$D,'Modelling New'!$N:$N),"")</f>
        <v>78</v>
      </c>
    </row>
    <row r="311" spans="1:44">
      <c r="A311" s="180">
        <f t="shared" si="32"/>
        <v>46054</v>
      </c>
      <c r="B311" s="169">
        <f>YEAR(Table13[[#This Row],[Date]])+IF(MONTH(Table13[[#This Row],[Date]])&gt;=4,1,0)</f>
        <v>2026</v>
      </c>
      <c r="C311" s="167">
        <f>YEAR(Table13[[#This Row],[Date]])</f>
        <v>2026</v>
      </c>
      <c r="D311" s="181">
        <f>Table13[[#This Row],[Date]]-DAY(Table13[[#This Row],[Date]])+1</f>
        <v>46054</v>
      </c>
      <c r="E311" s="167">
        <f t="shared" si="29"/>
        <v>28</v>
      </c>
      <c r="F311" s="170"/>
      <c r="G311" s="171"/>
      <c r="H311" s="171"/>
      <c r="I311" s="171"/>
      <c r="J311" s="171"/>
      <c r="K311" s="182"/>
      <c r="L311" s="171"/>
      <c r="M311" s="171" t="str">
        <f>IFERROR(_xlfn.XLOOKUP($A311,Input_Raw!$A:$A,Input_Raw!CG:CG),"")</f>
        <v/>
      </c>
      <c r="N311" s="171" t="str">
        <f>IFERROR(_xlfn.XLOOKUP($A311,Input_Raw!$A:$A,Input_Raw!CH:CH),"")</f>
        <v/>
      </c>
      <c r="O311" s="183" t="str">
        <f t="shared" si="30"/>
        <v/>
      </c>
      <c r="P311" s="183" t="str">
        <f>IFERROR(1-SUMIF(WTG_BD!$B:$B,$A311,WTG_BD!$AB:$AB)/($AA311+SUMIF(WTG_BD!$B:$B,$A311,WTG_BD!$AB:$AB)),"")</f>
        <v/>
      </c>
      <c r="Q311" s="184" t="str">
        <f>IFERROR(1-SUMIF(IGA_BD!$B:$B,$A311,IGA_BD!$X:$X)/($AA311+SUMIF(IGA_BD!$B:$B,$A311,IGA_BD!$X:$X)),"")</f>
        <v/>
      </c>
      <c r="R311" s="189" t="str">
        <f>IFERROR(1-SUMIF(Grid_BD!$B:$B,$A311,Grid_BD!$V:$V)/($AA311+SUMIF(Grid_BD!$B:$B,$A311,Grid_BD!$V:$V)),"")</f>
        <v/>
      </c>
      <c r="S311" s="167"/>
      <c r="T311" s="184"/>
      <c r="U311" s="185"/>
      <c r="V311" s="167"/>
      <c r="W311" s="186" t="str">
        <f>IFERROR(Table13[[#This Row],[Mtr_Net_Exp (KWh)]]/(24*AR311*1000),"")</f>
        <v/>
      </c>
      <c r="X311" s="167" t="str">
        <f>IFERROR(_xlfn.XLOOKUP($A311,Input_Raw!$A:$A,Input_Raw!$CF:$CF),"")</f>
        <v/>
      </c>
      <c r="Y311" s="167" t="str">
        <f>IFERROR(_xlfn.XLOOKUP($A311,Input_Raw!$A:$A,Input_Raw!$CZ:$CZ),"")</f>
        <v/>
      </c>
      <c r="Z311" s="167" t="str">
        <f>IFERROR(_xlfn.XLOOKUP($A311,Input_Raw!$A:$A,Input_Raw!$DA:$DA),"")</f>
        <v/>
      </c>
      <c r="AA311" s="169" t="str">
        <f t="shared" si="31"/>
        <v/>
      </c>
      <c r="AB311" s="167" t="str">
        <f>IFERROR(_xlfn.XLOOKUP($A311,Input_Raw!$A:$A,Input_Raw!$DG:$DG),"")</f>
        <v/>
      </c>
      <c r="AC311" s="187">
        <f>IFERROR(_xlfn.XLOOKUP($D311,'Modelling New'!$D:$D,'Modelling New'!$J:$J),"")</f>
        <v>4.3</v>
      </c>
      <c r="AD311" s="169">
        <f>IFERROR(_xlfn.XLOOKUP($D311,'Modelling New'!$D:$D,'Modelling New'!$T:$T)*1000,"")</f>
        <v>171913.60080596086</v>
      </c>
      <c r="AE311" s="186"/>
      <c r="AF311" s="186">
        <f>IFERROR(_xlfn.XLOOKUP($D311,'Modelling New'!$D:$D,'Modelling New'!$W:$W),"")</f>
        <v>9.1834188464722688E-2</v>
      </c>
      <c r="AG311" s="186">
        <f>IFERROR(_xlfn.XLOOKUP($D311,'Modelling New'!$D:$D,'Modelling New'!$AE:$AE),"")</f>
        <v>0.96029999999999993</v>
      </c>
      <c r="AH311" s="186">
        <f>IFERROR(_xlfn.XLOOKUP($D311,'Modelling New'!$D:$D,'Modelling New'!$AF:$AF),"")</f>
        <v>0.995</v>
      </c>
      <c r="AI311" s="167" t="str">
        <f>IFERROR(_xlfn.XLOOKUP($A311,Input_Raw!$A:$A,Input_Raw!$DE:$DE),"")</f>
        <v/>
      </c>
      <c r="AJ311" s="167"/>
      <c r="AK311" s="167"/>
      <c r="AL311" s="167"/>
      <c r="AM311" s="167"/>
      <c r="AN311" s="188" t="str">
        <f>IFERROR(_xlfn.XLOOKUP($A311,Input_Raw!$A:$A,Input_Raw!$DB:$DB),"")</f>
        <v/>
      </c>
      <c r="AO311" s="186" t="str">
        <f>IFERROR((_xlfn.XLOOKUP($A311,'WTG Reactive Power'!$A:$A,'WTG Reactive Power'!$AR:$AR))/X311/1000,"")</f>
        <v/>
      </c>
      <c r="AP311" s="186">
        <f>IFERROR(_xlfn.XLOOKUP($D311,'Modelling New'!$D:$D,'Modelling New'!$AK:$AK),"")</f>
        <v>0.05</v>
      </c>
      <c r="AQ311" s="186">
        <f>IFERROR(_xlfn.XLOOKUP($D311,'Modelling New'!$D:$D,'Modelling New'!$AL:$AL),"")</f>
        <v>0.05</v>
      </c>
      <c r="AR311">
        <f>IFERROR(_xlfn.XLOOKUP($D311,'Modelling New'!$D:$D,'Modelling New'!$N:$N),"")</f>
        <v>78</v>
      </c>
    </row>
    <row r="312" spans="1:44">
      <c r="A312" s="180">
        <f t="shared" si="32"/>
        <v>46055</v>
      </c>
      <c r="B312" s="169">
        <f>YEAR(Table13[[#This Row],[Date]])+IF(MONTH(Table13[[#This Row],[Date]])&gt;=4,1,0)</f>
        <v>2026</v>
      </c>
      <c r="C312" s="167">
        <f>YEAR(Table13[[#This Row],[Date]])</f>
        <v>2026</v>
      </c>
      <c r="D312" s="181">
        <f>Table13[[#This Row],[Date]]-DAY(Table13[[#This Row],[Date]])+1</f>
        <v>46054</v>
      </c>
      <c r="E312" s="167">
        <f t="shared" si="29"/>
        <v>28</v>
      </c>
      <c r="F312" s="170"/>
      <c r="G312" s="171"/>
      <c r="H312" s="171"/>
      <c r="I312" s="171"/>
      <c r="J312" s="171"/>
      <c r="K312" s="182"/>
      <c r="L312" s="171"/>
      <c r="M312" s="171" t="str">
        <f>IFERROR(_xlfn.XLOOKUP($A312,Input_Raw!$A:$A,Input_Raw!CG:CG),"")</f>
        <v/>
      </c>
      <c r="N312" s="171" t="str">
        <f>IFERROR(_xlfn.XLOOKUP($A312,Input_Raw!$A:$A,Input_Raw!CH:CH),"")</f>
        <v/>
      </c>
      <c r="O312" s="183" t="str">
        <f t="shared" si="30"/>
        <v/>
      </c>
      <c r="P312" s="183" t="str">
        <f>IFERROR(1-SUMIF(WTG_BD!$B:$B,$A312,WTG_BD!$AB:$AB)/($AA312+SUMIF(WTG_BD!$B:$B,$A312,WTG_BD!$AB:$AB)),"")</f>
        <v/>
      </c>
      <c r="Q312" s="184" t="str">
        <f>IFERROR(1-SUMIF(IGA_BD!$B:$B,$A312,IGA_BD!$X:$X)/($AA312+SUMIF(IGA_BD!$B:$B,$A312,IGA_BD!$X:$X)),"")</f>
        <v/>
      </c>
      <c r="R312" s="189" t="str">
        <f>IFERROR(1-SUMIF(Grid_BD!$B:$B,$A312,Grid_BD!$V:$V)/($AA312+SUMIF(Grid_BD!$B:$B,$A312,Grid_BD!$V:$V)),"")</f>
        <v/>
      </c>
      <c r="S312" s="167"/>
      <c r="T312" s="184"/>
      <c r="U312" s="185"/>
      <c r="V312" s="167"/>
      <c r="W312" s="186" t="str">
        <f>IFERROR(Table13[[#This Row],[Mtr_Net_Exp (KWh)]]/(24*AR312*1000),"")</f>
        <v/>
      </c>
      <c r="X312" s="167" t="str">
        <f>IFERROR(_xlfn.XLOOKUP($A312,Input_Raw!$A:$A,Input_Raw!$CF:$CF),"")</f>
        <v/>
      </c>
      <c r="Y312" s="167" t="str">
        <f>IFERROR(_xlfn.XLOOKUP($A312,Input_Raw!$A:$A,Input_Raw!$CZ:$CZ),"")</f>
        <v/>
      </c>
      <c r="Z312" s="167" t="str">
        <f>IFERROR(_xlfn.XLOOKUP($A312,Input_Raw!$A:$A,Input_Raw!$DA:$DA),"")</f>
        <v/>
      </c>
      <c r="AA312" s="169" t="str">
        <f t="shared" si="31"/>
        <v/>
      </c>
      <c r="AB312" s="167" t="str">
        <f>IFERROR(_xlfn.XLOOKUP($A312,Input_Raw!$A:$A,Input_Raw!$DG:$DG),"")</f>
        <v/>
      </c>
      <c r="AC312" s="187">
        <f>IFERROR(_xlfn.XLOOKUP($D312,'Modelling New'!$D:$D,'Modelling New'!$J:$J),"")</f>
        <v>4.3</v>
      </c>
      <c r="AD312" s="169">
        <f>IFERROR(_xlfn.XLOOKUP($D312,'Modelling New'!$D:$D,'Modelling New'!$T:$T)*1000,"")</f>
        <v>171913.60080596086</v>
      </c>
      <c r="AE312" s="186"/>
      <c r="AF312" s="186">
        <f>IFERROR(_xlfn.XLOOKUP($D312,'Modelling New'!$D:$D,'Modelling New'!$W:$W),"")</f>
        <v>9.1834188464722688E-2</v>
      </c>
      <c r="AG312" s="186">
        <f>IFERROR(_xlfn.XLOOKUP($D312,'Modelling New'!$D:$D,'Modelling New'!$AE:$AE),"")</f>
        <v>0.96029999999999993</v>
      </c>
      <c r="AH312" s="186">
        <f>IFERROR(_xlfn.XLOOKUP($D312,'Modelling New'!$D:$D,'Modelling New'!$AF:$AF),"")</f>
        <v>0.995</v>
      </c>
      <c r="AI312" s="167" t="str">
        <f>IFERROR(_xlfn.XLOOKUP($A312,Input_Raw!$A:$A,Input_Raw!$DE:$DE),"")</f>
        <v/>
      </c>
      <c r="AJ312" s="167"/>
      <c r="AK312" s="167"/>
      <c r="AL312" s="167"/>
      <c r="AM312" s="167"/>
      <c r="AN312" s="188" t="str">
        <f>IFERROR(_xlfn.XLOOKUP($A312,Input_Raw!$A:$A,Input_Raw!$DB:$DB),"")</f>
        <v/>
      </c>
      <c r="AO312" s="186" t="str">
        <f>IFERROR((_xlfn.XLOOKUP($A312,'WTG Reactive Power'!$A:$A,'WTG Reactive Power'!$AR:$AR))/X312/1000,"")</f>
        <v/>
      </c>
      <c r="AP312" s="186">
        <f>IFERROR(_xlfn.XLOOKUP($D312,'Modelling New'!$D:$D,'Modelling New'!$AK:$AK),"")</f>
        <v>0.05</v>
      </c>
      <c r="AQ312" s="186">
        <f>IFERROR(_xlfn.XLOOKUP($D312,'Modelling New'!$D:$D,'Modelling New'!$AL:$AL),"")</f>
        <v>0.05</v>
      </c>
      <c r="AR312">
        <f>IFERROR(_xlfn.XLOOKUP($D312,'Modelling New'!$D:$D,'Modelling New'!$N:$N),"")</f>
        <v>78</v>
      </c>
    </row>
    <row r="313" spans="1:44">
      <c r="A313" s="180">
        <f t="shared" si="32"/>
        <v>46056</v>
      </c>
      <c r="B313" s="169">
        <f>YEAR(Table13[[#This Row],[Date]])+IF(MONTH(Table13[[#This Row],[Date]])&gt;=4,1,0)</f>
        <v>2026</v>
      </c>
      <c r="C313" s="167">
        <f>YEAR(Table13[[#This Row],[Date]])</f>
        <v>2026</v>
      </c>
      <c r="D313" s="181">
        <f>Table13[[#This Row],[Date]]-DAY(Table13[[#This Row],[Date]])+1</f>
        <v>46054</v>
      </c>
      <c r="E313" s="167">
        <f t="shared" si="29"/>
        <v>28</v>
      </c>
      <c r="F313" s="170"/>
      <c r="G313" s="171"/>
      <c r="H313" s="171"/>
      <c r="I313" s="171"/>
      <c r="J313" s="171"/>
      <c r="K313" s="182"/>
      <c r="L313" s="171"/>
      <c r="M313" s="171" t="str">
        <f>IFERROR(_xlfn.XLOOKUP($A313,Input_Raw!$A:$A,Input_Raw!CG:CG),"")</f>
        <v/>
      </c>
      <c r="N313" s="171" t="str">
        <f>IFERROR(_xlfn.XLOOKUP($A313,Input_Raw!$A:$A,Input_Raw!CH:CH),"")</f>
        <v/>
      </c>
      <c r="O313" s="183" t="str">
        <f t="shared" si="30"/>
        <v/>
      </c>
      <c r="P313" s="183" t="str">
        <f>IFERROR(1-SUMIF(WTG_BD!$B:$B,$A313,WTG_BD!$AB:$AB)/($AA313+SUMIF(WTG_BD!$B:$B,$A313,WTG_BD!$AB:$AB)),"")</f>
        <v/>
      </c>
      <c r="Q313" s="184" t="str">
        <f>IFERROR(1-SUMIF(IGA_BD!$B:$B,$A313,IGA_BD!$X:$X)/($AA313+SUMIF(IGA_BD!$B:$B,$A313,IGA_BD!$X:$X)),"")</f>
        <v/>
      </c>
      <c r="R313" s="189" t="str">
        <f>IFERROR(1-SUMIF(Grid_BD!$B:$B,$A313,Grid_BD!$V:$V)/($AA313+SUMIF(Grid_BD!$B:$B,$A313,Grid_BD!$V:$V)),"")</f>
        <v/>
      </c>
      <c r="S313" s="167"/>
      <c r="T313" s="184"/>
      <c r="U313" s="185"/>
      <c r="V313" s="167"/>
      <c r="W313" s="186" t="str">
        <f>IFERROR(Table13[[#This Row],[Mtr_Net_Exp (KWh)]]/(24*AR313*1000),"")</f>
        <v/>
      </c>
      <c r="X313" s="167" t="str">
        <f>IFERROR(_xlfn.XLOOKUP($A313,Input_Raw!$A:$A,Input_Raw!$CF:$CF),"")</f>
        <v/>
      </c>
      <c r="Y313" s="167" t="str">
        <f>IFERROR(_xlfn.XLOOKUP($A313,Input_Raw!$A:$A,Input_Raw!$CZ:$CZ),"")</f>
        <v/>
      </c>
      <c r="Z313" s="167" t="str">
        <f>IFERROR(_xlfn.XLOOKUP($A313,Input_Raw!$A:$A,Input_Raw!$DA:$DA),"")</f>
        <v/>
      </c>
      <c r="AA313" s="169" t="str">
        <f t="shared" si="31"/>
        <v/>
      </c>
      <c r="AB313" s="167" t="str">
        <f>IFERROR(_xlfn.XLOOKUP($A313,Input_Raw!$A:$A,Input_Raw!$DG:$DG),"")</f>
        <v/>
      </c>
      <c r="AC313" s="187">
        <f>IFERROR(_xlfn.XLOOKUP($D313,'Modelling New'!$D:$D,'Modelling New'!$J:$J),"")</f>
        <v>4.3</v>
      </c>
      <c r="AD313" s="169">
        <f>IFERROR(_xlfn.XLOOKUP($D313,'Modelling New'!$D:$D,'Modelling New'!$T:$T)*1000,"")</f>
        <v>171913.60080596086</v>
      </c>
      <c r="AE313" s="186"/>
      <c r="AF313" s="186">
        <f>IFERROR(_xlfn.XLOOKUP($D313,'Modelling New'!$D:$D,'Modelling New'!$W:$W),"")</f>
        <v>9.1834188464722688E-2</v>
      </c>
      <c r="AG313" s="186">
        <f>IFERROR(_xlfn.XLOOKUP($D313,'Modelling New'!$D:$D,'Modelling New'!$AE:$AE),"")</f>
        <v>0.96029999999999993</v>
      </c>
      <c r="AH313" s="186">
        <f>IFERROR(_xlfn.XLOOKUP($D313,'Modelling New'!$D:$D,'Modelling New'!$AF:$AF),"")</f>
        <v>0.995</v>
      </c>
      <c r="AI313" s="167" t="str">
        <f>IFERROR(_xlfn.XLOOKUP($A313,Input_Raw!$A:$A,Input_Raw!$DE:$DE),"")</f>
        <v/>
      </c>
      <c r="AJ313" s="167"/>
      <c r="AK313" s="167"/>
      <c r="AL313" s="167"/>
      <c r="AM313" s="167"/>
      <c r="AN313" s="188" t="str">
        <f>IFERROR(_xlfn.XLOOKUP($A313,Input_Raw!$A:$A,Input_Raw!$DB:$DB),"")</f>
        <v/>
      </c>
      <c r="AO313" s="186" t="str">
        <f>IFERROR((_xlfn.XLOOKUP($A313,'WTG Reactive Power'!$A:$A,'WTG Reactive Power'!$AR:$AR))/X313/1000,"")</f>
        <v/>
      </c>
      <c r="AP313" s="186">
        <f>IFERROR(_xlfn.XLOOKUP($D313,'Modelling New'!$D:$D,'Modelling New'!$AK:$AK),"")</f>
        <v>0.05</v>
      </c>
      <c r="AQ313" s="186">
        <f>IFERROR(_xlfn.XLOOKUP($D313,'Modelling New'!$D:$D,'Modelling New'!$AL:$AL),"")</f>
        <v>0.05</v>
      </c>
      <c r="AR313">
        <f>IFERROR(_xlfn.XLOOKUP($D313,'Modelling New'!$D:$D,'Modelling New'!$N:$N),"")</f>
        <v>78</v>
      </c>
    </row>
    <row r="314" spans="1:44">
      <c r="A314" s="180">
        <f t="shared" si="32"/>
        <v>46057</v>
      </c>
      <c r="B314" s="169">
        <f>YEAR(Table13[[#This Row],[Date]])+IF(MONTH(Table13[[#This Row],[Date]])&gt;=4,1,0)</f>
        <v>2026</v>
      </c>
      <c r="C314" s="167">
        <f>YEAR(Table13[[#This Row],[Date]])</f>
        <v>2026</v>
      </c>
      <c r="D314" s="181">
        <f>Table13[[#This Row],[Date]]-DAY(Table13[[#This Row],[Date]])+1</f>
        <v>46054</v>
      </c>
      <c r="E314" s="167">
        <f t="shared" si="29"/>
        <v>28</v>
      </c>
      <c r="F314" s="170"/>
      <c r="G314" s="171"/>
      <c r="H314" s="171"/>
      <c r="I314" s="171"/>
      <c r="J314" s="171"/>
      <c r="K314" s="182"/>
      <c r="L314" s="171"/>
      <c r="M314" s="171" t="str">
        <f>IFERROR(_xlfn.XLOOKUP($A314,Input_Raw!$A:$A,Input_Raw!CG:CG),"")</f>
        <v/>
      </c>
      <c r="N314" s="171" t="str">
        <f>IFERROR(_xlfn.XLOOKUP($A314,Input_Raw!$A:$A,Input_Raw!CH:CH),"")</f>
        <v/>
      </c>
      <c r="O314" s="183" t="str">
        <f t="shared" si="30"/>
        <v/>
      </c>
      <c r="P314" s="183" t="str">
        <f>IFERROR(1-SUMIF(WTG_BD!$B:$B,$A314,WTG_BD!$AB:$AB)/($AA314+SUMIF(WTG_BD!$B:$B,$A314,WTG_BD!$AB:$AB)),"")</f>
        <v/>
      </c>
      <c r="Q314" s="184" t="str">
        <f>IFERROR(1-SUMIF(IGA_BD!$B:$B,$A314,IGA_BD!$X:$X)/($AA314+SUMIF(IGA_BD!$B:$B,$A314,IGA_BD!$X:$X)),"")</f>
        <v/>
      </c>
      <c r="R314" s="189" t="str">
        <f>IFERROR(1-SUMIF(Grid_BD!$B:$B,$A314,Grid_BD!$V:$V)/($AA314+SUMIF(Grid_BD!$B:$B,$A314,Grid_BD!$V:$V)),"")</f>
        <v/>
      </c>
      <c r="S314" s="167"/>
      <c r="T314" s="184"/>
      <c r="U314" s="185"/>
      <c r="V314" s="167"/>
      <c r="W314" s="186" t="str">
        <f>IFERROR(Table13[[#This Row],[Mtr_Net_Exp (KWh)]]/(24*AR314*1000),"")</f>
        <v/>
      </c>
      <c r="X314" s="167" t="str">
        <f>IFERROR(_xlfn.XLOOKUP($A314,Input_Raw!$A:$A,Input_Raw!$CF:$CF),"")</f>
        <v/>
      </c>
      <c r="Y314" s="167" t="str">
        <f>IFERROR(_xlfn.XLOOKUP($A314,Input_Raw!$A:$A,Input_Raw!$CZ:$CZ),"")</f>
        <v/>
      </c>
      <c r="Z314" s="167" t="str">
        <f>IFERROR(_xlfn.XLOOKUP($A314,Input_Raw!$A:$A,Input_Raw!$DA:$DA),"")</f>
        <v/>
      </c>
      <c r="AA314" s="169" t="str">
        <f t="shared" si="31"/>
        <v/>
      </c>
      <c r="AB314" s="167" t="str">
        <f>IFERROR(_xlfn.XLOOKUP($A314,Input_Raw!$A:$A,Input_Raw!$DG:$DG),"")</f>
        <v/>
      </c>
      <c r="AC314" s="187">
        <f>IFERROR(_xlfn.XLOOKUP($D314,'Modelling New'!$D:$D,'Modelling New'!$J:$J),"")</f>
        <v>4.3</v>
      </c>
      <c r="AD314" s="169">
        <f>IFERROR(_xlfn.XLOOKUP($D314,'Modelling New'!$D:$D,'Modelling New'!$T:$T)*1000,"")</f>
        <v>171913.60080596086</v>
      </c>
      <c r="AE314" s="186"/>
      <c r="AF314" s="186">
        <f>IFERROR(_xlfn.XLOOKUP($D314,'Modelling New'!$D:$D,'Modelling New'!$W:$W),"")</f>
        <v>9.1834188464722688E-2</v>
      </c>
      <c r="AG314" s="186">
        <f>IFERROR(_xlfn.XLOOKUP($D314,'Modelling New'!$D:$D,'Modelling New'!$AE:$AE),"")</f>
        <v>0.96029999999999993</v>
      </c>
      <c r="AH314" s="186">
        <f>IFERROR(_xlfn.XLOOKUP($D314,'Modelling New'!$D:$D,'Modelling New'!$AF:$AF),"")</f>
        <v>0.995</v>
      </c>
      <c r="AI314" s="167" t="str">
        <f>IFERROR(_xlfn.XLOOKUP($A314,Input_Raw!$A:$A,Input_Raw!$DE:$DE),"")</f>
        <v/>
      </c>
      <c r="AJ314" s="167"/>
      <c r="AK314" s="167"/>
      <c r="AL314" s="167"/>
      <c r="AM314" s="167"/>
      <c r="AN314" s="188" t="str">
        <f>IFERROR(_xlfn.XLOOKUP($A314,Input_Raw!$A:$A,Input_Raw!$DB:$DB),"")</f>
        <v/>
      </c>
      <c r="AO314" s="186" t="str">
        <f>IFERROR((_xlfn.XLOOKUP($A314,'WTG Reactive Power'!$A:$A,'WTG Reactive Power'!$AR:$AR))/X314/1000,"")</f>
        <v/>
      </c>
      <c r="AP314" s="186">
        <f>IFERROR(_xlfn.XLOOKUP($D314,'Modelling New'!$D:$D,'Modelling New'!$AK:$AK),"")</f>
        <v>0.05</v>
      </c>
      <c r="AQ314" s="186">
        <f>IFERROR(_xlfn.XLOOKUP($D314,'Modelling New'!$D:$D,'Modelling New'!$AL:$AL),"")</f>
        <v>0.05</v>
      </c>
      <c r="AR314">
        <f>IFERROR(_xlfn.XLOOKUP($D314,'Modelling New'!$D:$D,'Modelling New'!$N:$N),"")</f>
        <v>78</v>
      </c>
    </row>
    <row r="315" spans="1:44">
      <c r="A315" s="180">
        <f t="shared" si="32"/>
        <v>46058</v>
      </c>
      <c r="B315" s="169">
        <f>YEAR(Table13[[#This Row],[Date]])+IF(MONTH(Table13[[#This Row],[Date]])&gt;=4,1,0)</f>
        <v>2026</v>
      </c>
      <c r="C315" s="167">
        <f>YEAR(Table13[[#This Row],[Date]])</f>
        <v>2026</v>
      </c>
      <c r="D315" s="181">
        <f>Table13[[#This Row],[Date]]-DAY(Table13[[#This Row],[Date]])+1</f>
        <v>46054</v>
      </c>
      <c r="E315" s="167">
        <f t="shared" si="29"/>
        <v>28</v>
      </c>
      <c r="F315" s="170"/>
      <c r="G315" s="171"/>
      <c r="H315" s="171"/>
      <c r="I315" s="171"/>
      <c r="J315" s="171"/>
      <c r="K315" s="182"/>
      <c r="L315" s="171"/>
      <c r="M315" s="171" t="str">
        <f>IFERROR(_xlfn.XLOOKUP($A315,Input_Raw!$A:$A,Input_Raw!CG:CG),"")</f>
        <v/>
      </c>
      <c r="N315" s="171" t="str">
        <f>IFERROR(_xlfn.XLOOKUP($A315,Input_Raw!$A:$A,Input_Raw!CH:CH),"")</f>
        <v/>
      </c>
      <c r="O315" s="183" t="str">
        <f t="shared" si="30"/>
        <v/>
      </c>
      <c r="P315" s="183" t="str">
        <f>IFERROR(1-SUMIF(WTG_BD!$B:$B,$A315,WTG_BD!$AB:$AB)/($AA315+SUMIF(WTG_BD!$B:$B,$A315,WTG_BD!$AB:$AB)),"")</f>
        <v/>
      </c>
      <c r="Q315" s="184" t="str">
        <f>IFERROR(1-SUMIF(IGA_BD!$B:$B,$A315,IGA_BD!$X:$X)/($AA315+SUMIF(IGA_BD!$B:$B,$A315,IGA_BD!$X:$X)),"")</f>
        <v/>
      </c>
      <c r="R315" s="189" t="str">
        <f>IFERROR(1-SUMIF(Grid_BD!$B:$B,$A315,Grid_BD!$V:$V)/($AA315+SUMIF(Grid_BD!$B:$B,$A315,Grid_BD!$V:$V)),"")</f>
        <v/>
      </c>
      <c r="S315" s="167"/>
      <c r="T315" s="184"/>
      <c r="U315" s="185"/>
      <c r="V315" s="167"/>
      <c r="W315" s="186" t="str">
        <f>IFERROR(Table13[[#This Row],[Mtr_Net_Exp (KWh)]]/(24*AR315*1000),"")</f>
        <v/>
      </c>
      <c r="X315" s="167" t="str">
        <f>IFERROR(_xlfn.XLOOKUP($A315,Input_Raw!$A:$A,Input_Raw!$CF:$CF),"")</f>
        <v/>
      </c>
      <c r="Y315" s="167" t="str">
        <f>IFERROR(_xlfn.XLOOKUP($A315,Input_Raw!$A:$A,Input_Raw!$CZ:$CZ),"")</f>
        <v/>
      </c>
      <c r="Z315" s="167" t="str">
        <f>IFERROR(_xlfn.XLOOKUP($A315,Input_Raw!$A:$A,Input_Raw!$DA:$DA),"")</f>
        <v/>
      </c>
      <c r="AA315" s="169" t="str">
        <f t="shared" si="31"/>
        <v/>
      </c>
      <c r="AB315" s="167" t="str">
        <f>IFERROR(_xlfn.XLOOKUP($A315,Input_Raw!$A:$A,Input_Raw!$DG:$DG),"")</f>
        <v/>
      </c>
      <c r="AC315" s="187">
        <f>IFERROR(_xlfn.XLOOKUP($D315,'Modelling New'!$D:$D,'Modelling New'!$J:$J),"")</f>
        <v>4.3</v>
      </c>
      <c r="AD315" s="169">
        <f>IFERROR(_xlfn.XLOOKUP($D315,'Modelling New'!$D:$D,'Modelling New'!$T:$T)*1000,"")</f>
        <v>171913.60080596086</v>
      </c>
      <c r="AE315" s="186"/>
      <c r="AF315" s="186">
        <f>IFERROR(_xlfn.XLOOKUP($D315,'Modelling New'!$D:$D,'Modelling New'!$W:$W),"")</f>
        <v>9.1834188464722688E-2</v>
      </c>
      <c r="AG315" s="186">
        <f>IFERROR(_xlfn.XLOOKUP($D315,'Modelling New'!$D:$D,'Modelling New'!$AE:$AE),"")</f>
        <v>0.96029999999999993</v>
      </c>
      <c r="AH315" s="186">
        <f>IFERROR(_xlfn.XLOOKUP($D315,'Modelling New'!$D:$D,'Modelling New'!$AF:$AF),"")</f>
        <v>0.995</v>
      </c>
      <c r="AI315" s="167" t="str">
        <f>IFERROR(_xlfn.XLOOKUP($A315,Input_Raw!$A:$A,Input_Raw!$DE:$DE),"")</f>
        <v/>
      </c>
      <c r="AJ315" s="167"/>
      <c r="AK315" s="167"/>
      <c r="AL315" s="167"/>
      <c r="AM315" s="167"/>
      <c r="AN315" s="188" t="str">
        <f>IFERROR(_xlfn.XLOOKUP($A315,Input_Raw!$A:$A,Input_Raw!$DB:$DB),"")</f>
        <v/>
      </c>
      <c r="AO315" s="186" t="str">
        <f>IFERROR((_xlfn.XLOOKUP($A315,'WTG Reactive Power'!$A:$A,'WTG Reactive Power'!$AR:$AR))/X315/1000,"")</f>
        <v/>
      </c>
      <c r="AP315" s="186">
        <f>IFERROR(_xlfn.XLOOKUP($D315,'Modelling New'!$D:$D,'Modelling New'!$AK:$AK),"")</f>
        <v>0.05</v>
      </c>
      <c r="AQ315" s="186">
        <f>IFERROR(_xlfn.XLOOKUP($D315,'Modelling New'!$D:$D,'Modelling New'!$AL:$AL),"")</f>
        <v>0.05</v>
      </c>
      <c r="AR315">
        <f>IFERROR(_xlfn.XLOOKUP($D315,'Modelling New'!$D:$D,'Modelling New'!$N:$N),"")</f>
        <v>78</v>
      </c>
    </row>
    <row r="316" spans="1:44">
      <c r="A316" s="180">
        <f t="shared" si="32"/>
        <v>46059</v>
      </c>
      <c r="B316" s="169">
        <f>YEAR(Table13[[#This Row],[Date]])+IF(MONTH(Table13[[#This Row],[Date]])&gt;=4,1,0)</f>
        <v>2026</v>
      </c>
      <c r="C316" s="167">
        <f>YEAR(Table13[[#This Row],[Date]])</f>
        <v>2026</v>
      </c>
      <c r="D316" s="181">
        <f>Table13[[#This Row],[Date]]-DAY(Table13[[#This Row],[Date]])+1</f>
        <v>46054</v>
      </c>
      <c r="E316" s="167">
        <f t="shared" si="29"/>
        <v>28</v>
      </c>
      <c r="F316" s="170"/>
      <c r="G316" s="171"/>
      <c r="H316" s="171"/>
      <c r="I316" s="171"/>
      <c r="J316" s="171"/>
      <c r="K316" s="182"/>
      <c r="L316" s="171"/>
      <c r="M316" s="171" t="str">
        <f>IFERROR(_xlfn.XLOOKUP($A316,Input_Raw!$A:$A,Input_Raw!CG:CG),"")</f>
        <v/>
      </c>
      <c r="N316" s="171" t="str">
        <f>IFERROR(_xlfn.XLOOKUP($A316,Input_Raw!$A:$A,Input_Raw!CH:CH),"")</f>
        <v/>
      </c>
      <c r="O316" s="183" t="str">
        <f t="shared" si="30"/>
        <v/>
      </c>
      <c r="P316" s="183" t="str">
        <f>IFERROR(1-SUMIF(WTG_BD!$B:$B,$A316,WTG_BD!$AB:$AB)/($AA316+SUMIF(WTG_BD!$B:$B,$A316,WTG_BD!$AB:$AB)),"")</f>
        <v/>
      </c>
      <c r="Q316" s="184" t="str">
        <f>IFERROR(1-SUMIF(IGA_BD!$B:$B,$A316,IGA_BD!$X:$X)/($AA316+SUMIF(IGA_BD!$B:$B,$A316,IGA_BD!$X:$X)),"")</f>
        <v/>
      </c>
      <c r="R316" s="189" t="str">
        <f>IFERROR(1-SUMIF(Grid_BD!$B:$B,$A316,Grid_BD!$V:$V)/($AA316+SUMIF(Grid_BD!$B:$B,$A316,Grid_BD!$V:$V)),"")</f>
        <v/>
      </c>
      <c r="S316" s="167"/>
      <c r="T316" s="184"/>
      <c r="U316" s="185"/>
      <c r="V316" s="167"/>
      <c r="W316" s="186" t="str">
        <f>IFERROR(Table13[[#This Row],[Mtr_Net_Exp (KWh)]]/(24*AR316*1000),"")</f>
        <v/>
      </c>
      <c r="X316" s="167" t="str">
        <f>IFERROR(_xlfn.XLOOKUP($A316,Input_Raw!$A:$A,Input_Raw!$CF:$CF),"")</f>
        <v/>
      </c>
      <c r="Y316" s="167" t="str">
        <f>IFERROR(_xlfn.XLOOKUP($A316,Input_Raw!$A:$A,Input_Raw!$CZ:$CZ),"")</f>
        <v/>
      </c>
      <c r="Z316" s="167" t="str">
        <f>IFERROR(_xlfn.XLOOKUP($A316,Input_Raw!$A:$A,Input_Raw!$DA:$DA),"")</f>
        <v/>
      </c>
      <c r="AA316" s="169" t="str">
        <f t="shared" si="31"/>
        <v/>
      </c>
      <c r="AB316" s="167" t="str">
        <f>IFERROR(_xlfn.XLOOKUP($A316,Input_Raw!$A:$A,Input_Raw!$DG:$DG),"")</f>
        <v/>
      </c>
      <c r="AC316" s="187">
        <f>IFERROR(_xlfn.XLOOKUP($D316,'Modelling New'!$D:$D,'Modelling New'!$J:$J),"")</f>
        <v>4.3</v>
      </c>
      <c r="AD316" s="169">
        <f>IFERROR(_xlfn.XLOOKUP($D316,'Modelling New'!$D:$D,'Modelling New'!$T:$T)*1000,"")</f>
        <v>171913.60080596086</v>
      </c>
      <c r="AE316" s="186"/>
      <c r="AF316" s="186">
        <f>IFERROR(_xlfn.XLOOKUP($D316,'Modelling New'!$D:$D,'Modelling New'!$W:$W),"")</f>
        <v>9.1834188464722688E-2</v>
      </c>
      <c r="AG316" s="186">
        <f>IFERROR(_xlfn.XLOOKUP($D316,'Modelling New'!$D:$D,'Modelling New'!$AE:$AE),"")</f>
        <v>0.96029999999999993</v>
      </c>
      <c r="AH316" s="186">
        <f>IFERROR(_xlfn.XLOOKUP($D316,'Modelling New'!$D:$D,'Modelling New'!$AF:$AF),"")</f>
        <v>0.995</v>
      </c>
      <c r="AI316" s="167" t="str">
        <f>IFERROR(_xlfn.XLOOKUP($A316,Input_Raw!$A:$A,Input_Raw!$DE:$DE),"")</f>
        <v/>
      </c>
      <c r="AJ316" s="167"/>
      <c r="AK316" s="167"/>
      <c r="AL316" s="167"/>
      <c r="AM316" s="167"/>
      <c r="AN316" s="188" t="str">
        <f>IFERROR(_xlfn.XLOOKUP($A316,Input_Raw!$A:$A,Input_Raw!$DB:$DB),"")</f>
        <v/>
      </c>
      <c r="AO316" s="186" t="str">
        <f>IFERROR((_xlfn.XLOOKUP($A316,'WTG Reactive Power'!$A:$A,'WTG Reactive Power'!$AR:$AR))/X316/1000,"")</f>
        <v/>
      </c>
      <c r="AP316" s="186">
        <f>IFERROR(_xlfn.XLOOKUP($D316,'Modelling New'!$D:$D,'Modelling New'!$AK:$AK),"")</f>
        <v>0.05</v>
      </c>
      <c r="AQ316" s="186">
        <f>IFERROR(_xlfn.XLOOKUP($D316,'Modelling New'!$D:$D,'Modelling New'!$AL:$AL),"")</f>
        <v>0.05</v>
      </c>
      <c r="AR316">
        <f>IFERROR(_xlfn.XLOOKUP($D316,'Modelling New'!$D:$D,'Modelling New'!$N:$N),"")</f>
        <v>78</v>
      </c>
    </row>
    <row r="317" spans="1:44">
      <c r="A317" s="180">
        <f t="shared" si="32"/>
        <v>46060</v>
      </c>
      <c r="B317" s="169">
        <f>YEAR(Table13[[#This Row],[Date]])+IF(MONTH(Table13[[#This Row],[Date]])&gt;=4,1,0)</f>
        <v>2026</v>
      </c>
      <c r="C317" s="167">
        <f>YEAR(Table13[[#This Row],[Date]])</f>
        <v>2026</v>
      </c>
      <c r="D317" s="181">
        <f>Table13[[#This Row],[Date]]-DAY(Table13[[#This Row],[Date]])+1</f>
        <v>46054</v>
      </c>
      <c r="E317" s="167">
        <f t="shared" si="29"/>
        <v>28</v>
      </c>
      <c r="F317" s="170"/>
      <c r="G317" s="171"/>
      <c r="H317" s="171"/>
      <c r="I317" s="171"/>
      <c r="J317" s="171"/>
      <c r="K317" s="182"/>
      <c r="L317" s="171"/>
      <c r="M317" s="171" t="str">
        <f>IFERROR(_xlfn.XLOOKUP($A317,Input_Raw!$A:$A,Input_Raw!CG:CG),"")</f>
        <v/>
      </c>
      <c r="N317" s="171" t="str">
        <f>IFERROR(_xlfn.XLOOKUP($A317,Input_Raw!$A:$A,Input_Raw!CH:CH),"")</f>
        <v/>
      </c>
      <c r="O317" s="183" t="str">
        <f t="shared" si="30"/>
        <v/>
      </c>
      <c r="P317" s="183" t="str">
        <f>IFERROR(1-SUMIF(WTG_BD!$B:$B,$A317,WTG_BD!$AB:$AB)/($AA317+SUMIF(WTG_BD!$B:$B,$A317,WTG_BD!$AB:$AB)),"")</f>
        <v/>
      </c>
      <c r="Q317" s="184" t="str">
        <f>IFERROR(1-SUMIF(IGA_BD!$B:$B,$A317,IGA_BD!$X:$X)/($AA317+SUMIF(IGA_BD!$B:$B,$A317,IGA_BD!$X:$X)),"")</f>
        <v/>
      </c>
      <c r="R317" s="189" t="str">
        <f>IFERROR(1-SUMIF(Grid_BD!$B:$B,$A317,Grid_BD!$V:$V)/($AA317+SUMIF(Grid_BD!$B:$B,$A317,Grid_BD!$V:$V)),"")</f>
        <v/>
      </c>
      <c r="S317" s="167"/>
      <c r="T317" s="184"/>
      <c r="U317" s="185"/>
      <c r="V317" s="167"/>
      <c r="W317" s="186" t="str">
        <f>IFERROR(Table13[[#This Row],[Mtr_Net_Exp (KWh)]]/(24*AR317*1000),"")</f>
        <v/>
      </c>
      <c r="X317" s="167" t="str">
        <f>IFERROR(_xlfn.XLOOKUP($A317,Input_Raw!$A:$A,Input_Raw!$CF:$CF),"")</f>
        <v/>
      </c>
      <c r="Y317" s="167" t="str">
        <f>IFERROR(_xlfn.XLOOKUP($A317,Input_Raw!$A:$A,Input_Raw!$CZ:$CZ),"")</f>
        <v/>
      </c>
      <c r="Z317" s="167" t="str">
        <f>IFERROR(_xlfn.XLOOKUP($A317,Input_Raw!$A:$A,Input_Raw!$DA:$DA),"")</f>
        <v/>
      </c>
      <c r="AA317" s="169" t="str">
        <f t="shared" si="31"/>
        <v/>
      </c>
      <c r="AB317" s="167" t="str">
        <f>IFERROR(_xlfn.XLOOKUP($A317,Input_Raw!$A:$A,Input_Raw!$DG:$DG),"")</f>
        <v/>
      </c>
      <c r="AC317" s="187">
        <f>IFERROR(_xlfn.XLOOKUP($D317,'Modelling New'!$D:$D,'Modelling New'!$J:$J),"")</f>
        <v>4.3</v>
      </c>
      <c r="AD317" s="169">
        <f>IFERROR(_xlfn.XLOOKUP($D317,'Modelling New'!$D:$D,'Modelling New'!$T:$T)*1000,"")</f>
        <v>171913.60080596086</v>
      </c>
      <c r="AE317" s="186"/>
      <c r="AF317" s="186">
        <f>IFERROR(_xlfn.XLOOKUP($D317,'Modelling New'!$D:$D,'Modelling New'!$W:$W),"")</f>
        <v>9.1834188464722688E-2</v>
      </c>
      <c r="AG317" s="186">
        <f>IFERROR(_xlfn.XLOOKUP($D317,'Modelling New'!$D:$D,'Modelling New'!$AE:$AE),"")</f>
        <v>0.96029999999999993</v>
      </c>
      <c r="AH317" s="186">
        <f>IFERROR(_xlfn.XLOOKUP($D317,'Modelling New'!$D:$D,'Modelling New'!$AF:$AF),"")</f>
        <v>0.995</v>
      </c>
      <c r="AI317" s="167" t="str">
        <f>IFERROR(_xlfn.XLOOKUP($A317,Input_Raw!$A:$A,Input_Raw!$DE:$DE),"")</f>
        <v/>
      </c>
      <c r="AJ317" s="167"/>
      <c r="AK317" s="167"/>
      <c r="AL317" s="167"/>
      <c r="AM317" s="167"/>
      <c r="AN317" s="188" t="str">
        <f>IFERROR(_xlfn.XLOOKUP($A317,Input_Raw!$A:$A,Input_Raw!$DB:$DB),"")</f>
        <v/>
      </c>
      <c r="AO317" s="186" t="str">
        <f>IFERROR((_xlfn.XLOOKUP($A317,'WTG Reactive Power'!$A:$A,'WTG Reactive Power'!$AR:$AR))/X317/1000,"")</f>
        <v/>
      </c>
      <c r="AP317" s="186">
        <f>IFERROR(_xlfn.XLOOKUP($D317,'Modelling New'!$D:$D,'Modelling New'!$AK:$AK),"")</f>
        <v>0.05</v>
      </c>
      <c r="AQ317" s="186">
        <f>IFERROR(_xlfn.XLOOKUP($D317,'Modelling New'!$D:$D,'Modelling New'!$AL:$AL),"")</f>
        <v>0.05</v>
      </c>
      <c r="AR317">
        <f>IFERROR(_xlfn.XLOOKUP($D317,'Modelling New'!$D:$D,'Modelling New'!$N:$N),"")</f>
        <v>78</v>
      </c>
    </row>
    <row r="318" spans="1:44">
      <c r="A318" s="180">
        <f t="shared" si="32"/>
        <v>46061</v>
      </c>
      <c r="B318" s="169">
        <f>YEAR(Table13[[#This Row],[Date]])+IF(MONTH(Table13[[#This Row],[Date]])&gt;=4,1,0)</f>
        <v>2026</v>
      </c>
      <c r="C318" s="167">
        <f>YEAR(Table13[[#This Row],[Date]])</f>
        <v>2026</v>
      </c>
      <c r="D318" s="181">
        <f>Table13[[#This Row],[Date]]-DAY(Table13[[#This Row],[Date]])+1</f>
        <v>46054</v>
      </c>
      <c r="E318" s="167">
        <f t="shared" si="29"/>
        <v>28</v>
      </c>
      <c r="F318" s="170"/>
      <c r="G318" s="171"/>
      <c r="H318" s="171"/>
      <c r="I318" s="171"/>
      <c r="J318" s="171"/>
      <c r="K318" s="182"/>
      <c r="L318" s="171"/>
      <c r="M318" s="171" t="str">
        <f>IFERROR(_xlfn.XLOOKUP($A318,Input_Raw!$A:$A,Input_Raw!CG:CG),"")</f>
        <v/>
      </c>
      <c r="N318" s="171" t="str">
        <f>IFERROR(_xlfn.XLOOKUP($A318,Input_Raw!$A:$A,Input_Raw!CH:CH),"")</f>
        <v/>
      </c>
      <c r="O318" s="183" t="str">
        <f t="shared" si="30"/>
        <v/>
      </c>
      <c r="P318" s="183" t="str">
        <f>IFERROR(1-SUMIF(WTG_BD!$B:$B,$A318,WTG_BD!$AB:$AB)/($AA318+SUMIF(WTG_BD!$B:$B,$A318,WTG_BD!$AB:$AB)),"")</f>
        <v/>
      </c>
      <c r="Q318" s="184" t="str">
        <f>IFERROR(1-SUMIF(IGA_BD!$B:$B,$A318,IGA_BD!$X:$X)/($AA318+SUMIF(IGA_BD!$B:$B,$A318,IGA_BD!$X:$X)),"")</f>
        <v/>
      </c>
      <c r="R318" s="189" t="str">
        <f>IFERROR(1-SUMIF(Grid_BD!$B:$B,$A318,Grid_BD!$V:$V)/($AA318+SUMIF(Grid_BD!$B:$B,$A318,Grid_BD!$V:$V)),"")</f>
        <v/>
      </c>
      <c r="S318" s="167"/>
      <c r="T318" s="184"/>
      <c r="U318" s="185"/>
      <c r="V318" s="167"/>
      <c r="W318" s="186" t="str">
        <f>IFERROR(Table13[[#This Row],[Mtr_Net_Exp (KWh)]]/(24*AR318*1000),"")</f>
        <v/>
      </c>
      <c r="X318" s="167" t="str">
        <f>IFERROR(_xlfn.XLOOKUP($A318,Input_Raw!$A:$A,Input_Raw!$CF:$CF),"")</f>
        <v/>
      </c>
      <c r="Y318" s="167" t="str">
        <f>IFERROR(_xlfn.XLOOKUP($A318,Input_Raw!$A:$A,Input_Raw!$CZ:$CZ),"")</f>
        <v/>
      </c>
      <c r="Z318" s="167" t="str">
        <f>IFERROR(_xlfn.XLOOKUP($A318,Input_Raw!$A:$A,Input_Raw!$DA:$DA),"")</f>
        <v/>
      </c>
      <c r="AA318" s="169" t="str">
        <f t="shared" si="31"/>
        <v/>
      </c>
      <c r="AB318" s="167" t="str">
        <f>IFERROR(_xlfn.XLOOKUP($A318,Input_Raw!$A:$A,Input_Raw!$DG:$DG),"")</f>
        <v/>
      </c>
      <c r="AC318" s="187">
        <f>IFERROR(_xlfn.XLOOKUP($D318,'Modelling New'!$D:$D,'Modelling New'!$J:$J),"")</f>
        <v>4.3</v>
      </c>
      <c r="AD318" s="169">
        <f>IFERROR(_xlfn.XLOOKUP($D318,'Modelling New'!$D:$D,'Modelling New'!$T:$T)*1000,"")</f>
        <v>171913.60080596086</v>
      </c>
      <c r="AE318" s="186"/>
      <c r="AF318" s="186">
        <f>IFERROR(_xlfn.XLOOKUP($D318,'Modelling New'!$D:$D,'Modelling New'!$W:$W),"")</f>
        <v>9.1834188464722688E-2</v>
      </c>
      <c r="AG318" s="186">
        <f>IFERROR(_xlfn.XLOOKUP($D318,'Modelling New'!$D:$D,'Modelling New'!$AE:$AE),"")</f>
        <v>0.96029999999999993</v>
      </c>
      <c r="AH318" s="186">
        <f>IFERROR(_xlfn.XLOOKUP($D318,'Modelling New'!$D:$D,'Modelling New'!$AF:$AF),"")</f>
        <v>0.995</v>
      </c>
      <c r="AI318" s="167" t="str">
        <f>IFERROR(_xlfn.XLOOKUP($A318,Input_Raw!$A:$A,Input_Raw!$DE:$DE),"")</f>
        <v/>
      </c>
      <c r="AJ318" s="167"/>
      <c r="AK318" s="167"/>
      <c r="AL318" s="167"/>
      <c r="AM318" s="167"/>
      <c r="AN318" s="188" t="str">
        <f>IFERROR(_xlfn.XLOOKUP($A318,Input_Raw!$A:$A,Input_Raw!$DB:$DB),"")</f>
        <v/>
      </c>
      <c r="AO318" s="186" t="str">
        <f>IFERROR((_xlfn.XLOOKUP($A318,'WTG Reactive Power'!$A:$A,'WTG Reactive Power'!$AR:$AR))/X318/1000,"")</f>
        <v/>
      </c>
      <c r="AP318" s="186">
        <f>IFERROR(_xlfn.XLOOKUP($D318,'Modelling New'!$D:$D,'Modelling New'!$AK:$AK),"")</f>
        <v>0.05</v>
      </c>
      <c r="AQ318" s="186">
        <f>IFERROR(_xlfn.XLOOKUP($D318,'Modelling New'!$D:$D,'Modelling New'!$AL:$AL),"")</f>
        <v>0.05</v>
      </c>
      <c r="AR318">
        <f>IFERROR(_xlfn.XLOOKUP($D318,'Modelling New'!$D:$D,'Modelling New'!$N:$N),"")</f>
        <v>78</v>
      </c>
    </row>
    <row r="319" spans="1:44">
      <c r="A319" s="180">
        <f t="shared" si="32"/>
        <v>46062</v>
      </c>
      <c r="B319" s="169">
        <f>YEAR(Table13[[#This Row],[Date]])+IF(MONTH(Table13[[#This Row],[Date]])&gt;=4,1,0)</f>
        <v>2026</v>
      </c>
      <c r="C319" s="167">
        <f>YEAR(Table13[[#This Row],[Date]])</f>
        <v>2026</v>
      </c>
      <c r="D319" s="181">
        <f>Table13[[#This Row],[Date]]-DAY(Table13[[#This Row],[Date]])+1</f>
        <v>46054</v>
      </c>
      <c r="E319" s="167">
        <f t="shared" si="29"/>
        <v>28</v>
      </c>
      <c r="F319" s="170"/>
      <c r="G319" s="171"/>
      <c r="H319" s="171"/>
      <c r="I319" s="171"/>
      <c r="J319" s="171"/>
      <c r="K319" s="182"/>
      <c r="L319" s="171"/>
      <c r="M319" s="171" t="str">
        <f>IFERROR(_xlfn.XLOOKUP($A319,Input_Raw!$A:$A,Input_Raw!CG:CG),"")</f>
        <v/>
      </c>
      <c r="N319" s="171" t="str">
        <f>IFERROR(_xlfn.XLOOKUP($A319,Input_Raw!$A:$A,Input_Raw!CH:CH),"")</f>
        <v/>
      </c>
      <c r="O319" s="183" t="str">
        <f t="shared" si="30"/>
        <v/>
      </c>
      <c r="P319" s="183" t="str">
        <f>IFERROR(1-SUMIF(WTG_BD!$B:$B,$A319,WTG_BD!$AB:$AB)/($AA319+SUMIF(WTG_BD!$B:$B,$A319,WTG_BD!$AB:$AB)),"")</f>
        <v/>
      </c>
      <c r="Q319" s="184" t="str">
        <f>IFERROR(1-SUMIF(IGA_BD!$B:$B,$A319,IGA_BD!$X:$X)/($AA319+SUMIF(IGA_BD!$B:$B,$A319,IGA_BD!$X:$X)),"")</f>
        <v/>
      </c>
      <c r="R319" s="189" t="str">
        <f>IFERROR(1-SUMIF(Grid_BD!$B:$B,$A319,Grid_BD!$V:$V)/($AA319+SUMIF(Grid_BD!$B:$B,$A319,Grid_BD!$V:$V)),"")</f>
        <v/>
      </c>
      <c r="S319" s="167"/>
      <c r="T319" s="184"/>
      <c r="U319" s="185"/>
      <c r="V319" s="167"/>
      <c r="W319" s="186" t="str">
        <f>IFERROR(Table13[[#This Row],[Mtr_Net_Exp (KWh)]]/(24*AR319*1000),"")</f>
        <v/>
      </c>
      <c r="X319" s="167" t="str">
        <f>IFERROR(_xlfn.XLOOKUP($A319,Input_Raw!$A:$A,Input_Raw!$CF:$CF),"")</f>
        <v/>
      </c>
      <c r="Y319" s="167" t="str">
        <f>IFERROR(_xlfn.XLOOKUP($A319,Input_Raw!$A:$A,Input_Raw!$CZ:$CZ),"")</f>
        <v/>
      </c>
      <c r="Z319" s="167" t="str">
        <f>IFERROR(_xlfn.XLOOKUP($A319,Input_Raw!$A:$A,Input_Raw!$DA:$DA),"")</f>
        <v/>
      </c>
      <c r="AA319" s="169" t="str">
        <f t="shared" si="31"/>
        <v/>
      </c>
      <c r="AB319" s="167" t="str">
        <f>IFERROR(_xlfn.XLOOKUP($A319,Input_Raw!$A:$A,Input_Raw!$DG:$DG),"")</f>
        <v/>
      </c>
      <c r="AC319" s="187">
        <f>IFERROR(_xlfn.XLOOKUP($D319,'Modelling New'!$D:$D,'Modelling New'!$J:$J),"")</f>
        <v>4.3</v>
      </c>
      <c r="AD319" s="169">
        <f>IFERROR(_xlfn.XLOOKUP($D319,'Modelling New'!$D:$D,'Modelling New'!$T:$T)*1000,"")</f>
        <v>171913.60080596086</v>
      </c>
      <c r="AE319" s="186"/>
      <c r="AF319" s="186">
        <f>IFERROR(_xlfn.XLOOKUP($D319,'Modelling New'!$D:$D,'Modelling New'!$W:$W),"")</f>
        <v>9.1834188464722688E-2</v>
      </c>
      <c r="AG319" s="186">
        <f>IFERROR(_xlfn.XLOOKUP($D319,'Modelling New'!$D:$D,'Modelling New'!$AE:$AE),"")</f>
        <v>0.96029999999999993</v>
      </c>
      <c r="AH319" s="186">
        <f>IFERROR(_xlfn.XLOOKUP($D319,'Modelling New'!$D:$D,'Modelling New'!$AF:$AF),"")</f>
        <v>0.995</v>
      </c>
      <c r="AI319" s="167" t="str">
        <f>IFERROR(_xlfn.XLOOKUP($A319,Input_Raw!$A:$A,Input_Raw!$DE:$DE),"")</f>
        <v/>
      </c>
      <c r="AJ319" s="167"/>
      <c r="AK319" s="167"/>
      <c r="AL319" s="167"/>
      <c r="AM319" s="167"/>
      <c r="AN319" s="188" t="str">
        <f>IFERROR(_xlfn.XLOOKUP($A319,Input_Raw!$A:$A,Input_Raw!$DB:$DB),"")</f>
        <v/>
      </c>
      <c r="AO319" s="186" t="str">
        <f>IFERROR((_xlfn.XLOOKUP($A319,'WTG Reactive Power'!$A:$A,'WTG Reactive Power'!$AR:$AR))/X319/1000,"")</f>
        <v/>
      </c>
      <c r="AP319" s="186">
        <f>IFERROR(_xlfn.XLOOKUP($D319,'Modelling New'!$D:$D,'Modelling New'!$AK:$AK),"")</f>
        <v>0.05</v>
      </c>
      <c r="AQ319" s="186">
        <f>IFERROR(_xlfn.XLOOKUP($D319,'Modelling New'!$D:$D,'Modelling New'!$AL:$AL),"")</f>
        <v>0.05</v>
      </c>
      <c r="AR319">
        <f>IFERROR(_xlfn.XLOOKUP($D319,'Modelling New'!$D:$D,'Modelling New'!$N:$N),"")</f>
        <v>78</v>
      </c>
    </row>
    <row r="320" spans="1:44">
      <c r="A320" s="180">
        <f t="shared" si="32"/>
        <v>46063</v>
      </c>
      <c r="B320" s="169">
        <f>YEAR(Table13[[#This Row],[Date]])+IF(MONTH(Table13[[#This Row],[Date]])&gt;=4,1,0)</f>
        <v>2026</v>
      </c>
      <c r="C320" s="167">
        <f>YEAR(Table13[[#This Row],[Date]])</f>
        <v>2026</v>
      </c>
      <c r="D320" s="181">
        <f>Table13[[#This Row],[Date]]-DAY(Table13[[#This Row],[Date]])+1</f>
        <v>46054</v>
      </c>
      <c r="E320" s="167">
        <f t="shared" si="29"/>
        <v>28</v>
      </c>
      <c r="F320" s="170"/>
      <c r="G320" s="171"/>
      <c r="H320" s="171"/>
      <c r="I320" s="171"/>
      <c r="J320" s="171"/>
      <c r="K320" s="182"/>
      <c r="L320" s="171"/>
      <c r="M320" s="171" t="str">
        <f>IFERROR(_xlfn.XLOOKUP($A320,Input_Raw!$A:$A,Input_Raw!CG:CG),"")</f>
        <v/>
      </c>
      <c r="N320" s="171" t="str">
        <f>IFERROR(_xlfn.XLOOKUP($A320,Input_Raw!$A:$A,Input_Raw!CH:CH),"")</f>
        <v/>
      </c>
      <c r="O320" s="183" t="str">
        <f t="shared" si="30"/>
        <v/>
      </c>
      <c r="P320" s="183" t="str">
        <f>IFERROR(1-SUMIF(WTG_BD!$B:$B,$A320,WTG_BD!$AB:$AB)/($AA320+SUMIF(WTG_BD!$B:$B,$A320,WTG_BD!$AB:$AB)),"")</f>
        <v/>
      </c>
      <c r="Q320" s="184" t="str">
        <f>IFERROR(1-SUMIF(IGA_BD!$B:$B,$A320,IGA_BD!$X:$X)/($AA320+SUMIF(IGA_BD!$B:$B,$A320,IGA_BD!$X:$X)),"")</f>
        <v/>
      </c>
      <c r="R320" s="189" t="str">
        <f>IFERROR(1-SUMIF(Grid_BD!$B:$B,$A320,Grid_BD!$V:$V)/($AA320+SUMIF(Grid_BD!$B:$B,$A320,Grid_BD!$V:$V)),"")</f>
        <v/>
      </c>
      <c r="S320" s="167"/>
      <c r="T320" s="184"/>
      <c r="U320" s="185"/>
      <c r="V320" s="167"/>
      <c r="W320" s="186" t="str">
        <f>IFERROR(Table13[[#This Row],[Mtr_Net_Exp (KWh)]]/(24*AR320*1000),"")</f>
        <v/>
      </c>
      <c r="X320" s="167" t="str">
        <f>IFERROR(_xlfn.XLOOKUP($A320,Input_Raw!$A:$A,Input_Raw!$CF:$CF),"")</f>
        <v/>
      </c>
      <c r="Y320" s="167" t="str">
        <f>IFERROR(_xlfn.XLOOKUP($A320,Input_Raw!$A:$A,Input_Raw!$CZ:$CZ),"")</f>
        <v/>
      </c>
      <c r="Z320" s="167" t="str">
        <f>IFERROR(_xlfn.XLOOKUP($A320,Input_Raw!$A:$A,Input_Raw!$DA:$DA),"")</f>
        <v/>
      </c>
      <c r="AA320" s="169" t="str">
        <f t="shared" si="31"/>
        <v/>
      </c>
      <c r="AB320" s="167" t="str">
        <f>IFERROR(_xlfn.XLOOKUP($A320,Input_Raw!$A:$A,Input_Raw!$DG:$DG),"")</f>
        <v/>
      </c>
      <c r="AC320" s="187">
        <f>IFERROR(_xlfn.XLOOKUP($D320,'Modelling New'!$D:$D,'Modelling New'!$J:$J),"")</f>
        <v>4.3</v>
      </c>
      <c r="AD320" s="169">
        <f>IFERROR(_xlfn.XLOOKUP($D320,'Modelling New'!$D:$D,'Modelling New'!$T:$T)*1000,"")</f>
        <v>171913.60080596086</v>
      </c>
      <c r="AE320" s="186"/>
      <c r="AF320" s="186">
        <f>IFERROR(_xlfn.XLOOKUP($D320,'Modelling New'!$D:$D,'Modelling New'!$W:$W),"")</f>
        <v>9.1834188464722688E-2</v>
      </c>
      <c r="AG320" s="186">
        <f>IFERROR(_xlfn.XLOOKUP($D320,'Modelling New'!$D:$D,'Modelling New'!$AE:$AE),"")</f>
        <v>0.96029999999999993</v>
      </c>
      <c r="AH320" s="186">
        <f>IFERROR(_xlfn.XLOOKUP($D320,'Modelling New'!$D:$D,'Modelling New'!$AF:$AF),"")</f>
        <v>0.995</v>
      </c>
      <c r="AI320" s="167" t="str">
        <f>IFERROR(_xlfn.XLOOKUP($A320,Input_Raw!$A:$A,Input_Raw!$DE:$DE),"")</f>
        <v/>
      </c>
      <c r="AJ320" s="167"/>
      <c r="AK320" s="167"/>
      <c r="AL320" s="167"/>
      <c r="AM320" s="167"/>
      <c r="AN320" s="188" t="str">
        <f>IFERROR(_xlfn.XLOOKUP($A320,Input_Raw!$A:$A,Input_Raw!$DB:$DB),"")</f>
        <v/>
      </c>
      <c r="AO320" s="186" t="str">
        <f>IFERROR((_xlfn.XLOOKUP($A320,'WTG Reactive Power'!$A:$A,'WTG Reactive Power'!$AR:$AR))/X320/1000,"")</f>
        <v/>
      </c>
      <c r="AP320" s="186">
        <f>IFERROR(_xlfn.XLOOKUP($D320,'Modelling New'!$D:$D,'Modelling New'!$AK:$AK),"")</f>
        <v>0.05</v>
      </c>
      <c r="AQ320" s="186">
        <f>IFERROR(_xlfn.XLOOKUP($D320,'Modelling New'!$D:$D,'Modelling New'!$AL:$AL),"")</f>
        <v>0.05</v>
      </c>
      <c r="AR320">
        <f>IFERROR(_xlfn.XLOOKUP($D320,'Modelling New'!$D:$D,'Modelling New'!$N:$N),"")</f>
        <v>78</v>
      </c>
    </row>
    <row r="321" spans="1:44">
      <c r="A321" s="180">
        <f t="shared" si="32"/>
        <v>46064</v>
      </c>
      <c r="B321" s="169">
        <f>YEAR(Table13[[#This Row],[Date]])+IF(MONTH(Table13[[#This Row],[Date]])&gt;=4,1,0)</f>
        <v>2026</v>
      </c>
      <c r="C321" s="167">
        <f>YEAR(Table13[[#This Row],[Date]])</f>
        <v>2026</v>
      </c>
      <c r="D321" s="181">
        <f>Table13[[#This Row],[Date]]-DAY(Table13[[#This Row],[Date]])+1</f>
        <v>46054</v>
      </c>
      <c r="E321" s="167">
        <f t="shared" si="29"/>
        <v>28</v>
      </c>
      <c r="F321" s="170"/>
      <c r="G321" s="171"/>
      <c r="H321" s="171"/>
      <c r="I321" s="171"/>
      <c r="J321" s="171"/>
      <c r="K321" s="182"/>
      <c r="L321" s="171"/>
      <c r="M321" s="171" t="str">
        <f>IFERROR(_xlfn.XLOOKUP($A321,Input_Raw!$A:$A,Input_Raw!CG:CG),"")</f>
        <v/>
      </c>
      <c r="N321" s="171" t="str">
        <f>IFERROR(_xlfn.XLOOKUP($A321,Input_Raw!$A:$A,Input_Raw!CH:CH),"")</f>
        <v/>
      </c>
      <c r="O321" s="183" t="str">
        <f t="shared" si="30"/>
        <v/>
      </c>
      <c r="P321" s="183" t="str">
        <f>IFERROR(1-SUMIF(WTG_BD!$B:$B,$A321,WTG_BD!$AB:$AB)/($AA321+SUMIF(WTG_BD!$B:$B,$A321,WTG_BD!$AB:$AB)),"")</f>
        <v/>
      </c>
      <c r="Q321" s="184" t="str">
        <f>IFERROR(1-SUMIF(IGA_BD!$B:$B,$A321,IGA_BD!$X:$X)/($AA321+SUMIF(IGA_BD!$B:$B,$A321,IGA_BD!$X:$X)),"")</f>
        <v/>
      </c>
      <c r="R321" s="189" t="str">
        <f>IFERROR(1-SUMIF(Grid_BD!$B:$B,$A321,Grid_BD!$V:$V)/($AA321+SUMIF(Grid_BD!$B:$B,$A321,Grid_BD!$V:$V)),"")</f>
        <v/>
      </c>
      <c r="S321" s="167"/>
      <c r="T321" s="184"/>
      <c r="U321" s="185"/>
      <c r="V321" s="167"/>
      <c r="W321" s="186" t="str">
        <f>IFERROR(Table13[[#This Row],[Mtr_Net_Exp (KWh)]]/(24*AR321*1000),"")</f>
        <v/>
      </c>
      <c r="X321" s="167" t="str">
        <f>IFERROR(_xlfn.XLOOKUP($A321,Input_Raw!$A:$A,Input_Raw!$CF:$CF),"")</f>
        <v/>
      </c>
      <c r="Y321" s="167" t="str">
        <f>IFERROR(_xlfn.XLOOKUP($A321,Input_Raw!$A:$A,Input_Raw!$CZ:$CZ),"")</f>
        <v/>
      </c>
      <c r="Z321" s="167" t="str">
        <f>IFERROR(_xlfn.XLOOKUP($A321,Input_Raw!$A:$A,Input_Raw!$DA:$DA),"")</f>
        <v/>
      </c>
      <c r="AA321" s="169" t="str">
        <f t="shared" si="31"/>
        <v/>
      </c>
      <c r="AB321" s="167" t="str">
        <f>IFERROR(_xlfn.XLOOKUP($A321,Input_Raw!$A:$A,Input_Raw!$DG:$DG),"")</f>
        <v/>
      </c>
      <c r="AC321" s="187">
        <f>IFERROR(_xlfn.XLOOKUP($D321,'Modelling New'!$D:$D,'Modelling New'!$J:$J),"")</f>
        <v>4.3</v>
      </c>
      <c r="AD321" s="169">
        <f>IFERROR(_xlfn.XLOOKUP($D321,'Modelling New'!$D:$D,'Modelling New'!$T:$T)*1000,"")</f>
        <v>171913.60080596086</v>
      </c>
      <c r="AE321" s="186"/>
      <c r="AF321" s="186">
        <f>IFERROR(_xlfn.XLOOKUP($D321,'Modelling New'!$D:$D,'Modelling New'!$W:$W),"")</f>
        <v>9.1834188464722688E-2</v>
      </c>
      <c r="AG321" s="186">
        <f>IFERROR(_xlfn.XLOOKUP($D321,'Modelling New'!$D:$D,'Modelling New'!$AE:$AE),"")</f>
        <v>0.96029999999999993</v>
      </c>
      <c r="AH321" s="186">
        <f>IFERROR(_xlfn.XLOOKUP($D321,'Modelling New'!$D:$D,'Modelling New'!$AF:$AF),"")</f>
        <v>0.995</v>
      </c>
      <c r="AI321" s="167" t="str">
        <f>IFERROR(_xlfn.XLOOKUP($A321,Input_Raw!$A:$A,Input_Raw!$DE:$DE),"")</f>
        <v/>
      </c>
      <c r="AJ321" s="167"/>
      <c r="AK321" s="167"/>
      <c r="AL321" s="167"/>
      <c r="AM321" s="167"/>
      <c r="AN321" s="188" t="str">
        <f>IFERROR(_xlfn.XLOOKUP($A321,Input_Raw!$A:$A,Input_Raw!$DB:$DB),"")</f>
        <v/>
      </c>
      <c r="AO321" s="186" t="str">
        <f>IFERROR((_xlfn.XLOOKUP($A321,'WTG Reactive Power'!$A:$A,'WTG Reactive Power'!$AR:$AR))/X321/1000,"")</f>
        <v/>
      </c>
      <c r="AP321" s="186">
        <f>IFERROR(_xlfn.XLOOKUP($D321,'Modelling New'!$D:$D,'Modelling New'!$AK:$AK),"")</f>
        <v>0.05</v>
      </c>
      <c r="AQ321" s="186">
        <f>IFERROR(_xlfn.XLOOKUP($D321,'Modelling New'!$D:$D,'Modelling New'!$AL:$AL),"")</f>
        <v>0.05</v>
      </c>
      <c r="AR321">
        <f>IFERROR(_xlfn.XLOOKUP($D321,'Modelling New'!$D:$D,'Modelling New'!$N:$N),"")</f>
        <v>78</v>
      </c>
    </row>
    <row r="322" spans="1:44">
      <c r="A322" s="180">
        <f t="shared" si="32"/>
        <v>46065</v>
      </c>
      <c r="B322" s="169">
        <f>YEAR(Table13[[#This Row],[Date]])+IF(MONTH(Table13[[#This Row],[Date]])&gt;=4,1,0)</f>
        <v>2026</v>
      </c>
      <c r="C322" s="167">
        <f>YEAR(Table13[[#This Row],[Date]])</f>
        <v>2026</v>
      </c>
      <c r="D322" s="181">
        <f>Table13[[#This Row],[Date]]-DAY(Table13[[#This Row],[Date]])+1</f>
        <v>46054</v>
      </c>
      <c r="E322" s="167">
        <f t="shared" si="29"/>
        <v>28</v>
      </c>
      <c r="F322" s="170"/>
      <c r="G322" s="171"/>
      <c r="H322" s="171"/>
      <c r="I322" s="171"/>
      <c r="J322" s="171"/>
      <c r="K322" s="182"/>
      <c r="L322" s="171"/>
      <c r="M322" s="171" t="str">
        <f>IFERROR(_xlfn.XLOOKUP($A322,Input_Raw!$A:$A,Input_Raw!CG:CG),"")</f>
        <v/>
      </c>
      <c r="N322" s="171" t="str">
        <f>IFERROR(_xlfn.XLOOKUP($A322,Input_Raw!$A:$A,Input_Raw!CH:CH),"")</f>
        <v/>
      </c>
      <c r="O322" s="183" t="str">
        <f t="shared" si="30"/>
        <v/>
      </c>
      <c r="P322" s="183" t="str">
        <f>IFERROR(1-SUMIF(WTG_BD!$B:$B,$A322,WTG_BD!$AB:$AB)/($AA322+SUMIF(WTG_BD!$B:$B,$A322,WTG_BD!$AB:$AB)),"")</f>
        <v/>
      </c>
      <c r="Q322" s="184" t="str">
        <f>IFERROR(1-SUMIF(IGA_BD!$B:$B,$A322,IGA_BD!$X:$X)/($AA322+SUMIF(IGA_BD!$B:$B,$A322,IGA_BD!$X:$X)),"")</f>
        <v/>
      </c>
      <c r="R322" s="189" t="str">
        <f>IFERROR(1-SUMIF(Grid_BD!$B:$B,$A322,Grid_BD!$V:$V)/($AA322+SUMIF(Grid_BD!$B:$B,$A322,Grid_BD!$V:$V)),"")</f>
        <v/>
      </c>
      <c r="S322" s="167"/>
      <c r="T322" s="184"/>
      <c r="U322" s="185"/>
      <c r="V322" s="167"/>
      <c r="W322" s="186" t="str">
        <f>IFERROR(Table13[[#This Row],[Mtr_Net_Exp (KWh)]]/(24*AR322*1000),"")</f>
        <v/>
      </c>
      <c r="X322" s="167" t="str">
        <f>IFERROR(_xlfn.XLOOKUP($A322,Input_Raw!$A:$A,Input_Raw!$CF:$CF),"")</f>
        <v/>
      </c>
      <c r="Y322" s="167" t="str">
        <f>IFERROR(_xlfn.XLOOKUP($A322,Input_Raw!$A:$A,Input_Raw!$CZ:$CZ),"")</f>
        <v/>
      </c>
      <c r="Z322" s="167" t="str">
        <f>IFERROR(_xlfn.XLOOKUP($A322,Input_Raw!$A:$A,Input_Raw!$DA:$DA),"")</f>
        <v/>
      </c>
      <c r="AA322" s="169" t="str">
        <f t="shared" si="31"/>
        <v/>
      </c>
      <c r="AB322" s="167" t="str">
        <f>IFERROR(_xlfn.XLOOKUP($A322,Input_Raw!$A:$A,Input_Raw!$DG:$DG),"")</f>
        <v/>
      </c>
      <c r="AC322" s="187">
        <f>IFERROR(_xlfn.XLOOKUP($D322,'Modelling New'!$D:$D,'Modelling New'!$J:$J),"")</f>
        <v>4.3</v>
      </c>
      <c r="AD322" s="169">
        <f>IFERROR(_xlfn.XLOOKUP($D322,'Modelling New'!$D:$D,'Modelling New'!$T:$T)*1000,"")</f>
        <v>171913.60080596086</v>
      </c>
      <c r="AE322" s="186"/>
      <c r="AF322" s="186">
        <f>IFERROR(_xlfn.XLOOKUP($D322,'Modelling New'!$D:$D,'Modelling New'!$W:$W),"")</f>
        <v>9.1834188464722688E-2</v>
      </c>
      <c r="AG322" s="186">
        <f>IFERROR(_xlfn.XLOOKUP($D322,'Modelling New'!$D:$D,'Modelling New'!$AE:$AE),"")</f>
        <v>0.96029999999999993</v>
      </c>
      <c r="AH322" s="186">
        <f>IFERROR(_xlfn.XLOOKUP($D322,'Modelling New'!$D:$D,'Modelling New'!$AF:$AF),"")</f>
        <v>0.995</v>
      </c>
      <c r="AI322" s="167" t="str">
        <f>IFERROR(_xlfn.XLOOKUP($A322,Input_Raw!$A:$A,Input_Raw!$DE:$DE),"")</f>
        <v/>
      </c>
      <c r="AJ322" s="167"/>
      <c r="AK322" s="167"/>
      <c r="AL322" s="167"/>
      <c r="AM322" s="167"/>
      <c r="AN322" s="188" t="str">
        <f>IFERROR(_xlfn.XLOOKUP($A322,Input_Raw!$A:$A,Input_Raw!$DB:$DB),"")</f>
        <v/>
      </c>
      <c r="AO322" s="186" t="str">
        <f>IFERROR((_xlfn.XLOOKUP($A322,'WTG Reactive Power'!$A:$A,'WTG Reactive Power'!$AR:$AR))/X322/1000,"")</f>
        <v/>
      </c>
      <c r="AP322" s="186">
        <f>IFERROR(_xlfn.XLOOKUP($D322,'Modelling New'!$D:$D,'Modelling New'!$AK:$AK),"")</f>
        <v>0.05</v>
      </c>
      <c r="AQ322" s="186">
        <f>IFERROR(_xlfn.XLOOKUP($D322,'Modelling New'!$D:$D,'Modelling New'!$AL:$AL),"")</f>
        <v>0.05</v>
      </c>
      <c r="AR322">
        <f>IFERROR(_xlfn.XLOOKUP($D322,'Modelling New'!$D:$D,'Modelling New'!$N:$N),"")</f>
        <v>78</v>
      </c>
    </row>
    <row r="323" spans="1:44">
      <c r="A323" s="180">
        <f t="shared" si="32"/>
        <v>46066</v>
      </c>
      <c r="B323" s="169">
        <f>YEAR(Table13[[#This Row],[Date]])+IF(MONTH(Table13[[#This Row],[Date]])&gt;=4,1,0)</f>
        <v>2026</v>
      </c>
      <c r="C323" s="167">
        <f>YEAR(Table13[[#This Row],[Date]])</f>
        <v>2026</v>
      </c>
      <c r="D323" s="181">
        <f>Table13[[#This Row],[Date]]-DAY(Table13[[#This Row],[Date]])+1</f>
        <v>46054</v>
      </c>
      <c r="E323" s="167">
        <f t="shared" si="29"/>
        <v>28</v>
      </c>
      <c r="F323" s="170"/>
      <c r="G323" s="171"/>
      <c r="H323" s="171"/>
      <c r="I323" s="171"/>
      <c r="J323" s="171"/>
      <c r="K323" s="182"/>
      <c r="L323" s="171"/>
      <c r="M323" s="171" t="str">
        <f>IFERROR(_xlfn.XLOOKUP($A323,Input_Raw!$A:$A,Input_Raw!CG:CG),"")</f>
        <v/>
      </c>
      <c r="N323" s="171" t="str">
        <f>IFERROR(_xlfn.XLOOKUP($A323,Input_Raw!$A:$A,Input_Raw!CH:CH),"")</f>
        <v/>
      </c>
      <c r="O323" s="183" t="str">
        <f t="shared" si="30"/>
        <v/>
      </c>
      <c r="P323" s="183" t="str">
        <f>IFERROR(1-SUMIF(WTG_BD!$B:$B,$A323,WTG_BD!$AB:$AB)/($AA323+SUMIF(WTG_BD!$B:$B,$A323,WTG_BD!$AB:$AB)),"")</f>
        <v/>
      </c>
      <c r="Q323" s="184" t="str">
        <f>IFERROR(1-SUMIF(IGA_BD!$B:$B,$A323,IGA_BD!$X:$X)/($AA323+SUMIF(IGA_BD!$B:$B,$A323,IGA_BD!$X:$X)),"")</f>
        <v/>
      </c>
      <c r="R323" s="189" t="str">
        <f>IFERROR(1-SUMIF(Grid_BD!$B:$B,$A323,Grid_BD!$V:$V)/($AA323+SUMIF(Grid_BD!$B:$B,$A323,Grid_BD!$V:$V)),"")</f>
        <v/>
      </c>
      <c r="S323" s="167"/>
      <c r="T323" s="184"/>
      <c r="U323" s="185"/>
      <c r="V323" s="167"/>
      <c r="W323" s="186" t="str">
        <f>IFERROR(Table13[[#This Row],[Mtr_Net_Exp (KWh)]]/(24*AR323*1000),"")</f>
        <v/>
      </c>
      <c r="X323" s="167" t="str">
        <f>IFERROR(_xlfn.XLOOKUP($A323,Input_Raw!$A:$A,Input_Raw!$CF:$CF),"")</f>
        <v/>
      </c>
      <c r="Y323" s="167" t="str">
        <f>IFERROR(_xlfn.XLOOKUP($A323,Input_Raw!$A:$A,Input_Raw!$CZ:$CZ),"")</f>
        <v/>
      </c>
      <c r="Z323" s="167" t="str">
        <f>IFERROR(_xlfn.XLOOKUP($A323,Input_Raw!$A:$A,Input_Raw!$DA:$DA),"")</f>
        <v/>
      </c>
      <c r="AA323" s="169" t="str">
        <f t="shared" si="31"/>
        <v/>
      </c>
      <c r="AB323" s="167" t="str">
        <f>IFERROR(_xlfn.XLOOKUP($A323,Input_Raw!$A:$A,Input_Raw!$DG:$DG),"")</f>
        <v/>
      </c>
      <c r="AC323" s="187">
        <f>IFERROR(_xlfn.XLOOKUP($D323,'Modelling New'!$D:$D,'Modelling New'!$J:$J),"")</f>
        <v>4.3</v>
      </c>
      <c r="AD323" s="169">
        <f>IFERROR(_xlfn.XLOOKUP($D323,'Modelling New'!$D:$D,'Modelling New'!$T:$T)*1000,"")</f>
        <v>171913.60080596086</v>
      </c>
      <c r="AE323" s="186"/>
      <c r="AF323" s="186">
        <f>IFERROR(_xlfn.XLOOKUP($D323,'Modelling New'!$D:$D,'Modelling New'!$W:$W),"")</f>
        <v>9.1834188464722688E-2</v>
      </c>
      <c r="AG323" s="186">
        <f>IFERROR(_xlfn.XLOOKUP($D323,'Modelling New'!$D:$D,'Modelling New'!$AE:$AE),"")</f>
        <v>0.96029999999999993</v>
      </c>
      <c r="AH323" s="186">
        <f>IFERROR(_xlfn.XLOOKUP($D323,'Modelling New'!$D:$D,'Modelling New'!$AF:$AF),"")</f>
        <v>0.995</v>
      </c>
      <c r="AI323" s="167" t="str">
        <f>IFERROR(_xlfn.XLOOKUP($A323,Input_Raw!$A:$A,Input_Raw!$DE:$DE),"")</f>
        <v/>
      </c>
      <c r="AJ323" s="167"/>
      <c r="AK323" s="167"/>
      <c r="AL323" s="167"/>
      <c r="AM323" s="167"/>
      <c r="AN323" s="188" t="str">
        <f>IFERROR(_xlfn.XLOOKUP($A323,Input_Raw!$A:$A,Input_Raw!$DB:$DB),"")</f>
        <v/>
      </c>
      <c r="AO323" s="186" t="str">
        <f>IFERROR((_xlfn.XLOOKUP($A323,'WTG Reactive Power'!$A:$A,'WTG Reactive Power'!$AR:$AR))/X323/1000,"")</f>
        <v/>
      </c>
      <c r="AP323" s="186">
        <f>IFERROR(_xlfn.XLOOKUP($D323,'Modelling New'!$D:$D,'Modelling New'!$AK:$AK),"")</f>
        <v>0.05</v>
      </c>
      <c r="AQ323" s="186">
        <f>IFERROR(_xlfn.XLOOKUP($D323,'Modelling New'!$D:$D,'Modelling New'!$AL:$AL),"")</f>
        <v>0.05</v>
      </c>
      <c r="AR323">
        <f>IFERROR(_xlfn.XLOOKUP($D323,'Modelling New'!$D:$D,'Modelling New'!$N:$N),"")</f>
        <v>78</v>
      </c>
    </row>
    <row r="324" spans="1:44">
      <c r="A324" s="180">
        <f t="shared" si="32"/>
        <v>46067</v>
      </c>
      <c r="B324" s="169">
        <f>YEAR(Table13[[#This Row],[Date]])+IF(MONTH(Table13[[#This Row],[Date]])&gt;=4,1,0)</f>
        <v>2026</v>
      </c>
      <c r="C324" s="167">
        <f>YEAR(Table13[[#This Row],[Date]])</f>
        <v>2026</v>
      </c>
      <c r="D324" s="181">
        <f>Table13[[#This Row],[Date]]-DAY(Table13[[#This Row],[Date]])+1</f>
        <v>46054</v>
      </c>
      <c r="E324" s="167">
        <f t="shared" si="29"/>
        <v>28</v>
      </c>
      <c r="F324" s="170"/>
      <c r="G324" s="171"/>
      <c r="H324" s="171"/>
      <c r="I324" s="171"/>
      <c r="J324" s="171"/>
      <c r="K324" s="182"/>
      <c r="L324" s="171"/>
      <c r="M324" s="171" t="str">
        <f>IFERROR(_xlfn.XLOOKUP($A324,Input_Raw!$A:$A,Input_Raw!CG:CG),"")</f>
        <v/>
      </c>
      <c r="N324" s="171" t="str">
        <f>IFERROR(_xlfn.XLOOKUP($A324,Input_Raw!$A:$A,Input_Raw!CH:CH),"")</f>
        <v/>
      </c>
      <c r="O324" s="183" t="str">
        <f t="shared" si="30"/>
        <v/>
      </c>
      <c r="P324" s="183" t="str">
        <f>IFERROR(1-SUMIF(WTG_BD!$B:$B,$A324,WTG_BD!$AB:$AB)/($AA324+SUMIF(WTG_BD!$B:$B,$A324,WTG_BD!$AB:$AB)),"")</f>
        <v/>
      </c>
      <c r="Q324" s="184" t="str">
        <f>IFERROR(1-SUMIF(IGA_BD!$B:$B,$A324,IGA_BD!$X:$X)/($AA324+SUMIF(IGA_BD!$B:$B,$A324,IGA_BD!$X:$X)),"")</f>
        <v/>
      </c>
      <c r="R324" s="189" t="str">
        <f>IFERROR(1-SUMIF(Grid_BD!$B:$B,$A324,Grid_BD!$V:$V)/($AA324+SUMIF(Grid_BD!$B:$B,$A324,Grid_BD!$V:$V)),"")</f>
        <v/>
      </c>
      <c r="S324" s="167"/>
      <c r="T324" s="184"/>
      <c r="U324" s="185"/>
      <c r="V324" s="167"/>
      <c r="W324" s="186" t="str">
        <f>IFERROR(Table13[[#This Row],[Mtr_Net_Exp (KWh)]]/(24*AR324*1000),"")</f>
        <v/>
      </c>
      <c r="X324" s="167" t="str">
        <f>IFERROR(_xlfn.XLOOKUP($A324,Input_Raw!$A:$A,Input_Raw!$CF:$CF),"")</f>
        <v/>
      </c>
      <c r="Y324" s="167" t="str">
        <f>IFERROR(_xlfn.XLOOKUP($A324,Input_Raw!$A:$A,Input_Raw!$CZ:$CZ),"")</f>
        <v/>
      </c>
      <c r="Z324" s="167" t="str">
        <f>IFERROR(_xlfn.XLOOKUP($A324,Input_Raw!$A:$A,Input_Raw!$DA:$DA),"")</f>
        <v/>
      </c>
      <c r="AA324" s="169" t="str">
        <f t="shared" si="31"/>
        <v/>
      </c>
      <c r="AB324" s="167" t="str">
        <f>IFERROR(_xlfn.XLOOKUP($A324,Input_Raw!$A:$A,Input_Raw!$DG:$DG),"")</f>
        <v/>
      </c>
      <c r="AC324" s="187">
        <f>IFERROR(_xlfn.XLOOKUP($D324,'Modelling New'!$D:$D,'Modelling New'!$J:$J),"")</f>
        <v>4.3</v>
      </c>
      <c r="AD324" s="169">
        <f>IFERROR(_xlfn.XLOOKUP($D324,'Modelling New'!$D:$D,'Modelling New'!$T:$T)*1000,"")</f>
        <v>171913.60080596086</v>
      </c>
      <c r="AE324" s="186"/>
      <c r="AF324" s="186">
        <f>IFERROR(_xlfn.XLOOKUP($D324,'Modelling New'!$D:$D,'Modelling New'!$W:$W),"")</f>
        <v>9.1834188464722688E-2</v>
      </c>
      <c r="AG324" s="186">
        <f>IFERROR(_xlfn.XLOOKUP($D324,'Modelling New'!$D:$D,'Modelling New'!$AE:$AE),"")</f>
        <v>0.96029999999999993</v>
      </c>
      <c r="AH324" s="186">
        <f>IFERROR(_xlfn.XLOOKUP($D324,'Modelling New'!$D:$D,'Modelling New'!$AF:$AF),"")</f>
        <v>0.995</v>
      </c>
      <c r="AI324" s="167" t="str">
        <f>IFERROR(_xlfn.XLOOKUP($A324,Input_Raw!$A:$A,Input_Raw!$DE:$DE),"")</f>
        <v/>
      </c>
      <c r="AJ324" s="167"/>
      <c r="AK324" s="167"/>
      <c r="AL324" s="167"/>
      <c r="AM324" s="167"/>
      <c r="AN324" s="188" t="str">
        <f>IFERROR(_xlfn.XLOOKUP($A324,Input_Raw!$A:$A,Input_Raw!$DB:$DB),"")</f>
        <v/>
      </c>
      <c r="AO324" s="186" t="str">
        <f>IFERROR((_xlfn.XLOOKUP($A324,'WTG Reactive Power'!$A:$A,'WTG Reactive Power'!$AR:$AR))/X324/1000,"")</f>
        <v/>
      </c>
      <c r="AP324" s="186">
        <f>IFERROR(_xlfn.XLOOKUP($D324,'Modelling New'!$D:$D,'Modelling New'!$AK:$AK),"")</f>
        <v>0.05</v>
      </c>
      <c r="AQ324" s="186">
        <f>IFERROR(_xlfn.XLOOKUP($D324,'Modelling New'!$D:$D,'Modelling New'!$AL:$AL),"")</f>
        <v>0.05</v>
      </c>
      <c r="AR324">
        <f>IFERROR(_xlfn.XLOOKUP($D324,'Modelling New'!$D:$D,'Modelling New'!$N:$N),"")</f>
        <v>78</v>
      </c>
    </row>
    <row r="325" spans="1:44">
      <c r="A325" s="180">
        <f t="shared" si="32"/>
        <v>46068</v>
      </c>
      <c r="B325" s="169">
        <f>YEAR(Table13[[#This Row],[Date]])+IF(MONTH(Table13[[#This Row],[Date]])&gt;=4,1,0)</f>
        <v>2026</v>
      </c>
      <c r="C325" s="167">
        <f>YEAR(Table13[[#This Row],[Date]])</f>
        <v>2026</v>
      </c>
      <c r="D325" s="181">
        <f>Table13[[#This Row],[Date]]-DAY(Table13[[#This Row],[Date]])+1</f>
        <v>46054</v>
      </c>
      <c r="E325" s="167">
        <f t="shared" ref="E325:E356" si="33">DAY(EOMONTH(A325,0))</f>
        <v>28</v>
      </c>
      <c r="F325" s="170"/>
      <c r="G325" s="171"/>
      <c r="H325" s="171"/>
      <c r="I325" s="171"/>
      <c r="J325" s="171"/>
      <c r="K325" s="182"/>
      <c r="L325" s="171"/>
      <c r="M325" s="171" t="str">
        <f>IFERROR(_xlfn.XLOOKUP($A325,Input_Raw!$A:$A,Input_Raw!CG:CG),"")</f>
        <v/>
      </c>
      <c r="N325" s="171" t="str">
        <f>IFERROR(_xlfn.XLOOKUP($A325,Input_Raw!$A:$A,Input_Raw!CH:CH),"")</f>
        <v/>
      </c>
      <c r="O325" s="183" t="str">
        <f t="shared" ref="O325:O356" si="34">IFERROR(P325*Q325,"")</f>
        <v/>
      </c>
      <c r="P325" s="183" t="str">
        <f>IFERROR(1-SUMIF(WTG_BD!$B:$B,$A325,WTG_BD!$AB:$AB)/($AA325+SUMIF(WTG_BD!$B:$B,$A325,WTG_BD!$AB:$AB)),"")</f>
        <v/>
      </c>
      <c r="Q325" s="184" t="str">
        <f>IFERROR(1-SUMIF(IGA_BD!$B:$B,$A325,IGA_BD!$X:$X)/($AA325+SUMIF(IGA_BD!$B:$B,$A325,IGA_BD!$X:$X)),"")</f>
        <v/>
      </c>
      <c r="R325" s="189" t="str">
        <f>IFERROR(1-SUMIF(Grid_BD!$B:$B,$A325,Grid_BD!$V:$V)/($AA325+SUMIF(Grid_BD!$B:$B,$A325,Grid_BD!$V:$V)),"")</f>
        <v/>
      </c>
      <c r="S325" s="167"/>
      <c r="T325" s="184"/>
      <c r="U325" s="185"/>
      <c r="V325" s="167"/>
      <c r="W325" s="186" t="str">
        <f>IFERROR(Table13[[#This Row],[Mtr_Net_Exp (KWh)]]/(24*AR325*1000),"")</f>
        <v/>
      </c>
      <c r="X325" s="167" t="str">
        <f>IFERROR(_xlfn.XLOOKUP($A325,Input_Raw!$A:$A,Input_Raw!$CF:$CF),"")</f>
        <v/>
      </c>
      <c r="Y325" s="167" t="str">
        <f>IFERROR(_xlfn.XLOOKUP($A325,Input_Raw!$A:$A,Input_Raw!$CZ:$CZ),"")</f>
        <v/>
      </c>
      <c r="Z325" s="167" t="str">
        <f>IFERROR(_xlfn.XLOOKUP($A325,Input_Raw!$A:$A,Input_Raw!$DA:$DA),"")</f>
        <v/>
      </c>
      <c r="AA325" s="169" t="str">
        <f t="shared" ref="AA325:AA356" si="35">IFERROR(Y325-Z325,"")</f>
        <v/>
      </c>
      <c r="AB325" s="167" t="str">
        <f>IFERROR(_xlfn.XLOOKUP($A325,Input_Raw!$A:$A,Input_Raw!$DG:$DG),"")</f>
        <v/>
      </c>
      <c r="AC325" s="187">
        <f>IFERROR(_xlfn.XLOOKUP($D325,'Modelling New'!$D:$D,'Modelling New'!$J:$J),"")</f>
        <v>4.3</v>
      </c>
      <c r="AD325" s="169">
        <f>IFERROR(_xlfn.XLOOKUP($D325,'Modelling New'!$D:$D,'Modelling New'!$T:$T)*1000,"")</f>
        <v>171913.60080596086</v>
      </c>
      <c r="AE325" s="186"/>
      <c r="AF325" s="186">
        <f>IFERROR(_xlfn.XLOOKUP($D325,'Modelling New'!$D:$D,'Modelling New'!$W:$W),"")</f>
        <v>9.1834188464722688E-2</v>
      </c>
      <c r="AG325" s="186">
        <f>IFERROR(_xlfn.XLOOKUP($D325,'Modelling New'!$D:$D,'Modelling New'!$AE:$AE),"")</f>
        <v>0.96029999999999993</v>
      </c>
      <c r="AH325" s="186">
        <f>IFERROR(_xlfn.XLOOKUP($D325,'Modelling New'!$D:$D,'Modelling New'!$AF:$AF),"")</f>
        <v>0.995</v>
      </c>
      <c r="AI325" s="167" t="str">
        <f>IFERROR(_xlfn.XLOOKUP($A325,Input_Raw!$A:$A,Input_Raw!$DE:$DE),"")</f>
        <v/>
      </c>
      <c r="AJ325" s="167"/>
      <c r="AK325" s="167"/>
      <c r="AL325" s="167"/>
      <c r="AM325" s="167"/>
      <c r="AN325" s="188" t="str">
        <f>IFERROR(_xlfn.XLOOKUP($A325,Input_Raw!$A:$A,Input_Raw!$DB:$DB),"")</f>
        <v/>
      </c>
      <c r="AO325" s="186" t="str">
        <f>IFERROR((_xlfn.XLOOKUP($A325,'WTG Reactive Power'!$A:$A,'WTG Reactive Power'!$AR:$AR))/X325/1000,"")</f>
        <v/>
      </c>
      <c r="AP325" s="186">
        <f>IFERROR(_xlfn.XLOOKUP($D325,'Modelling New'!$D:$D,'Modelling New'!$AK:$AK),"")</f>
        <v>0.05</v>
      </c>
      <c r="AQ325" s="186">
        <f>IFERROR(_xlfn.XLOOKUP($D325,'Modelling New'!$D:$D,'Modelling New'!$AL:$AL),"")</f>
        <v>0.05</v>
      </c>
      <c r="AR325">
        <f>IFERROR(_xlfn.XLOOKUP($D325,'Modelling New'!$D:$D,'Modelling New'!$N:$N),"")</f>
        <v>78</v>
      </c>
    </row>
    <row r="326" spans="1:44">
      <c r="A326" s="180">
        <f t="shared" si="32"/>
        <v>46069</v>
      </c>
      <c r="B326" s="169">
        <f>YEAR(Table13[[#This Row],[Date]])+IF(MONTH(Table13[[#This Row],[Date]])&gt;=4,1,0)</f>
        <v>2026</v>
      </c>
      <c r="C326" s="167">
        <f>YEAR(Table13[[#This Row],[Date]])</f>
        <v>2026</v>
      </c>
      <c r="D326" s="181">
        <f>Table13[[#This Row],[Date]]-DAY(Table13[[#This Row],[Date]])+1</f>
        <v>46054</v>
      </c>
      <c r="E326" s="167">
        <f t="shared" si="33"/>
        <v>28</v>
      </c>
      <c r="F326" s="170"/>
      <c r="G326" s="171"/>
      <c r="H326" s="171"/>
      <c r="I326" s="171"/>
      <c r="J326" s="171"/>
      <c r="K326" s="182"/>
      <c r="L326" s="171"/>
      <c r="M326" s="171" t="str">
        <f>IFERROR(_xlfn.XLOOKUP($A326,Input_Raw!$A:$A,Input_Raw!CG:CG),"")</f>
        <v/>
      </c>
      <c r="N326" s="171" t="str">
        <f>IFERROR(_xlfn.XLOOKUP($A326,Input_Raw!$A:$A,Input_Raw!CH:CH),"")</f>
        <v/>
      </c>
      <c r="O326" s="183" t="str">
        <f t="shared" si="34"/>
        <v/>
      </c>
      <c r="P326" s="183" t="str">
        <f>IFERROR(1-SUMIF(WTG_BD!$B:$B,$A326,WTG_BD!$AB:$AB)/($AA326+SUMIF(WTG_BD!$B:$B,$A326,WTG_BD!$AB:$AB)),"")</f>
        <v/>
      </c>
      <c r="Q326" s="184" t="str">
        <f>IFERROR(1-SUMIF(IGA_BD!$B:$B,$A326,IGA_BD!$X:$X)/($AA326+SUMIF(IGA_BD!$B:$B,$A326,IGA_BD!$X:$X)),"")</f>
        <v/>
      </c>
      <c r="R326" s="189" t="str">
        <f>IFERROR(1-SUMIF(Grid_BD!$B:$B,$A326,Grid_BD!$V:$V)/($AA326+SUMIF(Grid_BD!$B:$B,$A326,Grid_BD!$V:$V)),"")</f>
        <v/>
      </c>
      <c r="S326" s="167"/>
      <c r="T326" s="184"/>
      <c r="U326" s="185"/>
      <c r="V326" s="167"/>
      <c r="W326" s="186" t="str">
        <f>IFERROR(Table13[[#This Row],[Mtr_Net_Exp (KWh)]]/(24*AR326*1000),"")</f>
        <v/>
      </c>
      <c r="X326" s="167" t="str">
        <f>IFERROR(_xlfn.XLOOKUP($A326,Input_Raw!$A:$A,Input_Raw!$CF:$CF),"")</f>
        <v/>
      </c>
      <c r="Y326" s="167" t="str">
        <f>IFERROR(_xlfn.XLOOKUP($A326,Input_Raw!$A:$A,Input_Raw!$CZ:$CZ),"")</f>
        <v/>
      </c>
      <c r="Z326" s="167" t="str">
        <f>IFERROR(_xlfn.XLOOKUP($A326,Input_Raw!$A:$A,Input_Raw!$DA:$DA),"")</f>
        <v/>
      </c>
      <c r="AA326" s="169" t="str">
        <f t="shared" si="35"/>
        <v/>
      </c>
      <c r="AB326" s="167" t="str">
        <f>IFERROR(_xlfn.XLOOKUP($A326,Input_Raw!$A:$A,Input_Raw!$DG:$DG),"")</f>
        <v/>
      </c>
      <c r="AC326" s="187">
        <f>IFERROR(_xlfn.XLOOKUP($D326,'Modelling New'!$D:$D,'Modelling New'!$J:$J),"")</f>
        <v>4.3</v>
      </c>
      <c r="AD326" s="169">
        <f>IFERROR(_xlfn.XLOOKUP($D326,'Modelling New'!$D:$D,'Modelling New'!$T:$T)*1000,"")</f>
        <v>171913.60080596086</v>
      </c>
      <c r="AE326" s="186"/>
      <c r="AF326" s="186">
        <f>IFERROR(_xlfn.XLOOKUP($D326,'Modelling New'!$D:$D,'Modelling New'!$W:$W),"")</f>
        <v>9.1834188464722688E-2</v>
      </c>
      <c r="AG326" s="186">
        <f>IFERROR(_xlfn.XLOOKUP($D326,'Modelling New'!$D:$D,'Modelling New'!$AE:$AE),"")</f>
        <v>0.96029999999999993</v>
      </c>
      <c r="AH326" s="186">
        <f>IFERROR(_xlfn.XLOOKUP($D326,'Modelling New'!$D:$D,'Modelling New'!$AF:$AF),"")</f>
        <v>0.995</v>
      </c>
      <c r="AI326" s="167" t="str">
        <f>IFERROR(_xlfn.XLOOKUP($A326,Input_Raw!$A:$A,Input_Raw!$DE:$DE),"")</f>
        <v/>
      </c>
      <c r="AJ326" s="167"/>
      <c r="AK326" s="167"/>
      <c r="AL326" s="167"/>
      <c r="AM326" s="167"/>
      <c r="AN326" s="188" t="str">
        <f>IFERROR(_xlfn.XLOOKUP($A326,Input_Raw!$A:$A,Input_Raw!$DB:$DB),"")</f>
        <v/>
      </c>
      <c r="AO326" s="186" t="str">
        <f>IFERROR((_xlfn.XLOOKUP($A326,'WTG Reactive Power'!$A:$A,'WTG Reactive Power'!$AR:$AR))/X326/1000,"")</f>
        <v/>
      </c>
      <c r="AP326" s="186">
        <f>IFERROR(_xlfn.XLOOKUP($D326,'Modelling New'!$D:$D,'Modelling New'!$AK:$AK),"")</f>
        <v>0.05</v>
      </c>
      <c r="AQ326" s="186">
        <f>IFERROR(_xlfn.XLOOKUP($D326,'Modelling New'!$D:$D,'Modelling New'!$AL:$AL),"")</f>
        <v>0.05</v>
      </c>
      <c r="AR326">
        <f>IFERROR(_xlfn.XLOOKUP($D326,'Modelling New'!$D:$D,'Modelling New'!$N:$N),"")</f>
        <v>78</v>
      </c>
    </row>
    <row r="327" spans="1:44">
      <c r="A327" s="180">
        <f t="shared" si="32"/>
        <v>46070</v>
      </c>
      <c r="B327" s="169">
        <f>YEAR(Table13[[#This Row],[Date]])+IF(MONTH(Table13[[#This Row],[Date]])&gt;=4,1,0)</f>
        <v>2026</v>
      </c>
      <c r="C327" s="167">
        <f>YEAR(Table13[[#This Row],[Date]])</f>
        <v>2026</v>
      </c>
      <c r="D327" s="181">
        <f>Table13[[#This Row],[Date]]-DAY(Table13[[#This Row],[Date]])+1</f>
        <v>46054</v>
      </c>
      <c r="E327" s="167">
        <f t="shared" si="33"/>
        <v>28</v>
      </c>
      <c r="F327" s="170"/>
      <c r="G327" s="171"/>
      <c r="H327" s="171"/>
      <c r="I327" s="171"/>
      <c r="J327" s="171"/>
      <c r="K327" s="182"/>
      <c r="L327" s="171"/>
      <c r="M327" s="171" t="str">
        <f>IFERROR(_xlfn.XLOOKUP($A327,Input_Raw!$A:$A,Input_Raw!CG:CG),"")</f>
        <v/>
      </c>
      <c r="N327" s="171" t="str">
        <f>IFERROR(_xlfn.XLOOKUP($A327,Input_Raw!$A:$A,Input_Raw!CH:CH),"")</f>
        <v/>
      </c>
      <c r="O327" s="183" t="str">
        <f t="shared" si="34"/>
        <v/>
      </c>
      <c r="P327" s="183" t="str">
        <f>IFERROR(1-SUMIF(WTG_BD!$B:$B,$A327,WTG_BD!$AB:$AB)/($AA327+SUMIF(WTG_BD!$B:$B,$A327,WTG_BD!$AB:$AB)),"")</f>
        <v/>
      </c>
      <c r="Q327" s="184" t="str">
        <f>IFERROR(1-SUMIF(IGA_BD!$B:$B,$A327,IGA_BD!$X:$X)/($AA327+SUMIF(IGA_BD!$B:$B,$A327,IGA_BD!$X:$X)),"")</f>
        <v/>
      </c>
      <c r="R327" s="189" t="str">
        <f>IFERROR(1-SUMIF(Grid_BD!$B:$B,$A327,Grid_BD!$V:$V)/($AA327+SUMIF(Grid_BD!$B:$B,$A327,Grid_BD!$V:$V)),"")</f>
        <v/>
      </c>
      <c r="S327" s="167"/>
      <c r="T327" s="184"/>
      <c r="U327" s="185"/>
      <c r="V327" s="167"/>
      <c r="W327" s="186" t="str">
        <f>IFERROR(Table13[[#This Row],[Mtr_Net_Exp (KWh)]]/(24*AR327*1000),"")</f>
        <v/>
      </c>
      <c r="X327" s="167" t="str">
        <f>IFERROR(_xlfn.XLOOKUP($A327,Input_Raw!$A:$A,Input_Raw!$CF:$CF),"")</f>
        <v/>
      </c>
      <c r="Y327" s="167" t="str">
        <f>IFERROR(_xlfn.XLOOKUP($A327,Input_Raw!$A:$A,Input_Raw!$CZ:$CZ),"")</f>
        <v/>
      </c>
      <c r="Z327" s="167" t="str">
        <f>IFERROR(_xlfn.XLOOKUP($A327,Input_Raw!$A:$A,Input_Raw!$DA:$DA),"")</f>
        <v/>
      </c>
      <c r="AA327" s="169" t="str">
        <f t="shared" si="35"/>
        <v/>
      </c>
      <c r="AB327" s="167" t="str">
        <f>IFERROR(_xlfn.XLOOKUP($A327,Input_Raw!$A:$A,Input_Raw!$DG:$DG),"")</f>
        <v/>
      </c>
      <c r="AC327" s="187">
        <f>IFERROR(_xlfn.XLOOKUP($D327,'Modelling New'!$D:$D,'Modelling New'!$J:$J),"")</f>
        <v>4.3</v>
      </c>
      <c r="AD327" s="169">
        <f>IFERROR(_xlfn.XLOOKUP($D327,'Modelling New'!$D:$D,'Modelling New'!$T:$T)*1000,"")</f>
        <v>171913.60080596086</v>
      </c>
      <c r="AE327" s="186"/>
      <c r="AF327" s="186">
        <f>IFERROR(_xlfn.XLOOKUP($D327,'Modelling New'!$D:$D,'Modelling New'!$W:$W),"")</f>
        <v>9.1834188464722688E-2</v>
      </c>
      <c r="AG327" s="186">
        <f>IFERROR(_xlfn.XLOOKUP($D327,'Modelling New'!$D:$D,'Modelling New'!$AE:$AE),"")</f>
        <v>0.96029999999999993</v>
      </c>
      <c r="AH327" s="186">
        <f>IFERROR(_xlfn.XLOOKUP($D327,'Modelling New'!$D:$D,'Modelling New'!$AF:$AF),"")</f>
        <v>0.995</v>
      </c>
      <c r="AI327" s="167" t="str">
        <f>IFERROR(_xlfn.XLOOKUP($A327,Input_Raw!$A:$A,Input_Raw!$DE:$DE),"")</f>
        <v/>
      </c>
      <c r="AJ327" s="167"/>
      <c r="AK327" s="167"/>
      <c r="AL327" s="167"/>
      <c r="AM327" s="167"/>
      <c r="AN327" s="188" t="str">
        <f>IFERROR(_xlfn.XLOOKUP($A327,Input_Raw!$A:$A,Input_Raw!$DB:$DB),"")</f>
        <v/>
      </c>
      <c r="AO327" s="186" t="str">
        <f>IFERROR((_xlfn.XLOOKUP($A327,'WTG Reactive Power'!$A:$A,'WTG Reactive Power'!$AR:$AR))/X327/1000,"")</f>
        <v/>
      </c>
      <c r="AP327" s="186">
        <f>IFERROR(_xlfn.XLOOKUP($D327,'Modelling New'!$D:$D,'Modelling New'!$AK:$AK),"")</f>
        <v>0.05</v>
      </c>
      <c r="AQ327" s="186">
        <f>IFERROR(_xlfn.XLOOKUP($D327,'Modelling New'!$D:$D,'Modelling New'!$AL:$AL),"")</f>
        <v>0.05</v>
      </c>
      <c r="AR327">
        <f>IFERROR(_xlfn.XLOOKUP($D327,'Modelling New'!$D:$D,'Modelling New'!$N:$N),"")</f>
        <v>78</v>
      </c>
    </row>
    <row r="328" spans="1:44">
      <c r="A328" s="180">
        <f t="shared" si="32"/>
        <v>46071</v>
      </c>
      <c r="B328" s="169">
        <f>YEAR(Table13[[#This Row],[Date]])+IF(MONTH(Table13[[#This Row],[Date]])&gt;=4,1,0)</f>
        <v>2026</v>
      </c>
      <c r="C328" s="167">
        <f>YEAR(Table13[[#This Row],[Date]])</f>
        <v>2026</v>
      </c>
      <c r="D328" s="181">
        <f>Table13[[#This Row],[Date]]-DAY(Table13[[#This Row],[Date]])+1</f>
        <v>46054</v>
      </c>
      <c r="E328" s="167">
        <f t="shared" si="33"/>
        <v>28</v>
      </c>
      <c r="F328" s="170"/>
      <c r="G328" s="171"/>
      <c r="H328" s="171"/>
      <c r="I328" s="171"/>
      <c r="J328" s="171"/>
      <c r="K328" s="182"/>
      <c r="L328" s="171"/>
      <c r="M328" s="171" t="str">
        <f>IFERROR(_xlfn.XLOOKUP($A328,Input_Raw!$A:$A,Input_Raw!CG:CG),"")</f>
        <v/>
      </c>
      <c r="N328" s="171" t="str">
        <f>IFERROR(_xlfn.XLOOKUP($A328,Input_Raw!$A:$A,Input_Raw!CH:CH),"")</f>
        <v/>
      </c>
      <c r="O328" s="183" t="str">
        <f t="shared" si="34"/>
        <v/>
      </c>
      <c r="P328" s="183" t="str">
        <f>IFERROR(1-SUMIF(WTG_BD!$B:$B,$A328,WTG_BD!$AB:$AB)/($AA328+SUMIF(WTG_BD!$B:$B,$A328,WTG_BD!$AB:$AB)),"")</f>
        <v/>
      </c>
      <c r="Q328" s="184" t="str">
        <f>IFERROR(1-SUMIF(IGA_BD!$B:$B,$A328,IGA_BD!$X:$X)/($AA328+SUMIF(IGA_BD!$B:$B,$A328,IGA_BD!$X:$X)),"")</f>
        <v/>
      </c>
      <c r="R328" s="189" t="str">
        <f>IFERROR(1-SUMIF(Grid_BD!$B:$B,$A328,Grid_BD!$V:$V)/($AA328+SUMIF(Grid_BD!$B:$B,$A328,Grid_BD!$V:$V)),"")</f>
        <v/>
      </c>
      <c r="S328" s="167"/>
      <c r="T328" s="184"/>
      <c r="U328" s="185"/>
      <c r="V328" s="167"/>
      <c r="W328" s="186" t="str">
        <f>IFERROR(Table13[[#This Row],[Mtr_Net_Exp (KWh)]]/(24*AR328*1000),"")</f>
        <v/>
      </c>
      <c r="X328" s="167" t="str">
        <f>IFERROR(_xlfn.XLOOKUP($A328,Input_Raw!$A:$A,Input_Raw!$CF:$CF),"")</f>
        <v/>
      </c>
      <c r="Y328" s="167" t="str">
        <f>IFERROR(_xlfn.XLOOKUP($A328,Input_Raw!$A:$A,Input_Raw!$CZ:$CZ),"")</f>
        <v/>
      </c>
      <c r="Z328" s="167" t="str">
        <f>IFERROR(_xlfn.XLOOKUP($A328,Input_Raw!$A:$A,Input_Raw!$DA:$DA),"")</f>
        <v/>
      </c>
      <c r="AA328" s="169" t="str">
        <f t="shared" si="35"/>
        <v/>
      </c>
      <c r="AB328" s="167" t="str">
        <f>IFERROR(_xlfn.XLOOKUP($A328,Input_Raw!$A:$A,Input_Raw!$DG:$DG),"")</f>
        <v/>
      </c>
      <c r="AC328" s="187">
        <f>IFERROR(_xlfn.XLOOKUP($D328,'Modelling New'!$D:$D,'Modelling New'!$J:$J),"")</f>
        <v>4.3</v>
      </c>
      <c r="AD328" s="169">
        <f>IFERROR(_xlfn.XLOOKUP($D328,'Modelling New'!$D:$D,'Modelling New'!$T:$T)*1000,"")</f>
        <v>171913.60080596086</v>
      </c>
      <c r="AE328" s="186"/>
      <c r="AF328" s="186">
        <f>IFERROR(_xlfn.XLOOKUP($D328,'Modelling New'!$D:$D,'Modelling New'!$W:$W),"")</f>
        <v>9.1834188464722688E-2</v>
      </c>
      <c r="AG328" s="186">
        <f>IFERROR(_xlfn.XLOOKUP($D328,'Modelling New'!$D:$D,'Modelling New'!$AE:$AE),"")</f>
        <v>0.96029999999999993</v>
      </c>
      <c r="AH328" s="186">
        <f>IFERROR(_xlfn.XLOOKUP($D328,'Modelling New'!$D:$D,'Modelling New'!$AF:$AF),"")</f>
        <v>0.995</v>
      </c>
      <c r="AI328" s="167" t="str">
        <f>IFERROR(_xlfn.XLOOKUP($A328,Input_Raw!$A:$A,Input_Raw!$DE:$DE),"")</f>
        <v/>
      </c>
      <c r="AJ328" s="167"/>
      <c r="AK328" s="167"/>
      <c r="AL328" s="167"/>
      <c r="AM328" s="167"/>
      <c r="AN328" s="188" t="str">
        <f>IFERROR(_xlfn.XLOOKUP($A328,Input_Raw!$A:$A,Input_Raw!$DB:$DB),"")</f>
        <v/>
      </c>
      <c r="AO328" s="186" t="str">
        <f>IFERROR((_xlfn.XLOOKUP($A328,'WTG Reactive Power'!$A:$A,'WTG Reactive Power'!$AR:$AR))/X328/1000,"")</f>
        <v/>
      </c>
      <c r="AP328" s="186">
        <f>IFERROR(_xlfn.XLOOKUP($D328,'Modelling New'!$D:$D,'Modelling New'!$AK:$AK),"")</f>
        <v>0.05</v>
      </c>
      <c r="AQ328" s="186">
        <f>IFERROR(_xlfn.XLOOKUP($D328,'Modelling New'!$D:$D,'Modelling New'!$AL:$AL),"")</f>
        <v>0.05</v>
      </c>
      <c r="AR328">
        <f>IFERROR(_xlfn.XLOOKUP($D328,'Modelling New'!$D:$D,'Modelling New'!$N:$N),"")</f>
        <v>78</v>
      </c>
    </row>
    <row r="329" spans="1:44">
      <c r="A329" s="180">
        <f t="shared" si="32"/>
        <v>46072</v>
      </c>
      <c r="B329" s="169">
        <f>YEAR(Table13[[#This Row],[Date]])+IF(MONTH(Table13[[#This Row],[Date]])&gt;=4,1,0)</f>
        <v>2026</v>
      </c>
      <c r="C329" s="167">
        <f>YEAR(Table13[[#This Row],[Date]])</f>
        <v>2026</v>
      </c>
      <c r="D329" s="181">
        <f>Table13[[#This Row],[Date]]-DAY(Table13[[#This Row],[Date]])+1</f>
        <v>46054</v>
      </c>
      <c r="E329" s="167">
        <f t="shared" si="33"/>
        <v>28</v>
      </c>
      <c r="F329" s="170"/>
      <c r="G329" s="171"/>
      <c r="H329" s="171"/>
      <c r="I329" s="171"/>
      <c r="J329" s="171"/>
      <c r="K329" s="182"/>
      <c r="L329" s="171"/>
      <c r="M329" s="171" t="str">
        <f>IFERROR(_xlfn.XLOOKUP($A329,Input_Raw!$A:$A,Input_Raw!CG:CG),"")</f>
        <v/>
      </c>
      <c r="N329" s="171" t="str">
        <f>IFERROR(_xlfn.XLOOKUP($A329,Input_Raw!$A:$A,Input_Raw!CH:CH),"")</f>
        <v/>
      </c>
      <c r="O329" s="183" t="str">
        <f t="shared" si="34"/>
        <v/>
      </c>
      <c r="P329" s="183" t="str">
        <f>IFERROR(1-SUMIF(WTG_BD!$B:$B,$A329,WTG_BD!$AB:$AB)/($AA329+SUMIF(WTG_BD!$B:$B,$A329,WTG_BD!$AB:$AB)),"")</f>
        <v/>
      </c>
      <c r="Q329" s="184" t="str">
        <f>IFERROR(1-SUMIF(IGA_BD!$B:$B,$A329,IGA_BD!$X:$X)/($AA329+SUMIF(IGA_BD!$B:$B,$A329,IGA_BD!$X:$X)),"")</f>
        <v/>
      </c>
      <c r="R329" s="189" t="str">
        <f>IFERROR(1-SUMIF(Grid_BD!$B:$B,$A329,Grid_BD!$V:$V)/($AA329+SUMIF(Grid_BD!$B:$B,$A329,Grid_BD!$V:$V)),"")</f>
        <v/>
      </c>
      <c r="S329" s="167"/>
      <c r="T329" s="184"/>
      <c r="U329" s="185"/>
      <c r="V329" s="167"/>
      <c r="W329" s="186" t="str">
        <f>IFERROR(Table13[[#This Row],[Mtr_Net_Exp (KWh)]]/(24*AR329*1000),"")</f>
        <v/>
      </c>
      <c r="X329" s="167" t="str">
        <f>IFERROR(_xlfn.XLOOKUP($A329,Input_Raw!$A:$A,Input_Raw!$CF:$CF),"")</f>
        <v/>
      </c>
      <c r="Y329" s="167" t="str">
        <f>IFERROR(_xlfn.XLOOKUP($A329,Input_Raw!$A:$A,Input_Raw!$CZ:$CZ),"")</f>
        <v/>
      </c>
      <c r="Z329" s="167" t="str">
        <f>IFERROR(_xlfn.XLOOKUP($A329,Input_Raw!$A:$A,Input_Raw!$DA:$DA),"")</f>
        <v/>
      </c>
      <c r="AA329" s="169" t="str">
        <f t="shared" si="35"/>
        <v/>
      </c>
      <c r="AB329" s="167" t="str">
        <f>IFERROR(_xlfn.XLOOKUP($A329,Input_Raw!$A:$A,Input_Raw!$DG:$DG),"")</f>
        <v/>
      </c>
      <c r="AC329" s="187">
        <f>IFERROR(_xlfn.XLOOKUP($D329,'Modelling New'!$D:$D,'Modelling New'!$J:$J),"")</f>
        <v>4.3</v>
      </c>
      <c r="AD329" s="169">
        <f>IFERROR(_xlfn.XLOOKUP($D329,'Modelling New'!$D:$D,'Modelling New'!$T:$T)*1000,"")</f>
        <v>171913.60080596086</v>
      </c>
      <c r="AE329" s="186"/>
      <c r="AF329" s="186">
        <f>IFERROR(_xlfn.XLOOKUP($D329,'Modelling New'!$D:$D,'Modelling New'!$W:$W),"")</f>
        <v>9.1834188464722688E-2</v>
      </c>
      <c r="AG329" s="186">
        <f>IFERROR(_xlfn.XLOOKUP($D329,'Modelling New'!$D:$D,'Modelling New'!$AE:$AE),"")</f>
        <v>0.96029999999999993</v>
      </c>
      <c r="AH329" s="186">
        <f>IFERROR(_xlfn.XLOOKUP($D329,'Modelling New'!$D:$D,'Modelling New'!$AF:$AF),"")</f>
        <v>0.995</v>
      </c>
      <c r="AI329" s="167" t="str">
        <f>IFERROR(_xlfn.XLOOKUP($A329,Input_Raw!$A:$A,Input_Raw!$DE:$DE),"")</f>
        <v/>
      </c>
      <c r="AJ329" s="167"/>
      <c r="AK329" s="167"/>
      <c r="AL329" s="167"/>
      <c r="AM329" s="167"/>
      <c r="AN329" s="188" t="str">
        <f>IFERROR(_xlfn.XLOOKUP($A329,Input_Raw!$A:$A,Input_Raw!$DB:$DB),"")</f>
        <v/>
      </c>
      <c r="AO329" s="186" t="str">
        <f>IFERROR((_xlfn.XLOOKUP($A329,'WTG Reactive Power'!$A:$A,'WTG Reactive Power'!$AR:$AR))/X329/1000,"")</f>
        <v/>
      </c>
      <c r="AP329" s="186">
        <f>IFERROR(_xlfn.XLOOKUP($D329,'Modelling New'!$D:$D,'Modelling New'!$AK:$AK),"")</f>
        <v>0.05</v>
      </c>
      <c r="AQ329" s="186">
        <f>IFERROR(_xlfn.XLOOKUP($D329,'Modelling New'!$D:$D,'Modelling New'!$AL:$AL),"")</f>
        <v>0.05</v>
      </c>
      <c r="AR329">
        <f>IFERROR(_xlfn.XLOOKUP($D329,'Modelling New'!$D:$D,'Modelling New'!$N:$N),"")</f>
        <v>78</v>
      </c>
    </row>
    <row r="330" spans="1:44">
      <c r="A330" s="180">
        <f t="shared" si="32"/>
        <v>46073</v>
      </c>
      <c r="B330" s="169">
        <f>YEAR(Table13[[#This Row],[Date]])+IF(MONTH(Table13[[#This Row],[Date]])&gt;=4,1,0)</f>
        <v>2026</v>
      </c>
      <c r="C330" s="167">
        <f>YEAR(Table13[[#This Row],[Date]])</f>
        <v>2026</v>
      </c>
      <c r="D330" s="181">
        <f>Table13[[#This Row],[Date]]-DAY(Table13[[#This Row],[Date]])+1</f>
        <v>46054</v>
      </c>
      <c r="E330" s="167">
        <f t="shared" si="33"/>
        <v>28</v>
      </c>
      <c r="F330" s="170"/>
      <c r="G330" s="171"/>
      <c r="H330" s="171"/>
      <c r="I330" s="171"/>
      <c r="J330" s="171"/>
      <c r="K330" s="182"/>
      <c r="L330" s="171"/>
      <c r="M330" s="171" t="str">
        <f>IFERROR(_xlfn.XLOOKUP($A330,Input_Raw!$A:$A,Input_Raw!CG:CG),"")</f>
        <v/>
      </c>
      <c r="N330" s="171" t="str">
        <f>IFERROR(_xlfn.XLOOKUP($A330,Input_Raw!$A:$A,Input_Raw!CH:CH),"")</f>
        <v/>
      </c>
      <c r="O330" s="183" t="str">
        <f t="shared" si="34"/>
        <v/>
      </c>
      <c r="P330" s="183" t="str">
        <f>IFERROR(1-SUMIF(WTG_BD!$B:$B,$A330,WTG_BD!$AB:$AB)/($AA330+SUMIF(WTG_BD!$B:$B,$A330,WTG_BD!$AB:$AB)),"")</f>
        <v/>
      </c>
      <c r="Q330" s="184" t="str">
        <f>IFERROR(1-SUMIF(IGA_BD!$B:$B,$A330,IGA_BD!$X:$X)/($AA330+SUMIF(IGA_BD!$B:$B,$A330,IGA_BD!$X:$X)),"")</f>
        <v/>
      </c>
      <c r="R330" s="189" t="str">
        <f>IFERROR(1-SUMIF(Grid_BD!$B:$B,$A330,Grid_BD!$V:$V)/($AA330+SUMIF(Grid_BD!$B:$B,$A330,Grid_BD!$V:$V)),"")</f>
        <v/>
      </c>
      <c r="S330" s="167"/>
      <c r="T330" s="184"/>
      <c r="U330" s="185"/>
      <c r="V330" s="167"/>
      <c r="W330" s="186" t="str">
        <f>IFERROR(Table13[[#This Row],[Mtr_Net_Exp (KWh)]]/(24*AR330*1000),"")</f>
        <v/>
      </c>
      <c r="X330" s="167" t="str">
        <f>IFERROR(_xlfn.XLOOKUP($A330,Input_Raw!$A:$A,Input_Raw!$CF:$CF),"")</f>
        <v/>
      </c>
      <c r="Y330" s="167" t="str">
        <f>IFERROR(_xlfn.XLOOKUP($A330,Input_Raw!$A:$A,Input_Raw!$CZ:$CZ),"")</f>
        <v/>
      </c>
      <c r="Z330" s="167" t="str">
        <f>IFERROR(_xlfn.XLOOKUP($A330,Input_Raw!$A:$A,Input_Raw!$DA:$DA),"")</f>
        <v/>
      </c>
      <c r="AA330" s="169" t="str">
        <f t="shared" si="35"/>
        <v/>
      </c>
      <c r="AB330" s="167" t="str">
        <f>IFERROR(_xlfn.XLOOKUP($A330,Input_Raw!$A:$A,Input_Raw!$DG:$DG),"")</f>
        <v/>
      </c>
      <c r="AC330" s="187">
        <f>IFERROR(_xlfn.XLOOKUP($D330,'Modelling New'!$D:$D,'Modelling New'!$J:$J),"")</f>
        <v>4.3</v>
      </c>
      <c r="AD330" s="169">
        <f>IFERROR(_xlfn.XLOOKUP($D330,'Modelling New'!$D:$D,'Modelling New'!$T:$T)*1000,"")</f>
        <v>171913.60080596086</v>
      </c>
      <c r="AE330" s="186"/>
      <c r="AF330" s="186">
        <f>IFERROR(_xlfn.XLOOKUP($D330,'Modelling New'!$D:$D,'Modelling New'!$W:$W),"")</f>
        <v>9.1834188464722688E-2</v>
      </c>
      <c r="AG330" s="186">
        <f>IFERROR(_xlfn.XLOOKUP($D330,'Modelling New'!$D:$D,'Modelling New'!$AE:$AE),"")</f>
        <v>0.96029999999999993</v>
      </c>
      <c r="AH330" s="186">
        <f>IFERROR(_xlfn.XLOOKUP($D330,'Modelling New'!$D:$D,'Modelling New'!$AF:$AF),"")</f>
        <v>0.995</v>
      </c>
      <c r="AI330" s="167" t="str">
        <f>IFERROR(_xlfn.XLOOKUP($A330,Input_Raw!$A:$A,Input_Raw!$DE:$DE),"")</f>
        <v/>
      </c>
      <c r="AJ330" s="167"/>
      <c r="AK330" s="167"/>
      <c r="AL330" s="167"/>
      <c r="AM330" s="167"/>
      <c r="AN330" s="188" t="str">
        <f>IFERROR(_xlfn.XLOOKUP($A330,Input_Raw!$A:$A,Input_Raw!$DB:$DB),"")</f>
        <v/>
      </c>
      <c r="AO330" s="186" t="str">
        <f>IFERROR((_xlfn.XLOOKUP($A330,'WTG Reactive Power'!$A:$A,'WTG Reactive Power'!$AR:$AR))/X330/1000,"")</f>
        <v/>
      </c>
      <c r="AP330" s="186">
        <f>IFERROR(_xlfn.XLOOKUP($D330,'Modelling New'!$D:$D,'Modelling New'!$AK:$AK),"")</f>
        <v>0.05</v>
      </c>
      <c r="AQ330" s="186">
        <f>IFERROR(_xlfn.XLOOKUP($D330,'Modelling New'!$D:$D,'Modelling New'!$AL:$AL),"")</f>
        <v>0.05</v>
      </c>
      <c r="AR330">
        <f>IFERROR(_xlfn.XLOOKUP($D330,'Modelling New'!$D:$D,'Modelling New'!$N:$N),"")</f>
        <v>78</v>
      </c>
    </row>
    <row r="331" spans="1:44">
      <c r="A331" s="180">
        <f t="shared" si="32"/>
        <v>46074</v>
      </c>
      <c r="B331" s="169">
        <f>YEAR(Table13[[#This Row],[Date]])+IF(MONTH(Table13[[#This Row],[Date]])&gt;=4,1,0)</f>
        <v>2026</v>
      </c>
      <c r="C331" s="167">
        <f>YEAR(Table13[[#This Row],[Date]])</f>
        <v>2026</v>
      </c>
      <c r="D331" s="181">
        <f>Table13[[#This Row],[Date]]-DAY(Table13[[#This Row],[Date]])+1</f>
        <v>46054</v>
      </c>
      <c r="E331" s="167">
        <f t="shared" si="33"/>
        <v>28</v>
      </c>
      <c r="F331" s="170"/>
      <c r="G331" s="171"/>
      <c r="H331" s="171"/>
      <c r="I331" s="171"/>
      <c r="J331" s="171"/>
      <c r="K331" s="182"/>
      <c r="L331" s="171"/>
      <c r="M331" s="171" t="str">
        <f>IFERROR(_xlfn.XLOOKUP($A331,Input_Raw!$A:$A,Input_Raw!CG:CG),"")</f>
        <v/>
      </c>
      <c r="N331" s="171" t="str">
        <f>IFERROR(_xlfn.XLOOKUP($A331,Input_Raw!$A:$A,Input_Raw!CH:CH),"")</f>
        <v/>
      </c>
      <c r="O331" s="183" t="str">
        <f t="shared" si="34"/>
        <v/>
      </c>
      <c r="P331" s="183" t="str">
        <f>IFERROR(1-SUMIF(WTG_BD!$B:$B,$A331,WTG_BD!$AB:$AB)/($AA331+SUMIF(WTG_BD!$B:$B,$A331,WTG_BD!$AB:$AB)),"")</f>
        <v/>
      </c>
      <c r="Q331" s="184" t="str">
        <f>IFERROR(1-SUMIF(IGA_BD!$B:$B,$A331,IGA_BD!$X:$X)/($AA331+SUMIF(IGA_BD!$B:$B,$A331,IGA_BD!$X:$X)),"")</f>
        <v/>
      </c>
      <c r="R331" s="189" t="str">
        <f>IFERROR(1-SUMIF(Grid_BD!$B:$B,$A331,Grid_BD!$V:$V)/($AA331+SUMIF(Grid_BD!$B:$B,$A331,Grid_BD!$V:$V)),"")</f>
        <v/>
      </c>
      <c r="S331" s="167"/>
      <c r="T331" s="184"/>
      <c r="U331" s="185"/>
      <c r="V331" s="167"/>
      <c r="W331" s="186" t="str">
        <f>IFERROR(Table13[[#This Row],[Mtr_Net_Exp (KWh)]]/(24*AR331*1000),"")</f>
        <v/>
      </c>
      <c r="X331" s="167" t="str">
        <f>IFERROR(_xlfn.XLOOKUP($A331,Input_Raw!$A:$A,Input_Raw!$CF:$CF),"")</f>
        <v/>
      </c>
      <c r="Y331" s="167" t="str">
        <f>IFERROR(_xlfn.XLOOKUP($A331,Input_Raw!$A:$A,Input_Raw!$CZ:$CZ),"")</f>
        <v/>
      </c>
      <c r="Z331" s="167" t="str">
        <f>IFERROR(_xlfn.XLOOKUP($A331,Input_Raw!$A:$A,Input_Raw!$DA:$DA),"")</f>
        <v/>
      </c>
      <c r="AA331" s="169" t="str">
        <f t="shared" si="35"/>
        <v/>
      </c>
      <c r="AB331" s="167" t="str">
        <f>IFERROR(_xlfn.XLOOKUP($A331,Input_Raw!$A:$A,Input_Raw!$DG:$DG),"")</f>
        <v/>
      </c>
      <c r="AC331" s="187">
        <f>IFERROR(_xlfn.XLOOKUP($D331,'Modelling New'!$D:$D,'Modelling New'!$J:$J),"")</f>
        <v>4.3</v>
      </c>
      <c r="AD331" s="169">
        <f>IFERROR(_xlfn.XLOOKUP($D331,'Modelling New'!$D:$D,'Modelling New'!$T:$T)*1000,"")</f>
        <v>171913.60080596086</v>
      </c>
      <c r="AE331" s="186"/>
      <c r="AF331" s="186">
        <f>IFERROR(_xlfn.XLOOKUP($D331,'Modelling New'!$D:$D,'Modelling New'!$W:$W),"")</f>
        <v>9.1834188464722688E-2</v>
      </c>
      <c r="AG331" s="186">
        <f>IFERROR(_xlfn.XLOOKUP($D331,'Modelling New'!$D:$D,'Modelling New'!$AE:$AE),"")</f>
        <v>0.96029999999999993</v>
      </c>
      <c r="AH331" s="186">
        <f>IFERROR(_xlfn.XLOOKUP($D331,'Modelling New'!$D:$D,'Modelling New'!$AF:$AF),"")</f>
        <v>0.995</v>
      </c>
      <c r="AI331" s="167" t="str">
        <f>IFERROR(_xlfn.XLOOKUP($A331,Input_Raw!$A:$A,Input_Raw!$DE:$DE),"")</f>
        <v/>
      </c>
      <c r="AJ331" s="167"/>
      <c r="AK331" s="167"/>
      <c r="AL331" s="167"/>
      <c r="AM331" s="167"/>
      <c r="AN331" s="188" t="str">
        <f>IFERROR(_xlfn.XLOOKUP($A331,Input_Raw!$A:$A,Input_Raw!$DB:$DB),"")</f>
        <v/>
      </c>
      <c r="AO331" s="186" t="str">
        <f>IFERROR((_xlfn.XLOOKUP($A331,'WTG Reactive Power'!$A:$A,'WTG Reactive Power'!$AR:$AR))/X331/1000,"")</f>
        <v/>
      </c>
      <c r="AP331" s="186">
        <f>IFERROR(_xlfn.XLOOKUP($D331,'Modelling New'!$D:$D,'Modelling New'!$AK:$AK),"")</f>
        <v>0.05</v>
      </c>
      <c r="AQ331" s="186">
        <f>IFERROR(_xlfn.XLOOKUP($D331,'Modelling New'!$D:$D,'Modelling New'!$AL:$AL),"")</f>
        <v>0.05</v>
      </c>
      <c r="AR331">
        <f>IFERROR(_xlfn.XLOOKUP($D331,'Modelling New'!$D:$D,'Modelling New'!$N:$N),"")</f>
        <v>78</v>
      </c>
    </row>
    <row r="332" spans="1:44">
      <c r="A332" s="180">
        <f t="shared" si="32"/>
        <v>46075</v>
      </c>
      <c r="B332" s="169">
        <f>YEAR(Table13[[#This Row],[Date]])+IF(MONTH(Table13[[#This Row],[Date]])&gt;=4,1,0)</f>
        <v>2026</v>
      </c>
      <c r="C332" s="167">
        <f>YEAR(Table13[[#This Row],[Date]])</f>
        <v>2026</v>
      </c>
      <c r="D332" s="181">
        <f>Table13[[#This Row],[Date]]-DAY(Table13[[#This Row],[Date]])+1</f>
        <v>46054</v>
      </c>
      <c r="E332" s="167">
        <f t="shared" si="33"/>
        <v>28</v>
      </c>
      <c r="F332" s="170"/>
      <c r="G332" s="171"/>
      <c r="H332" s="171"/>
      <c r="I332" s="171"/>
      <c r="J332" s="171"/>
      <c r="K332" s="182"/>
      <c r="L332" s="171"/>
      <c r="M332" s="171" t="str">
        <f>IFERROR(_xlfn.XLOOKUP($A332,Input_Raw!$A:$A,Input_Raw!CG:CG),"")</f>
        <v/>
      </c>
      <c r="N332" s="171" t="str">
        <f>IFERROR(_xlfn.XLOOKUP($A332,Input_Raw!$A:$A,Input_Raw!CH:CH),"")</f>
        <v/>
      </c>
      <c r="O332" s="183" t="str">
        <f t="shared" si="34"/>
        <v/>
      </c>
      <c r="P332" s="183" t="str">
        <f>IFERROR(1-SUMIF(WTG_BD!$B:$B,$A332,WTG_BD!$AB:$AB)/($AA332+SUMIF(WTG_BD!$B:$B,$A332,WTG_BD!$AB:$AB)),"")</f>
        <v/>
      </c>
      <c r="Q332" s="184" t="str">
        <f>IFERROR(1-SUMIF(IGA_BD!$B:$B,$A332,IGA_BD!$X:$X)/($AA332+SUMIF(IGA_BD!$B:$B,$A332,IGA_BD!$X:$X)),"")</f>
        <v/>
      </c>
      <c r="R332" s="189" t="str">
        <f>IFERROR(1-SUMIF(Grid_BD!$B:$B,$A332,Grid_BD!$V:$V)/($AA332+SUMIF(Grid_BD!$B:$B,$A332,Grid_BD!$V:$V)),"")</f>
        <v/>
      </c>
      <c r="S332" s="167"/>
      <c r="T332" s="184"/>
      <c r="U332" s="185"/>
      <c r="V332" s="167"/>
      <c r="W332" s="186" t="str">
        <f>IFERROR(Table13[[#This Row],[Mtr_Net_Exp (KWh)]]/(24*AR332*1000),"")</f>
        <v/>
      </c>
      <c r="X332" s="167" t="str">
        <f>IFERROR(_xlfn.XLOOKUP($A332,Input_Raw!$A:$A,Input_Raw!$CF:$CF),"")</f>
        <v/>
      </c>
      <c r="Y332" s="167" t="str">
        <f>IFERROR(_xlfn.XLOOKUP($A332,Input_Raw!$A:$A,Input_Raw!$CZ:$CZ),"")</f>
        <v/>
      </c>
      <c r="Z332" s="167" t="str">
        <f>IFERROR(_xlfn.XLOOKUP($A332,Input_Raw!$A:$A,Input_Raw!$DA:$DA),"")</f>
        <v/>
      </c>
      <c r="AA332" s="169" t="str">
        <f t="shared" si="35"/>
        <v/>
      </c>
      <c r="AB332" s="167" t="str">
        <f>IFERROR(_xlfn.XLOOKUP($A332,Input_Raw!$A:$A,Input_Raw!$DG:$DG),"")</f>
        <v/>
      </c>
      <c r="AC332" s="187">
        <f>IFERROR(_xlfn.XLOOKUP($D332,'Modelling New'!$D:$D,'Modelling New'!$J:$J),"")</f>
        <v>4.3</v>
      </c>
      <c r="AD332" s="169">
        <f>IFERROR(_xlfn.XLOOKUP($D332,'Modelling New'!$D:$D,'Modelling New'!$T:$T)*1000,"")</f>
        <v>171913.60080596086</v>
      </c>
      <c r="AE332" s="186"/>
      <c r="AF332" s="186">
        <f>IFERROR(_xlfn.XLOOKUP($D332,'Modelling New'!$D:$D,'Modelling New'!$W:$W),"")</f>
        <v>9.1834188464722688E-2</v>
      </c>
      <c r="AG332" s="186">
        <f>IFERROR(_xlfn.XLOOKUP($D332,'Modelling New'!$D:$D,'Modelling New'!$AE:$AE),"")</f>
        <v>0.96029999999999993</v>
      </c>
      <c r="AH332" s="186">
        <f>IFERROR(_xlfn.XLOOKUP($D332,'Modelling New'!$D:$D,'Modelling New'!$AF:$AF),"")</f>
        <v>0.995</v>
      </c>
      <c r="AI332" s="167" t="str">
        <f>IFERROR(_xlfn.XLOOKUP($A332,Input_Raw!$A:$A,Input_Raw!$DE:$DE),"")</f>
        <v/>
      </c>
      <c r="AJ332" s="167"/>
      <c r="AK332" s="167"/>
      <c r="AL332" s="167"/>
      <c r="AM332" s="167"/>
      <c r="AN332" s="188" t="str">
        <f>IFERROR(_xlfn.XLOOKUP($A332,Input_Raw!$A:$A,Input_Raw!$DB:$DB),"")</f>
        <v/>
      </c>
      <c r="AO332" s="186" t="str">
        <f>IFERROR((_xlfn.XLOOKUP($A332,'WTG Reactive Power'!$A:$A,'WTG Reactive Power'!$AR:$AR))/X332/1000,"")</f>
        <v/>
      </c>
      <c r="AP332" s="186">
        <f>IFERROR(_xlfn.XLOOKUP($D332,'Modelling New'!$D:$D,'Modelling New'!$AK:$AK),"")</f>
        <v>0.05</v>
      </c>
      <c r="AQ332" s="186">
        <f>IFERROR(_xlfn.XLOOKUP($D332,'Modelling New'!$D:$D,'Modelling New'!$AL:$AL),"")</f>
        <v>0.05</v>
      </c>
      <c r="AR332">
        <f>IFERROR(_xlfn.XLOOKUP($D332,'Modelling New'!$D:$D,'Modelling New'!$N:$N),"")</f>
        <v>78</v>
      </c>
    </row>
    <row r="333" spans="1:44">
      <c r="A333" s="180">
        <f t="shared" si="32"/>
        <v>46076</v>
      </c>
      <c r="B333" s="169">
        <f>YEAR(Table13[[#This Row],[Date]])+IF(MONTH(Table13[[#This Row],[Date]])&gt;=4,1,0)</f>
        <v>2026</v>
      </c>
      <c r="C333" s="167">
        <f>YEAR(Table13[[#This Row],[Date]])</f>
        <v>2026</v>
      </c>
      <c r="D333" s="181">
        <f>Table13[[#This Row],[Date]]-DAY(Table13[[#This Row],[Date]])+1</f>
        <v>46054</v>
      </c>
      <c r="E333" s="167">
        <f t="shared" si="33"/>
        <v>28</v>
      </c>
      <c r="F333" s="170"/>
      <c r="G333" s="171"/>
      <c r="H333" s="171"/>
      <c r="I333" s="171"/>
      <c r="J333" s="171"/>
      <c r="K333" s="182"/>
      <c r="L333" s="171"/>
      <c r="M333" s="171" t="str">
        <f>IFERROR(_xlfn.XLOOKUP($A333,Input_Raw!$A:$A,Input_Raw!CG:CG),"")</f>
        <v/>
      </c>
      <c r="N333" s="171" t="str">
        <f>IFERROR(_xlfn.XLOOKUP($A333,Input_Raw!$A:$A,Input_Raw!CH:CH),"")</f>
        <v/>
      </c>
      <c r="O333" s="183" t="str">
        <f t="shared" si="34"/>
        <v/>
      </c>
      <c r="P333" s="183" t="str">
        <f>IFERROR(1-SUMIF(WTG_BD!$B:$B,$A333,WTG_BD!$AB:$AB)/($AA333+SUMIF(WTG_BD!$B:$B,$A333,WTG_BD!$AB:$AB)),"")</f>
        <v/>
      </c>
      <c r="Q333" s="184" t="str">
        <f>IFERROR(1-SUMIF(IGA_BD!$B:$B,$A333,IGA_BD!$X:$X)/($AA333+SUMIF(IGA_BD!$B:$B,$A333,IGA_BD!$X:$X)),"")</f>
        <v/>
      </c>
      <c r="R333" s="189" t="str">
        <f>IFERROR(1-SUMIF(Grid_BD!$B:$B,$A333,Grid_BD!$V:$V)/($AA333+SUMIF(Grid_BD!$B:$B,$A333,Grid_BD!$V:$V)),"")</f>
        <v/>
      </c>
      <c r="S333" s="167"/>
      <c r="T333" s="184"/>
      <c r="U333" s="185"/>
      <c r="V333" s="167"/>
      <c r="W333" s="186" t="str">
        <f>IFERROR(Table13[[#This Row],[Mtr_Net_Exp (KWh)]]/(24*AR333*1000),"")</f>
        <v/>
      </c>
      <c r="X333" s="167" t="str">
        <f>IFERROR(_xlfn.XLOOKUP($A333,Input_Raw!$A:$A,Input_Raw!$CF:$CF),"")</f>
        <v/>
      </c>
      <c r="Y333" s="167" t="str">
        <f>IFERROR(_xlfn.XLOOKUP($A333,Input_Raw!$A:$A,Input_Raw!$CZ:$CZ),"")</f>
        <v/>
      </c>
      <c r="Z333" s="167" t="str">
        <f>IFERROR(_xlfn.XLOOKUP($A333,Input_Raw!$A:$A,Input_Raw!$DA:$DA),"")</f>
        <v/>
      </c>
      <c r="AA333" s="169" t="str">
        <f t="shared" si="35"/>
        <v/>
      </c>
      <c r="AB333" s="167" t="str">
        <f>IFERROR(_xlfn.XLOOKUP($A333,Input_Raw!$A:$A,Input_Raw!$DG:$DG),"")</f>
        <v/>
      </c>
      <c r="AC333" s="187">
        <f>IFERROR(_xlfn.XLOOKUP($D333,'Modelling New'!$D:$D,'Modelling New'!$J:$J),"")</f>
        <v>4.3</v>
      </c>
      <c r="AD333" s="169">
        <f>IFERROR(_xlfn.XLOOKUP($D333,'Modelling New'!$D:$D,'Modelling New'!$T:$T)*1000,"")</f>
        <v>171913.60080596086</v>
      </c>
      <c r="AE333" s="186"/>
      <c r="AF333" s="186">
        <f>IFERROR(_xlfn.XLOOKUP($D333,'Modelling New'!$D:$D,'Modelling New'!$W:$W),"")</f>
        <v>9.1834188464722688E-2</v>
      </c>
      <c r="AG333" s="186">
        <f>IFERROR(_xlfn.XLOOKUP($D333,'Modelling New'!$D:$D,'Modelling New'!$AE:$AE),"")</f>
        <v>0.96029999999999993</v>
      </c>
      <c r="AH333" s="186">
        <f>IFERROR(_xlfn.XLOOKUP($D333,'Modelling New'!$D:$D,'Modelling New'!$AF:$AF),"")</f>
        <v>0.995</v>
      </c>
      <c r="AI333" s="167" t="str">
        <f>IFERROR(_xlfn.XLOOKUP($A333,Input_Raw!$A:$A,Input_Raw!$DE:$DE),"")</f>
        <v/>
      </c>
      <c r="AJ333" s="167"/>
      <c r="AK333" s="167"/>
      <c r="AL333" s="167"/>
      <c r="AM333" s="167"/>
      <c r="AN333" s="188" t="str">
        <f>IFERROR(_xlfn.XLOOKUP($A333,Input_Raw!$A:$A,Input_Raw!$DB:$DB),"")</f>
        <v/>
      </c>
      <c r="AO333" s="186" t="str">
        <f>IFERROR((_xlfn.XLOOKUP($A333,'WTG Reactive Power'!$A:$A,'WTG Reactive Power'!$AR:$AR))/X333/1000,"")</f>
        <v/>
      </c>
      <c r="AP333" s="186">
        <f>IFERROR(_xlfn.XLOOKUP($D333,'Modelling New'!$D:$D,'Modelling New'!$AK:$AK),"")</f>
        <v>0.05</v>
      </c>
      <c r="AQ333" s="186">
        <f>IFERROR(_xlfn.XLOOKUP($D333,'Modelling New'!$D:$D,'Modelling New'!$AL:$AL),"")</f>
        <v>0.05</v>
      </c>
      <c r="AR333">
        <f>IFERROR(_xlfn.XLOOKUP($D333,'Modelling New'!$D:$D,'Modelling New'!$N:$N),"")</f>
        <v>78</v>
      </c>
    </row>
    <row r="334" spans="1:44">
      <c r="A334" s="180">
        <f t="shared" si="32"/>
        <v>46077</v>
      </c>
      <c r="B334" s="169">
        <f>YEAR(Table13[[#This Row],[Date]])+IF(MONTH(Table13[[#This Row],[Date]])&gt;=4,1,0)</f>
        <v>2026</v>
      </c>
      <c r="C334" s="167">
        <f>YEAR(Table13[[#This Row],[Date]])</f>
        <v>2026</v>
      </c>
      <c r="D334" s="181">
        <f>Table13[[#This Row],[Date]]-DAY(Table13[[#This Row],[Date]])+1</f>
        <v>46054</v>
      </c>
      <c r="E334" s="167">
        <f t="shared" si="33"/>
        <v>28</v>
      </c>
      <c r="F334" s="170"/>
      <c r="G334" s="171"/>
      <c r="H334" s="171"/>
      <c r="I334" s="171"/>
      <c r="J334" s="171"/>
      <c r="K334" s="182"/>
      <c r="L334" s="171"/>
      <c r="M334" s="171" t="str">
        <f>IFERROR(_xlfn.XLOOKUP($A334,Input_Raw!$A:$A,Input_Raw!CG:CG),"")</f>
        <v/>
      </c>
      <c r="N334" s="171" t="str">
        <f>IFERROR(_xlfn.XLOOKUP($A334,Input_Raw!$A:$A,Input_Raw!CH:CH),"")</f>
        <v/>
      </c>
      <c r="O334" s="183" t="str">
        <f t="shared" si="34"/>
        <v/>
      </c>
      <c r="P334" s="183" t="str">
        <f>IFERROR(1-SUMIF(WTG_BD!$B:$B,$A334,WTG_BD!$AB:$AB)/($AA334+SUMIF(WTG_BD!$B:$B,$A334,WTG_BD!$AB:$AB)),"")</f>
        <v/>
      </c>
      <c r="Q334" s="184" t="str">
        <f>IFERROR(1-SUMIF(IGA_BD!$B:$B,$A334,IGA_BD!$X:$X)/($AA334+SUMIF(IGA_BD!$B:$B,$A334,IGA_BD!$X:$X)),"")</f>
        <v/>
      </c>
      <c r="R334" s="189" t="str">
        <f>IFERROR(1-SUMIF(Grid_BD!$B:$B,$A334,Grid_BD!$V:$V)/($AA334+SUMIF(Grid_BD!$B:$B,$A334,Grid_BD!$V:$V)),"")</f>
        <v/>
      </c>
      <c r="S334" s="167"/>
      <c r="T334" s="184"/>
      <c r="U334" s="185"/>
      <c r="V334" s="167"/>
      <c r="W334" s="186" t="str">
        <f>IFERROR(Table13[[#This Row],[Mtr_Net_Exp (KWh)]]/(24*AR334*1000),"")</f>
        <v/>
      </c>
      <c r="X334" s="167" t="str">
        <f>IFERROR(_xlfn.XLOOKUP($A334,Input_Raw!$A:$A,Input_Raw!$CF:$CF),"")</f>
        <v/>
      </c>
      <c r="Y334" s="167" t="str">
        <f>IFERROR(_xlfn.XLOOKUP($A334,Input_Raw!$A:$A,Input_Raw!$CZ:$CZ),"")</f>
        <v/>
      </c>
      <c r="Z334" s="167" t="str">
        <f>IFERROR(_xlfn.XLOOKUP($A334,Input_Raw!$A:$A,Input_Raw!$DA:$DA),"")</f>
        <v/>
      </c>
      <c r="AA334" s="169" t="str">
        <f t="shared" si="35"/>
        <v/>
      </c>
      <c r="AB334" s="167" t="str">
        <f>IFERROR(_xlfn.XLOOKUP($A334,Input_Raw!$A:$A,Input_Raw!$DG:$DG),"")</f>
        <v/>
      </c>
      <c r="AC334" s="187">
        <f>IFERROR(_xlfn.XLOOKUP($D334,'Modelling New'!$D:$D,'Modelling New'!$J:$J),"")</f>
        <v>4.3</v>
      </c>
      <c r="AD334" s="169">
        <f>IFERROR(_xlfn.XLOOKUP($D334,'Modelling New'!$D:$D,'Modelling New'!$T:$T)*1000,"")</f>
        <v>171913.60080596086</v>
      </c>
      <c r="AE334" s="186"/>
      <c r="AF334" s="186">
        <f>IFERROR(_xlfn.XLOOKUP($D334,'Modelling New'!$D:$D,'Modelling New'!$W:$W),"")</f>
        <v>9.1834188464722688E-2</v>
      </c>
      <c r="AG334" s="186">
        <f>IFERROR(_xlfn.XLOOKUP($D334,'Modelling New'!$D:$D,'Modelling New'!$AE:$AE),"")</f>
        <v>0.96029999999999993</v>
      </c>
      <c r="AH334" s="186">
        <f>IFERROR(_xlfn.XLOOKUP($D334,'Modelling New'!$D:$D,'Modelling New'!$AF:$AF),"")</f>
        <v>0.995</v>
      </c>
      <c r="AI334" s="167" t="str">
        <f>IFERROR(_xlfn.XLOOKUP($A334,Input_Raw!$A:$A,Input_Raw!$DE:$DE),"")</f>
        <v/>
      </c>
      <c r="AJ334" s="167"/>
      <c r="AK334" s="167"/>
      <c r="AL334" s="167"/>
      <c r="AM334" s="167"/>
      <c r="AN334" s="188" t="str">
        <f>IFERROR(_xlfn.XLOOKUP($A334,Input_Raw!$A:$A,Input_Raw!$DB:$DB),"")</f>
        <v/>
      </c>
      <c r="AO334" s="186" t="str">
        <f>IFERROR((_xlfn.XLOOKUP($A334,'WTG Reactive Power'!$A:$A,'WTG Reactive Power'!$AR:$AR))/X334/1000,"")</f>
        <v/>
      </c>
      <c r="AP334" s="186">
        <f>IFERROR(_xlfn.XLOOKUP($D334,'Modelling New'!$D:$D,'Modelling New'!$AK:$AK),"")</f>
        <v>0.05</v>
      </c>
      <c r="AQ334" s="186">
        <f>IFERROR(_xlfn.XLOOKUP($D334,'Modelling New'!$D:$D,'Modelling New'!$AL:$AL),"")</f>
        <v>0.05</v>
      </c>
      <c r="AR334">
        <f>IFERROR(_xlfn.XLOOKUP($D334,'Modelling New'!$D:$D,'Modelling New'!$N:$N),"")</f>
        <v>78</v>
      </c>
    </row>
    <row r="335" spans="1:44">
      <c r="A335" s="180">
        <f t="shared" si="32"/>
        <v>46078</v>
      </c>
      <c r="B335" s="169">
        <f>YEAR(Table13[[#This Row],[Date]])+IF(MONTH(Table13[[#This Row],[Date]])&gt;=4,1,0)</f>
        <v>2026</v>
      </c>
      <c r="C335" s="167">
        <f>YEAR(Table13[[#This Row],[Date]])</f>
        <v>2026</v>
      </c>
      <c r="D335" s="181">
        <f>Table13[[#This Row],[Date]]-DAY(Table13[[#This Row],[Date]])+1</f>
        <v>46054</v>
      </c>
      <c r="E335" s="167">
        <f t="shared" si="33"/>
        <v>28</v>
      </c>
      <c r="F335" s="170"/>
      <c r="G335" s="171"/>
      <c r="H335" s="171"/>
      <c r="I335" s="171"/>
      <c r="J335" s="171"/>
      <c r="K335" s="182"/>
      <c r="L335" s="171"/>
      <c r="M335" s="171" t="str">
        <f>IFERROR(_xlfn.XLOOKUP($A335,Input_Raw!$A:$A,Input_Raw!CG:CG),"")</f>
        <v/>
      </c>
      <c r="N335" s="171" t="str">
        <f>IFERROR(_xlfn.XLOOKUP($A335,Input_Raw!$A:$A,Input_Raw!CH:CH),"")</f>
        <v/>
      </c>
      <c r="O335" s="183" t="str">
        <f t="shared" si="34"/>
        <v/>
      </c>
      <c r="P335" s="183" t="str">
        <f>IFERROR(1-SUMIF(WTG_BD!$B:$B,$A335,WTG_BD!$AB:$AB)/($AA335+SUMIF(WTG_BD!$B:$B,$A335,WTG_BD!$AB:$AB)),"")</f>
        <v/>
      </c>
      <c r="Q335" s="184" t="str">
        <f>IFERROR(1-SUMIF(IGA_BD!$B:$B,$A335,IGA_BD!$X:$X)/($AA335+SUMIF(IGA_BD!$B:$B,$A335,IGA_BD!$X:$X)),"")</f>
        <v/>
      </c>
      <c r="R335" s="189" t="str">
        <f>IFERROR(1-SUMIF(Grid_BD!$B:$B,$A335,Grid_BD!$V:$V)/($AA335+SUMIF(Grid_BD!$B:$B,$A335,Grid_BD!$V:$V)),"")</f>
        <v/>
      </c>
      <c r="S335" s="167"/>
      <c r="T335" s="184"/>
      <c r="U335" s="185"/>
      <c r="V335" s="167"/>
      <c r="W335" s="186" t="str">
        <f>IFERROR(Table13[[#This Row],[Mtr_Net_Exp (KWh)]]/(24*AR335*1000),"")</f>
        <v/>
      </c>
      <c r="X335" s="167" t="str">
        <f>IFERROR(_xlfn.XLOOKUP($A335,Input_Raw!$A:$A,Input_Raw!$CF:$CF),"")</f>
        <v/>
      </c>
      <c r="Y335" s="167" t="str">
        <f>IFERROR(_xlfn.XLOOKUP($A335,Input_Raw!$A:$A,Input_Raw!$CZ:$CZ),"")</f>
        <v/>
      </c>
      <c r="Z335" s="167" t="str">
        <f>IFERROR(_xlfn.XLOOKUP($A335,Input_Raw!$A:$A,Input_Raw!$DA:$DA),"")</f>
        <v/>
      </c>
      <c r="AA335" s="169" t="str">
        <f t="shared" si="35"/>
        <v/>
      </c>
      <c r="AB335" s="167" t="str">
        <f>IFERROR(_xlfn.XLOOKUP($A335,Input_Raw!$A:$A,Input_Raw!$DG:$DG),"")</f>
        <v/>
      </c>
      <c r="AC335" s="187">
        <f>IFERROR(_xlfn.XLOOKUP($D335,'Modelling New'!$D:$D,'Modelling New'!$J:$J),"")</f>
        <v>4.3</v>
      </c>
      <c r="AD335" s="169">
        <f>IFERROR(_xlfn.XLOOKUP($D335,'Modelling New'!$D:$D,'Modelling New'!$T:$T)*1000,"")</f>
        <v>171913.60080596086</v>
      </c>
      <c r="AE335" s="186"/>
      <c r="AF335" s="186">
        <f>IFERROR(_xlfn.XLOOKUP($D335,'Modelling New'!$D:$D,'Modelling New'!$W:$W),"")</f>
        <v>9.1834188464722688E-2</v>
      </c>
      <c r="AG335" s="186">
        <f>IFERROR(_xlfn.XLOOKUP($D335,'Modelling New'!$D:$D,'Modelling New'!$AE:$AE),"")</f>
        <v>0.96029999999999993</v>
      </c>
      <c r="AH335" s="186">
        <f>IFERROR(_xlfn.XLOOKUP($D335,'Modelling New'!$D:$D,'Modelling New'!$AF:$AF),"")</f>
        <v>0.995</v>
      </c>
      <c r="AI335" s="167" t="str">
        <f>IFERROR(_xlfn.XLOOKUP($A335,Input_Raw!$A:$A,Input_Raw!$DE:$DE),"")</f>
        <v/>
      </c>
      <c r="AJ335" s="167"/>
      <c r="AK335" s="167"/>
      <c r="AL335" s="167"/>
      <c r="AM335" s="167"/>
      <c r="AN335" s="188" t="str">
        <f>IFERROR(_xlfn.XLOOKUP($A335,Input_Raw!$A:$A,Input_Raw!$DB:$DB),"")</f>
        <v/>
      </c>
      <c r="AO335" s="186" t="str">
        <f>IFERROR((_xlfn.XLOOKUP($A335,'WTG Reactive Power'!$A:$A,'WTG Reactive Power'!$AR:$AR))/X335/1000,"")</f>
        <v/>
      </c>
      <c r="AP335" s="186">
        <f>IFERROR(_xlfn.XLOOKUP($D335,'Modelling New'!$D:$D,'Modelling New'!$AK:$AK),"")</f>
        <v>0.05</v>
      </c>
      <c r="AQ335" s="186">
        <f>IFERROR(_xlfn.XLOOKUP($D335,'Modelling New'!$D:$D,'Modelling New'!$AL:$AL),"")</f>
        <v>0.05</v>
      </c>
      <c r="AR335">
        <f>IFERROR(_xlfn.XLOOKUP($D335,'Modelling New'!$D:$D,'Modelling New'!$N:$N),"")</f>
        <v>78</v>
      </c>
    </row>
    <row r="336" spans="1:44">
      <c r="A336" s="180">
        <f t="shared" si="32"/>
        <v>46079</v>
      </c>
      <c r="B336" s="169">
        <f>YEAR(Table13[[#This Row],[Date]])+IF(MONTH(Table13[[#This Row],[Date]])&gt;=4,1,0)</f>
        <v>2026</v>
      </c>
      <c r="C336" s="167">
        <f>YEAR(Table13[[#This Row],[Date]])</f>
        <v>2026</v>
      </c>
      <c r="D336" s="181">
        <f>Table13[[#This Row],[Date]]-DAY(Table13[[#This Row],[Date]])+1</f>
        <v>46054</v>
      </c>
      <c r="E336" s="167">
        <f t="shared" si="33"/>
        <v>28</v>
      </c>
      <c r="F336" s="170"/>
      <c r="G336" s="171"/>
      <c r="H336" s="171"/>
      <c r="I336" s="171"/>
      <c r="J336" s="171"/>
      <c r="K336" s="182"/>
      <c r="L336" s="171"/>
      <c r="M336" s="171" t="str">
        <f>IFERROR(_xlfn.XLOOKUP($A336,Input_Raw!$A:$A,Input_Raw!CG:CG),"")</f>
        <v/>
      </c>
      <c r="N336" s="171" t="str">
        <f>IFERROR(_xlfn.XLOOKUP($A336,Input_Raw!$A:$A,Input_Raw!CH:CH),"")</f>
        <v/>
      </c>
      <c r="O336" s="183" t="str">
        <f t="shared" si="34"/>
        <v/>
      </c>
      <c r="P336" s="183" t="str">
        <f>IFERROR(1-SUMIF(WTG_BD!$B:$B,$A336,WTG_BD!$AB:$AB)/($AA336+SUMIF(WTG_BD!$B:$B,$A336,WTG_BD!$AB:$AB)),"")</f>
        <v/>
      </c>
      <c r="Q336" s="184" t="str">
        <f>IFERROR(1-SUMIF(IGA_BD!$B:$B,$A336,IGA_BD!$X:$X)/($AA336+SUMIF(IGA_BD!$B:$B,$A336,IGA_BD!$X:$X)),"")</f>
        <v/>
      </c>
      <c r="R336" s="189" t="str">
        <f>IFERROR(1-SUMIF(Grid_BD!$B:$B,$A336,Grid_BD!$V:$V)/($AA336+SUMIF(Grid_BD!$B:$B,$A336,Grid_BD!$V:$V)),"")</f>
        <v/>
      </c>
      <c r="S336" s="167"/>
      <c r="T336" s="184"/>
      <c r="U336" s="185"/>
      <c r="V336" s="167"/>
      <c r="W336" s="186" t="str">
        <f>IFERROR(Table13[[#This Row],[Mtr_Net_Exp (KWh)]]/(24*AR336*1000),"")</f>
        <v/>
      </c>
      <c r="X336" s="167" t="str">
        <f>IFERROR(_xlfn.XLOOKUP($A336,Input_Raw!$A:$A,Input_Raw!$CF:$CF),"")</f>
        <v/>
      </c>
      <c r="Y336" s="167" t="str">
        <f>IFERROR(_xlfn.XLOOKUP($A336,Input_Raw!$A:$A,Input_Raw!$CZ:$CZ),"")</f>
        <v/>
      </c>
      <c r="Z336" s="167" t="str">
        <f>IFERROR(_xlfn.XLOOKUP($A336,Input_Raw!$A:$A,Input_Raw!$DA:$DA),"")</f>
        <v/>
      </c>
      <c r="AA336" s="169" t="str">
        <f t="shared" si="35"/>
        <v/>
      </c>
      <c r="AB336" s="167" t="str">
        <f>IFERROR(_xlfn.XLOOKUP($A336,Input_Raw!$A:$A,Input_Raw!$DG:$DG),"")</f>
        <v/>
      </c>
      <c r="AC336" s="187">
        <f>IFERROR(_xlfn.XLOOKUP($D336,'Modelling New'!$D:$D,'Modelling New'!$J:$J),"")</f>
        <v>4.3</v>
      </c>
      <c r="AD336" s="169">
        <f>IFERROR(_xlfn.XLOOKUP($D336,'Modelling New'!$D:$D,'Modelling New'!$T:$T)*1000,"")</f>
        <v>171913.60080596086</v>
      </c>
      <c r="AE336" s="186"/>
      <c r="AF336" s="186">
        <f>IFERROR(_xlfn.XLOOKUP($D336,'Modelling New'!$D:$D,'Modelling New'!$W:$W),"")</f>
        <v>9.1834188464722688E-2</v>
      </c>
      <c r="AG336" s="186">
        <f>IFERROR(_xlfn.XLOOKUP($D336,'Modelling New'!$D:$D,'Modelling New'!$AE:$AE),"")</f>
        <v>0.96029999999999993</v>
      </c>
      <c r="AH336" s="186">
        <f>IFERROR(_xlfn.XLOOKUP($D336,'Modelling New'!$D:$D,'Modelling New'!$AF:$AF),"")</f>
        <v>0.995</v>
      </c>
      <c r="AI336" s="167" t="str">
        <f>IFERROR(_xlfn.XLOOKUP($A336,Input_Raw!$A:$A,Input_Raw!$DE:$DE),"")</f>
        <v/>
      </c>
      <c r="AJ336" s="167"/>
      <c r="AK336" s="167"/>
      <c r="AL336" s="167"/>
      <c r="AM336" s="167"/>
      <c r="AN336" s="188" t="str">
        <f>IFERROR(_xlfn.XLOOKUP($A336,Input_Raw!$A:$A,Input_Raw!$DB:$DB),"")</f>
        <v/>
      </c>
      <c r="AO336" s="186" t="str">
        <f>IFERROR((_xlfn.XLOOKUP($A336,'WTG Reactive Power'!$A:$A,'WTG Reactive Power'!$AR:$AR))/X336/1000,"")</f>
        <v/>
      </c>
      <c r="AP336" s="186">
        <f>IFERROR(_xlfn.XLOOKUP($D336,'Modelling New'!$D:$D,'Modelling New'!$AK:$AK),"")</f>
        <v>0.05</v>
      </c>
      <c r="AQ336" s="186">
        <f>IFERROR(_xlfn.XLOOKUP($D336,'Modelling New'!$D:$D,'Modelling New'!$AL:$AL),"")</f>
        <v>0.05</v>
      </c>
      <c r="AR336">
        <f>IFERROR(_xlfn.XLOOKUP($D336,'Modelling New'!$D:$D,'Modelling New'!$N:$N),"")</f>
        <v>78</v>
      </c>
    </row>
    <row r="337" spans="1:44">
      <c r="A337" s="180">
        <f t="shared" si="32"/>
        <v>46080</v>
      </c>
      <c r="B337" s="169">
        <f>YEAR(Table13[[#This Row],[Date]])+IF(MONTH(Table13[[#This Row],[Date]])&gt;=4,1,0)</f>
        <v>2026</v>
      </c>
      <c r="C337" s="167">
        <f>YEAR(Table13[[#This Row],[Date]])</f>
        <v>2026</v>
      </c>
      <c r="D337" s="181">
        <f>Table13[[#This Row],[Date]]-DAY(Table13[[#This Row],[Date]])+1</f>
        <v>46054</v>
      </c>
      <c r="E337" s="167">
        <f t="shared" si="33"/>
        <v>28</v>
      </c>
      <c r="F337" s="170"/>
      <c r="G337" s="171"/>
      <c r="H337" s="171"/>
      <c r="I337" s="171"/>
      <c r="J337" s="171"/>
      <c r="K337" s="182"/>
      <c r="L337" s="171"/>
      <c r="M337" s="171" t="str">
        <f>IFERROR(_xlfn.XLOOKUP($A337,Input_Raw!$A:$A,Input_Raw!CG:CG),"")</f>
        <v/>
      </c>
      <c r="N337" s="171" t="str">
        <f>IFERROR(_xlfn.XLOOKUP($A337,Input_Raw!$A:$A,Input_Raw!CH:CH),"")</f>
        <v/>
      </c>
      <c r="O337" s="183" t="str">
        <f t="shared" si="34"/>
        <v/>
      </c>
      <c r="P337" s="183" t="str">
        <f>IFERROR(1-SUMIF(WTG_BD!$B:$B,$A337,WTG_BD!$AB:$AB)/($AA337+SUMIF(WTG_BD!$B:$B,$A337,WTG_BD!$AB:$AB)),"")</f>
        <v/>
      </c>
      <c r="Q337" s="184" t="str">
        <f>IFERROR(1-SUMIF(IGA_BD!$B:$B,$A337,IGA_BD!$X:$X)/($AA337+SUMIF(IGA_BD!$B:$B,$A337,IGA_BD!$X:$X)),"")</f>
        <v/>
      </c>
      <c r="R337" s="189" t="str">
        <f>IFERROR(1-SUMIF(Grid_BD!$B:$B,$A337,Grid_BD!$V:$V)/($AA337+SUMIF(Grid_BD!$B:$B,$A337,Grid_BD!$V:$V)),"")</f>
        <v/>
      </c>
      <c r="S337" s="167"/>
      <c r="T337" s="184"/>
      <c r="U337" s="185"/>
      <c r="V337" s="167"/>
      <c r="W337" s="186" t="str">
        <f>IFERROR(Table13[[#This Row],[Mtr_Net_Exp (KWh)]]/(24*AR337*1000),"")</f>
        <v/>
      </c>
      <c r="X337" s="167" t="str">
        <f>IFERROR(_xlfn.XLOOKUP($A337,Input_Raw!$A:$A,Input_Raw!$CF:$CF),"")</f>
        <v/>
      </c>
      <c r="Y337" s="167" t="str">
        <f>IFERROR(_xlfn.XLOOKUP($A337,Input_Raw!$A:$A,Input_Raw!$CZ:$CZ),"")</f>
        <v/>
      </c>
      <c r="Z337" s="167" t="str">
        <f>IFERROR(_xlfn.XLOOKUP($A337,Input_Raw!$A:$A,Input_Raw!$DA:$DA),"")</f>
        <v/>
      </c>
      <c r="AA337" s="169" t="str">
        <f t="shared" si="35"/>
        <v/>
      </c>
      <c r="AB337" s="167" t="str">
        <f>IFERROR(_xlfn.XLOOKUP($A337,Input_Raw!$A:$A,Input_Raw!$DG:$DG),"")</f>
        <v/>
      </c>
      <c r="AC337" s="187">
        <f>IFERROR(_xlfn.XLOOKUP($D337,'Modelling New'!$D:$D,'Modelling New'!$J:$J),"")</f>
        <v>4.3</v>
      </c>
      <c r="AD337" s="169">
        <f>IFERROR(_xlfn.XLOOKUP($D337,'Modelling New'!$D:$D,'Modelling New'!$T:$T)*1000,"")</f>
        <v>171913.60080596086</v>
      </c>
      <c r="AE337" s="186"/>
      <c r="AF337" s="186">
        <f>IFERROR(_xlfn.XLOOKUP($D337,'Modelling New'!$D:$D,'Modelling New'!$W:$W),"")</f>
        <v>9.1834188464722688E-2</v>
      </c>
      <c r="AG337" s="186">
        <f>IFERROR(_xlfn.XLOOKUP($D337,'Modelling New'!$D:$D,'Modelling New'!$AE:$AE),"")</f>
        <v>0.96029999999999993</v>
      </c>
      <c r="AH337" s="186">
        <f>IFERROR(_xlfn.XLOOKUP($D337,'Modelling New'!$D:$D,'Modelling New'!$AF:$AF),"")</f>
        <v>0.995</v>
      </c>
      <c r="AI337" s="167" t="str">
        <f>IFERROR(_xlfn.XLOOKUP($A337,Input_Raw!$A:$A,Input_Raw!$DE:$DE),"")</f>
        <v/>
      </c>
      <c r="AJ337" s="167"/>
      <c r="AK337" s="167"/>
      <c r="AL337" s="167"/>
      <c r="AM337" s="167"/>
      <c r="AN337" s="188" t="str">
        <f>IFERROR(_xlfn.XLOOKUP($A337,Input_Raw!$A:$A,Input_Raw!$DB:$DB),"")</f>
        <v/>
      </c>
      <c r="AO337" s="186" t="str">
        <f>IFERROR((_xlfn.XLOOKUP($A337,'WTG Reactive Power'!$A:$A,'WTG Reactive Power'!$AR:$AR))/X337/1000,"")</f>
        <v/>
      </c>
      <c r="AP337" s="186">
        <f>IFERROR(_xlfn.XLOOKUP($D337,'Modelling New'!$D:$D,'Modelling New'!$AK:$AK),"")</f>
        <v>0.05</v>
      </c>
      <c r="AQ337" s="186">
        <f>IFERROR(_xlfn.XLOOKUP($D337,'Modelling New'!$D:$D,'Modelling New'!$AL:$AL),"")</f>
        <v>0.05</v>
      </c>
      <c r="AR337">
        <f>IFERROR(_xlfn.XLOOKUP($D337,'Modelling New'!$D:$D,'Modelling New'!$N:$N),"")</f>
        <v>78</v>
      </c>
    </row>
    <row r="338" spans="1:44">
      <c r="A338" s="180">
        <f t="shared" si="32"/>
        <v>46081</v>
      </c>
      <c r="B338" s="169">
        <f>YEAR(Table13[[#This Row],[Date]])+IF(MONTH(Table13[[#This Row],[Date]])&gt;=4,1,0)</f>
        <v>2026</v>
      </c>
      <c r="C338" s="167">
        <f>YEAR(Table13[[#This Row],[Date]])</f>
        <v>2026</v>
      </c>
      <c r="D338" s="181">
        <f>Table13[[#This Row],[Date]]-DAY(Table13[[#This Row],[Date]])+1</f>
        <v>46054</v>
      </c>
      <c r="E338" s="167">
        <f t="shared" si="33"/>
        <v>28</v>
      </c>
      <c r="F338" s="170"/>
      <c r="G338" s="171"/>
      <c r="H338" s="171"/>
      <c r="I338" s="171"/>
      <c r="J338" s="171"/>
      <c r="K338" s="182"/>
      <c r="L338" s="171"/>
      <c r="M338" s="171" t="str">
        <f>IFERROR(_xlfn.XLOOKUP($A338,Input_Raw!$A:$A,Input_Raw!CG:CG),"")</f>
        <v/>
      </c>
      <c r="N338" s="171" t="str">
        <f>IFERROR(_xlfn.XLOOKUP($A338,Input_Raw!$A:$A,Input_Raw!CH:CH),"")</f>
        <v/>
      </c>
      <c r="O338" s="183" t="str">
        <f t="shared" si="34"/>
        <v/>
      </c>
      <c r="P338" s="183" t="str">
        <f>IFERROR(1-SUMIF(WTG_BD!$B:$B,$A338,WTG_BD!$AB:$AB)/($AA338+SUMIF(WTG_BD!$B:$B,$A338,WTG_BD!$AB:$AB)),"")</f>
        <v/>
      </c>
      <c r="Q338" s="184" t="str">
        <f>IFERROR(1-SUMIF(IGA_BD!$B:$B,$A338,IGA_BD!$X:$X)/($AA338+SUMIF(IGA_BD!$B:$B,$A338,IGA_BD!$X:$X)),"")</f>
        <v/>
      </c>
      <c r="R338" s="189" t="str">
        <f>IFERROR(1-SUMIF(Grid_BD!$B:$B,$A338,Grid_BD!$V:$V)/($AA338+SUMIF(Grid_BD!$B:$B,$A338,Grid_BD!$V:$V)),"")</f>
        <v/>
      </c>
      <c r="S338" s="167"/>
      <c r="T338" s="184"/>
      <c r="U338" s="185"/>
      <c r="V338" s="167"/>
      <c r="W338" s="186" t="str">
        <f>IFERROR(Table13[[#This Row],[Mtr_Net_Exp (KWh)]]/(24*AR338*1000),"")</f>
        <v/>
      </c>
      <c r="X338" s="167" t="str">
        <f>IFERROR(_xlfn.XLOOKUP($A338,Input_Raw!$A:$A,Input_Raw!$CF:$CF),"")</f>
        <v/>
      </c>
      <c r="Y338" s="167" t="str">
        <f>IFERROR(_xlfn.XLOOKUP($A338,Input_Raw!$A:$A,Input_Raw!$CZ:$CZ),"")</f>
        <v/>
      </c>
      <c r="Z338" s="167" t="str">
        <f>IFERROR(_xlfn.XLOOKUP($A338,Input_Raw!$A:$A,Input_Raw!$DA:$DA),"")</f>
        <v/>
      </c>
      <c r="AA338" s="169" t="str">
        <f t="shared" si="35"/>
        <v/>
      </c>
      <c r="AB338" s="167" t="str">
        <f>IFERROR(_xlfn.XLOOKUP($A338,Input_Raw!$A:$A,Input_Raw!$DG:$DG),"")</f>
        <v/>
      </c>
      <c r="AC338" s="187">
        <f>IFERROR(_xlfn.XLOOKUP($D338,'Modelling New'!$D:$D,'Modelling New'!$J:$J),"")</f>
        <v>4.3</v>
      </c>
      <c r="AD338" s="169">
        <f>IFERROR(_xlfn.XLOOKUP($D338,'Modelling New'!$D:$D,'Modelling New'!$T:$T)*1000,"")</f>
        <v>171913.60080596086</v>
      </c>
      <c r="AE338" s="186"/>
      <c r="AF338" s="186">
        <f>IFERROR(_xlfn.XLOOKUP($D338,'Modelling New'!$D:$D,'Modelling New'!$W:$W),"")</f>
        <v>9.1834188464722688E-2</v>
      </c>
      <c r="AG338" s="186">
        <f>IFERROR(_xlfn.XLOOKUP($D338,'Modelling New'!$D:$D,'Modelling New'!$AE:$AE),"")</f>
        <v>0.96029999999999993</v>
      </c>
      <c r="AH338" s="186">
        <f>IFERROR(_xlfn.XLOOKUP($D338,'Modelling New'!$D:$D,'Modelling New'!$AF:$AF),"")</f>
        <v>0.995</v>
      </c>
      <c r="AI338" s="167" t="str">
        <f>IFERROR(_xlfn.XLOOKUP($A338,Input_Raw!$A:$A,Input_Raw!$DE:$DE),"")</f>
        <v/>
      </c>
      <c r="AJ338" s="167"/>
      <c r="AK338" s="167"/>
      <c r="AL338" s="167"/>
      <c r="AM338" s="167"/>
      <c r="AN338" s="188" t="str">
        <f>IFERROR(_xlfn.XLOOKUP($A338,Input_Raw!$A:$A,Input_Raw!$DB:$DB),"")</f>
        <v/>
      </c>
      <c r="AO338" s="186" t="str">
        <f>IFERROR((_xlfn.XLOOKUP($A338,'WTG Reactive Power'!$A:$A,'WTG Reactive Power'!$AR:$AR))/X338/1000,"")</f>
        <v/>
      </c>
      <c r="AP338" s="186">
        <f>IFERROR(_xlfn.XLOOKUP($D338,'Modelling New'!$D:$D,'Modelling New'!$AK:$AK),"")</f>
        <v>0.05</v>
      </c>
      <c r="AQ338" s="186">
        <f>IFERROR(_xlfn.XLOOKUP($D338,'Modelling New'!$D:$D,'Modelling New'!$AL:$AL),"")</f>
        <v>0.05</v>
      </c>
      <c r="AR338">
        <f>IFERROR(_xlfn.XLOOKUP($D338,'Modelling New'!$D:$D,'Modelling New'!$N:$N),"")</f>
        <v>78</v>
      </c>
    </row>
    <row r="339" spans="1:44">
      <c r="A339" s="180">
        <f t="shared" si="32"/>
        <v>46082</v>
      </c>
      <c r="B339" s="169">
        <f>YEAR(Table13[[#This Row],[Date]])+IF(MONTH(Table13[[#This Row],[Date]])&gt;=4,1,0)</f>
        <v>2026</v>
      </c>
      <c r="C339" s="167">
        <f>YEAR(Table13[[#This Row],[Date]])</f>
        <v>2026</v>
      </c>
      <c r="D339" s="181">
        <f>Table13[[#This Row],[Date]]-DAY(Table13[[#This Row],[Date]])+1</f>
        <v>46082</v>
      </c>
      <c r="E339" s="167">
        <f t="shared" si="33"/>
        <v>31</v>
      </c>
      <c r="F339" s="170"/>
      <c r="G339" s="171"/>
      <c r="H339" s="171"/>
      <c r="I339" s="171"/>
      <c r="J339" s="171"/>
      <c r="K339" s="182"/>
      <c r="L339" s="171"/>
      <c r="M339" s="171" t="str">
        <f>IFERROR(_xlfn.XLOOKUP($A339,Input_Raw!$A:$A,Input_Raw!CG:CG),"")</f>
        <v/>
      </c>
      <c r="N339" s="171" t="str">
        <f>IFERROR(_xlfn.XLOOKUP($A339,Input_Raw!$A:$A,Input_Raw!CH:CH),"")</f>
        <v/>
      </c>
      <c r="O339" s="183" t="str">
        <f t="shared" si="34"/>
        <v/>
      </c>
      <c r="P339" s="183" t="str">
        <f>IFERROR(1-SUMIF(WTG_BD!$B:$B,$A339,WTG_BD!$AB:$AB)/($AA339+SUMIF(WTG_BD!$B:$B,$A339,WTG_BD!$AB:$AB)),"")</f>
        <v/>
      </c>
      <c r="Q339" s="184" t="str">
        <f>IFERROR(1-SUMIF(IGA_BD!$B:$B,$A339,IGA_BD!$X:$X)/($AA339+SUMIF(IGA_BD!$B:$B,$A339,IGA_BD!$X:$X)),"")</f>
        <v/>
      </c>
      <c r="R339" s="189" t="str">
        <f>IFERROR(1-SUMIF(Grid_BD!$B:$B,$A339,Grid_BD!$V:$V)/($AA339+SUMIF(Grid_BD!$B:$B,$A339,Grid_BD!$V:$V)),"")</f>
        <v/>
      </c>
      <c r="S339" s="167"/>
      <c r="T339" s="184"/>
      <c r="U339" s="185"/>
      <c r="V339" s="167"/>
      <c r="W339" s="186" t="str">
        <f>IFERROR(Table13[[#This Row],[Mtr_Net_Exp (KWh)]]/(24*AR339*1000),"")</f>
        <v/>
      </c>
      <c r="X339" s="167" t="str">
        <f>IFERROR(_xlfn.XLOOKUP($A339,Input_Raw!$A:$A,Input_Raw!$CF:$CF),"")</f>
        <v/>
      </c>
      <c r="Y339" s="167" t="str">
        <f>IFERROR(_xlfn.XLOOKUP($A339,Input_Raw!$A:$A,Input_Raw!$CZ:$CZ),"")</f>
        <v/>
      </c>
      <c r="Z339" s="167" t="str">
        <f>IFERROR(_xlfn.XLOOKUP($A339,Input_Raw!$A:$A,Input_Raw!$DA:$DA),"")</f>
        <v/>
      </c>
      <c r="AA339" s="169" t="str">
        <f t="shared" si="35"/>
        <v/>
      </c>
      <c r="AB339" s="167" t="str">
        <f>IFERROR(_xlfn.XLOOKUP($A339,Input_Raw!$A:$A,Input_Raw!$DG:$DG),"")</f>
        <v/>
      </c>
      <c r="AC339" s="187">
        <f>IFERROR(_xlfn.XLOOKUP($D339,'Modelling New'!$D:$D,'Modelling New'!$J:$J),"")</f>
        <v>4.5999999999999996</v>
      </c>
      <c r="AD339" s="169">
        <f>IFERROR(_xlfn.XLOOKUP($D339,'Modelling New'!$D:$D,'Modelling New'!$T:$T)*1000,"")</f>
        <v>221156.23146397382</v>
      </c>
      <c r="AE339" s="186"/>
      <c r="AF339" s="186">
        <f>IFERROR(_xlfn.XLOOKUP($D339,'Modelling New'!$D:$D,'Modelling New'!$W:$W),"")</f>
        <v>0.11813901253417405</v>
      </c>
      <c r="AG339" s="186">
        <f>IFERROR(_xlfn.XLOOKUP($D339,'Modelling New'!$D:$D,'Modelling New'!$AE:$AE),"")</f>
        <v>0.96029999999999993</v>
      </c>
      <c r="AH339" s="186">
        <f>IFERROR(_xlfn.XLOOKUP($D339,'Modelling New'!$D:$D,'Modelling New'!$AF:$AF),"")</f>
        <v>0.995</v>
      </c>
      <c r="AI339" s="167" t="str">
        <f>IFERROR(_xlfn.XLOOKUP($A339,Input_Raw!$A:$A,Input_Raw!$DE:$DE),"")</f>
        <v/>
      </c>
      <c r="AJ339" s="167"/>
      <c r="AK339" s="167"/>
      <c r="AL339" s="167"/>
      <c r="AM339" s="167"/>
      <c r="AN339" s="188" t="str">
        <f>IFERROR(_xlfn.XLOOKUP($A339,Input_Raw!$A:$A,Input_Raw!$DB:$DB),"")</f>
        <v/>
      </c>
      <c r="AO339" s="186" t="str">
        <f>IFERROR((_xlfn.XLOOKUP($A339,'WTG Reactive Power'!$A:$A,'WTG Reactive Power'!$AR:$AR))/X339/1000,"")</f>
        <v/>
      </c>
      <c r="AP339" s="186">
        <f>IFERROR(_xlfn.XLOOKUP($D339,'Modelling New'!$D:$D,'Modelling New'!$AK:$AK),"")</f>
        <v>0.05</v>
      </c>
      <c r="AQ339" s="186">
        <f>IFERROR(_xlfn.XLOOKUP($D339,'Modelling New'!$D:$D,'Modelling New'!$AL:$AL),"")</f>
        <v>0.05</v>
      </c>
      <c r="AR339">
        <f>IFERROR(_xlfn.XLOOKUP($D339,'Modelling New'!$D:$D,'Modelling New'!$N:$N),"")</f>
        <v>78</v>
      </c>
    </row>
    <row r="340" spans="1:44">
      <c r="A340" s="180">
        <f t="shared" si="32"/>
        <v>46083</v>
      </c>
      <c r="B340" s="169">
        <f>YEAR(Table13[[#This Row],[Date]])+IF(MONTH(Table13[[#This Row],[Date]])&gt;=4,1,0)</f>
        <v>2026</v>
      </c>
      <c r="C340" s="167">
        <f>YEAR(Table13[[#This Row],[Date]])</f>
        <v>2026</v>
      </c>
      <c r="D340" s="181">
        <f>Table13[[#This Row],[Date]]-DAY(Table13[[#This Row],[Date]])+1</f>
        <v>46082</v>
      </c>
      <c r="E340" s="167">
        <f t="shared" si="33"/>
        <v>31</v>
      </c>
      <c r="F340" s="170"/>
      <c r="G340" s="171"/>
      <c r="H340" s="171"/>
      <c r="I340" s="171"/>
      <c r="J340" s="171"/>
      <c r="K340" s="182"/>
      <c r="L340" s="171"/>
      <c r="M340" s="171" t="str">
        <f>IFERROR(_xlfn.XLOOKUP($A340,Input_Raw!$A:$A,Input_Raw!CG:CG),"")</f>
        <v/>
      </c>
      <c r="N340" s="171" t="str">
        <f>IFERROR(_xlfn.XLOOKUP($A340,Input_Raw!$A:$A,Input_Raw!CH:CH),"")</f>
        <v/>
      </c>
      <c r="O340" s="183" t="str">
        <f t="shared" si="34"/>
        <v/>
      </c>
      <c r="P340" s="183" t="str">
        <f>IFERROR(1-SUMIF(WTG_BD!$B:$B,$A340,WTG_BD!$AB:$AB)/($AA340+SUMIF(WTG_BD!$B:$B,$A340,WTG_BD!$AB:$AB)),"")</f>
        <v/>
      </c>
      <c r="Q340" s="184" t="str">
        <f>IFERROR(1-SUMIF(IGA_BD!$B:$B,$A340,IGA_BD!$X:$X)/($AA340+SUMIF(IGA_BD!$B:$B,$A340,IGA_BD!$X:$X)),"")</f>
        <v/>
      </c>
      <c r="R340" s="189" t="str">
        <f>IFERROR(1-SUMIF(Grid_BD!$B:$B,$A340,Grid_BD!$V:$V)/($AA340+SUMIF(Grid_BD!$B:$B,$A340,Grid_BD!$V:$V)),"")</f>
        <v/>
      </c>
      <c r="S340" s="167"/>
      <c r="T340" s="184"/>
      <c r="U340" s="185"/>
      <c r="V340" s="167"/>
      <c r="W340" s="186" t="str">
        <f>IFERROR(Table13[[#This Row],[Mtr_Net_Exp (KWh)]]/(24*AR340*1000),"")</f>
        <v/>
      </c>
      <c r="X340" s="167" t="str">
        <f>IFERROR(_xlfn.XLOOKUP($A340,Input_Raw!$A:$A,Input_Raw!$CF:$CF),"")</f>
        <v/>
      </c>
      <c r="Y340" s="167" t="str">
        <f>IFERROR(_xlfn.XLOOKUP($A340,Input_Raw!$A:$A,Input_Raw!$CZ:$CZ),"")</f>
        <v/>
      </c>
      <c r="Z340" s="167" t="str">
        <f>IFERROR(_xlfn.XLOOKUP($A340,Input_Raw!$A:$A,Input_Raw!$DA:$DA),"")</f>
        <v/>
      </c>
      <c r="AA340" s="169" t="str">
        <f t="shared" si="35"/>
        <v/>
      </c>
      <c r="AB340" s="167" t="str">
        <f>IFERROR(_xlfn.XLOOKUP($A340,Input_Raw!$A:$A,Input_Raw!$DG:$DG),"")</f>
        <v/>
      </c>
      <c r="AC340" s="187">
        <f>IFERROR(_xlfn.XLOOKUP($D340,'Modelling New'!$D:$D,'Modelling New'!$J:$J),"")</f>
        <v>4.5999999999999996</v>
      </c>
      <c r="AD340" s="169">
        <f>IFERROR(_xlfn.XLOOKUP($D340,'Modelling New'!$D:$D,'Modelling New'!$T:$T)*1000,"")</f>
        <v>221156.23146397382</v>
      </c>
      <c r="AE340" s="186"/>
      <c r="AF340" s="186">
        <f>IFERROR(_xlfn.XLOOKUP($D340,'Modelling New'!$D:$D,'Modelling New'!$W:$W),"")</f>
        <v>0.11813901253417405</v>
      </c>
      <c r="AG340" s="186">
        <f>IFERROR(_xlfn.XLOOKUP($D340,'Modelling New'!$D:$D,'Modelling New'!$AE:$AE),"")</f>
        <v>0.96029999999999993</v>
      </c>
      <c r="AH340" s="186">
        <f>IFERROR(_xlfn.XLOOKUP($D340,'Modelling New'!$D:$D,'Modelling New'!$AF:$AF),"")</f>
        <v>0.995</v>
      </c>
      <c r="AI340" s="167" t="str">
        <f>IFERROR(_xlfn.XLOOKUP($A340,Input_Raw!$A:$A,Input_Raw!$DE:$DE),"")</f>
        <v/>
      </c>
      <c r="AJ340" s="167"/>
      <c r="AK340" s="167"/>
      <c r="AL340" s="167"/>
      <c r="AM340" s="167"/>
      <c r="AN340" s="188" t="str">
        <f>IFERROR(_xlfn.XLOOKUP($A340,Input_Raw!$A:$A,Input_Raw!$DB:$DB),"")</f>
        <v/>
      </c>
      <c r="AO340" s="186" t="str">
        <f>IFERROR((_xlfn.XLOOKUP($A340,'WTG Reactive Power'!$A:$A,'WTG Reactive Power'!$AR:$AR))/X340/1000,"")</f>
        <v/>
      </c>
      <c r="AP340" s="186">
        <f>IFERROR(_xlfn.XLOOKUP($D340,'Modelling New'!$D:$D,'Modelling New'!$AK:$AK),"")</f>
        <v>0.05</v>
      </c>
      <c r="AQ340" s="186">
        <f>IFERROR(_xlfn.XLOOKUP($D340,'Modelling New'!$D:$D,'Modelling New'!$AL:$AL),"")</f>
        <v>0.05</v>
      </c>
      <c r="AR340">
        <f>IFERROR(_xlfn.XLOOKUP($D340,'Modelling New'!$D:$D,'Modelling New'!$N:$N),"")</f>
        <v>78</v>
      </c>
    </row>
    <row r="341" spans="1:44">
      <c r="A341" s="180">
        <f t="shared" si="32"/>
        <v>46084</v>
      </c>
      <c r="B341" s="169">
        <f>YEAR(Table13[[#This Row],[Date]])+IF(MONTH(Table13[[#This Row],[Date]])&gt;=4,1,0)</f>
        <v>2026</v>
      </c>
      <c r="C341" s="167">
        <f>YEAR(Table13[[#This Row],[Date]])</f>
        <v>2026</v>
      </c>
      <c r="D341" s="181">
        <f>Table13[[#This Row],[Date]]-DAY(Table13[[#This Row],[Date]])+1</f>
        <v>46082</v>
      </c>
      <c r="E341" s="167">
        <f t="shared" si="33"/>
        <v>31</v>
      </c>
      <c r="F341" s="170"/>
      <c r="G341" s="171"/>
      <c r="H341" s="171"/>
      <c r="I341" s="171"/>
      <c r="J341" s="171"/>
      <c r="K341" s="182"/>
      <c r="L341" s="171"/>
      <c r="M341" s="171" t="str">
        <f>IFERROR(_xlfn.XLOOKUP($A341,Input_Raw!$A:$A,Input_Raw!CG:CG),"")</f>
        <v/>
      </c>
      <c r="N341" s="171" t="str">
        <f>IFERROR(_xlfn.XLOOKUP($A341,Input_Raw!$A:$A,Input_Raw!CH:CH),"")</f>
        <v/>
      </c>
      <c r="O341" s="183" t="str">
        <f t="shared" si="34"/>
        <v/>
      </c>
      <c r="P341" s="183" t="str">
        <f>IFERROR(1-SUMIF(WTG_BD!$B:$B,$A341,WTG_BD!$AB:$AB)/($AA341+SUMIF(WTG_BD!$B:$B,$A341,WTG_BD!$AB:$AB)),"")</f>
        <v/>
      </c>
      <c r="Q341" s="184" t="str">
        <f>IFERROR(1-SUMIF(IGA_BD!$B:$B,$A341,IGA_BD!$X:$X)/($AA341+SUMIF(IGA_BD!$B:$B,$A341,IGA_BD!$X:$X)),"")</f>
        <v/>
      </c>
      <c r="R341" s="189" t="str">
        <f>IFERROR(1-SUMIF(Grid_BD!$B:$B,$A341,Grid_BD!$V:$V)/($AA341+SUMIF(Grid_BD!$B:$B,$A341,Grid_BD!$V:$V)),"")</f>
        <v/>
      </c>
      <c r="S341" s="167"/>
      <c r="T341" s="184"/>
      <c r="U341" s="185"/>
      <c r="V341" s="167"/>
      <c r="W341" s="186" t="str">
        <f>IFERROR(Table13[[#This Row],[Mtr_Net_Exp (KWh)]]/(24*AR341*1000),"")</f>
        <v/>
      </c>
      <c r="X341" s="167" t="str">
        <f>IFERROR(_xlfn.XLOOKUP($A341,Input_Raw!$A:$A,Input_Raw!$CF:$CF),"")</f>
        <v/>
      </c>
      <c r="Y341" s="167" t="str">
        <f>IFERROR(_xlfn.XLOOKUP($A341,Input_Raw!$A:$A,Input_Raw!$CZ:$CZ),"")</f>
        <v/>
      </c>
      <c r="Z341" s="167" t="str">
        <f>IFERROR(_xlfn.XLOOKUP($A341,Input_Raw!$A:$A,Input_Raw!$DA:$DA),"")</f>
        <v/>
      </c>
      <c r="AA341" s="169" t="str">
        <f t="shared" si="35"/>
        <v/>
      </c>
      <c r="AB341" s="167" t="str">
        <f>IFERROR(_xlfn.XLOOKUP($A341,Input_Raw!$A:$A,Input_Raw!$DG:$DG),"")</f>
        <v/>
      </c>
      <c r="AC341" s="187">
        <f>IFERROR(_xlfn.XLOOKUP($D341,'Modelling New'!$D:$D,'Modelling New'!$J:$J),"")</f>
        <v>4.5999999999999996</v>
      </c>
      <c r="AD341" s="169">
        <f>IFERROR(_xlfn.XLOOKUP($D341,'Modelling New'!$D:$D,'Modelling New'!$T:$T)*1000,"")</f>
        <v>221156.23146397382</v>
      </c>
      <c r="AE341" s="186"/>
      <c r="AF341" s="186">
        <f>IFERROR(_xlfn.XLOOKUP($D341,'Modelling New'!$D:$D,'Modelling New'!$W:$W),"")</f>
        <v>0.11813901253417405</v>
      </c>
      <c r="AG341" s="186">
        <f>IFERROR(_xlfn.XLOOKUP($D341,'Modelling New'!$D:$D,'Modelling New'!$AE:$AE),"")</f>
        <v>0.96029999999999993</v>
      </c>
      <c r="AH341" s="186">
        <f>IFERROR(_xlfn.XLOOKUP($D341,'Modelling New'!$D:$D,'Modelling New'!$AF:$AF),"")</f>
        <v>0.995</v>
      </c>
      <c r="AI341" s="167" t="str">
        <f>IFERROR(_xlfn.XLOOKUP($A341,Input_Raw!$A:$A,Input_Raw!$DE:$DE),"")</f>
        <v/>
      </c>
      <c r="AJ341" s="167"/>
      <c r="AK341" s="167"/>
      <c r="AL341" s="167"/>
      <c r="AM341" s="167"/>
      <c r="AN341" s="188" t="str">
        <f>IFERROR(_xlfn.XLOOKUP($A341,Input_Raw!$A:$A,Input_Raw!$DB:$DB),"")</f>
        <v/>
      </c>
      <c r="AO341" s="186" t="str">
        <f>IFERROR((_xlfn.XLOOKUP($A341,'WTG Reactive Power'!$A:$A,'WTG Reactive Power'!$AR:$AR))/X341/1000,"")</f>
        <v/>
      </c>
      <c r="AP341" s="186">
        <f>IFERROR(_xlfn.XLOOKUP($D341,'Modelling New'!$D:$D,'Modelling New'!$AK:$AK),"")</f>
        <v>0.05</v>
      </c>
      <c r="AQ341" s="186">
        <f>IFERROR(_xlfn.XLOOKUP($D341,'Modelling New'!$D:$D,'Modelling New'!$AL:$AL),"")</f>
        <v>0.05</v>
      </c>
      <c r="AR341">
        <f>IFERROR(_xlfn.XLOOKUP($D341,'Modelling New'!$D:$D,'Modelling New'!$N:$N),"")</f>
        <v>78</v>
      </c>
    </row>
    <row r="342" spans="1:44">
      <c r="A342" s="180">
        <f t="shared" si="32"/>
        <v>46085</v>
      </c>
      <c r="B342" s="169">
        <f>YEAR(Table13[[#This Row],[Date]])+IF(MONTH(Table13[[#This Row],[Date]])&gt;=4,1,0)</f>
        <v>2026</v>
      </c>
      <c r="C342" s="167">
        <f>YEAR(Table13[[#This Row],[Date]])</f>
        <v>2026</v>
      </c>
      <c r="D342" s="181">
        <f>Table13[[#This Row],[Date]]-DAY(Table13[[#This Row],[Date]])+1</f>
        <v>46082</v>
      </c>
      <c r="E342" s="167">
        <f t="shared" si="33"/>
        <v>31</v>
      </c>
      <c r="F342" s="170"/>
      <c r="G342" s="171"/>
      <c r="H342" s="171"/>
      <c r="I342" s="171"/>
      <c r="J342" s="171"/>
      <c r="K342" s="182"/>
      <c r="L342" s="171"/>
      <c r="M342" s="171" t="str">
        <f>IFERROR(_xlfn.XLOOKUP($A342,Input_Raw!$A:$A,Input_Raw!CG:CG),"")</f>
        <v/>
      </c>
      <c r="N342" s="171" t="str">
        <f>IFERROR(_xlfn.XLOOKUP($A342,Input_Raw!$A:$A,Input_Raw!CH:CH),"")</f>
        <v/>
      </c>
      <c r="O342" s="183" t="str">
        <f t="shared" si="34"/>
        <v/>
      </c>
      <c r="P342" s="183" t="str">
        <f>IFERROR(1-SUMIF(WTG_BD!$B:$B,$A342,WTG_BD!$AB:$AB)/($AA342+SUMIF(WTG_BD!$B:$B,$A342,WTG_BD!$AB:$AB)),"")</f>
        <v/>
      </c>
      <c r="Q342" s="184" t="str">
        <f>IFERROR(1-SUMIF(IGA_BD!$B:$B,$A342,IGA_BD!$X:$X)/($AA342+SUMIF(IGA_BD!$B:$B,$A342,IGA_BD!$X:$X)),"")</f>
        <v/>
      </c>
      <c r="R342" s="189" t="str">
        <f>IFERROR(1-SUMIF(Grid_BD!$B:$B,$A342,Grid_BD!$V:$V)/($AA342+SUMIF(Grid_BD!$B:$B,$A342,Grid_BD!$V:$V)),"")</f>
        <v/>
      </c>
      <c r="S342" s="167"/>
      <c r="T342" s="184"/>
      <c r="U342" s="185"/>
      <c r="V342" s="167"/>
      <c r="W342" s="186" t="str">
        <f>IFERROR(Table13[[#This Row],[Mtr_Net_Exp (KWh)]]/(24*AR342*1000),"")</f>
        <v/>
      </c>
      <c r="X342" s="167" t="str">
        <f>IFERROR(_xlfn.XLOOKUP($A342,Input_Raw!$A:$A,Input_Raw!$CF:$CF),"")</f>
        <v/>
      </c>
      <c r="Y342" s="167" t="str">
        <f>IFERROR(_xlfn.XLOOKUP($A342,Input_Raw!$A:$A,Input_Raw!$CZ:$CZ),"")</f>
        <v/>
      </c>
      <c r="Z342" s="167" t="str">
        <f>IFERROR(_xlfn.XLOOKUP($A342,Input_Raw!$A:$A,Input_Raw!$DA:$DA),"")</f>
        <v/>
      </c>
      <c r="AA342" s="169" t="str">
        <f t="shared" si="35"/>
        <v/>
      </c>
      <c r="AB342" s="167" t="str">
        <f>IFERROR(_xlfn.XLOOKUP($A342,Input_Raw!$A:$A,Input_Raw!$DG:$DG),"")</f>
        <v/>
      </c>
      <c r="AC342" s="187">
        <f>IFERROR(_xlfn.XLOOKUP($D342,'Modelling New'!$D:$D,'Modelling New'!$J:$J),"")</f>
        <v>4.5999999999999996</v>
      </c>
      <c r="AD342" s="169">
        <f>IFERROR(_xlfn.XLOOKUP($D342,'Modelling New'!$D:$D,'Modelling New'!$T:$T)*1000,"")</f>
        <v>221156.23146397382</v>
      </c>
      <c r="AE342" s="186"/>
      <c r="AF342" s="186">
        <f>IFERROR(_xlfn.XLOOKUP($D342,'Modelling New'!$D:$D,'Modelling New'!$W:$W),"")</f>
        <v>0.11813901253417405</v>
      </c>
      <c r="AG342" s="186">
        <f>IFERROR(_xlfn.XLOOKUP($D342,'Modelling New'!$D:$D,'Modelling New'!$AE:$AE),"")</f>
        <v>0.96029999999999993</v>
      </c>
      <c r="AH342" s="186">
        <f>IFERROR(_xlfn.XLOOKUP($D342,'Modelling New'!$D:$D,'Modelling New'!$AF:$AF),"")</f>
        <v>0.995</v>
      </c>
      <c r="AI342" s="167" t="str">
        <f>IFERROR(_xlfn.XLOOKUP($A342,Input_Raw!$A:$A,Input_Raw!$DE:$DE),"")</f>
        <v/>
      </c>
      <c r="AJ342" s="167"/>
      <c r="AK342" s="167"/>
      <c r="AL342" s="167"/>
      <c r="AM342" s="167"/>
      <c r="AN342" s="188" t="str">
        <f>IFERROR(_xlfn.XLOOKUP($A342,Input_Raw!$A:$A,Input_Raw!$DB:$DB),"")</f>
        <v/>
      </c>
      <c r="AO342" s="186" t="str">
        <f>IFERROR((_xlfn.XLOOKUP($A342,'WTG Reactive Power'!$A:$A,'WTG Reactive Power'!$AR:$AR))/X342/1000,"")</f>
        <v/>
      </c>
      <c r="AP342" s="186">
        <f>IFERROR(_xlfn.XLOOKUP($D342,'Modelling New'!$D:$D,'Modelling New'!$AK:$AK),"")</f>
        <v>0.05</v>
      </c>
      <c r="AQ342" s="186">
        <f>IFERROR(_xlfn.XLOOKUP($D342,'Modelling New'!$D:$D,'Modelling New'!$AL:$AL),"")</f>
        <v>0.05</v>
      </c>
      <c r="AR342">
        <f>IFERROR(_xlfn.XLOOKUP($D342,'Modelling New'!$D:$D,'Modelling New'!$N:$N),"")</f>
        <v>78</v>
      </c>
    </row>
    <row r="343" spans="1:44">
      <c r="A343" s="180">
        <f t="shared" si="32"/>
        <v>46086</v>
      </c>
      <c r="B343" s="169">
        <f>YEAR(Table13[[#This Row],[Date]])+IF(MONTH(Table13[[#This Row],[Date]])&gt;=4,1,0)</f>
        <v>2026</v>
      </c>
      <c r="C343" s="167">
        <f>YEAR(Table13[[#This Row],[Date]])</f>
        <v>2026</v>
      </c>
      <c r="D343" s="181">
        <f>Table13[[#This Row],[Date]]-DAY(Table13[[#This Row],[Date]])+1</f>
        <v>46082</v>
      </c>
      <c r="E343" s="167">
        <f t="shared" si="33"/>
        <v>31</v>
      </c>
      <c r="F343" s="170"/>
      <c r="G343" s="171"/>
      <c r="H343" s="171"/>
      <c r="I343" s="171"/>
      <c r="J343" s="171"/>
      <c r="K343" s="182"/>
      <c r="L343" s="171"/>
      <c r="M343" s="171" t="str">
        <f>IFERROR(_xlfn.XLOOKUP($A343,Input_Raw!$A:$A,Input_Raw!CG:CG),"")</f>
        <v/>
      </c>
      <c r="N343" s="171" t="str">
        <f>IFERROR(_xlfn.XLOOKUP($A343,Input_Raw!$A:$A,Input_Raw!CH:CH),"")</f>
        <v/>
      </c>
      <c r="O343" s="183" t="str">
        <f t="shared" si="34"/>
        <v/>
      </c>
      <c r="P343" s="183" t="str">
        <f>IFERROR(1-SUMIF(WTG_BD!$B:$B,$A343,WTG_BD!$AB:$AB)/($AA343+SUMIF(WTG_BD!$B:$B,$A343,WTG_BD!$AB:$AB)),"")</f>
        <v/>
      </c>
      <c r="Q343" s="184" t="str">
        <f>IFERROR(1-SUMIF(IGA_BD!$B:$B,$A343,IGA_BD!$X:$X)/($AA343+SUMIF(IGA_BD!$B:$B,$A343,IGA_BD!$X:$X)),"")</f>
        <v/>
      </c>
      <c r="R343" s="189" t="str">
        <f>IFERROR(1-SUMIF(Grid_BD!$B:$B,$A343,Grid_BD!$V:$V)/($AA343+SUMIF(Grid_BD!$B:$B,$A343,Grid_BD!$V:$V)),"")</f>
        <v/>
      </c>
      <c r="S343" s="167"/>
      <c r="T343" s="184"/>
      <c r="U343" s="185"/>
      <c r="V343" s="167"/>
      <c r="W343" s="186" t="str">
        <f>IFERROR(Table13[[#This Row],[Mtr_Net_Exp (KWh)]]/(24*AR343*1000),"")</f>
        <v/>
      </c>
      <c r="X343" s="167" t="str">
        <f>IFERROR(_xlfn.XLOOKUP($A343,Input_Raw!$A:$A,Input_Raw!$CF:$CF),"")</f>
        <v/>
      </c>
      <c r="Y343" s="167" t="str">
        <f>IFERROR(_xlfn.XLOOKUP($A343,Input_Raw!$A:$A,Input_Raw!$CZ:$CZ),"")</f>
        <v/>
      </c>
      <c r="Z343" s="167" t="str">
        <f>IFERROR(_xlfn.XLOOKUP($A343,Input_Raw!$A:$A,Input_Raw!$DA:$DA),"")</f>
        <v/>
      </c>
      <c r="AA343" s="169" t="str">
        <f t="shared" si="35"/>
        <v/>
      </c>
      <c r="AB343" s="167" t="str">
        <f>IFERROR(_xlfn.XLOOKUP($A343,Input_Raw!$A:$A,Input_Raw!$DG:$DG),"")</f>
        <v/>
      </c>
      <c r="AC343" s="187">
        <f>IFERROR(_xlfn.XLOOKUP($D343,'Modelling New'!$D:$D,'Modelling New'!$J:$J),"")</f>
        <v>4.5999999999999996</v>
      </c>
      <c r="AD343" s="169">
        <f>IFERROR(_xlfn.XLOOKUP($D343,'Modelling New'!$D:$D,'Modelling New'!$T:$T)*1000,"")</f>
        <v>221156.23146397382</v>
      </c>
      <c r="AE343" s="186"/>
      <c r="AF343" s="186">
        <f>IFERROR(_xlfn.XLOOKUP($D343,'Modelling New'!$D:$D,'Modelling New'!$W:$W),"")</f>
        <v>0.11813901253417405</v>
      </c>
      <c r="AG343" s="186">
        <f>IFERROR(_xlfn.XLOOKUP($D343,'Modelling New'!$D:$D,'Modelling New'!$AE:$AE),"")</f>
        <v>0.96029999999999993</v>
      </c>
      <c r="AH343" s="186">
        <f>IFERROR(_xlfn.XLOOKUP($D343,'Modelling New'!$D:$D,'Modelling New'!$AF:$AF),"")</f>
        <v>0.995</v>
      </c>
      <c r="AI343" s="167" t="str">
        <f>IFERROR(_xlfn.XLOOKUP($A343,Input_Raw!$A:$A,Input_Raw!$DE:$DE),"")</f>
        <v/>
      </c>
      <c r="AJ343" s="167"/>
      <c r="AK343" s="167"/>
      <c r="AL343" s="167"/>
      <c r="AM343" s="167"/>
      <c r="AN343" s="188" t="str">
        <f>IFERROR(_xlfn.XLOOKUP($A343,Input_Raw!$A:$A,Input_Raw!$DB:$DB),"")</f>
        <v/>
      </c>
      <c r="AO343" s="186" t="str">
        <f>IFERROR((_xlfn.XLOOKUP($A343,'WTG Reactive Power'!$A:$A,'WTG Reactive Power'!$AR:$AR))/X343/1000,"")</f>
        <v/>
      </c>
      <c r="AP343" s="186">
        <f>IFERROR(_xlfn.XLOOKUP($D343,'Modelling New'!$D:$D,'Modelling New'!$AK:$AK),"")</f>
        <v>0.05</v>
      </c>
      <c r="AQ343" s="186">
        <f>IFERROR(_xlfn.XLOOKUP($D343,'Modelling New'!$D:$D,'Modelling New'!$AL:$AL),"")</f>
        <v>0.05</v>
      </c>
      <c r="AR343">
        <f>IFERROR(_xlfn.XLOOKUP($D343,'Modelling New'!$D:$D,'Modelling New'!$N:$N),"")</f>
        <v>78</v>
      </c>
    </row>
    <row r="344" spans="1:44">
      <c r="A344" s="180">
        <f t="shared" si="32"/>
        <v>46087</v>
      </c>
      <c r="B344" s="169">
        <f>YEAR(Table13[[#This Row],[Date]])+IF(MONTH(Table13[[#This Row],[Date]])&gt;=4,1,0)</f>
        <v>2026</v>
      </c>
      <c r="C344" s="167">
        <f>YEAR(Table13[[#This Row],[Date]])</f>
        <v>2026</v>
      </c>
      <c r="D344" s="181">
        <f>Table13[[#This Row],[Date]]-DAY(Table13[[#This Row],[Date]])+1</f>
        <v>46082</v>
      </c>
      <c r="E344" s="167">
        <f t="shared" si="33"/>
        <v>31</v>
      </c>
      <c r="F344" s="170"/>
      <c r="G344" s="171"/>
      <c r="H344" s="171"/>
      <c r="I344" s="171"/>
      <c r="J344" s="171"/>
      <c r="K344" s="182"/>
      <c r="L344" s="171"/>
      <c r="M344" s="171" t="str">
        <f>IFERROR(_xlfn.XLOOKUP($A344,Input_Raw!$A:$A,Input_Raw!CG:CG),"")</f>
        <v/>
      </c>
      <c r="N344" s="171" t="str">
        <f>IFERROR(_xlfn.XLOOKUP($A344,Input_Raw!$A:$A,Input_Raw!CH:CH),"")</f>
        <v/>
      </c>
      <c r="O344" s="183" t="str">
        <f t="shared" si="34"/>
        <v/>
      </c>
      <c r="P344" s="183" t="str">
        <f>IFERROR(1-SUMIF(WTG_BD!$B:$B,$A344,WTG_BD!$AB:$AB)/($AA344+SUMIF(WTG_BD!$B:$B,$A344,WTG_BD!$AB:$AB)),"")</f>
        <v/>
      </c>
      <c r="Q344" s="184" t="str">
        <f>IFERROR(1-SUMIF(IGA_BD!$B:$B,$A344,IGA_BD!$X:$X)/($AA344+SUMIF(IGA_BD!$B:$B,$A344,IGA_BD!$X:$X)),"")</f>
        <v/>
      </c>
      <c r="R344" s="189" t="str">
        <f>IFERROR(1-SUMIF(Grid_BD!$B:$B,$A344,Grid_BD!$V:$V)/($AA344+SUMIF(Grid_BD!$B:$B,$A344,Grid_BD!$V:$V)),"")</f>
        <v/>
      </c>
      <c r="S344" s="167"/>
      <c r="T344" s="184"/>
      <c r="U344" s="185"/>
      <c r="V344" s="167"/>
      <c r="W344" s="186" t="str">
        <f>IFERROR(Table13[[#This Row],[Mtr_Net_Exp (KWh)]]/(24*AR344*1000),"")</f>
        <v/>
      </c>
      <c r="X344" s="167" t="str">
        <f>IFERROR(_xlfn.XLOOKUP($A344,Input_Raw!$A:$A,Input_Raw!$CF:$CF),"")</f>
        <v/>
      </c>
      <c r="Y344" s="167" t="str">
        <f>IFERROR(_xlfn.XLOOKUP($A344,Input_Raw!$A:$A,Input_Raw!$CZ:$CZ),"")</f>
        <v/>
      </c>
      <c r="Z344" s="167" t="str">
        <f>IFERROR(_xlfn.XLOOKUP($A344,Input_Raw!$A:$A,Input_Raw!$DA:$DA),"")</f>
        <v/>
      </c>
      <c r="AA344" s="169" t="str">
        <f t="shared" si="35"/>
        <v/>
      </c>
      <c r="AB344" s="167" t="str">
        <f>IFERROR(_xlfn.XLOOKUP($A344,Input_Raw!$A:$A,Input_Raw!$DG:$DG),"")</f>
        <v/>
      </c>
      <c r="AC344" s="187">
        <f>IFERROR(_xlfn.XLOOKUP($D344,'Modelling New'!$D:$D,'Modelling New'!$J:$J),"")</f>
        <v>4.5999999999999996</v>
      </c>
      <c r="AD344" s="169">
        <f>IFERROR(_xlfn.XLOOKUP($D344,'Modelling New'!$D:$D,'Modelling New'!$T:$T)*1000,"")</f>
        <v>221156.23146397382</v>
      </c>
      <c r="AE344" s="186"/>
      <c r="AF344" s="186">
        <f>IFERROR(_xlfn.XLOOKUP($D344,'Modelling New'!$D:$D,'Modelling New'!$W:$W),"")</f>
        <v>0.11813901253417405</v>
      </c>
      <c r="AG344" s="186">
        <f>IFERROR(_xlfn.XLOOKUP($D344,'Modelling New'!$D:$D,'Modelling New'!$AE:$AE),"")</f>
        <v>0.96029999999999993</v>
      </c>
      <c r="AH344" s="186">
        <f>IFERROR(_xlfn.XLOOKUP($D344,'Modelling New'!$D:$D,'Modelling New'!$AF:$AF),"")</f>
        <v>0.995</v>
      </c>
      <c r="AI344" s="167" t="str">
        <f>IFERROR(_xlfn.XLOOKUP($A344,Input_Raw!$A:$A,Input_Raw!$DE:$DE),"")</f>
        <v/>
      </c>
      <c r="AJ344" s="167"/>
      <c r="AK344" s="167"/>
      <c r="AL344" s="167"/>
      <c r="AM344" s="167"/>
      <c r="AN344" s="188" t="str">
        <f>IFERROR(_xlfn.XLOOKUP($A344,Input_Raw!$A:$A,Input_Raw!$DB:$DB),"")</f>
        <v/>
      </c>
      <c r="AO344" s="186" t="str">
        <f>IFERROR((_xlfn.XLOOKUP($A344,'WTG Reactive Power'!$A:$A,'WTG Reactive Power'!$AR:$AR))/X344/1000,"")</f>
        <v/>
      </c>
      <c r="AP344" s="186">
        <f>IFERROR(_xlfn.XLOOKUP($D344,'Modelling New'!$D:$D,'Modelling New'!$AK:$AK),"")</f>
        <v>0.05</v>
      </c>
      <c r="AQ344" s="186">
        <f>IFERROR(_xlfn.XLOOKUP($D344,'Modelling New'!$D:$D,'Modelling New'!$AL:$AL),"")</f>
        <v>0.05</v>
      </c>
      <c r="AR344">
        <f>IFERROR(_xlfn.XLOOKUP($D344,'Modelling New'!$D:$D,'Modelling New'!$N:$N),"")</f>
        <v>78</v>
      </c>
    </row>
    <row r="345" spans="1:44">
      <c r="A345" s="180">
        <f t="shared" si="32"/>
        <v>46088</v>
      </c>
      <c r="B345" s="169">
        <f>YEAR(Table13[[#This Row],[Date]])+IF(MONTH(Table13[[#This Row],[Date]])&gt;=4,1,0)</f>
        <v>2026</v>
      </c>
      <c r="C345" s="167">
        <f>YEAR(Table13[[#This Row],[Date]])</f>
        <v>2026</v>
      </c>
      <c r="D345" s="181">
        <f>Table13[[#This Row],[Date]]-DAY(Table13[[#This Row],[Date]])+1</f>
        <v>46082</v>
      </c>
      <c r="E345" s="167">
        <f t="shared" si="33"/>
        <v>31</v>
      </c>
      <c r="F345" s="170"/>
      <c r="G345" s="171"/>
      <c r="H345" s="171"/>
      <c r="I345" s="171"/>
      <c r="J345" s="171"/>
      <c r="K345" s="182"/>
      <c r="L345" s="171"/>
      <c r="M345" s="171" t="str">
        <f>IFERROR(_xlfn.XLOOKUP($A345,Input_Raw!$A:$A,Input_Raw!CG:CG),"")</f>
        <v/>
      </c>
      <c r="N345" s="171" t="str">
        <f>IFERROR(_xlfn.XLOOKUP($A345,Input_Raw!$A:$A,Input_Raw!CH:CH),"")</f>
        <v/>
      </c>
      <c r="O345" s="183" t="str">
        <f t="shared" si="34"/>
        <v/>
      </c>
      <c r="P345" s="183" t="str">
        <f>IFERROR(1-SUMIF(WTG_BD!$B:$B,$A345,WTG_BD!$AB:$AB)/($AA345+SUMIF(WTG_BD!$B:$B,$A345,WTG_BD!$AB:$AB)),"")</f>
        <v/>
      </c>
      <c r="Q345" s="184" t="str">
        <f>IFERROR(1-SUMIF(IGA_BD!$B:$B,$A345,IGA_BD!$X:$X)/($AA345+SUMIF(IGA_BD!$B:$B,$A345,IGA_BD!$X:$X)),"")</f>
        <v/>
      </c>
      <c r="R345" s="189" t="str">
        <f>IFERROR(1-SUMIF(Grid_BD!$B:$B,$A345,Grid_BD!$V:$V)/($AA345+SUMIF(Grid_BD!$B:$B,$A345,Grid_BD!$V:$V)),"")</f>
        <v/>
      </c>
      <c r="S345" s="167"/>
      <c r="T345" s="184"/>
      <c r="U345" s="185"/>
      <c r="V345" s="167"/>
      <c r="W345" s="186" t="str">
        <f>IFERROR(Table13[[#This Row],[Mtr_Net_Exp (KWh)]]/(24*AR345*1000),"")</f>
        <v/>
      </c>
      <c r="X345" s="167" t="str">
        <f>IFERROR(_xlfn.XLOOKUP($A345,Input_Raw!$A:$A,Input_Raw!$CF:$CF),"")</f>
        <v/>
      </c>
      <c r="Y345" s="167" t="str">
        <f>IFERROR(_xlfn.XLOOKUP($A345,Input_Raw!$A:$A,Input_Raw!$CZ:$CZ),"")</f>
        <v/>
      </c>
      <c r="Z345" s="167" t="str">
        <f>IFERROR(_xlfn.XLOOKUP($A345,Input_Raw!$A:$A,Input_Raw!$DA:$DA),"")</f>
        <v/>
      </c>
      <c r="AA345" s="169" t="str">
        <f t="shared" si="35"/>
        <v/>
      </c>
      <c r="AB345" s="167" t="str">
        <f>IFERROR(_xlfn.XLOOKUP($A345,Input_Raw!$A:$A,Input_Raw!$DG:$DG),"")</f>
        <v/>
      </c>
      <c r="AC345" s="187">
        <f>IFERROR(_xlfn.XLOOKUP($D345,'Modelling New'!$D:$D,'Modelling New'!$J:$J),"")</f>
        <v>4.5999999999999996</v>
      </c>
      <c r="AD345" s="169">
        <f>IFERROR(_xlfn.XLOOKUP($D345,'Modelling New'!$D:$D,'Modelling New'!$T:$T)*1000,"")</f>
        <v>221156.23146397382</v>
      </c>
      <c r="AE345" s="186"/>
      <c r="AF345" s="186">
        <f>IFERROR(_xlfn.XLOOKUP($D345,'Modelling New'!$D:$D,'Modelling New'!$W:$W),"")</f>
        <v>0.11813901253417405</v>
      </c>
      <c r="AG345" s="186">
        <f>IFERROR(_xlfn.XLOOKUP($D345,'Modelling New'!$D:$D,'Modelling New'!$AE:$AE),"")</f>
        <v>0.96029999999999993</v>
      </c>
      <c r="AH345" s="186">
        <f>IFERROR(_xlfn.XLOOKUP($D345,'Modelling New'!$D:$D,'Modelling New'!$AF:$AF),"")</f>
        <v>0.995</v>
      </c>
      <c r="AI345" s="167" t="str">
        <f>IFERROR(_xlfn.XLOOKUP($A345,Input_Raw!$A:$A,Input_Raw!$DE:$DE),"")</f>
        <v/>
      </c>
      <c r="AJ345" s="167"/>
      <c r="AK345" s="167"/>
      <c r="AL345" s="167"/>
      <c r="AM345" s="167"/>
      <c r="AN345" s="188" t="str">
        <f>IFERROR(_xlfn.XLOOKUP($A345,Input_Raw!$A:$A,Input_Raw!$DB:$DB),"")</f>
        <v/>
      </c>
      <c r="AO345" s="186" t="str">
        <f>IFERROR((_xlfn.XLOOKUP($A345,'WTG Reactive Power'!$A:$A,'WTG Reactive Power'!$AR:$AR))/X345/1000,"")</f>
        <v/>
      </c>
      <c r="AP345" s="186">
        <f>IFERROR(_xlfn.XLOOKUP($D345,'Modelling New'!$D:$D,'Modelling New'!$AK:$AK),"")</f>
        <v>0.05</v>
      </c>
      <c r="AQ345" s="186">
        <f>IFERROR(_xlfn.XLOOKUP($D345,'Modelling New'!$D:$D,'Modelling New'!$AL:$AL),"")</f>
        <v>0.05</v>
      </c>
      <c r="AR345">
        <f>IFERROR(_xlfn.XLOOKUP($D345,'Modelling New'!$D:$D,'Modelling New'!$N:$N),"")</f>
        <v>78</v>
      </c>
    </row>
    <row r="346" spans="1:44">
      <c r="A346" s="180">
        <f t="shared" si="32"/>
        <v>46089</v>
      </c>
      <c r="B346" s="169">
        <f>YEAR(Table13[[#This Row],[Date]])+IF(MONTH(Table13[[#This Row],[Date]])&gt;=4,1,0)</f>
        <v>2026</v>
      </c>
      <c r="C346" s="167">
        <f>YEAR(Table13[[#This Row],[Date]])</f>
        <v>2026</v>
      </c>
      <c r="D346" s="181">
        <f>Table13[[#This Row],[Date]]-DAY(Table13[[#This Row],[Date]])+1</f>
        <v>46082</v>
      </c>
      <c r="E346" s="167">
        <f t="shared" si="33"/>
        <v>31</v>
      </c>
      <c r="F346" s="170"/>
      <c r="G346" s="171"/>
      <c r="H346" s="171"/>
      <c r="I346" s="171"/>
      <c r="J346" s="171"/>
      <c r="K346" s="182"/>
      <c r="L346" s="171"/>
      <c r="M346" s="171" t="str">
        <f>IFERROR(_xlfn.XLOOKUP($A346,Input_Raw!$A:$A,Input_Raw!CG:CG),"")</f>
        <v/>
      </c>
      <c r="N346" s="171" t="str">
        <f>IFERROR(_xlfn.XLOOKUP($A346,Input_Raw!$A:$A,Input_Raw!CH:CH),"")</f>
        <v/>
      </c>
      <c r="O346" s="183" t="str">
        <f t="shared" si="34"/>
        <v/>
      </c>
      <c r="P346" s="183" t="str">
        <f>IFERROR(1-SUMIF(WTG_BD!$B:$B,$A346,WTG_BD!$AB:$AB)/($AA346+SUMIF(WTG_BD!$B:$B,$A346,WTG_BD!$AB:$AB)),"")</f>
        <v/>
      </c>
      <c r="Q346" s="184" t="str">
        <f>IFERROR(1-SUMIF(IGA_BD!$B:$B,$A346,IGA_BD!$X:$X)/($AA346+SUMIF(IGA_BD!$B:$B,$A346,IGA_BD!$X:$X)),"")</f>
        <v/>
      </c>
      <c r="R346" s="189" t="str">
        <f>IFERROR(1-SUMIF(Grid_BD!$B:$B,$A346,Grid_BD!$V:$V)/($AA346+SUMIF(Grid_BD!$B:$B,$A346,Grid_BD!$V:$V)),"")</f>
        <v/>
      </c>
      <c r="S346" s="167"/>
      <c r="T346" s="184"/>
      <c r="U346" s="185"/>
      <c r="V346" s="167"/>
      <c r="W346" s="186" t="str">
        <f>IFERROR(Table13[[#This Row],[Mtr_Net_Exp (KWh)]]/(24*AR346*1000),"")</f>
        <v/>
      </c>
      <c r="X346" s="167" t="str">
        <f>IFERROR(_xlfn.XLOOKUP($A346,Input_Raw!$A:$A,Input_Raw!$CF:$CF),"")</f>
        <v/>
      </c>
      <c r="Y346" s="167" t="str">
        <f>IFERROR(_xlfn.XLOOKUP($A346,Input_Raw!$A:$A,Input_Raw!$CZ:$CZ),"")</f>
        <v/>
      </c>
      <c r="Z346" s="167" t="str">
        <f>IFERROR(_xlfn.XLOOKUP($A346,Input_Raw!$A:$A,Input_Raw!$DA:$DA),"")</f>
        <v/>
      </c>
      <c r="AA346" s="169" t="str">
        <f t="shared" si="35"/>
        <v/>
      </c>
      <c r="AB346" s="167" t="str">
        <f>IFERROR(_xlfn.XLOOKUP($A346,Input_Raw!$A:$A,Input_Raw!$DG:$DG),"")</f>
        <v/>
      </c>
      <c r="AC346" s="187">
        <f>IFERROR(_xlfn.XLOOKUP($D346,'Modelling New'!$D:$D,'Modelling New'!$J:$J),"")</f>
        <v>4.5999999999999996</v>
      </c>
      <c r="AD346" s="169">
        <f>IFERROR(_xlfn.XLOOKUP($D346,'Modelling New'!$D:$D,'Modelling New'!$T:$T)*1000,"")</f>
        <v>221156.23146397382</v>
      </c>
      <c r="AE346" s="186"/>
      <c r="AF346" s="186">
        <f>IFERROR(_xlfn.XLOOKUP($D346,'Modelling New'!$D:$D,'Modelling New'!$W:$W),"")</f>
        <v>0.11813901253417405</v>
      </c>
      <c r="AG346" s="186">
        <f>IFERROR(_xlfn.XLOOKUP($D346,'Modelling New'!$D:$D,'Modelling New'!$AE:$AE),"")</f>
        <v>0.96029999999999993</v>
      </c>
      <c r="AH346" s="186">
        <f>IFERROR(_xlfn.XLOOKUP($D346,'Modelling New'!$D:$D,'Modelling New'!$AF:$AF),"")</f>
        <v>0.995</v>
      </c>
      <c r="AI346" s="167" t="str">
        <f>IFERROR(_xlfn.XLOOKUP($A346,Input_Raw!$A:$A,Input_Raw!$DE:$DE),"")</f>
        <v/>
      </c>
      <c r="AJ346" s="167"/>
      <c r="AK346" s="167"/>
      <c r="AL346" s="167"/>
      <c r="AM346" s="167"/>
      <c r="AN346" s="188" t="str">
        <f>IFERROR(_xlfn.XLOOKUP($A346,Input_Raw!$A:$A,Input_Raw!$DB:$DB),"")</f>
        <v/>
      </c>
      <c r="AO346" s="186" t="str">
        <f>IFERROR((_xlfn.XLOOKUP($A346,'WTG Reactive Power'!$A:$A,'WTG Reactive Power'!$AR:$AR))/X346/1000,"")</f>
        <v/>
      </c>
      <c r="AP346" s="186">
        <f>IFERROR(_xlfn.XLOOKUP($D346,'Modelling New'!$D:$D,'Modelling New'!$AK:$AK),"")</f>
        <v>0.05</v>
      </c>
      <c r="AQ346" s="186">
        <f>IFERROR(_xlfn.XLOOKUP($D346,'Modelling New'!$D:$D,'Modelling New'!$AL:$AL),"")</f>
        <v>0.05</v>
      </c>
      <c r="AR346">
        <f>IFERROR(_xlfn.XLOOKUP($D346,'Modelling New'!$D:$D,'Modelling New'!$N:$N),"")</f>
        <v>78</v>
      </c>
    </row>
    <row r="347" spans="1:44">
      <c r="A347" s="180">
        <f t="shared" si="32"/>
        <v>46090</v>
      </c>
      <c r="B347" s="169">
        <f>YEAR(Table13[[#This Row],[Date]])+IF(MONTH(Table13[[#This Row],[Date]])&gt;=4,1,0)</f>
        <v>2026</v>
      </c>
      <c r="C347" s="167">
        <f>YEAR(Table13[[#This Row],[Date]])</f>
        <v>2026</v>
      </c>
      <c r="D347" s="181">
        <f>Table13[[#This Row],[Date]]-DAY(Table13[[#This Row],[Date]])+1</f>
        <v>46082</v>
      </c>
      <c r="E347" s="167">
        <f t="shared" si="33"/>
        <v>31</v>
      </c>
      <c r="F347" s="170"/>
      <c r="G347" s="171"/>
      <c r="H347" s="171"/>
      <c r="I347" s="171"/>
      <c r="J347" s="171"/>
      <c r="K347" s="182"/>
      <c r="L347" s="171"/>
      <c r="M347" s="171" t="str">
        <f>IFERROR(_xlfn.XLOOKUP($A347,Input_Raw!$A:$A,Input_Raw!CG:CG),"")</f>
        <v/>
      </c>
      <c r="N347" s="171" t="str">
        <f>IFERROR(_xlfn.XLOOKUP($A347,Input_Raw!$A:$A,Input_Raw!CH:CH),"")</f>
        <v/>
      </c>
      <c r="O347" s="183" t="str">
        <f t="shared" si="34"/>
        <v/>
      </c>
      <c r="P347" s="183" t="str">
        <f>IFERROR(1-SUMIF(WTG_BD!$B:$B,$A347,WTG_BD!$AB:$AB)/($AA347+SUMIF(WTG_BD!$B:$B,$A347,WTG_BD!$AB:$AB)),"")</f>
        <v/>
      </c>
      <c r="Q347" s="184" t="str">
        <f>IFERROR(1-SUMIF(IGA_BD!$B:$B,$A347,IGA_BD!$X:$X)/($AA347+SUMIF(IGA_BD!$B:$B,$A347,IGA_BD!$X:$X)),"")</f>
        <v/>
      </c>
      <c r="R347" s="189" t="str">
        <f>IFERROR(1-SUMIF(Grid_BD!$B:$B,$A347,Grid_BD!$V:$V)/($AA347+SUMIF(Grid_BD!$B:$B,$A347,Grid_BD!$V:$V)),"")</f>
        <v/>
      </c>
      <c r="S347" s="167"/>
      <c r="T347" s="184"/>
      <c r="U347" s="185"/>
      <c r="V347" s="167"/>
      <c r="W347" s="186" t="str">
        <f>IFERROR(Table13[[#This Row],[Mtr_Net_Exp (KWh)]]/(24*AR347*1000),"")</f>
        <v/>
      </c>
      <c r="X347" s="167" t="str">
        <f>IFERROR(_xlfn.XLOOKUP($A347,Input_Raw!$A:$A,Input_Raw!$CF:$CF),"")</f>
        <v/>
      </c>
      <c r="Y347" s="167" t="str">
        <f>IFERROR(_xlfn.XLOOKUP($A347,Input_Raw!$A:$A,Input_Raw!$CZ:$CZ),"")</f>
        <v/>
      </c>
      <c r="Z347" s="167" t="str">
        <f>IFERROR(_xlfn.XLOOKUP($A347,Input_Raw!$A:$A,Input_Raw!$DA:$DA),"")</f>
        <v/>
      </c>
      <c r="AA347" s="169" t="str">
        <f t="shared" si="35"/>
        <v/>
      </c>
      <c r="AB347" s="167" t="str">
        <f>IFERROR(_xlfn.XLOOKUP($A347,Input_Raw!$A:$A,Input_Raw!$DG:$DG),"")</f>
        <v/>
      </c>
      <c r="AC347" s="187">
        <f>IFERROR(_xlfn.XLOOKUP($D347,'Modelling New'!$D:$D,'Modelling New'!$J:$J),"")</f>
        <v>4.5999999999999996</v>
      </c>
      <c r="AD347" s="169">
        <f>IFERROR(_xlfn.XLOOKUP($D347,'Modelling New'!$D:$D,'Modelling New'!$T:$T)*1000,"")</f>
        <v>221156.23146397382</v>
      </c>
      <c r="AE347" s="186"/>
      <c r="AF347" s="186">
        <f>IFERROR(_xlfn.XLOOKUP($D347,'Modelling New'!$D:$D,'Modelling New'!$W:$W),"")</f>
        <v>0.11813901253417405</v>
      </c>
      <c r="AG347" s="186">
        <f>IFERROR(_xlfn.XLOOKUP($D347,'Modelling New'!$D:$D,'Modelling New'!$AE:$AE),"")</f>
        <v>0.96029999999999993</v>
      </c>
      <c r="AH347" s="186">
        <f>IFERROR(_xlfn.XLOOKUP($D347,'Modelling New'!$D:$D,'Modelling New'!$AF:$AF),"")</f>
        <v>0.995</v>
      </c>
      <c r="AI347" s="167" t="str">
        <f>IFERROR(_xlfn.XLOOKUP($A347,Input_Raw!$A:$A,Input_Raw!$DE:$DE),"")</f>
        <v/>
      </c>
      <c r="AJ347" s="167"/>
      <c r="AK347" s="167"/>
      <c r="AL347" s="167"/>
      <c r="AM347" s="167"/>
      <c r="AN347" s="188" t="str">
        <f>IFERROR(_xlfn.XLOOKUP($A347,Input_Raw!$A:$A,Input_Raw!$DB:$DB),"")</f>
        <v/>
      </c>
      <c r="AO347" s="186" t="str">
        <f>IFERROR((_xlfn.XLOOKUP($A347,'WTG Reactive Power'!$A:$A,'WTG Reactive Power'!$AR:$AR))/X347/1000,"")</f>
        <v/>
      </c>
      <c r="AP347" s="186">
        <f>IFERROR(_xlfn.XLOOKUP($D347,'Modelling New'!$D:$D,'Modelling New'!$AK:$AK),"")</f>
        <v>0.05</v>
      </c>
      <c r="AQ347" s="186">
        <f>IFERROR(_xlfn.XLOOKUP($D347,'Modelling New'!$D:$D,'Modelling New'!$AL:$AL),"")</f>
        <v>0.05</v>
      </c>
      <c r="AR347">
        <f>IFERROR(_xlfn.XLOOKUP($D347,'Modelling New'!$D:$D,'Modelling New'!$N:$N),"")</f>
        <v>78</v>
      </c>
    </row>
    <row r="348" spans="1:44">
      <c r="A348" s="180">
        <f t="shared" si="32"/>
        <v>46091</v>
      </c>
      <c r="B348" s="169">
        <f>YEAR(Table13[[#This Row],[Date]])+IF(MONTH(Table13[[#This Row],[Date]])&gt;=4,1,0)</f>
        <v>2026</v>
      </c>
      <c r="C348" s="167">
        <f>YEAR(Table13[[#This Row],[Date]])</f>
        <v>2026</v>
      </c>
      <c r="D348" s="181">
        <f>Table13[[#This Row],[Date]]-DAY(Table13[[#This Row],[Date]])+1</f>
        <v>46082</v>
      </c>
      <c r="E348" s="167">
        <f t="shared" si="33"/>
        <v>31</v>
      </c>
      <c r="F348" s="170"/>
      <c r="G348" s="171"/>
      <c r="H348" s="171"/>
      <c r="I348" s="171"/>
      <c r="J348" s="171"/>
      <c r="K348" s="182"/>
      <c r="L348" s="171"/>
      <c r="M348" s="171" t="str">
        <f>IFERROR(_xlfn.XLOOKUP($A348,Input_Raw!$A:$A,Input_Raw!CG:CG),"")</f>
        <v/>
      </c>
      <c r="N348" s="171" t="str">
        <f>IFERROR(_xlfn.XLOOKUP($A348,Input_Raw!$A:$A,Input_Raw!CH:CH),"")</f>
        <v/>
      </c>
      <c r="O348" s="183" t="str">
        <f t="shared" si="34"/>
        <v/>
      </c>
      <c r="P348" s="183" t="str">
        <f>IFERROR(1-SUMIF(WTG_BD!$B:$B,$A348,WTG_BD!$AB:$AB)/($AA348+SUMIF(WTG_BD!$B:$B,$A348,WTG_BD!$AB:$AB)),"")</f>
        <v/>
      </c>
      <c r="Q348" s="184" t="str">
        <f>IFERROR(1-SUMIF(IGA_BD!$B:$B,$A348,IGA_BD!$X:$X)/($AA348+SUMIF(IGA_BD!$B:$B,$A348,IGA_BD!$X:$X)),"")</f>
        <v/>
      </c>
      <c r="R348" s="189" t="str">
        <f>IFERROR(1-SUMIF(Grid_BD!$B:$B,$A348,Grid_BD!$V:$V)/($AA348+SUMIF(Grid_BD!$B:$B,$A348,Grid_BD!$V:$V)),"")</f>
        <v/>
      </c>
      <c r="S348" s="167"/>
      <c r="T348" s="184"/>
      <c r="U348" s="185"/>
      <c r="V348" s="167"/>
      <c r="W348" s="186" t="str">
        <f>IFERROR(Table13[[#This Row],[Mtr_Net_Exp (KWh)]]/(24*AR348*1000),"")</f>
        <v/>
      </c>
      <c r="X348" s="167" t="str">
        <f>IFERROR(_xlfn.XLOOKUP($A348,Input_Raw!$A:$A,Input_Raw!$CF:$CF),"")</f>
        <v/>
      </c>
      <c r="Y348" s="167" t="str">
        <f>IFERROR(_xlfn.XLOOKUP($A348,Input_Raw!$A:$A,Input_Raw!$CZ:$CZ),"")</f>
        <v/>
      </c>
      <c r="Z348" s="167" t="str">
        <f>IFERROR(_xlfn.XLOOKUP($A348,Input_Raw!$A:$A,Input_Raw!$DA:$DA),"")</f>
        <v/>
      </c>
      <c r="AA348" s="169" t="str">
        <f t="shared" si="35"/>
        <v/>
      </c>
      <c r="AB348" s="167" t="str">
        <f>IFERROR(_xlfn.XLOOKUP($A348,Input_Raw!$A:$A,Input_Raw!$DG:$DG),"")</f>
        <v/>
      </c>
      <c r="AC348" s="187">
        <f>IFERROR(_xlfn.XLOOKUP($D348,'Modelling New'!$D:$D,'Modelling New'!$J:$J),"")</f>
        <v>4.5999999999999996</v>
      </c>
      <c r="AD348" s="169">
        <f>IFERROR(_xlfn.XLOOKUP($D348,'Modelling New'!$D:$D,'Modelling New'!$T:$T)*1000,"")</f>
        <v>221156.23146397382</v>
      </c>
      <c r="AE348" s="186"/>
      <c r="AF348" s="186">
        <f>IFERROR(_xlfn.XLOOKUP($D348,'Modelling New'!$D:$D,'Modelling New'!$W:$W),"")</f>
        <v>0.11813901253417405</v>
      </c>
      <c r="AG348" s="186">
        <f>IFERROR(_xlfn.XLOOKUP($D348,'Modelling New'!$D:$D,'Modelling New'!$AE:$AE),"")</f>
        <v>0.96029999999999993</v>
      </c>
      <c r="AH348" s="186">
        <f>IFERROR(_xlfn.XLOOKUP($D348,'Modelling New'!$D:$D,'Modelling New'!$AF:$AF),"")</f>
        <v>0.995</v>
      </c>
      <c r="AI348" s="167" t="str">
        <f>IFERROR(_xlfn.XLOOKUP($A348,Input_Raw!$A:$A,Input_Raw!$DE:$DE),"")</f>
        <v/>
      </c>
      <c r="AJ348" s="167"/>
      <c r="AK348" s="167"/>
      <c r="AL348" s="167"/>
      <c r="AM348" s="167"/>
      <c r="AN348" s="188" t="str">
        <f>IFERROR(_xlfn.XLOOKUP($A348,Input_Raw!$A:$A,Input_Raw!$DB:$DB),"")</f>
        <v/>
      </c>
      <c r="AO348" s="186" t="str">
        <f>IFERROR((_xlfn.XLOOKUP($A348,'WTG Reactive Power'!$A:$A,'WTG Reactive Power'!$AR:$AR))/X348/1000,"")</f>
        <v/>
      </c>
      <c r="AP348" s="186">
        <f>IFERROR(_xlfn.XLOOKUP($D348,'Modelling New'!$D:$D,'Modelling New'!$AK:$AK),"")</f>
        <v>0.05</v>
      </c>
      <c r="AQ348" s="186">
        <f>IFERROR(_xlfn.XLOOKUP($D348,'Modelling New'!$D:$D,'Modelling New'!$AL:$AL),"")</f>
        <v>0.05</v>
      </c>
      <c r="AR348">
        <f>IFERROR(_xlfn.XLOOKUP($D348,'Modelling New'!$D:$D,'Modelling New'!$N:$N),"")</f>
        <v>78</v>
      </c>
    </row>
    <row r="349" spans="1:44">
      <c r="A349" s="180">
        <f t="shared" si="32"/>
        <v>46092</v>
      </c>
      <c r="B349" s="169">
        <f>YEAR(Table13[[#This Row],[Date]])+IF(MONTH(Table13[[#This Row],[Date]])&gt;=4,1,0)</f>
        <v>2026</v>
      </c>
      <c r="C349" s="167">
        <f>YEAR(Table13[[#This Row],[Date]])</f>
        <v>2026</v>
      </c>
      <c r="D349" s="181">
        <f>Table13[[#This Row],[Date]]-DAY(Table13[[#This Row],[Date]])+1</f>
        <v>46082</v>
      </c>
      <c r="E349" s="167">
        <f t="shared" si="33"/>
        <v>31</v>
      </c>
      <c r="F349" s="170"/>
      <c r="G349" s="171"/>
      <c r="H349" s="171"/>
      <c r="I349" s="171"/>
      <c r="J349" s="171"/>
      <c r="K349" s="182"/>
      <c r="L349" s="171"/>
      <c r="M349" s="171" t="str">
        <f>IFERROR(_xlfn.XLOOKUP($A349,Input_Raw!$A:$A,Input_Raw!CG:CG),"")</f>
        <v/>
      </c>
      <c r="N349" s="171" t="str">
        <f>IFERROR(_xlfn.XLOOKUP($A349,Input_Raw!$A:$A,Input_Raw!CH:CH),"")</f>
        <v/>
      </c>
      <c r="O349" s="183" t="str">
        <f t="shared" si="34"/>
        <v/>
      </c>
      <c r="P349" s="183" t="str">
        <f>IFERROR(1-SUMIF(WTG_BD!$B:$B,$A349,WTG_BD!$AB:$AB)/($AA349+SUMIF(WTG_BD!$B:$B,$A349,WTG_BD!$AB:$AB)),"")</f>
        <v/>
      </c>
      <c r="Q349" s="184" t="str">
        <f>IFERROR(1-SUMIF(IGA_BD!$B:$B,$A349,IGA_BD!$X:$X)/($AA349+SUMIF(IGA_BD!$B:$B,$A349,IGA_BD!$X:$X)),"")</f>
        <v/>
      </c>
      <c r="R349" s="189" t="str">
        <f>IFERROR(1-SUMIF(Grid_BD!$B:$B,$A349,Grid_BD!$V:$V)/($AA349+SUMIF(Grid_BD!$B:$B,$A349,Grid_BD!$V:$V)),"")</f>
        <v/>
      </c>
      <c r="S349" s="167"/>
      <c r="T349" s="184"/>
      <c r="U349" s="185"/>
      <c r="V349" s="167"/>
      <c r="W349" s="186" t="str">
        <f>IFERROR(Table13[[#This Row],[Mtr_Net_Exp (KWh)]]/(24*AR349*1000),"")</f>
        <v/>
      </c>
      <c r="X349" s="167" t="str">
        <f>IFERROR(_xlfn.XLOOKUP($A349,Input_Raw!$A:$A,Input_Raw!$CF:$CF),"")</f>
        <v/>
      </c>
      <c r="Y349" s="167" t="str">
        <f>IFERROR(_xlfn.XLOOKUP($A349,Input_Raw!$A:$A,Input_Raw!$CZ:$CZ),"")</f>
        <v/>
      </c>
      <c r="Z349" s="167" t="str">
        <f>IFERROR(_xlfn.XLOOKUP($A349,Input_Raw!$A:$A,Input_Raw!$DA:$DA),"")</f>
        <v/>
      </c>
      <c r="AA349" s="169" t="str">
        <f t="shared" si="35"/>
        <v/>
      </c>
      <c r="AB349" s="167" t="str">
        <f>IFERROR(_xlfn.XLOOKUP($A349,Input_Raw!$A:$A,Input_Raw!$DG:$DG),"")</f>
        <v/>
      </c>
      <c r="AC349" s="187">
        <f>IFERROR(_xlfn.XLOOKUP($D349,'Modelling New'!$D:$D,'Modelling New'!$J:$J),"")</f>
        <v>4.5999999999999996</v>
      </c>
      <c r="AD349" s="169">
        <f>IFERROR(_xlfn.XLOOKUP($D349,'Modelling New'!$D:$D,'Modelling New'!$T:$T)*1000,"")</f>
        <v>221156.23146397382</v>
      </c>
      <c r="AE349" s="186"/>
      <c r="AF349" s="186">
        <f>IFERROR(_xlfn.XLOOKUP($D349,'Modelling New'!$D:$D,'Modelling New'!$W:$W),"")</f>
        <v>0.11813901253417405</v>
      </c>
      <c r="AG349" s="186">
        <f>IFERROR(_xlfn.XLOOKUP($D349,'Modelling New'!$D:$D,'Modelling New'!$AE:$AE),"")</f>
        <v>0.96029999999999993</v>
      </c>
      <c r="AH349" s="186">
        <f>IFERROR(_xlfn.XLOOKUP($D349,'Modelling New'!$D:$D,'Modelling New'!$AF:$AF),"")</f>
        <v>0.995</v>
      </c>
      <c r="AI349" s="167" t="str">
        <f>IFERROR(_xlfn.XLOOKUP($A349,Input_Raw!$A:$A,Input_Raw!$DE:$DE),"")</f>
        <v/>
      </c>
      <c r="AJ349" s="167"/>
      <c r="AK349" s="167"/>
      <c r="AL349" s="167"/>
      <c r="AM349" s="167"/>
      <c r="AN349" s="188" t="str">
        <f>IFERROR(_xlfn.XLOOKUP($A349,Input_Raw!$A:$A,Input_Raw!$DB:$DB),"")</f>
        <v/>
      </c>
      <c r="AO349" s="186" t="str">
        <f>IFERROR((_xlfn.XLOOKUP($A349,'WTG Reactive Power'!$A:$A,'WTG Reactive Power'!$AR:$AR))/X349/1000,"")</f>
        <v/>
      </c>
      <c r="AP349" s="186">
        <f>IFERROR(_xlfn.XLOOKUP($D349,'Modelling New'!$D:$D,'Modelling New'!$AK:$AK),"")</f>
        <v>0.05</v>
      </c>
      <c r="AQ349" s="186">
        <f>IFERROR(_xlfn.XLOOKUP($D349,'Modelling New'!$D:$D,'Modelling New'!$AL:$AL),"")</f>
        <v>0.05</v>
      </c>
      <c r="AR349">
        <f>IFERROR(_xlfn.XLOOKUP($D349,'Modelling New'!$D:$D,'Modelling New'!$N:$N),"")</f>
        <v>78</v>
      </c>
    </row>
    <row r="350" spans="1:44">
      <c r="A350" s="180">
        <f t="shared" si="32"/>
        <v>46093</v>
      </c>
      <c r="B350" s="169">
        <f>YEAR(Table13[[#This Row],[Date]])+IF(MONTH(Table13[[#This Row],[Date]])&gt;=4,1,0)</f>
        <v>2026</v>
      </c>
      <c r="C350" s="167">
        <f>YEAR(Table13[[#This Row],[Date]])</f>
        <v>2026</v>
      </c>
      <c r="D350" s="181">
        <f>Table13[[#This Row],[Date]]-DAY(Table13[[#This Row],[Date]])+1</f>
        <v>46082</v>
      </c>
      <c r="E350" s="167">
        <f t="shared" si="33"/>
        <v>31</v>
      </c>
      <c r="F350" s="170"/>
      <c r="G350" s="171"/>
      <c r="H350" s="171"/>
      <c r="I350" s="171"/>
      <c r="J350" s="171"/>
      <c r="K350" s="182"/>
      <c r="L350" s="171"/>
      <c r="M350" s="171" t="str">
        <f>IFERROR(_xlfn.XLOOKUP($A350,Input_Raw!$A:$A,Input_Raw!CG:CG),"")</f>
        <v/>
      </c>
      <c r="N350" s="171" t="str">
        <f>IFERROR(_xlfn.XLOOKUP($A350,Input_Raw!$A:$A,Input_Raw!CH:CH),"")</f>
        <v/>
      </c>
      <c r="O350" s="183" t="str">
        <f t="shared" si="34"/>
        <v/>
      </c>
      <c r="P350" s="183" t="str">
        <f>IFERROR(1-SUMIF(WTG_BD!$B:$B,$A350,WTG_BD!$AB:$AB)/($AA350+SUMIF(WTG_BD!$B:$B,$A350,WTG_BD!$AB:$AB)),"")</f>
        <v/>
      </c>
      <c r="Q350" s="184" t="str">
        <f>IFERROR(1-SUMIF(IGA_BD!$B:$B,$A350,IGA_BD!$X:$X)/($AA350+SUMIF(IGA_BD!$B:$B,$A350,IGA_BD!$X:$X)),"")</f>
        <v/>
      </c>
      <c r="R350" s="189" t="str">
        <f>IFERROR(1-SUMIF(Grid_BD!$B:$B,$A350,Grid_BD!$V:$V)/($AA350+SUMIF(Grid_BD!$B:$B,$A350,Grid_BD!$V:$V)),"")</f>
        <v/>
      </c>
      <c r="S350" s="167"/>
      <c r="T350" s="184"/>
      <c r="U350" s="185"/>
      <c r="V350" s="167"/>
      <c r="W350" s="186" t="str">
        <f>IFERROR(Table13[[#This Row],[Mtr_Net_Exp (KWh)]]/(24*AR350*1000),"")</f>
        <v/>
      </c>
      <c r="X350" s="167" t="str">
        <f>IFERROR(_xlfn.XLOOKUP($A350,Input_Raw!$A:$A,Input_Raw!$CF:$CF),"")</f>
        <v/>
      </c>
      <c r="Y350" s="167" t="str">
        <f>IFERROR(_xlfn.XLOOKUP($A350,Input_Raw!$A:$A,Input_Raw!$CZ:$CZ),"")</f>
        <v/>
      </c>
      <c r="Z350" s="167" t="str">
        <f>IFERROR(_xlfn.XLOOKUP($A350,Input_Raw!$A:$A,Input_Raw!$DA:$DA),"")</f>
        <v/>
      </c>
      <c r="AA350" s="169" t="str">
        <f t="shared" si="35"/>
        <v/>
      </c>
      <c r="AB350" s="167" t="str">
        <f>IFERROR(_xlfn.XLOOKUP($A350,Input_Raw!$A:$A,Input_Raw!$DG:$DG),"")</f>
        <v/>
      </c>
      <c r="AC350" s="187">
        <f>IFERROR(_xlfn.XLOOKUP($D350,'Modelling New'!$D:$D,'Modelling New'!$J:$J),"")</f>
        <v>4.5999999999999996</v>
      </c>
      <c r="AD350" s="169">
        <f>IFERROR(_xlfn.XLOOKUP($D350,'Modelling New'!$D:$D,'Modelling New'!$T:$T)*1000,"")</f>
        <v>221156.23146397382</v>
      </c>
      <c r="AE350" s="186"/>
      <c r="AF350" s="186">
        <f>IFERROR(_xlfn.XLOOKUP($D350,'Modelling New'!$D:$D,'Modelling New'!$W:$W),"")</f>
        <v>0.11813901253417405</v>
      </c>
      <c r="AG350" s="186">
        <f>IFERROR(_xlfn.XLOOKUP($D350,'Modelling New'!$D:$D,'Modelling New'!$AE:$AE),"")</f>
        <v>0.96029999999999993</v>
      </c>
      <c r="AH350" s="186">
        <f>IFERROR(_xlfn.XLOOKUP($D350,'Modelling New'!$D:$D,'Modelling New'!$AF:$AF),"")</f>
        <v>0.995</v>
      </c>
      <c r="AI350" s="167" t="str">
        <f>IFERROR(_xlfn.XLOOKUP($A350,Input_Raw!$A:$A,Input_Raw!$DE:$DE),"")</f>
        <v/>
      </c>
      <c r="AJ350" s="167"/>
      <c r="AK350" s="167"/>
      <c r="AL350" s="167"/>
      <c r="AM350" s="167"/>
      <c r="AN350" s="188" t="str">
        <f>IFERROR(_xlfn.XLOOKUP($A350,Input_Raw!$A:$A,Input_Raw!$DB:$DB),"")</f>
        <v/>
      </c>
      <c r="AO350" s="186" t="str">
        <f>IFERROR((_xlfn.XLOOKUP($A350,'WTG Reactive Power'!$A:$A,'WTG Reactive Power'!$AR:$AR))/X350/1000,"")</f>
        <v/>
      </c>
      <c r="AP350" s="186">
        <f>IFERROR(_xlfn.XLOOKUP($D350,'Modelling New'!$D:$D,'Modelling New'!$AK:$AK),"")</f>
        <v>0.05</v>
      </c>
      <c r="AQ350" s="186">
        <f>IFERROR(_xlfn.XLOOKUP($D350,'Modelling New'!$D:$D,'Modelling New'!$AL:$AL),"")</f>
        <v>0.05</v>
      </c>
      <c r="AR350">
        <f>IFERROR(_xlfn.XLOOKUP($D350,'Modelling New'!$D:$D,'Modelling New'!$N:$N),"")</f>
        <v>78</v>
      </c>
    </row>
    <row r="351" spans="1:44">
      <c r="A351" s="180">
        <f t="shared" si="32"/>
        <v>46094</v>
      </c>
      <c r="B351" s="169">
        <f>YEAR(Table13[[#This Row],[Date]])+IF(MONTH(Table13[[#This Row],[Date]])&gt;=4,1,0)</f>
        <v>2026</v>
      </c>
      <c r="C351" s="167">
        <f>YEAR(Table13[[#This Row],[Date]])</f>
        <v>2026</v>
      </c>
      <c r="D351" s="181">
        <f>Table13[[#This Row],[Date]]-DAY(Table13[[#This Row],[Date]])+1</f>
        <v>46082</v>
      </c>
      <c r="E351" s="167">
        <f t="shared" si="33"/>
        <v>31</v>
      </c>
      <c r="F351" s="170"/>
      <c r="G351" s="171"/>
      <c r="H351" s="171"/>
      <c r="I351" s="171"/>
      <c r="J351" s="171"/>
      <c r="K351" s="182"/>
      <c r="L351" s="171"/>
      <c r="M351" s="171" t="str">
        <f>IFERROR(_xlfn.XLOOKUP($A351,Input_Raw!$A:$A,Input_Raw!CG:CG),"")</f>
        <v/>
      </c>
      <c r="N351" s="171" t="str">
        <f>IFERROR(_xlfn.XLOOKUP($A351,Input_Raw!$A:$A,Input_Raw!CH:CH),"")</f>
        <v/>
      </c>
      <c r="O351" s="183" t="str">
        <f t="shared" si="34"/>
        <v/>
      </c>
      <c r="P351" s="183" t="str">
        <f>IFERROR(1-SUMIF(WTG_BD!$B:$B,$A351,WTG_BD!$AB:$AB)/($AA351+SUMIF(WTG_BD!$B:$B,$A351,WTG_BD!$AB:$AB)),"")</f>
        <v/>
      </c>
      <c r="Q351" s="184" t="str">
        <f>IFERROR(1-SUMIF(IGA_BD!$B:$B,$A351,IGA_BD!$X:$X)/($AA351+SUMIF(IGA_BD!$B:$B,$A351,IGA_BD!$X:$X)),"")</f>
        <v/>
      </c>
      <c r="R351" s="189" t="str">
        <f>IFERROR(1-SUMIF(Grid_BD!$B:$B,$A351,Grid_BD!$V:$V)/($AA351+SUMIF(Grid_BD!$B:$B,$A351,Grid_BD!$V:$V)),"")</f>
        <v/>
      </c>
      <c r="S351" s="167"/>
      <c r="T351" s="184"/>
      <c r="U351" s="185"/>
      <c r="V351" s="167"/>
      <c r="W351" s="186" t="str">
        <f>IFERROR(Table13[[#This Row],[Mtr_Net_Exp (KWh)]]/(24*AR351*1000),"")</f>
        <v/>
      </c>
      <c r="X351" s="167" t="str">
        <f>IFERROR(_xlfn.XLOOKUP($A351,Input_Raw!$A:$A,Input_Raw!$CF:$CF),"")</f>
        <v/>
      </c>
      <c r="Y351" s="167" t="str">
        <f>IFERROR(_xlfn.XLOOKUP($A351,Input_Raw!$A:$A,Input_Raw!$CZ:$CZ),"")</f>
        <v/>
      </c>
      <c r="Z351" s="167" t="str">
        <f>IFERROR(_xlfn.XLOOKUP($A351,Input_Raw!$A:$A,Input_Raw!$DA:$DA),"")</f>
        <v/>
      </c>
      <c r="AA351" s="169" t="str">
        <f t="shared" si="35"/>
        <v/>
      </c>
      <c r="AB351" s="167" t="str">
        <f>IFERROR(_xlfn.XLOOKUP($A351,Input_Raw!$A:$A,Input_Raw!$DG:$DG),"")</f>
        <v/>
      </c>
      <c r="AC351" s="187">
        <f>IFERROR(_xlfn.XLOOKUP($D351,'Modelling New'!$D:$D,'Modelling New'!$J:$J),"")</f>
        <v>4.5999999999999996</v>
      </c>
      <c r="AD351" s="169">
        <f>IFERROR(_xlfn.XLOOKUP($D351,'Modelling New'!$D:$D,'Modelling New'!$T:$T)*1000,"")</f>
        <v>221156.23146397382</v>
      </c>
      <c r="AE351" s="186"/>
      <c r="AF351" s="186">
        <f>IFERROR(_xlfn.XLOOKUP($D351,'Modelling New'!$D:$D,'Modelling New'!$W:$W),"")</f>
        <v>0.11813901253417405</v>
      </c>
      <c r="AG351" s="186">
        <f>IFERROR(_xlfn.XLOOKUP($D351,'Modelling New'!$D:$D,'Modelling New'!$AE:$AE),"")</f>
        <v>0.96029999999999993</v>
      </c>
      <c r="AH351" s="186">
        <f>IFERROR(_xlfn.XLOOKUP($D351,'Modelling New'!$D:$D,'Modelling New'!$AF:$AF),"")</f>
        <v>0.995</v>
      </c>
      <c r="AI351" s="167" t="str">
        <f>IFERROR(_xlfn.XLOOKUP($A351,Input_Raw!$A:$A,Input_Raw!$DE:$DE),"")</f>
        <v/>
      </c>
      <c r="AJ351" s="167"/>
      <c r="AK351" s="167"/>
      <c r="AL351" s="167"/>
      <c r="AM351" s="167"/>
      <c r="AN351" s="188" t="str">
        <f>IFERROR(_xlfn.XLOOKUP($A351,Input_Raw!$A:$A,Input_Raw!$DB:$DB),"")</f>
        <v/>
      </c>
      <c r="AO351" s="186" t="str">
        <f>IFERROR((_xlfn.XLOOKUP($A351,'WTG Reactive Power'!$A:$A,'WTG Reactive Power'!$AR:$AR))/X351/1000,"")</f>
        <v/>
      </c>
      <c r="AP351" s="186">
        <f>IFERROR(_xlfn.XLOOKUP($D351,'Modelling New'!$D:$D,'Modelling New'!$AK:$AK),"")</f>
        <v>0.05</v>
      </c>
      <c r="AQ351" s="186">
        <f>IFERROR(_xlfn.XLOOKUP($D351,'Modelling New'!$D:$D,'Modelling New'!$AL:$AL),"")</f>
        <v>0.05</v>
      </c>
      <c r="AR351">
        <f>IFERROR(_xlfn.XLOOKUP($D351,'Modelling New'!$D:$D,'Modelling New'!$N:$N),"")</f>
        <v>78</v>
      </c>
    </row>
    <row r="352" spans="1:44">
      <c r="A352" s="180">
        <f t="shared" si="32"/>
        <v>46095</v>
      </c>
      <c r="B352" s="169">
        <f>YEAR(Table13[[#This Row],[Date]])+IF(MONTH(Table13[[#This Row],[Date]])&gt;=4,1,0)</f>
        <v>2026</v>
      </c>
      <c r="C352" s="167">
        <f>YEAR(Table13[[#This Row],[Date]])</f>
        <v>2026</v>
      </c>
      <c r="D352" s="181">
        <f>Table13[[#This Row],[Date]]-DAY(Table13[[#This Row],[Date]])+1</f>
        <v>46082</v>
      </c>
      <c r="E352" s="167">
        <f t="shared" si="33"/>
        <v>31</v>
      </c>
      <c r="F352" s="170"/>
      <c r="G352" s="171"/>
      <c r="H352" s="171"/>
      <c r="I352" s="171"/>
      <c r="J352" s="171"/>
      <c r="K352" s="182"/>
      <c r="L352" s="171"/>
      <c r="M352" s="171" t="str">
        <f>IFERROR(_xlfn.XLOOKUP($A352,Input_Raw!$A:$A,Input_Raw!CG:CG),"")</f>
        <v/>
      </c>
      <c r="N352" s="171" t="str">
        <f>IFERROR(_xlfn.XLOOKUP($A352,Input_Raw!$A:$A,Input_Raw!CH:CH),"")</f>
        <v/>
      </c>
      <c r="O352" s="183" t="str">
        <f t="shared" si="34"/>
        <v/>
      </c>
      <c r="P352" s="183" t="str">
        <f>IFERROR(1-SUMIF(WTG_BD!$B:$B,$A352,WTG_BD!$AB:$AB)/($AA352+SUMIF(WTG_BD!$B:$B,$A352,WTG_BD!$AB:$AB)),"")</f>
        <v/>
      </c>
      <c r="Q352" s="184" t="str">
        <f>IFERROR(1-SUMIF(IGA_BD!$B:$B,$A352,IGA_BD!$X:$X)/($AA352+SUMIF(IGA_BD!$B:$B,$A352,IGA_BD!$X:$X)),"")</f>
        <v/>
      </c>
      <c r="R352" s="189" t="str">
        <f>IFERROR(1-SUMIF(Grid_BD!$B:$B,$A352,Grid_BD!$V:$V)/($AA352+SUMIF(Grid_BD!$B:$B,$A352,Grid_BD!$V:$V)),"")</f>
        <v/>
      </c>
      <c r="S352" s="167"/>
      <c r="T352" s="184"/>
      <c r="U352" s="185"/>
      <c r="V352" s="167"/>
      <c r="W352" s="186" t="str">
        <f>IFERROR(Table13[[#This Row],[Mtr_Net_Exp (KWh)]]/(24*AR352*1000),"")</f>
        <v/>
      </c>
      <c r="X352" s="167" t="str">
        <f>IFERROR(_xlfn.XLOOKUP($A352,Input_Raw!$A:$A,Input_Raw!$CF:$CF),"")</f>
        <v/>
      </c>
      <c r="Y352" s="167" t="str">
        <f>IFERROR(_xlfn.XLOOKUP($A352,Input_Raw!$A:$A,Input_Raw!$CZ:$CZ),"")</f>
        <v/>
      </c>
      <c r="Z352" s="167" t="str">
        <f>IFERROR(_xlfn.XLOOKUP($A352,Input_Raw!$A:$A,Input_Raw!$DA:$DA),"")</f>
        <v/>
      </c>
      <c r="AA352" s="169" t="str">
        <f t="shared" si="35"/>
        <v/>
      </c>
      <c r="AB352" s="167" t="str">
        <f>IFERROR(_xlfn.XLOOKUP($A352,Input_Raw!$A:$A,Input_Raw!$DG:$DG),"")</f>
        <v/>
      </c>
      <c r="AC352" s="187">
        <f>IFERROR(_xlfn.XLOOKUP($D352,'Modelling New'!$D:$D,'Modelling New'!$J:$J),"")</f>
        <v>4.5999999999999996</v>
      </c>
      <c r="AD352" s="169">
        <f>IFERROR(_xlfn.XLOOKUP($D352,'Modelling New'!$D:$D,'Modelling New'!$T:$T)*1000,"")</f>
        <v>221156.23146397382</v>
      </c>
      <c r="AE352" s="186"/>
      <c r="AF352" s="186">
        <f>IFERROR(_xlfn.XLOOKUP($D352,'Modelling New'!$D:$D,'Modelling New'!$W:$W),"")</f>
        <v>0.11813901253417405</v>
      </c>
      <c r="AG352" s="186">
        <f>IFERROR(_xlfn.XLOOKUP($D352,'Modelling New'!$D:$D,'Modelling New'!$AE:$AE),"")</f>
        <v>0.96029999999999993</v>
      </c>
      <c r="AH352" s="186">
        <f>IFERROR(_xlfn.XLOOKUP($D352,'Modelling New'!$D:$D,'Modelling New'!$AF:$AF),"")</f>
        <v>0.995</v>
      </c>
      <c r="AI352" s="167" t="str">
        <f>IFERROR(_xlfn.XLOOKUP($A352,Input_Raw!$A:$A,Input_Raw!$DE:$DE),"")</f>
        <v/>
      </c>
      <c r="AJ352" s="167"/>
      <c r="AK352" s="167"/>
      <c r="AL352" s="167"/>
      <c r="AM352" s="167"/>
      <c r="AN352" s="188" t="str">
        <f>IFERROR(_xlfn.XLOOKUP($A352,Input_Raw!$A:$A,Input_Raw!$DB:$DB),"")</f>
        <v/>
      </c>
      <c r="AO352" s="186" t="str">
        <f>IFERROR((_xlfn.XLOOKUP($A352,'WTG Reactive Power'!$A:$A,'WTG Reactive Power'!$AR:$AR))/X352/1000,"")</f>
        <v/>
      </c>
      <c r="AP352" s="186">
        <f>IFERROR(_xlfn.XLOOKUP($D352,'Modelling New'!$D:$D,'Modelling New'!$AK:$AK),"")</f>
        <v>0.05</v>
      </c>
      <c r="AQ352" s="186">
        <f>IFERROR(_xlfn.XLOOKUP($D352,'Modelling New'!$D:$D,'Modelling New'!$AL:$AL),"")</f>
        <v>0.05</v>
      </c>
      <c r="AR352">
        <f>IFERROR(_xlfn.XLOOKUP($D352,'Modelling New'!$D:$D,'Modelling New'!$N:$N),"")</f>
        <v>78</v>
      </c>
    </row>
    <row r="353" spans="1:44">
      <c r="A353" s="180">
        <f t="shared" si="32"/>
        <v>46096</v>
      </c>
      <c r="B353" s="169">
        <f>YEAR(Table13[[#This Row],[Date]])+IF(MONTH(Table13[[#This Row],[Date]])&gt;=4,1,0)</f>
        <v>2026</v>
      </c>
      <c r="C353" s="167">
        <f>YEAR(Table13[[#This Row],[Date]])</f>
        <v>2026</v>
      </c>
      <c r="D353" s="181">
        <f>Table13[[#This Row],[Date]]-DAY(Table13[[#This Row],[Date]])+1</f>
        <v>46082</v>
      </c>
      <c r="E353" s="167">
        <f t="shared" si="33"/>
        <v>31</v>
      </c>
      <c r="F353" s="170"/>
      <c r="G353" s="171"/>
      <c r="H353" s="171"/>
      <c r="I353" s="171"/>
      <c r="J353" s="171"/>
      <c r="K353" s="182"/>
      <c r="L353" s="171"/>
      <c r="M353" s="171" t="str">
        <f>IFERROR(_xlfn.XLOOKUP($A353,Input_Raw!$A:$A,Input_Raw!CG:CG),"")</f>
        <v/>
      </c>
      <c r="N353" s="171" t="str">
        <f>IFERROR(_xlfn.XLOOKUP($A353,Input_Raw!$A:$A,Input_Raw!CH:CH),"")</f>
        <v/>
      </c>
      <c r="O353" s="183" t="str">
        <f t="shared" si="34"/>
        <v/>
      </c>
      <c r="P353" s="183" t="str">
        <f>IFERROR(1-SUMIF(WTG_BD!$B:$B,$A353,WTG_BD!$AB:$AB)/($AA353+SUMIF(WTG_BD!$B:$B,$A353,WTG_BD!$AB:$AB)),"")</f>
        <v/>
      </c>
      <c r="Q353" s="184" t="str">
        <f>IFERROR(1-SUMIF(IGA_BD!$B:$B,$A353,IGA_BD!$X:$X)/($AA353+SUMIF(IGA_BD!$B:$B,$A353,IGA_BD!$X:$X)),"")</f>
        <v/>
      </c>
      <c r="R353" s="189" t="str">
        <f>IFERROR(1-SUMIF(Grid_BD!$B:$B,$A353,Grid_BD!$V:$V)/($AA353+SUMIF(Grid_BD!$B:$B,$A353,Grid_BD!$V:$V)),"")</f>
        <v/>
      </c>
      <c r="S353" s="167"/>
      <c r="T353" s="184"/>
      <c r="U353" s="185"/>
      <c r="V353" s="167"/>
      <c r="W353" s="186" t="str">
        <f>IFERROR(Table13[[#This Row],[Mtr_Net_Exp (KWh)]]/(24*AR353*1000),"")</f>
        <v/>
      </c>
      <c r="X353" s="167" t="str">
        <f>IFERROR(_xlfn.XLOOKUP($A353,Input_Raw!$A:$A,Input_Raw!$CF:$CF),"")</f>
        <v/>
      </c>
      <c r="Y353" s="167" t="str">
        <f>IFERROR(_xlfn.XLOOKUP($A353,Input_Raw!$A:$A,Input_Raw!$CZ:$CZ),"")</f>
        <v/>
      </c>
      <c r="Z353" s="167" t="str">
        <f>IFERROR(_xlfn.XLOOKUP($A353,Input_Raw!$A:$A,Input_Raw!$DA:$DA),"")</f>
        <v/>
      </c>
      <c r="AA353" s="169" t="str">
        <f t="shared" si="35"/>
        <v/>
      </c>
      <c r="AB353" s="167" t="str">
        <f>IFERROR(_xlfn.XLOOKUP($A353,Input_Raw!$A:$A,Input_Raw!$DG:$DG),"")</f>
        <v/>
      </c>
      <c r="AC353" s="187">
        <f>IFERROR(_xlfn.XLOOKUP($D353,'Modelling New'!$D:$D,'Modelling New'!$J:$J),"")</f>
        <v>4.5999999999999996</v>
      </c>
      <c r="AD353" s="169">
        <f>IFERROR(_xlfn.XLOOKUP($D353,'Modelling New'!$D:$D,'Modelling New'!$T:$T)*1000,"")</f>
        <v>221156.23146397382</v>
      </c>
      <c r="AE353" s="186"/>
      <c r="AF353" s="186">
        <f>IFERROR(_xlfn.XLOOKUP($D353,'Modelling New'!$D:$D,'Modelling New'!$W:$W),"")</f>
        <v>0.11813901253417405</v>
      </c>
      <c r="AG353" s="186">
        <f>IFERROR(_xlfn.XLOOKUP($D353,'Modelling New'!$D:$D,'Modelling New'!$AE:$AE),"")</f>
        <v>0.96029999999999993</v>
      </c>
      <c r="AH353" s="186">
        <f>IFERROR(_xlfn.XLOOKUP($D353,'Modelling New'!$D:$D,'Modelling New'!$AF:$AF),"")</f>
        <v>0.995</v>
      </c>
      <c r="AI353" s="167" t="str">
        <f>IFERROR(_xlfn.XLOOKUP($A353,Input_Raw!$A:$A,Input_Raw!$DE:$DE),"")</f>
        <v/>
      </c>
      <c r="AJ353" s="167"/>
      <c r="AK353" s="167"/>
      <c r="AL353" s="167"/>
      <c r="AM353" s="167"/>
      <c r="AN353" s="188" t="str">
        <f>IFERROR(_xlfn.XLOOKUP($A353,Input_Raw!$A:$A,Input_Raw!$DB:$DB),"")</f>
        <v/>
      </c>
      <c r="AO353" s="186" t="str">
        <f>IFERROR((_xlfn.XLOOKUP($A353,'WTG Reactive Power'!$A:$A,'WTG Reactive Power'!$AR:$AR))/X353/1000,"")</f>
        <v/>
      </c>
      <c r="AP353" s="186">
        <f>IFERROR(_xlfn.XLOOKUP($D353,'Modelling New'!$D:$D,'Modelling New'!$AK:$AK),"")</f>
        <v>0.05</v>
      </c>
      <c r="AQ353" s="186">
        <f>IFERROR(_xlfn.XLOOKUP($D353,'Modelling New'!$D:$D,'Modelling New'!$AL:$AL),"")</f>
        <v>0.05</v>
      </c>
      <c r="AR353">
        <f>IFERROR(_xlfn.XLOOKUP($D353,'Modelling New'!$D:$D,'Modelling New'!$N:$N),"")</f>
        <v>78</v>
      </c>
    </row>
    <row r="354" spans="1:44">
      <c r="A354" s="180">
        <f t="shared" si="32"/>
        <v>46097</v>
      </c>
      <c r="B354" s="169">
        <f>YEAR(Table13[[#This Row],[Date]])+IF(MONTH(Table13[[#This Row],[Date]])&gt;=4,1,0)</f>
        <v>2026</v>
      </c>
      <c r="C354" s="167">
        <f>YEAR(Table13[[#This Row],[Date]])</f>
        <v>2026</v>
      </c>
      <c r="D354" s="181">
        <f>Table13[[#This Row],[Date]]-DAY(Table13[[#This Row],[Date]])+1</f>
        <v>46082</v>
      </c>
      <c r="E354" s="167">
        <f t="shared" si="33"/>
        <v>31</v>
      </c>
      <c r="F354" s="170"/>
      <c r="G354" s="171"/>
      <c r="H354" s="171"/>
      <c r="I354" s="171"/>
      <c r="J354" s="171"/>
      <c r="K354" s="182"/>
      <c r="L354" s="171"/>
      <c r="M354" s="171" t="str">
        <f>IFERROR(_xlfn.XLOOKUP($A354,Input_Raw!$A:$A,Input_Raw!CG:CG),"")</f>
        <v/>
      </c>
      <c r="N354" s="171" t="str">
        <f>IFERROR(_xlfn.XLOOKUP($A354,Input_Raw!$A:$A,Input_Raw!CH:CH),"")</f>
        <v/>
      </c>
      <c r="O354" s="183" t="str">
        <f t="shared" si="34"/>
        <v/>
      </c>
      <c r="P354" s="183" t="str">
        <f>IFERROR(1-SUMIF(WTG_BD!$B:$B,$A354,WTG_BD!$AB:$AB)/($AA354+SUMIF(WTG_BD!$B:$B,$A354,WTG_BD!$AB:$AB)),"")</f>
        <v/>
      </c>
      <c r="Q354" s="184" t="str">
        <f>IFERROR(1-SUMIF(IGA_BD!$B:$B,$A354,IGA_BD!$X:$X)/($AA354+SUMIF(IGA_BD!$B:$B,$A354,IGA_BD!$X:$X)),"")</f>
        <v/>
      </c>
      <c r="R354" s="189" t="str">
        <f>IFERROR(1-SUMIF(Grid_BD!$B:$B,$A354,Grid_BD!$V:$V)/($AA354+SUMIF(Grid_BD!$B:$B,$A354,Grid_BD!$V:$V)),"")</f>
        <v/>
      </c>
      <c r="S354" s="167"/>
      <c r="T354" s="184"/>
      <c r="U354" s="185"/>
      <c r="V354" s="167"/>
      <c r="W354" s="186" t="str">
        <f>IFERROR(Table13[[#This Row],[Mtr_Net_Exp (KWh)]]/(24*AR354*1000),"")</f>
        <v/>
      </c>
      <c r="X354" s="167" t="str">
        <f>IFERROR(_xlfn.XLOOKUP($A354,Input_Raw!$A:$A,Input_Raw!$CF:$CF),"")</f>
        <v/>
      </c>
      <c r="Y354" s="167" t="str">
        <f>IFERROR(_xlfn.XLOOKUP($A354,Input_Raw!$A:$A,Input_Raw!$CZ:$CZ),"")</f>
        <v/>
      </c>
      <c r="Z354" s="167" t="str">
        <f>IFERROR(_xlfn.XLOOKUP($A354,Input_Raw!$A:$A,Input_Raw!$DA:$DA),"")</f>
        <v/>
      </c>
      <c r="AA354" s="169" t="str">
        <f t="shared" si="35"/>
        <v/>
      </c>
      <c r="AB354" s="167" t="str">
        <f>IFERROR(_xlfn.XLOOKUP($A354,Input_Raw!$A:$A,Input_Raw!$DG:$DG),"")</f>
        <v/>
      </c>
      <c r="AC354" s="187">
        <f>IFERROR(_xlfn.XLOOKUP($D354,'Modelling New'!$D:$D,'Modelling New'!$J:$J),"")</f>
        <v>4.5999999999999996</v>
      </c>
      <c r="AD354" s="169">
        <f>IFERROR(_xlfn.XLOOKUP($D354,'Modelling New'!$D:$D,'Modelling New'!$T:$T)*1000,"")</f>
        <v>221156.23146397382</v>
      </c>
      <c r="AE354" s="186"/>
      <c r="AF354" s="186">
        <f>IFERROR(_xlfn.XLOOKUP($D354,'Modelling New'!$D:$D,'Modelling New'!$W:$W),"")</f>
        <v>0.11813901253417405</v>
      </c>
      <c r="AG354" s="186">
        <f>IFERROR(_xlfn.XLOOKUP($D354,'Modelling New'!$D:$D,'Modelling New'!$AE:$AE),"")</f>
        <v>0.96029999999999993</v>
      </c>
      <c r="AH354" s="186">
        <f>IFERROR(_xlfn.XLOOKUP($D354,'Modelling New'!$D:$D,'Modelling New'!$AF:$AF),"")</f>
        <v>0.995</v>
      </c>
      <c r="AI354" s="167" t="str">
        <f>IFERROR(_xlfn.XLOOKUP($A354,Input_Raw!$A:$A,Input_Raw!$DE:$DE),"")</f>
        <v/>
      </c>
      <c r="AJ354" s="167"/>
      <c r="AK354" s="167"/>
      <c r="AL354" s="167"/>
      <c r="AM354" s="167"/>
      <c r="AN354" s="188" t="str">
        <f>IFERROR(_xlfn.XLOOKUP($A354,Input_Raw!$A:$A,Input_Raw!$DB:$DB),"")</f>
        <v/>
      </c>
      <c r="AO354" s="186" t="str">
        <f>IFERROR((_xlfn.XLOOKUP($A354,'WTG Reactive Power'!$A:$A,'WTG Reactive Power'!$AR:$AR))/X354/1000,"")</f>
        <v/>
      </c>
      <c r="AP354" s="186">
        <f>IFERROR(_xlfn.XLOOKUP($D354,'Modelling New'!$D:$D,'Modelling New'!$AK:$AK),"")</f>
        <v>0.05</v>
      </c>
      <c r="AQ354" s="186">
        <f>IFERROR(_xlfn.XLOOKUP($D354,'Modelling New'!$D:$D,'Modelling New'!$AL:$AL),"")</f>
        <v>0.05</v>
      </c>
      <c r="AR354">
        <f>IFERROR(_xlfn.XLOOKUP($D354,'Modelling New'!$D:$D,'Modelling New'!$N:$N),"")</f>
        <v>78</v>
      </c>
    </row>
    <row r="355" spans="1:44">
      <c r="A355" s="180">
        <f t="shared" si="32"/>
        <v>46098</v>
      </c>
      <c r="B355" s="169">
        <f>YEAR(Table13[[#This Row],[Date]])+IF(MONTH(Table13[[#This Row],[Date]])&gt;=4,1,0)</f>
        <v>2026</v>
      </c>
      <c r="C355" s="167">
        <f>YEAR(Table13[[#This Row],[Date]])</f>
        <v>2026</v>
      </c>
      <c r="D355" s="181">
        <f>Table13[[#This Row],[Date]]-DAY(Table13[[#This Row],[Date]])+1</f>
        <v>46082</v>
      </c>
      <c r="E355" s="167">
        <f t="shared" si="33"/>
        <v>31</v>
      </c>
      <c r="F355" s="170"/>
      <c r="G355" s="171"/>
      <c r="H355" s="171"/>
      <c r="I355" s="171"/>
      <c r="J355" s="171"/>
      <c r="K355" s="182"/>
      <c r="L355" s="171"/>
      <c r="M355" s="171" t="str">
        <f>IFERROR(_xlfn.XLOOKUP($A355,Input_Raw!$A:$A,Input_Raw!CG:CG),"")</f>
        <v/>
      </c>
      <c r="N355" s="171" t="str">
        <f>IFERROR(_xlfn.XLOOKUP($A355,Input_Raw!$A:$A,Input_Raw!CH:CH),"")</f>
        <v/>
      </c>
      <c r="O355" s="183" t="str">
        <f t="shared" si="34"/>
        <v/>
      </c>
      <c r="P355" s="183" t="str">
        <f>IFERROR(1-SUMIF(WTG_BD!$B:$B,$A355,WTG_BD!$AB:$AB)/($AA355+SUMIF(WTG_BD!$B:$B,$A355,WTG_BD!$AB:$AB)),"")</f>
        <v/>
      </c>
      <c r="Q355" s="184" t="str">
        <f>IFERROR(1-SUMIF(IGA_BD!$B:$B,$A355,IGA_BD!$X:$X)/($AA355+SUMIF(IGA_BD!$B:$B,$A355,IGA_BD!$X:$X)),"")</f>
        <v/>
      </c>
      <c r="R355" s="189" t="str">
        <f>IFERROR(1-SUMIF(Grid_BD!$B:$B,$A355,Grid_BD!$V:$V)/($AA355+SUMIF(Grid_BD!$B:$B,$A355,Grid_BD!$V:$V)),"")</f>
        <v/>
      </c>
      <c r="S355" s="167"/>
      <c r="T355" s="184"/>
      <c r="U355" s="185"/>
      <c r="V355" s="167"/>
      <c r="W355" s="186" t="str">
        <f>IFERROR(Table13[[#This Row],[Mtr_Net_Exp (KWh)]]/(24*AR355*1000),"")</f>
        <v/>
      </c>
      <c r="X355" s="167" t="str">
        <f>IFERROR(_xlfn.XLOOKUP($A355,Input_Raw!$A:$A,Input_Raw!$CF:$CF),"")</f>
        <v/>
      </c>
      <c r="Y355" s="167" t="str">
        <f>IFERROR(_xlfn.XLOOKUP($A355,Input_Raw!$A:$A,Input_Raw!$CZ:$CZ),"")</f>
        <v/>
      </c>
      <c r="Z355" s="167" t="str">
        <f>IFERROR(_xlfn.XLOOKUP($A355,Input_Raw!$A:$A,Input_Raw!$DA:$DA),"")</f>
        <v/>
      </c>
      <c r="AA355" s="169" t="str">
        <f t="shared" si="35"/>
        <v/>
      </c>
      <c r="AB355" s="167" t="str">
        <f>IFERROR(_xlfn.XLOOKUP($A355,Input_Raw!$A:$A,Input_Raw!$DG:$DG),"")</f>
        <v/>
      </c>
      <c r="AC355" s="187">
        <f>IFERROR(_xlfn.XLOOKUP($D355,'Modelling New'!$D:$D,'Modelling New'!$J:$J),"")</f>
        <v>4.5999999999999996</v>
      </c>
      <c r="AD355" s="169">
        <f>IFERROR(_xlfn.XLOOKUP($D355,'Modelling New'!$D:$D,'Modelling New'!$T:$T)*1000,"")</f>
        <v>221156.23146397382</v>
      </c>
      <c r="AE355" s="186"/>
      <c r="AF355" s="186">
        <f>IFERROR(_xlfn.XLOOKUP($D355,'Modelling New'!$D:$D,'Modelling New'!$W:$W),"")</f>
        <v>0.11813901253417405</v>
      </c>
      <c r="AG355" s="186">
        <f>IFERROR(_xlfn.XLOOKUP($D355,'Modelling New'!$D:$D,'Modelling New'!$AE:$AE),"")</f>
        <v>0.96029999999999993</v>
      </c>
      <c r="AH355" s="186">
        <f>IFERROR(_xlfn.XLOOKUP($D355,'Modelling New'!$D:$D,'Modelling New'!$AF:$AF),"")</f>
        <v>0.995</v>
      </c>
      <c r="AI355" s="167" t="str">
        <f>IFERROR(_xlfn.XLOOKUP($A355,Input_Raw!$A:$A,Input_Raw!$DE:$DE),"")</f>
        <v/>
      </c>
      <c r="AJ355" s="167"/>
      <c r="AK355" s="167"/>
      <c r="AL355" s="167"/>
      <c r="AM355" s="167"/>
      <c r="AN355" s="188" t="str">
        <f>IFERROR(_xlfn.XLOOKUP($A355,Input_Raw!$A:$A,Input_Raw!$DB:$DB),"")</f>
        <v/>
      </c>
      <c r="AO355" s="186" t="str">
        <f>IFERROR((_xlfn.XLOOKUP($A355,'WTG Reactive Power'!$A:$A,'WTG Reactive Power'!$AR:$AR))/X355/1000,"")</f>
        <v/>
      </c>
      <c r="AP355" s="186">
        <f>IFERROR(_xlfn.XLOOKUP($D355,'Modelling New'!$D:$D,'Modelling New'!$AK:$AK),"")</f>
        <v>0.05</v>
      </c>
      <c r="AQ355" s="186">
        <f>IFERROR(_xlfn.XLOOKUP($D355,'Modelling New'!$D:$D,'Modelling New'!$AL:$AL),"")</f>
        <v>0.05</v>
      </c>
      <c r="AR355">
        <f>IFERROR(_xlfn.XLOOKUP($D355,'Modelling New'!$D:$D,'Modelling New'!$N:$N),"")</f>
        <v>78</v>
      </c>
    </row>
    <row r="356" spans="1:44">
      <c r="A356" s="180">
        <f t="shared" si="32"/>
        <v>46099</v>
      </c>
      <c r="B356" s="169">
        <f>YEAR(Table13[[#This Row],[Date]])+IF(MONTH(Table13[[#This Row],[Date]])&gt;=4,1,0)</f>
        <v>2026</v>
      </c>
      <c r="C356" s="167">
        <f>YEAR(Table13[[#This Row],[Date]])</f>
        <v>2026</v>
      </c>
      <c r="D356" s="181">
        <f>Table13[[#This Row],[Date]]-DAY(Table13[[#This Row],[Date]])+1</f>
        <v>46082</v>
      </c>
      <c r="E356" s="167">
        <f t="shared" si="33"/>
        <v>31</v>
      </c>
      <c r="F356" s="170"/>
      <c r="G356" s="171"/>
      <c r="H356" s="171"/>
      <c r="I356" s="171"/>
      <c r="J356" s="171"/>
      <c r="K356" s="182"/>
      <c r="L356" s="171"/>
      <c r="M356" s="171" t="str">
        <f>IFERROR(_xlfn.XLOOKUP($A356,Input_Raw!$A:$A,Input_Raw!CG:CG),"")</f>
        <v/>
      </c>
      <c r="N356" s="171" t="str">
        <f>IFERROR(_xlfn.XLOOKUP($A356,Input_Raw!$A:$A,Input_Raw!CH:CH),"")</f>
        <v/>
      </c>
      <c r="O356" s="183" t="str">
        <f t="shared" si="34"/>
        <v/>
      </c>
      <c r="P356" s="183" t="str">
        <f>IFERROR(1-SUMIF(WTG_BD!$B:$B,$A356,WTG_BD!$AB:$AB)/($AA356+SUMIF(WTG_BD!$B:$B,$A356,WTG_BD!$AB:$AB)),"")</f>
        <v/>
      </c>
      <c r="Q356" s="184" t="str">
        <f>IFERROR(1-SUMIF(IGA_BD!$B:$B,$A356,IGA_BD!$X:$X)/($AA356+SUMIF(IGA_BD!$B:$B,$A356,IGA_BD!$X:$X)),"")</f>
        <v/>
      </c>
      <c r="R356" s="189" t="str">
        <f>IFERROR(1-SUMIF(Grid_BD!$B:$B,$A356,Grid_BD!$V:$V)/($AA356+SUMIF(Grid_BD!$B:$B,$A356,Grid_BD!$V:$V)),"")</f>
        <v/>
      </c>
      <c r="S356" s="167"/>
      <c r="T356" s="184"/>
      <c r="U356" s="185"/>
      <c r="V356" s="167"/>
      <c r="W356" s="186" t="str">
        <f>IFERROR(Table13[[#This Row],[Mtr_Net_Exp (KWh)]]/(24*AR356*1000),"")</f>
        <v/>
      </c>
      <c r="X356" s="167" t="str">
        <f>IFERROR(_xlfn.XLOOKUP($A356,Input_Raw!$A:$A,Input_Raw!$CF:$CF),"")</f>
        <v/>
      </c>
      <c r="Y356" s="167" t="str">
        <f>IFERROR(_xlfn.XLOOKUP($A356,Input_Raw!$A:$A,Input_Raw!$CZ:$CZ),"")</f>
        <v/>
      </c>
      <c r="Z356" s="167" t="str">
        <f>IFERROR(_xlfn.XLOOKUP($A356,Input_Raw!$A:$A,Input_Raw!$DA:$DA),"")</f>
        <v/>
      </c>
      <c r="AA356" s="169" t="str">
        <f t="shared" si="35"/>
        <v/>
      </c>
      <c r="AB356" s="167" t="str">
        <f>IFERROR(_xlfn.XLOOKUP($A356,Input_Raw!$A:$A,Input_Raw!$DG:$DG),"")</f>
        <v/>
      </c>
      <c r="AC356" s="187">
        <f>IFERROR(_xlfn.XLOOKUP($D356,'Modelling New'!$D:$D,'Modelling New'!$J:$J),"")</f>
        <v>4.5999999999999996</v>
      </c>
      <c r="AD356" s="169">
        <f>IFERROR(_xlfn.XLOOKUP($D356,'Modelling New'!$D:$D,'Modelling New'!$T:$T)*1000,"")</f>
        <v>221156.23146397382</v>
      </c>
      <c r="AE356" s="186"/>
      <c r="AF356" s="186">
        <f>IFERROR(_xlfn.XLOOKUP($D356,'Modelling New'!$D:$D,'Modelling New'!$W:$W),"")</f>
        <v>0.11813901253417405</v>
      </c>
      <c r="AG356" s="186">
        <f>IFERROR(_xlfn.XLOOKUP($D356,'Modelling New'!$D:$D,'Modelling New'!$AE:$AE),"")</f>
        <v>0.96029999999999993</v>
      </c>
      <c r="AH356" s="186">
        <f>IFERROR(_xlfn.XLOOKUP($D356,'Modelling New'!$D:$D,'Modelling New'!$AF:$AF),"")</f>
        <v>0.995</v>
      </c>
      <c r="AI356" s="167" t="str">
        <f>IFERROR(_xlfn.XLOOKUP($A356,Input_Raw!$A:$A,Input_Raw!$DE:$DE),"")</f>
        <v/>
      </c>
      <c r="AJ356" s="167"/>
      <c r="AK356" s="167"/>
      <c r="AL356" s="167"/>
      <c r="AM356" s="167"/>
      <c r="AN356" s="188" t="str">
        <f>IFERROR(_xlfn.XLOOKUP($A356,Input_Raw!$A:$A,Input_Raw!$DB:$DB),"")</f>
        <v/>
      </c>
      <c r="AO356" s="186" t="str">
        <f>IFERROR((_xlfn.XLOOKUP($A356,'WTG Reactive Power'!$A:$A,'WTG Reactive Power'!$AR:$AR))/X356/1000,"")</f>
        <v/>
      </c>
      <c r="AP356" s="186">
        <f>IFERROR(_xlfn.XLOOKUP($D356,'Modelling New'!$D:$D,'Modelling New'!$AK:$AK),"")</f>
        <v>0.05</v>
      </c>
      <c r="AQ356" s="186">
        <f>IFERROR(_xlfn.XLOOKUP($D356,'Modelling New'!$D:$D,'Modelling New'!$AL:$AL),"")</f>
        <v>0.05</v>
      </c>
      <c r="AR356">
        <f>IFERROR(_xlfn.XLOOKUP($D356,'Modelling New'!$D:$D,'Modelling New'!$N:$N),"")</f>
        <v>78</v>
      </c>
    </row>
    <row r="357" spans="1:44">
      <c r="A357" s="180">
        <f t="shared" si="32"/>
        <v>46100</v>
      </c>
      <c r="B357" s="169">
        <f>YEAR(Table13[[#This Row],[Date]])+IF(MONTH(Table13[[#This Row],[Date]])&gt;=4,1,0)</f>
        <v>2026</v>
      </c>
      <c r="C357" s="167">
        <f>YEAR(Table13[[#This Row],[Date]])</f>
        <v>2026</v>
      </c>
      <c r="D357" s="181">
        <f>Table13[[#This Row],[Date]]-DAY(Table13[[#This Row],[Date]])+1</f>
        <v>46082</v>
      </c>
      <c r="E357" s="167">
        <f t="shared" ref="E357:E369" si="36">DAY(EOMONTH(A357,0))</f>
        <v>31</v>
      </c>
      <c r="F357" s="170"/>
      <c r="G357" s="171"/>
      <c r="H357" s="171"/>
      <c r="I357" s="171"/>
      <c r="J357" s="171"/>
      <c r="K357" s="182"/>
      <c r="L357" s="171"/>
      <c r="M357" s="171" t="str">
        <f>IFERROR(_xlfn.XLOOKUP($A357,Input_Raw!$A:$A,Input_Raw!CG:CG),"")</f>
        <v/>
      </c>
      <c r="N357" s="171" t="str">
        <f>IFERROR(_xlfn.XLOOKUP($A357,Input_Raw!$A:$A,Input_Raw!CH:CH),"")</f>
        <v/>
      </c>
      <c r="O357" s="183" t="str">
        <f t="shared" ref="O357:O369" si="37">IFERROR(P357*Q357,"")</f>
        <v/>
      </c>
      <c r="P357" s="183" t="str">
        <f>IFERROR(1-SUMIF(WTG_BD!$B:$B,$A357,WTG_BD!$AB:$AB)/($AA357+SUMIF(WTG_BD!$B:$B,$A357,WTG_BD!$AB:$AB)),"")</f>
        <v/>
      </c>
      <c r="Q357" s="184" t="str">
        <f>IFERROR(1-SUMIF(IGA_BD!$B:$B,$A357,IGA_BD!$X:$X)/($AA357+SUMIF(IGA_BD!$B:$B,$A357,IGA_BD!$X:$X)),"")</f>
        <v/>
      </c>
      <c r="R357" s="189" t="str">
        <f>IFERROR(1-SUMIF(Grid_BD!$B:$B,$A357,Grid_BD!$V:$V)/($AA357+SUMIF(Grid_BD!$B:$B,$A357,Grid_BD!$V:$V)),"")</f>
        <v/>
      </c>
      <c r="S357" s="167"/>
      <c r="T357" s="184"/>
      <c r="U357" s="185"/>
      <c r="V357" s="167"/>
      <c r="W357" s="186" t="str">
        <f>IFERROR(Table13[[#This Row],[Mtr_Net_Exp (KWh)]]/(24*AR357*1000),"")</f>
        <v/>
      </c>
      <c r="X357" s="167" t="str">
        <f>IFERROR(_xlfn.XLOOKUP($A357,Input_Raw!$A:$A,Input_Raw!$CF:$CF),"")</f>
        <v/>
      </c>
      <c r="Y357" s="167" t="str">
        <f>IFERROR(_xlfn.XLOOKUP($A357,Input_Raw!$A:$A,Input_Raw!$CZ:$CZ),"")</f>
        <v/>
      </c>
      <c r="Z357" s="167" t="str">
        <f>IFERROR(_xlfn.XLOOKUP($A357,Input_Raw!$A:$A,Input_Raw!$DA:$DA),"")</f>
        <v/>
      </c>
      <c r="AA357" s="169" t="str">
        <f t="shared" ref="AA357:AA369" si="38">IFERROR(Y357-Z357,"")</f>
        <v/>
      </c>
      <c r="AB357" s="167" t="str">
        <f>IFERROR(_xlfn.XLOOKUP($A357,Input_Raw!$A:$A,Input_Raw!$DG:$DG),"")</f>
        <v/>
      </c>
      <c r="AC357" s="187">
        <f>IFERROR(_xlfn.XLOOKUP($D357,'Modelling New'!$D:$D,'Modelling New'!$J:$J),"")</f>
        <v>4.5999999999999996</v>
      </c>
      <c r="AD357" s="169">
        <f>IFERROR(_xlfn.XLOOKUP($D357,'Modelling New'!$D:$D,'Modelling New'!$T:$T)*1000,"")</f>
        <v>221156.23146397382</v>
      </c>
      <c r="AE357" s="186"/>
      <c r="AF357" s="186">
        <f>IFERROR(_xlfn.XLOOKUP($D357,'Modelling New'!$D:$D,'Modelling New'!$W:$W),"")</f>
        <v>0.11813901253417405</v>
      </c>
      <c r="AG357" s="186">
        <f>IFERROR(_xlfn.XLOOKUP($D357,'Modelling New'!$D:$D,'Modelling New'!$AE:$AE),"")</f>
        <v>0.96029999999999993</v>
      </c>
      <c r="AH357" s="186">
        <f>IFERROR(_xlfn.XLOOKUP($D357,'Modelling New'!$D:$D,'Modelling New'!$AF:$AF),"")</f>
        <v>0.995</v>
      </c>
      <c r="AI357" s="167" t="str">
        <f>IFERROR(_xlfn.XLOOKUP($A357,Input_Raw!$A:$A,Input_Raw!$DE:$DE),"")</f>
        <v/>
      </c>
      <c r="AJ357" s="167"/>
      <c r="AK357" s="167"/>
      <c r="AL357" s="167"/>
      <c r="AM357" s="167"/>
      <c r="AN357" s="188" t="str">
        <f>IFERROR(_xlfn.XLOOKUP($A357,Input_Raw!$A:$A,Input_Raw!$DB:$DB),"")</f>
        <v/>
      </c>
      <c r="AO357" s="186" t="str">
        <f>IFERROR((_xlfn.XLOOKUP($A357,'WTG Reactive Power'!$A:$A,'WTG Reactive Power'!$AR:$AR))/X357/1000,"")</f>
        <v/>
      </c>
      <c r="AP357" s="186">
        <f>IFERROR(_xlfn.XLOOKUP($D357,'Modelling New'!$D:$D,'Modelling New'!$AK:$AK),"")</f>
        <v>0.05</v>
      </c>
      <c r="AQ357" s="186">
        <f>IFERROR(_xlfn.XLOOKUP($D357,'Modelling New'!$D:$D,'Modelling New'!$AL:$AL),"")</f>
        <v>0.05</v>
      </c>
      <c r="AR357">
        <f>IFERROR(_xlfn.XLOOKUP($D357,'Modelling New'!$D:$D,'Modelling New'!$N:$N),"")</f>
        <v>78</v>
      </c>
    </row>
    <row r="358" spans="1:44">
      <c r="A358" s="180">
        <f t="shared" ref="A358:A369" si="39">A357+1</f>
        <v>46101</v>
      </c>
      <c r="B358" s="169">
        <f>YEAR(Table13[[#This Row],[Date]])+IF(MONTH(Table13[[#This Row],[Date]])&gt;=4,1,0)</f>
        <v>2026</v>
      </c>
      <c r="C358" s="167">
        <f>YEAR(Table13[[#This Row],[Date]])</f>
        <v>2026</v>
      </c>
      <c r="D358" s="181">
        <f>Table13[[#This Row],[Date]]-DAY(Table13[[#This Row],[Date]])+1</f>
        <v>46082</v>
      </c>
      <c r="E358" s="167">
        <f t="shared" si="36"/>
        <v>31</v>
      </c>
      <c r="F358" s="170"/>
      <c r="G358" s="171"/>
      <c r="H358" s="171"/>
      <c r="I358" s="171"/>
      <c r="J358" s="171"/>
      <c r="K358" s="182"/>
      <c r="L358" s="171"/>
      <c r="M358" s="171" t="str">
        <f>IFERROR(_xlfn.XLOOKUP($A358,Input_Raw!$A:$A,Input_Raw!CG:CG),"")</f>
        <v/>
      </c>
      <c r="N358" s="171" t="str">
        <f>IFERROR(_xlfn.XLOOKUP($A358,Input_Raw!$A:$A,Input_Raw!CH:CH),"")</f>
        <v/>
      </c>
      <c r="O358" s="183" t="str">
        <f t="shared" si="37"/>
        <v/>
      </c>
      <c r="P358" s="183" t="str">
        <f>IFERROR(1-SUMIF(WTG_BD!$B:$B,$A358,WTG_BD!$AB:$AB)/($AA358+SUMIF(WTG_BD!$B:$B,$A358,WTG_BD!$AB:$AB)),"")</f>
        <v/>
      </c>
      <c r="Q358" s="184" t="str">
        <f>IFERROR(1-SUMIF(IGA_BD!$B:$B,$A358,IGA_BD!$X:$X)/($AA358+SUMIF(IGA_BD!$B:$B,$A358,IGA_BD!$X:$X)),"")</f>
        <v/>
      </c>
      <c r="R358" s="189" t="str">
        <f>IFERROR(1-SUMIF(Grid_BD!$B:$B,$A358,Grid_BD!$V:$V)/($AA358+SUMIF(Grid_BD!$B:$B,$A358,Grid_BD!$V:$V)),"")</f>
        <v/>
      </c>
      <c r="S358" s="167"/>
      <c r="T358" s="184"/>
      <c r="U358" s="185"/>
      <c r="V358" s="167"/>
      <c r="W358" s="186" t="str">
        <f>IFERROR(Table13[[#This Row],[Mtr_Net_Exp (KWh)]]/(24*AR358*1000),"")</f>
        <v/>
      </c>
      <c r="X358" s="167" t="str">
        <f>IFERROR(_xlfn.XLOOKUP($A358,Input_Raw!$A:$A,Input_Raw!$CF:$CF),"")</f>
        <v/>
      </c>
      <c r="Y358" s="167" t="str">
        <f>IFERROR(_xlfn.XLOOKUP($A358,Input_Raw!$A:$A,Input_Raw!$CZ:$CZ),"")</f>
        <v/>
      </c>
      <c r="Z358" s="167" t="str">
        <f>IFERROR(_xlfn.XLOOKUP($A358,Input_Raw!$A:$A,Input_Raw!$DA:$DA),"")</f>
        <v/>
      </c>
      <c r="AA358" s="169" t="str">
        <f t="shared" si="38"/>
        <v/>
      </c>
      <c r="AB358" s="167" t="str">
        <f>IFERROR(_xlfn.XLOOKUP($A358,Input_Raw!$A:$A,Input_Raw!$DG:$DG),"")</f>
        <v/>
      </c>
      <c r="AC358" s="187">
        <f>IFERROR(_xlfn.XLOOKUP($D358,'Modelling New'!$D:$D,'Modelling New'!$J:$J),"")</f>
        <v>4.5999999999999996</v>
      </c>
      <c r="AD358" s="169">
        <f>IFERROR(_xlfn.XLOOKUP($D358,'Modelling New'!$D:$D,'Modelling New'!$T:$T)*1000,"")</f>
        <v>221156.23146397382</v>
      </c>
      <c r="AE358" s="186"/>
      <c r="AF358" s="186">
        <f>IFERROR(_xlfn.XLOOKUP($D358,'Modelling New'!$D:$D,'Modelling New'!$W:$W),"")</f>
        <v>0.11813901253417405</v>
      </c>
      <c r="AG358" s="186">
        <f>IFERROR(_xlfn.XLOOKUP($D358,'Modelling New'!$D:$D,'Modelling New'!$AE:$AE),"")</f>
        <v>0.96029999999999993</v>
      </c>
      <c r="AH358" s="186">
        <f>IFERROR(_xlfn.XLOOKUP($D358,'Modelling New'!$D:$D,'Modelling New'!$AF:$AF),"")</f>
        <v>0.995</v>
      </c>
      <c r="AI358" s="167" t="str">
        <f>IFERROR(_xlfn.XLOOKUP($A358,Input_Raw!$A:$A,Input_Raw!$DE:$DE),"")</f>
        <v/>
      </c>
      <c r="AJ358" s="167"/>
      <c r="AK358" s="167"/>
      <c r="AL358" s="167"/>
      <c r="AM358" s="167"/>
      <c r="AN358" s="188" t="str">
        <f>IFERROR(_xlfn.XLOOKUP($A358,Input_Raw!$A:$A,Input_Raw!$DB:$DB),"")</f>
        <v/>
      </c>
      <c r="AO358" s="186" t="str">
        <f>IFERROR((_xlfn.XLOOKUP($A358,'WTG Reactive Power'!$A:$A,'WTG Reactive Power'!$AR:$AR))/X358/1000,"")</f>
        <v/>
      </c>
      <c r="AP358" s="186">
        <f>IFERROR(_xlfn.XLOOKUP($D358,'Modelling New'!$D:$D,'Modelling New'!$AK:$AK),"")</f>
        <v>0.05</v>
      </c>
      <c r="AQ358" s="186">
        <f>IFERROR(_xlfn.XLOOKUP($D358,'Modelling New'!$D:$D,'Modelling New'!$AL:$AL),"")</f>
        <v>0.05</v>
      </c>
      <c r="AR358">
        <f>IFERROR(_xlfn.XLOOKUP($D358,'Modelling New'!$D:$D,'Modelling New'!$N:$N),"")</f>
        <v>78</v>
      </c>
    </row>
    <row r="359" spans="1:44">
      <c r="A359" s="180">
        <f t="shared" si="39"/>
        <v>46102</v>
      </c>
      <c r="B359" s="169">
        <f>YEAR(Table13[[#This Row],[Date]])+IF(MONTH(Table13[[#This Row],[Date]])&gt;=4,1,0)</f>
        <v>2026</v>
      </c>
      <c r="C359" s="167">
        <f>YEAR(Table13[[#This Row],[Date]])</f>
        <v>2026</v>
      </c>
      <c r="D359" s="181">
        <f>Table13[[#This Row],[Date]]-DAY(Table13[[#This Row],[Date]])+1</f>
        <v>46082</v>
      </c>
      <c r="E359" s="167">
        <f t="shared" si="36"/>
        <v>31</v>
      </c>
      <c r="F359" s="170"/>
      <c r="G359" s="171"/>
      <c r="H359" s="171"/>
      <c r="I359" s="171"/>
      <c r="J359" s="171"/>
      <c r="K359" s="182"/>
      <c r="L359" s="171"/>
      <c r="M359" s="171" t="str">
        <f>IFERROR(_xlfn.XLOOKUP($A359,Input_Raw!$A:$A,Input_Raw!CG:CG),"")</f>
        <v/>
      </c>
      <c r="N359" s="171" t="str">
        <f>IFERROR(_xlfn.XLOOKUP($A359,Input_Raw!$A:$A,Input_Raw!CH:CH),"")</f>
        <v/>
      </c>
      <c r="O359" s="183" t="str">
        <f t="shared" si="37"/>
        <v/>
      </c>
      <c r="P359" s="183" t="str">
        <f>IFERROR(1-SUMIF(WTG_BD!$B:$B,$A359,WTG_BD!$AB:$AB)/($AA359+SUMIF(WTG_BD!$B:$B,$A359,WTG_BD!$AB:$AB)),"")</f>
        <v/>
      </c>
      <c r="Q359" s="184" t="str">
        <f>IFERROR(1-SUMIF(IGA_BD!$B:$B,$A359,IGA_BD!$X:$X)/($AA359+SUMIF(IGA_BD!$B:$B,$A359,IGA_BD!$X:$X)),"")</f>
        <v/>
      </c>
      <c r="R359" s="189" t="str">
        <f>IFERROR(1-SUMIF(Grid_BD!$B:$B,$A359,Grid_BD!$V:$V)/($AA359+SUMIF(Grid_BD!$B:$B,$A359,Grid_BD!$V:$V)),"")</f>
        <v/>
      </c>
      <c r="S359" s="167"/>
      <c r="T359" s="184"/>
      <c r="U359" s="185"/>
      <c r="V359" s="167"/>
      <c r="W359" s="186" t="str">
        <f>IFERROR(Table13[[#This Row],[Mtr_Net_Exp (KWh)]]/(24*AR359*1000),"")</f>
        <v/>
      </c>
      <c r="X359" s="167" t="str">
        <f>IFERROR(_xlfn.XLOOKUP($A359,Input_Raw!$A:$A,Input_Raw!$CF:$CF),"")</f>
        <v/>
      </c>
      <c r="Y359" s="167" t="str">
        <f>IFERROR(_xlfn.XLOOKUP($A359,Input_Raw!$A:$A,Input_Raw!$CZ:$CZ),"")</f>
        <v/>
      </c>
      <c r="Z359" s="167" t="str">
        <f>IFERROR(_xlfn.XLOOKUP($A359,Input_Raw!$A:$A,Input_Raw!$DA:$DA),"")</f>
        <v/>
      </c>
      <c r="AA359" s="169" t="str">
        <f t="shared" si="38"/>
        <v/>
      </c>
      <c r="AB359" s="167" t="str">
        <f>IFERROR(_xlfn.XLOOKUP($A359,Input_Raw!$A:$A,Input_Raw!$DG:$DG),"")</f>
        <v/>
      </c>
      <c r="AC359" s="187">
        <f>IFERROR(_xlfn.XLOOKUP($D359,'Modelling New'!$D:$D,'Modelling New'!$J:$J),"")</f>
        <v>4.5999999999999996</v>
      </c>
      <c r="AD359" s="169">
        <f>IFERROR(_xlfn.XLOOKUP($D359,'Modelling New'!$D:$D,'Modelling New'!$T:$T)*1000,"")</f>
        <v>221156.23146397382</v>
      </c>
      <c r="AE359" s="186"/>
      <c r="AF359" s="186">
        <f>IFERROR(_xlfn.XLOOKUP($D359,'Modelling New'!$D:$D,'Modelling New'!$W:$W),"")</f>
        <v>0.11813901253417405</v>
      </c>
      <c r="AG359" s="186">
        <f>IFERROR(_xlfn.XLOOKUP($D359,'Modelling New'!$D:$D,'Modelling New'!$AE:$AE),"")</f>
        <v>0.96029999999999993</v>
      </c>
      <c r="AH359" s="186">
        <f>IFERROR(_xlfn.XLOOKUP($D359,'Modelling New'!$D:$D,'Modelling New'!$AF:$AF),"")</f>
        <v>0.995</v>
      </c>
      <c r="AI359" s="167" t="str">
        <f>IFERROR(_xlfn.XLOOKUP($A359,Input_Raw!$A:$A,Input_Raw!$DE:$DE),"")</f>
        <v/>
      </c>
      <c r="AJ359" s="167"/>
      <c r="AK359" s="167"/>
      <c r="AL359" s="167"/>
      <c r="AM359" s="167"/>
      <c r="AN359" s="188" t="str">
        <f>IFERROR(_xlfn.XLOOKUP($A359,Input_Raw!$A:$A,Input_Raw!$DB:$DB),"")</f>
        <v/>
      </c>
      <c r="AO359" s="186" t="str">
        <f>IFERROR((_xlfn.XLOOKUP($A359,'WTG Reactive Power'!$A:$A,'WTG Reactive Power'!$AR:$AR))/X359/1000,"")</f>
        <v/>
      </c>
      <c r="AP359" s="186">
        <f>IFERROR(_xlfn.XLOOKUP($D359,'Modelling New'!$D:$D,'Modelling New'!$AK:$AK),"")</f>
        <v>0.05</v>
      </c>
      <c r="AQ359" s="186">
        <f>IFERROR(_xlfn.XLOOKUP($D359,'Modelling New'!$D:$D,'Modelling New'!$AL:$AL),"")</f>
        <v>0.05</v>
      </c>
      <c r="AR359">
        <f>IFERROR(_xlfn.XLOOKUP($D359,'Modelling New'!$D:$D,'Modelling New'!$N:$N),"")</f>
        <v>78</v>
      </c>
    </row>
    <row r="360" spans="1:44">
      <c r="A360" s="180">
        <f t="shared" si="39"/>
        <v>46103</v>
      </c>
      <c r="B360" s="169">
        <f>YEAR(Table13[[#This Row],[Date]])+IF(MONTH(Table13[[#This Row],[Date]])&gt;=4,1,0)</f>
        <v>2026</v>
      </c>
      <c r="C360" s="167">
        <f>YEAR(Table13[[#This Row],[Date]])</f>
        <v>2026</v>
      </c>
      <c r="D360" s="181">
        <f>Table13[[#This Row],[Date]]-DAY(Table13[[#This Row],[Date]])+1</f>
        <v>46082</v>
      </c>
      <c r="E360" s="167">
        <f t="shared" si="36"/>
        <v>31</v>
      </c>
      <c r="F360" s="170"/>
      <c r="G360" s="171"/>
      <c r="H360" s="171"/>
      <c r="I360" s="171"/>
      <c r="J360" s="171"/>
      <c r="K360" s="182"/>
      <c r="L360" s="171"/>
      <c r="M360" s="171" t="str">
        <f>IFERROR(_xlfn.XLOOKUP($A360,Input_Raw!$A:$A,Input_Raw!CG:CG),"")</f>
        <v/>
      </c>
      <c r="N360" s="171" t="str">
        <f>IFERROR(_xlfn.XLOOKUP($A360,Input_Raw!$A:$A,Input_Raw!CH:CH),"")</f>
        <v/>
      </c>
      <c r="O360" s="183" t="str">
        <f t="shared" si="37"/>
        <v/>
      </c>
      <c r="P360" s="183" t="str">
        <f>IFERROR(1-SUMIF(WTG_BD!$B:$B,$A360,WTG_BD!$AB:$AB)/($AA360+SUMIF(WTG_BD!$B:$B,$A360,WTG_BD!$AB:$AB)),"")</f>
        <v/>
      </c>
      <c r="Q360" s="184" t="str">
        <f>IFERROR(1-SUMIF(IGA_BD!$B:$B,$A360,IGA_BD!$X:$X)/($AA360+SUMIF(IGA_BD!$B:$B,$A360,IGA_BD!$X:$X)),"")</f>
        <v/>
      </c>
      <c r="R360" s="189" t="str">
        <f>IFERROR(1-SUMIF(Grid_BD!$B:$B,$A360,Grid_BD!$V:$V)/($AA360+SUMIF(Grid_BD!$B:$B,$A360,Grid_BD!$V:$V)),"")</f>
        <v/>
      </c>
      <c r="S360" s="167"/>
      <c r="T360" s="184"/>
      <c r="U360" s="185"/>
      <c r="V360" s="167"/>
      <c r="W360" s="186" t="str">
        <f>IFERROR(Table13[[#This Row],[Mtr_Net_Exp (KWh)]]/(24*AR360*1000),"")</f>
        <v/>
      </c>
      <c r="X360" s="167" t="str">
        <f>IFERROR(_xlfn.XLOOKUP($A360,Input_Raw!$A:$A,Input_Raw!$CF:$CF),"")</f>
        <v/>
      </c>
      <c r="Y360" s="167" t="str">
        <f>IFERROR(_xlfn.XLOOKUP($A360,Input_Raw!$A:$A,Input_Raw!$CZ:$CZ),"")</f>
        <v/>
      </c>
      <c r="Z360" s="167" t="str">
        <f>IFERROR(_xlfn.XLOOKUP($A360,Input_Raw!$A:$A,Input_Raw!$DA:$DA),"")</f>
        <v/>
      </c>
      <c r="AA360" s="169" t="str">
        <f t="shared" si="38"/>
        <v/>
      </c>
      <c r="AB360" s="167" t="str">
        <f>IFERROR(_xlfn.XLOOKUP($A360,Input_Raw!$A:$A,Input_Raw!$DG:$DG),"")</f>
        <v/>
      </c>
      <c r="AC360" s="187">
        <f>IFERROR(_xlfn.XLOOKUP($D360,'Modelling New'!$D:$D,'Modelling New'!$J:$J),"")</f>
        <v>4.5999999999999996</v>
      </c>
      <c r="AD360" s="169">
        <f>IFERROR(_xlfn.XLOOKUP($D360,'Modelling New'!$D:$D,'Modelling New'!$T:$T)*1000,"")</f>
        <v>221156.23146397382</v>
      </c>
      <c r="AE360" s="186"/>
      <c r="AF360" s="186">
        <f>IFERROR(_xlfn.XLOOKUP($D360,'Modelling New'!$D:$D,'Modelling New'!$W:$W),"")</f>
        <v>0.11813901253417405</v>
      </c>
      <c r="AG360" s="186">
        <f>IFERROR(_xlfn.XLOOKUP($D360,'Modelling New'!$D:$D,'Modelling New'!$AE:$AE),"")</f>
        <v>0.96029999999999993</v>
      </c>
      <c r="AH360" s="186">
        <f>IFERROR(_xlfn.XLOOKUP($D360,'Modelling New'!$D:$D,'Modelling New'!$AF:$AF),"")</f>
        <v>0.995</v>
      </c>
      <c r="AI360" s="167" t="str">
        <f>IFERROR(_xlfn.XLOOKUP($A360,Input_Raw!$A:$A,Input_Raw!$DE:$DE),"")</f>
        <v/>
      </c>
      <c r="AJ360" s="167"/>
      <c r="AK360" s="167"/>
      <c r="AL360" s="167"/>
      <c r="AM360" s="167"/>
      <c r="AN360" s="188" t="str">
        <f>IFERROR(_xlfn.XLOOKUP($A360,Input_Raw!$A:$A,Input_Raw!$DB:$DB),"")</f>
        <v/>
      </c>
      <c r="AO360" s="186" t="str">
        <f>IFERROR((_xlfn.XLOOKUP($A360,'WTG Reactive Power'!$A:$A,'WTG Reactive Power'!$AR:$AR))/X360/1000,"")</f>
        <v/>
      </c>
      <c r="AP360" s="186">
        <f>IFERROR(_xlfn.XLOOKUP($D360,'Modelling New'!$D:$D,'Modelling New'!$AK:$AK),"")</f>
        <v>0.05</v>
      </c>
      <c r="AQ360" s="186">
        <f>IFERROR(_xlfn.XLOOKUP($D360,'Modelling New'!$D:$D,'Modelling New'!$AL:$AL),"")</f>
        <v>0.05</v>
      </c>
      <c r="AR360">
        <f>IFERROR(_xlfn.XLOOKUP($D360,'Modelling New'!$D:$D,'Modelling New'!$N:$N),"")</f>
        <v>78</v>
      </c>
    </row>
    <row r="361" spans="1:44">
      <c r="A361" s="180">
        <f t="shared" si="39"/>
        <v>46104</v>
      </c>
      <c r="B361" s="169">
        <f>YEAR(Table13[[#This Row],[Date]])+IF(MONTH(Table13[[#This Row],[Date]])&gt;=4,1,0)</f>
        <v>2026</v>
      </c>
      <c r="C361" s="167">
        <f>YEAR(Table13[[#This Row],[Date]])</f>
        <v>2026</v>
      </c>
      <c r="D361" s="181">
        <f>Table13[[#This Row],[Date]]-DAY(Table13[[#This Row],[Date]])+1</f>
        <v>46082</v>
      </c>
      <c r="E361" s="167">
        <f t="shared" si="36"/>
        <v>31</v>
      </c>
      <c r="F361" s="170"/>
      <c r="G361" s="171"/>
      <c r="H361" s="171"/>
      <c r="I361" s="171"/>
      <c r="J361" s="171"/>
      <c r="K361" s="182"/>
      <c r="L361" s="171"/>
      <c r="M361" s="171" t="str">
        <f>IFERROR(_xlfn.XLOOKUP($A361,Input_Raw!$A:$A,Input_Raw!CG:CG),"")</f>
        <v/>
      </c>
      <c r="N361" s="171" t="str">
        <f>IFERROR(_xlfn.XLOOKUP($A361,Input_Raw!$A:$A,Input_Raw!CH:CH),"")</f>
        <v/>
      </c>
      <c r="O361" s="183" t="str">
        <f t="shared" si="37"/>
        <v/>
      </c>
      <c r="P361" s="183" t="str">
        <f>IFERROR(1-SUMIF(WTG_BD!$B:$B,$A361,WTG_BD!$AB:$AB)/($AA361+SUMIF(WTG_BD!$B:$B,$A361,WTG_BD!$AB:$AB)),"")</f>
        <v/>
      </c>
      <c r="Q361" s="184" t="str">
        <f>IFERROR(1-SUMIF(IGA_BD!$B:$B,$A361,IGA_BD!$X:$X)/($AA361+SUMIF(IGA_BD!$B:$B,$A361,IGA_BD!$X:$X)),"")</f>
        <v/>
      </c>
      <c r="R361" s="189" t="str">
        <f>IFERROR(1-SUMIF(Grid_BD!$B:$B,$A361,Grid_BD!$V:$V)/($AA361+SUMIF(Grid_BD!$B:$B,$A361,Grid_BD!$V:$V)),"")</f>
        <v/>
      </c>
      <c r="S361" s="167"/>
      <c r="T361" s="184"/>
      <c r="U361" s="185"/>
      <c r="V361" s="167"/>
      <c r="W361" s="186" t="str">
        <f>IFERROR(Table13[[#This Row],[Mtr_Net_Exp (KWh)]]/(24*AR361*1000),"")</f>
        <v/>
      </c>
      <c r="X361" s="167" t="str">
        <f>IFERROR(_xlfn.XLOOKUP($A361,Input_Raw!$A:$A,Input_Raw!$CF:$CF),"")</f>
        <v/>
      </c>
      <c r="Y361" s="167" t="str">
        <f>IFERROR(_xlfn.XLOOKUP($A361,Input_Raw!$A:$A,Input_Raw!$CZ:$CZ),"")</f>
        <v/>
      </c>
      <c r="Z361" s="167" t="str">
        <f>IFERROR(_xlfn.XLOOKUP($A361,Input_Raw!$A:$A,Input_Raw!$DA:$DA),"")</f>
        <v/>
      </c>
      <c r="AA361" s="169" t="str">
        <f t="shared" si="38"/>
        <v/>
      </c>
      <c r="AB361" s="167" t="str">
        <f>IFERROR(_xlfn.XLOOKUP($A361,Input_Raw!$A:$A,Input_Raw!$DG:$DG),"")</f>
        <v/>
      </c>
      <c r="AC361" s="187">
        <f>IFERROR(_xlfn.XLOOKUP($D361,'Modelling New'!$D:$D,'Modelling New'!$J:$J),"")</f>
        <v>4.5999999999999996</v>
      </c>
      <c r="AD361" s="169">
        <f>IFERROR(_xlfn.XLOOKUP($D361,'Modelling New'!$D:$D,'Modelling New'!$T:$T)*1000,"")</f>
        <v>221156.23146397382</v>
      </c>
      <c r="AE361" s="186"/>
      <c r="AF361" s="186">
        <f>IFERROR(_xlfn.XLOOKUP($D361,'Modelling New'!$D:$D,'Modelling New'!$W:$W),"")</f>
        <v>0.11813901253417405</v>
      </c>
      <c r="AG361" s="186">
        <f>IFERROR(_xlfn.XLOOKUP($D361,'Modelling New'!$D:$D,'Modelling New'!$AE:$AE),"")</f>
        <v>0.96029999999999993</v>
      </c>
      <c r="AH361" s="186">
        <f>IFERROR(_xlfn.XLOOKUP($D361,'Modelling New'!$D:$D,'Modelling New'!$AF:$AF),"")</f>
        <v>0.995</v>
      </c>
      <c r="AI361" s="167" t="str">
        <f>IFERROR(_xlfn.XLOOKUP($A361,Input_Raw!$A:$A,Input_Raw!$DE:$DE),"")</f>
        <v/>
      </c>
      <c r="AJ361" s="167"/>
      <c r="AK361" s="167"/>
      <c r="AL361" s="167"/>
      <c r="AM361" s="167"/>
      <c r="AN361" s="188" t="str">
        <f>IFERROR(_xlfn.XLOOKUP($A361,Input_Raw!$A:$A,Input_Raw!$DB:$DB),"")</f>
        <v/>
      </c>
      <c r="AO361" s="186" t="str">
        <f>IFERROR((_xlfn.XLOOKUP($A361,'WTG Reactive Power'!$A:$A,'WTG Reactive Power'!$AR:$AR))/X361/1000,"")</f>
        <v/>
      </c>
      <c r="AP361" s="186">
        <f>IFERROR(_xlfn.XLOOKUP($D361,'Modelling New'!$D:$D,'Modelling New'!$AK:$AK),"")</f>
        <v>0.05</v>
      </c>
      <c r="AQ361" s="186">
        <f>IFERROR(_xlfn.XLOOKUP($D361,'Modelling New'!$D:$D,'Modelling New'!$AL:$AL),"")</f>
        <v>0.05</v>
      </c>
      <c r="AR361">
        <f>IFERROR(_xlfn.XLOOKUP($D361,'Modelling New'!$D:$D,'Modelling New'!$N:$N),"")</f>
        <v>78</v>
      </c>
    </row>
    <row r="362" spans="1:44">
      <c r="A362" s="180">
        <f t="shared" si="39"/>
        <v>46105</v>
      </c>
      <c r="B362" s="169">
        <f>YEAR(Table13[[#This Row],[Date]])+IF(MONTH(Table13[[#This Row],[Date]])&gt;=4,1,0)</f>
        <v>2026</v>
      </c>
      <c r="C362" s="167">
        <f>YEAR(Table13[[#This Row],[Date]])</f>
        <v>2026</v>
      </c>
      <c r="D362" s="181">
        <f>Table13[[#This Row],[Date]]-DAY(Table13[[#This Row],[Date]])+1</f>
        <v>46082</v>
      </c>
      <c r="E362" s="167">
        <f t="shared" si="36"/>
        <v>31</v>
      </c>
      <c r="F362" s="170"/>
      <c r="G362" s="171"/>
      <c r="H362" s="171"/>
      <c r="I362" s="171"/>
      <c r="J362" s="171"/>
      <c r="K362" s="182"/>
      <c r="L362" s="171"/>
      <c r="M362" s="171" t="str">
        <f>IFERROR(_xlfn.XLOOKUP($A362,Input_Raw!$A:$A,Input_Raw!CG:CG),"")</f>
        <v/>
      </c>
      <c r="N362" s="171" t="str">
        <f>IFERROR(_xlfn.XLOOKUP($A362,Input_Raw!$A:$A,Input_Raw!CH:CH),"")</f>
        <v/>
      </c>
      <c r="O362" s="183" t="str">
        <f t="shared" si="37"/>
        <v/>
      </c>
      <c r="P362" s="183" t="str">
        <f>IFERROR(1-SUMIF(WTG_BD!$B:$B,$A362,WTG_BD!$AB:$AB)/($AA362+SUMIF(WTG_BD!$B:$B,$A362,WTG_BD!$AB:$AB)),"")</f>
        <v/>
      </c>
      <c r="Q362" s="184" t="str">
        <f>IFERROR(1-SUMIF(IGA_BD!$B:$B,$A362,IGA_BD!$X:$X)/($AA362+SUMIF(IGA_BD!$B:$B,$A362,IGA_BD!$X:$X)),"")</f>
        <v/>
      </c>
      <c r="R362" s="189" t="str">
        <f>IFERROR(1-SUMIF(Grid_BD!$B:$B,$A362,Grid_BD!$V:$V)/($AA362+SUMIF(Grid_BD!$B:$B,$A362,Grid_BD!$V:$V)),"")</f>
        <v/>
      </c>
      <c r="S362" s="167"/>
      <c r="T362" s="184"/>
      <c r="U362" s="185"/>
      <c r="V362" s="167"/>
      <c r="W362" s="186" t="str">
        <f>IFERROR(Table13[[#This Row],[Mtr_Net_Exp (KWh)]]/(24*AR362*1000),"")</f>
        <v/>
      </c>
      <c r="X362" s="167" t="str">
        <f>IFERROR(_xlfn.XLOOKUP($A362,Input_Raw!$A:$A,Input_Raw!$CF:$CF),"")</f>
        <v/>
      </c>
      <c r="Y362" s="167" t="str">
        <f>IFERROR(_xlfn.XLOOKUP($A362,Input_Raw!$A:$A,Input_Raw!$CZ:$CZ),"")</f>
        <v/>
      </c>
      <c r="Z362" s="167" t="str">
        <f>IFERROR(_xlfn.XLOOKUP($A362,Input_Raw!$A:$A,Input_Raw!$DA:$DA),"")</f>
        <v/>
      </c>
      <c r="AA362" s="169" t="str">
        <f t="shared" si="38"/>
        <v/>
      </c>
      <c r="AB362" s="167" t="str">
        <f>IFERROR(_xlfn.XLOOKUP($A362,Input_Raw!$A:$A,Input_Raw!$DG:$DG),"")</f>
        <v/>
      </c>
      <c r="AC362" s="187">
        <f>IFERROR(_xlfn.XLOOKUP($D362,'Modelling New'!$D:$D,'Modelling New'!$J:$J),"")</f>
        <v>4.5999999999999996</v>
      </c>
      <c r="AD362" s="169">
        <f>IFERROR(_xlfn.XLOOKUP($D362,'Modelling New'!$D:$D,'Modelling New'!$T:$T)*1000,"")</f>
        <v>221156.23146397382</v>
      </c>
      <c r="AE362" s="186"/>
      <c r="AF362" s="186">
        <f>IFERROR(_xlfn.XLOOKUP($D362,'Modelling New'!$D:$D,'Modelling New'!$W:$W),"")</f>
        <v>0.11813901253417405</v>
      </c>
      <c r="AG362" s="186">
        <f>IFERROR(_xlfn.XLOOKUP($D362,'Modelling New'!$D:$D,'Modelling New'!$AE:$AE),"")</f>
        <v>0.96029999999999993</v>
      </c>
      <c r="AH362" s="186">
        <f>IFERROR(_xlfn.XLOOKUP($D362,'Modelling New'!$D:$D,'Modelling New'!$AF:$AF),"")</f>
        <v>0.995</v>
      </c>
      <c r="AI362" s="167" t="str">
        <f>IFERROR(_xlfn.XLOOKUP($A362,Input_Raw!$A:$A,Input_Raw!$DE:$DE),"")</f>
        <v/>
      </c>
      <c r="AJ362" s="167"/>
      <c r="AK362" s="167"/>
      <c r="AL362" s="167"/>
      <c r="AM362" s="167"/>
      <c r="AN362" s="188" t="str">
        <f>IFERROR(_xlfn.XLOOKUP($A362,Input_Raw!$A:$A,Input_Raw!$DB:$DB),"")</f>
        <v/>
      </c>
      <c r="AO362" s="186" t="str">
        <f>IFERROR((_xlfn.XLOOKUP($A362,'WTG Reactive Power'!$A:$A,'WTG Reactive Power'!$AR:$AR))/X362/1000,"")</f>
        <v/>
      </c>
      <c r="AP362" s="186">
        <f>IFERROR(_xlfn.XLOOKUP($D362,'Modelling New'!$D:$D,'Modelling New'!$AK:$AK),"")</f>
        <v>0.05</v>
      </c>
      <c r="AQ362" s="186">
        <f>IFERROR(_xlfn.XLOOKUP($D362,'Modelling New'!$D:$D,'Modelling New'!$AL:$AL),"")</f>
        <v>0.05</v>
      </c>
      <c r="AR362">
        <f>IFERROR(_xlfn.XLOOKUP($D362,'Modelling New'!$D:$D,'Modelling New'!$N:$N),"")</f>
        <v>78</v>
      </c>
    </row>
    <row r="363" spans="1:44">
      <c r="A363" s="180">
        <f t="shared" si="39"/>
        <v>46106</v>
      </c>
      <c r="B363" s="169">
        <f>YEAR(Table13[[#This Row],[Date]])+IF(MONTH(Table13[[#This Row],[Date]])&gt;=4,1,0)</f>
        <v>2026</v>
      </c>
      <c r="C363" s="167">
        <f>YEAR(Table13[[#This Row],[Date]])</f>
        <v>2026</v>
      </c>
      <c r="D363" s="181">
        <f>Table13[[#This Row],[Date]]-DAY(Table13[[#This Row],[Date]])+1</f>
        <v>46082</v>
      </c>
      <c r="E363" s="167">
        <f t="shared" si="36"/>
        <v>31</v>
      </c>
      <c r="F363" s="170"/>
      <c r="G363" s="171"/>
      <c r="H363" s="171"/>
      <c r="I363" s="171"/>
      <c r="J363" s="171"/>
      <c r="K363" s="182"/>
      <c r="L363" s="171"/>
      <c r="M363" s="171" t="str">
        <f>IFERROR(_xlfn.XLOOKUP($A363,Input_Raw!$A:$A,Input_Raw!CG:CG),"")</f>
        <v/>
      </c>
      <c r="N363" s="171" t="str">
        <f>IFERROR(_xlfn.XLOOKUP($A363,Input_Raw!$A:$A,Input_Raw!CH:CH),"")</f>
        <v/>
      </c>
      <c r="O363" s="183" t="str">
        <f t="shared" si="37"/>
        <v/>
      </c>
      <c r="P363" s="183" t="str">
        <f>IFERROR(1-SUMIF(WTG_BD!$B:$B,$A363,WTG_BD!$AB:$AB)/($AA363+SUMIF(WTG_BD!$B:$B,$A363,WTG_BD!$AB:$AB)),"")</f>
        <v/>
      </c>
      <c r="Q363" s="184" t="str">
        <f>IFERROR(1-SUMIF(IGA_BD!$B:$B,$A363,IGA_BD!$X:$X)/($AA363+SUMIF(IGA_BD!$B:$B,$A363,IGA_BD!$X:$X)),"")</f>
        <v/>
      </c>
      <c r="R363" s="189" t="str">
        <f>IFERROR(1-SUMIF(Grid_BD!$B:$B,$A363,Grid_BD!$V:$V)/($AA363+SUMIF(Grid_BD!$B:$B,$A363,Grid_BD!$V:$V)),"")</f>
        <v/>
      </c>
      <c r="S363" s="167"/>
      <c r="T363" s="184"/>
      <c r="U363" s="185"/>
      <c r="V363" s="167"/>
      <c r="W363" s="186" t="str">
        <f>IFERROR(Table13[[#This Row],[Mtr_Net_Exp (KWh)]]/(24*AR363*1000),"")</f>
        <v/>
      </c>
      <c r="X363" s="167" t="str">
        <f>IFERROR(_xlfn.XLOOKUP($A363,Input_Raw!$A:$A,Input_Raw!$CF:$CF),"")</f>
        <v/>
      </c>
      <c r="Y363" s="167" t="str">
        <f>IFERROR(_xlfn.XLOOKUP($A363,Input_Raw!$A:$A,Input_Raw!$CZ:$CZ),"")</f>
        <v/>
      </c>
      <c r="Z363" s="167" t="str">
        <f>IFERROR(_xlfn.XLOOKUP($A363,Input_Raw!$A:$A,Input_Raw!$DA:$DA),"")</f>
        <v/>
      </c>
      <c r="AA363" s="169" t="str">
        <f t="shared" si="38"/>
        <v/>
      </c>
      <c r="AB363" s="167" t="str">
        <f>IFERROR(_xlfn.XLOOKUP($A363,Input_Raw!$A:$A,Input_Raw!$DG:$DG),"")</f>
        <v/>
      </c>
      <c r="AC363" s="187">
        <f>IFERROR(_xlfn.XLOOKUP($D363,'Modelling New'!$D:$D,'Modelling New'!$J:$J),"")</f>
        <v>4.5999999999999996</v>
      </c>
      <c r="AD363" s="169">
        <f>IFERROR(_xlfn.XLOOKUP($D363,'Modelling New'!$D:$D,'Modelling New'!$T:$T)*1000,"")</f>
        <v>221156.23146397382</v>
      </c>
      <c r="AE363" s="186"/>
      <c r="AF363" s="186">
        <f>IFERROR(_xlfn.XLOOKUP($D363,'Modelling New'!$D:$D,'Modelling New'!$W:$W),"")</f>
        <v>0.11813901253417405</v>
      </c>
      <c r="AG363" s="186">
        <f>IFERROR(_xlfn.XLOOKUP($D363,'Modelling New'!$D:$D,'Modelling New'!$AE:$AE),"")</f>
        <v>0.96029999999999993</v>
      </c>
      <c r="AH363" s="186">
        <f>IFERROR(_xlfn.XLOOKUP($D363,'Modelling New'!$D:$D,'Modelling New'!$AF:$AF),"")</f>
        <v>0.995</v>
      </c>
      <c r="AI363" s="167" t="str">
        <f>IFERROR(_xlfn.XLOOKUP($A363,Input_Raw!$A:$A,Input_Raw!$DE:$DE),"")</f>
        <v/>
      </c>
      <c r="AJ363" s="167"/>
      <c r="AK363" s="167"/>
      <c r="AL363" s="167"/>
      <c r="AM363" s="167"/>
      <c r="AN363" s="188" t="str">
        <f>IFERROR(_xlfn.XLOOKUP($A363,Input_Raw!$A:$A,Input_Raw!$DB:$DB),"")</f>
        <v/>
      </c>
      <c r="AO363" s="186" t="str">
        <f>IFERROR((_xlfn.XLOOKUP($A363,'WTG Reactive Power'!$A:$A,'WTG Reactive Power'!$AR:$AR))/X363/1000,"")</f>
        <v/>
      </c>
      <c r="AP363" s="186">
        <f>IFERROR(_xlfn.XLOOKUP($D363,'Modelling New'!$D:$D,'Modelling New'!$AK:$AK),"")</f>
        <v>0.05</v>
      </c>
      <c r="AQ363" s="186">
        <f>IFERROR(_xlfn.XLOOKUP($D363,'Modelling New'!$D:$D,'Modelling New'!$AL:$AL),"")</f>
        <v>0.05</v>
      </c>
      <c r="AR363">
        <f>IFERROR(_xlfn.XLOOKUP($D363,'Modelling New'!$D:$D,'Modelling New'!$N:$N),"")</f>
        <v>78</v>
      </c>
    </row>
    <row r="364" spans="1:44">
      <c r="A364" s="180">
        <f t="shared" si="39"/>
        <v>46107</v>
      </c>
      <c r="B364" s="169">
        <f>YEAR(Table13[[#This Row],[Date]])+IF(MONTH(Table13[[#This Row],[Date]])&gt;=4,1,0)</f>
        <v>2026</v>
      </c>
      <c r="C364" s="167">
        <f>YEAR(Table13[[#This Row],[Date]])</f>
        <v>2026</v>
      </c>
      <c r="D364" s="181">
        <f>Table13[[#This Row],[Date]]-DAY(Table13[[#This Row],[Date]])+1</f>
        <v>46082</v>
      </c>
      <c r="E364" s="167">
        <f t="shared" si="36"/>
        <v>31</v>
      </c>
      <c r="F364" s="170"/>
      <c r="G364" s="171"/>
      <c r="H364" s="171"/>
      <c r="I364" s="171"/>
      <c r="J364" s="171"/>
      <c r="K364" s="182"/>
      <c r="L364" s="171"/>
      <c r="M364" s="171" t="str">
        <f>IFERROR(_xlfn.XLOOKUP($A364,Input_Raw!$A:$A,Input_Raw!CG:CG),"")</f>
        <v/>
      </c>
      <c r="N364" s="171" t="str">
        <f>IFERROR(_xlfn.XLOOKUP($A364,Input_Raw!$A:$A,Input_Raw!CH:CH),"")</f>
        <v/>
      </c>
      <c r="O364" s="183" t="str">
        <f t="shared" si="37"/>
        <v/>
      </c>
      <c r="P364" s="183" t="str">
        <f>IFERROR(1-SUMIF(WTG_BD!$B:$B,$A364,WTG_BD!$AB:$AB)/($AA364+SUMIF(WTG_BD!$B:$B,$A364,WTG_BD!$AB:$AB)),"")</f>
        <v/>
      </c>
      <c r="Q364" s="184" t="str">
        <f>IFERROR(1-SUMIF(IGA_BD!$B:$B,$A364,IGA_BD!$X:$X)/($AA364+SUMIF(IGA_BD!$B:$B,$A364,IGA_BD!$X:$X)),"")</f>
        <v/>
      </c>
      <c r="R364" s="189" t="str">
        <f>IFERROR(1-SUMIF(Grid_BD!$B:$B,$A364,Grid_BD!$V:$V)/($AA364+SUMIF(Grid_BD!$B:$B,$A364,Grid_BD!$V:$V)),"")</f>
        <v/>
      </c>
      <c r="S364" s="167"/>
      <c r="T364" s="184"/>
      <c r="U364" s="185"/>
      <c r="V364" s="167"/>
      <c r="W364" s="186" t="str">
        <f>IFERROR(Table13[[#This Row],[Mtr_Net_Exp (KWh)]]/(24*AR364*1000),"")</f>
        <v/>
      </c>
      <c r="X364" s="167" t="str">
        <f>IFERROR(_xlfn.XLOOKUP($A364,Input_Raw!$A:$A,Input_Raw!$CF:$CF),"")</f>
        <v/>
      </c>
      <c r="Y364" s="167" t="str">
        <f>IFERROR(_xlfn.XLOOKUP($A364,Input_Raw!$A:$A,Input_Raw!$CZ:$CZ),"")</f>
        <v/>
      </c>
      <c r="Z364" s="167" t="str">
        <f>IFERROR(_xlfn.XLOOKUP($A364,Input_Raw!$A:$A,Input_Raw!$DA:$DA),"")</f>
        <v/>
      </c>
      <c r="AA364" s="169" t="str">
        <f t="shared" si="38"/>
        <v/>
      </c>
      <c r="AB364" s="167" t="str">
        <f>IFERROR(_xlfn.XLOOKUP($A364,Input_Raw!$A:$A,Input_Raw!$DG:$DG),"")</f>
        <v/>
      </c>
      <c r="AC364" s="187">
        <f>IFERROR(_xlfn.XLOOKUP($D364,'Modelling New'!$D:$D,'Modelling New'!$J:$J),"")</f>
        <v>4.5999999999999996</v>
      </c>
      <c r="AD364" s="169">
        <f>IFERROR(_xlfn.XLOOKUP($D364,'Modelling New'!$D:$D,'Modelling New'!$T:$T)*1000,"")</f>
        <v>221156.23146397382</v>
      </c>
      <c r="AE364" s="186"/>
      <c r="AF364" s="186">
        <f>IFERROR(_xlfn.XLOOKUP($D364,'Modelling New'!$D:$D,'Modelling New'!$W:$W),"")</f>
        <v>0.11813901253417405</v>
      </c>
      <c r="AG364" s="186">
        <f>IFERROR(_xlfn.XLOOKUP($D364,'Modelling New'!$D:$D,'Modelling New'!$AE:$AE),"")</f>
        <v>0.96029999999999993</v>
      </c>
      <c r="AH364" s="186">
        <f>IFERROR(_xlfn.XLOOKUP($D364,'Modelling New'!$D:$D,'Modelling New'!$AF:$AF),"")</f>
        <v>0.995</v>
      </c>
      <c r="AI364" s="167" t="str">
        <f>IFERROR(_xlfn.XLOOKUP($A364,Input_Raw!$A:$A,Input_Raw!$DE:$DE),"")</f>
        <v/>
      </c>
      <c r="AJ364" s="167"/>
      <c r="AK364" s="167"/>
      <c r="AL364" s="167"/>
      <c r="AM364" s="167"/>
      <c r="AN364" s="188" t="str">
        <f>IFERROR(_xlfn.XLOOKUP($A364,Input_Raw!$A:$A,Input_Raw!$DB:$DB),"")</f>
        <v/>
      </c>
      <c r="AO364" s="186" t="str">
        <f>IFERROR((_xlfn.XLOOKUP($A364,'WTG Reactive Power'!$A:$A,'WTG Reactive Power'!$AR:$AR))/X364/1000,"")</f>
        <v/>
      </c>
      <c r="AP364" s="186">
        <f>IFERROR(_xlfn.XLOOKUP($D364,'Modelling New'!$D:$D,'Modelling New'!$AK:$AK),"")</f>
        <v>0.05</v>
      </c>
      <c r="AQ364" s="186">
        <f>IFERROR(_xlfn.XLOOKUP($D364,'Modelling New'!$D:$D,'Modelling New'!$AL:$AL),"")</f>
        <v>0.05</v>
      </c>
      <c r="AR364">
        <f>IFERROR(_xlfn.XLOOKUP($D364,'Modelling New'!$D:$D,'Modelling New'!$N:$N),"")</f>
        <v>78</v>
      </c>
    </row>
    <row r="365" spans="1:44">
      <c r="A365" s="180">
        <f t="shared" si="39"/>
        <v>46108</v>
      </c>
      <c r="B365" s="169">
        <f>YEAR(Table13[[#This Row],[Date]])+IF(MONTH(Table13[[#This Row],[Date]])&gt;=4,1,0)</f>
        <v>2026</v>
      </c>
      <c r="C365" s="167">
        <f>YEAR(Table13[[#This Row],[Date]])</f>
        <v>2026</v>
      </c>
      <c r="D365" s="181">
        <f>Table13[[#This Row],[Date]]-DAY(Table13[[#This Row],[Date]])+1</f>
        <v>46082</v>
      </c>
      <c r="E365" s="167">
        <f t="shared" si="36"/>
        <v>31</v>
      </c>
      <c r="F365" s="170"/>
      <c r="G365" s="171"/>
      <c r="H365" s="171"/>
      <c r="I365" s="171"/>
      <c r="J365" s="171"/>
      <c r="K365" s="182"/>
      <c r="L365" s="171"/>
      <c r="M365" s="171" t="str">
        <f>IFERROR(_xlfn.XLOOKUP($A365,Input_Raw!$A:$A,Input_Raw!CG:CG),"")</f>
        <v/>
      </c>
      <c r="N365" s="171" t="str">
        <f>IFERROR(_xlfn.XLOOKUP($A365,Input_Raw!$A:$A,Input_Raw!CH:CH),"")</f>
        <v/>
      </c>
      <c r="O365" s="183" t="str">
        <f t="shared" si="37"/>
        <v/>
      </c>
      <c r="P365" s="183" t="str">
        <f>IFERROR(1-SUMIF(WTG_BD!$B:$B,$A365,WTG_BD!$AB:$AB)/($AA365+SUMIF(WTG_BD!$B:$B,$A365,WTG_BD!$AB:$AB)),"")</f>
        <v/>
      </c>
      <c r="Q365" s="184" t="str">
        <f>IFERROR(1-SUMIF(IGA_BD!$B:$B,$A365,IGA_BD!$X:$X)/($AA365+SUMIF(IGA_BD!$B:$B,$A365,IGA_BD!$X:$X)),"")</f>
        <v/>
      </c>
      <c r="R365" s="189" t="str">
        <f>IFERROR(1-SUMIF(Grid_BD!$B:$B,$A365,Grid_BD!$V:$V)/($AA365+SUMIF(Grid_BD!$B:$B,$A365,Grid_BD!$V:$V)),"")</f>
        <v/>
      </c>
      <c r="S365" s="167"/>
      <c r="T365" s="184"/>
      <c r="U365" s="185"/>
      <c r="V365" s="167"/>
      <c r="W365" s="186" t="str">
        <f>IFERROR(Table13[[#This Row],[Mtr_Net_Exp (KWh)]]/(24*AR365*1000),"")</f>
        <v/>
      </c>
      <c r="X365" s="167" t="str">
        <f>IFERROR(_xlfn.XLOOKUP($A365,Input_Raw!$A:$A,Input_Raw!$CF:$CF),"")</f>
        <v/>
      </c>
      <c r="Y365" s="167" t="str">
        <f>IFERROR(_xlfn.XLOOKUP($A365,Input_Raw!$A:$A,Input_Raw!$CZ:$CZ),"")</f>
        <v/>
      </c>
      <c r="Z365" s="167" t="str">
        <f>IFERROR(_xlfn.XLOOKUP($A365,Input_Raw!$A:$A,Input_Raw!$DA:$DA),"")</f>
        <v/>
      </c>
      <c r="AA365" s="169" t="str">
        <f t="shared" si="38"/>
        <v/>
      </c>
      <c r="AB365" s="167" t="str">
        <f>IFERROR(_xlfn.XLOOKUP($A365,Input_Raw!$A:$A,Input_Raw!$DG:$DG),"")</f>
        <v/>
      </c>
      <c r="AC365" s="187">
        <f>IFERROR(_xlfn.XLOOKUP($D365,'Modelling New'!$D:$D,'Modelling New'!$J:$J),"")</f>
        <v>4.5999999999999996</v>
      </c>
      <c r="AD365" s="169">
        <f>IFERROR(_xlfn.XLOOKUP($D365,'Modelling New'!$D:$D,'Modelling New'!$T:$T)*1000,"")</f>
        <v>221156.23146397382</v>
      </c>
      <c r="AE365" s="186"/>
      <c r="AF365" s="186">
        <f>IFERROR(_xlfn.XLOOKUP($D365,'Modelling New'!$D:$D,'Modelling New'!$W:$W),"")</f>
        <v>0.11813901253417405</v>
      </c>
      <c r="AG365" s="186">
        <f>IFERROR(_xlfn.XLOOKUP($D365,'Modelling New'!$D:$D,'Modelling New'!$AE:$AE),"")</f>
        <v>0.96029999999999993</v>
      </c>
      <c r="AH365" s="186">
        <f>IFERROR(_xlfn.XLOOKUP($D365,'Modelling New'!$D:$D,'Modelling New'!$AF:$AF),"")</f>
        <v>0.995</v>
      </c>
      <c r="AI365" s="167" t="str">
        <f>IFERROR(_xlfn.XLOOKUP($A365,Input_Raw!$A:$A,Input_Raw!$DE:$DE),"")</f>
        <v/>
      </c>
      <c r="AJ365" s="167"/>
      <c r="AK365" s="167"/>
      <c r="AL365" s="167"/>
      <c r="AM365" s="167"/>
      <c r="AN365" s="188" t="str">
        <f>IFERROR(_xlfn.XLOOKUP($A365,Input_Raw!$A:$A,Input_Raw!$DB:$DB),"")</f>
        <v/>
      </c>
      <c r="AO365" s="186" t="str">
        <f>IFERROR((_xlfn.XLOOKUP($A365,'WTG Reactive Power'!$A:$A,'WTG Reactive Power'!$AR:$AR))/X365/1000,"")</f>
        <v/>
      </c>
      <c r="AP365" s="186">
        <f>IFERROR(_xlfn.XLOOKUP($D365,'Modelling New'!$D:$D,'Modelling New'!$AK:$AK),"")</f>
        <v>0.05</v>
      </c>
      <c r="AQ365" s="186">
        <f>IFERROR(_xlfn.XLOOKUP($D365,'Modelling New'!$D:$D,'Modelling New'!$AL:$AL),"")</f>
        <v>0.05</v>
      </c>
      <c r="AR365">
        <f>IFERROR(_xlfn.XLOOKUP($D365,'Modelling New'!$D:$D,'Modelling New'!$N:$N),"")</f>
        <v>78</v>
      </c>
    </row>
    <row r="366" spans="1:44">
      <c r="A366" s="180">
        <f t="shared" si="39"/>
        <v>46109</v>
      </c>
      <c r="B366" s="169">
        <f>YEAR(Table13[[#This Row],[Date]])+IF(MONTH(Table13[[#This Row],[Date]])&gt;=4,1,0)</f>
        <v>2026</v>
      </c>
      <c r="C366" s="167">
        <f>YEAR(Table13[[#This Row],[Date]])</f>
        <v>2026</v>
      </c>
      <c r="D366" s="181">
        <f>Table13[[#This Row],[Date]]-DAY(Table13[[#This Row],[Date]])+1</f>
        <v>46082</v>
      </c>
      <c r="E366" s="167">
        <f t="shared" si="36"/>
        <v>31</v>
      </c>
      <c r="F366" s="170"/>
      <c r="G366" s="171"/>
      <c r="H366" s="171"/>
      <c r="I366" s="171"/>
      <c r="J366" s="171"/>
      <c r="K366" s="182"/>
      <c r="L366" s="171"/>
      <c r="M366" s="171" t="str">
        <f>IFERROR(_xlfn.XLOOKUP($A366,Input_Raw!$A:$A,Input_Raw!CG:CG),"")</f>
        <v/>
      </c>
      <c r="N366" s="171" t="str">
        <f>IFERROR(_xlfn.XLOOKUP($A366,Input_Raw!$A:$A,Input_Raw!CH:CH),"")</f>
        <v/>
      </c>
      <c r="O366" s="183" t="str">
        <f t="shared" si="37"/>
        <v/>
      </c>
      <c r="P366" s="183" t="str">
        <f>IFERROR(1-SUMIF(WTG_BD!$B:$B,$A366,WTG_BD!$AB:$AB)/($AA366+SUMIF(WTG_BD!$B:$B,$A366,WTG_BD!$AB:$AB)),"")</f>
        <v/>
      </c>
      <c r="Q366" s="184" t="str">
        <f>IFERROR(1-SUMIF(IGA_BD!$B:$B,$A366,IGA_BD!$X:$X)/($AA366+SUMIF(IGA_BD!$B:$B,$A366,IGA_BD!$X:$X)),"")</f>
        <v/>
      </c>
      <c r="R366" s="189" t="str">
        <f>IFERROR(1-SUMIF(Grid_BD!$B:$B,$A366,Grid_BD!$V:$V)/($AA366+SUMIF(Grid_BD!$B:$B,$A366,Grid_BD!$V:$V)),"")</f>
        <v/>
      </c>
      <c r="S366" s="167"/>
      <c r="T366" s="184"/>
      <c r="U366" s="185"/>
      <c r="V366" s="167"/>
      <c r="W366" s="186" t="str">
        <f>IFERROR(Table13[[#This Row],[Mtr_Net_Exp (KWh)]]/(24*AR366*1000),"")</f>
        <v/>
      </c>
      <c r="X366" s="167" t="str">
        <f>IFERROR(_xlfn.XLOOKUP($A366,Input_Raw!$A:$A,Input_Raw!$CF:$CF),"")</f>
        <v/>
      </c>
      <c r="Y366" s="167" t="str">
        <f>IFERROR(_xlfn.XLOOKUP($A366,Input_Raw!$A:$A,Input_Raw!$CZ:$CZ),"")</f>
        <v/>
      </c>
      <c r="Z366" s="167" t="str">
        <f>IFERROR(_xlfn.XLOOKUP($A366,Input_Raw!$A:$A,Input_Raw!$DA:$DA),"")</f>
        <v/>
      </c>
      <c r="AA366" s="169" t="str">
        <f t="shared" si="38"/>
        <v/>
      </c>
      <c r="AB366" s="167" t="str">
        <f>IFERROR(_xlfn.XLOOKUP($A366,Input_Raw!$A:$A,Input_Raw!$DG:$DG),"")</f>
        <v/>
      </c>
      <c r="AC366" s="187">
        <f>IFERROR(_xlfn.XLOOKUP($D366,'Modelling New'!$D:$D,'Modelling New'!$J:$J),"")</f>
        <v>4.5999999999999996</v>
      </c>
      <c r="AD366" s="169">
        <f>IFERROR(_xlfn.XLOOKUP($D366,'Modelling New'!$D:$D,'Modelling New'!$T:$T)*1000,"")</f>
        <v>221156.23146397382</v>
      </c>
      <c r="AE366" s="186"/>
      <c r="AF366" s="186">
        <f>IFERROR(_xlfn.XLOOKUP($D366,'Modelling New'!$D:$D,'Modelling New'!$W:$W),"")</f>
        <v>0.11813901253417405</v>
      </c>
      <c r="AG366" s="186">
        <f>IFERROR(_xlfn.XLOOKUP($D366,'Modelling New'!$D:$D,'Modelling New'!$AE:$AE),"")</f>
        <v>0.96029999999999993</v>
      </c>
      <c r="AH366" s="186">
        <f>IFERROR(_xlfn.XLOOKUP($D366,'Modelling New'!$D:$D,'Modelling New'!$AF:$AF),"")</f>
        <v>0.995</v>
      </c>
      <c r="AI366" s="167" t="str">
        <f>IFERROR(_xlfn.XLOOKUP($A366,Input_Raw!$A:$A,Input_Raw!$DE:$DE),"")</f>
        <v/>
      </c>
      <c r="AJ366" s="167"/>
      <c r="AK366" s="167"/>
      <c r="AL366" s="167"/>
      <c r="AM366" s="167"/>
      <c r="AN366" s="188" t="str">
        <f>IFERROR(_xlfn.XLOOKUP($A366,Input_Raw!$A:$A,Input_Raw!$DB:$DB),"")</f>
        <v/>
      </c>
      <c r="AO366" s="186" t="str">
        <f>IFERROR((_xlfn.XLOOKUP($A366,'WTG Reactive Power'!$A:$A,'WTG Reactive Power'!$AR:$AR))/X366/1000,"")</f>
        <v/>
      </c>
      <c r="AP366" s="186">
        <f>IFERROR(_xlfn.XLOOKUP($D366,'Modelling New'!$D:$D,'Modelling New'!$AK:$AK),"")</f>
        <v>0.05</v>
      </c>
      <c r="AQ366" s="186">
        <f>IFERROR(_xlfn.XLOOKUP($D366,'Modelling New'!$D:$D,'Modelling New'!$AL:$AL),"")</f>
        <v>0.05</v>
      </c>
      <c r="AR366">
        <f>IFERROR(_xlfn.XLOOKUP($D366,'Modelling New'!$D:$D,'Modelling New'!$N:$N),"")</f>
        <v>78</v>
      </c>
    </row>
    <row r="367" spans="1:44">
      <c r="A367" s="180">
        <f t="shared" si="39"/>
        <v>46110</v>
      </c>
      <c r="B367" s="169">
        <f>YEAR(Table13[[#This Row],[Date]])+IF(MONTH(Table13[[#This Row],[Date]])&gt;=4,1,0)</f>
        <v>2026</v>
      </c>
      <c r="C367" s="167">
        <f>YEAR(Table13[[#This Row],[Date]])</f>
        <v>2026</v>
      </c>
      <c r="D367" s="181">
        <f>Table13[[#This Row],[Date]]-DAY(Table13[[#This Row],[Date]])+1</f>
        <v>46082</v>
      </c>
      <c r="E367" s="167">
        <f t="shared" si="36"/>
        <v>31</v>
      </c>
      <c r="F367" s="170"/>
      <c r="G367" s="171"/>
      <c r="H367" s="171"/>
      <c r="I367" s="171"/>
      <c r="J367" s="171"/>
      <c r="K367" s="182"/>
      <c r="L367" s="171"/>
      <c r="M367" s="171" t="str">
        <f>IFERROR(_xlfn.XLOOKUP($A367,Input_Raw!$A:$A,Input_Raw!CG:CG),"")</f>
        <v/>
      </c>
      <c r="N367" s="171" t="str">
        <f>IFERROR(_xlfn.XLOOKUP($A367,Input_Raw!$A:$A,Input_Raw!CH:CH),"")</f>
        <v/>
      </c>
      <c r="O367" s="183" t="str">
        <f t="shared" si="37"/>
        <v/>
      </c>
      <c r="P367" s="183" t="str">
        <f>IFERROR(1-SUMIF(WTG_BD!$B:$B,$A367,WTG_BD!$AB:$AB)/($AA367+SUMIF(WTG_BD!$B:$B,$A367,WTG_BD!$AB:$AB)),"")</f>
        <v/>
      </c>
      <c r="Q367" s="184" t="str">
        <f>IFERROR(1-SUMIF(IGA_BD!$B:$B,$A367,IGA_BD!$X:$X)/($AA367+SUMIF(IGA_BD!$B:$B,$A367,IGA_BD!$X:$X)),"")</f>
        <v/>
      </c>
      <c r="R367" s="189" t="str">
        <f>IFERROR(1-SUMIF(Grid_BD!$B:$B,$A367,Grid_BD!$V:$V)/($AA367+SUMIF(Grid_BD!$B:$B,$A367,Grid_BD!$V:$V)),"")</f>
        <v/>
      </c>
      <c r="S367" s="167"/>
      <c r="T367" s="184"/>
      <c r="U367" s="185"/>
      <c r="V367" s="167"/>
      <c r="W367" s="186" t="str">
        <f>IFERROR(Table13[[#This Row],[Mtr_Net_Exp (KWh)]]/(24*AR367*1000),"")</f>
        <v/>
      </c>
      <c r="X367" s="167" t="str">
        <f>IFERROR(_xlfn.XLOOKUP($A367,Input_Raw!$A:$A,Input_Raw!$CF:$CF),"")</f>
        <v/>
      </c>
      <c r="Y367" s="167" t="str">
        <f>IFERROR(_xlfn.XLOOKUP($A367,Input_Raw!$A:$A,Input_Raw!$CZ:$CZ),"")</f>
        <v/>
      </c>
      <c r="Z367" s="167" t="str">
        <f>IFERROR(_xlfn.XLOOKUP($A367,Input_Raw!$A:$A,Input_Raw!$DA:$DA),"")</f>
        <v/>
      </c>
      <c r="AA367" s="169" t="str">
        <f t="shared" si="38"/>
        <v/>
      </c>
      <c r="AB367" s="167" t="str">
        <f>IFERROR(_xlfn.XLOOKUP($A367,Input_Raw!$A:$A,Input_Raw!$DG:$DG),"")</f>
        <v/>
      </c>
      <c r="AC367" s="187">
        <f>IFERROR(_xlfn.XLOOKUP($D367,'Modelling New'!$D:$D,'Modelling New'!$J:$J),"")</f>
        <v>4.5999999999999996</v>
      </c>
      <c r="AD367" s="169">
        <f>IFERROR(_xlfn.XLOOKUP($D367,'Modelling New'!$D:$D,'Modelling New'!$T:$T)*1000,"")</f>
        <v>221156.23146397382</v>
      </c>
      <c r="AE367" s="186"/>
      <c r="AF367" s="186">
        <f>IFERROR(_xlfn.XLOOKUP($D367,'Modelling New'!$D:$D,'Modelling New'!$W:$W),"")</f>
        <v>0.11813901253417405</v>
      </c>
      <c r="AG367" s="186">
        <f>IFERROR(_xlfn.XLOOKUP($D367,'Modelling New'!$D:$D,'Modelling New'!$AE:$AE),"")</f>
        <v>0.96029999999999993</v>
      </c>
      <c r="AH367" s="186">
        <f>IFERROR(_xlfn.XLOOKUP($D367,'Modelling New'!$D:$D,'Modelling New'!$AF:$AF),"")</f>
        <v>0.995</v>
      </c>
      <c r="AI367" s="167" t="str">
        <f>IFERROR(_xlfn.XLOOKUP($A367,Input_Raw!$A:$A,Input_Raw!$DE:$DE),"")</f>
        <v/>
      </c>
      <c r="AJ367" s="167"/>
      <c r="AK367" s="167"/>
      <c r="AL367" s="167"/>
      <c r="AM367" s="167"/>
      <c r="AN367" s="188" t="str">
        <f>IFERROR(_xlfn.XLOOKUP($A367,Input_Raw!$A:$A,Input_Raw!$DB:$DB),"")</f>
        <v/>
      </c>
      <c r="AO367" s="186" t="str">
        <f>IFERROR((_xlfn.XLOOKUP($A367,'WTG Reactive Power'!$A:$A,'WTG Reactive Power'!$AR:$AR))/X367/1000,"")</f>
        <v/>
      </c>
      <c r="AP367" s="186">
        <f>IFERROR(_xlfn.XLOOKUP($D367,'Modelling New'!$D:$D,'Modelling New'!$AK:$AK),"")</f>
        <v>0.05</v>
      </c>
      <c r="AQ367" s="186">
        <f>IFERROR(_xlfn.XLOOKUP($D367,'Modelling New'!$D:$D,'Modelling New'!$AL:$AL),"")</f>
        <v>0.05</v>
      </c>
      <c r="AR367">
        <f>IFERROR(_xlfn.XLOOKUP($D367,'Modelling New'!$D:$D,'Modelling New'!$N:$N),"")</f>
        <v>78</v>
      </c>
    </row>
    <row r="368" spans="1:44">
      <c r="A368" s="180">
        <f t="shared" si="39"/>
        <v>46111</v>
      </c>
      <c r="B368" s="169">
        <f>YEAR(Table13[[#This Row],[Date]])+IF(MONTH(Table13[[#This Row],[Date]])&gt;=4,1,0)</f>
        <v>2026</v>
      </c>
      <c r="C368" s="167">
        <f>YEAR(Table13[[#This Row],[Date]])</f>
        <v>2026</v>
      </c>
      <c r="D368" s="181">
        <f>Table13[[#This Row],[Date]]-DAY(Table13[[#This Row],[Date]])+1</f>
        <v>46082</v>
      </c>
      <c r="E368" s="167">
        <f t="shared" si="36"/>
        <v>31</v>
      </c>
      <c r="F368" s="170"/>
      <c r="G368" s="171"/>
      <c r="H368" s="171"/>
      <c r="I368" s="171"/>
      <c r="J368" s="171"/>
      <c r="K368" s="182"/>
      <c r="L368" s="171"/>
      <c r="M368" s="171" t="str">
        <f>IFERROR(_xlfn.XLOOKUP($A368,Input_Raw!$A:$A,Input_Raw!CG:CG),"")</f>
        <v/>
      </c>
      <c r="N368" s="171" t="str">
        <f>IFERROR(_xlfn.XLOOKUP($A368,Input_Raw!$A:$A,Input_Raw!CH:CH),"")</f>
        <v/>
      </c>
      <c r="O368" s="183" t="str">
        <f t="shared" si="37"/>
        <v/>
      </c>
      <c r="P368" s="183" t="str">
        <f>IFERROR(1-SUMIF(WTG_BD!$B:$B,$A368,WTG_BD!$AB:$AB)/($AA368+SUMIF(WTG_BD!$B:$B,$A368,WTG_BD!$AB:$AB)),"")</f>
        <v/>
      </c>
      <c r="Q368" s="184" t="str">
        <f>IFERROR(1-SUMIF(IGA_BD!$B:$B,$A368,IGA_BD!$X:$X)/($AA368+SUMIF(IGA_BD!$B:$B,$A368,IGA_BD!$X:$X)),"")</f>
        <v/>
      </c>
      <c r="R368" s="189" t="str">
        <f>IFERROR(1-SUMIF(Grid_BD!$B:$B,$A368,Grid_BD!$V:$V)/($AA368+SUMIF(Grid_BD!$B:$B,$A368,Grid_BD!$V:$V)),"")</f>
        <v/>
      </c>
      <c r="S368" s="167"/>
      <c r="T368" s="184"/>
      <c r="U368" s="185"/>
      <c r="V368" s="167"/>
      <c r="W368" s="186" t="str">
        <f>IFERROR(Table13[[#This Row],[Mtr_Net_Exp (KWh)]]/(24*AR368*1000),"")</f>
        <v/>
      </c>
      <c r="X368" s="167" t="str">
        <f>IFERROR(_xlfn.XLOOKUP($A368,Input_Raw!$A:$A,Input_Raw!$CF:$CF),"")</f>
        <v/>
      </c>
      <c r="Y368" s="167" t="str">
        <f>IFERROR(_xlfn.XLOOKUP($A368,Input_Raw!$A:$A,Input_Raw!$CZ:$CZ),"")</f>
        <v/>
      </c>
      <c r="Z368" s="167" t="str">
        <f>IFERROR(_xlfn.XLOOKUP($A368,Input_Raw!$A:$A,Input_Raw!$DA:$DA),"")</f>
        <v/>
      </c>
      <c r="AA368" s="169" t="str">
        <f t="shared" si="38"/>
        <v/>
      </c>
      <c r="AB368" s="167" t="str">
        <f>IFERROR(_xlfn.XLOOKUP($A368,Input_Raw!$A:$A,Input_Raw!$DG:$DG),"")</f>
        <v/>
      </c>
      <c r="AC368" s="187">
        <f>IFERROR(_xlfn.XLOOKUP($D368,'Modelling New'!$D:$D,'Modelling New'!$J:$J),"")</f>
        <v>4.5999999999999996</v>
      </c>
      <c r="AD368" s="169">
        <f>IFERROR(_xlfn.XLOOKUP($D368,'Modelling New'!$D:$D,'Modelling New'!$T:$T)*1000,"")</f>
        <v>221156.23146397382</v>
      </c>
      <c r="AE368" s="186"/>
      <c r="AF368" s="186">
        <f>IFERROR(_xlfn.XLOOKUP($D368,'Modelling New'!$D:$D,'Modelling New'!$W:$W),"")</f>
        <v>0.11813901253417405</v>
      </c>
      <c r="AG368" s="186">
        <f>IFERROR(_xlfn.XLOOKUP($D368,'Modelling New'!$D:$D,'Modelling New'!$AE:$AE),"")</f>
        <v>0.96029999999999993</v>
      </c>
      <c r="AH368" s="186">
        <f>IFERROR(_xlfn.XLOOKUP($D368,'Modelling New'!$D:$D,'Modelling New'!$AF:$AF),"")</f>
        <v>0.995</v>
      </c>
      <c r="AI368" s="167" t="str">
        <f>IFERROR(_xlfn.XLOOKUP($A368,Input_Raw!$A:$A,Input_Raw!$DE:$DE),"")</f>
        <v/>
      </c>
      <c r="AJ368" s="167"/>
      <c r="AK368" s="167"/>
      <c r="AL368" s="167"/>
      <c r="AM368" s="167"/>
      <c r="AN368" s="188" t="str">
        <f>IFERROR(_xlfn.XLOOKUP($A368,Input_Raw!$A:$A,Input_Raw!$DB:$DB),"")</f>
        <v/>
      </c>
      <c r="AO368" s="186" t="str">
        <f>IFERROR((_xlfn.XLOOKUP($A368,'WTG Reactive Power'!$A:$A,'WTG Reactive Power'!$AR:$AR))/X368/1000,"")</f>
        <v/>
      </c>
      <c r="AP368" s="186">
        <f>IFERROR(_xlfn.XLOOKUP($D368,'Modelling New'!$D:$D,'Modelling New'!$AK:$AK),"")</f>
        <v>0.05</v>
      </c>
      <c r="AQ368" s="186">
        <f>IFERROR(_xlfn.XLOOKUP($D368,'Modelling New'!$D:$D,'Modelling New'!$AL:$AL),"")</f>
        <v>0.05</v>
      </c>
      <c r="AR368">
        <f>IFERROR(_xlfn.XLOOKUP($D368,'Modelling New'!$D:$D,'Modelling New'!$N:$N),"")</f>
        <v>78</v>
      </c>
    </row>
    <row r="369" spans="1:44">
      <c r="A369" s="180">
        <f t="shared" si="39"/>
        <v>46112</v>
      </c>
      <c r="B369" s="169">
        <f>YEAR(Table13[[#This Row],[Date]])+IF(MONTH(Table13[[#This Row],[Date]])&gt;=4,1,0)</f>
        <v>2026</v>
      </c>
      <c r="C369" s="167">
        <f>YEAR(Table13[[#This Row],[Date]])</f>
        <v>2026</v>
      </c>
      <c r="D369" s="181">
        <f>Table13[[#This Row],[Date]]-DAY(Table13[[#This Row],[Date]])+1</f>
        <v>46082</v>
      </c>
      <c r="E369" s="167">
        <f t="shared" si="36"/>
        <v>31</v>
      </c>
      <c r="F369" s="170"/>
      <c r="G369" s="171"/>
      <c r="H369" s="171"/>
      <c r="I369" s="171"/>
      <c r="J369" s="171"/>
      <c r="K369" s="182"/>
      <c r="L369" s="171"/>
      <c r="M369" s="171" t="str">
        <f>IFERROR(_xlfn.XLOOKUP($A369,Input_Raw!$A:$A,Input_Raw!CG:CG),"")</f>
        <v/>
      </c>
      <c r="N369" s="171" t="str">
        <f>IFERROR(_xlfn.XLOOKUP($A369,Input_Raw!$A:$A,Input_Raw!CH:CH),"")</f>
        <v/>
      </c>
      <c r="O369" s="183" t="str">
        <f t="shared" si="37"/>
        <v/>
      </c>
      <c r="P369" s="183" t="str">
        <f>IFERROR(1-SUMIF(WTG_BD!$B:$B,$A369,WTG_BD!$AB:$AB)/($AA369+SUMIF(WTG_BD!$B:$B,$A369,WTG_BD!$AB:$AB)),"")</f>
        <v/>
      </c>
      <c r="Q369" s="184" t="str">
        <f>IFERROR(1-SUMIF(IGA_BD!$B:$B,$A369,IGA_BD!$X:$X)/($AA369+SUMIF(IGA_BD!$B:$B,$A369,IGA_BD!$X:$X)),"")</f>
        <v/>
      </c>
      <c r="R369" s="189" t="str">
        <f>IFERROR(1-SUMIF(Grid_BD!$B:$B,$A369,Grid_BD!$V:$V)/($AA369+SUMIF(Grid_BD!$B:$B,$A369,Grid_BD!$V:$V)),"")</f>
        <v/>
      </c>
      <c r="S369" s="167"/>
      <c r="T369" s="184"/>
      <c r="U369" s="185"/>
      <c r="V369" s="167"/>
      <c r="W369" s="186" t="str">
        <f>IFERROR(Table13[[#This Row],[Mtr_Net_Exp (KWh)]]/(24*AR369*1000),"")</f>
        <v/>
      </c>
      <c r="X369" s="167" t="str">
        <f>IFERROR(_xlfn.XLOOKUP($A369,Input_Raw!$A:$A,Input_Raw!$CF:$CF),"")</f>
        <v/>
      </c>
      <c r="Y369" s="167" t="str">
        <f>IFERROR(_xlfn.XLOOKUP($A369,Input_Raw!$A:$A,Input_Raw!$CZ:$CZ),"")</f>
        <v/>
      </c>
      <c r="Z369" s="167" t="str">
        <f>IFERROR(_xlfn.XLOOKUP($A369,Input_Raw!$A:$A,Input_Raw!$DA:$DA),"")</f>
        <v/>
      </c>
      <c r="AA369" s="169" t="str">
        <f t="shared" si="38"/>
        <v/>
      </c>
      <c r="AB369" s="167" t="str">
        <f>IFERROR(_xlfn.XLOOKUP($A369,Input_Raw!$A:$A,Input_Raw!$DG:$DG),"")</f>
        <v/>
      </c>
      <c r="AC369" s="187">
        <f>IFERROR(_xlfn.XLOOKUP($D369,'Modelling New'!$D:$D,'Modelling New'!$J:$J),"")</f>
        <v>4.5999999999999996</v>
      </c>
      <c r="AD369" s="169">
        <f>IFERROR(_xlfn.XLOOKUP($D369,'Modelling New'!$D:$D,'Modelling New'!$T:$T)*1000,"")</f>
        <v>221156.23146397382</v>
      </c>
      <c r="AE369" s="186"/>
      <c r="AF369" s="186">
        <f>IFERROR(_xlfn.XLOOKUP($D369,'Modelling New'!$D:$D,'Modelling New'!$W:$W),"")</f>
        <v>0.11813901253417405</v>
      </c>
      <c r="AG369" s="186">
        <f>IFERROR(_xlfn.XLOOKUP($D369,'Modelling New'!$D:$D,'Modelling New'!$AE:$AE),"")</f>
        <v>0.96029999999999993</v>
      </c>
      <c r="AH369" s="186">
        <f>IFERROR(_xlfn.XLOOKUP($D369,'Modelling New'!$D:$D,'Modelling New'!$AF:$AF),"")</f>
        <v>0.995</v>
      </c>
      <c r="AI369" s="167" t="str">
        <f>IFERROR(_xlfn.XLOOKUP($A369,Input_Raw!$A:$A,Input_Raw!$DE:$DE),"")</f>
        <v/>
      </c>
      <c r="AJ369" s="167"/>
      <c r="AK369" s="167"/>
      <c r="AL369" s="167"/>
      <c r="AM369" s="167"/>
      <c r="AN369" s="188" t="str">
        <f>IFERROR(_xlfn.XLOOKUP($A369,Input_Raw!$A:$A,Input_Raw!$DB:$DB),"")</f>
        <v/>
      </c>
      <c r="AO369" s="186" t="str">
        <f>IFERROR((_xlfn.XLOOKUP($A369,'WTG Reactive Power'!$A:$A,'WTG Reactive Power'!$AR:$AR))/X369/1000,"")</f>
        <v/>
      </c>
      <c r="AP369" s="186">
        <f>IFERROR(_xlfn.XLOOKUP($D369,'Modelling New'!$D:$D,'Modelling New'!$AK:$AK),"")</f>
        <v>0.05</v>
      </c>
      <c r="AQ369" s="186">
        <f>IFERROR(_xlfn.XLOOKUP($D369,'Modelling New'!$D:$D,'Modelling New'!$AL:$AL),"")</f>
        <v>0.05</v>
      </c>
      <c r="AR369">
        <f>IFERROR(_xlfn.XLOOKUP($D369,'Modelling New'!$D:$D,'Modelling New'!$N:$N),"")</f>
        <v>78</v>
      </c>
    </row>
  </sheetData>
  <sheetProtection algorithmName="SHA-512" hashValue="9vj673P7SrZIc8KekDY7zQGxo3sqTWVjz15zLnOKTeiu41s+/Km8JAQZbluBFdO+BvIRKLWW7kqt+d2BGiEirQ==" saltValue="SiWP0PPP8eCgc16huy4B9A==" spinCount="100000" sheet="1" objects="1" scenarios="1"/>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AN156"/>
  <sheetViews>
    <sheetView zoomScale="86" workbookViewId="0">
      <selection activeCell="Q39" sqref="Q39"/>
    </sheetView>
  </sheetViews>
  <sheetFormatPr defaultColWidth="8.85546875" defaultRowHeight="29.1" customHeight="1"/>
  <cols>
    <col min="1" max="1" width="66.42578125" bestFit="1" customWidth="1"/>
    <col min="2" max="2" width="22.5703125" bestFit="1" customWidth="1"/>
    <col min="3" max="3" width="17.85546875" bestFit="1" customWidth="1"/>
    <col min="4" max="4" width="12" customWidth="1"/>
    <col min="5" max="5" width="14.85546875" customWidth="1"/>
    <col min="6" max="16" width="12.140625" customWidth="1"/>
    <col min="17" max="17" width="12" customWidth="1"/>
    <col min="18" max="18" width="9.28515625" bestFit="1" customWidth="1"/>
    <col min="20" max="20" width="9.28515625" bestFit="1" customWidth="1"/>
  </cols>
  <sheetData>
    <row r="2" spans="1:40" ht="29.1" customHeight="1">
      <c r="A2" s="123" t="s">
        <v>69</v>
      </c>
      <c r="B2" s="130">
        <f>B3</f>
        <v>45820</v>
      </c>
    </row>
    <row r="3" spans="1:40" ht="29.1" customHeight="1">
      <c r="A3" s="129" t="s">
        <v>70</v>
      </c>
      <c r="B3" s="130">
        <f>O2Summary!B4</f>
        <v>45820</v>
      </c>
      <c r="C3">
        <f>((B3-B2)+1)*24</f>
        <v>24</v>
      </c>
      <c r="D3" s="124">
        <f>MEDIAN(B21:AN21)</f>
        <v>5</v>
      </c>
    </row>
    <row r="4" spans="1:40" ht="29.1" customHeight="1">
      <c r="A4" s="125" t="s">
        <v>114</v>
      </c>
      <c r="B4" s="131" t="s">
        <v>115</v>
      </c>
      <c r="C4" s="131" t="s">
        <v>116</v>
      </c>
      <c r="D4" s="131" t="s">
        <v>117</v>
      </c>
      <c r="E4" s="131" t="s">
        <v>118</v>
      </c>
      <c r="F4" s="131" t="s">
        <v>119</v>
      </c>
      <c r="G4" s="131" t="s">
        <v>120</v>
      </c>
      <c r="H4" s="131" t="s">
        <v>121</v>
      </c>
      <c r="I4" s="131" t="s">
        <v>122</v>
      </c>
      <c r="J4" s="131" t="s">
        <v>123</v>
      </c>
      <c r="K4" s="131" t="s">
        <v>124</v>
      </c>
      <c r="L4" s="131" t="s">
        <v>125</v>
      </c>
      <c r="M4" s="131" t="s">
        <v>126</v>
      </c>
      <c r="N4" s="131" t="s">
        <v>127</v>
      </c>
      <c r="O4" s="131" t="s">
        <v>128</v>
      </c>
      <c r="P4" s="131" t="s">
        <v>129</v>
      </c>
      <c r="Q4" s="131" t="s">
        <v>130</v>
      </c>
      <c r="R4" s="131" t="s">
        <v>131</v>
      </c>
      <c r="S4" s="131" t="s">
        <v>132</v>
      </c>
      <c r="T4" s="131" t="s">
        <v>133</v>
      </c>
      <c r="U4" s="131" t="s">
        <v>134</v>
      </c>
      <c r="V4" s="131" t="s">
        <v>135</v>
      </c>
      <c r="W4" s="131" t="s">
        <v>136</v>
      </c>
      <c r="X4" s="131" t="s">
        <v>137</v>
      </c>
      <c r="Y4" s="131" t="s">
        <v>138</v>
      </c>
      <c r="Z4" s="131" t="s">
        <v>139</v>
      </c>
      <c r="AA4" s="131" t="s">
        <v>140</v>
      </c>
      <c r="AB4" s="131" t="s">
        <v>141</v>
      </c>
      <c r="AC4" s="131" t="s">
        <v>142</v>
      </c>
      <c r="AD4" s="131" t="s">
        <v>143</v>
      </c>
      <c r="AE4" s="131" t="s">
        <v>144</v>
      </c>
      <c r="AF4" s="131" t="s">
        <v>145</v>
      </c>
      <c r="AG4" s="131" t="s">
        <v>146</v>
      </c>
      <c r="AH4" s="131" t="s">
        <v>147</v>
      </c>
      <c r="AI4" s="131" t="s">
        <v>148</v>
      </c>
      <c r="AJ4" s="131" t="s">
        <v>149</v>
      </c>
      <c r="AK4" s="131" t="s">
        <v>150</v>
      </c>
      <c r="AL4" s="131" t="s">
        <v>151</v>
      </c>
      <c r="AM4" s="131" t="s">
        <v>152</v>
      </c>
      <c r="AN4" s="131" t="s">
        <v>153</v>
      </c>
    </row>
    <row r="5" spans="1:40" ht="29.1" customHeight="1">
      <c r="A5" s="125" t="s">
        <v>154</v>
      </c>
      <c r="B5" s="132">
        <f>IFERROR(($C$3-B6)/$C$3,1)</f>
        <v>0.69374999999999998</v>
      </c>
      <c r="C5" s="132">
        <f>IFERROR(($C$3-C6)/$C$3,1)</f>
        <v>1</v>
      </c>
      <c r="D5" s="132">
        <f t="shared" ref="D5:AN5" si="0">IFERROR(($C$3-D6)/$C$3,1)</f>
        <v>1</v>
      </c>
      <c r="E5" s="132">
        <f t="shared" si="0"/>
        <v>1</v>
      </c>
      <c r="F5" s="132">
        <f t="shared" si="0"/>
        <v>1</v>
      </c>
      <c r="G5" s="132">
        <f t="shared" si="0"/>
        <v>1</v>
      </c>
      <c r="H5" s="132">
        <f t="shared" si="0"/>
        <v>1</v>
      </c>
      <c r="I5" s="132">
        <f t="shared" si="0"/>
        <v>1</v>
      </c>
      <c r="J5" s="132">
        <f t="shared" si="0"/>
        <v>1</v>
      </c>
      <c r="K5" s="132">
        <f t="shared" si="0"/>
        <v>1</v>
      </c>
      <c r="L5" s="132">
        <f t="shared" si="0"/>
        <v>1</v>
      </c>
      <c r="M5" s="132">
        <f t="shared" si="0"/>
        <v>0.94444444444444431</v>
      </c>
      <c r="N5" s="132">
        <f t="shared" si="0"/>
        <v>1</v>
      </c>
      <c r="O5" s="132">
        <f t="shared" si="0"/>
        <v>1</v>
      </c>
      <c r="P5" s="132">
        <f t="shared" si="0"/>
        <v>1</v>
      </c>
      <c r="Q5" s="132">
        <f t="shared" si="0"/>
        <v>1</v>
      </c>
      <c r="R5" s="132">
        <f t="shared" si="0"/>
        <v>1</v>
      </c>
      <c r="S5" s="132">
        <f t="shared" si="0"/>
        <v>1</v>
      </c>
      <c r="T5" s="132">
        <f t="shared" si="0"/>
        <v>1</v>
      </c>
      <c r="U5" s="132">
        <f t="shared" si="0"/>
        <v>1</v>
      </c>
      <c r="V5" s="132">
        <f t="shared" si="0"/>
        <v>1</v>
      </c>
      <c r="W5" s="132">
        <f t="shared" si="0"/>
        <v>1</v>
      </c>
      <c r="X5" s="132">
        <f t="shared" si="0"/>
        <v>1</v>
      </c>
      <c r="Y5" s="132">
        <f t="shared" si="0"/>
        <v>1</v>
      </c>
      <c r="Z5" s="132">
        <f t="shared" si="0"/>
        <v>1</v>
      </c>
      <c r="AA5" s="132">
        <f t="shared" si="0"/>
        <v>1</v>
      </c>
      <c r="AB5" s="132">
        <f t="shared" si="0"/>
        <v>1</v>
      </c>
      <c r="AC5" s="132">
        <f t="shared" si="0"/>
        <v>1.157407407396486E-5</v>
      </c>
      <c r="AD5" s="132">
        <f t="shared" si="0"/>
        <v>1</v>
      </c>
      <c r="AE5" s="132">
        <f t="shared" si="0"/>
        <v>1.157407407396486E-5</v>
      </c>
      <c r="AF5" s="132">
        <f t="shared" si="0"/>
        <v>1</v>
      </c>
      <c r="AG5" s="132">
        <f t="shared" si="0"/>
        <v>1</v>
      </c>
      <c r="AH5" s="132">
        <f t="shared" si="0"/>
        <v>1</v>
      </c>
      <c r="AI5" s="132">
        <f t="shared" si="0"/>
        <v>1</v>
      </c>
      <c r="AJ5" s="132">
        <f t="shared" si="0"/>
        <v>1</v>
      </c>
      <c r="AK5" s="132">
        <f t="shared" si="0"/>
        <v>1</v>
      </c>
      <c r="AL5" s="132">
        <f t="shared" si="0"/>
        <v>1</v>
      </c>
      <c r="AM5" s="132">
        <f t="shared" si="0"/>
        <v>1</v>
      </c>
      <c r="AN5" s="132">
        <f t="shared" si="0"/>
        <v>0.96736111111111101</v>
      </c>
    </row>
    <row r="6" spans="1:40" ht="29.1" hidden="1" customHeight="1">
      <c r="A6" s="126" t="s">
        <v>155</v>
      </c>
      <c r="B6" s="133">
        <f>SUMIFS(WTG_BD!$S:$S,WTG_BD!$B:$B,"&gt;="&amp;Analytices!$B$2,WTG_BD!$B:$B,"&lt;="&amp;Analytices!$B$3,WTG_BD!$G:$G,B4)</f>
        <v>7.35</v>
      </c>
      <c r="C6" s="133">
        <f>SUMIFS(WTG_BD!$S:$S,WTG_BD!$B:$B,"&gt;="&amp;Analytices!$B$2,WTG_BD!$B:$B,"&lt;="&amp;Analytices!$B$3,WTG_BD!$G:$G,C4)</f>
        <v>0</v>
      </c>
      <c r="D6" s="133">
        <f>SUMIFS(WTG_BD!$S:$S,WTG_BD!$B:$B,"&gt;="&amp;Analytices!$B$2,WTG_BD!$B:$B,"&lt;="&amp;Analytices!$B$3,WTG_BD!$G:$G,D4)</f>
        <v>0</v>
      </c>
      <c r="E6" s="133">
        <f>SUMIFS(WTG_BD!$S:$S,WTG_BD!$B:$B,"&gt;="&amp;Analytices!$B$2,WTG_BD!$B:$B,"&lt;="&amp;Analytices!$B$3,WTG_BD!$G:$G,E4)</f>
        <v>0</v>
      </c>
      <c r="F6" s="133">
        <f>SUMIFS(WTG_BD!$S:$S,WTG_BD!$B:$B,"&gt;="&amp;Analytices!$B$2,WTG_BD!$B:$B,"&lt;="&amp;Analytices!$B$3,WTG_BD!$G:$G,F4)</f>
        <v>0</v>
      </c>
      <c r="G6" s="133">
        <f>SUMIFS(WTG_BD!$S:$S,WTG_BD!$B:$B,"&gt;="&amp;Analytices!$B$2,WTG_BD!$B:$B,"&lt;="&amp;Analytices!$B$3,WTG_BD!$G:$G,G4)</f>
        <v>0</v>
      </c>
      <c r="H6" s="133">
        <f>SUMIFS(WTG_BD!$S:$S,WTG_BD!$B:$B,"&gt;="&amp;Analytices!$B$2,WTG_BD!$B:$B,"&lt;="&amp;Analytices!$B$3,WTG_BD!$G:$G,H4)</f>
        <v>0</v>
      </c>
      <c r="I6" s="133">
        <f>SUMIFS(WTG_BD!$S:$S,WTG_BD!$B:$B,"&gt;="&amp;Analytices!$B$2,WTG_BD!$B:$B,"&lt;="&amp;Analytices!$B$3,WTG_BD!$G:$G,I4)</f>
        <v>0</v>
      </c>
      <c r="J6" s="133">
        <f>SUMIFS(WTG_BD!$S:$S,WTG_BD!$B:$B,"&gt;="&amp;Analytices!$B$2,WTG_BD!$B:$B,"&lt;="&amp;Analytices!$B$3,WTG_BD!$G:$G,J4)</f>
        <v>0</v>
      </c>
      <c r="K6" s="133">
        <f>SUMIFS(WTG_BD!$S:$S,WTG_BD!$B:$B,"&gt;="&amp;Analytices!$B$2,WTG_BD!$B:$B,"&lt;="&amp;Analytices!$B$3,WTG_BD!$G:$G,K4)</f>
        <v>0</v>
      </c>
      <c r="L6" s="133">
        <f>SUMIFS(WTG_BD!$S:$S,WTG_BD!$B:$B,"&gt;="&amp;Analytices!$B$2,WTG_BD!$B:$B,"&lt;="&amp;Analytices!$B$3,WTG_BD!$G:$G,L4)</f>
        <v>0</v>
      </c>
      <c r="M6" s="133">
        <f>SUMIFS(WTG_BD!$S:$S,WTG_BD!$B:$B,"&gt;="&amp;Analytices!$B$2,WTG_BD!$B:$B,"&lt;="&amp;Analytices!$B$3,WTG_BD!$G:$G,M4)</f>
        <v>1.3333333333333339</v>
      </c>
      <c r="N6" s="133">
        <f>SUMIFS(WTG_BD!$S:$S,WTG_BD!$B:$B,"&gt;="&amp;Analytices!$B$2,WTG_BD!$B:$B,"&lt;="&amp;Analytices!$B$3,WTG_BD!$G:$G,N4)</f>
        <v>0</v>
      </c>
      <c r="O6" s="133">
        <f>SUMIFS(WTG_BD!$S:$S,WTG_BD!$B:$B,"&gt;="&amp;Analytices!$B$2,WTG_BD!$B:$B,"&lt;="&amp;Analytices!$B$3,WTG_BD!$G:$G,O4)</f>
        <v>0</v>
      </c>
      <c r="P6" s="133">
        <f>SUMIFS(WTG_BD!$S:$S,WTG_BD!$B:$B,"&gt;="&amp;Analytices!$B$2,WTG_BD!$B:$B,"&lt;="&amp;Analytices!$B$3,WTG_BD!$G:$G,P4)</f>
        <v>0</v>
      </c>
      <c r="Q6" s="133">
        <f>SUMIFS(WTG_BD!$S:$S,WTG_BD!$B:$B,"&gt;="&amp;Analytices!$B$2,WTG_BD!$B:$B,"&lt;="&amp;Analytices!$B$3,WTG_BD!$G:$G,Q4)</f>
        <v>0</v>
      </c>
      <c r="R6" s="133">
        <f>SUMIFS(WTG_BD!$S:$S,WTG_BD!$B:$B,"&gt;="&amp;Analytices!$B$2,WTG_BD!$B:$B,"&lt;="&amp;Analytices!$B$3,WTG_BD!$G:$G,R4)</f>
        <v>0</v>
      </c>
      <c r="S6" s="133">
        <f>SUMIFS(WTG_BD!$S:$S,WTG_BD!$B:$B,"&gt;="&amp;Analytices!$B$2,WTG_BD!$B:$B,"&lt;="&amp;Analytices!$B$3,WTG_BD!$G:$G,S4)</f>
        <v>0</v>
      </c>
      <c r="T6" s="133">
        <f>SUMIFS(WTG_BD!$S:$S,WTG_BD!$B:$B,"&gt;="&amp;Analytices!$B$2,WTG_BD!$B:$B,"&lt;="&amp;Analytices!$B$3,WTG_BD!$G:$G,T4)</f>
        <v>0</v>
      </c>
      <c r="U6" s="133">
        <f>SUMIFS(WTG_BD!$S:$S,WTG_BD!$B:$B,"&gt;="&amp;Analytices!$B$2,WTG_BD!$B:$B,"&lt;="&amp;Analytices!$B$3,WTG_BD!$G:$G,U4)</f>
        <v>0</v>
      </c>
      <c r="V6" s="133">
        <f>SUMIFS(WTG_BD!$S:$S,WTG_BD!$B:$B,"&gt;="&amp;Analytices!$B$2,WTG_BD!$B:$B,"&lt;="&amp;Analytices!$B$3,WTG_BD!$G:$G,V4)</f>
        <v>0</v>
      </c>
      <c r="W6" s="133">
        <f>SUMIFS(WTG_BD!$S:$S,WTG_BD!$B:$B,"&gt;="&amp;Analytices!$B$2,WTG_BD!$B:$B,"&lt;="&amp;Analytices!$B$3,WTG_BD!$G:$G,W4)</f>
        <v>0</v>
      </c>
      <c r="X6" s="133">
        <f>SUMIFS(WTG_BD!$S:$S,WTG_BD!$B:$B,"&gt;="&amp;Analytices!$B$2,WTG_BD!$B:$B,"&lt;="&amp;Analytices!$B$3,WTG_BD!$G:$G,X4)</f>
        <v>0</v>
      </c>
      <c r="Y6" s="133">
        <f>SUMIFS(WTG_BD!$S:$S,WTG_BD!$B:$B,"&gt;="&amp;Analytices!$B$2,WTG_BD!$B:$B,"&lt;="&amp;Analytices!$B$3,WTG_BD!$G:$G,Y4)</f>
        <v>0</v>
      </c>
      <c r="Z6" s="133">
        <f>SUMIFS(WTG_BD!$S:$S,WTG_BD!$B:$B,"&gt;="&amp;Analytices!$B$2,WTG_BD!$B:$B,"&lt;="&amp;Analytices!$B$3,WTG_BD!$G:$G,Z4)</f>
        <v>0</v>
      </c>
      <c r="AA6" s="133">
        <f>SUMIFS(WTG_BD!$S:$S,WTG_BD!$B:$B,"&gt;="&amp;Analytices!$B$2,WTG_BD!$B:$B,"&lt;="&amp;Analytices!$B$3,WTG_BD!$G:$G,AA4)</f>
        <v>0</v>
      </c>
      <c r="AB6" s="133">
        <f>SUMIFS(WTG_BD!$S:$S,WTG_BD!$B:$B,"&gt;="&amp;Analytices!$B$2,WTG_BD!$B:$B,"&lt;="&amp;Analytices!$B$3,WTG_BD!$G:$G,AB4)</f>
        <v>0</v>
      </c>
      <c r="AC6" s="133">
        <f>SUMIFS(WTG_BD!$S:$S,WTG_BD!$B:$B,"&gt;="&amp;Analytices!$B$2,WTG_BD!$B:$B,"&lt;="&amp;Analytices!$B$3,WTG_BD!$G:$G,AC4)</f>
        <v>23.999722222222225</v>
      </c>
      <c r="AD6" s="133">
        <f>SUMIFS(WTG_BD!$S:$S,WTG_BD!$B:$B,"&gt;="&amp;Analytices!$B$2,WTG_BD!$B:$B,"&lt;="&amp;Analytices!$B$3,WTG_BD!$G:$G,AD4)</f>
        <v>0</v>
      </c>
      <c r="AE6" s="133">
        <f>SUMIFS(WTG_BD!$S:$S,WTG_BD!$B:$B,"&gt;="&amp;Analytices!$B$2,WTG_BD!$B:$B,"&lt;="&amp;Analytices!$B$3,WTG_BD!$G:$G,AE4)</f>
        <v>23.999722222222225</v>
      </c>
      <c r="AF6" s="133">
        <f>SUMIFS(WTG_BD!$S:$S,WTG_BD!$B:$B,"&gt;="&amp;Analytices!$B$2,WTG_BD!$B:$B,"&lt;="&amp;Analytices!$B$3,WTG_BD!$G:$G,AF4)</f>
        <v>0</v>
      </c>
      <c r="AG6" s="133">
        <f>SUMIFS(WTG_BD!$S:$S,WTG_BD!$B:$B,"&gt;="&amp;Analytices!$B$2,WTG_BD!$B:$B,"&lt;="&amp;Analytices!$B$3,WTG_BD!$G:$G,AG4)</f>
        <v>0</v>
      </c>
      <c r="AH6" s="133">
        <f>SUMIFS(WTG_BD!$S:$S,WTG_BD!$B:$B,"&gt;="&amp;Analytices!$B$2,WTG_BD!$B:$B,"&lt;="&amp;Analytices!$B$3,WTG_BD!$G:$G,AH4)</f>
        <v>0</v>
      </c>
      <c r="AI6" s="133">
        <f>SUMIFS(WTG_BD!$S:$S,WTG_BD!$B:$B,"&gt;="&amp;Analytices!$B$2,WTG_BD!$B:$B,"&lt;="&amp;Analytices!$B$3,WTG_BD!$G:$G,AI4)</f>
        <v>0</v>
      </c>
      <c r="AJ6" s="133">
        <f>SUMIFS(WTG_BD!$S:$S,WTG_BD!$B:$B,"&gt;="&amp;Analytices!$B$2,WTG_BD!$B:$B,"&lt;="&amp;Analytices!$B$3,WTG_BD!$G:$G,AJ4)</f>
        <v>0</v>
      </c>
      <c r="AK6" s="133">
        <f>SUMIFS(WTG_BD!$S:$S,WTG_BD!$B:$B,"&gt;="&amp;Analytices!$B$2,WTG_BD!$B:$B,"&lt;="&amp;Analytices!$B$3,WTG_BD!$G:$G,AK4)</f>
        <v>0</v>
      </c>
      <c r="AL6" s="133">
        <f>SUMIFS(WTG_BD!$S:$S,WTG_BD!$B:$B,"&gt;="&amp;Analytices!$B$2,WTG_BD!$B:$B,"&lt;="&amp;Analytices!$B$3,WTG_BD!$G:$G,AL4)</f>
        <v>0</v>
      </c>
      <c r="AM6" s="133">
        <f>SUMIFS(WTG_BD!$S:$S,WTG_BD!$B:$B,"&gt;="&amp;Analytices!$B$2,WTG_BD!$B:$B,"&lt;="&amp;Analytices!$B$3,WTG_BD!$G:$G,AM4)</f>
        <v>0</v>
      </c>
      <c r="AN6" s="133">
        <f>SUMIFS(WTG_BD!$S:$S,WTG_BD!$B:$B,"&gt;="&amp;Analytices!$B$2,WTG_BD!$B:$B,"&lt;="&amp;Analytices!$B$3,WTG_BD!$G:$G,AN4)</f>
        <v>0.78333333333333455</v>
      </c>
    </row>
    <row r="7" spans="1:40" ht="29.1" customHeight="1">
      <c r="A7" s="125" t="s">
        <v>156</v>
      </c>
      <c r="B7" s="134">
        <f>($C$3-SUM(B8:B12))/$C$3</f>
        <v>1</v>
      </c>
      <c r="C7" s="134">
        <f t="shared" ref="C7:AN7" si="1">($C$3-SUM(C8:C12))/$C$3</f>
        <v>1</v>
      </c>
      <c r="D7" s="134">
        <f t="shared" si="1"/>
        <v>1</v>
      </c>
      <c r="E7" s="134">
        <f t="shared" si="1"/>
        <v>1</v>
      </c>
      <c r="F7" s="134">
        <f t="shared" si="1"/>
        <v>1</v>
      </c>
      <c r="G7" s="134">
        <f t="shared" si="1"/>
        <v>1</v>
      </c>
      <c r="H7" s="134">
        <f t="shared" si="1"/>
        <v>1</v>
      </c>
      <c r="I7" s="134">
        <f t="shared" si="1"/>
        <v>1</v>
      </c>
      <c r="J7" s="134">
        <f t="shared" si="1"/>
        <v>1</v>
      </c>
      <c r="K7" s="134">
        <f t="shared" si="1"/>
        <v>1</v>
      </c>
      <c r="L7" s="134">
        <f t="shared" si="1"/>
        <v>1</v>
      </c>
      <c r="M7" s="134">
        <f t="shared" si="1"/>
        <v>1</v>
      </c>
      <c r="N7" s="134">
        <f t="shared" si="1"/>
        <v>1</v>
      </c>
      <c r="O7" s="134">
        <f t="shared" si="1"/>
        <v>1</v>
      </c>
      <c r="P7" s="134">
        <f t="shared" si="1"/>
        <v>1</v>
      </c>
      <c r="Q7" s="134">
        <f t="shared" si="1"/>
        <v>1</v>
      </c>
      <c r="R7" s="134">
        <f t="shared" si="1"/>
        <v>1</v>
      </c>
      <c r="S7" s="134">
        <f t="shared" si="1"/>
        <v>1</v>
      </c>
      <c r="T7" s="134">
        <f t="shared" si="1"/>
        <v>1</v>
      </c>
      <c r="U7" s="134">
        <f t="shared" si="1"/>
        <v>1</v>
      </c>
      <c r="V7" s="134">
        <f t="shared" si="1"/>
        <v>1</v>
      </c>
      <c r="W7" s="134">
        <f t="shared" si="1"/>
        <v>1</v>
      </c>
      <c r="X7" s="134">
        <f t="shared" si="1"/>
        <v>1</v>
      </c>
      <c r="Y7" s="134">
        <f t="shared" si="1"/>
        <v>1</v>
      </c>
      <c r="Z7" s="134">
        <f t="shared" si="1"/>
        <v>1</v>
      </c>
      <c r="AA7" s="134">
        <f t="shared" si="1"/>
        <v>1</v>
      </c>
      <c r="AB7" s="134">
        <f t="shared" si="1"/>
        <v>1</v>
      </c>
      <c r="AC7" s="134">
        <f t="shared" si="1"/>
        <v>1</v>
      </c>
      <c r="AD7" s="134">
        <f t="shared" si="1"/>
        <v>1</v>
      </c>
      <c r="AE7" s="134">
        <f t="shared" si="1"/>
        <v>1</v>
      </c>
      <c r="AF7" s="134">
        <f t="shared" si="1"/>
        <v>1</v>
      </c>
      <c r="AG7" s="134">
        <f t="shared" si="1"/>
        <v>1</v>
      </c>
      <c r="AH7" s="134">
        <f t="shared" si="1"/>
        <v>1</v>
      </c>
      <c r="AI7" s="134">
        <f t="shared" si="1"/>
        <v>1</v>
      </c>
      <c r="AJ7" s="134">
        <f t="shared" si="1"/>
        <v>1</v>
      </c>
      <c r="AK7" s="134">
        <f t="shared" si="1"/>
        <v>1</v>
      </c>
      <c r="AL7" s="134">
        <f t="shared" si="1"/>
        <v>1</v>
      </c>
      <c r="AM7" s="134">
        <f t="shared" si="1"/>
        <v>1</v>
      </c>
      <c r="AN7" s="134">
        <f t="shared" si="1"/>
        <v>1</v>
      </c>
    </row>
    <row r="8" spans="1:40" ht="29.1" hidden="1" customHeight="1">
      <c r="A8" s="126" t="s">
        <v>157</v>
      </c>
      <c r="B8" s="135"/>
      <c r="C8" s="135"/>
      <c r="D8" s="135"/>
      <c r="E8" s="135"/>
      <c r="F8" s="135"/>
      <c r="G8" s="135"/>
      <c r="H8" s="135"/>
      <c r="I8" s="135"/>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row>
    <row r="9" spans="1:40" ht="29.1" hidden="1" customHeight="1">
      <c r="A9" s="126" t="s">
        <v>158</v>
      </c>
      <c r="B9" s="133">
        <f>SUMIFS(IGA_BD!$Q:$Q,IGA_BD!$G:$G,(VLOOKUP(B$4,'Basic Data'!$A:$F,6,0)),IGA_BD!$B:$B,"&gt;="&amp;Analytices!$B$2,IGA_BD!$B:$B,"&lt;="&amp;Analytices!$B$3)</f>
        <v>0</v>
      </c>
      <c r="C9" s="133">
        <f>SUMIFS(IGA_BD!$Q:$Q,IGA_BD!$G:$G,(VLOOKUP(C$4,'Basic Data'!$A:$F,6,0)),IGA_BD!$B:$B,"&gt;="&amp;Analytices!$B$2,IGA_BD!$B:$B,"&lt;="&amp;Analytices!$B$3)</f>
        <v>0</v>
      </c>
      <c r="D9" s="133">
        <f>SUMIFS(IGA_BD!$Q:$Q,IGA_BD!$G:$G,(VLOOKUP(D$4,'Basic Data'!$A:$F,6,0)),IGA_BD!$B:$B,"&gt;="&amp;Analytices!$B$2,IGA_BD!$B:$B,"&lt;="&amp;Analytices!$B$3)</f>
        <v>0</v>
      </c>
      <c r="E9" s="133">
        <f>SUMIFS(IGA_BD!$Q:$Q,IGA_BD!$G:$G,(VLOOKUP(E$4,'Basic Data'!$A:$F,6,0)),IGA_BD!$B:$B,"&gt;="&amp;Analytices!$B$2,IGA_BD!$B:$B,"&lt;="&amp;Analytices!$B$3)</f>
        <v>0</v>
      </c>
      <c r="F9" s="133">
        <f>SUMIFS(IGA_BD!$Q:$Q,IGA_BD!$G:$G,(VLOOKUP(F$4,'Basic Data'!$A:$F,6,0)),IGA_BD!$B:$B,"&gt;="&amp;Analytices!$B$2,IGA_BD!$B:$B,"&lt;="&amp;Analytices!$B$3)</f>
        <v>0</v>
      </c>
      <c r="G9" s="133">
        <f>SUMIFS(IGA_BD!$Q:$Q,IGA_BD!$G:$G,(VLOOKUP(G$4,'Basic Data'!$A:$F,6,0)),IGA_BD!$B:$B,"&gt;="&amp;Analytices!$B$2,IGA_BD!$B:$B,"&lt;="&amp;Analytices!$B$3)</f>
        <v>0</v>
      </c>
      <c r="H9" s="133">
        <f>SUMIFS(IGA_BD!$Q:$Q,IGA_BD!$G:$G,(VLOOKUP(H$4,'Basic Data'!$A:$F,6,0)),IGA_BD!$B:$B,"&gt;="&amp;Analytices!$B$2,IGA_BD!$B:$B,"&lt;="&amp;Analytices!$B$3)</f>
        <v>0</v>
      </c>
      <c r="I9" s="133">
        <f>SUMIFS(IGA_BD!$Q:$Q,IGA_BD!$G:$G,(VLOOKUP(I$4,'Basic Data'!$A:$F,6,0)),IGA_BD!$B:$B,"&gt;="&amp;Analytices!$B$2,IGA_BD!$B:$B,"&lt;="&amp;Analytices!$B$3)</f>
        <v>0</v>
      </c>
      <c r="J9" s="133">
        <f>SUMIFS(IGA_BD!$Q:$Q,IGA_BD!$G:$G,(VLOOKUP(J$4,'Basic Data'!$A:$F,6,0)),IGA_BD!$B:$B,"&gt;="&amp;Analytices!$B$2,IGA_BD!$B:$B,"&lt;="&amp;Analytices!$B$3)</f>
        <v>0</v>
      </c>
      <c r="K9" s="133">
        <f>SUMIFS(IGA_BD!$Q:$Q,IGA_BD!$G:$G,(VLOOKUP(K$4,'Basic Data'!$A:$F,6,0)),IGA_BD!$B:$B,"&gt;="&amp;Analytices!$B$2,IGA_BD!$B:$B,"&lt;="&amp;Analytices!$B$3)</f>
        <v>0</v>
      </c>
      <c r="L9" s="133">
        <f>SUMIFS(IGA_BD!$Q:$Q,IGA_BD!$G:$G,(VLOOKUP(L$4,'Basic Data'!$A:$F,6,0)),IGA_BD!$B:$B,"&gt;="&amp;Analytices!$B$2,IGA_BD!$B:$B,"&lt;="&amp;Analytices!$B$3)</f>
        <v>0</v>
      </c>
      <c r="M9" s="133">
        <f>SUMIFS(IGA_BD!$Q:$Q,IGA_BD!$G:$G,(VLOOKUP(M$4,'Basic Data'!$A:$F,6,0)),IGA_BD!$B:$B,"&gt;="&amp;Analytices!$B$2,IGA_BD!$B:$B,"&lt;="&amp;Analytices!$B$3)</f>
        <v>0</v>
      </c>
      <c r="N9" s="133">
        <f>SUMIFS(IGA_BD!$Q:$Q,IGA_BD!$G:$G,(VLOOKUP(N$4,'Basic Data'!$A:$F,6,0)),IGA_BD!$B:$B,"&gt;="&amp;Analytices!$B$2,IGA_BD!$B:$B,"&lt;="&amp;Analytices!$B$3)</f>
        <v>0</v>
      </c>
      <c r="O9" s="133">
        <f>SUMIFS(IGA_BD!$Q:$Q,IGA_BD!$G:$G,(VLOOKUP(O$4,'Basic Data'!$A:$F,6,0)),IGA_BD!$B:$B,"&gt;="&amp;Analytices!$B$2,IGA_BD!$B:$B,"&lt;="&amp;Analytices!$B$3)</f>
        <v>0</v>
      </c>
      <c r="P9" s="133">
        <f>SUMIFS(IGA_BD!$Q:$Q,IGA_BD!$G:$G,(VLOOKUP(P$4,'Basic Data'!$A:$F,6,0)),IGA_BD!$B:$B,"&gt;="&amp;Analytices!$B$2,IGA_BD!$B:$B,"&lt;="&amp;Analytices!$B$3)</f>
        <v>0</v>
      </c>
      <c r="Q9" s="133">
        <f>SUMIFS(IGA_BD!$Q:$Q,IGA_BD!$G:$G,(VLOOKUP(Q$4,'Basic Data'!$A:$F,6,0)),IGA_BD!$B:$B,"&gt;="&amp;Analytices!$B$2,IGA_BD!$B:$B,"&lt;="&amp;Analytices!$B$3)</f>
        <v>0</v>
      </c>
      <c r="R9" s="133">
        <f>SUMIFS(IGA_BD!$Q:$Q,IGA_BD!$G:$G,(VLOOKUP(R$4,'Basic Data'!$A:$F,6,0)),IGA_BD!$B:$B,"&gt;="&amp;Analytices!$B$2,IGA_BD!$B:$B,"&lt;="&amp;Analytices!$B$3)</f>
        <v>0</v>
      </c>
      <c r="S9" s="133">
        <f>SUMIFS(IGA_BD!$Q:$Q,IGA_BD!$G:$G,(VLOOKUP(S$4,'Basic Data'!$A:$F,6,0)),IGA_BD!$B:$B,"&gt;="&amp;Analytices!$B$2,IGA_BD!$B:$B,"&lt;="&amp;Analytices!$B$3)</f>
        <v>0</v>
      </c>
      <c r="T9" s="133">
        <f>SUMIFS(IGA_BD!$Q:$Q,IGA_BD!$G:$G,(VLOOKUP(T$4,'Basic Data'!$A:$F,6,0)),IGA_BD!$B:$B,"&gt;="&amp;Analytices!$B$2,IGA_BD!$B:$B,"&lt;="&amp;Analytices!$B$3)</f>
        <v>0</v>
      </c>
      <c r="U9" s="133">
        <f>SUMIFS(IGA_BD!$Q:$Q,IGA_BD!$G:$G,(VLOOKUP(U$4,'Basic Data'!$A:$F,6,0)),IGA_BD!$B:$B,"&gt;="&amp;Analytices!$B$2,IGA_BD!$B:$B,"&lt;="&amp;Analytices!$B$3)</f>
        <v>0</v>
      </c>
      <c r="V9" s="133">
        <f>SUMIFS(IGA_BD!$Q:$Q,IGA_BD!$G:$G,(VLOOKUP(V$4,'Basic Data'!$A:$F,6,0)),IGA_BD!$B:$B,"&gt;="&amp;Analytices!$B$2,IGA_BD!$B:$B,"&lt;="&amp;Analytices!$B$3)</f>
        <v>0</v>
      </c>
      <c r="W9" s="133">
        <f>SUMIFS(IGA_BD!$Q:$Q,IGA_BD!$G:$G,(VLOOKUP(W$4,'Basic Data'!$A:$F,6,0)),IGA_BD!$B:$B,"&gt;="&amp;Analytices!$B$2,IGA_BD!$B:$B,"&lt;="&amp;Analytices!$B$3)</f>
        <v>0</v>
      </c>
      <c r="X9" s="133">
        <f>SUMIFS(IGA_BD!$Q:$Q,IGA_BD!$G:$G,(VLOOKUP(X$4,'Basic Data'!$A:$F,6,0)),IGA_BD!$B:$B,"&gt;="&amp;Analytices!$B$2,IGA_BD!$B:$B,"&lt;="&amp;Analytices!$B$3)</f>
        <v>0</v>
      </c>
      <c r="Y9" s="133">
        <f>SUMIFS(IGA_BD!$Q:$Q,IGA_BD!$G:$G,(VLOOKUP(Y$4,'Basic Data'!$A:$F,6,0)),IGA_BD!$B:$B,"&gt;="&amp;Analytices!$B$2,IGA_BD!$B:$B,"&lt;="&amp;Analytices!$B$3)</f>
        <v>0</v>
      </c>
      <c r="Z9" s="133">
        <f>SUMIFS(IGA_BD!$Q:$Q,IGA_BD!$G:$G,(VLOOKUP(Z$4,'Basic Data'!$A:$F,6,0)),IGA_BD!$B:$B,"&gt;="&amp;Analytices!$B$2,IGA_BD!$B:$B,"&lt;="&amp;Analytices!$B$3)</f>
        <v>0</v>
      </c>
      <c r="AA9" s="133">
        <f>SUMIFS(IGA_BD!$Q:$Q,IGA_BD!$G:$G,(VLOOKUP(AA$4,'Basic Data'!$A:$F,6,0)),IGA_BD!$B:$B,"&gt;="&amp;Analytices!$B$2,IGA_BD!$B:$B,"&lt;="&amp;Analytices!$B$3)</f>
        <v>0</v>
      </c>
      <c r="AB9" s="133">
        <f>SUMIFS(IGA_BD!$Q:$Q,IGA_BD!$G:$G,(VLOOKUP(AB$4,'Basic Data'!$A:$F,6,0)),IGA_BD!$B:$B,"&gt;="&amp;Analytices!$B$2,IGA_BD!$B:$B,"&lt;="&amp;Analytices!$B$3)</f>
        <v>0</v>
      </c>
      <c r="AC9" s="133">
        <f>SUMIFS(IGA_BD!$Q:$Q,IGA_BD!$G:$G,(VLOOKUP(AC$4,'Basic Data'!$A:$F,6,0)),IGA_BD!$B:$B,"&gt;="&amp;Analytices!$B$2,IGA_BD!$B:$B,"&lt;="&amp;Analytices!$B$3)</f>
        <v>0</v>
      </c>
      <c r="AD9" s="133">
        <f>SUMIFS(IGA_BD!$Q:$Q,IGA_BD!$G:$G,(VLOOKUP(AD$4,'Basic Data'!$A:$F,6,0)),IGA_BD!$B:$B,"&gt;="&amp;Analytices!$B$2,IGA_BD!$B:$B,"&lt;="&amp;Analytices!$B$3)</f>
        <v>0</v>
      </c>
      <c r="AE9" s="133">
        <f>SUMIFS(IGA_BD!$Q:$Q,IGA_BD!$G:$G,(VLOOKUP(AE$4,'Basic Data'!$A:$F,6,0)),IGA_BD!$B:$B,"&gt;="&amp;Analytices!$B$2,IGA_BD!$B:$B,"&lt;="&amp;Analytices!$B$3)</f>
        <v>0</v>
      </c>
      <c r="AF9" s="133">
        <f>SUMIFS(IGA_BD!$Q:$Q,IGA_BD!$G:$G,(VLOOKUP(AF$4,'Basic Data'!$A:$F,6,0)),IGA_BD!$B:$B,"&gt;="&amp;Analytices!$B$2,IGA_BD!$B:$B,"&lt;="&amp;Analytices!$B$3)</f>
        <v>0</v>
      </c>
      <c r="AG9" s="133">
        <f>SUMIFS(IGA_BD!$Q:$Q,IGA_BD!$G:$G,(VLOOKUP(AG$4,'Basic Data'!$A:$F,6,0)),IGA_BD!$B:$B,"&gt;="&amp;Analytices!$B$2,IGA_BD!$B:$B,"&lt;="&amp;Analytices!$B$3)</f>
        <v>0</v>
      </c>
      <c r="AH9" s="133">
        <f>SUMIFS(IGA_BD!$Q:$Q,IGA_BD!$G:$G,(VLOOKUP(AH$4,'Basic Data'!$A:$F,6,0)),IGA_BD!$B:$B,"&gt;="&amp;Analytices!$B$2,IGA_BD!$B:$B,"&lt;="&amp;Analytices!$B$3)</f>
        <v>0</v>
      </c>
      <c r="AI9" s="133">
        <f>SUMIFS(IGA_BD!$Q:$Q,IGA_BD!$G:$G,(VLOOKUP(AI$4,'Basic Data'!$A:$F,6,0)),IGA_BD!$B:$B,"&gt;="&amp;Analytices!$B$2,IGA_BD!$B:$B,"&lt;="&amp;Analytices!$B$3)</f>
        <v>0</v>
      </c>
      <c r="AJ9" s="133">
        <f>SUMIFS(IGA_BD!$Q:$Q,IGA_BD!$G:$G,(VLOOKUP(AJ$4,'Basic Data'!$A:$F,6,0)),IGA_BD!$B:$B,"&gt;="&amp;Analytices!$B$2,IGA_BD!$B:$B,"&lt;="&amp;Analytices!$B$3)</f>
        <v>0</v>
      </c>
      <c r="AK9" s="133">
        <f>SUMIFS(IGA_BD!$Q:$Q,IGA_BD!$G:$G,(VLOOKUP(AK$4,'Basic Data'!$A:$F,6,0)),IGA_BD!$B:$B,"&gt;="&amp;Analytices!$B$2,IGA_BD!$B:$B,"&lt;="&amp;Analytices!$B$3)</f>
        <v>0</v>
      </c>
      <c r="AL9" s="133">
        <f>SUMIFS(IGA_BD!$Q:$Q,IGA_BD!$G:$G,(VLOOKUP(AL$4,'Basic Data'!$A:$F,6,0)),IGA_BD!$B:$B,"&gt;="&amp;Analytices!$B$2,IGA_BD!$B:$B,"&lt;="&amp;Analytices!$B$3)</f>
        <v>0</v>
      </c>
      <c r="AM9" s="133">
        <f>SUMIFS(IGA_BD!$Q:$Q,IGA_BD!$G:$G,(VLOOKUP(AM$4,'Basic Data'!$A:$F,6,0)),IGA_BD!$B:$B,"&gt;="&amp;Analytices!$B$2,IGA_BD!$B:$B,"&lt;="&amp;Analytices!$B$3)</f>
        <v>0</v>
      </c>
      <c r="AN9" s="133">
        <f>SUMIFS(IGA_BD!$Q:$Q,IGA_BD!$G:$G,(VLOOKUP(AN$4,'Basic Data'!$A:$F,6,0)),IGA_BD!$B:$B,"&gt;="&amp;Analytices!$B$2,IGA_BD!$B:$B,"&lt;="&amp;Analytices!$B$3)</f>
        <v>0</v>
      </c>
    </row>
    <row r="10" spans="1:40" ht="29.1" hidden="1" customHeight="1">
      <c r="A10" s="126" t="s">
        <v>159</v>
      </c>
      <c r="B10" s="135"/>
      <c r="C10" s="135"/>
      <c r="D10" s="135"/>
      <c r="E10" s="135"/>
      <c r="F10" s="135"/>
      <c r="G10" s="135"/>
      <c r="H10" s="135"/>
      <c r="I10" s="135"/>
      <c r="J10" s="135"/>
      <c r="K10" s="135"/>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row>
    <row r="11" spans="1:40" ht="29.1" hidden="1" customHeight="1">
      <c r="A11" s="126" t="s">
        <v>160</v>
      </c>
      <c r="B11" s="135">
        <f>SUMIFS(Grid_BD!$Q:$Q,Grid_BD!$F:$F,(VLOOKUP(B$4,'Basic Data'!$A:$G,7,0)),Grid_BD!$B:$B,"&gt;="&amp;Analytices!$B$2,Grid_BD!$B:$B,"&lt;="&amp;Analytices!$B$3)</f>
        <v>0</v>
      </c>
      <c r="C11" s="135">
        <f>SUMIFS(Grid_BD!$Q:$Q,Grid_BD!$F:$F,(VLOOKUP(C$4,'Basic Data'!$A:$G,7,0)),Grid_BD!$B:$B,"&gt;="&amp;Analytices!$B$2,Grid_BD!$B:$B,"&lt;="&amp;Analytices!$B$3)</f>
        <v>0</v>
      </c>
      <c r="D11" s="135">
        <f>SUMIFS(Grid_BD!$Q:$Q,Grid_BD!$F:$F,(VLOOKUP(D$4,'Basic Data'!$A:$G,7,0)),Grid_BD!$B:$B,"&gt;="&amp;Analytices!$B$2,Grid_BD!$B:$B,"&lt;="&amp;Analytices!$B$3)</f>
        <v>0</v>
      </c>
      <c r="E11" s="135">
        <f>SUMIFS(Grid_BD!$Q:$Q,Grid_BD!$F:$F,(VLOOKUP(E$4,'Basic Data'!$A:$G,7,0)),Grid_BD!$B:$B,"&gt;="&amp;Analytices!$B$2,Grid_BD!$B:$B,"&lt;="&amp;Analytices!$B$3)</f>
        <v>0</v>
      </c>
      <c r="F11" s="135">
        <f>SUMIFS(Grid_BD!$Q:$Q,Grid_BD!$F:$F,(VLOOKUP(F$4,'Basic Data'!$A:$G,7,0)),Grid_BD!$B:$B,"&gt;="&amp;Analytices!$B$2,Grid_BD!$B:$B,"&lt;="&amp;Analytices!$B$3)</f>
        <v>0</v>
      </c>
      <c r="G11" s="135">
        <f>SUMIFS(Grid_BD!$Q:$Q,Grid_BD!$F:$F,(VLOOKUP(G$4,'Basic Data'!$A:$G,7,0)),Grid_BD!$B:$B,"&gt;="&amp;Analytices!$B$2,Grid_BD!$B:$B,"&lt;="&amp;Analytices!$B$3)</f>
        <v>0</v>
      </c>
      <c r="H11" s="135">
        <f>SUMIFS(Grid_BD!$Q:$Q,Grid_BD!$F:$F,(VLOOKUP(H$4,'Basic Data'!$A:$G,7,0)),Grid_BD!$B:$B,"&gt;="&amp;Analytices!$B$2,Grid_BD!$B:$B,"&lt;="&amp;Analytices!$B$3)</f>
        <v>0</v>
      </c>
      <c r="I11" s="135">
        <f>SUMIFS(Grid_BD!$Q:$Q,Grid_BD!$F:$F,(VLOOKUP(I$4,'Basic Data'!$A:$G,7,0)),Grid_BD!$B:$B,"&gt;="&amp;Analytices!$B$2,Grid_BD!$B:$B,"&lt;="&amp;Analytices!$B$3)</f>
        <v>0</v>
      </c>
      <c r="J11" s="135">
        <f>SUMIFS(Grid_BD!$Q:$Q,Grid_BD!$F:$F,(VLOOKUP(J$4,'Basic Data'!$A:$G,7,0)),Grid_BD!$B:$B,"&gt;="&amp;Analytices!$B$2,Grid_BD!$B:$B,"&lt;="&amp;Analytices!$B$3)</f>
        <v>0</v>
      </c>
      <c r="K11" s="135">
        <f>SUMIFS(Grid_BD!$Q:$Q,Grid_BD!$F:$F,(VLOOKUP(K$4,'Basic Data'!$A:$G,7,0)),Grid_BD!$B:$B,"&gt;="&amp;Analytices!$B$2,Grid_BD!$B:$B,"&lt;="&amp;Analytices!$B$3)</f>
        <v>0</v>
      </c>
      <c r="L11" s="135">
        <f>SUMIFS(Grid_BD!$Q:$Q,Grid_BD!$F:$F,(VLOOKUP(L$4,'Basic Data'!$A:$G,7,0)),Grid_BD!$B:$B,"&gt;="&amp;Analytices!$B$2,Grid_BD!$B:$B,"&lt;="&amp;Analytices!$B$3)</f>
        <v>0</v>
      </c>
      <c r="M11" s="135">
        <f>SUMIFS(Grid_BD!$Q:$Q,Grid_BD!$F:$F,(VLOOKUP(M$4,'Basic Data'!$A:$G,7,0)),Grid_BD!$B:$B,"&gt;="&amp;Analytices!$B$2,Grid_BD!$B:$B,"&lt;="&amp;Analytices!$B$3)</f>
        <v>0</v>
      </c>
      <c r="N11" s="135">
        <f>SUMIFS(Grid_BD!$Q:$Q,Grid_BD!$F:$F,(VLOOKUP(N$4,'Basic Data'!$A:$G,7,0)),Grid_BD!$B:$B,"&gt;="&amp;Analytices!$B$2,Grid_BD!$B:$B,"&lt;="&amp;Analytices!$B$3)</f>
        <v>0</v>
      </c>
      <c r="O11" s="135">
        <f>SUMIFS(Grid_BD!$Q:$Q,Grid_BD!$F:$F,(VLOOKUP(O$4,'Basic Data'!$A:$G,7,0)),Grid_BD!$B:$B,"&gt;="&amp;Analytices!$B$2,Grid_BD!$B:$B,"&lt;="&amp;Analytices!$B$3)</f>
        <v>0</v>
      </c>
      <c r="P11" s="135">
        <f>SUMIFS(Grid_BD!$Q:$Q,Grid_BD!$F:$F,(VLOOKUP(P$4,'Basic Data'!$A:$G,7,0)),Grid_BD!$B:$B,"&gt;="&amp;Analytices!$B$2,Grid_BD!$B:$B,"&lt;="&amp;Analytices!$B$3)</f>
        <v>0</v>
      </c>
      <c r="Q11" s="135">
        <f>SUMIFS(Grid_BD!$Q:$Q,Grid_BD!$F:$F,(VLOOKUP(Q$4,'Basic Data'!$A:$G,7,0)),Grid_BD!$B:$B,"&gt;="&amp;Analytices!$B$2,Grid_BD!$B:$B,"&lt;="&amp;Analytices!$B$3)</f>
        <v>0</v>
      </c>
      <c r="R11" s="135">
        <f>SUMIFS(Grid_BD!$Q:$Q,Grid_BD!$F:$F,(VLOOKUP(R$4,'Basic Data'!$A:$G,7,0)),Grid_BD!$B:$B,"&gt;="&amp;Analytices!$B$2,Grid_BD!$B:$B,"&lt;="&amp;Analytices!$B$3)</f>
        <v>0</v>
      </c>
      <c r="S11" s="135">
        <f>SUMIFS(Grid_BD!$Q:$Q,Grid_BD!$F:$F,(VLOOKUP(S$4,'Basic Data'!$A:$G,7,0)),Grid_BD!$B:$B,"&gt;="&amp;Analytices!$B$2,Grid_BD!$B:$B,"&lt;="&amp;Analytices!$B$3)</f>
        <v>0</v>
      </c>
      <c r="T11" s="135">
        <f>SUMIFS(Grid_BD!$Q:$Q,Grid_BD!$F:$F,(VLOOKUP(T$4,'Basic Data'!$A:$G,7,0)),Grid_BD!$B:$B,"&gt;="&amp;Analytices!$B$2,Grid_BD!$B:$B,"&lt;="&amp;Analytices!$B$3)</f>
        <v>0</v>
      </c>
      <c r="U11" s="135">
        <f>SUMIFS(Grid_BD!$Q:$Q,Grid_BD!$F:$F,(VLOOKUP(U$4,'Basic Data'!$A:$G,7,0)),Grid_BD!$B:$B,"&gt;="&amp;Analytices!$B$2,Grid_BD!$B:$B,"&lt;="&amp;Analytices!$B$3)</f>
        <v>0</v>
      </c>
      <c r="V11" s="135">
        <f>SUMIFS(Grid_BD!$Q:$Q,Grid_BD!$F:$F,(VLOOKUP(V$4,'Basic Data'!$A:$G,7,0)),Grid_BD!$B:$B,"&gt;="&amp;Analytices!$B$2,Grid_BD!$B:$B,"&lt;="&amp;Analytices!$B$3)</f>
        <v>0</v>
      </c>
      <c r="W11" s="135">
        <f>SUMIFS(Grid_BD!$Q:$Q,Grid_BD!$F:$F,(VLOOKUP(W$4,'Basic Data'!$A:$G,7,0)),Grid_BD!$B:$B,"&gt;="&amp;Analytices!$B$2,Grid_BD!$B:$B,"&lt;="&amp;Analytices!$B$3)</f>
        <v>0</v>
      </c>
      <c r="X11" s="135">
        <f>SUMIFS(Grid_BD!$Q:$Q,Grid_BD!$F:$F,(VLOOKUP(X$4,'Basic Data'!$A:$G,7,0)),Grid_BD!$B:$B,"&gt;="&amp;Analytices!$B$2,Grid_BD!$B:$B,"&lt;="&amp;Analytices!$B$3)</f>
        <v>0</v>
      </c>
      <c r="Y11" s="135">
        <f>SUMIFS(Grid_BD!$Q:$Q,Grid_BD!$F:$F,(VLOOKUP(Y$4,'Basic Data'!$A:$G,7,0)),Grid_BD!$B:$B,"&gt;="&amp;Analytices!$B$2,Grid_BD!$B:$B,"&lt;="&amp;Analytices!$B$3)</f>
        <v>0</v>
      </c>
      <c r="Z11" s="135">
        <f>SUMIFS(Grid_BD!$Q:$Q,Grid_BD!$F:$F,(VLOOKUP(Z$4,'Basic Data'!$A:$G,7,0)),Grid_BD!$B:$B,"&gt;="&amp;Analytices!$B$2,Grid_BD!$B:$B,"&lt;="&amp;Analytices!$B$3)</f>
        <v>0</v>
      </c>
      <c r="AA11" s="135">
        <f>SUMIFS(Grid_BD!$Q:$Q,Grid_BD!$F:$F,(VLOOKUP(AA$4,'Basic Data'!$A:$G,7,0)),Grid_BD!$B:$B,"&gt;="&amp;Analytices!$B$2,Grid_BD!$B:$B,"&lt;="&amp;Analytices!$B$3)</f>
        <v>0</v>
      </c>
      <c r="AB11" s="135">
        <f>SUMIFS(Grid_BD!$Q:$Q,Grid_BD!$F:$F,(VLOOKUP(AB$4,'Basic Data'!$A:$G,7,0)),Grid_BD!$B:$B,"&gt;="&amp;Analytices!$B$2,Grid_BD!$B:$B,"&lt;="&amp;Analytices!$B$3)</f>
        <v>0</v>
      </c>
      <c r="AC11" s="135">
        <f>SUMIFS(Grid_BD!$Q:$Q,Grid_BD!$F:$F,(VLOOKUP(AC$4,'Basic Data'!$A:$G,7,0)),Grid_BD!$B:$B,"&gt;="&amp;Analytices!$B$2,Grid_BD!$B:$B,"&lt;="&amp;Analytices!$B$3)</f>
        <v>0</v>
      </c>
      <c r="AD11" s="135">
        <f>SUMIFS(Grid_BD!$Q:$Q,Grid_BD!$F:$F,(VLOOKUP(AD$4,'Basic Data'!$A:$G,7,0)),Grid_BD!$B:$B,"&gt;="&amp;Analytices!$B$2,Grid_BD!$B:$B,"&lt;="&amp;Analytices!$B$3)</f>
        <v>0</v>
      </c>
      <c r="AE11" s="135">
        <f>SUMIFS(Grid_BD!$Q:$Q,Grid_BD!$F:$F,(VLOOKUP(AE$4,'Basic Data'!$A:$G,7,0)),Grid_BD!$B:$B,"&gt;="&amp;Analytices!$B$2,Grid_BD!$B:$B,"&lt;="&amp;Analytices!$B$3)</f>
        <v>0</v>
      </c>
      <c r="AF11" s="135">
        <f>SUMIFS(Grid_BD!$Q:$Q,Grid_BD!$F:$F,(VLOOKUP(AF$4,'Basic Data'!$A:$G,7,0)),Grid_BD!$B:$B,"&gt;="&amp;Analytices!$B$2,Grid_BD!$B:$B,"&lt;="&amp;Analytices!$B$3)</f>
        <v>0</v>
      </c>
      <c r="AG11" s="135">
        <f>SUMIFS(Grid_BD!$Q:$Q,Grid_BD!$F:$F,(VLOOKUP(AG$4,'Basic Data'!$A:$G,7,0)),Grid_BD!$B:$B,"&gt;="&amp;Analytices!$B$2,Grid_BD!$B:$B,"&lt;="&amp;Analytices!$B$3)</f>
        <v>0</v>
      </c>
      <c r="AH11" s="135">
        <f>SUMIFS(Grid_BD!$Q:$Q,Grid_BD!$F:$F,(VLOOKUP(AH$4,'Basic Data'!$A:$G,7,0)),Grid_BD!$B:$B,"&gt;="&amp;Analytices!$B$2,Grid_BD!$B:$B,"&lt;="&amp;Analytices!$B$3)</f>
        <v>0</v>
      </c>
      <c r="AI11" s="135">
        <f>SUMIFS(Grid_BD!$Q:$Q,Grid_BD!$F:$F,(VLOOKUP(AI$4,'Basic Data'!$A:$G,7,0)),Grid_BD!$B:$B,"&gt;="&amp;Analytices!$B$2,Grid_BD!$B:$B,"&lt;="&amp;Analytices!$B$3)</f>
        <v>0</v>
      </c>
      <c r="AJ11" s="135">
        <f>SUMIFS(Grid_BD!$Q:$Q,Grid_BD!$F:$F,(VLOOKUP(AJ$4,'Basic Data'!$A:$G,7,0)),Grid_BD!$B:$B,"&gt;="&amp;Analytices!$B$2,Grid_BD!$B:$B,"&lt;="&amp;Analytices!$B$3)</f>
        <v>0</v>
      </c>
      <c r="AK11" s="135">
        <f>SUMIFS(Grid_BD!$Q:$Q,Grid_BD!$F:$F,(VLOOKUP(AK$4,'Basic Data'!$A:$G,7,0)),Grid_BD!$B:$B,"&gt;="&amp;Analytices!$B$2,Grid_BD!$B:$B,"&lt;="&amp;Analytices!$B$3)</f>
        <v>0</v>
      </c>
      <c r="AL11" s="135">
        <f>SUMIFS(Grid_BD!$Q:$Q,Grid_BD!$F:$F,(VLOOKUP(AL$4,'Basic Data'!$A:$G,7,0)),Grid_BD!$B:$B,"&gt;="&amp;Analytices!$B$2,Grid_BD!$B:$B,"&lt;="&amp;Analytices!$B$3)</f>
        <v>0</v>
      </c>
      <c r="AM11" s="135">
        <f>SUMIFS(Grid_BD!$Q:$Q,Grid_BD!$F:$F,(VLOOKUP(AM$4,'Basic Data'!$A:$G,7,0)),Grid_BD!$B:$B,"&gt;="&amp;Analytices!$B$2,Grid_BD!$B:$B,"&lt;="&amp;Analytices!$B$3)</f>
        <v>0</v>
      </c>
      <c r="AN11" s="135">
        <f>SUMIFS(Grid_BD!$Q:$Q,Grid_BD!$F:$F,(VLOOKUP(AN$4,'Basic Data'!$A:$G,7,0)),Grid_BD!$B:$B,"&gt;="&amp;Analytices!$B$2,Grid_BD!$B:$B,"&lt;="&amp;Analytices!$B$3)</f>
        <v>0</v>
      </c>
    </row>
    <row r="12" spans="1:40" ht="29.1" hidden="1" customHeight="1">
      <c r="A12" s="126" t="s">
        <v>161</v>
      </c>
      <c r="B12" s="135"/>
      <c r="C12" s="135"/>
      <c r="D12" s="135"/>
      <c r="E12" s="135"/>
      <c r="F12" s="135"/>
      <c r="G12" s="135"/>
      <c r="H12" s="135"/>
      <c r="I12" s="135"/>
      <c r="J12" s="135"/>
      <c r="K12" s="135"/>
      <c r="L12" s="135"/>
      <c r="M12" s="135"/>
      <c r="N12" s="135"/>
      <c r="O12" s="135"/>
      <c r="P12" s="135"/>
      <c r="Q12" s="135"/>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row>
    <row r="13" spans="1:40" ht="29.1" customHeight="1">
      <c r="A13" s="125" t="s">
        <v>162</v>
      </c>
      <c r="B13" s="136">
        <f>(C3-B14)/C3</f>
        <v>1</v>
      </c>
      <c r="C13" s="136">
        <f t="shared" ref="C13:AN13" si="2">$B$13</f>
        <v>1</v>
      </c>
      <c r="D13" s="136">
        <f t="shared" si="2"/>
        <v>1</v>
      </c>
      <c r="E13" s="137">
        <f t="shared" si="2"/>
        <v>1</v>
      </c>
      <c r="F13" s="137">
        <f t="shared" si="2"/>
        <v>1</v>
      </c>
      <c r="G13" s="137">
        <f t="shared" si="2"/>
        <v>1</v>
      </c>
      <c r="H13" s="137">
        <f t="shared" si="2"/>
        <v>1</v>
      </c>
      <c r="I13" s="137">
        <f t="shared" si="2"/>
        <v>1</v>
      </c>
      <c r="J13" s="137">
        <f t="shared" si="2"/>
        <v>1</v>
      </c>
      <c r="K13" s="137">
        <f t="shared" si="2"/>
        <v>1</v>
      </c>
      <c r="L13" s="137">
        <f t="shared" si="2"/>
        <v>1</v>
      </c>
      <c r="M13" s="137">
        <f t="shared" si="2"/>
        <v>1</v>
      </c>
      <c r="N13" s="137">
        <f t="shared" si="2"/>
        <v>1</v>
      </c>
      <c r="O13" s="137">
        <f t="shared" si="2"/>
        <v>1</v>
      </c>
      <c r="P13" s="137">
        <f t="shared" si="2"/>
        <v>1</v>
      </c>
      <c r="Q13" s="137">
        <f t="shared" si="2"/>
        <v>1</v>
      </c>
      <c r="R13" s="137">
        <f t="shared" si="2"/>
        <v>1</v>
      </c>
      <c r="S13" s="137">
        <f t="shared" si="2"/>
        <v>1</v>
      </c>
      <c r="T13" s="137">
        <f t="shared" si="2"/>
        <v>1</v>
      </c>
      <c r="U13" s="137">
        <f t="shared" si="2"/>
        <v>1</v>
      </c>
      <c r="V13" s="137">
        <f t="shared" si="2"/>
        <v>1</v>
      </c>
      <c r="W13" s="137">
        <f t="shared" si="2"/>
        <v>1</v>
      </c>
      <c r="X13" s="137">
        <f t="shared" si="2"/>
        <v>1</v>
      </c>
      <c r="Y13" s="137">
        <f t="shared" si="2"/>
        <v>1</v>
      </c>
      <c r="Z13" s="137">
        <f t="shared" si="2"/>
        <v>1</v>
      </c>
      <c r="AA13" s="137">
        <f t="shared" si="2"/>
        <v>1</v>
      </c>
      <c r="AB13" s="137">
        <f t="shared" si="2"/>
        <v>1</v>
      </c>
      <c r="AC13" s="137">
        <f t="shared" si="2"/>
        <v>1</v>
      </c>
      <c r="AD13" s="137">
        <f t="shared" si="2"/>
        <v>1</v>
      </c>
      <c r="AE13" s="137">
        <f t="shared" si="2"/>
        <v>1</v>
      </c>
      <c r="AF13" s="137">
        <f t="shared" si="2"/>
        <v>1</v>
      </c>
      <c r="AG13" s="137">
        <f t="shared" si="2"/>
        <v>1</v>
      </c>
      <c r="AH13" s="137">
        <f t="shared" si="2"/>
        <v>1</v>
      </c>
      <c r="AI13" s="137">
        <f t="shared" si="2"/>
        <v>1</v>
      </c>
      <c r="AJ13" s="137">
        <f t="shared" si="2"/>
        <v>1</v>
      </c>
      <c r="AK13" s="137">
        <f t="shared" si="2"/>
        <v>1</v>
      </c>
      <c r="AL13" s="137">
        <f t="shared" si="2"/>
        <v>1</v>
      </c>
      <c r="AM13" s="137">
        <f t="shared" si="2"/>
        <v>1</v>
      </c>
      <c r="AN13" s="137">
        <f t="shared" si="2"/>
        <v>1</v>
      </c>
    </row>
    <row r="14" spans="1:40" ht="29.1" hidden="1" customHeight="1">
      <c r="A14" s="126" t="s">
        <v>163</v>
      </c>
      <c r="B14" s="135">
        <f>(SUMIFS(Grid_BD!Q:Q,Grid_BD!B:B,"&gt;="&amp;Analytices!B2,Grid_BD!B:B,"&lt;="&amp;Analytices!B3,Grid_BD!G:G,"Line1"))</f>
        <v>0</v>
      </c>
      <c r="C14" s="135">
        <f>$B$14</f>
        <v>0</v>
      </c>
      <c r="D14" s="135">
        <f t="shared" ref="D14:AN14" si="3">$B$14</f>
        <v>0</v>
      </c>
      <c r="E14" s="135">
        <f t="shared" si="3"/>
        <v>0</v>
      </c>
      <c r="F14" s="135">
        <f t="shared" si="3"/>
        <v>0</v>
      </c>
      <c r="G14" s="135">
        <f t="shared" si="3"/>
        <v>0</v>
      </c>
      <c r="H14" s="135">
        <f t="shared" si="3"/>
        <v>0</v>
      </c>
      <c r="I14" s="135">
        <f t="shared" si="3"/>
        <v>0</v>
      </c>
      <c r="J14" s="135">
        <f t="shared" si="3"/>
        <v>0</v>
      </c>
      <c r="K14" s="135">
        <f t="shared" si="3"/>
        <v>0</v>
      </c>
      <c r="L14" s="135">
        <f t="shared" si="3"/>
        <v>0</v>
      </c>
      <c r="M14" s="135">
        <f t="shared" si="3"/>
        <v>0</v>
      </c>
      <c r="N14" s="135">
        <f t="shared" si="3"/>
        <v>0</v>
      </c>
      <c r="O14" s="135">
        <f t="shared" si="3"/>
        <v>0</v>
      </c>
      <c r="P14" s="135">
        <f t="shared" si="3"/>
        <v>0</v>
      </c>
      <c r="Q14" s="135">
        <f t="shared" si="3"/>
        <v>0</v>
      </c>
      <c r="R14" s="135">
        <f t="shared" si="3"/>
        <v>0</v>
      </c>
      <c r="S14" s="135">
        <f t="shared" si="3"/>
        <v>0</v>
      </c>
      <c r="T14" s="135">
        <f t="shared" si="3"/>
        <v>0</v>
      </c>
      <c r="U14" s="135">
        <f t="shared" si="3"/>
        <v>0</v>
      </c>
      <c r="V14" s="135">
        <f t="shared" si="3"/>
        <v>0</v>
      </c>
      <c r="W14" s="135">
        <f t="shared" si="3"/>
        <v>0</v>
      </c>
      <c r="X14" s="135">
        <f t="shared" si="3"/>
        <v>0</v>
      </c>
      <c r="Y14" s="135">
        <f t="shared" si="3"/>
        <v>0</v>
      </c>
      <c r="Z14" s="135">
        <f t="shared" si="3"/>
        <v>0</v>
      </c>
      <c r="AA14" s="135">
        <f t="shared" si="3"/>
        <v>0</v>
      </c>
      <c r="AB14" s="135">
        <f t="shared" si="3"/>
        <v>0</v>
      </c>
      <c r="AC14" s="135">
        <f t="shared" si="3"/>
        <v>0</v>
      </c>
      <c r="AD14" s="135">
        <f t="shared" si="3"/>
        <v>0</v>
      </c>
      <c r="AE14" s="135">
        <f t="shared" si="3"/>
        <v>0</v>
      </c>
      <c r="AF14" s="135">
        <f t="shared" si="3"/>
        <v>0</v>
      </c>
      <c r="AG14" s="135">
        <f t="shared" si="3"/>
        <v>0</v>
      </c>
      <c r="AH14" s="135">
        <f t="shared" si="3"/>
        <v>0</v>
      </c>
      <c r="AI14" s="135">
        <f t="shared" si="3"/>
        <v>0</v>
      </c>
      <c r="AJ14" s="135">
        <f t="shared" si="3"/>
        <v>0</v>
      </c>
      <c r="AK14" s="135">
        <f t="shared" si="3"/>
        <v>0</v>
      </c>
      <c r="AL14" s="135">
        <f t="shared" si="3"/>
        <v>0</v>
      </c>
      <c r="AM14" s="135">
        <f t="shared" si="3"/>
        <v>0</v>
      </c>
      <c r="AN14" s="135">
        <f t="shared" si="3"/>
        <v>0</v>
      </c>
    </row>
    <row r="15" spans="1:40" ht="29.1" customHeight="1">
      <c r="A15" s="125" t="s">
        <v>164</v>
      </c>
      <c r="B15" s="135">
        <f>SUMIFS(Input_Raw!F:F,Input_Raw!$A:$A,"&gt;="&amp;Analytices!$B$2,Input_Raw!$A:$A,"&lt;="&amp;Analytices!$B$3)</f>
        <v>12983</v>
      </c>
      <c r="C15" s="135">
        <f>SUMIFS(Input_Raw!G:G,Input_Raw!$A:$A,"&gt;="&amp;Analytices!$B$2,Input_Raw!$A:$A,"&lt;="&amp;Analytices!$B$3)</f>
        <v>14968</v>
      </c>
      <c r="D15" s="135">
        <f>SUMIFS(Input_Raw!H:H,Input_Raw!$A:$A,"&gt;="&amp;Analytices!$B$2,Input_Raw!$A:$A,"&lt;="&amp;Analytices!$B$3)</f>
        <v>14951</v>
      </c>
      <c r="E15" s="135">
        <f>SUMIFS(Input_Raw!I:I,Input_Raw!$A:$A,"&gt;="&amp;Analytices!$B$2,Input_Raw!$A:$A,"&lt;="&amp;Analytices!$B$3)</f>
        <v>14966</v>
      </c>
      <c r="F15" s="135">
        <f>SUMIFS(Input_Raw!J:J,Input_Raw!$A:$A,"&gt;="&amp;Analytices!$B$2,Input_Raw!$A:$A,"&lt;="&amp;Analytices!$B$3)</f>
        <v>9811</v>
      </c>
      <c r="G15" s="135">
        <f>SUMIFS(Input_Raw!K:K,Input_Raw!$A:$A,"&gt;="&amp;Analytices!$B$2,Input_Raw!$A:$A,"&lt;="&amp;Analytices!$B$3)</f>
        <v>14959</v>
      </c>
      <c r="H15" s="135">
        <f>SUMIFS(Input_Raw!L:L,Input_Raw!$A:$A,"&gt;="&amp;Analytices!$B$2,Input_Raw!$A:$A,"&lt;="&amp;Analytices!$B$3)</f>
        <v>14931</v>
      </c>
      <c r="I15" s="135">
        <f>SUMIFS(Input_Raw!M:M,Input_Raw!$A:$A,"&gt;="&amp;Analytices!$B$2,Input_Raw!$A:$A,"&lt;="&amp;Analytices!$B$3)</f>
        <v>14967</v>
      </c>
      <c r="J15" s="135">
        <f>SUMIFS(Input_Raw!N:N,Input_Raw!$A:$A,"&gt;="&amp;Analytices!$B$2,Input_Raw!$A:$A,"&lt;="&amp;Analytices!$B$3)</f>
        <v>12731</v>
      </c>
      <c r="K15" s="135">
        <f>SUMIFS(Input_Raw!O:O,Input_Raw!$A:$A,"&gt;="&amp;Analytices!$B$2,Input_Raw!$A:$A,"&lt;="&amp;Analytices!$B$3)</f>
        <v>14972</v>
      </c>
      <c r="L15" s="135">
        <f>SUMIFS(Input_Raw!P:P,Input_Raw!$A:$A,"&gt;="&amp;Analytices!$B$2,Input_Raw!$A:$A,"&lt;="&amp;Analytices!$B$3)</f>
        <v>14981</v>
      </c>
      <c r="M15" s="135">
        <f>SUMIFS(Input_Raw!Q:Q,Input_Raw!$A:$A,"&gt;="&amp;Analytices!$B$2,Input_Raw!$A:$A,"&lt;="&amp;Analytices!$B$3)</f>
        <v>12735</v>
      </c>
      <c r="N15" s="135">
        <f>SUMIFS(Input_Raw!R:R,Input_Raw!$A:$A,"&gt;="&amp;Analytices!$B$2,Input_Raw!$A:$A,"&lt;="&amp;Analytices!$B$3)</f>
        <v>12738</v>
      </c>
      <c r="O15" s="135">
        <f>SUMIFS(Input_Raw!S:S,Input_Raw!$A:$A,"&gt;="&amp;Analytices!$B$2,Input_Raw!$A:$A,"&lt;="&amp;Analytices!$B$3)</f>
        <v>12741</v>
      </c>
      <c r="P15" s="135">
        <f>SUMIFS(Input_Raw!T:T,Input_Raw!$A:$A,"&gt;="&amp;Analytices!$B$2,Input_Raw!$A:$A,"&lt;="&amp;Analytices!$B$3)</f>
        <v>12762</v>
      </c>
      <c r="Q15" s="135">
        <f>SUMIFS(Input_Raw!U:U,Input_Raw!$A:$A,"&gt;="&amp;Analytices!$B$2,Input_Raw!$A:$A,"&lt;="&amp;Analytices!$B$3)</f>
        <v>12758</v>
      </c>
      <c r="R15" s="135">
        <f>SUMIFS(Input_Raw!V:V,Input_Raw!$A:$A,"&gt;="&amp;Analytices!$B$2,Input_Raw!$A:$A,"&lt;="&amp;Analytices!$B$3)</f>
        <v>12764</v>
      </c>
      <c r="S15" s="135">
        <f>SUMIFS(Input_Raw!W:W,Input_Raw!$A:$A,"&gt;="&amp;Analytices!$B$2,Input_Raw!$A:$A,"&lt;="&amp;Analytices!$B$3)</f>
        <v>12760</v>
      </c>
      <c r="T15" s="135">
        <f>SUMIFS(Input_Raw!X:X,Input_Raw!$A:$A,"&gt;="&amp;Analytices!$B$2,Input_Raw!$A:$A,"&lt;="&amp;Analytices!$B$3)</f>
        <v>12772</v>
      </c>
      <c r="U15" s="135">
        <f>SUMIFS(Input_Raw!Y:Y,Input_Raw!$A:$A,"&gt;="&amp;Analytices!$B$2,Input_Raw!$A:$A,"&lt;="&amp;Analytices!$B$3)</f>
        <v>12775</v>
      </c>
      <c r="V15" s="135">
        <f>SUMIFS(Input_Raw!Z:Z,Input_Raw!$A:$A,"&gt;="&amp;Analytices!$B$2,Input_Raw!$A:$A,"&lt;="&amp;Analytices!$B$3)</f>
        <v>9837</v>
      </c>
      <c r="W15" s="135">
        <f>SUMIFS(Input_Raw!AA:AA,Input_Raw!$A:$A,"&gt;="&amp;Analytices!$B$2,Input_Raw!$A:$A,"&lt;="&amp;Analytices!$B$3)</f>
        <v>9831</v>
      </c>
      <c r="X15" s="135">
        <f>SUMIFS(Input_Raw!AB:AB,Input_Raw!$A:$A,"&gt;="&amp;Analytices!$B$2,Input_Raw!$A:$A,"&lt;="&amp;Analytices!$B$3)</f>
        <v>9828</v>
      </c>
      <c r="Y15" s="135">
        <f>SUMIFS(Input_Raw!AC:AC,Input_Raw!$A:$A,"&gt;="&amp;Analytices!$B$2,Input_Raw!$A:$A,"&lt;="&amp;Analytices!$B$3)</f>
        <v>9855</v>
      </c>
      <c r="Z15" s="135">
        <f>SUMIFS(Input_Raw!AD:AD,Input_Raw!$A:$A,"&gt;="&amp;Analytices!$B$2,Input_Raw!$A:$A,"&lt;="&amp;Analytices!$B$3)</f>
        <v>8970</v>
      </c>
      <c r="AA15" s="135">
        <f>SUMIFS(Input_Raw!AE:AE,Input_Raw!$A:$A,"&gt;="&amp;Analytices!$B$2,Input_Raw!$A:$A,"&lt;="&amp;Analytices!$B$3)</f>
        <v>9850</v>
      </c>
      <c r="AB15" s="135">
        <f>SUMIFS(Input_Raw!AF:AF,Input_Raw!$A:$A,"&gt;="&amp;Analytices!$B$2,Input_Raw!$A:$A,"&lt;="&amp;Analytices!$B$3)</f>
        <v>9862</v>
      </c>
      <c r="AC15" s="135">
        <f>SUMIFS(Input_Raw!AG:AG,Input_Raw!$A:$A,"&gt;="&amp;Analytices!$B$2,Input_Raw!$A:$A,"&lt;="&amp;Analytices!$B$3)</f>
        <v>0</v>
      </c>
      <c r="AD15" s="135">
        <f>SUMIFS(Input_Raw!AH:AH,Input_Raw!$A:$A,"&gt;="&amp;Analytices!$B$2,Input_Raw!$A:$A,"&lt;="&amp;Analytices!$B$3)</f>
        <v>9868</v>
      </c>
      <c r="AE15" s="135">
        <f>SUMIFS(Input_Raw!AI:AI,Input_Raw!$A:$A,"&gt;="&amp;Analytices!$B$2,Input_Raw!$A:$A,"&lt;="&amp;Analytices!$B$3)</f>
        <v>0</v>
      </c>
      <c r="AF15" s="135">
        <f>SUMIFS(Input_Raw!AJ:AJ,Input_Raw!$A:$A,"&gt;="&amp;Analytices!$B$2,Input_Raw!$A:$A,"&lt;="&amp;Analytices!$B$3)</f>
        <v>8985</v>
      </c>
      <c r="AG15" s="135">
        <f>SUMIFS(Input_Raw!AK:AK,Input_Raw!$A:$A,"&gt;="&amp;Analytices!$B$2,Input_Raw!$A:$A,"&lt;="&amp;Analytices!$B$3)</f>
        <v>8957</v>
      </c>
      <c r="AH15" s="135">
        <f>SUMIFS(Input_Raw!AL:AL,Input_Raw!$A:$A,"&gt;="&amp;Analytices!$B$2,Input_Raw!$A:$A,"&lt;="&amp;Analytices!$B$3)</f>
        <v>8958</v>
      </c>
      <c r="AI15" s="135">
        <f>SUMIFS(Input_Raw!AM:AM,Input_Raw!$A:$A,"&gt;="&amp;Analytices!$B$2,Input_Raw!$A:$A,"&lt;="&amp;Analytices!$B$3)</f>
        <v>8951</v>
      </c>
      <c r="AJ15" s="135">
        <f>SUMIFS(Input_Raw!AN:AN,Input_Raw!$A:$A,"&gt;="&amp;Analytices!$B$2,Input_Raw!$A:$A,"&lt;="&amp;Analytices!$B$3)</f>
        <v>8962</v>
      </c>
      <c r="AK15" s="135">
        <f>SUMIFS(Input_Raw!AO:AO,Input_Raw!$A:$A,"&gt;="&amp;Analytices!$B$2,Input_Raw!$A:$A,"&lt;="&amp;Analytices!$B$3)</f>
        <v>8959</v>
      </c>
      <c r="AL15" s="135">
        <f>SUMIFS(Input_Raw!AP:AP,Input_Raw!$A:$A,"&gt;="&amp;Analytices!$B$2,Input_Raw!$A:$A,"&lt;="&amp;Analytices!$B$3)</f>
        <v>8948</v>
      </c>
      <c r="AM15" s="135">
        <f>SUMIFS(Input_Raw!AQ:AQ,Input_Raw!$A:$A,"&gt;="&amp;Analytices!$B$2,Input_Raw!$A:$A,"&lt;="&amp;Analytices!$B$3)</f>
        <v>8964</v>
      </c>
      <c r="AN15" s="135">
        <f>SUMIFS(Input_Raw!AR:AR,Input_Raw!$A:$A,"&gt;="&amp;Analytices!$B$2,Input_Raw!$A:$A,"&lt;="&amp;Analytices!$B$3)</f>
        <v>8969</v>
      </c>
    </row>
    <row r="16" spans="1:40" ht="29.1" customHeight="1">
      <c r="A16" s="125" t="s">
        <v>165</v>
      </c>
      <c r="B16" s="132">
        <f>IFERROR(($C$3-(SUM(B8:B12,B14,B6)))/$C$3,1)</f>
        <v>0.69374999999999998</v>
      </c>
      <c r="C16" s="132">
        <f t="shared" ref="C16:AN16" si="4">IFERROR(($C$3-(SUM(C8:C12,C14,C6)))/$C$3,1)</f>
        <v>1</v>
      </c>
      <c r="D16" s="132">
        <f t="shared" si="4"/>
        <v>1</v>
      </c>
      <c r="E16" s="132">
        <f t="shared" si="4"/>
        <v>1</v>
      </c>
      <c r="F16" s="132">
        <f t="shared" si="4"/>
        <v>1</v>
      </c>
      <c r="G16" s="132">
        <f t="shared" si="4"/>
        <v>1</v>
      </c>
      <c r="H16" s="132">
        <f t="shared" si="4"/>
        <v>1</v>
      </c>
      <c r="I16" s="132">
        <f t="shared" si="4"/>
        <v>1</v>
      </c>
      <c r="J16" s="132">
        <f t="shared" si="4"/>
        <v>1</v>
      </c>
      <c r="K16" s="132">
        <f t="shared" si="4"/>
        <v>1</v>
      </c>
      <c r="L16" s="132">
        <f t="shared" si="4"/>
        <v>1</v>
      </c>
      <c r="M16" s="132">
        <f t="shared" si="4"/>
        <v>0.94444444444444431</v>
      </c>
      <c r="N16" s="132">
        <f t="shared" si="4"/>
        <v>1</v>
      </c>
      <c r="O16" s="132">
        <f t="shared" si="4"/>
        <v>1</v>
      </c>
      <c r="P16" s="132">
        <f t="shared" si="4"/>
        <v>1</v>
      </c>
      <c r="Q16" s="132">
        <f t="shared" si="4"/>
        <v>1</v>
      </c>
      <c r="R16" s="132">
        <f t="shared" si="4"/>
        <v>1</v>
      </c>
      <c r="S16" s="132">
        <f t="shared" si="4"/>
        <v>1</v>
      </c>
      <c r="T16" s="132">
        <f t="shared" si="4"/>
        <v>1</v>
      </c>
      <c r="U16" s="132">
        <f t="shared" si="4"/>
        <v>1</v>
      </c>
      <c r="V16" s="132">
        <f t="shared" si="4"/>
        <v>1</v>
      </c>
      <c r="W16" s="132">
        <f t="shared" si="4"/>
        <v>1</v>
      </c>
      <c r="X16" s="132">
        <f t="shared" si="4"/>
        <v>1</v>
      </c>
      <c r="Y16" s="132">
        <f t="shared" si="4"/>
        <v>1</v>
      </c>
      <c r="Z16" s="132">
        <f t="shared" si="4"/>
        <v>1</v>
      </c>
      <c r="AA16" s="132">
        <f t="shared" si="4"/>
        <v>1</v>
      </c>
      <c r="AB16" s="132">
        <f t="shared" si="4"/>
        <v>1</v>
      </c>
      <c r="AC16" s="132">
        <f t="shared" si="4"/>
        <v>1.157407407396486E-5</v>
      </c>
      <c r="AD16" s="132">
        <f t="shared" si="4"/>
        <v>1</v>
      </c>
      <c r="AE16" s="132">
        <f t="shared" si="4"/>
        <v>1.157407407396486E-5</v>
      </c>
      <c r="AF16" s="132">
        <f t="shared" si="4"/>
        <v>1</v>
      </c>
      <c r="AG16" s="132">
        <f t="shared" si="4"/>
        <v>1</v>
      </c>
      <c r="AH16" s="132">
        <f t="shared" si="4"/>
        <v>1</v>
      </c>
      <c r="AI16" s="132">
        <f t="shared" si="4"/>
        <v>1</v>
      </c>
      <c r="AJ16" s="132">
        <f t="shared" si="4"/>
        <v>1</v>
      </c>
      <c r="AK16" s="132">
        <f t="shared" si="4"/>
        <v>1</v>
      </c>
      <c r="AL16" s="132">
        <f t="shared" si="4"/>
        <v>1</v>
      </c>
      <c r="AM16" s="132">
        <f t="shared" si="4"/>
        <v>1</v>
      </c>
      <c r="AN16" s="132">
        <f t="shared" si="4"/>
        <v>0.96736111111111101</v>
      </c>
    </row>
    <row r="17" spans="1:40" ht="29.1" hidden="1" customHeight="1">
      <c r="A17" s="126" t="s">
        <v>166</v>
      </c>
      <c r="B17" s="133">
        <f>SUMIFS(WTG_BD!$S:$S,WTG_BD!$B:$B,"&gt;="&amp;Analytices!$B$2,WTG_BD!$B:$B,"&lt;="&amp;Analytices!$B$3,WTG_BD!$G:$G,B4)</f>
        <v>7.35</v>
      </c>
      <c r="C17" s="133">
        <f>SUMIFS(WTG_BD!$S:$S,WTG_BD!$B:$B,"&gt;="&amp;Analytices!$B$2,WTG_BD!$B:$B,"&lt;="&amp;Analytices!$B$3,WTG_BD!$G:$G,C4)</f>
        <v>0</v>
      </c>
      <c r="D17" s="133">
        <f>SUMIFS(WTG_BD!$S:$S,WTG_BD!$B:$B,"&gt;="&amp;Analytices!$B$2,WTG_BD!$B:$B,"&lt;="&amp;Analytices!$B$3,WTG_BD!$G:$G,D4)</f>
        <v>0</v>
      </c>
      <c r="E17" s="133">
        <f>SUMIFS(WTG_BD!$S:$S,WTG_BD!$B:$B,"&gt;="&amp;Analytices!$B$2,WTG_BD!$B:$B,"&lt;="&amp;Analytices!$B$3,WTG_BD!$G:$G,E4)</f>
        <v>0</v>
      </c>
      <c r="F17" s="133">
        <f>SUMIFS(WTG_BD!$S:$S,WTG_BD!$B:$B,"&gt;="&amp;Analytices!$B$2,WTG_BD!$B:$B,"&lt;="&amp;Analytices!$B$3,WTG_BD!$G:$G,F4)</f>
        <v>0</v>
      </c>
      <c r="G17" s="133">
        <f>SUMIFS(WTG_BD!$S:$S,WTG_BD!$B:$B,"&gt;="&amp;Analytices!$B$2,WTG_BD!$B:$B,"&lt;="&amp;Analytices!$B$3,WTG_BD!$G:$G,G4)</f>
        <v>0</v>
      </c>
      <c r="H17" s="133">
        <f>SUMIFS(WTG_BD!$S:$S,WTG_BD!$B:$B,"&gt;="&amp;Analytices!$B$2,WTG_BD!$B:$B,"&lt;="&amp;Analytices!$B$3,WTG_BD!$G:$G,H4)</f>
        <v>0</v>
      </c>
      <c r="I17" s="133">
        <f>SUMIFS(WTG_BD!$S:$S,WTG_BD!$B:$B,"&gt;="&amp;Analytices!$B$2,WTG_BD!$B:$B,"&lt;="&amp;Analytices!$B$3,WTG_BD!$G:$G,I4)</f>
        <v>0</v>
      </c>
      <c r="J17" s="133">
        <f>SUMIFS(WTG_BD!$S:$S,WTG_BD!$B:$B,"&gt;="&amp;Analytices!$B$2,WTG_BD!$B:$B,"&lt;="&amp;Analytices!$B$3,WTG_BD!$G:$G,J4)</f>
        <v>0</v>
      </c>
      <c r="K17" s="133">
        <f>SUMIFS(WTG_BD!$S:$S,WTG_BD!$B:$B,"&gt;="&amp;Analytices!$B$2,WTG_BD!$B:$B,"&lt;="&amp;Analytices!$B$3,WTG_BD!$G:$G,K4)</f>
        <v>0</v>
      </c>
      <c r="L17" s="133">
        <f>SUMIFS(WTG_BD!$S:$S,WTG_BD!$B:$B,"&gt;="&amp;Analytices!$B$2,WTG_BD!$B:$B,"&lt;="&amp;Analytices!$B$3,WTG_BD!$G:$G,L4)</f>
        <v>0</v>
      </c>
      <c r="M17" s="133">
        <f>SUMIFS(WTG_BD!$S:$S,WTG_BD!$B:$B,"&gt;="&amp;Analytices!$B$2,WTG_BD!$B:$B,"&lt;="&amp;Analytices!$B$3,WTG_BD!$G:$G,M4)</f>
        <v>1.3333333333333339</v>
      </c>
      <c r="N17" s="133">
        <f>SUMIFS(WTG_BD!$S:$S,WTG_BD!$B:$B,"&gt;="&amp;Analytices!$B$2,WTG_BD!$B:$B,"&lt;="&amp;Analytices!$B$3,WTG_BD!$G:$G,N4)</f>
        <v>0</v>
      </c>
      <c r="O17" s="133">
        <f>SUMIFS(WTG_BD!$S:$S,WTG_BD!$B:$B,"&gt;="&amp;Analytices!$B$2,WTG_BD!$B:$B,"&lt;="&amp;Analytices!$B$3,WTG_BD!$G:$G,O4)</f>
        <v>0</v>
      </c>
      <c r="P17" s="133">
        <f>SUMIFS(WTG_BD!$S:$S,WTG_BD!$B:$B,"&gt;="&amp;Analytices!$B$2,WTG_BD!$B:$B,"&lt;="&amp;Analytices!$B$3,WTG_BD!$G:$G,P4)</f>
        <v>0</v>
      </c>
      <c r="Q17" s="133">
        <f>SUMIFS(WTG_BD!$S:$S,WTG_BD!$B:$B,"&gt;="&amp;Analytices!$B$2,WTG_BD!$B:$B,"&lt;="&amp;Analytices!$B$3,WTG_BD!$G:$G,Q4)</f>
        <v>0</v>
      </c>
      <c r="R17" s="133">
        <f>SUMIFS(WTG_BD!$S:$S,WTG_BD!$B:$B,"&gt;="&amp;Analytices!$B$2,WTG_BD!$B:$B,"&lt;="&amp;Analytices!$B$3,WTG_BD!$G:$G,R4)</f>
        <v>0</v>
      </c>
      <c r="S17" s="133">
        <f>SUMIFS(WTG_BD!$S:$S,WTG_BD!$B:$B,"&gt;="&amp;Analytices!$B$2,WTG_BD!$B:$B,"&lt;="&amp;Analytices!$B$3,WTG_BD!$G:$G,S4)</f>
        <v>0</v>
      </c>
      <c r="T17" s="133">
        <f>SUMIFS(WTG_BD!$S:$S,WTG_BD!$B:$B,"&gt;="&amp;Analytices!$B$2,WTG_BD!$B:$B,"&lt;="&amp;Analytices!$B$3,WTG_BD!$G:$G,T4)</f>
        <v>0</v>
      </c>
      <c r="U17" s="133">
        <f>SUMIFS(WTG_BD!$S:$S,WTG_BD!$B:$B,"&gt;="&amp;Analytices!$B$2,WTG_BD!$B:$B,"&lt;="&amp;Analytices!$B$3,WTG_BD!$G:$G,U4)</f>
        <v>0</v>
      </c>
      <c r="V17" s="133">
        <f>SUMIFS(WTG_BD!$S:$S,WTG_BD!$B:$B,"&gt;="&amp;Analytices!$B$2,WTG_BD!$B:$B,"&lt;="&amp;Analytices!$B$3,WTG_BD!$G:$G,V4)</f>
        <v>0</v>
      </c>
      <c r="W17" s="133">
        <f>SUMIFS(WTG_BD!$S:$S,WTG_BD!$B:$B,"&gt;="&amp;Analytices!$B$2,WTG_BD!$B:$B,"&lt;="&amp;Analytices!$B$3,WTG_BD!$G:$G,W4)</f>
        <v>0</v>
      </c>
      <c r="X17" s="133">
        <f>SUMIFS(WTG_BD!$S:$S,WTG_BD!$B:$B,"&gt;="&amp;Analytices!$B$2,WTG_BD!$B:$B,"&lt;="&amp;Analytices!$B$3,WTG_BD!$G:$G,X4)</f>
        <v>0</v>
      </c>
      <c r="Y17" s="133">
        <f>SUMIFS(WTG_BD!$S:$S,WTG_BD!$B:$B,"&gt;="&amp;Analytices!$B$2,WTG_BD!$B:$B,"&lt;="&amp;Analytices!$B$3,WTG_BD!$G:$G,Y4)</f>
        <v>0</v>
      </c>
      <c r="Z17" s="133">
        <f>SUMIFS(WTG_BD!$S:$S,WTG_BD!$B:$B,"&gt;="&amp;Analytices!$B$2,WTG_BD!$B:$B,"&lt;="&amp;Analytices!$B$3,WTG_BD!$G:$G,Z4)</f>
        <v>0</v>
      </c>
      <c r="AA17" s="133">
        <f>SUMIFS(WTG_BD!$S:$S,WTG_BD!$B:$B,"&gt;="&amp;Analytices!$B$2,WTG_BD!$B:$B,"&lt;="&amp;Analytices!$B$3,WTG_BD!$G:$G,AA4)</f>
        <v>0</v>
      </c>
      <c r="AB17" s="133">
        <f>SUMIFS(WTG_BD!$S:$S,WTG_BD!$B:$B,"&gt;="&amp;Analytices!$B$2,WTG_BD!$B:$B,"&lt;="&amp;Analytices!$B$3,WTG_BD!$G:$G,AB4)</f>
        <v>0</v>
      </c>
      <c r="AC17" s="133">
        <f>SUMIFS(WTG_BD!$S:$S,WTG_BD!$B:$B,"&gt;="&amp;Analytices!$B$2,WTG_BD!$B:$B,"&lt;="&amp;Analytices!$B$3,WTG_BD!$G:$G,AC4)</f>
        <v>23.999722222222225</v>
      </c>
      <c r="AD17" s="133">
        <f>SUMIFS(WTG_BD!$S:$S,WTG_BD!$B:$B,"&gt;="&amp;Analytices!$B$2,WTG_BD!$B:$B,"&lt;="&amp;Analytices!$B$3,WTG_BD!$G:$G,AD4)</f>
        <v>0</v>
      </c>
      <c r="AE17" s="133">
        <f>SUMIFS(WTG_BD!$S:$S,WTG_BD!$B:$B,"&gt;="&amp;Analytices!$B$2,WTG_BD!$B:$B,"&lt;="&amp;Analytices!$B$3,WTG_BD!$G:$G,AE4)</f>
        <v>23.999722222222225</v>
      </c>
      <c r="AF17" s="133">
        <f>SUMIFS(WTG_BD!$S:$S,WTG_BD!$B:$B,"&gt;="&amp;Analytices!$B$2,WTG_BD!$B:$B,"&lt;="&amp;Analytices!$B$3,WTG_BD!$G:$G,AF4)</f>
        <v>0</v>
      </c>
      <c r="AG17" s="133">
        <f>SUMIFS(WTG_BD!$S:$S,WTG_BD!$B:$B,"&gt;="&amp;Analytices!$B$2,WTG_BD!$B:$B,"&lt;="&amp;Analytices!$B$3,WTG_BD!$G:$G,AG4)</f>
        <v>0</v>
      </c>
      <c r="AH17" s="133">
        <f>SUMIFS(WTG_BD!$S:$S,WTG_BD!$B:$B,"&gt;="&amp;Analytices!$B$2,WTG_BD!$B:$B,"&lt;="&amp;Analytices!$B$3,WTG_BD!$G:$G,AH4)</f>
        <v>0</v>
      </c>
      <c r="AI17" s="133">
        <f>SUMIFS(WTG_BD!$S:$S,WTG_BD!$B:$B,"&gt;="&amp;Analytices!$B$2,WTG_BD!$B:$B,"&lt;="&amp;Analytices!$B$3,WTG_BD!$G:$G,AI4)</f>
        <v>0</v>
      </c>
      <c r="AJ17" s="133">
        <f>SUMIFS(WTG_BD!$S:$S,WTG_BD!$B:$B,"&gt;="&amp;Analytices!$B$2,WTG_BD!$B:$B,"&lt;="&amp;Analytices!$B$3,WTG_BD!$G:$G,AJ4)</f>
        <v>0</v>
      </c>
      <c r="AK17" s="133">
        <f>SUMIFS(WTG_BD!$S:$S,WTG_BD!$B:$B,"&gt;="&amp;Analytices!$B$2,WTG_BD!$B:$B,"&lt;="&amp;Analytices!$B$3,WTG_BD!$G:$G,AK4)</f>
        <v>0</v>
      </c>
      <c r="AL17" s="133">
        <f>SUMIFS(WTG_BD!$S:$S,WTG_BD!$B:$B,"&gt;="&amp;Analytices!$B$2,WTG_BD!$B:$B,"&lt;="&amp;Analytices!$B$3,WTG_BD!$G:$G,AL4)</f>
        <v>0</v>
      </c>
      <c r="AM17" s="133">
        <f>SUMIFS(WTG_BD!$S:$S,WTG_BD!$B:$B,"&gt;="&amp;Analytices!$B$2,WTG_BD!$B:$B,"&lt;="&amp;Analytices!$B$3,WTG_BD!$G:$G,AM4)</f>
        <v>0</v>
      </c>
      <c r="AN17" s="133">
        <f>SUMIFS(WTG_BD!$S:$S,WTG_BD!$B:$B,"&gt;="&amp;Analytices!$B$2,WTG_BD!$B:$B,"&lt;="&amp;Analytices!$B$3,WTG_BD!$G:$G,AN4)</f>
        <v>0.78333333333333455</v>
      </c>
    </row>
    <row r="18" spans="1:40" ht="29.1" hidden="1" customHeight="1">
      <c r="A18" s="126" t="s">
        <v>167</v>
      </c>
      <c r="B18" s="133">
        <f>COUNTIFS(WTG_BD!$B:$B,"&gt;="&amp;Analytices!$B$2,WTG_BD!$B:$B,"&lt;="&amp;Analytices!$B$3,WTG_BD!$G:$G,B4)</f>
        <v>1</v>
      </c>
      <c r="C18" s="133">
        <f>COUNTIFS(WTG_BD!$B:$B,"&gt;="&amp;Analytices!$B$2,WTG_BD!$B:$B,"&lt;="&amp;Analytices!$B$3,WTG_BD!$G:$G,C4)</f>
        <v>0</v>
      </c>
      <c r="D18" s="133">
        <f>COUNTIFS(WTG_BD!$B:$B,"&gt;="&amp;Analytices!$B$2,WTG_BD!$B:$B,"&lt;="&amp;Analytices!$B$3,WTG_BD!$G:$G,D4)</f>
        <v>0</v>
      </c>
      <c r="E18" s="133">
        <f>COUNTIFS(WTG_BD!$B:$B,"&gt;="&amp;Analytices!$B$2,WTG_BD!$B:$B,"&lt;="&amp;Analytices!$B$3,WTG_BD!$G:$G,E4)</f>
        <v>0</v>
      </c>
      <c r="F18" s="133">
        <f>COUNTIFS(WTG_BD!$B:$B,"&gt;="&amp;Analytices!$B$2,WTG_BD!$B:$B,"&lt;="&amp;Analytices!$B$3,WTG_BD!$G:$G,F4)</f>
        <v>0</v>
      </c>
      <c r="G18" s="133">
        <f>COUNTIFS(WTG_BD!$B:$B,"&gt;="&amp;Analytices!$B$2,WTG_BD!$B:$B,"&lt;="&amp;Analytices!$B$3,WTG_BD!$G:$G,G4)</f>
        <v>0</v>
      </c>
      <c r="H18" s="133">
        <f>COUNTIFS(WTG_BD!$B:$B,"&gt;="&amp;Analytices!$B$2,WTG_BD!$B:$B,"&lt;="&amp;Analytices!$B$3,WTG_BD!$G:$G,H4)</f>
        <v>0</v>
      </c>
      <c r="I18" s="133">
        <f>COUNTIFS(WTG_BD!$B:$B,"&gt;="&amp;Analytices!$B$2,WTG_BD!$B:$B,"&lt;="&amp;Analytices!$B$3,WTG_BD!$G:$G,I4)</f>
        <v>0</v>
      </c>
      <c r="J18" s="133">
        <f>COUNTIFS(WTG_BD!$B:$B,"&gt;="&amp;Analytices!$B$2,WTG_BD!$B:$B,"&lt;="&amp;Analytices!$B$3,WTG_BD!$G:$G,J4)</f>
        <v>0</v>
      </c>
      <c r="K18" s="133">
        <f>COUNTIFS(WTG_BD!$B:$B,"&gt;="&amp;Analytices!$B$2,WTG_BD!$B:$B,"&lt;="&amp;Analytices!$B$3,WTG_BD!$G:$G,K4)</f>
        <v>0</v>
      </c>
      <c r="L18" s="133">
        <f>COUNTIFS(WTG_BD!$B:$B,"&gt;="&amp;Analytices!$B$2,WTG_BD!$B:$B,"&lt;="&amp;Analytices!$B$3,WTG_BD!$G:$G,L4)</f>
        <v>0</v>
      </c>
      <c r="M18" s="133">
        <f>COUNTIFS(WTG_BD!$B:$B,"&gt;="&amp;Analytices!$B$2,WTG_BD!$B:$B,"&lt;="&amp;Analytices!$B$3,WTG_BD!$G:$G,M4)</f>
        <v>1</v>
      </c>
      <c r="N18" s="133">
        <f>COUNTIFS(WTG_BD!$B:$B,"&gt;="&amp;Analytices!$B$2,WTG_BD!$B:$B,"&lt;="&amp;Analytices!$B$3,WTG_BD!$G:$G,N4)</f>
        <v>0</v>
      </c>
      <c r="O18" s="133">
        <f>COUNTIFS(WTG_BD!$B:$B,"&gt;="&amp;Analytices!$B$2,WTG_BD!$B:$B,"&lt;="&amp;Analytices!$B$3,WTG_BD!$G:$G,O4)</f>
        <v>0</v>
      </c>
      <c r="P18" s="133">
        <f>COUNTIFS(WTG_BD!$B:$B,"&gt;="&amp;Analytices!$B$2,WTG_BD!$B:$B,"&lt;="&amp;Analytices!$B$3,WTG_BD!$G:$G,P4)</f>
        <v>0</v>
      </c>
      <c r="Q18" s="133">
        <f>COUNTIFS(WTG_BD!$B:$B,"&gt;="&amp;Analytices!$B$2,WTG_BD!$B:$B,"&lt;="&amp;Analytices!$B$3,WTG_BD!$G:$G,Q4)</f>
        <v>0</v>
      </c>
      <c r="R18" s="133">
        <f>COUNTIFS(WTG_BD!$B:$B,"&gt;="&amp;Analytices!$B$2,WTG_BD!$B:$B,"&lt;="&amp;Analytices!$B$3,WTG_BD!$G:$G,R4)</f>
        <v>0</v>
      </c>
      <c r="S18" s="133">
        <f>COUNTIFS(WTG_BD!$B:$B,"&gt;="&amp;Analytices!$B$2,WTG_BD!$B:$B,"&lt;="&amp;Analytices!$B$3,WTG_BD!$G:$G,S4)</f>
        <v>0</v>
      </c>
      <c r="T18" s="133">
        <f>COUNTIFS(WTG_BD!$B:$B,"&gt;="&amp;Analytices!$B$2,WTG_BD!$B:$B,"&lt;="&amp;Analytices!$B$3,WTG_BD!$G:$G,T4)</f>
        <v>0</v>
      </c>
      <c r="U18" s="133">
        <f>COUNTIFS(WTG_BD!$B:$B,"&gt;="&amp;Analytices!$B$2,WTG_BD!$B:$B,"&lt;="&amp;Analytices!$B$3,WTG_BD!$G:$G,U4)</f>
        <v>0</v>
      </c>
      <c r="V18" s="133">
        <f>COUNTIFS(WTG_BD!$B:$B,"&gt;="&amp;Analytices!$B$2,WTG_BD!$B:$B,"&lt;="&amp;Analytices!$B$3,WTG_BD!$G:$G,V4)</f>
        <v>0</v>
      </c>
      <c r="W18" s="133">
        <f>COUNTIFS(WTG_BD!$B:$B,"&gt;="&amp;Analytices!$B$2,WTG_BD!$B:$B,"&lt;="&amp;Analytices!$B$3,WTG_BD!$G:$G,W4)</f>
        <v>0</v>
      </c>
      <c r="X18" s="133">
        <f>COUNTIFS(WTG_BD!$B:$B,"&gt;="&amp;Analytices!$B$2,WTG_BD!$B:$B,"&lt;="&amp;Analytices!$B$3,WTG_BD!$G:$G,X4)</f>
        <v>0</v>
      </c>
      <c r="Y18" s="133">
        <f>COUNTIFS(WTG_BD!$B:$B,"&gt;="&amp;Analytices!$B$2,WTG_BD!$B:$B,"&lt;="&amp;Analytices!$B$3,WTG_BD!$G:$G,Y4)</f>
        <v>0</v>
      </c>
      <c r="Z18" s="133">
        <f>COUNTIFS(WTG_BD!$B:$B,"&gt;="&amp;Analytices!$B$2,WTG_BD!$B:$B,"&lt;="&amp;Analytices!$B$3,WTG_BD!$G:$G,Z4)</f>
        <v>0</v>
      </c>
      <c r="AA18" s="133">
        <f>COUNTIFS(WTG_BD!$B:$B,"&gt;="&amp;Analytices!$B$2,WTG_BD!$B:$B,"&lt;="&amp;Analytices!$B$3,WTG_BD!$G:$G,AA4)</f>
        <v>0</v>
      </c>
      <c r="AB18" s="133">
        <f>COUNTIFS(WTG_BD!$B:$B,"&gt;="&amp;Analytices!$B$2,WTG_BD!$B:$B,"&lt;="&amp;Analytices!$B$3,WTG_BD!$G:$G,AB4)</f>
        <v>0</v>
      </c>
      <c r="AC18" s="133">
        <f>COUNTIFS(WTG_BD!$B:$B,"&gt;="&amp;Analytices!$B$2,WTG_BD!$B:$B,"&lt;="&amp;Analytices!$B$3,WTG_BD!$G:$G,AC4)</f>
        <v>1</v>
      </c>
      <c r="AD18" s="133">
        <f>COUNTIFS(WTG_BD!$B:$B,"&gt;="&amp;Analytices!$B$2,WTG_BD!$B:$B,"&lt;="&amp;Analytices!$B$3,WTG_BD!$G:$G,AD4)</f>
        <v>0</v>
      </c>
      <c r="AE18" s="133">
        <f>COUNTIFS(WTG_BD!$B:$B,"&gt;="&amp;Analytices!$B$2,WTG_BD!$B:$B,"&lt;="&amp;Analytices!$B$3,WTG_BD!$G:$G,AE4)</f>
        <v>1</v>
      </c>
      <c r="AF18" s="133">
        <f>COUNTIFS(WTG_BD!$B:$B,"&gt;="&amp;Analytices!$B$2,WTG_BD!$B:$B,"&lt;="&amp;Analytices!$B$3,WTG_BD!$G:$G,AF4)</f>
        <v>0</v>
      </c>
      <c r="AG18" s="133">
        <f>COUNTIFS(WTG_BD!$B:$B,"&gt;="&amp;Analytices!$B$2,WTG_BD!$B:$B,"&lt;="&amp;Analytices!$B$3,WTG_BD!$G:$G,AG4)</f>
        <v>0</v>
      </c>
      <c r="AH18" s="133">
        <f>COUNTIFS(WTG_BD!$B:$B,"&gt;="&amp;Analytices!$B$2,WTG_BD!$B:$B,"&lt;="&amp;Analytices!$B$3,WTG_BD!$G:$G,AH4)</f>
        <v>0</v>
      </c>
      <c r="AI18" s="133">
        <f>COUNTIFS(WTG_BD!$B:$B,"&gt;="&amp;Analytices!$B$2,WTG_BD!$B:$B,"&lt;="&amp;Analytices!$B$3,WTG_BD!$G:$G,AI4)</f>
        <v>0</v>
      </c>
      <c r="AJ18" s="133">
        <f>COUNTIFS(WTG_BD!$B:$B,"&gt;="&amp;Analytices!$B$2,WTG_BD!$B:$B,"&lt;="&amp;Analytices!$B$3,WTG_BD!$G:$G,AJ4)</f>
        <v>0</v>
      </c>
      <c r="AK18" s="133">
        <f>COUNTIFS(WTG_BD!$B:$B,"&gt;="&amp;Analytices!$B$2,WTG_BD!$B:$B,"&lt;="&amp;Analytices!$B$3,WTG_BD!$G:$G,AK4)</f>
        <v>0</v>
      </c>
      <c r="AL18" s="133">
        <f>COUNTIFS(WTG_BD!$B:$B,"&gt;="&amp;Analytices!$B$2,WTG_BD!$B:$B,"&lt;="&amp;Analytices!$B$3,WTG_BD!$G:$G,AL4)</f>
        <v>0</v>
      </c>
      <c r="AM18" s="133">
        <f>COUNTIFS(WTG_BD!$B:$B,"&gt;="&amp;Analytices!$B$2,WTG_BD!$B:$B,"&lt;="&amp;Analytices!$B$3,WTG_BD!$G:$G,AM4)</f>
        <v>0</v>
      </c>
      <c r="AN18" s="133">
        <f>COUNTIFS(WTG_BD!$B:$B,"&gt;="&amp;Analytices!$B$2,WTG_BD!$B:$B,"&lt;="&amp;Analytices!$B$3,WTG_BD!$G:$G,AN4)</f>
        <v>1</v>
      </c>
    </row>
    <row r="19" spans="1:40" ht="29.1" customHeight="1">
      <c r="A19" s="125" t="s">
        <v>168</v>
      </c>
      <c r="B19" s="133">
        <f>IFERROR(B17/B18,0)</f>
        <v>7.35</v>
      </c>
      <c r="C19" s="133">
        <f t="shared" ref="C19:AN19" si="5">IFERROR(C17/C18,0)</f>
        <v>0</v>
      </c>
      <c r="D19" s="133">
        <f t="shared" si="5"/>
        <v>0</v>
      </c>
      <c r="E19" s="133">
        <f t="shared" si="5"/>
        <v>0</v>
      </c>
      <c r="F19" s="133">
        <f t="shared" si="5"/>
        <v>0</v>
      </c>
      <c r="G19" s="133">
        <f t="shared" si="5"/>
        <v>0</v>
      </c>
      <c r="H19" s="133">
        <f t="shared" si="5"/>
        <v>0</v>
      </c>
      <c r="I19" s="133">
        <f t="shared" si="5"/>
        <v>0</v>
      </c>
      <c r="J19" s="133">
        <f t="shared" si="5"/>
        <v>0</v>
      </c>
      <c r="K19" s="133">
        <f t="shared" si="5"/>
        <v>0</v>
      </c>
      <c r="L19" s="133">
        <f t="shared" si="5"/>
        <v>0</v>
      </c>
      <c r="M19" s="133">
        <f t="shared" si="5"/>
        <v>1.3333333333333339</v>
      </c>
      <c r="N19" s="133">
        <f t="shared" si="5"/>
        <v>0</v>
      </c>
      <c r="O19" s="133">
        <f t="shared" si="5"/>
        <v>0</v>
      </c>
      <c r="P19" s="133">
        <f t="shared" si="5"/>
        <v>0</v>
      </c>
      <c r="Q19" s="133">
        <f t="shared" si="5"/>
        <v>0</v>
      </c>
      <c r="R19" s="133">
        <f t="shared" si="5"/>
        <v>0</v>
      </c>
      <c r="S19" s="133">
        <f t="shared" si="5"/>
        <v>0</v>
      </c>
      <c r="T19" s="133">
        <f t="shared" si="5"/>
        <v>0</v>
      </c>
      <c r="U19" s="133">
        <f t="shared" si="5"/>
        <v>0</v>
      </c>
      <c r="V19" s="133">
        <f t="shared" si="5"/>
        <v>0</v>
      </c>
      <c r="W19" s="133">
        <f t="shared" si="5"/>
        <v>0</v>
      </c>
      <c r="X19" s="133">
        <f t="shared" si="5"/>
        <v>0</v>
      </c>
      <c r="Y19" s="133">
        <f t="shared" si="5"/>
        <v>0</v>
      </c>
      <c r="Z19" s="133">
        <f t="shared" si="5"/>
        <v>0</v>
      </c>
      <c r="AA19" s="133">
        <f t="shared" si="5"/>
        <v>0</v>
      </c>
      <c r="AB19" s="133">
        <f t="shared" si="5"/>
        <v>0</v>
      </c>
      <c r="AC19" s="133">
        <f t="shared" si="5"/>
        <v>23.999722222222225</v>
      </c>
      <c r="AD19" s="133">
        <f t="shared" si="5"/>
        <v>0</v>
      </c>
      <c r="AE19" s="133">
        <f t="shared" si="5"/>
        <v>23.999722222222225</v>
      </c>
      <c r="AF19" s="133">
        <f t="shared" si="5"/>
        <v>0</v>
      </c>
      <c r="AG19" s="133">
        <f t="shared" si="5"/>
        <v>0</v>
      </c>
      <c r="AH19" s="133">
        <f t="shared" si="5"/>
        <v>0</v>
      </c>
      <c r="AI19" s="133">
        <f t="shared" si="5"/>
        <v>0</v>
      </c>
      <c r="AJ19" s="133">
        <f t="shared" si="5"/>
        <v>0</v>
      </c>
      <c r="AK19" s="133">
        <f t="shared" si="5"/>
        <v>0</v>
      </c>
      <c r="AL19" s="133">
        <f t="shared" si="5"/>
        <v>0</v>
      </c>
      <c r="AM19" s="133">
        <f t="shared" si="5"/>
        <v>0</v>
      </c>
      <c r="AN19" s="133">
        <f t="shared" si="5"/>
        <v>0.78333333333333455</v>
      </c>
    </row>
    <row r="20" spans="1:40" ht="29.1" customHeight="1">
      <c r="A20" s="125" t="s">
        <v>169</v>
      </c>
      <c r="B20" s="133">
        <f>IFERROR(($C$3-B17)/B18,$C$3)</f>
        <v>16.649999999999999</v>
      </c>
      <c r="C20" s="133">
        <f t="shared" ref="C20:AN20" si="6">IFERROR(($C$3-C17)/C18,$C$3)</f>
        <v>24</v>
      </c>
      <c r="D20" s="133">
        <f t="shared" si="6"/>
        <v>24</v>
      </c>
      <c r="E20" s="133">
        <f t="shared" si="6"/>
        <v>24</v>
      </c>
      <c r="F20" s="133">
        <f t="shared" si="6"/>
        <v>24</v>
      </c>
      <c r="G20" s="133">
        <f t="shared" si="6"/>
        <v>24</v>
      </c>
      <c r="H20" s="133">
        <f t="shared" si="6"/>
        <v>24</v>
      </c>
      <c r="I20" s="133">
        <f t="shared" si="6"/>
        <v>24</v>
      </c>
      <c r="J20" s="133">
        <f t="shared" si="6"/>
        <v>24</v>
      </c>
      <c r="K20" s="133">
        <f t="shared" si="6"/>
        <v>24</v>
      </c>
      <c r="L20" s="133">
        <f t="shared" si="6"/>
        <v>24</v>
      </c>
      <c r="M20" s="133">
        <f t="shared" si="6"/>
        <v>22.666666666666664</v>
      </c>
      <c r="N20" s="133">
        <f t="shared" si="6"/>
        <v>24</v>
      </c>
      <c r="O20" s="133">
        <f t="shared" si="6"/>
        <v>24</v>
      </c>
      <c r="P20" s="133">
        <f t="shared" si="6"/>
        <v>24</v>
      </c>
      <c r="Q20" s="133">
        <f t="shared" si="6"/>
        <v>24</v>
      </c>
      <c r="R20" s="133">
        <f t="shared" si="6"/>
        <v>24</v>
      </c>
      <c r="S20" s="133">
        <f t="shared" si="6"/>
        <v>24</v>
      </c>
      <c r="T20" s="133">
        <f t="shared" si="6"/>
        <v>24</v>
      </c>
      <c r="U20" s="133">
        <f t="shared" si="6"/>
        <v>24</v>
      </c>
      <c r="V20" s="133">
        <f t="shared" si="6"/>
        <v>24</v>
      </c>
      <c r="W20" s="133">
        <f t="shared" si="6"/>
        <v>24</v>
      </c>
      <c r="X20" s="133">
        <f t="shared" si="6"/>
        <v>24</v>
      </c>
      <c r="Y20" s="133">
        <f t="shared" si="6"/>
        <v>24</v>
      </c>
      <c r="Z20" s="133">
        <f t="shared" si="6"/>
        <v>24</v>
      </c>
      <c r="AA20" s="133">
        <f t="shared" si="6"/>
        <v>24</v>
      </c>
      <c r="AB20" s="133">
        <f t="shared" si="6"/>
        <v>24</v>
      </c>
      <c r="AC20" s="133">
        <f t="shared" si="6"/>
        <v>2.7777777777515666E-4</v>
      </c>
      <c r="AD20" s="133">
        <f t="shared" si="6"/>
        <v>24</v>
      </c>
      <c r="AE20" s="133">
        <f t="shared" si="6"/>
        <v>2.7777777777515666E-4</v>
      </c>
      <c r="AF20" s="133">
        <f t="shared" si="6"/>
        <v>24</v>
      </c>
      <c r="AG20" s="133">
        <f t="shared" si="6"/>
        <v>24</v>
      </c>
      <c r="AH20" s="133">
        <f t="shared" si="6"/>
        <v>24</v>
      </c>
      <c r="AI20" s="133">
        <f t="shared" si="6"/>
        <v>24</v>
      </c>
      <c r="AJ20" s="133">
        <f t="shared" si="6"/>
        <v>24</v>
      </c>
      <c r="AK20" s="133">
        <f t="shared" si="6"/>
        <v>24</v>
      </c>
      <c r="AL20" s="133">
        <f t="shared" si="6"/>
        <v>24</v>
      </c>
      <c r="AM20" s="133">
        <f t="shared" si="6"/>
        <v>24</v>
      </c>
      <c r="AN20" s="133">
        <f t="shared" si="6"/>
        <v>23.216666666666665</v>
      </c>
    </row>
    <row r="21" spans="1:40" ht="29.1" customHeight="1">
      <c r="A21" s="125" t="s">
        <v>170</v>
      </c>
      <c r="B21" s="133">
        <f>ROUND(AVERAGEIFS(Input_Raw!AS:AS,Input_Raw!$A:$A,"&gt;="&amp;Analytices!$B$2,Input_Raw!$A:$A,"&lt;="&amp;Analytices!$B$3),1)</f>
        <v>4.9000000000000004</v>
      </c>
      <c r="C21" s="133">
        <f>ROUND(AVERAGEIFS(Input_Raw!AT:AT,Input_Raw!$A:$A,"&gt;="&amp;Analytices!$B$2,Input_Raw!$A:$A,"&lt;="&amp;Analytices!$B$3),1)</f>
        <v>5.3</v>
      </c>
      <c r="D21" s="133">
        <f>ROUND(AVERAGEIFS(Input_Raw!AU:AU,Input_Raw!$A:$A,"&gt;="&amp;Analytices!$B$2,Input_Raw!$A:$A,"&lt;="&amp;Analytices!$B$3),1)</f>
        <v>4.7</v>
      </c>
      <c r="E21" s="133">
        <f>ROUND(AVERAGEIFS(Input_Raw!AV:AV,Input_Raw!$A:$A,"&gt;="&amp;Analytices!$B$2,Input_Raw!$A:$A,"&lt;="&amp;Analytices!$B$3),1)</f>
        <v>5.0999999999999996</v>
      </c>
      <c r="F21" s="133">
        <f>ROUND(AVERAGEIFS(Input_Raw!AW:AW,Input_Raw!$A:$A,"&gt;="&amp;Analytices!$B$2,Input_Raw!$A:$A,"&lt;="&amp;Analytices!$B$3),1)</f>
        <v>5</v>
      </c>
      <c r="G21" s="133">
        <f>ROUND(AVERAGEIFS(Input_Raw!AX:AX,Input_Raw!$A:$A,"&gt;="&amp;Analytices!$B$2,Input_Raw!$A:$A,"&lt;="&amp;Analytices!$B$3),1)</f>
        <v>5.0999999999999996</v>
      </c>
      <c r="H21" s="133">
        <f>ROUND(AVERAGEIFS(Input_Raw!AY:AY,Input_Raw!$A:$A,"&gt;="&amp;Analytices!$B$2,Input_Raw!$A:$A,"&lt;="&amp;Analytices!$B$3),1)</f>
        <v>4.8</v>
      </c>
      <c r="I21" s="133">
        <f>ROUND(AVERAGEIFS(Input_Raw!AZ:AZ,Input_Raw!$A:$A,"&gt;="&amp;Analytices!$B$2,Input_Raw!$A:$A,"&lt;="&amp;Analytices!$B$3),1)</f>
        <v>4.5</v>
      </c>
      <c r="J21" s="133">
        <f>ROUND(AVERAGEIFS(Input_Raw!BA:BA,Input_Raw!$A:$A,"&gt;="&amp;Analytices!$B$2,Input_Raw!$A:$A,"&lt;="&amp;Analytices!$B$3),1)</f>
        <v>5.0999999999999996</v>
      </c>
      <c r="K21" s="133">
        <f>ROUND(AVERAGEIFS(Input_Raw!BB:BB,Input_Raw!$A:$A,"&gt;="&amp;Analytices!$B$2,Input_Raw!$A:$A,"&lt;="&amp;Analytices!$B$3),1)</f>
        <v>4.8</v>
      </c>
      <c r="L21" s="133">
        <f>ROUND(AVERAGEIFS(Input_Raw!BC:BC,Input_Raw!$A:$A,"&gt;="&amp;Analytices!$B$2,Input_Raw!$A:$A,"&lt;="&amp;Analytices!$B$3),1)</f>
        <v>5.3</v>
      </c>
      <c r="M21" s="133">
        <f>ROUND(AVERAGEIFS(Input_Raw!BD:BD,Input_Raw!$A:$A,"&gt;="&amp;Analytices!$B$2,Input_Raw!$A:$A,"&lt;="&amp;Analytices!$B$3),1)</f>
        <v>5</v>
      </c>
      <c r="N21" s="133">
        <f>ROUND(AVERAGEIFS(Input_Raw!BE:BE,Input_Raw!$A:$A,"&gt;="&amp;Analytices!$B$2,Input_Raw!$A:$A,"&lt;="&amp;Analytices!$B$3),1)</f>
        <v>5.2</v>
      </c>
      <c r="O21" s="133">
        <f>ROUND(AVERAGEIFS(Input_Raw!BF:BF,Input_Raw!$A:$A,"&gt;="&amp;Analytices!$B$2,Input_Raw!$A:$A,"&lt;="&amp;Analytices!$B$3),1)</f>
        <v>5.2</v>
      </c>
      <c r="P21" s="133">
        <f>ROUND(AVERAGEIFS(Input_Raw!BG:BG,Input_Raw!$A:$A,"&gt;="&amp;Analytices!$B$2,Input_Raw!$A:$A,"&lt;="&amp;Analytices!$B$3),1)</f>
        <v>5</v>
      </c>
      <c r="Q21" s="133">
        <f>ROUND(AVERAGEIFS(Input_Raw!BH:BH,Input_Raw!$A:$A,"&gt;="&amp;Analytices!$B$2,Input_Raw!$A:$A,"&lt;="&amp;Analytices!$B$3),1)</f>
        <v>5.4</v>
      </c>
      <c r="R21" s="133">
        <f>ROUND(AVERAGEIFS(Input_Raw!BI:BI,Input_Raw!$A:$A,"&gt;="&amp;Analytices!$B$2,Input_Raw!$A:$A,"&lt;="&amp;Analytices!$B$3),1)</f>
        <v>5</v>
      </c>
      <c r="S21" s="133">
        <f>ROUND(AVERAGEIFS(Input_Raw!BJ:BJ,Input_Raw!$A:$A,"&gt;="&amp;Analytices!$B$2,Input_Raw!$A:$A,"&lt;="&amp;Analytices!$B$3),1)</f>
        <v>5.5</v>
      </c>
      <c r="T21" s="133">
        <f>ROUND(AVERAGEIFS(Input_Raw!BK:BK,Input_Raw!$A:$A,"&gt;="&amp;Analytices!$B$2,Input_Raw!$A:$A,"&lt;="&amp;Analytices!$B$3),1)</f>
        <v>5.4</v>
      </c>
      <c r="U21" s="133">
        <f>ROUND(AVERAGEIFS(Input_Raw!BL:BL,Input_Raw!$A:$A,"&gt;="&amp;Analytices!$B$2,Input_Raw!$A:$A,"&lt;="&amp;Analytices!$B$3),1)</f>
        <v>5.7</v>
      </c>
      <c r="V21" s="133">
        <f>ROUND(AVERAGEIFS(Input_Raw!BM:BM,Input_Raw!$A:$A,"&gt;="&amp;Analytices!$B$2,Input_Raw!$A:$A,"&lt;="&amp;Analytices!$B$3),1)</f>
        <v>0</v>
      </c>
      <c r="W21" s="133">
        <f>ROUND(AVERAGEIFS(Input_Raw!BN:BN,Input_Raw!$A:$A,"&gt;="&amp;Analytices!$B$2,Input_Raw!$A:$A,"&lt;="&amp;Analytices!$B$3),1)</f>
        <v>5.3</v>
      </c>
      <c r="X21" s="133">
        <f>ROUND(AVERAGEIFS(Input_Raw!BO:BO,Input_Raw!$A:$A,"&gt;="&amp;Analytices!$B$2,Input_Raw!$A:$A,"&lt;="&amp;Analytices!$B$3),1)</f>
        <v>4.8</v>
      </c>
      <c r="Y21" s="133">
        <f>ROUND(AVERAGEIFS(Input_Raw!BP:BP,Input_Raw!$A:$A,"&gt;="&amp;Analytices!$B$2,Input_Raw!$A:$A,"&lt;="&amp;Analytices!$B$3),1)</f>
        <v>5</v>
      </c>
      <c r="Z21" s="133">
        <f>ROUND(AVERAGEIFS(Input_Raw!BQ:BQ,Input_Raw!$A:$A,"&gt;="&amp;Analytices!$B$2,Input_Raw!$A:$A,"&lt;="&amp;Analytices!$B$3),1)</f>
        <v>5.3</v>
      </c>
      <c r="AA21" s="133">
        <f>ROUND(AVERAGEIFS(Input_Raw!BR:BR,Input_Raw!$A:$A,"&gt;="&amp;Analytices!$B$2,Input_Raw!$A:$A,"&lt;="&amp;Analytices!$B$3),1)</f>
        <v>5</v>
      </c>
      <c r="AB21" s="133">
        <f>ROUND(AVERAGEIFS(Input_Raw!BS:BS,Input_Raw!$A:$A,"&gt;="&amp;Analytices!$B$2,Input_Raw!$A:$A,"&lt;="&amp;Analytices!$B$3),1)</f>
        <v>5</v>
      </c>
      <c r="AC21" s="133">
        <f>ROUND(AVERAGEIFS(Input_Raw!BT:BT,Input_Raw!$A:$A,"&gt;="&amp;Analytices!$B$2,Input_Raw!$A:$A,"&lt;="&amp;Analytices!$B$3),1)</f>
        <v>0</v>
      </c>
      <c r="AD21" s="133">
        <f>ROUND(AVERAGEIFS(Input_Raw!BU:BU,Input_Raw!$A:$A,"&gt;="&amp;Analytices!$B$2,Input_Raw!$A:$A,"&lt;="&amp;Analytices!$B$3),1)</f>
        <v>4.8</v>
      </c>
      <c r="AE21" s="133">
        <f>ROUND(AVERAGEIFS(Input_Raw!BV:BV,Input_Raw!$A:$A,"&gt;="&amp;Analytices!$B$2,Input_Raw!$A:$A,"&lt;="&amp;Analytices!$B$3),1)</f>
        <v>0</v>
      </c>
      <c r="AF21" s="133">
        <f>ROUND(AVERAGEIFS(Input_Raw!BW:BW,Input_Raw!$A:$A,"&gt;="&amp;Analytices!$B$2,Input_Raw!$A:$A,"&lt;="&amp;Analytices!$B$3),1)</f>
        <v>5</v>
      </c>
      <c r="AG21" s="133">
        <f>ROUND(AVERAGEIFS(Input_Raw!BX:BX,Input_Raw!$A:$A,"&gt;="&amp;Analytices!$B$2,Input_Raw!$A:$A,"&lt;="&amp;Analytices!$B$3),1)</f>
        <v>5</v>
      </c>
      <c r="AH21" s="133">
        <f>ROUND(AVERAGEIFS(Input_Raw!BY:BY,Input_Raw!$A:$A,"&gt;="&amp;Analytices!$B$2,Input_Raw!$A:$A,"&lt;="&amp;Analytices!$B$3),1)</f>
        <v>5</v>
      </c>
      <c r="AI21" s="133">
        <f>ROUND(AVERAGEIFS(Input_Raw!BZ:BZ,Input_Raw!$A:$A,"&gt;="&amp;Analytices!$B$2,Input_Raw!$A:$A,"&lt;="&amp;Analytices!$B$3),1)</f>
        <v>5.2</v>
      </c>
      <c r="AJ21" s="133">
        <f>ROUND(AVERAGEIFS(Input_Raw!CA:CA,Input_Raw!$A:$A,"&gt;="&amp;Analytices!$B$2,Input_Raw!$A:$A,"&lt;="&amp;Analytices!$B$3),1)</f>
        <v>5.2</v>
      </c>
      <c r="AK21" s="133">
        <f>ROUND(AVERAGEIFS(Input_Raw!CB:CB,Input_Raw!$A:$A,"&gt;="&amp;Analytices!$B$2,Input_Raw!$A:$A,"&lt;="&amp;Analytices!$B$3),1)</f>
        <v>4.9000000000000004</v>
      </c>
      <c r="AL21" s="133">
        <f>ROUND(AVERAGEIFS(Input_Raw!CC:CC,Input_Raw!$A:$A,"&gt;="&amp;Analytices!$B$2,Input_Raw!$A:$A,"&lt;="&amp;Analytices!$B$3),1)</f>
        <v>5.2</v>
      </c>
      <c r="AM21" s="133">
        <f>ROUND(AVERAGEIFS(Input_Raw!CD:CD,Input_Raw!$A:$A,"&gt;="&amp;Analytices!$B$2,Input_Raw!$A:$A,"&lt;="&amp;Analytices!$B$3),1)</f>
        <v>4.9000000000000004</v>
      </c>
      <c r="AN21" s="133">
        <f>ROUND(AVERAGEIFS(Input_Raw!CE:CE,Input_Raw!$A:$A,"&gt;="&amp;Analytices!$B$2,Input_Raw!$A:$A,"&lt;="&amp;Analytices!$B$3),1)</f>
        <v>5.2</v>
      </c>
    </row>
    <row r="22" spans="1:40" ht="29.1" customHeight="1">
      <c r="A22" s="138"/>
    </row>
    <row r="23" spans="1:40" ht="29.1" customHeight="1">
      <c r="A23" s="453" t="s">
        <v>171</v>
      </c>
      <c r="B23" s="453"/>
      <c r="C23" s="453"/>
      <c r="D23" s="453"/>
      <c r="E23" s="453"/>
      <c r="F23" s="453"/>
      <c r="G23" s="453"/>
    </row>
    <row r="24" spans="1:40" ht="29.1" customHeight="1">
      <c r="A24" s="139">
        <v>45017</v>
      </c>
    </row>
    <row r="25" spans="1:40" ht="29.1" customHeight="1">
      <c r="D25" s="451" t="s">
        <v>172</v>
      </c>
      <c r="E25" s="451"/>
      <c r="F25" s="451" t="s">
        <v>173</v>
      </c>
      <c r="G25" s="451"/>
    </row>
    <row r="26" spans="1:40" ht="29.1" customHeight="1">
      <c r="D26" s="451">
        <f ca="1">F26</f>
        <v>19272</v>
      </c>
      <c r="E26" s="451"/>
      <c r="F26" s="452">
        <f ca="1">((TODAY()-1)-(A24))*24</f>
        <v>19272</v>
      </c>
      <c r="G26" s="452"/>
    </row>
    <row r="27" spans="1:40" ht="29.1" customHeight="1">
      <c r="A27" s="157" t="s">
        <v>174</v>
      </c>
      <c r="B27" s="135" t="s">
        <v>175</v>
      </c>
    </row>
    <row r="29" spans="1:40" ht="29.1" customHeight="1">
      <c r="A29" s="157" t="s">
        <v>176</v>
      </c>
      <c r="B29" s="135" t="s">
        <v>177</v>
      </c>
      <c r="C29" s="135" t="s">
        <v>178</v>
      </c>
      <c r="D29" s="135" t="s">
        <v>179</v>
      </c>
      <c r="E29" s="135" t="s">
        <v>180</v>
      </c>
    </row>
    <row r="30" spans="1:40" ht="29.1" customHeight="1">
      <c r="A30" s="158" t="s">
        <v>181</v>
      </c>
      <c r="B30" s="159">
        <v>0.21666666666666856</v>
      </c>
      <c r="C30" s="159">
        <v>1</v>
      </c>
      <c r="D30" s="133">
        <f>B30/C30</f>
        <v>0.21666666666666856</v>
      </c>
      <c r="E30" s="133">
        <f ca="1">$D$26/C30</f>
        <v>19272</v>
      </c>
    </row>
    <row r="31" spans="1:40" ht="29.1" customHeight="1">
      <c r="A31" s="158" t="s">
        <v>182</v>
      </c>
      <c r="B31" s="159">
        <v>9.3333333333333357</v>
      </c>
      <c r="C31" s="159">
        <v>2</v>
      </c>
      <c r="D31" s="133">
        <f t="shared" ref="D31:D94" si="7">B31/C31</f>
        <v>4.6666666666666679</v>
      </c>
      <c r="E31" s="133">
        <f t="shared" ref="E31:E94" ca="1" si="8">$D$26/C31</f>
        <v>9636</v>
      </c>
    </row>
    <row r="32" spans="1:40" ht="29.1" customHeight="1">
      <c r="A32" s="158" t="s">
        <v>183</v>
      </c>
      <c r="B32" s="159">
        <v>6.0666666666666691</v>
      </c>
      <c r="C32" s="159">
        <v>2</v>
      </c>
      <c r="D32" s="133">
        <f t="shared" si="7"/>
        <v>3.0333333333333345</v>
      </c>
      <c r="E32" s="133">
        <f t="shared" ca="1" si="8"/>
        <v>9636</v>
      </c>
    </row>
    <row r="33" spans="1:5" ht="29.1" customHeight="1">
      <c r="A33" s="158" t="s">
        <v>184</v>
      </c>
      <c r="B33" s="159">
        <v>33.93333333333333</v>
      </c>
      <c r="C33" s="159">
        <v>20</v>
      </c>
      <c r="D33" s="133">
        <f t="shared" si="7"/>
        <v>1.6966666666666665</v>
      </c>
      <c r="E33" s="133">
        <f t="shared" ca="1" si="8"/>
        <v>963.6</v>
      </c>
    </row>
    <row r="34" spans="1:5" ht="29.1" customHeight="1">
      <c r="A34" s="158" t="s">
        <v>185</v>
      </c>
      <c r="B34" s="159">
        <v>14.616666666666678</v>
      </c>
      <c r="C34" s="159">
        <v>7</v>
      </c>
      <c r="D34" s="133">
        <f t="shared" si="7"/>
        <v>2.0880952380952396</v>
      </c>
      <c r="E34" s="133">
        <f t="shared" ca="1" si="8"/>
        <v>2753.1428571428573</v>
      </c>
    </row>
    <row r="35" spans="1:5" ht="29.1" customHeight="1">
      <c r="A35" s="158" t="s">
        <v>186</v>
      </c>
      <c r="B35" s="159">
        <v>22.416666666666664</v>
      </c>
      <c r="C35" s="159">
        <v>6</v>
      </c>
      <c r="D35" s="133">
        <f t="shared" si="7"/>
        <v>3.7361111111111107</v>
      </c>
      <c r="E35" s="133">
        <f t="shared" ca="1" si="8"/>
        <v>3212</v>
      </c>
    </row>
    <row r="36" spans="1:5" ht="29.1" customHeight="1">
      <c r="A36" s="158" t="s">
        <v>187</v>
      </c>
      <c r="B36" s="159">
        <v>325.73333333333335</v>
      </c>
      <c r="C36" s="159">
        <v>93</v>
      </c>
      <c r="D36" s="133">
        <f t="shared" si="7"/>
        <v>3.5025089605734769</v>
      </c>
      <c r="E36" s="133">
        <f t="shared" ca="1" si="8"/>
        <v>207.2258064516129</v>
      </c>
    </row>
    <row r="37" spans="1:5" ht="29.1" customHeight="1">
      <c r="A37" s="158" t="s">
        <v>188</v>
      </c>
      <c r="B37" s="159">
        <v>31.283333333333331</v>
      </c>
      <c r="C37" s="159">
        <v>12</v>
      </c>
      <c r="D37" s="133">
        <f t="shared" si="7"/>
        <v>2.6069444444444443</v>
      </c>
      <c r="E37" s="133">
        <f t="shared" ca="1" si="8"/>
        <v>1606</v>
      </c>
    </row>
    <row r="38" spans="1:5" ht="29.1" customHeight="1">
      <c r="A38" s="158" t="s">
        <v>189</v>
      </c>
      <c r="B38" s="159">
        <v>30.949999999999996</v>
      </c>
      <c r="C38" s="159">
        <v>19</v>
      </c>
      <c r="D38" s="133">
        <f t="shared" si="7"/>
        <v>1.6289473684210525</v>
      </c>
      <c r="E38" s="133">
        <f t="shared" ca="1" si="8"/>
        <v>1014.3157894736842</v>
      </c>
    </row>
    <row r="39" spans="1:5" ht="29.1" customHeight="1">
      <c r="A39" s="158" t="s">
        <v>190</v>
      </c>
      <c r="B39" s="159">
        <v>72.816666666666649</v>
      </c>
      <c r="C39" s="159">
        <v>10</v>
      </c>
      <c r="D39" s="133">
        <f t="shared" si="7"/>
        <v>7.2816666666666645</v>
      </c>
      <c r="E39" s="133">
        <f t="shared" ca="1" si="8"/>
        <v>1927.2</v>
      </c>
    </row>
    <row r="40" spans="1:5" ht="29.1" customHeight="1">
      <c r="A40" s="158" t="s">
        <v>191</v>
      </c>
      <c r="B40" s="159">
        <v>5.1666666666666679</v>
      </c>
      <c r="C40" s="159">
        <v>1</v>
      </c>
      <c r="D40" s="133">
        <f t="shared" si="7"/>
        <v>5.1666666666666679</v>
      </c>
      <c r="E40" s="133">
        <f t="shared" ca="1" si="8"/>
        <v>19272</v>
      </c>
    </row>
    <row r="41" spans="1:5" ht="29.1" customHeight="1">
      <c r="A41" s="158" t="s">
        <v>192</v>
      </c>
      <c r="B41" s="159">
        <v>13.316666666666663</v>
      </c>
      <c r="C41" s="159">
        <v>5</v>
      </c>
      <c r="D41" s="133">
        <f t="shared" si="7"/>
        <v>2.6633333333333327</v>
      </c>
      <c r="E41" s="133">
        <f t="shared" ca="1" si="8"/>
        <v>3854.4</v>
      </c>
    </row>
    <row r="42" spans="1:5" ht="29.1" customHeight="1">
      <c r="A42" s="158" t="s">
        <v>193</v>
      </c>
      <c r="B42" s="159">
        <v>0.41666666666666785</v>
      </c>
      <c r="C42" s="159">
        <v>1</v>
      </c>
      <c r="D42" s="133">
        <f t="shared" si="7"/>
        <v>0.41666666666666785</v>
      </c>
      <c r="E42" s="133">
        <f t="shared" ca="1" si="8"/>
        <v>19272</v>
      </c>
    </row>
    <row r="43" spans="1:5" ht="29.1" customHeight="1">
      <c r="A43" s="158" t="s">
        <v>194</v>
      </c>
      <c r="B43" s="159">
        <v>0.33333333333333215</v>
      </c>
      <c r="C43" s="159">
        <v>2</v>
      </c>
      <c r="D43" s="133">
        <f t="shared" si="7"/>
        <v>0.16666666666666607</v>
      </c>
      <c r="E43" s="133">
        <f t="shared" ca="1" si="8"/>
        <v>9636</v>
      </c>
    </row>
    <row r="44" spans="1:5" ht="29.1" customHeight="1">
      <c r="A44" s="158" t="s">
        <v>195</v>
      </c>
      <c r="B44" s="159">
        <v>40.266666666666673</v>
      </c>
      <c r="C44" s="159">
        <v>13</v>
      </c>
      <c r="D44" s="133">
        <f t="shared" si="7"/>
        <v>3.097435897435898</v>
      </c>
      <c r="E44" s="133">
        <f t="shared" ca="1" si="8"/>
        <v>1482.4615384615386</v>
      </c>
    </row>
    <row r="45" spans="1:5" ht="29.1" customHeight="1">
      <c r="A45" s="158" t="s">
        <v>196</v>
      </c>
      <c r="B45" s="159">
        <v>9.9666666666666615</v>
      </c>
      <c r="C45" s="159">
        <v>7</v>
      </c>
      <c r="D45" s="133">
        <f t="shared" si="7"/>
        <v>1.423809523809523</v>
      </c>
      <c r="E45" s="133">
        <f t="shared" ca="1" si="8"/>
        <v>2753.1428571428573</v>
      </c>
    </row>
    <row r="46" spans="1:5" ht="29.1" customHeight="1">
      <c r="A46" s="158" t="s">
        <v>197</v>
      </c>
      <c r="B46" s="159">
        <v>45.133333333333333</v>
      </c>
      <c r="C46" s="159">
        <v>18</v>
      </c>
      <c r="D46" s="133">
        <f t="shared" si="7"/>
        <v>2.5074074074074075</v>
      </c>
      <c r="E46" s="133">
        <f t="shared" ca="1" si="8"/>
        <v>1070.6666666666667</v>
      </c>
    </row>
    <row r="47" spans="1:5" ht="29.1" customHeight="1">
      <c r="A47" s="158" t="s">
        <v>198</v>
      </c>
      <c r="B47" s="159">
        <v>1.8999999999999981</v>
      </c>
      <c r="C47" s="159">
        <v>2</v>
      </c>
      <c r="D47" s="133">
        <f t="shared" si="7"/>
        <v>0.94999999999999907</v>
      </c>
      <c r="E47" s="133">
        <f t="shared" ca="1" si="8"/>
        <v>9636</v>
      </c>
    </row>
    <row r="48" spans="1:5" ht="29.1" customHeight="1">
      <c r="A48" s="158" t="s">
        <v>199</v>
      </c>
      <c r="B48" s="159">
        <v>9.9833333333333307</v>
      </c>
      <c r="C48" s="159">
        <v>4</v>
      </c>
      <c r="D48" s="133">
        <f t="shared" si="7"/>
        <v>2.4958333333333327</v>
      </c>
      <c r="E48" s="133">
        <f t="shared" ca="1" si="8"/>
        <v>4818</v>
      </c>
    </row>
    <row r="49" spans="1:5" ht="29.1" customHeight="1">
      <c r="A49" s="158" t="s">
        <v>200</v>
      </c>
      <c r="B49" s="159">
        <v>13.5</v>
      </c>
      <c r="C49" s="159">
        <v>2</v>
      </c>
      <c r="D49" s="133">
        <f t="shared" si="7"/>
        <v>6.75</v>
      </c>
      <c r="E49" s="133">
        <f t="shared" ca="1" si="8"/>
        <v>9636</v>
      </c>
    </row>
    <row r="50" spans="1:5" ht="29.1" customHeight="1">
      <c r="A50" s="158" t="s">
        <v>201</v>
      </c>
      <c r="B50" s="159">
        <v>3.2500000000000018</v>
      </c>
      <c r="C50" s="159">
        <v>2</v>
      </c>
      <c r="D50" s="133">
        <f t="shared" si="7"/>
        <v>1.6250000000000009</v>
      </c>
      <c r="E50" s="133">
        <f t="shared" ca="1" si="8"/>
        <v>9636</v>
      </c>
    </row>
    <row r="51" spans="1:5" ht="29.1" customHeight="1">
      <c r="A51" s="158" t="s">
        <v>202</v>
      </c>
      <c r="B51" s="159">
        <v>14.86666666666666</v>
      </c>
      <c r="C51" s="159">
        <v>4</v>
      </c>
      <c r="D51" s="133">
        <f t="shared" si="7"/>
        <v>3.716666666666665</v>
      </c>
      <c r="E51" s="133">
        <f t="shared" ca="1" si="8"/>
        <v>4818</v>
      </c>
    </row>
    <row r="52" spans="1:5" ht="29.1" customHeight="1">
      <c r="A52" s="158" t="s">
        <v>203</v>
      </c>
      <c r="B52" s="159">
        <v>1.5166666666666666</v>
      </c>
      <c r="C52" s="159">
        <v>1</v>
      </c>
      <c r="D52" s="133">
        <f t="shared" si="7"/>
        <v>1.5166666666666666</v>
      </c>
      <c r="E52" s="133">
        <f t="shared" ca="1" si="8"/>
        <v>19272</v>
      </c>
    </row>
    <row r="53" spans="1:5" ht="29.1" customHeight="1">
      <c r="A53" s="158" t="s">
        <v>204</v>
      </c>
      <c r="B53" s="159">
        <v>0.36666666666666803</v>
      </c>
      <c r="C53" s="159">
        <v>1</v>
      </c>
      <c r="D53" s="133">
        <f t="shared" si="7"/>
        <v>0.36666666666666803</v>
      </c>
      <c r="E53" s="133">
        <f t="shared" ca="1" si="8"/>
        <v>19272</v>
      </c>
    </row>
    <row r="54" spans="1:5" ht="29.1" customHeight="1">
      <c r="A54" s="158" t="s">
        <v>205</v>
      </c>
      <c r="B54" s="159">
        <v>7.0833333333333339</v>
      </c>
      <c r="C54" s="159">
        <v>3</v>
      </c>
      <c r="D54" s="133">
        <f t="shared" si="7"/>
        <v>2.3611111111111112</v>
      </c>
      <c r="E54" s="133">
        <f t="shared" ca="1" si="8"/>
        <v>6424</v>
      </c>
    </row>
    <row r="55" spans="1:5" ht="29.1" customHeight="1">
      <c r="A55" s="158" t="s">
        <v>206</v>
      </c>
      <c r="B55" s="159">
        <v>13.066666666666663</v>
      </c>
      <c r="C55" s="159">
        <v>19</v>
      </c>
      <c r="D55" s="133">
        <f t="shared" si="7"/>
        <v>0.68771929824561384</v>
      </c>
      <c r="E55" s="133">
        <f t="shared" ca="1" si="8"/>
        <v>1014.3157894736842</v>
      </c>
    </row>
    <row r="56" spans="1:5" ht="29.1" customHeight="1">
      <c r="A56" s="158" t="s">
        <v>207</v>
      </c>
      <c r="B56" s="159">
        <v>2.35</v>
      </c>
      <c r="C56" s="159">
        <v>2</v>
      </c>
      <c r="D56" s="133">
        <f t="shared" si="7"/>
        <v>1.175</v>
      </c>
      <c r="E56" s="133">
        <f t="shared" ca="1" si="8"/>
        <v>9636</v>
      </c>
    </row>
    <row r="57" spans="1:5" ht="29.1" customHeight="1">
      <c r="A57" s="158" t="s">
        <v>208</v>
      </c>
      <c r="B57" s="159">
        <v>50.683333333333337</v>
      </c>
      <c r="C57" s="159">
        <v>11</v>
      </c>
      <c r="D57" s="133">
        <f t="shared" si="7"/>
        <v>4.6075757575757583</v>
      </c>
      <c r="E57" s="133">
        <f t="shared" ca="1" si="8"/>
        <v>1752</v>
      </c>
    </row>
    <row r="58" spans="1:5" ht="29.1" customHeight="1">
      <c r="A58" s="158" t="s">
        <v>209</v>
      </c>
      <c r="B58" s="159">
        <v>6.6666666666666679</v>
      </c>
      <c r="C58" s="159">
        <v>2</v>
      </c>
      <c r="D58" s="133">
        <f t="shared" si="7"/>
        <v>3.3333333333333339</v>
      </c>
      <c r="E58" s="133">
        <f t="shared" ca="1" si="8"/>
        <v>9636</v>
      </c>
    </row>
    <row r="59" spans="1:5" ht="29.1" customHeight="1">
      <c r="A59" s="158" t="s">
        <v>210</v>
      </c>
      <c r="B59" s="159">
        <v>7.9999999999999947</v>
      </c>
      <c r="C59" s="159">
        <v>7</v>
      </c>
      <c r="D59" s="133">
        <f t="shared" si="7"/>
        <v>1.1428571428571421</v>
      </c>
      <c r="E59" s="133">
        <f t="shared" ca="1" si="8"/>
        <v>2753.1428571428573</v>
      </c>
    </row>
    <row r="60" spans="1:5" ht="29.1" customHeight="1">
      <c r="A60" s="158" t="s">
        <v>211</v>
      </c>
      <c r="B60" s="159">
        <v>7.0833333333333313</v>
      </c>
      <c r="C60" s="159">
        <v>8</v>
      </c>
      <c r="D60" s="133">
        <f t="shared" si="7"/>
        <v>0.88541666666666641</v>
      </c>
      <c r="E60" s="133">
        <f t="shared" ca="1" si="8"/>
        <v>2409</v>
      </c>
    </row>
    <row r="61" spans="1:5" ht="29.1" customHeight="1">
      <c r="A61" s="158" t="s">
        <v>212</v>
      </c>
      <c r="B61" s="159">
        <v>45.050000000000004</v>
      </c>
      <c r="C61" s="159">
        <v>18</v>
      </c>
      <c r="D61" s="133">
        <f t="shared" si="7"/>
        <v>2.5027777777777782</v>
      </c>
      <c r="E61" s="133">
        <f t="shared" ca="1" si="8"/>
        <v>1070.6666666666667</v>
      </c>
    </row>
    <row r="62" spans="1:5" ht="29.1" customHeight="1">
      <c r="A62" s="158" t="s">
        <v>213</v>
      </c>
      <c r="B62" s="159">
        <v>168.99999999999997</v>
      </c>
      <c r="C62" s="159">
        <v>71</v>
      </c>
      <c r="D62" s="133">
        <f t="shared" si="7"/>
        <v>2.3802816901408446</v>
      </c>
      <c r="E62" s="133">
        <f t="shared" ca="1" si="8"/>
        <v>271.43661971830988</v>
      </c>
    </row>
    <row r="63" spans="1:5" ht="29.1" customHeight="1">
      <c r="A63" s="158" t="s">
        <v>214</v>
      </c>
      <c r="B63" s="135">
        <v>3.6333333333333337</v>
      </c>
      <c r="C63" s="135">
        <v>2</v>
      </c>
      <c r="D63" s="133">
        <f t="shared" si="7"/>
        <v>1.8166666666666669</v>
      </c>
      <c r="E63" s="133">
        <f t="shared" ca="1" si="8"/>
        <v>9636</v>
      </c>
    </row>
    <row r="64" spans="1:5" ht="29.1" customHeight="1">
      <c r="A64" s="158" t="s">
        <v>215</v>
      </c>
      <c r="B64" s="159">
        <v>107.58333333333334</v>
      </c>
      <c r="C64" s="159">
        <v>18</v>
      </c>
      <c r="D64" s="133">
        <f t="shared" si="7"/>
        <v>5.9768518518518521</v>
      </c>
      <c r="E64" s="133">
        <f t="shared" ca="1" si="8"/>
        <v>1070.6666666666667</v>
      </c>
    </row>
    <row r="65" spans="1:5" ht="29.1" customHeight="1">
      <c r="A65" s="158" t="s">
        <v>216</v>
      </c>
      <c r="B65" s="159">
        <v>3.8833333333333302</v>
      </c>
      <c r="C65" s="159">
        <v>2</v>
      </c>
      <c r="D65" s="133">
        <f t="shared" si="7"/>
        <v>1.9416666666666651</v>
      </c>
      <c r="E65" s="133">
        <f t="shared" ca="1" si="8"/>
        <v>9636</v>
      </c>
    </row>
    <row r="66" spans="1:5" ht="29.1" customHeight="1">
      <c r="A66" s="158" t="s">
        <v>217</v>
      </c>
      <c r="B66" s="159">
        <v>0.46666666666666501</v>
      </c>
      <c r="C66" s="159">
        <v>1</v>
      </c>
      <c r="D66" s="133">
        <f t="shared" si="7"/>
        <v>0.46666666666666501</v>
      </c>
      <c r="E66" s="133">
        <f t="shared" ca="1" si="8"/>
        <v>19272</v>
      </c>
    </row>
    <row r="67" spans="1:5" ht="29.1" customHeight="1">
      <c r="A67" s="158" t="s">
        <v>218</v>
      </c>
      <c r="B67" s="159">
        <v>21.883333333333333</v>
      </c>
      <c r="C67" s="159">
        <v>11</v>
      </c>
      <c r="D67" s="133">
        <f t="shared" si="7"/>
        <v>1.9893939393939393</v>
      </c>
      <c r="E67" s="133">
        <f t="shared" ca="1" si="8"/>
        <v>1752</v>
      </c>
    </row>
    <row r="68" spans="1:5" ht="29.1" customHeight="1">
      <c r="A68" s="158" t="s">
        <v>219</v>
      </c>
      <c r="B68" s="159">
        <v>3.5499999999999994</v>
      </c>
      <c r="C68" s="159">
        <v>3</v>
      </c>
      <c r="D68" s="133">
        <f t="shared" si="7"/>
        <v>1.1833333333333331</v>
      </c>
      <c r="E68" s="133">
        <f t="shared" ca="1" si="8"/>
        <v>6424</v>
      </c>
    </row>
    <row r="69" spans="1:5" ht="29.1" customHeight="1">
      <c r="A69" s="158" t="s">
        <v>220</v>
      </c>
      <c r="B69" s="159">
        <v>10.433333333333334</v>
      </c>
      <c r="C69" s="159">
        <v>5</v>
      </c>
      <c r="D69" s="133">
        <f t="shared" si="7"/>
        <v>2.0866666666666669</v>
      </c>
      <c r="E69" s="133">
        <f t="shared" ca="1" si="8"/>
        <v>3854.4</v>
      </c>
    </row>
    <row r="70" spans="1:5" ht="29.1" customHeight="1">
      <c r="A70" s="158" t="s">
        <v>221</v>
      </c>
      <c r="B70" s="159">
        <v>120.08333333333333</v>
      </c>
      <c r="C70" s="159">
        <v>23</v>
      </c>
      <c r="D70" s="133">
        <f t="shared" si="7"/>
        <v>5.2210144927536231</v>
      </c>
      <c r="E70" s="133">
        <f t="shared" ca="1" si="8"/>
        <v>837.91304347826087</v>
      </c>
    </row>
    <row r="71" spans="1:5" ht="29.1" customHeight="1">
      <c r="A71" s="158" t="s">
        <v>222</v>
      </c>
      <c r="B71" s="159">
        <v>48.433333333333337</v>
      </c>
      <c r="C71" s="159">
        <v>12</v>
      </c>
      <c r="D71" s="133">
        <f t="shared" si="7"/>
        <v>4.0361111111111114</v>
      </c>
      <c r="E71" s="133">
        <f t="shared" ca="1" si="8"/>
        <v>1606</v>
      </c>
    </row>
    <row r="72" spans="1:5" ht="29.1" customHeight="1">
      <c r="A72" s="158" t="s">
        <v>223</v>
      </c>
      <c r="B72" s="159">
        <v>40.04999999999999</v>
      </c>
      <c r="C72" s="159">
        <v>13</v>
      </c>
      <c r="D72" s="133">
        <f t="shared" si="7"/>
        <v>3.08076923076923</v>
      </c>
      <c r="E72" s="133">
        <f t="shared" ca="1" si="8"/>
        <v>1482.4615384615386</v>
      </c>
    </row>
    <row r="73" spans="1:5" ht="29.1" customHeight="1">
      <c r="A73" s="158" t="s">
        <v>224</v>
      </c>
      <c r="B73" s="159">
        <v>917.15000000000055</v>
      </c>
      <c r="C73" s="159">
        <v>200</v>
      </c>
      <c r="D73" s="133">
        <f t="shared" si="7"/>
        <v>4.5857500000000027</v>
      </c>
      <c r="E73" s="133">
        <f t="shared" ca="1" si="8"/>
        <v>96.36</v>
      </c>
    </row>
    <row r="74" spans="1:5" ht="29.1" customHeight="1">
      <c r="A74" s="158" t="s">
        <v>225</v>
      </c>
      <c r="B74" s="159">
        <v>147.41666666666669</v>
      </c>
      <c r="C74" s="159">
        <v>7</v>
      </c>
      <c r="D74" s="133">
        <f t="shared" si="7"/>
        <v>21.059523809523814</v>
      </c>
      <c r="E74" s="133">
        <f t="shared" ca="1" si="8"/>
        <v>2753.1428571428573</v>
      </c>
    </row>
    <row r="75" spans="1:5" ht="29.1" customHeight="1">
      <c r="A75" s="158" t="s">
        <v>226</v>
      </c>
      <c r="B75" s="159">
        <v>35.799999999999997</v>
      </c>
      <c r="C75" s="159">
        <v>10</v>
      </c>
      <c r="D75" s="133">
        <f t="shared" si="7"/>
        <v>3.5799999999999996</v>
      </c>
      <c r="E75" s="133">
        <f t="shared" ca="1" si="8"/>
        <v>1927.2</v>
      </c>
    </row>
    <row r="76" spans="1:5" ht="29.1" customHeight="1">
      <c r="A76" s="158" t="s">
        <v>227</v>
      </c>
      <c r="B76" s="159">
        <v>152.71666666666673</v>
      </c>
      <c r="C76" s="159">
        <v>47</v>
      </c>
      <c r="D76" s="133">
        <f t="shared" si="7"/>
        <v>3.2492907801418451</v>
      </c>
      <c r="E76" s="133">
        <f t="shared" ca="1" si="8"/>
        <v>410.04255319148939</v>
      </c>
    </row>
    <row r="77" spans="1:5" ht="29.1" customHeight="1">
      <c r="A77" s="158" t="s">
        <v>228</v>
      </c>
      <c r="B77" s="159">
        <v>15.916666666666663</v>
      </c>
      <c r="C77" s="159">
        <v>4</v>
      </c>
      <c r="D77" s="133">
        <f t="shared" si="7"/>
        <v>3.9791666666666656</v>
      </c>
      <c r="E77" s="133">
        <f t="shared" ca="1" si="8"/>
        <v>4818</v>
      </c>
    </row>
    <row r="78" spans="1:5" ht="29.1" customHeight="1">
      <c r="A78" s="158" t="s">
        <v>229</v>
      </c>
      <c r="B78" s="159">
        <v>74.63333333333334</v>
      </c>
      <c r="C78" s="159">
        <v>34</v>
      </c>
      <c r="D78" s="133">
        <f t="shared" si="7"/>
        <v>2.1950980392156865</v>
      </c>
      <c r="E78" s="133">
        <f t="shared" ca="1" si="8"/>
        <v>566.82352941176475</v>
      </c>
    </row>
    <row r="79" spans="1:5" ht="29.1" customHeight="1">
      <c r="A79" s="158" t="s">
        <v>230</v>
      </c>
      <c r="B79" s="159">
        <v>241.31611111111107</v>
      </c>
      <c r="C79" s="159">
        <v>69</v>
      </c>
      <c r="D79" s="133">
        <f t="shared" si="7"/>
        <v>3.4973349436392906</v>
      </c>
      <c r="E79" s="133">
        <f t="shared" ca="1" si="8"/>
        <v>279.30434782608694</v>
      </c>
    </row>
    <row r="80" spans="1:5" ht="29.1" customHeight="1">
      <c r="A80" s="158" t="s">
        <v>231</v>
      </c>
      <c r="B80" s="159">
        <v>12.233333333333338</v>
      </c>
      <c r="C80" s="159">
        <v>4</v>
      </c>
      <c r="D80" s="133">
        <f t="shared" si="7"/>
        <v>3.0583333333333345</v>
      </c>
      <c r="E80" s="133">
        <f t="shared" ca="1" si="8"/>
        <v>4818</v>
      </c>
    </row>
    <row r="81" spans="1:5" ht="29.1" customHeight="1">
      <c r="A81" s="158" t="s">
        <v>232</v>
      </c>
      <c r="B81" s="159">
        <v>25.333333333333329</v>
      </c>
      <c r="C81" s="159">
        <v>6</v>
      </c>
      <c r="D81" s="133">
        <f t="shared" si="7"/>
        <v>4.2222222222222214</v>
      </c>
      <c r="E81" s="133">
        <f t="shared" ca="1" si="8"/>
        <v>3212</v>
      </c>
    </row>
    <row r="82" spans="1:5" ht="29.1" customHeight="1">
      <c r="A82" s="158" t="s">
        <v>233</v>
      </c>
      <c r="B82" s="159">
        <v>20.683333333333341</v>
      </c>
      <c r="C82" s="159">
        <v>5</v>
      </c>
      <c r="D82" s="133">
        <f t="shared" si="7"/>
        <v>4.1366666666666685</v>
      </c>
      <c r="E82" s="133">
        <f t="shared" ca="1" si="8"/>
        <v>3854.4</v>
      </c>
    </row>
    <row r="83" spans="1:5" ht="29.1" customHeight="1">
      <c r="A83" s="158" t="s">
        <v>234</v>
      </c>
      <c r="B83" s="159">
        <v>4.9833333333333325</v>
      </c>
      <c r="C83" s="159">
        <v>1</v>
      </c>
      <c r="D83" s="133">
        <f t="shared" si="7"/>
        <v>4.9833333333333325</v>
      </c>
      <c r="E83" s="133">
        <f t="shared" ca="1" si="8"/>
        <v>19272</v>
      </c>
    </row>
    <row r="84" spans="1:5" ht="29.1" customHeight="1">
      <c r="A84" s="158" t="s">
        <v>235</v>
      </c>
      <c r="B84" s="159">
        <v>3.5166666666666693</v>
      </c>
      <c r="C84" s="159">
        <v>3</v>
      </c>
      <c r="D84" s="133">
        <f t="shared" si="7"/>
        <v>1.1722222222222232</v>
      </c>
      <c r="E84" s="133">
        <f t="shared" ca="1" si="8"/>
        <v>6424</v>
      </c>
    </row>
    <row r="85" spans="1:5" ht="29.1" customHeight="1">
      <c r="A85" s="158" t="s">
        <v>236</v>
      </c>
      <c r="B85" s="159">
        <v>287.5333333333333</v>
      </c>
      <c r="C85" s="159">
        <v>50</v>
      </c>
      <c r="D85" s="133">
        <f t="shared" si="7"/>
        <v>5.7506666666666657</v>
      </c>
      <c r="E85" s="133">
        <f t="shared" ca="1" si="8"/>
        <v>385.44</v>
      </c>
    </row>
    <row r="86" spans="1:5" ht="29.1" customHeight="1">
      <c r="A86" s="158" t="s">
        <v>237</v>
      </c>
      <c r="B86" s="159">
        <v>29.383333333333336</v>
      </c>
      <c r="C86" s="159">
        <v>12</v>
      </c>
      <c r="D86" s="133">
        <f t="shared" si="7"/>
        <v>2.4486111111111115</v>
      </c>
      <c r="E86" s="133">
        <f t="shared" ca="1" si="8"/>
        <v>1606</v>
      </c>
    </row>
    <row r="87" spans="1:5" ht="29.1" customHeight="1">
      <c r="A87" s="158" t="s">
        <v>238</v>
      </c>
      <c r="B87" s="159">
        <v>420.54999999999995</v>
      </c>
      <c r="C87" s="159">
        <v>64</v>
      </c>
      <c r="D87" s="133">
        <f t="shared" si="7"/>
        <v>6.5710937499999993</v>
      </c>
      <c r="E87" s="133">
        <f t="shared" ca="1" si="8"/>
        <v>301.125</v>
      </c>
    </row>
    <row r="88" spans="1:5" ht="29.1" customHeight="1">
      <c r="A88" s="158" t="s">
        <v>239</v>
      </c>
      <c r="B88" s="159">
        <v>24.283333333333335</v>
      </c>
      <c r="C88" s="159">
        <v>8</v>
      </c>
      <c r="D88" s="133">
        <f t="shared" si="7"/>
        <v>3.0354166666666669</v>
      </c>
      <c r="E88" s="133">
        <f t="shared" ca="1" si="8"/>
        <v>2409</v>
      </c>
    </row>
    <row r="89" spans="1:5" ht="29.1" customHeight="1">
      <c r="A89" s="158" t="s">
        <v>240</v>
      </c>
      <c r="B89" s="159">
        <v>9.1499999999999986</v>
      </c>
      <c r="C89" s="159">
        <v>3</v>
      </c>
      <c r="D89" s="133">
        <f t="shared" si="7"/>
        <v>3.0499999999999994</v>
      </c>
      <c r="E89" s="133">
        <f t="shared" ca="1" si="8"/>
        <v>6424</v>
      </c>
    </row>
    <row r="90" spans="1:5" ht="29.1" customHeight="1">
      <c r="A90" s="158" t="s">
        <v>241</v>
      </c>
      <c r="B90" s="159">
        <v>3.5999999999999979</v>
      </c>
      <c r="C90" s="159">
        <v>1</v>
      </c>
      <c r="D90" s="133">
        <f t="shared" si="7"/>
        <v>3.5999999999999979</v>
      </c>
      <c r="E90" s="133">
        <f t="shared" ca="1" si="8"/>
        <v>19272</v>
      </c>
    </row>
    <row r="91" spans="1:5" ht="29.1" customHeight="1">
      <c r="A91" s="158" t="s">
        <v>242</v>
      </c>
      <c r="B91" s="159">
        <v>7.2333333333333325</v>
      </c>
      <c r="C91" s="159">
        <v>4</v>
      </c>
      <c r="D91" s="133">
        <f t="shared" si="7"/>
        <v>1.8083333333333331</v>
      </c>
      <c r="E91" s="133">
        <f t="shared" ca="1" si="8"/>
        <v>4818</v>
      </c>
    </row>
    <row r="92" spans="1:5" ht="29.1" customHeight="1">
      <c r="A92" s="158" t="s">
        <v>243</v>
      </c>
      <c r="B92" s="159">
        <v>92.783333333333346</v>
      </c>
      <c r="C92" s="159">
        <v>15</v>
      </c>
      <c r="D92" s="133">
        <f t="shared" si="7"/>
        <v>6.1855555555555561</v>
      </c>
      <c r="E92" s="133">
        <f t="shared" ca="1" si="8"/>
        <v>1284.8</v>
      </c>
    </row>
    <row r="93" spans="1:5" ht="29.1" customHeight="1">
      <c r="A93" s="158" t="s">
        <v>244</v>
      </c>
      <c r="B93" s="159">
        <v>4.2333333333333343</v>
      </c>
      <c r="C93" s="159">
        <v>3</v>
      </c>
      <c r="D93" s="133">
        <f t="shared" si="7"/>
        <v>1.4111111111111114</v>
      </c>
      <c r="E93" s="133">
        <f t="shared" ca="1" si="8"/>
        <v>6424</v>
      </c>
    </row>
    <row r="94" spans="1:5" ht="29.1" customHeight="1">
      <c r="A94" s="158" t="s">
        <v>245</v>
      </c>
      <c r="B94" s="159">
        <v>2.6833333333333327</v>
      </c>
      <c r="C94" s="159">
        <v>4</v>
      </c>
      <c r="D94" s="133">
        <f t="shared" si="7"/>
        <v>0.67083333333333317</v>
      </c>
      <c r="E94" s="133">
        <f t="shared" ca="1" si="8"/>
        <v>4818</v>
      </c>
    </row>
    <row r="95" spans="1:5" ht="29.1" customHeight="1">
      <c r="A95" s="158" t="s">
        <v>246</v>
      </c>
      <c r="B95" s="159">
        <v>8.5333333333333314</v>
      </c>
      <c r="C95" s="159">
        <v>10</v>
      </c>
      <c r="D95" s="133">
        <f t="shared" ref="D95:D108" si="9">B95/C95</f>
        <v>0.85333333333333317</v>
      </c>
      <c r="E95" s="133">
        <f t="shared" ref="E95:E108" ca="1" si="10">$D$26/C95</f>
        <v>1927.2</v>
      </c>
    </row>
    <row r="96" spans="1:5" ht="29.1" customHeight="1">
      <c r="A96" s="158" t="s">
        <v>247</v>
      </c>
      <c r="B96" s="159">
        <v>5.6666666666666679</v>
      </c>
      <c r="C96" s="159">
        <v>1</v>
      </c>
      <c r="D96" s="133">
        <f t="shared" si="9"/>
        <v>5.6666666666666679</v>
      </c>
      <c r="E96" s="133">
        <f t="shared" ca="1" si="10"/>
        <v>19272</v>
      </c>
    </row>
    <row r="97" spans="1:5" ht="29.1" customHeight="1">
      <c r="A97" s="158" t="s">
        <v>248</v>
      </c>
      <c r="B97" s="159">
        <v>33.916666666666671</v>
      </c>
      <c r="C97" s="159">
        <v>11</v>
      </c>
      <c r="D97" s="133">
        <f t="shared" si="9"/>
        <v>3.0833333333333339</v>
      </c>
      <c r="E97" s="133">
        <f t="shared" ca="1" si="10"/>
        <v>1752</v>
      </c>
    </row>
    <row r="98" spans="1:5" ht="29.1" customHeight="1">
      <c r="A98" s="158" t="s">
        <v>249</v>
      </c>
      <c r="B98" s="159">
        <v>22.583333333333336</v>
      </c>
      <c r="C98" s="159">
        <v>4</v>
      </c>
      <c r="D98" s="133">
        <f t="shared" si="9"/>
        <v>5.6458333333333339</v>
      </c>
      <c r="E98" s="133">
        <f t="shared" ca="1" si="10"/>
        <v>4818</v>
      </c>
    </row>
    <row r="99" spans="1:5" ht="29.1" customHeight="1">
      <c r="A99" s="158" t="s">
        <v>250</v>
      </c>
      <c r="B99" s="159">
        <v>6.6499999999999995</v>
      </c>
      <c r="C99" s="159">
        <v>5</v>
      </c>
      <c r="D99" s="133">
        <f t="shared" si="9"/>
        <v>1.3299999999999998</v>
      </c>
      <c r="E99" s="133">
        <f t="shared" ca="1" si="10"/>
        <v>3854.4</v>
      </c>
    </row>
    <row r="100" spans="1:5" ht="29.1" customHeight="1">
      <c r="A100" s="158" t="s">
        <v>251</v>
      </c>
      <c r="B100" s="159">
        <v>3.1666666666666661</v>
      </c>
      <c r="C100" s="159">
        <v>1</v>
      </c>
      <c r="D100" s="133">
        <f t="shared" si="9"/>
        <v>3.1666666666666661</v>
      </c>
      <c r="E100" s="133">
        <f t="shared" ca="1" si="10"/>
        <v>19272</v>
      </c>
    </row>
    <row r="101" spans="1:5" ht="29.1" customHeight="1">
      <c r="A101" s="158" t="s">
        <v>252</v>
      </c>
      <c r="B101" s="159">
        <v>12.033333333333333</v>
      </c>
      <c r="C101" s="159">
        <v>4</v>
      </c>
      <c r="D101" s="133">
        <f t="shared" si="9"/>
        <v>3.0083333333333333</v>
      </c>
      <c r="E101" s="133">
        <f t="shared" ca="1" si="10"/>
        <v>4818</v>
      </c>
    </row>
    <row r="102" spans="1:5" ht="29.1" customHeight="1">
      <c r="A102" s="158" t="s">
        <v>253</v>
      </c>
      <c r="B102" s="159">
        <v>74.649999999999991</v>
      </c>
      <c r="C102" s="159">
        <v>24</v>
      </c>
      <c r="D102" s="133">
        <f t="shared" si="9"/>
        <v>3.1104166666666662</v>
      </c>
      <c r="E102" s="133">
        <f t="shared" ca="1" si="10"/>
        <v>803</v>
      </c>
    </row>
    <row r="103" spans="1:5" ht="29.1" customHeight="1">
      <c r="A103" s="158" t="s">
        <v>254</v>
      </c>
      <c r="B103" s="159">
        <v>11.083333333333332</v>
      </c>
      <c r="C103" s="159">
        <v>5</v>
      </c>
      <c r="D103" s="133">
        <f t="shared" si="9"/>
        <v>2.2166666666666663</v>
      </c>
      <c r="E103" s="133">
        <f t="shared" ca="1" si="10"/>
        <v>3854.4</v>
      </c>
    </row>
    <row r="104" spans="1:5" ht="29.1" customHeight="1">
      <c r="A104" s="158" t="s">
        <v>255</v>
      </c>
      <c r="B104" s="159">
        <v>79.483333333333348</v>
      </c>
      <c r="C104" s="159">
        <v>40</v>
      </c>
      <c r="D104" s="133">
        <f t="shared" si="9"/>
        <v>1.9870833333333338</v>
      </c>
      <c r="E104" s="133">
        <f t="shared" ca="1" si="10"/>
        <v>481.8</v>
      </c>
    </row>
    <row r="105" spans="1:5" ht="29.1" customHeight="1">
      <c r="A105" s="158" t="s">
        <v>256</v>
      </c>
      <c r="B105" s="159">
        <v>9.8333333333333357</v>
      </c>
      <c r="C105" s="159">
        <v>3</v>
      </c>
      <c r="D105" s="133">
        <f t="shared" si="9"/>
        <v>3.2777777777777786</v>
      </c>
      <c r="E105" s="133">
        <f t="shared" ca="1" si="10"/>
        <v>6424</v>
      </c>
    </row>
    <row r="106" spans="1:5" ht="29.1" customHeight="1">
      <c r="A106" s="158" t="s">
        <v>257</v>
      </c>
      <c r="B106" s="159">
        <v>9.2166666666666668</v>
      </c>
      <c r="C106" s="159">
        <v>2</v>
      </c>
      <c r="D106" s="133">
        <f t="shared" si="9"/>
        <v>4.6083333333333334</v>
      </c>
      <c r="E106" s="133">
        <f t="shared" ca="1" si="10"/>
        <v>9636</v>
      </c>
    </row>
    <row r="107" spans="1:5" ht="29.1" customHeight="1">
      <c r="A107" s="158" t="s">
        <v>258</v>
      </c>
      <c r="B107" s="135">
        <v>0</v>
      </c>
      <c r="C107" s="135"/>
      <c r="D107" s="133" t="e">
        <f t="shared" si="9"/>
        <v>#DIV/0!</v>
      </c>
      <c r="E107" s="133" t="e">
        <f t="shared" ca="1" si="10"/>
        <v>#DIV/0!</v>
      </c>
    </row>
    <row r="108" spans="1:5" ht="29.1" customHeight="1">
      <c r="A108" s="158" t="s">
        <v>259</v>
      </c>
      <c r="B108" s="135">
        <v>4.9000000000000012</v>
      </c>
      <c r="C108" s="135">
        <v>1</v>
      </c>
      <c r="D108" s="133">
        <f t="shared" si="9"/>
        <v>4.9000000000000012</v>
      </c>
      <c r="E108" s="133">
        <f t="shared" ca="1" si="10"/>
        <v>19272</v>
      </c>
    </row>
    <row r="109" spans="1:5" ht="29.1" customHeight="1">
      <c r="A109" s="158" t="s">
        <v>260</v>
      </c>
      <c r="B109" s="135">
        <v>1.5833333333333357</v>
      </c>
      <c r="C109" s="135">
        <v>1</v>
      </c>
    </row>
    <row r="110" spans="1:5" ht="29.1" customHeight="1">
      <c r="A110" s="158" t="s">
        <v>261</v>
      </c>
      <c r="B110" s="135">
        <v>9.1666666666666679</v>
      </c>
      <c r="C110" s="135">
        <v>3</v>
      </c>
    </row>
    <row r="111" spans="1:5" ht="29.1" customHeight="1">
      <c r="A111" s="158" t="s">
        <v>262</v>
      </c>
      <c r="B111" s="135">
        <v>46.416666666666664</v>
      </c>
      <c r="C111" s="135">
        <v>15</v>
      </c>
    </row>
    <row r="112" spans="1:5" ht="29.1" customHeight="1">
      <c r="A112" s="158" t="s">
        <v>263</v>
      </c>
      <c r="B112" s="135">
        <v>69.316666666666649</v>
      </c>
      <c r="C112" s="135">
        <v>12</v>
      </c>
    </row>
    <row r="113" spans="1:3" ht="29.1" customHeight="1">
      <c r="A113" s="158" t="s">
        <v>264</v>
      </c>
      <c r="B113" s="135">
        <v>12.083333333333332</v>
      </c>
      <c r="C113" s="135">
        <v>1</v>
      </c>
    </row>
    <row r="114" spans="1:3" ht="29.1" customHeight="1">
      <c r="A114" s="158" t="s">
        <v>265</v>
      </c>
      <c r="B114" s="135">
        <v>7.5166666666666666</v>
      </c>
      <c r="C114" s="135">
        <v>1</v>
      </c>
    </row>
    <row r="115" spans="1:3" ht="29.1" customHeight="1">
      <c r="A115" s="158" t="s">
        <v>266</v>
      </c>
      <c r="B115" s="135">
        <v>8.0499999999999972</v>
      </c>
      <c r="C115" s="135">
        <v>1</v>
      </c>
    </row>
    <row r="116" spans="1:3" ht="29.1" customHeight="1">
      <c r="A116" s="158" t="s">
        <v>267</v>
      </c>
      <c r="B116" s="135">
        <v>20.916666666666664</v>
      </c>
      <c r="C116" s="135">
        <v>3</v>
      </c>
    </row>
    <row r="117" spans="1:3" ht="29.1" customHeight="1">
      <c r="A117" s="158" t="s">
        <v>268</v>
      </c>
      <c r="B117" s="135">
        <v>97.38333333333334</v>
      </c>
      <c r="C117" s="135">
        <v>27</v>
      </c>
    </row>
    <row r="118" spans="1:3" ht="29.1" customHeight="1">
      <c r="A118" s="158" t="s">
        <v>269</v>
      </c>
      <c r="B118" s="135">
        <v>751.81666666666695</v>
      </c>
      <c r="C118" s="135">
        <v>49</v>
      </c>
    </row>
    <row r="119" spans="1:3" ht="29.1" customHeight="1">
      <c r="A119" s="158" t="s">
        <v>270</v>
      </c>
      <c r="B119" s="135">
        <v>6.5</v>
      </c>
      <c r="C119" s="135">
        <v>2</v>
      </c>
    </row>
    <row r="120" spans="1:3" ht="29.1" customHeight="1">
      <c r="A120" s="158" t="s">
        <v>271</v>
      </c>
      <c r="B120" s="135">
        <v>141.13333333333341</v>
      </c>
      <c r="C120" s="135">
        <v>74</v>
      </c>
    </row>
    <row r="121" spans="1:3" ht="29.1" customHeight="1">
      <c r="A121" s="158" t="s">
        <v>272</v>
      </c>
      <c r="B121" s="135">
        <v>1141.2666666666657</v>
      </c>
      <c r="C121" s="135">
        <v>151</v>
      </c>
    </row>
    <row r="122" spans="1:3" ht="29.1" customHeight="1">
      <c r="A122" s="158" t="s">
        <v>273</v>
      </c>
      <c r="B122" s="135">
        <v>626.25000000000034</v>
      </c>
      <c r="C122" s="135">
        <v>174</v>
      </c>
    </row>
    <row r="123" spans="1:3" ht="29.1" customHeight="1">
      <c r="A123" s="158" t="s">
        <v>274</v>
      </c>
      <c r="B123" s="135">
        <v>27.383055555555551</v>
      </c>
      <c r="C123" s="135">
        <v>8</v>
      </c>
    </row>
    <row r="124" spans="1:3" ht="29.1" customHeight="1">
      <c r="A124" s="158" t="s">
        <v>275</v>
      </c>
      <c r="B124" s="135">
        <v>19.45</v>
      </c>
      <c r="C124" s="135">
        <v>2</v>
      </c>
    </row>
    <row r="125" spans="1:3" ht="29.1" customHeight="1">
      <c r="A125" s="158" t="s">
        <v>276</v>
      </c>
      <c r="B125" s="135">
        <v>37.866666666666667</v>
      </c>
      <c r="C125" s="135">
        <v>19</v>
      </c>
    </row>
    <row r="126" spans="1:3" ht="29.1" customHeight="1">
      <c r="A126" s="158" t="s">
        <v>277</v>
      </c>
      <c r="B126" s="135">
        <v>7.5499999999999989</v>
      </c>
      <c r="C126" s="135">
        <v>4</v>
      </c>
    </row>
    <row r="127" spans="1:3" ht="29.1" customHeight="1">
      <c r="A127" s="158" t="s">
        <v>278</v>
      </c>
      <c r="B127" s="135">
        <v>0.61666666666666714</v>
      </c>
      <c r="C127" s="135">
        <v>1</v>
      </c>
    </row>
    <row r="128" spans="1:3" ht="29.1" customHeight="1">
      <c r="A128" s="158" t="s">
        <v>279</v>
      </c>
      <c r="B128" s="135">
        <v>6.6666666666666679</v>
      </c>
      <c r="C128" s="135">
        <v>1</v>
      </c>
    </row>
    <row r="129" spans="1:3" ht="29.1" customHeight="1">
      <c r="A129" s="158" t="s">
        <v>280</v>
      </c>
      <c r="B129" s="135">
        <v>28.116666666666667</v>
      </c>
      <c r="C129" s="135">
        <v>8</v>
      </c>
    </row>
    <row r="130" spans="1:3" ht="29.1" customHeight="1">
      <c r="A130" s="158" t="s">
        <v>281</v>
      </c>
      <c r="B130" s="135">
        <v>8.716666666666665</v>
      </c>
      <c r="C130" s="135">
        <v>5</v>
      </c>
    </row>
    <row r="131" spans="1:3" ht="29.1" customHeight="1">
      <c r="A131" s="158" t="s">
        <v>282</v>
      </c>
      <c r="B131" s="135">
        <v>1528.4150000000009</v>
      </c>
      <c r="C131" s="135">
        <v>65</v>
      </c>
    </row>
    <row r="132" spans="1:3" ht="29.1" customHeight="1">
      <c r="A132" s="158" t="s">
        <v>283</v>
      </c>
      <c r="B132" s="135">
        <v>3511.6666666666551</v>
      </c>
      <c r="C132" s="135">
        <v>148</v>
      </c>
    </row>
    <row r="133" spans="1:3" ht="29.1" customHeight="1">
      <c r="A133" s="158" t="s">
        <v>284</v>
      </c>
      <c r="B133" s="135">
        <v>61.566666666666663</v>
      </c>
      <c r="C133" s="135">
        <v>6</v>
      </c>
    </row>
    <row r="134" spans="1:3" ht="29.1" customHeight="1">
      <c r="A134" s="158" t="s">
        <v>285</v>
      </c>
      <c r="B134" s="135">
        <v>86.966666666666669</v>
      </c>
      <c r="C134" s="135">
        <v>5</v>
      </c>
    </row>
    <row r="135" spans="1:3" ht="29.1" customHeight="1">
      <c r="A135" s="158" t="s">
        <v>286</v>
      </c>
      <c r="B135" s="135">
        <v>3.3166666666666695</v>
      </c>
      <c r="C135" s="135">
        <v>13</v>
      </c>
    </row>
    <row r="136" spans="1:3" ht="29.1" customHeight="1">
      <c r="A136" s="158" t="s">
        <v>287</v>
      </c>
      <c r="B136" s="135">
        <v>2.4000000000000021</v>
      </c>
      <c r="C136" s="135">
        <v>1</v>
      </c>
    </row>
    <row r="137" spans="1:3" ht="29.1" customHeight="1">
      <c r="A137" s="158" t="s">
        <v>288</v>
      </c>
      <c r="B137" s="135">
        <v>16.766666666666662</v>
      </c>
      <c r="C137" s="135">
        <v>6</v>
      </c>
    </row>
    <row r="138" spans="1:3" ht="29.1" customHeight="1">
      <c r="A138" s="158" t="s">
        <v>289</v>
      </c>
      <c r="B138" s="135">
        <v>2.9000000000000004</v>
      </c>
      <c r="C138" s="135">
        <v>1</v>
      </c>
    </row>
    <row r="139" spans="1:3" ht="29.1" customHeight="1">
      <c r="A139" s="158" t="s">
        <v>290</v>
      </c>
      <c r="B139" s="135">
        <v>37.049999999999997</v>
      </c>
      <c r="C139" s="135">
        <v>5</v>
      </c>
    </row>
    <row r="140" spans="1:3" ht="29.1" customHeight="1">
      <c r="A140" s="158" t="s">
        <v>291</v>
      </c>
      <c r="B140" s="135">
        <v>2.9333333333333358</v>
      </c>
      <c r="C140" s="135">
        <v>2</v>
      </c>
    </row>
    <row r="141" spans="1:3" ht="29.1" customHeight="1">
      <c r="A141" s="158" t="s">
        <v>292</v>
      </c>
      <c r="B141" s="135">
        <v>326.2166666666667</v>
      </c>
      <c r="C141" s="135">
        <v>16</v>
      </c>
    </row>
    <row r="142" spans="1:3" ht="29.1" customHeight="1">
      <c r="A142" s="158" t="s">
        <v>293</v>
      </c>
      <c r="B142" s="135">
        <v>4.5666666666666664</v>
      </c>
      <c r="C142" s="135">
        <v>1</v>
      </c>
    </row>
    <row r="143" spans="1:3" ht="29.1" customHeight="1">
      <c r="A143" s="158" t="s">
        <v>294</v>
      </c>
      <c r="B143" s="135">
        <v>25.150000000000006</v>
      </c>
      <c r="C143" s="135">
        <v>4</v>
      </c>
    </row>
    <row r="144" spans="1:3" ht="29.1" customHeight="1">
      <c r="A144" s="158" t="s">
        <v>295</v>
      </c>
      <c r="B144" s="135">
        <v>28.6</v>
      </c>
      <c r="C144" s="135">
        <v>3</v>
      </c>
    </row>
    <row r="145" spans="1:3" ht="29.1" customHeight="1">
      <c r="A145" s="158" t="s">
        <v>296</v>
      </c>
      <c r="B145" s="135">
        <v>7.9666666666666686</v>
      </c>
      <c r="C145" s="135">
        <v>2</v>
      </c>
    </row>
    <row r="146" spans="1:3" ht="29.1" customHeight="1">
      <c r="A146" s="158" t="s">
        <v>297</v>
      </c>
      <c r="B146" s="135">
        <v>85.916666666666714</v>
      </c>
      <c r="C146" s="135">
        <v>34</v>
      </c>
    </row>
    <row r="147" spans="1:3" ht="29.1" customHeight="1">
      <c r="A147" s="158" t="s">
        <v>298</v>
      </c>
      <c r="B147" s="135">
        <v>3.4833333333333343</v>
      </c>
      <c r="C147" s="135">
        <v>2</v>
      </c>
    </row>
    <row r="148" spans="1:3" ht="29.1" customHeight="1">
      <c r="A148" s="158" t="s">
        <v>299</v>
      </c>
      <c r="B148" s="135">
        <v>0.4499999999999984</v>
      </c>
      <c r="C148" s="135">
        <v>1</v>
      </c>
    </row>
    <row r="149" spans="1:3" ht="29.1" customHeight="1">
      <c r="A149" s="158" t="s">
        <v>300</v>
      </c>
      <c r="B149" s="135">
        <v>9.0500000000000007</v>
      </c>
      <c r="C149" s="135">
        <v>3</v>
      </c>
    </row>
    <row r="150" spans="1:3" ht="29.1" customHeight="1">
      <c r="A150" s="158" t="s">
        <v>301</v>
      </c>
      <c r="B150" s="135">
        <v>6.5000000000000009</v>
      </c>
      <c r="C150" s="135">
        <v>3</v>
      </c>
    </row>
    <row r="151" spans="1:3" ht="29.1" customHeight="1">
      <c r="A151" s="158" t="s">
        <v>302</v>
      </c>
      <c r="B151" s="135">
        <v>4.7666666666666675</v>
      </c>
      <c r="C151" s="135">
        <v>1</v>
      </c>
    </row>
    <row r="152" spans="1:3" ht="29.1" customHeight="1">
      <c r="A152" s="158" t="s">
        <v>303</v>
      </c>
      <c r="B152" s="135">
        <v>230.83333333333337</v>
      </c>
      <c r="C152" s="135">
        <v>50</v>
      </c>
    </row>
    <row r="153" spans="1:3" ht="29.1" customHeight="1">
      <c r="A153" s="158" t="s">
        <v>304</v>
      </c>
      <c r="B153" s="135">
        <v>4.6999999999999993</v>
      </c>
      <c r="C153" s="135">
        <v>1</v>
      </c>
    </row>
    <row r="154" spans="1:3" ht="29.1" customHeight="1">
      <c r="A154" s="158" t="s">
        <v>305</v>
      </c>
      <c r="B154" s="135">
        <v>2.3833333333333355</v>
      </c>
      <c r="C154" s="135">
        <v>2</v>
      </c>
    </row>
    <row r="155" spans="1:3" ht="29.1" customHeight="1">
      <c r="A155" s="158" t="s">
        <v>306</v>
      </c>
      <c r="B155" s="135">
        <v>4.0666666666666655</v>
      </c>
      <c r="C155" s="135">
        <v>1</v>
      </c>
    </row>
    <row r="156" spans="1:3" ht="29.1" customHeight="1">
      <c r="A156" s="158" t="s">
        <v>307</v>
      </c>
      <c r="B156" s="135">
        <v>13265.580833333397</v>
      </c>
      <c r="C156" s="135">
        <v>2069</v>
      </c>
    </row>
  </sheetData>
  <mergeCells count="5">
    <mergeCell ref="D26:E26"/>
    <mergeCell ref="F26:G26"/>
    <mergeCell ref="A23:G23"/>
    <mergeCell ref="D25:E25"/>
    <mergeCell ref="F25:G25"/>
  </mergeCells>
  <conditionalFormatting sqref="B5:AN5">
    <cfRule type="colorScale" priority="989">
      <colorScale>
        <cfvo type="min"/>
        <cfvo type="percentile" val="50"/>
        <cfvo type="max"/>
        <color rgb="FFF8696B"/>
        <color rgb="FFFFEB84"/>
        <color rgb="FF63BE7B"/>
      </colorScale>
    </cfRule>
  </conditionalFormatting>
  <conditionalFormatting sqref="B7:AN7">
    <cfRule type="colorScale" priority="991">
      <colorScale>
        <cfvo type="min"/>
        <cfvo type="percentile" val="50"/>
        <cfvo type="max"/>
        <color rgb="FFF8696B"/>
        <color rgb="FFFFEB84"/>
        <color rgb="FF63BE7B"/>
      </colorScale>
    </cfRule>
  </conditionalFormatting>
  <conditionalFormatting sqref="B13:AN13">
    <cfRule type="colorScale" priority="993">
      <colorScale>
        <cfvo type="min"/>
        <cfvo type="percentile" val="50"/>
        <cfvo type="max"/>
        <color rgb="FFF8696B"/>
        <color rgb="FFFFEB84"/>
        <color rgb="FF63BE7B"/>
      </colorScale>
    </cfRule>
  </conditionalFormatting>
  <conditionalFormatting sqref="B15:AN15">
    <cfRule type="colorScale" priority="995">
      <colorScale>
        <cfvo type="min"/>
        <cfvo type="percentile" val="50"/>
        <cfvo type="max"/>
        <color rgb="FFF8696B"/>
        <color rgb="FFFFEB84"/>
        <color rgb="FF63BE7B"/>
      </colorScale>
    </cfRule>
  </conditionalFormatting>
  <conditionalFormatting sqref="B16:AN16">
    <cfRule type="colorScale" priority="997">
      <colorScale>
        <cfvo type="min"/>
        <cfvo type="percentile" val="50"/>
        <cfvo type="max"/>
        <color rgb="FFF8696B"/>
        <color rgb="FFFFEB84"/>
        <color rgb="FF63BE7B"/>
      </colorScale>
    </cfRule>
  </conditionalFormatting>
  <conditionalFormatting sqref="B19:AN19">
    <cfRule type="colorScale" priority="999">
      <colorScale>
        <cfvo type="min"/>
        <cfvo type="percentile" val="50"/>
        <cfvo type="max"/>
        <color rgb="FF63BE7B"/>
        <color rgb="FFFFEB84"/>
        <color rgb="FFF8696B"/>
      </colorScale>
    </cfRule>
  </conditionalFormatting>
  <conditionalFormatting sqref="B20:AN20">
    <cfRule type="colorScale" priority="1001">
      <colorScale>
        <cfvo type="min"/>
        <cfvo type="percentile" val="50"/>
        <cfvo type="max"/>
        <color rgb="FFF8696B"/>
        <color rgb="FFFFEB84"/>
        <color rgb="FF63BE7B"/>
      </colorScale>
    </cfRule>
  </conditionalFormatting>
  <conditionalFormatting sqref="B21:AN21">
    <cfRule type="cellIs" dxfId="300" priority="10" operator="lessThan">
      <formula>$D$2+$D$3</formula>
    </cfRule>
    <cfRule type="cellIs" dxfId="299"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DH197"/>
  <sheetViews>
    <sheetView showGridLines="0" zoomScaleNormal="100" workbookViewId="0">
      <pane xSplit="1" ySplit="4" topLeftCell="CX73" activePane="bottomRight" state="frozen"/>
      <selection pane="bottomRight" activeCell="R80" sqref="R80"/>
      <selection pane="bottomLeft" activeCell="A5" sqref="A5"/>
      <selection pane="topRight" activeCell="B1" sqref="B1"/>
    </sheetView>
  </sheetViews>
  <sheetFormatPr defaultColWidth="8.85546875" defaultRowHeight="15"/>
  <cols>
    <col min="1" max="1" width="11.42578125" style="1" bestFit="1" customWidth="1"/>
    <col min="2" max="2" width="11.28515625" customWidth="1"/>
    <col min="3" max="3" width="12.42578125" customWidth="1"/>
    <col min="4" max="4" width="15.7109375" customWidth="1"/>
    <col min="7" max="7" width="10.140625" bestFit="1" customWidth="1"/>
    <col min="14" max="14" width="8.85546875" customWidth="1"/>
    <col min="16" max="16" width="9.42578125" customWidth="1"/>
    <col min="17" max="17" width="11.140625" bestFit="1" customWidth="1"/>
    <col min="84" max="84" width="10.140625" customWidth="1"/>
    <col min="85" max="85" width="11.42578125" customWidth="1"/>
    <col min="86" max="87" width="10.140625" customWidth="1"/>
    <col min="88" max="88" width="13.85546875" bestFit="1" customWidth="1"/>
    <col min="89" max="89" width="13.85546875" customWidth="1"/>
    <col min="90" max="90" width="15.42578125" style="1" bestFit="1" customWidth="1"/>
    <col min="91" max="91" width="15.42578125" style="1" customWidth="1"/>
    <col min="92" max="92" width="12" style="1" bestFit="1" customWidth="1"/>
    <col min="93" max="93" width="12" style="1" customWidth="1"/>
    <col min="94" max="94" width="12.140625" style="1" bestFit="1" customWidth="1"/>
    <col min="95" max="95" width="12.140625" style="1" customWidth="1"/>
    <col min="96" max="96" width="13.28515625" style="1" customWidth="1"/>
    <col min="97" max="97" width="12.42578125" style="1" customWidth="1"/>
    <col min="98" max="98" width="12.140625" style="1" customWidth="1"/>
    <col min="99" max="99" width="11.42578125" style="1" customWidth="1"/>
    <col min="100" max="100" width="11.7109375" style="1" customWidth="1"/>
    <col min="101" max="101" width="11.28515625" style="1" customWidth="1"/>
    <col min="102" max="102" width="13.140625" style="1" customWidth="1"/>
    <col min="103" max="103" width="12.42578125" style="1" customWidth="1"/>
    <col min="104" max="104" width="16.5703125" style="1" bestFit="1" customWidth="1"/>
    <col min="105" max="105" width="11.42578125" style="1" customWidth="1"/>
    <col min="106" max="106" width="11" bestFit="1" customWidth="1"/>
    <col min="107" max="107" width="19.28515625" style="3" customWidth="1"/>
    <col min="108" max="108" width="12.85546875" customWidth="1"/>
    <col min="109" max="109" width="16.28515625" customWidth="1"/>
  </cols>
  <sheetData>
    <row r="1" spans="1:112">
      <c r="A1" s="1">
        <v>1</v>
      </c>
      <c r="B1">
        <f>A1+1</f>
        <v>2</v>
      </c>
      <c r="C1">
        <f t="shared" ref="C1:BM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B1" si="1">BM1+1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row>
    <row r="2" spans="1:112">
      <c r="CJ2" s="2"/>
      <c r="CK2" s="2"/>
      <c r="CR2"/>
      <c r="CS2"/>
      <c r="CT2"/>
      <c r="CU2"/>
      <c r="CV2"/>
      <c r="CW2"/>
      <c r="CX2"/>
      <c r="CY2"/>
      <c r="CZ2"/>
      <c r="DA2"/>
    </row>
    <row r="3" spans="1:112">
      <c r="F3" s="4" t="s">
        <v>308</v>
      </c>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5" t="s">
        <v>309</v>
      </c>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J3" s="7" t="s">
        <v>310</v>
      </c>
      <c r="CK3" s="7"/>
      <c r="CL3" s="7"/>
      <c r="CM3" s="7"/>
      <c r="CN3" s="7"/>
      <c r="CO3" s="7"/>
      <c r="CP3" s="7"/>
      <c r="CQ3" s="7"/>
      <c r="CR3" s="6" t="s">
        <v>311</v>
      </c>
      <c r="CS3" s="6"/>
      <c r="CT3" s="6"/>
      <c r="CU3" s="6"/>
      <c r="CV3" s="6"/>
      <c r="CW3" s="6"/>
      <c r="CX3" s="6"/>
      <c r="CY3" s="6"/>
      <c r="CZ3" s="6"/>
      <c r="DA3" s="6"/>
      <c r="DB3" s="6"/>
    </row>
    <row r="4" spans="1:112" ht="48">
      <c r="A4" s="8" t="s">
        <v>73</v>
      </c>
      <c r="B4" s="9" t="s">
        <v>174</v>
      </c>
      <c r="C4" s="9" t="s">
        <v>312</v>
      </c>
      <c r="D4" s="9" t="s">
        <v>75</v>
      </c>
      <c r="E4" s="9" t="s">
        <v>46</v>
      </c>
      <c r="F4" s="10" t="s">
        <v>115</v>
      </c>
      <c r="G4" s="10" t="s">
        <v>116</v>
      </c>
      <c r="H4" s="10" t="s">
        <v>117</v>
      </c>
      <c r="I4" s="10" t="s">
        <v>118</v>
      </c>
      <c r="J4" s="10" t="s">
        <v>119</v>
      </c>
      <c r="K4" s="10" t="s">
        <v>120</v>
      </c>
      <c r="L4" s="10" t="s">
        <v>121</v>
      </c>
      <c r="M4" s="10" t="s">
        <v>122</v>
      </c>
      <c r="N4" s="10" t="s">
        <v>123</v>
      </c>
      <c r="O4" s="10" t="s">
        <v>124</v>
      </c>
      <c r="P4" s="10" t="s">
        <v>125</v>
      </c>
      <c r="Q4" s="10" t="s">
        <v>126</v>
      </c>
      <c r="R4" s="10" t="s">
        <v>127</v>
      </c>
      <c r="S4" s="10" t="s">
        <v>128</v>
      </c>
      <c r="T4" s="10" t="s">
        <v>129</v>
      </c>
      <c r="U4" s="10" t="s">
        <v>130</v>
      </c>
      <c r="V4" s="10" t="s">
        <v>131</v>
      </c>
      <c r="W4" s="10" t="s">
        <v>132</v>
      </c>
      <c r="X4" s="10" t="s">
        <v>133</v>
      </c>
      <c r="Y4" s="10" t="s">
        <v>134</v>
      </c>
      <c r="Z4" s="10" t="s">
        <v>135</v>
      </c>
      <c r="AA4" s="10" t="s">
        <v>136</v>
      </c>
      <c r="AB4" s="10" t="s">
        <v>137</v>
      </c>
      <c r="AC4" s="10" t="s">
        <v>138</v>
      </c>
      <c r="AD4" s="10" t="s">
        <v>139</v>
      </c>
      <c r="AE4" s="10" t="s">
        <v>140</v>
      </c>
      <c r="AF4" s="10" t="s">
        <v>141</v>
      </c>
      <c r="AG4" s="10" t="s">
        <v>142</v>
      </c>
      <c r="AH4" s="10" t="s">
        <v>143</v>
      </c>
      <c r="AI4" s="10" t="s">
        <v>144</v>
      </c>
      <c r="AJ4" s="10" t="s">
        <v>145</v>
      </c>
      <c r="AK4" s="10" t="s">
        <v>146</v>
      </c>
      <c r="AL4" s="10" t="s">
        <v>147</v>
      </c>
      <c r="AM4" s="10" t="s">
        <v>148</v>
      </c>
      <c r="AN4" s="10" t="s">
        <v>149</v>
      </c>
      <c r="AO4" s="10" t="s">
        <v>150</v>
      </c>
      <c r="AP4" s="10" t="s">
        <v>151</v>
      </c>
      <c r="AQ4" s="10" t="s">
        <v>152</v>
      </c>
      <c r="AR4" s="10" t="s">
        <v>153</v>
      </c>
      <c r="AS4" s="10" t="s">
        <v>313</v>
      </c>
      <c r="AT4" s="10" t="s">
        <v>314</v>
      </c>
      <c r="AU4" s="10" t="s">
        <v>315</v>
      </c>
      <c r="AV4" s="10" t="s">
        <v>316</v>
      </c>
      <c r="AW4" s="10" t="s">
        <v>317</v>
      </c>
      <c r="AX4" s="10" t="s">
        <v>318</v>
      </c>
      <c r="AY4" s="10" t="s">
        <v>319</v>
      </c>
      <c r="AZ4" s="10" t="s">
        <v>320</v>
      </c>
      <c r="BA4" s="10" t="s">
        <v>321</v>
      </c>
      <c r="BB4" s="10" t="s">
        <v>322</v>
      </c>
      <c r="BC4" s="10" t="s">
        <v>323</v>
      </c>
      <c r="BD4" s="10" t="s">
        <v>324</v>
      </c>
      <c r="BE4" s="10" t="s">
        <v>325</v>
      </c>
      <c r="BF4" s="10" t="s">
        <v>326</v>
      </c>
      <c r="BG4" s="10" t="s">
        <v>327</v>
      </c>
      <c r="BH4" s="10" t="s">
        <v>328</v>
      </c>
      <c r="BI4" s="10" t="s">
        <v>329</v>
      </c>
      <c r="BJ4" s="10" t="s">
        <v>330</v>
      </c>
      <c r="BK4" s="10" t="s">
        <v>331</v>
      </c>
      <c r="BL4" s="10" t="s">
        <v>332</v>
      </c>
      <c r="BM4" s="10" t="s">
        <v>333</v>
      </c>
      <c r="BN4" s="10" t="s">
        <v>334</v>
      </c>
      <c r="BO4" s="10" t="s">
        <v>335</v>
      </c>
      <c r="BP4" s="10" t="s">
        <v>336</v>
      </c>
      <c r="BQ4" s="10" t="s">
        <v>337</v>
      </c>
      <c r="BR4" s="10" t="s">
        <v>338</v>
      </c>
      <c r="BS4" s="10" t="s">
        <v>339</v>
      </c>
      <c r="BT4" s="10" t="s">
        <v>340</v>
      </c>
      <c r="BU4" s="10" t="s">
        <v>341</v>
      </c>
      <c r="BV4" s="10" t="s">
        <v>342</v>
      </c>
      <c r="BW4" s="10" t="s">
        <v>343</v>
      </c>
      <c r="BX4" s="10" t="s">
        <v>344</v>
      </c>
      <c r="BY4" s="10" t="s">
        <v>345</v>
      </c>
      <c r="BZ4" s="10" t="s">
        <v>346</v>
      </c>
      <c r="CA4" s="10" t="s">
        <v>347</v>
      </c>
      <c r="CB4" s="10" t="s">
        <v>348</v>
      </c>
      <c r="CC4" s="10" t="s">
        <v>349</v>
      </c>
      <c r="CD4" s="10" t="s">
        <v>350</v>
      </c>
      <c r="CE4" s="10" t="s">
        <v>351</v>
      </c>
      <c r="CF4" s="10" t="s">
        <v>352</v>
      </c>
      <c r="CG4" s="10" t="s">
        <v>353</v>
      </c>
      <c r="CH4" s="10" t="s">
        <v>354</v>
      </c>
      <c r="CI4" s="10" t="s">
        <v>355</v>
      </c>
      <c r="CJ4" s="10" t="s">
        <v>356</v>
      </c>
      <c r="CK4" s="10" t="s">
        <v>357</v>
      </c>
      <c r="CL4" s="10" t="s">
        <v>358</v>
      </c>
      <c r="CM4" s="10" t="s">
        <v>359</v>
      </c>
      <c r="CN4" s="10" t="s">
        <v>360</v>
      </c>
      <c r="CO4" s="10" t="s">
        <v>361</v>
      </c>
      <c r="CP4" s="10" t="s">
        <v>362</v>
      </c>
      <c r="CQ4" s="10" t="s">
        <v>363</v>
      </c>
      <c r="CR4" s="10" t="s">
        <v>364</v>
      </c>
      <c r="CS4" s="10" t="s">
        <v>365</v>
      </c>
      <c r="CT4" s="10" t="s">
        <v>366</v>
      </c>
      <c r="CU4" s="10" t="s">
        <v>367</v>
      </c>
      <c r="CV4" s="10" t="s">
        <v>368</v>
      </c>
      <c r="CW4" s="10" t="s">
        <v>369</v>
      </c>
      <c r="CX4" s="10" t="s">
        <v>370</v>
      </c>
      <c r="CY4" s="10" t="s">
        <v>371</v>
      </c>
      <c r="CZ4" s="10" t="s">
        <v>372</v>
      </c>
      <c r="DA4" s="10" t="s">
        <v>373</v>
      </c>
      <c r="DB4" s="11" t="s">
        <v>374</v>
      </c>
      <c r="DC4" s="142" t="s">
        <v>375</v>
      </c>
      <c r="DD4" s="143" t="s">
        <v>376</v>
      </c>
      <c r="DE4" s="143" t="s">
        <v>377</v>
      </c>
      <c r="DF4" s="143" t="s">
        <v>378</v>
      </c>
      <c r="DG4" s="143" t="s">
        <v>379</v>
      </c>
      <c r="DH4" s="143" t="s">
        <v>380</v>
      </c>
    </row>
    <row r="5" spans="1:112">
      <c r="A5" s="20">
        <v>45745</v>
      </c>
      <c r="B5" s="12">
        <f>YEAR(Input_Raw[[#This Row],[Date]])+IF(MONTH(Input_Raw[[#This Row],[Date]])&gt;=4,1,0)</f>
        <v>2025</v>
      </c>
      <c r="C5" s="13">
        <f>YEAR(Input_Raw[[#This Row],[Date]])</f>
        <v>2025</v>
      </c>
      <c r="D5" s="14">
        <f t="shared" ref="D5:D43" si="2">A5-DAY(A5)+1</f>
        <v>45717</v>
      </c>
      <c r="E5" s="13">
        <f>DAY(EOMONTH(Input_Raw[[#This Row],[Date]],0))</f>
        <v>31</v>
      </c>
      <c r="F5" s="15">
        <v>3576</v>
      </c>
      <c r="G5" s="15">
        <v>5244</v>
      </c>
      <c r="H5" s="15">
        <v>3376</v>
      </c>
      <c r="I5" s="15">
        <v>3992</v>
      </c>
      <c r="J5" s="15">
        <v>2114</v>
      </c>
      <c r="K5" s="15">
        <v>3446</v>
      </c>
      <c r="L5" s="15">
        <v>4316</v>
      </c>
      <c r="M5" s="15">
        <v>4376</v>
      </c>
      <c r="N5" s="15">
        <v>3336</v>
      </c>
      <c r="O5" s="15">
        <v>2784</v>
      </c>
      <c r="P5" s="15">
        <v>3724</v>
      </c>
      <c r="Q5" s="15">
        <v>4284</v>
      </c>
      <c r="R5" s="15">
        <v>4556</v>
      </c>
      <c r="S5" s="15">
        <v>5446</v>
      </c>
      <c r="T5" s="15">
        <v>4725</v>
      </c>
      <c r="U5" s="15">
        <v>3332</v>
      </c>
      <c r="V5" s="15">
        <v>3446</v>
      </c>
      <c r="W5" s="15">
        <v>3780</v>
      </c>
      <c r="X5" s="15">
        <v>4017</v>
      </c>
      <c r="Y5" s="15">
        <v>5100</v>
      </c>
      <c r="Z5" s="15">
        <v>4216</v>
      </c>
      <c r="AA5" s="15">
        <v>2780</v>
      </c>
      <c r="AB5" s="15">
        <v>1846</v>
      </c>
      <c r="AC5" s="15">
        <v>2882</v>
      </c>
      <c r="AD5" s="15">
        <v>2546</v>
      </c>
      <c r="AE5" s="15">
        <v>3164</v>
      </c>
      <c r="AF5" s="15">
        <v>2420</v>
      </c>
      <c r="AG5" s="145">
        <v>0</v>
      </c>
      <c r="AH5" s="15">
        <v>2614</v>
      </c>
      <c r="AI5" s="15">
        <v>0</v>
      </c>
      <c r="AJ5" s="15">
        <v>2684</v>
      </c>
      <c r="AK5" s="15">
        <v>2107</v>
      </c>
      <c r="AL5" s="15">
        <v>2688</v>
      </c>
      <c r="AM5" s="15">
        <v>2976</v>
      </c>
      <c r="AN5" s="15">
        <v>2792</v>
      </c>
      <c r="AO5" s="15">
        <v>2818</v>
      </c>
      <c r="AP5" s="15">
        <v>2858</v>
      </c>
      <c r="AQ5" s="15">
        <v>2612</v>
      </c>
      <c r="AR5" s="15">
        <v>2788</v>
      </c>
      <c r="AS5" s="16">
        <v>3.93</v>
      </c>
      <c r="AT5" s="16">
        <v>3.99</v>
      </c>
      <c r="AU5" s="16">
        <v>3.9</v>
      </c>
      <c r="AV5" s="16">
        <v>3.78</v>
      </c>
      <c r="AW5" s="16">
        <v>3.4</v>
      </c>
      <c r="AX5" s="16">
        <v>4.13</v>
      </c>
      <c r="AY5" s="16">
        <v>3.8</v>
      </c>
      <c r="AZ5" s="16">
        <v>4.05</v>
      </c>
      <c r="BA5" s="16">
        <v>3.76</v>
      </c>
      <c r="BB5" s="16">
        <v>3.86</v>
      </c>
      <c r="BC5" s="16">
        <v>4.0599999999999996</v>
      </c>
      <c r="BD5" s="16">
        <v>3.98</v>
      </c>
      <c r="BE5" s="16">
        <v>4.04</v>
      </c>
      <c r="BF5" s="16">
        <v>4.03</v>
      </c>
      <c r="BG5" s="16">
        <v>3.88</v>
      </c>
      <c r="BH5" s="16">
        <v>4.18</v>
      </c>
      <c r="BI5" s="16">
        <v>3.41</v>
      </c>
      <c r="BJ5" s="16">
        <v>4.09</v>
      </c>
      <c r="BK5" s="16">
        <v>4.29</v>
      </c>
      <c r="BL5" s="16">
        <v>4.0599999999999996</v>
      </c>
      <c r="BM5" s="16">
        <v>4.5</v>
      </c>
      <c r="BN5" s="16">
        <v>3.75</v>
      </c>
      <c r="BO5" s="16">
        <v>3.14</v>
      </c>
      <c r="BP5" s="16">
        <v>3.53</v>
      </c>
      <c r="BQ5" s="16">
        <v>3.02</v>
      </c>
      <c r="BR5" s="16">
        <v>3.42</v>
      </c>
      <c r="BS5" s="16">
        <v>3.48</v>
      </c>
      <c r="BT5" s="16">
        <v>0</v>
      </c>
      <c r="BU5" s="16">
        <v>3.31</v>
      </c>
      <c r="BV5" s="16">
        <v>0</v>
      </c>
      <c r="BW5" s="16">
        <v>3.29</v>
      </c>
      <c r="BX5" s="16">
        <v>3.51</v>
      </c>
      <c r="BY5" s="16">
        <v>3.38</v>
      </c>
      <c r="BZ5" s="16">
        <v>3.42</v>
      </c>
      <c r="CA5" s="16">
        <v>3.69</v>
      </c>
      <c r="CB5" s="16">
        <v>3.98</v>
      </c>
      <c r="CC5" s="16">
        <v>3.43</v>
      </c>
      <c r="CD5" s="16">
        <v>3.41</v>
      </c>
      <c r="CE5" s="16">
        <v>3.47</v>
      </c>
      <c r="CF5" s="17">
        <f>SUM(Input_Raw[[#This Row],[G01]:[G40]])</f>
        <v>125761</v>
      </c>
      <c r="CG5" s="18">
        <f>IFERROR(AVERAGE(Input_Raw[[#This Row],[WS_G01]:[WS_G40]]),"")</f>
        <v>3.5474358974358982</v>
      </c>
      <c r="CH5" s="19"/>
      <c r="CI5" s="19"/>
      <c r="CJ5" s="15">
        <v>237611</v>
      </c>
      <c r="CK5" s="15">
        <v>2156</v>
      </c>
      <c r="CL5" s="15">
        <v>278009</v>
      </c>
      <c r="CM5" s="15">
        <v>2188</v>
      </c>
      <c r="CN5" s="15">
        <v>253479</v>
      </c>
      <c r="CO5" s="15">
        <v>1795</v>
      </c>
      <c r="CP5" s="15">
        <v>289037</v>
      </c>
      <c r="CQ5" s="15">
        <v>1839</v>
      </c>
      <c r="CR5" s="148" t="e">
        <f>IF(((Input_Raw[[#This Row],[33 kV_Wind_F1_Export reading]]-#REF!)*1200)&gt;0,(Input_Raw[[#This Row],[33 kV_Wind_F1_Export reading]]-#REF!)*1200,0)</f>
        <v>#REF!</v>
      </c>
      <c r="CS5" s="148" t="e">
        <f>IF(((Input_Raw[[#This Row],[33 kV_Wind_F1_Import reading]]-#REF!)*1200)&gt;0,(Input_Raw[[#This Row],[33 kV_Wind_F1_Import reading]]-#REF!)*1200,0)</f>
        <v>#REF!</v>
      </c>
      <c r="CT5" s="148" t="e">
        <f>IF(((Input_Raw[[#This Row],[33 kV_Wind_F2_Export_reading]]-#REF!)*1200)&gt;0,(Input_Raw[[#This Row],[33 kV_Wind_F2_Export_reading]]-#REF!)*1200,0)</f>
        <v>#REF!</v>
      </c>
      <c r="CU5" s="148" t="e">
        <f>IF(((Input_Raw[[#This Row],[33 kV_Wind_F2_Import_reading]]-#REF!)*1200)&gt;0,(Input_Raw[[#This Row],[33 kV_Wind_F2_Import_reading]]-#REF!)*1200,0)</f>
        <v>#REF!</v>
      </c>
      <c r="CV5" s="148" t="e">
        <f>IF(((Input_Raw[[#This Row],[33 kV_Wind_F3_Export_Reading]]-#REF!)*1200)&gt;0,(Input_Raw[[#This Row],[33 kV_Wind_F3_Export_Reading]]-#REF!)*1200,0)</f>
        <v>#REF!</v>
      </c>
      <c r="CW5" s="148" t="e">
        <f>IF(((Input_Raw[[#This Row],[33 kV_Wind_F3_Import_Reading]]-#REF!)*1200)&gt;0,(Input_Raw[[#This Row],[33 kV_Wind_F3_Import_Reading]]-#REF!)*1200,0)</f>
        <v>#REF!</v>
      </c>
      <c r="CX5" s="148" t="e">
        <f>IF(((Input_Raw[[#This Row],[33 kV_Wind_F4_Export Reading]]-#REF!)*1200)&gt;0,(Input_Raw[[#This Row],[33 kV_Wind_F4_Export Reading]]-#REF!)*1200,0)</f>
        <v>#REF!</v>
      </c>
      <c r="CY5" s="148" t="e">
        <f>IF(((Input_Raw[[#This Row],[33 kV_Wind_F4_Import Reading]]-#REF!)*1200)&gt;0,(Input_Raw[[#This Row],[33 kV_Wind_F4_Import Reading]]-#REF!)*1200,0)</f>
        <v>#REF!</v>
      </c>
      <c r="CZ5" s="148" t="e">
        <f>Input_Raw[[#This Row],[33 kV_F1_Total_Export (KWh)]]+Input_Raw[[#This Row],[33 kV_F2_Total_Export (KWh)2]]+Input_Raw[[#This Row],[33 kV_Wind_F3_Export (KWh)]]+Input_Raw[[#This Row],[33 kV_Wind_F4_Export (KWh)]]</f>
        <v>#REF!</v>
      </c>
      <c r="DA5" s="148" t="e">
        <f>Input_Raw[[#This Row],[33 kV_Wind_F1_Import (KWh)]]+Input_Raw[[#This Row],[33 kV_Wind_F2_Import (KWh)]]+Input_Raw[[#This Row],[33 kV_Wind_F3_Import (KWh)2]]+Input_Raw[[#This Row],[33 kV_Wind_F4_Import (KWh)2]]</f>
        <v>#REF!</v>
      </c>
      <c r="DB5" s="21">
        <f>IFERROR(1-Input_Raw[[#This Row],[33 kV_Wind_Total_Export (KWh)]]/Input_Raw[[#This Row],[WTG Total Gneration (KWh)]],0)</f>
        <v>0</v>
      </c>
      <c r="DC5" s="144">
        <v>0</v>
      </c>
      <c r="DD5" s="147">
        <v>0</v>
      </c>
      <c r="DE5" s="163"/>
      <c r="DF5" s="160"/>
      <c r="DG5" s="162">
        <v>80</v>
      </c>
      <c r="DH5" s="160"/>
    </row>
    <row r="6" spans="1:112">
      <c r="A6" s="20">
        <f t="shared" ref="A6:A38" si="3">A5+1</f>
        <v>45746</v>
      </c>
      <c r="B6" s="12">
        <f>YEAR(Input_Raw[[#This Row],[Date]])+IF(MONTH(Input_Raw[[#This Row],[Date]])&gt;=4,1,0)</f>
        <v>2025</v>
      </c>
      <c r="C6" s="13">
        <f>YEAR(Input_Raw[[#This Row],[Date]])</f>
        <v>2025</v>
      </c>
      <c r="D6" s="14">
        <f t="shared" si="2"/>
        <v>45717</v>
      </c>
      <c r="E6" s="13">
        <f>DAY(EOMONTH(Input_Raw[[#This Row],[Date]],0))</f>
        <v>31</v>
      </c>
      <c r="F6" s="15">
        <v>2552</v>
      </c>
      <c r="G6" s="15">
        <v>3752</v>
      </c>
      <c r="H6" s="15">
        <v>2170</v>
      </c>
      <c r="I6" s="15">
        <v>3336</v>
      </c>
      <c r="J6" s="15">
        <v>2196</v>
      </c>
      <c r="K6" s="15">
        <v>2804</v>
      </c>
      <c r="L6" s="15">
        <v>3645</v>
      </c>
      <c r="M6" s="15">
        <v>3288</v>
      </c>
      <c r="N6" s="15">
        <v>3376</v>
      </c>
      <c r="O6" s="15">
        <v>3000</v>
      </c>
      <c r="P6" s="15">
        <v>2864</v>
      </c>
      <c r="Q6" s="15">
        <v>3892</v>
      </c>
      <c r="R6" s="15">
        <v>3398</v>
      </c>
      <c r="S6" s="15">
        <v>3550</v>
      </c>
      <c r="T6" s="15">
        <v>3998</v>
      </c>
      <c r="U6" s="15">
        <v>3892</v>
      </c>
      <c r="V6" s="15">
        <v>3980</v>
      </c>
      <c r="W6" s="15">
        <v>3348</v>
      </c>
      <c r="X6" s="15">
        <v>3505</v>
      </c>
      <c r="Y6" s="15">
        <v>3775</v>
      </c>
      <c r="Z6" s="15">
        <v>3630</v>
      </c>
      <c r="AA6" s="15">
        <v>2556</v>
      </c>
      <c r="AB6" s="15">
        <v>1802</v>
      </c>
      <c r="AC6" s="15">
        <v>2822</v>
      </c>
      <c r="AD6" s="15">
        <v>2672</v>
      </c>
      <c r="AE6" s="15">
        <v>2662</v>
      </c>
      <c r="AF6" s="15">
        <v>1552</v>
      </c>
      <c r="AG6" s="145">
        <v>0</v>
      </c>
      <c r="AH6" s="15">
        <v>2712</v>
      </c>
      <c r="AI6" s="15">
        <v>0</v>
      </c>
      <c r="AJ6" s="15">
        <v>2760</v>
      </c>
      <c r="AK6" s="15">
        <v>2289</v>
      </c>
      <c r="AL6" s="15">
        <v>2512</v>
      </c>
      <c r="AM6" s="15">
        <v>2838</v>
      </c>
      <c r="AN6" s="15">
        <v>3150</v>
      </c>
      <c r="AO6" s="15">
        <v>2882</v>
      </c>
      <c r="AP6" s="15">
        <v>2772</v>
      </c>
      <c r="AQ6" s="15">
        <v>2708</v>
      </c>
      <c r="AR6" s="15">
        <v>2791</v>
      </c>
      <c r="AS6" s="16">
        <v>3.21</v>
      </c>
      <c r="AT6" s="16">
        <v>3.42</v>
      </c>
      <c r="AU6" s="16">
        <v>3.52</v>
      </c>
      <c r="AV6" s="16">
        <v>3.63</v>
      </c>
      <c r="AW6" s="16">
        <v>3.23</v>
      </c>
      <c r="AX6" s="16">
        <v>3.53</v>
      </c>
      <c r="AY6" s="16">
        <v>3.4</v>
      </c>
      <c r="AZ6" s="16">
        <v>3.17</v>
      </c>
      <c r="BA6" s="16">
        <v>3.02</v>
      </c>
      <c r="BB6" s="16">
        <v>3.2</v>
      </c>
      <c r="BC6" s="16">
        <v>3.52</v>
      </c>
      <c r="BD6" s="16">
        <v>3.17</v>
      </c>
      <c r="BE6" s="16">
        <v>4.3600000000000003</v>
      </c>
      <c r="BF6" s="16">
        <v>4.09</v>
      </c>
      <c r="BG6" s="16">
        <v>4.46</v>
      </c>
      <c r="BH6" s="16">
        <v>4.3600000000000003</v>
      </c>
      <c r="BI6" s="16">
        <v>4.67</v>
      </c>
      <c r="BJ6" s="16">
        <v>4.28</v>
      </c>
      <c r="BK6" s="16">
        <v>4.4400000000000004</v>
      </c>
      <c r="BL6" s="16">
        <v>4.5</v>
      </c>
      <c r="BM6" s="16">
        <v>4.1100000000000003</v>
      </c>
      <c r="BN6" s="16">
        <v>3.93</v>
      </c>
      <c r="BO6" s="16">
        <v>4.13</v>
      </c>
      <c r="BP6" s="16">
        <v>4.08</v>
      </c>
      <c r="BQ6" s="16">
        <v>3.47</v>
      </c>
      <c r="BR6" s="16">
        <v>3.92</v>
      </c>
      <c r="BS6" s="16">
        <v>3.89</v>
      </c>
      <c r="BT6" s="16">
        <v>0</v>
      </c>
      <c r="BU6" s="16">
        <v>3.8</v>
      </c>
      <c r="BV6" s="16">
        <v>0</v>
      </c>
      <c r="BW6" s="16">
        <v>3.61</v>
      </c>
      <c r="BX6" s="16">
        <v>3.69</v>
      </c>
      <c r="BY6" s="16">
        <v>3.51</v>
      </c>
      <c r="BZ6" s="16">
        <v>3.72</v>
      </c>
      <c r="CA6" s="16">
        <v>3.87</v>
      </c>
      <c r="CB6" s="16">
        <v>3.73</v>
      </c>
      <c r="CC6" s="16">
        <v>3.54</v>
      </c>
      <c r="CD6" s="16">
        <v>3.45</v>
      </c>
      <c r="CE6" s="16">
        <v>3.53</v>
      </c>
      <c r="CF6" s="17">
        <f>SUM(Input_Raw[[#This Row],[G01]:[G40]])</f>
        <v>111431</v>
      </c>
      <c r="CG6" s="18">
        <f>IFERROR(AVERAGE(Input_Raw[[#This Row],[WS_G01]:[WS_G40]]),"")</f>
        <v>3.5682051282051273</v>
      </c>
      <c r="CH6" s="19"/>
      <c r="CI6" s="19"/>
      <c r="CJ6" s="15">
        <v>237629</v>
      </c>
      <c r="CK6" s="15">
        <v>2157</v>
      </c>
      <c r="CL6" s="15">
        <v>278030</v>
      </c>
      <c r="CM6" s="15">
        <v>2189</v>
      </c>
      <c r="CN6" s="15">
        <v>253501</v>
      </c>
      <c r="CO6" s="15">
        <v>1796</v>
      </c>
      <c r="CP6" s="15">
        <v>289059</v>
      </c>
      <c r="CQ6" s="15">
        <v>1840</v>
      </c>
      <c r="CR6" s="148">
        <f>IF(((Input_Raw[[#This Row],[33 kV_Wind_F1_Export reading]]-CJ5)*1200)&gt;0,(Input_Raw[[#This Row],[33 kV_Wind_F1_Export reading]]-CJ5)*1200,0)</f>
        <v>21600</v>
      </c>
      <c r="CS6" s="148">
        <f>IF(((Input_Raw[[#This Row],[33 kV_Wind_F1_Import reading]]-CK5)*1200)&gt;0,(Input_Raw[[#This Row],[33 kV_Wind_F1_Import reading]]-CK5)*1200,0)</f>
        <v>1200</v>
      </c>
      <c r="CT6" s="148">
        <f>IF(((Input_Raw[[#This Row],[33 kV_Wind_F2_Export_reading]]-CL5)*1200)&gt;0,(Input_Raw[[#This Row],[33 kV_Wind_F2_Export_reading]]-CL5)*1200,0)</f>
        <v>25200</v>
      </c>
      <c r="CU6" s="148">
        <f>IF(((Input_Raw[[#This Row],[33 kV_Wind_F2_Import_reading]]-CM5)*1200)&gt;0,(Input_Raw[[#This Row],[33 kV_Wind_F2_Import_reading]]-CM5)*1200,0)</f>
        <v>1200</v>
      </c>
      <c r="CV6" s="148">
        <f>IF(((Input_Raw[[#This Row],[33 kV_Wind_F3_Export_Reading]]-CN5)*1200)&gt;0,(Input_Raw[[#This Row],[33 kV_Wind_F3_Export_Reading]]-CN5)*1200,0)</f>
        <v>26400</v>
      </c>
      <c r="CW6" s="148">
        <f>IF(((Input_Raw[[#This Row],[33 kV_Wind_F3_Import_Reading]]-CO5)*1200)&gt;0,(Input_Raw[[#This Row],[33 kV_Wind_F3_Import_Reading]]-CO5)*1200,0)</f>
        <v>1200</v>
      </c>
      <c r="CX6" s="148">
        <f>IF(((Input_Raw[[#This Row],[33 kV_Wind_F4_Export Reading]]-CP5)*1200)&gt;0,(Input_Raw[[#This Row],[33 kV_Wind_F4_Export Reading]]-CP5)*1200,0)</f>
        <v>26400</v>
      </c>
      <c r="CY6" s="148">
        <f>IF(((Input_Raw[[#This Row],[33 kV_Wind_F4_Import Reading]]-CQ5)*1200)&gt;0,(Input_Raw[[#This Row],[33 kV_Wind_F4_Import Reading]]-CQ5)*1200,0)</f>
        <v>1200</v>
      </c>
      <c r="CZ6" s="148">
        <f>Input_Raw[[#This Row],[33 kV_F1_Total_Export (KWh)]]+Input_Raw[[#This Row],[33 kV_F2_Total_Export (KWh)2]]+Input_Raw[[#This Row],[33 kV_Wind_F3_Export (KWh)]]+Input_Raw[[#This Row],[33 kV_Wind_F4_Export (KWh)]]</f>
        <v>99600</v>
      </c>
      <c r="DA6" s="148">
        <f>Input_Raw[[#This Row],[33 kV_Wind_F1_Import (KWh)]]+Input_Raw[[#This Row],[33 kV_Wind_F2_Import (KWh)]]+Input_Raw[[#This Row],[33 kV_Wind_F3_Import (KWh)2]]+Input_Raw[[#This Row],[33 kV_Wind_F4_Import (KWh)2]]</f>
        <v>4800</v>
      </c>
      <c r="DB6" s="21">
        <f>IFERROR(1-Input_Raw[[#This Row],[33 kV_Wind_Total_Export (KWh)]]/Input_Raw[[#This Row],[WTG Total Gneration (KWh)]],0)</f>
        <v>0.10617332699159121</v>
      </c>
      <c r="DC6" s="144">
        <v>96</v>
      </c>
      <c r="DD6" s="147">
        <v>2931</v>
      </c>
      <c r="DE6" s="163"/>
      <c r="DF6" s="160"/>
      <c r="DG6" s="162">
        <v>80</v>
      </c>
      <c r="DH6" s="160"/>
    </row>
    <row r="7" spans="1:112">
      <c r="A7" s="20">
        <f t="shared" si="3"/>
        <v>45747</v>
      </c>
      <c r="B7" s="12">
        <f>YEAR(Input_Raw[[#This Row],[Date]])+IF(MONTH(Input_Raw[[#This Row],[Date]])&gt;=4,1,0)</f>
        <v>2025</v>
      </c>
      <c r="C7" s="13">
        <f>YEAR(Input_Raw[[#This Row],[Date]])</f>
        <v>2025</v>
      </c>
      <c r="D7" s="14">
        <f t="shared" si="2"/>
        <v>45717</v>
      </c>
      <c r="E7" s="13">
        <f>DAY(EOMONTH(Input_Raw[[#This Row],[Date]],0))</f>
        <v>31</v>
      </c>
      <c r="F7" s="15">
        <v>9436</v>
      </c>
      <c r="G7" s="15">
        <v>10444</v>
      </c>
      <c r="H7" s="15">
        <v>8994</v>
      </c>
      <c r="I7" s="15">
        <v>7992</v>
      </c>
      <c r="J7" s="15">
        <v>5532</v>
      </c>
      <c r="K7" s="15">
        <v>8810</v>
      </c>
      <c r="L7" s="15">
        <v>6040</v>
      </c>
      <c r="M7" s="15">
        <v>8864</v>
      </c>
      <c r="N7" s="15">
        <v>8552</v>
      </c>
      <c r="O7" s="15">
        <v>7384</v>
      </c>
      <c r="P7" s="15">
        <v>9876</v>
      </c>
      <c r="Q7" s="15">
        <v>5883</v>
      </c>
      <c r="R7" s="15">
        <v>7698</v>
      </c>
      <c r="S7" s="15">
        <v>7408</v>
      </c>
      <c r="T7" s="15">
        <v>6173</v>
      </c>
      <c r="U7" s="15">
        <v>7064</v>
      </c>
      <c r="V7" s="15">
        <v>8016</v>
      </c>
      <c r="W7" s="15">
        <v>6908</v>
      </c>
      <c r="X7" s="15">
        <v>8564</v>
      </c>
      <c r="Y7" s="15">
        <v>10477</v>
      </c>
      <c r="Z7" s="15">
        <v>6850</v>
      </c>
      <c r="AA7" s="15">
        <v>3920</v>
      </c>
      <c r="AB7" s="15">
        <v>4886</v>
      </c>
      <c r="AC7" s="15">
        <v>7082</v>
      </c>
      <c r="AD7" s="15">
        <v>5480</v>
      </c>
      <c r="AE7" s="15">
        <v>6348</v>
      </c>
      <c r="AF7" s="15">
        <v>6006</v>
      </c>
      <c r="AG7" s="15">
        <v>0</v>
      </c>
      <c r="AH7" s="15">
        <v>4162</v>
      </c>
      <c r="AI7" s="15">
        <v>0</v>
      </c>
      <c r="AJ7" s="15">
        <v>5080</v>
      </c>
      <c r="AK7" s="15">
        <v>6703</v>
      </c>
      <c r="AL7" s="15">
        <v>7996</v>
      </c>
      <c r="AM7" s="15">
        <v>4764</v>
      </c>
      <c r="AN7" s="15">
        <v>4792</v>
      </c>
      <c r="AO7" s="15">
        <v>5596</v>
      </c>
      <c r="AP7" s="15">
        <v>6680</v>
      </c>
      <c r="AQ7" s="15">
        <v>7552</v>
      </c>
      <c r="AR7" s="15">
        <v>4105</v>
      </c>
      <c r="AS7" s="16">
        <v>4.76</v>
      </c>
      <c r="AT7" s="16">
        <v>4.88</v>
      </c>
      <c r="AU7" s="16">
        <v>4.8</v>
      </c>
      <c r="AV7" s="16">
        <v>4.6500000000000004</v>
      </c>
      <c r="AW7" s="16">
        <v>4.2699999999999996</v>
      </c>
      <c r="AX7" s="16">
        <v>5.04</v>
      </c>
      <c r="AY7" s="16">
        <v>5.09</v>
      </c>
      <c r="AZ7" s="16">
        <v>4.76</v>
      </c>
      <c r="BA7" s="16">
        <v>4.82</v>
      </c>
      <c r="BB7" s="16">
        <v>4.8</v>
      </c>
      <c r="BC7" s="16">
        <v>4.93</v>
      </c>
      <c r="BD7" s="16">
        <v>4.74</v>
      </c>
      <c r="BE7" s="16">
        <v>4.55</v>
      </c>
      <c r="BF7" s="16">
        <v>4.63</v>
      </c>
      <c r="BG7" s="16">
        <v>4.57</v>
      </c>
      <c r="BH7" s="16">
        <v>4.63</v>
      </c>
      <c r="BI7" s="16">
        <v>4.82</v>
      </c>
      <c r="BJ7" s="16">
        <v>4.84</v>
      </c>
      <c r="BK7" s="16">
        <v>4.83</v>
      </c>
      <c r="BL7" s="16">
        <v>5.0999999999999996</v>
      </c>
      <c r="BM7" s="16">
        <v>4.76</v>
      </c>
      <c r="BN7" s="16">
        <v>4.34</v>
      </c>
      <c r="BO7" s="16">
        <v>4.24</v>
      </c>
      <c r="BP7" s="16">
        <v>4.4800000000000004</v>
      </c>
      <c r="BQ7" s="16">
        <v>4.55</v>
      </c>
      <c r="BR7" s="16">
        <v>4.34</v>
      </c>
      <c r="BS7" s="16">
        <v>4.26</v>
      </c>
      <c r="BT7" s="16">
        <v>0</v>
      </c>
      <c r="BU7" s="16">
        <v>3.79</v>
      </c>
      <c r="BV7" s="16">
        <v>0</v>
      </c>
      <c r="BW7" s="16">
        <v>4.37</v>
      </c>
      <c r="BX7" s="16">
        <v>4.3</v>
      </c>
      <c r="BY7" s="16">
        <v>4.4800000000000004</v>
      </c>
      <c r="BZ7" s="16">
        <v>4.78</v>
      </c>
      <c r="CA7" s="16">
        <v>4.74</v>
      </c>
      <c r="CB7" s="16">
        <v>4.25</v>
      </c>
      <c r="CC7" s="16">
        <v>4.4400000000000004</v>
      </c>
      <c r="CD7" s="16">
        <v>4.59</v>
      </c>
      <c r="CE7" s="16">
        <v>5.03</v>
      </c>
      <c r="CF7" s="17">
        <f>SUM(Input_Raw[[#This Row],[G01]:[G40]])</f>
        <v>258117</v>
      </c>
      <c r="CG7" s="18">
        <f>IFERROR(AVERAGE(Input_Raw[[#This Row],[WS_G01]:[WS_G40]]),"")</f>
        <v>4.3910256410256414</v>
      </c>
      <c r="CH7" s="19"/>
      <c r="CI7" s="19"/>
      <c r="CJ7" s="15">
        <v>237670</v>
      </c>
      <c r="CK7" s="15">
        <v>2158</v>
      </c>
      <c r="CL7" s="15">
        <v>278051</v>
      </c>
      <c r="CM7" s="15">
        <v>2189</v>
      </c>
      <c r="CN7" s="15">
        <v>253571</v>
      </c>
      <c r="CO7" s="15">
        <v>1796</v>
      </c>
      <c r="CP7" s="15">
        <v>289136</v>
      </c>
      <c r="CQ7" s="15">
        <v>1841</v>
      </c>
      <c r="CR7" s="148">
        <f>IF(((Input_Raw[[#This Row],[33 kV_Wind_F1_Export reading]]-CJ6)*1200)&gt;0,(Input_Raw[[#This Row],[33 kV_Wind_F1_Export reading]]-CJ6)*1200,0)</f>
        <v>49200</v>
      </c>
      <c r="CS7" s="148">
        <f>IF(((Input_Raw[[#This Row],[33 kV_Wind_F1_Import reading]]-CK6)*1200)&gt;0,(Input_Raw[[#This Row],[33 kV_Wind_F1_Import reading]]-CK6)*1200,0)</f>
        <v>1200</v>
      </c>
      <c r="CT7" s="148">
        <f>IF(((Input_Raw[[#This Row],[33 kV_Wind_F2_Export_reading]]-CL6)*1200)&gt;0,(Input_Raw[[#This Row],[33 kV_Wind_F2_Export_reading]]-CL6)*1200,0)</f>
        <v>25200</v>
      </c>
      <c r="CU7" s="148">
        <f>IF(((Input_Raw[[#This Row],[33 kV_Wind_F2_Import_reading]]-CM6)*1200)&gt;0,(Input_Raw[[#This Row],[33 kV_Wind_F2_Import_reading]]-CM6)*1200,0)</f>
        <v>0</v>
      </c>
      <c r="CV7" s="148">
        <f>IF(((Input_Raw[[#This Row],[33 kV_Wind_F3_Export_Reading]]-CN6)*1200)&gt;0,(Input_Raw[[#This Row],[33 kV_Wind_F3_Export_Reading]]-CN6)*1200,0)</f>
        <v>84000</v>
      </c>
      <c r="CW7" s="148">
        <f>IF(((Input_Raw[[#This Row],[33 kV_Wind_F3_Import_Reading]]-CO6)*1200)&gt;0,(Input_Raw[[#This Row],[33 kV_Wind_F3_Import_Reading]]-CO6)*1200,0)</f>
        <v>0</v>
      </c>
      <c r="CX7" s="148">
        <f>IF(((Input_Raw[[#This Row],[33 kV_Wind_F4_Export Reading]]-CP6)*1200)&gt;0,(Input_Raw[[#This Row],[33 kV_Wind_F4_Export Reading]]-CP6)*1200,0)</f>
        <v>92400</v>
      </c>
      <c r="CY7" s="148">
        <f>IF(((Input_Raw[[#This Row],[33 kV_Wind_F4_Import Reading]]-CQ6)*1200)&gt;0,(Input_Raw[[#This Row],[33 kV_Wind_F4_Import Reading]]-CQ6)*1200,0)</f>
        <v>1200</v>
      </c>
      <c r="CZ7" s="148">
        <f>Input_Raw[[#This Row],[33 kV_F1_Total_Export (KWh)]]+Input_Raw[[#This Row],[33 kV_F2_Total_Export (KWh)2]]+Input_Raw[[#This Row],[33 kV_Wind_F3_Export (KWh)]]+Input_Raw[[#This Row],[33 kV_Wind_F4_Export (KWh)]]</f>
        <v>250800</v>
      </c>
      <c r="DA7" s="148">
        <f>Input_Raw[[#This Row],[33 kV_Wind_F1_Import (KWh)]]+Input_Raw[[#This Row],[33 kV_Wind_F2_Import (KWh)]]+Input_Raw[[#This Row],[33 kV_Wind_F3_Import (KWh)2]]+Input_Raw[[#This Row],[33 kV_Wind_F4_Import (KWh)2]]</f>
        <v>2400</v>
      </c>
      <c r="DB7" s="21">
        <f>IFERROR(1-Input_Raw[[#This Row],[33 kV_Wind_Total_Export (KWh)]]/Input_Raw[[#This Row],[WTG Total Gneration (KWh)]],0)</f>
        <v>2.8347609804855955E-2</v>
      </c>
      <c r="DC7" s="144">
        <v>96</v>
      </c>
      <c r="DD7" s="147">
        <v>17068</v>
      </c>
      <c r="DE7" s="163"/>
      <c r="DF7" s="160"/>
      <c r="DG7" s="162">
        <v>80</v>
      </c>
      <c r="DH7" s="160"/>
    </row>
    <row r="8" spans="1:112">
      <c r="A8" s="20">
        <f t="shared" si="3"/>
        <v>45748</v>
      </c>
      <c r="B8" s="12">
        <f>YEAR(Input_Raw[[#This Row],[Date]])+IF(MONTH(Input_Raw[[#This Row],[Date]])&gt;=4,1,0)</f>
        <v>2026</v>
      </c>
      <c r="C8" s="13">
        <f>YEAR(Input_Raw[[#This Row],[Date]])</f>
        <v>2025</v>
      </c>
      <c r="D8" s="14">
        <f t="shared" si="2"/>
        <v>45748</v>
      </c>
      <c r="E8" s="13">
        <f>DAY(EOMONTH(Input_Raw[[#This Row],[Date]],0))</f>
        <v>30</v>
      </c>
      <c r="F8" s="15">
        <v>3664</v>
      </c>
      <c r="G8" s="15">
        <v>7960</v>
      </c>
      <c r="H8" s="15">
        <v>5356</v>
      </c>
      <c r="I8" s="15">
        <v>5976</v>
      </c>
      <c r="J8" s="15">
        <v>4726</v>
      </c>
      <c r="K8" s="15">
        <v>7228</v>
      </c>
      <c r="L8" s="15">
        <v>6951</v>
      </c>
      <c r="M8" s="15">
        <v>6252</v>
      </c>
      <c r="N8" s="15">
        <v>5836</v>
      </c>
      <c r="O8" s="15">
        <v>6356</v>
      </c>
      <c r="P8" s="15">
        <v>6456</v>
      </c>
      <c r="Q8" s="15">
        <v>6719</v>
      </c>
      <c r="R8" s="15">
        <v>5686</v>
      </c>
      <c r="S8" s="15">
        <v>4942</v>
      </c>
      <c r="T8" s="15">
        <v>4039</v>
      </c>
      <c r="U8" s="15">
        <v>5316</v>
      </c>
      <c r="V8" s="15">
        <v>6766</v>
      </c>
      <c r="W8" s="15">
        <v>6572</v>
      </c>
      <c r="X8" s="15">
        <v>6788</v>
      </c>
      <c r="Y8" s="15">
        <v>7386</v>
      </c>
      <c r="Z8" s="15">
        <v>5148</v>
      </c>
      <c r="AA8" s="15">
        <v>4276</v>
      </c>
      <c r="AB8" s="15">
        <v>5832</v>
      </c>
      <c r="AC8" s="15">
        <v>7202</v>
      </c>
      <c r="AD8" s="15">
        <v>5834</v>
      </c>
      <c r="AE8" s="15">
        <v>6752</v>
      </c>
      <c r="AF8" s="15">
        <v>6260</v>
      </c>
      <c r="AG8" s="145">
        <v>0</v>
      </c>
      <c r="AH8" s="15">
        <v>3918</v>
      </c>
      <c r="AI8" s="15">
        <v>0</v>
      </c>
      <c r="AJ8" s="15">
        <v>5518</v>
      </c>
      <c r="AK8" s="15">
        <v>6091</v>
      </c>
      <c r="AL8" s="15">
        <v>7280</v>
      </c>
      <c r="AM8" s="15">
        <v>5474</v>
      </c>
      <c r="AN8" s="15">
        <v>3390</v>
      </c>
      <c r="AO8" s="15">
        <v>7150</v>
      </c>
      <c r="AP8" s="15">
        <v>5240</v>
      </c>
      <c r="AQ8" s="15">
        <v>6772</v>
      </c>
      <c r="AR8" s="15">
        <v>3752</v>
      </c>
      <c r="AS8" s="16">
        <v>4.58</v>
      </c>
      <c r="AT8" s="16">
        <v>4.46</v>
      </c>
      <c r="AU8" s="16">
        <v>3.97</v>
      </c>
      <c r="AV8" s="16">
        <v>4.1500000000000004</v>
      </c>
      <c r="AW8" s="16">
        <v>3.78</v>
      </c>
      <c r="AX8" s="16">
        <v>4.38</v>
      </c>
      <c r="AY8" s="16">
        <v>4.4000000000000004</v>
      </c>
      <c r="AZ8" s="16">
        <v>4.13</v>
      </c>
      <c r="BA8" s="16">
        <v>4.08</v>
      </c>
      <c r="BB8" s="16">
        <v>3.95</v>
      </c>
      <c r="BC8" s="16">
        <v>4.01</v>
      </c>
      <c r="BD8" s="16">
        <v>4.04</v>
      </c>
      <c r="BE8" s="16">
        <v>3.98</v>
      </c>
      <c r="BF8" s="16">
        <v>3.84</v>
      </c>
      <c r="BG8" s="16">
        <v>3.92</v>
      </c>
      <c r="BH8" s="16">
        <v>3.95</v>
      </c>
      <c r="BI8" s="16">
        <v>4.1500000000000004</v>
      </c>
      <c r="BJ8" s="16">
        <v>4.01</v>
      </c>
      <c r="BK8" s="16">
        <v>3.99</v>
      </c>
      <c r="BL8" s="16">
        <v>4.01</v>
      </c>
      <c r="BM8" s="16">
        <v>3.76</v>
      </c>
      <c r="BN8" s="16">
        <v>3.87</v>
      </c>
      <c r="BO8" s="16">
        <v>3.95</v>
      </c>
      <c r="BP8" s="16">
        <v>4.26</v>
      </c>
      <c r="BQ8" s="16">
        <v>4.2</v>
      </c>
      <c r="BR8" s="16">
        <v>4.22</v>
      </c>
      <c r="BS8" s="16">
        <v>4.21</v>
      </c>
      <c r="BT8" s="16">
        <v>0</v>
      </c>
      <c r="BU8" s="16">
        <v>5.44</v>
      </c>
      <c r="BV8" s="16">
        <v>0</v>
      </c>
      <c r="BW8" s="16">
        <v>4.17</v>
      </c>
      <c r="BX8" s="16">
        <v>4.1500000000000004</v>
      </c>
      <c r="BY8" s="16">
        <v>4.32</v>
      </c>
      <c r="BZ8" s="16">
        <v>4.55</v>
      </c>
      <c r="CA8" s="16">
        <v>6.32</v>
      </c>
      <c r="CB8" s="16">
        <v>4.45</v>
      </c>
      <c r="CC8" s="16">
        <v>4.87</v>
      </c>
      <c r="CD8" s="16">
        <v>4.3099999999999996</v>
      </c>
      <c r="CE8" s="16">
        <v>5.39</v>
      </c>
      <c r="CF8" s="17">
        <f>SUM(Input_Raw[[#This Row],[G01]:[G40]])</f>
        <v>216864</v>
      </c>
      <c r="CG8" s="18">
        <f>IFERROR(AVERAGE(Input_Raw[[#This Row],[WS_G01]:[WS_G40]]),"")</f>
        <v>4.056923076923078</v>
      </c>
      <c r="CH8" s="19"/>
      <c r="CI8" s="19"/>
      <c r="CJ8" s="15">
        <v>237715</v>
      </c>
      <c r="CK8" s="15">
        <v>2159</v>
      </c>
      <c r="CL8" s="15">
        <v>278085</v>
      </c>
      <c r="CM8" s="15">
        <v>2190</v>
      </c>
      <c r="CN8" s="15">
        <v>253615</v>
      </c>
      <c r="CO8" s="15">
        <v>1797</v>
      </c>
      <c r="CP8" s="15">
        <v>289182</v>
      </c>
      <c r="CQ8" s="15">
        <v>1841</v>
      </c>
      <c r="CR8" s="148">
        <f>IF(((Input_Raw[[#This Row],[33 kV_Wind_F1_Export reading]]-CJ7)*1200)&gt;0,(Input_Raw[[#This Row],[33 kV_Wind_F1_Export reading]]-CJ7)*1200,0)</f>
        <v>54000</v>
      </c>
      <c r="CS8" s="148">
        <f>IF(((Input_Raw[[#This Row],[33 kV_Wind_F1_Import reading]]-CK7)*1200)&gt;0,(Input_Raw[[#This Row],[33 kV_Wind_F1_Import reading]]-CK7)*1200,0)</f>
        <v>1200</v>
      </c>
      <c r="CT8" s="148">
        <f>IF(((Input_Raw[[#This Row],[33 kV_Wind_F2_Export_reading]]-CL7)*1200)&gt;0,(Input_Raw[[#This Row],[33 kV_Wind_F2_Export_reading]]-CL7)*1200,0)</f>
        <v>40800</v>
      </c>
      <c r="CU8" s="148">
        <f>IF(((Input_Raw[[#This Row],[33 kV_Wind_F2_Import_reading]]-CM7)*1200)&gt;0,(Input_Raw[[#This Row],[33 kV_Wind_F2_Import_reading]]-CM7)*1200,0)</f>
        <v>1200</v>
      </c>
      <c r="CV8" s="148">
        <f>IF(((Input_Raw[[#This Row],[33 kV_Wind_F3_Export_Reading]]-CN7)*1200)&gt;0,(Input_Raw[[#This Row],[33 kV_Wind_F3_Export_Reading]]-CN7)*1200,0)</f>
        <v>52800</v>
      </c>
      <c r="CW8" s="148">
        <f>IF(((Input_Raw[[#This Row],[33 kV_Wind_F3_Import_Reading]]-CO7)*1200)&gt;0,(Input_Raw[[#This Row],[33 kV_Wind_F3_Import_Reading]]-CO7)*1200,0)</f>
        <v>1200</v>
      </c>
      <c r="CX8" s="148">
        <f>IF(((Input_Raw[[#This Row],[33 kV_Wind_F4_Export Reading]]-CP7)*1200)&gt;0,(Input_Raw[[#This Row],[33 kV_Wind_F4_Export Reading]]-CP7)*1200,0)</f>
        <v>55200</v>
      </c>
      <c r="CY8" s="148">
        <f>IF(((Input_Raw[[#This Row],[33 kV_Wind_F4_Import Reading]]-CQ7)*1200)&gt;0,(Input_Raw[[#This Row],[33 kV_Wind_F4_Import Reading]]-CQ7)*1200,0)</f>
        <v>0</v>
      </c>
      <c r="CZ8" s="148">
        <f>Input_Raw[[#This Row],[33 kV_F1_Total_Export (KWh)]]+Input_Raw[[#This Row],[33 kV_F2_Total_Export (KWh)2]]+Input_Raw[[#This Row],[33 kV_Wind_F3_Export (KWh)]]+Input_Raw[[#This Row],[33 kV_Wind_F4_Export (KWh)]]</f>
        <v>202800</v>
      </c>
      <c r="DA8" s="148">
        <f>Input_Raw[[#This Row],[33 kV_Wind_F1_Import (KWh)]]+Input_Raw[[#This Row],[33 kV_Wind_F2_Import (KWh)]]+Input_Raw[[#This Row],[33 kV_Wind_F3_Import (KWh)2]]+Input_Raw[[#This Row],[33 kV_Wind_F4_Import (KWh)2]]</f>
        <v>3600</v>
      </c>
      <c r="DB8" s="21">
        <f>IFERROR(1-Input_Raw[[#This Row],[33 kV_Wind_Total_Export (KWh)]]/Input_Raw[[#This Row],[WTG Total Gneration (KWh)]],0)</f>
        <v>6.4851704293935386E-2</v>
      </c>
      <c r="DC8" s="144">
        <v>96</v>
      </c>
      <c r="DD8" s="147">
        <v>12280</v>
      </c>
      <c r="DE8" s="163">
        <v>217.953</v>
      </c>
      <c r="DF8" s="160"/>
      <c r="DG8" s="162">
        <v>78</v>
      </c>
      <c r="DH8" s="160"/>
    </row>
    <row r="9" spans="1:112">
      <c r="A9" s="20">
        <f t="shared" si="3"/>
        <v>45749</v>
      </c>
      <c r="B9" s="12">
        <f>YEAR(Input_Raw[[#This Row],[Date]])+IF(MONTH(Input_Raw[[#This Row],[Date]])&gt;=4,1,0)</f>
        <v>2026</v>
      </c>
      <c r="C9" s="13">
        <f>YEAR(Input_Raw[[#This Row],[Date]])</f>
        <v>2025</v>
      </c>
      <c r="D9" s="14">
        <f t="shared" si="2"/>
        <v>45748</v>
      </c>
      <c r="E9" s="13">
        <f>DAY(EOMONTH(Input_Raw[[#This Row],[Date]],0))</f>
        <v>30</v>
      </c>
      <c r="F9" s="15">
        <v>12200</v>
      </c>
      <c r="G9" s="15">
        <v>10784</v>
      </c>
      <c r="H9" s="15">
        <v>10570</v>
      </c>
      <c r="I9" s="15">
        <v>5956</v>
      </c>
      <c r="J9" s="15">
        <v>11540</v>
      </c>
      <c r="K9" s="15">
        <v>12082</v>
      </c>
      <c r="L9" s="15">
        <v>12510</v>
      </c>
      <c r="M9" s="15">
        <v>12108</v>
      </c>
      <c r="N9" s="15">
        <v>14236</v>
      </c>
      <c r="O9" s="15">
        <v>10960</v>
      </c>
      <c r="P9" s="15">
        <v>14128</v>
      </c>
      <c r="Q9" s="15">
        <v>14485</v>
      </c>
      <c r="R9" s="15">
        <v>11088</v>
      </c>
      <c r="S9" s="15">
        <v>12636</v>
      </c>
      <c r="T9" s="15">
        <v>14796</v>
      </c>
      <c r="U9" s="15">
        <v>7036</v>
      </c>
      <c r="V9" s="15">
        <v>15820</v>
      </c>
      <c r="W9" s="15">
        <v>16424</v>
      </c>
      <c r="X9" s="15">
        <v>17394</v>
      </c>
      <c r="Y9" s="15">
        <v>17007</v>
      </c>
      <c r="Z9" s="15">
        <v>14520</v>
      </c>
      <c r="AA9" s="15">
        <v>1916</v>
      </c>
      <c r="AB9" s="15">
        <v>11964</v>
      </c>
      <c r="AC9" s="15">
        <v>11672</v>
      </c>
      <c r="AD9" s="15">
        <v>12938</v>
      </c>
      <c r="AE9" s="15">
        <v>10732</v>
      </c>
      <c r="AF9" s="15">
        <v>10142</v>
      </c>
      <c r="AG9" s="145">
        <v>0</v>
      </c>
      <c r="AH9" s="15">
        <v>10722</v>
      </c>
      <c r="AI9" s="15">
        <v>0</v>
      </c>
      <c r="AJ9" s="15">
        <v>2722</v>
      </c>
      <c r="AK9" s="15">
        <v>10250</v>
      </c>
      <c r="AL9" s="15">
        <v>11038</v>
      </c>
      <c r="AM9" s="15">
        <v>10894</v>
      </c>
      <c r="AN9" s="15">
        <v>13146</v>
      </c>
      <c r="AO9" s="15">
        <v>11114</v>
      </c>
      <c r="AP9" s="15">
        <v>11404</v>
      </c>
      <c r="AQ9" s="15">
        <v>11460</v>
      </c>
      <c r="AR9" s="15">
        <v>8516</v>
      </c>
      <c r="AS9" s="16">
        <v>5.59</v>
      </c>
      <c r="AT9" s="16">
        <v>6.18</v>
      </c>
      <c r="AU9" s="16">
        <v>5.43</v>
      </c>
      <c r="AV9" s="16">
        <v>5.42</v>
      </c>
      <c r="AW9" s="16">
        <v>5.97</v>
      </c>
      <c r="AX9" s="16">
        <v>6.06</v>
      </c>
      <c r="AY9" s="16">
        <v>5.51</v>
      </c>
      <c r="AZ9" s="16">
        <v>5.15</v>
      </c>
      <c r="BA9" s="16">
        <v>5.98</v>
      </c>
      <c r="BB9" s="16">
        <v>5.33</v>
      </c>
      <c r="BC9" s="16">
        <v>6.31</v>
      </c>
      <c r="BD9" s="16">
        <v>5.92</v>
      </c>
      <c r="BE9" s="16">
        <v>5.96</v>
      </c>
      <c r="BF9" s="16">
        <v>5.77</v>
      </c>
      <c r="BG9" s="16">
        <v>5.83</v>
      </c>
      <c r="BH9" s="16">
        <v>5.9</v>
      </c>
      <c r="BI9" s="16">
        <v>6.05</v>
      </c>
      <c r="BJ9" s="16">
        <v>5.8</v>
      </c>
      <c r="BK9" s="16">
        <v>5.74</v>
      </c>
      <c r="BL9" s="16">
        <v>6.66</v>
      </c>
      <c r="BM9" s="16">
        <v>5.05</v>
      </c>
      <c r="BN9" s="16">
        <v>6.2</v>
      </c>
      <c r="BO9" s="16">
        <v>6.1</v>
      </c>
      <c r="BP9" s="16">
        <v>5.88</v>
      </c>
      <c r="BQ9" s="16">
        <v>6</v>
      </c>
      <c r="BR9" s="16">
        <v>5.88</v>
      </c>
      <c r="BS9" s="16">
        <v>5.94</v>
      </c>
      <c r="BT9" s="16">
        <v>0</v>
      </c>
      <c r="BU9" s="16">
        <v>5.74</v>
      </c>
      <c r="BV9" s="16">
        <v>0</v>
      </c>
      <c r="BW9" s="16">
        <v>5.52</v>
      </c>
      <c r="BX9" s="16">
        <v>5.76</v>
      </c>
      <c r="BY9" s="16">
        <v>6.04</v>
      </c>
      <c r="BZ9" s="16">
        <v>6.02</v>
      </c>
      <c r="CA9" s="16">
        <v>5.85</v>
      </c>
      <c r="CB9" s="16">
        <v>6.03</v>
      </c>
      <c r="CC9" s="16">
        <v>5.99</v>
      </c>
      <c r="CD9" s="16">
        <v>5.42</v>
      </c>
      <c r="CE9" s="16">
        <v>6.19</v>
      </c>
      <c r="CF9" s="17">
        <f>SUM(Input_Raw[[#This Row],[G01]:[G40]])</f>
        <v>428910</v>
      </c>
      <c r="CG9" s="18">
        <f>IFERROR(AVERAGE(Input_Raw[[#This Row],[WS_G01]:[WS_G40]]),"")</f>
        <v>5.5428205128205121</v>
      </c>
      <c r="CH9" s="19"/>
      <c r="CI9" s="19"/>
      <c r="CJ9" s="15">
        <v>237798</v>
      </c>
      <c r="CK9" s="15">
        <v>2159</v>
      </c>
      <c r="CL9" s="15">
        <v>278152</v>
      </c>
      <c r="CM9" s="15">
        <v>2190</v>
      </c>
      <c r="CN9" s="15">
        <v>253699</v>
      </c>
      <c r="CO9" s="15">
        <v>1797</v>
      </c>
      <c r="CP9" s="15">
        <v>289297</v>
      </c>
      <c r="CQ9" s="15">
        <v>1841</v>
      </c>
      <c r="CR9" s="148">
        <f>IF(((Input_Raw[[#This Row],[33 kV_Wind_F1_Export reading]]-CJ8)*1200)&gt;0,(Input_Raw[[#This Row],[33 kV_Wind_F1_Export reading]]-CJ8)*1200,0)</f>
        <v>99600</v>
      </c>
      <c r="CS9" s="148">
        <f>IF(((Input_Raw[[#This Row],[33 kV_Wind_F1_Import reading]]-CK8)*1200)&gt;0,(Input_Raw[[#This Row],[33 kV_Wind_F1_Import reading]]-CK8)*1200,0)</f>
        <v>0</v>
      </c>
      <c r="CT9" s="148">
        <f>IF(((Input_Raw[[#This Row],[33 kV_Wind_F2_Export_reading]]-CL8)*1200)&gt;0,(Input_Raw[[#This Row],[33 kV_Wind_F2_Export_reading]]-CL8)*1200,0)</f>
        <v>80400</v>
      </c>
      <c r="CU9" s="148">
        <f>IF(((Input_Raw[[#This Row],[33 kV_Wind_F2_Import_reading]]-CM8)*1200)&gt;0,(Input_Raw[[#This Row],[33 kV_Wind_F2_Import_reading]]-CM8)*1200,0)</f>
        <v>0</v>
      </c>
      <c r="CV9" s="148">
        <f>IF(((Input_Raw[[#This Row],[33 kV_Wind_F3_Export_Reading]]-CN8)*1200)&gt;0,(Input_Raw[[#This Row],[33 kV_Wind_F3_Export_Reading]]-CN8)*1200,0)</f>
        <v>100800</v>
      </c>
      <c r="CW9" s="148">
        <f>IF(((Input_Raw[[#This Row],[33 kV_Wind_F3_Import_Reading]]-CO8)*1200)&gt;0,(Input_Raw[[#This Row],[33 kV_Wind_F3_Import_Reading]]-CO8)*1200,0)</f>
        <v>0</v>
      </c>
      <c r="CX9" s="148">
        <f>IF(((Input_Raw[[#This Row],[33 kV_Wind_F4_Export Reading]]-CP8)*1200)&gt;0,(Input_Raw[[#This Row],[33 kV_Wind_F4_Export Reading]]-CP8)*1200,0)</f>
        <v>138000</v>
      </c>
      <c r="CY9" s="148">
        <f>IF(((Input_Raw[[#This Row],[33 kV_Wind_F4_Import Reading]]-CQ8)*1200)&gt;0,(Input_Raw[[#This Row],[33 kV_Wind_F4_Import Reading]]-CQ8)*1200,0)</f>
        <v>0</v>
      </c>
      <c r="CZ9" s="148">
        <f>Input_Raw[[#This Row],[33 kV_F1_Total_Export (KWh)]]+Input_Raw[[#This Row],[33 kV_F2_Total_Export (KWh)2]]+Input_Raw[[#This Row],[33 kV_Wind_F3_Export (KWh)]]+Input_Raw[[#This Row],[33 kV_Wind_F4_Export (KWh)]]</f>
        <v>418800</v>
      </c>
      <c r="DA9" s="148">
        <f>Input_Raw[[#This Row],[33 kV_Wind_F1_Import (KWh)]]+Input_Raw[[#This Row],[33 kV_Wind_F2_Import (KWh)]]+Input_Raw[[#This Row],[33 kV_Wind_F3_Import (KWh)2]]+Input_Raw[[#This Row],[33 kV_Wind_F4_Import (KWh)2]]</f>
        <v>0</v>
      </c>
      <c r="DB9" s="21">
        <f>IFERROR(1-Input_Raw[[#This Row],[33 kV_Wind_Total_Export (KWh)]]/Input_Raw[[#This Row],[WTG Total Gneration (KWh)]],0)</f>
        <v>2.357137861089742E-2</v>
      </c>
      <c r="DC9" s="144">
        <v>96</v>
      </c>
      <c r="DD9" s="147">
        <v>47311</v>
      </c>
      <c r="DE9" s="163">
        <v>422.85899999999998</v>
      </c>
      <c r="DF9" s="160"/>
      <c r="DG9" s="162">
        <v>78</v>
      </c>
      <c r="DH9" s="160"/>
    </row>
    <row r="10" spans="1:112">
      <c r="A10" s="20">
        <f t="shared" si="3"/>
        <v>45750</v>
      </c>
      <c r="B10" s="12">
        <f>YEAR(Input_Raw[[#This Row],[Date]])+IF(MONTH(Input_Raw[[#This Row],[Date]])&gt;=4,1,0)</f>
        <v>2026</v>
      </c>
      <c r="C10" s="13">
        <f>YEAR(Input_Raw[[#This Row],[Date]])</f>
        <v>2025</v>
      </c>
      <c r="D10" s="14">
        <f t="shared" si="2"/>
        <v>45748</v>
      </c>
      <c r="E10" s="13">
        <f>DAY(EOMONTH(Input_Raw[[#This Row],[Date]],0))</f>
        <v>30</v>
      </c>
      <c r="F10" s="15">
        <v>7048</v>
      </c>
      <c r="G10" s="15">
        <v>9292</v>
      </c>
      <c r="H10" s="15">
        <v>6462</v>
      </c>
      <c r="I10" s="15">
        <v>6772</v>
      </c>
      <c r="J10" s="15">
        <v>7822</v>
      </c>
      <c r="K10" s="15">
        <v>2735</v>
      </c>
      <c r="L10" s="15">
        <v>3420</v>
      </c>
      <c r="M10" s="15">
        <v>6800</v>
      </c>
      <c r="N10" s="15">
        <v>8864</v>
      </c>
      <c r="O10" s="15">
        <v>6280</v>
      </c>
      <c r="P10" s="15">
        <v>7464</v>
      </c>
      <c r="Q10" s="15">
        <v>8930</v>
      </c>
      <c r="R10" s="15">
        <v>8852</v>
      </c>
      <c r="S10" s="15">
        <v>8384</v>
      </c>
      <c r="T10" s="15">
        <v>8346</v>
      </c>
      <c r="U10" s="15">
        <v>6660</v>
      </c>
      <c r="V10" s="15">
        <v>10152</v>
      </c>
      <c r="W10" s="15">
        <v>6368</v>
      </c>
      <c r="X10" s="15">
        <v>10280</v>
      </c>
      <c r="Y10" s="15">
        <v>9239</v>
      </c>
      <c r="Z10" s="15">
        <v>7800</v>
      </c>
      <c r="AA10" s="15">
        <v>6952</v>
      </c>
      <c r="AB10" s="15">
        <v>7522</v>
      </c>
      <c r="AC10" s="15">
        <v>6640</v>
      </c>
      <c r="AD10" s="15">
        <v>7248</v>
      </c>
      <c r="AE10" s="15">
        <v>6588</v>
      </c>
      <c r="AF10" s="15">
        <v>6354</v>
      </c>
      <c r="AG10" s="145">
        <v>0</v>
      </c>
      <c r="AH10" s="15">
        <v>6816</v>
      </c>
      <c r="AI10" s="15">
        <v>0</v>
      </c>
      <c r="AJ10" s="15">
        <v>4938</v>
      </c>
      <c r="AK10" s="15">
        <v>5908</v>
      </c>
      <c r="AL10" s="15">
        <v>3472</v>
      </c>
      <c r="AM10" s="15">
        <v>6490</v>
      </c>
      <c r="AN10" s="15">
        <v>7198</v>
      </c>
      <c r="AO10" s="15">
        <v>6498</v>
      </c>
      <c r="AP10" s="15">
        <v>4518</v>
      </c>
      <c r="AQ10" s="15">
        <v>6232</v>
      </c>
      <c r="AR10" s="15">
        <v>6148</v>
      </c>
      <c r="AS10" s="16">
        <v>4.76</v>
      </c>
      <c r="AT10" s="16">
        <v>4.88</v>
      </c>
      <c r="AU10" s="16">
        <v>4.8</v>
      </c>
      <c r="AV10" s="16">
        <v>4.6500000000000004</v>
      </c>
      <c r="AW10" s="16">
        <v>4.2699999999999996</v>
      </c>
      <c r="AX10" s="16">
        <v>5.04</v>
      </c>
      <c r="AY10" s="16">
        <v>5.09</v>
      </c>
      <c r="AZ10" s="16">
        <v>4.76</v>
      </c>
      <c r="BA10" s="16">
        <v>4.82</v>
      </c>
      <c r="BB10" s="16">
        <v>4.8</v>
      </c>
      <c r="BC10" s="16">
        <v>4.93</v>
      </c>
      <c r="BD10" s="16">
        <v>4.74</v>
      </c>
      <c r="BE10" s="16">
        <v>4.55</v>
      </c>
      <c r="BF10" s="16">
        <v>4.63</v>
      </c>
      <c r="BG10" s="16">
        <v>4.57</v>
      </c>
      <c r="BH10" s="16">
        <v>4.63</v>
      </c>
      <c r="BI10" s="16">
        <v>4.82</v>
      </c>
      <c r="BJ10" s="16">
        <v>4.84</v>
      </c>
      <c r="BK10" s="16">
        <v>4.83</v>
      </c>
      <c r="BL10" s="16">
        <v>5.0999999999999996</v>
      </c>
      <c r="BM10" s="16">
        <v>4.76</v>
      </c>
      <c r="BN10" s="16">
        <v>4.34</v>
      </c>
      <c r="BO10" s="16">
        <v>4.24</v>
      </c>
      <c r="BP10" s="16">
        <v>4.4800000000000004</v>
      </c>
      <c r="BQ10" s="16">
        <v>4.55</v>
      </c>
      <c r="BR10" s="16">
        <v>4.34</v>
      </c>
      <c r="BS10" s="16">
        <v>4.26</v>
      </c>
      <c r="BT10" s="16">
        <v>0</v>
      </c>
      <c r="BU10" s="16">
        <v>3.79</v>
      </c>
      <c r="BV10" s="16">
        <v>0</v>
      </c>
      <c r="BW10" s="16">
        <v>4.37</v>
      </c>
      <c r="BX10" s="16">
        <v>4.3</v>
      </c>
      <c r="BY10" s="16">
        <v>4.4800000000000004</v>
      </c>
      <c r="BZ10" s="16">
        <v>4.78</v>
      </c>
      <c r="CA10" s="16">
        <v>4.74</v>
      </c>
      <c r="CB10" s="16">
        <v>4.25</v>
      </c>
      <c r="CC10" s="16">
        <v>4.4400000000000004</v>
      </c>
      <c r="CD10" s="16">
        <v>4.59</v>
      </c>
      <c r="CE10" s="16">
        <v>5.03</v>
      </c>
      <c r="CF10" s="17">
        <f>SUM(Input_Raw[[#This Row],[G01]:[G40]])</f>
        <v>257492</v>
      </c>
      <c r="CG10" s="18">
        <f>IFERROR(AVERAGE(Input_Raw[[#This Row],[WS_G01]:[WS_G40]]),"")</f>
        <v>4.3910256410256414</v>
      </c>
      <c r="CH10" s="19"/>
      <c r="CI10" s="19"/>
      <c r="CJ10" s="15">
        <v>237846</v>
      </c>
      <c r="CK10" s="15">
        <v>2160</v>
      </c>
      <c r="CL10" s="15">
        <v>278199</v>
      </c>
      <c r="CM10" s="15">
        <v>2190</v>
      </c>
      <c r="CN10" s="15">
        <v>253740</v>
      </c>
      <c r="CO10" s="15">
        <v>1798</v>
      </c>
      <c r="CP10" s="15">
        <v>289370</v>
      </c>
      <c r="CQ10" s="15">
        <v>1842</v>
      </c>
      <c r="CR10" s="148">
        <f>IF(((Input_Raw[[#This Row],[33 kV_Wind_F1_Export reading]]-CJ9)*1200)&gt;0,(Input_Raw[[#This Row],[33 kV_Wind_F1_Export reading]]-CJ9)*1200,0)</f>
        <v>57600</v>
      </c>
      <c r="CS10" s="148">
        <f>IF(((Input_Raw[[#This Row],[33 kV_Wind_F1_Import reading]]-CK9)*1200)&gt;0,(Input_Raw[[#This Row],[33 kV_Wind_F1_Import reading]]-CK9)*1200,0)</f>
        <v>1200</v>
      </c>
      <c r="CT10" s="148">
        <f>IF(((Input_Raw[[#This Row],[33 kV_Wind_F2_Export_reading]]-CL9)*1200)&gt;0,(Input_Raw[[#This Row],[33 kV_Wind_F2_Export_reading]]-CL9)*1200,0)</f>
        <v>56400</v>
      </c>
      <c r="CU10" s="148">
        <f>IF(((Input_Raw[[#This Row],[33 kV_Wind_F2_Import_reading]]-CM9)*1200)&gt;0,(Input_Raw[[#This Row],[33 kV_Wind_F2_Import_reading]]-CM9)*1200,0)</f>
        <v>0</v>
      </c>
      <c r="CV10" s="148">
        <f>IF(((Input_Raw[[#This Row],[33 kV_Wind_F3_Export_Reading]]-CN9)*1200)&gt;0,(Input_Raw[[#This Row],[33 kV_Wind_F3_Export_Reading]]-CN9)*1200,0)</f>
        <v>49200</v>
      </c>
      <c r="CW10" s="148">
        <f>IF(((Input_Raw[[#This Row],[33 kV_Wind_F3_Import_Reading]]-CO9)*1200)&gt;0,(Input_Raw[[#This Row],[33 kV_Wind_F3_Import_Reading]]-CO9)*1200,0)</f>
        <v>1200</v>
      </c>
      <c r="CX10" s="148">
        <f>IF(((Input_Raw[[#This Row],[33 kV_Wind_F4_Export Reading]]-CP9)*1200)&gt;0,(Input_Raw[[#This Row],[33 kV_Wind_F4_Export Reading]]-CP9)*1200,0)</f>
        <v>87600</v>
      </c>
      <c r="CY10" s="148">
        <f>IF(((Input_Raw[[#This Row],[33 kV_Wind_F4_Import Reading]]-CQ9)*1200)&gt;0,(Input_Raw[[#This Row],[33 kV_Wind_F4_Import Reading]]-CQ9)*1200,0)</f>
        <v>1200</v>
      </c>
      <c r="CZ10" s="148">
        <f>Input_Raw[[#This Row],[33 kV_F1_Total_Export (KWh)]]+Input_Raw[[#This Row],[33 kV_F2_Total_Export (KWh)2]]+Input_Raw[[#This Row],[33 kV_Wind_F3_Export (KWh)]]+Input_Raw[[#This Row],[33 kV_Wind_F4_Export (KWh)]]</f>
        <v>250800</v>
      </c>
      <c r="DA10" s="148">
        <f>Input_Raw[[#This Row],[33 kV_Wind_F1_Import (KWh)]]+Input_Raw[[#This Row],[33 kV_Wind_F2_Import (KWh)]]+Input_Raw[[#This Row],[33 kV_Wind_F3_Import (KWh)2]]+Input_Raw[[#This Row],[33 kV_Wind_F4_Import (KWh)2]]</f>
        <v>3600</v>
      </c>
      <c r="DB10" s="21">
        <f>IFERROR(1-Input_Raw[[#This Row],[33 kV_Wind_Total_Export (KWh)]]/Input_Raw[[#This Row],[WTG Total Gneration (KWh)]],0)</f>
        <v>2.5989156944681735E-2</v>
      </c>
      <c r="DC10" s="144">
        <v>96</v>
      </c>
      <c r="DD10" s="147">
        <v>16092</v>
      </c>
      <c r="DE10" s="163">
        <v>255.178</v>
      </c>
      <c r="DF10" s="160"/>
      <c r="DG10" s="162">
        <v>78</v>
      </c>
      <c r="DH10" s="160"/>
    </row>
    <row r="11" spans="1:112">
      <c r="A11" s="20">
        <f t="shared" si="3"/>
        <v>45751</v>
      </c>
      <c r="B11" s="12">
        <f>YEAR(Input_Raw[[#This Row],[Date]])+IF(MONTH(Input_Raw[[#This Row],[Date]])&gt;=4,1,0)</f>
        <v>2026</v>
      </c>
      <c r="C11" s="13">
        <f>YEAR(Input_Raw[[#This Row],[Date]])</f>
        <v>2025</v>
      </c>
      <c r="D11" s="14">
        <f t="shared" si="2"/>
        <v>45748</v>
      </c>
      <c r="E11" s="13">
        <f>DAY(EOMONTH(Input_Raw[[#This Row],[Date]],0))</f>
        <v>30</v>
      </c>
      <c r="F11" s="15">
        <v>5220</v>
      </c>
      <c r="G11" s="15">
        <v>3700</v>
      </c>
      <c r="H11" s="15">
        <v>4436</v>
      </c>
      <c r="I11" s="15">
        <v>884</v>
      </c>
      <c r="J11" s="15">
        <v>4908</v>
      </c>
      <c r="K11" s="15">
        <v>879</v>
      </c>
      <c r="L11" s="15">
        <v>3033</v>
      </c>
      <c r="M11" s="15">
        <v>4092</v>
      </c>
      <c r="N11" s="15">
        <v>4356</v>
      </c>
      <c r="O11" s="15">
        <v>5040</v>
      </c>
      <c r="P11" s="15">
        <v>5292</v>
      </c>
      <c r="Q11" s="15">
        <v>4980</v>
      </c>
      <c r="R11" s="15">
        <v>4190</v>
      </c>
      <c r="S11" s="15">
        <v>5796</v>
      </c>
      <c r="T11" s="15">
        <v>4270</v>
      </c>
      <c r="U11" s="15">
        <v>4</v>
      </c>
      <c r="V11" s="15">
        <v>5176</v>
      </c>
      <c r="W11" s="15">
        <v>5752</v>
      </c>
      <c r="X11" s="15">
        <v>5103</v>
      </c>
      <c r="Y11" s="15">
        <v>6702</v>
      </c>
      <c r="Z11" s="15">
        <v>5566</v>
      </c>
      <c r="AA11" s="15">
        <v>5420</v>
      </c>
      <c r="AB11" s="15">
        <v>4696</v>
      </c>
      <c r="AC11" s="15">
        <v>5078</v>
      </c>
      <c r="AD11" s="15">
        <v>4574</v>
      </c>
      <c r="AE11" s="15">
        <v>4378</v>
      </c>
      <c r="AF11" s="15">
        <v>4658</v>
      </c>
      <c r="AG11" s="145">
        <v>0</v>
      </c>
      <c r="AH11" s="15">
        <v>5344</v>
      </c>
      <c r="AI11" s="15">
        <v>0</v>
      </c>
      <c r="AJ11" s="15">
        <v>4332</v>
      </c>
      <c r="AK11" s="15">
        <v>4113</v>
      </c>
      <c r="AL11" s="15">
        <v>972</v>
      </c>
      <c r="AM11" s="15">
        <v>5000</v>
      </c>
      <c r="AN11" s="15">
        <v>5438</v>
      </c>
      <c r="AO11" s="15">
        <v>5268</v>
      </c>
      <c r="AP11" s="15">
        <v>4266</v>
      </c>
      <c r="AQ11" s="15">
        <v>4168</v>
      </c>
      <c r="AR11" s="15">
        <v>4477</v>
      </c>
      <c r="AS11" s="16">
        <v>4.2</v>
      </c>
      <c r="AT11" s="16">
        <v>4.4800000000000004</v>
      </c>
      <c r="AU11" s="16">
        <v>4.1500000000000004</v>
      </c>
      <c r="AV11" s="16">
        <v>4.2300000000000004</v>
      </c>
      <c r="AW11" s="16">
        <v>4.09</v>
      </c>
      <c r="AX11" s="16">
        <v>4.41</v>
      </c>
      <c r="AY11" s="16">
        <v>4.2</v>
      </c>
      <c r="AZ11" s="16">
        <v>4.38</v>
      </c>
      <c r="BA11" s="16">
        <v>4.25</v>
      </c>
      <c r="BB11" s="16">
        <v>4.12</v>
      </c>
      <c r="BC11" s="16">
        <v>4.51</v>
      </c>
      <c r="BD11" s="16">
        <v>4.5599999999999996</v>
      </c>
      <c r="BE11" s="16">
        <v>4.66</v>
      </c>
      <c r="BF11" s="16">
        <v>4.58</v>
      </c>
      <c r="BG11" s="16">
        <v>4.72</v>
      </c>
      <c r="BH11" s="16">
        <v>4.72</v>
      </c>
      <c r="BI11" s="16">
        <v>4.38</v>
      </c>
      <c r="BJ11" s="16">
        <v>4.6100000000000003</v>
      </c>
      <c r="BK11" s="16">
        <v>4.79</v>
      </c>
      <c r="BL11" s="16">
        <v>4.5</v>
      </c>
      <c r="BM11" s="16">
        <v>4.21</v>
      </c>
      <c r="BN11" s="16">
        <v>4.3</v>
      </c>
      <c r="BO11" s="16">
        <v>4</v>
      </c>
      <c r="BP11" s="16">
        <v>4.3499999999999996</v>
      </c>
      <c r="BQ11" s="16">
        <v>3.93</v>
      </c>
      <c r="BR11" s="16">
        <v>4.2</v>
      </c>
      <c r="BS11" s="16">
        <v>4.18</v>
      </c>
      <c r="BT11" s="16">
        <v>0</v>
      </c>
      <c r="BU11" s="16">
        <v>4.0199999999999996</v>
      </c>
      <c r="BV11" s="16">
        <v>0</v>
      </c>
      <c r="BW11" s="16">
        <v>4</v>
      </c>
      <c r="BX11" s="16">
        <v>4.03</v>
      </c>
      <c r="BY11" s="16">
        <v>4.05</v>
      </c>
      <c r="BZ11" s="16">
        <v>4.25</v>
      </c>
      <c r="CA11" s="16">
        <v>4.25</v>
      </c>
      <c r="CB11" s="16">
        <v>3.98</v>
      </c>
      <c r="CC11" s="16">
        <v>4.05</v>
      </c>
      <c r="CD11" s="16">
        <v>4.03</v>
      </c>
      <c r="CE11" s="16">
        <v>3.89</v>
      </c>
      <c r="CF11" s="17">
        <f>SUM(Input_Raw[[#This Row],[G01]:[G40]])</f>
        <v>161561</v>
      </c>
      <c r="CG11" s="18">
        <f>IFERROR(AVERAGE(Input_Raw[[#This Row],[WS_G01]:[WS_G40]]),"")</f>
        <v>4.057948717948717</v>
      </c>
      <c r="CH11" s="19"/>
      <c r="CI11" s="19"/>
      <c r="CJ11" s="15">
        <v>237878</v>
      </c>
      <c r="CK11" s="15">
        <v>2161</v>
      </c>
      <c r="CL11" s="15">
        <v>278228</v>
      </c>
      <c r="CM11" s="15">
        <v>2191</v>
      </c>
      <c r="CN11" s="15">
        <v>253768</v>
      </c>
      <c r="CO11" s="15">
        <v>1798</v>
      </c>
      <c r="CP11" s="15">
        <v>289401</v>
      </c>
      <c r="CQ11" s="15">
        <v>1843</v>
      </c>
      <c r="CR11" s="148">
        <f>IF(((Input_Raw[[#This Row],[33 kV_Wind_F1_Export reading]]-CJ10)*1200)&gt;0,(Input_Raw[[#This Row],[33 kV_Wind_F1_Export reading]]-CJ10)*1200,0)</f>
        <v>38400</v>
      </c>
      <c r="CS11" s="148">
        <f>IF(((Input_Raw[[#This Row],[33 kV_Wind_F1_Import reading]]-CK10)*1200)&gt;0,(Input_Raw[[#This Row],[33 kV_Wind_F1_Import reading]]-CK10)*1200,0)</f>
        <v>1200</v>
      </c>
      <c r="CT11" s="148">
        <f>IF(((Input_Raw[[#This Row],[33 kV_Wind_F2_Export_reading]]-CL10)*1200)&gt;0,(Input_Raw[[#This Row],[33 kV_Wind_F2_Export_reading]]-CL10)*1200,0)</f>
        <v>34800</v>
      </c>
      <c r="CU11" s="148">
        <f>IF(((Input_Raw[[#This Row],[33 kV_Wind_F2_Import_reading]]-CM10)*1200)&gt;0,(Input_Raw[[#This Row],[33 kV_Wind_F2_Import_reading]]-CM10)*1200,0)</f>
        <v>1200</v>
      </c>
      <c r="CV11" s="148">
        <f>IF(((Input_Raw[[#This Row],[33 kV_Wind_F3_Export_Reading]]-CN10)*1200)&gt;0,(Input_Raw[[#This Row],[33 kV_Wind_F3_Export_Reading]]-CN10)*1200,0)</f>
        <v>33600</v>
      </c>
      <c r="CW11" s="148">
        <f>IF(((Input_Raw[[#This Row],[33 kV_Wind_F3_Import_Reading]]-CO10)*1200)&gt;0,(Input_Raw[[#This Row],[33 kV_Wind_F3_Import_Reading]]-CO10)*1200,0)</f>
        <v>0</v>
      </c>
      <c r="CX11" s="148">
        <f>IF(((Input_Raw[[#This Row],[33 kV_Wind_F4_Export Reading]]-CP10)*1200)&gt;0,(Input_Raw[[#This Row],[33 kV_Wind_F4_Export Reading]]-CP10)*1200,0)</f>
        <v>37200</v>
      </c>
      <c r="CY11" s="148">
        <f>IF(((Input_Raw[[#This Row],[33 kV_Wind_F4_Import Reading]]-CQ10)*1200)&gt;0,(Input_Raw[[#This Row],[33 kV_Wind_F4_Import Reading]]-CQ10)*1200,0)</f>
        <v>1200</v>
      </c>
      <c r="CZ11" s="148">
        <f>Input_Raw[[#This Row],[33 kV_F1_Total_Export (KWh)]]+Input_Raw[[#This Row],[33 kV_F2_Total_Export (KWh)2]]+Input_Raw[[#This Row],[33 kV_Wind_F3_Export (KWh)]]+Input_Raw[[#This Row],[33 kV_Wind_F4_Export (KWh)]]</f>
        <v>144000</v>
      </c>
      <c r="DA11" s="148">
        <f>Input_Raw[[#This Row],[33 kV_Wind_F1_Import (KWh)]]+Input_Raw[[#This Row],[33 kV_Wind_F2_Import (KWh)]]+Input_Raw[[#This Row],[33 kV_Wind_F3_Import (KWh)2]]+Input_Raw[[#This Row],[33 kV_Wind_F4_Import (KWh)2]]</f>
        <v>3600</v>
      </c>
      <c r="DB11" s="21">
        <f>IFERROR(1-Input_Raw[[#This Row],[33 kV_Wind_Total_Export (KWh)]]/Input_Raw[[#This Row],[WTG Total Gneration (KWh)]],0)</f>
        <v>0.10869578673070857</v>
      </c>
      <c r="DC11" s="144">
        <v>96</v>
      </c>
      <c r="DD11" s="147">
        <v>38147</v>
      </c>
      <c r="DE11" s="163">
        <v>165.1</v>
      </c>
      <c r="DF11" s="160"/>
      <c r="DG11" s="162">
        <v>78</v>
      </c>
      <c r="DH11" s="160"/>
    </row>
    <row r="12" spans="1:112">
      <c r="A12" s="20">
        <f t="shared" si="3"/>
        <v>45752</v>
      </c>
      <c r="B12" s="12">
        <f>YEAR(Input_Raw[[#This Row],[Date]])+IF(MONTH(Input_Raw[[#This Row],[Date]])&gt;=4,1,0)</f>
        <v>2026</v>
      </c>
      <c r="C12" s="13">
        <f>YEAR(Input_Raw[[#This Row],[Date]])</f>
        <v>2025</v>
      </c>
      <c r="D12" s="14">
        <f t="shared" si="2"/>
        <v>45748</v>
      </c>
      <c r="E12" s="13">
        <f>DAY(EOMONTH(Input_Raw[[#This Row],[Date]],0))</f>
        <v>30</v>
      </c>
      <c r="F12" s="15">
        <v>1960</v>
      </c>
      <c r="G12" s="15">
        <v>2540</v>
      </c>
      <c r="H12" s="15">
        <v>1912</v>
      </c>
      <c r="I12" s="15">
        <v>2284</v>
      </c>
      <c r="J12" s="15">
        <v>1866</v>
      </c>
      <c r="K12" s="15">
        <v>1710</v>
      </c>
      <c r="L12" s="15">
        <v>1956</v>
      </c>
      <c r="M12" s="15">
        <v>2084</v>
      </c>
      <c r="N12" s="15">
        <v>1724</v>
      </c>
      <c r="O12" s="15">
        <v>1448</v>
      </c>
      <c r="P12" s="15">
        <v>1816</v>
      </c>
      <c r="Q12" s="15">
        <v>1786</v>
      </c>
      <c r="R12" s="15">
        <v>1928</v>
      </c>
      <c r="S12" s="15">
        <v>1700</v>
      </c>
      <c r="T12" s="15">
        <v>1532</v>
      </c>
      <c r="U12" s="15">
        <v>0</v>
      </c>
      <c r="V12" s="15">
        <v>2102</v>
      </c>
      <c r="W12" s="15">
        <v>2172</v>
      </c>
      <c r="X12" s="15">
        <v>2177</v>
      </c>
      <c r="Y12" s="15">
        <v>2192</v>
      </c>
      <c r="Z12" s="15">
        <v>2750</v>
      </c>
      <c r="AA12" s="15">
        <v>2576</v>
      </c>
      <c r="AB12" s="15">
        <v>2268</v>
      </c>
      <c r="AC12" s="15">
        <v>1934</v>
      </c>
      <c r="AD12" s="15">
        <v>2976</v>
      </c>
      <c r="AE12" s="15">
        <v>1682</v>
      </c>
      <c r="AF12" s="15">
        <v>2572</v>
      </c>
      <c r="AG12" s="15">
        <v>0</v>
      </c>
      <c r="AH12" s="15">
        <v>2976</v>
      </c>
      <c r="AI12" s="15">
        <v>0</v>
      </c>
      <c r="AJ12" s="15">
        <v>2664</v>
      </c>
      <c r="AK12" s="15">
        <v>2373</v>
      </c>
      <c r="AL12" s="15">
        <v>2528</v>
      </c>
      <c r="AM12" s="15">
        <v>3056</v>
      </c>
      <c r="AN12" s="15">
        <v>2968</v>
      </c>
      <c r="AO12" s="15">
        <v>3038</v>
      </c>
      <c r="AP12" s="15">
        <v>2406</v>
      </c>
      <c r="AQ12" s="15">
        <v>2536</v>
      </c>
      <c r="AR12" s="15">
        <v>2971</v>
      </c>
      <c r="AS12" s="16">
        <v>3.1604649999999999</v>
      </c>
      <c r="AT12" s="16">
        <v>3.5607857142857156</v>
      </c>
      <c r="AU12" s="16">
        <v>3.1150642857142858</v>
      </c>
      <c r="AV12" s="16">
        <v>3.3498214285714289</v>
      </c>
      <c r="AW12" s="16">
        <v>3.3268703389830518</v>
      </c>
      <c r="AX12" s="16">
        <v>3.19943165467626</v>
      </c>
      <c r="AY12" s="16">
        <v>3.1126521739130437</v>
      </c>
      <c r="AZ12" s="16">
        <v>3.3074779411764714</v>
      </c>
      <c r="BA12" s="16">
        <v>3.3207647058823522</v>
      </c>
      <c r="BB12" s="16">
        <v>2.8658962962962966</v>
      </c>
      <c r="BC12" s="16">
        <v>3.1958955223880592</v>
      </c>
      <c r="BD12" s="16">
        <v>3.2101954887218032</v>
      </c>
      <c r="BE12" s="16">
        <v>3.4380946969696962</v>
      </c>
      <c r="BF12" s="16">
        <v>3.1363816793893138</v>
      </c>
      <c r="BG12" s="16">
        <v>3.1875307692307708</v>
      </c>
      <c r="BH12" s="16">
        <v>0</v>
      </c>
      <c r="BI12" s="16">
        <v>3.2244062500000004</v>
      </c>
      <c r="BJ12" s="16">
        <v>3.1801574803149606</v>
      </c>
      <c r="BK12" s="16">
        <v>3.1785396825396823</v>
      </c>
      <c r="BL12" s="16">
        <v>3.0891760000000019</v>
      </c>
      <c r="BM12" s="16">
        <v>3.3396568627450995</v>
      </c>
      <c r="BN12" s="16">
        <v>3.3299801980198023</v>
      </c>
      <c r="BO12" s="16">
        <v>3.1536669999999987</v>
      </c>
      <c r="BP12" s="16">
        <v>2.9715846938775519</v>
      </c>
      <c r="BQ12" s="16">
        <v>3.1007329896907221</v>
      </c>
      <c r="BR12" s="16">
        <v>2.7795312500000002</v>
      </c>
      <c r="BS12" s="16">
        <v>3.1705336842105267</v>
      </c>
      <c r="BT12" s="16">
        <v>0</v>
      </c>
      <c r="BU12" s="16">
        <v>3.0810967741935489</v>
      </c>
      <c r="BV12" s="16">
        <v>0</v>
      </c>
      <c r="BW12" s="16">
        <v>3.1179021978021968</v>
      </c>
      <c r="BX12" s="16">
        <v>2.8481661290322582</v>
      </c>
      <c r="BY12" s="16">
        <v>2.9089775280898884</v>
      </c>
      <c r="BZ12" s="16">
        <v>3.1530829545454537</v>
      </c>
      <c r="CA12" s="16">
        <v>3.0023655172413792</v>
      </c>
      <c r="CB12" s="16">
        <v>3.1489511627906976</v>
      </c>
      <c r="CC12" s="16">
        <v>3.0592047058823537</v>
      </c>
      <c r="CD12" s="16">
        <v>3.2</v>
      </c>
      <c r="CE12" s="16">
        <v>3.0888108433734929</v>
      </c>
      <c r="CF12" s="17">
        <f>SUM(Input_Raw[[#This Row],[G01]:[G40]])</f>
        <v>81163</v>
      </c>
      <c r="CG12" s="18">
        <f>IFERROR(AVERAGE(Input_Raw[[#This Row],[WS_G01]:[WS_G40]]),"")</f>
        <v>2.9131756820653378</v>
      </c>
      <c r="CH12" s="19"/>
      <c r="CI12" s="19"/>
      <c r="CJ12" s="15">
        <v>237901</v>
      </c>
      <c r="CK12" s="15">
        <v>2162</v>
      </c>
      <c r="CL12" s="15">
        <v>278244</v>
      </c>
      <c r="CM12" s="15">
        <v>2192</v>
      </c>
      <c r="CN12" s="15">
        <v>253780</v>
      </c>
      <c r="CO12" s="15">
        <v>1799</v>
      </c>
      <c r="CP12" s="15">
        <v>289413</v>
      </c>
      <c r="CQ12" s="15">
        <v>1844</v>
      </c>
      <c r="CR12" s="148">
        <f>IF(((Input_Raw[[#This Row],[33 kV_Wind_F1_Export reading]]-CJ11)*1200)&gt;0,(Input_Raw[[#This Row],[33 kV_Wind_F1_Export reading]]-CJ11)*1200,0)</f>
        <v>27600</v>
      </c>
      <c r="CS12" s="148">
        <f>IF(((Input_Raw[[#This Row],[33 kV_Wind_F1_Import reading]]-CK11)*1200)&gt;0,(Input_Raw[[#This Row],[33 kV_Wind_F1_Import reading]]-CK11)*1200,0)</f>
        <v>1200</v>
      </c>
      <c r="CT12" s="148">
        <f>IF(((Input_Raw[[#This Row],[33 kV_Wind_F2_Export_reading]]-CL11)*1200)&gt;0,(Input_Raw[[#This Row],[33 kV_Wind_F2_Export_reading]]-CL11)*1200,0)</f>
        <v>19200</v>
      </c>
      <c r="CU12" s="148">
        <f>IF(((Input_Raw[[#This Row],[33 kV_Wind_F2_Import_reading]]-CM11)*1200)&gt;0,(Input_Raw[[#This Row],[33 kV_Wind_F2_Import_reading]]-CM11)*1200,0)</f>
        <v>1200</v>
      </c>
      <c r="CV12" s="148">
        <f>IF(((Input_Raw[[#This Row],[33 kV_Wind_F3_Export_Reading]]-CN11)*1200)&gt;0,(Input_Raw[[#This Row],[33 kV_Wind_F3_Export_Reading]]-CN11)*1200,0)</f>
        <v>14400</v>
      </c>
      <c r="CW12" s="148">
        <f>IF(((Input_Raw[[#This Row],[33 kV_Wind_F3_Import_Reading]]-CO11)*1200)&gt;0,(Input_Raw[[#This Row],[33 kV_Wind_F3_Import_Reading]]-CO11)*1200,0)</f>
        <v>1200</v>
      </c>
      <c r="CX12" s="148">
        <f>IF(((Input_Raw[[#This Row],[33 kV_Wind_F4_Export Reading]]-CP11)*1200)&gt;0,(Input_Raw[[#This Row],[33 kV_Wind_F4_Export Reading]]-CP11)*1200,0)</f>
        <v>14400</v>
      </c>
      <c r="CY12" s="148">
        <f>IF(((Input_Raw[[#This Row],[33 kV_Wind_F4_Import Reading]]-CQ11)*1200)&gt;0,(Input_Raw[[#This Row],[33 kV_Wind_F4_Import Reading]]-CQ11)*1200,0)</f>
        <v>1200</v>
      </c>
      <c r="CZ12" s="148">
        <f>Input_Raw[[#This Row],[33 kV_F1_Total_Export (KWh)]]+Input_Raw[[#This Row],[33 kV_F2_Total_Export (KWh)2]]+Input_Raw[[#This Row],[33 kV_Wind_F3_Export (KWh)]]+Input_Raw[[#This Row],[33 kV_Wind_F4_Export (KWh)]]</f>
        <v>75600</v>
      </c>
      <c r="DA12" s="148">
        <f>Input_Raw[[#This Row],[33 kV_Wind_F1_Import (KWh)]]+Input_Raw[[#This Row],[33 kV_Wind_F2_Import (KWh)]]+Input_Raw[[#This Row],[33 kV_Wind_F3_Import (KWh)2]]+Input_Raw[[#This Row],[33 kV_Wind_F4_Import (KWh)2]]</f>
        <v>4800</v>
      </c>
      <c r="DB12" s="21">
        <f>IFERROR(1-Input_Raw[[#This Row],[33 kV_Wind_Total_Export (KWh)]]/Input_Raw[[#This Row],[WTG Total Gneration (KWh)]],0)</f>
        <v>6.8541083991473961E-2</v>
      </c>
      <c r="DC12" s="144">
        <v>96</v>
      </c>
      <c r="DD12" s="147">
        <v>5488</v>
      </c>
      <c r="DE12" s="163">
        <v>77.212000000000003</v>
      </c>
      <c r="DF12" s="160"/>
      <c r="DG12" s="162">
        <v>78</v>
      </c>
      <c r="DH12" s="160"/>
    </row>
    <row r="13" spans="1:112">
      <c r="A13" s="20">
        <f t="shared" si="3"/>
        <v>45753</v>
      </c>
      <c r="B13" s="12">
        <f>YEAR(Input_Raw[[#This Row],[Date]])+IF(MONTH(Input_Raw[[#This Row],[Date]])&gt;=4,1,0)</f>
        <v>2026</v>
      </c>
      <c r="C13" s="13">
        <f>YEAR(Input_Raw[[#This Row],[Date]])</f>
        <v>2025</v>
      </c>
      <c r="D13" s="14">
        <f t="shared" si="2"/>
        <v>45748</v>
      </c>
      <c r="E13" s="13">
        <f>DAY(EOMONTH(Input_Raw[[#This Row],[Date]],0))</f>
        <v>30</v>
      </c>
      <c r="F13" s="15">
        <v>3220</v>
      </c>
      <c r="G13" s="15">
        <v>3560</v>
      </c>
      <c r="H13" s="15">
        <v>2644</v>
      </c>
      <c r="I13" s="15">
        <v>3256</v>
      </c>
      <c r="J13" s="15">
        <v>3041</v>
      </c>
      <c r="K13" s="15">
        <v>3480</v>
      </c>
      <c r="L13" s="15">
        <v>3428</v>
      </c>
      <c r="M13" s="15">
        <v>3332</v>
      </c>
      <c r="N13" s="15">
        <v>2736</v>
      </c>
      <c r="O13" s="15">
        <v>3352</v>
      </c>
      <c r="P13" s="15">
        <v>3412</v>
      </c>
      <c r="Q13" s="15">
        <v>2747</v>
      </c>
      <c r="R13" s="15">
        <v>3356</v>
      </c>
      <c r="S13" s="15">
        <v>3212</v>
      </c>
      <c r="T13" s="15">
        <v>2079</v>
      </c>
      <c r="U13" s="15">
        <v>0</v>
      </c>
      <c r="V13" s="15">
        <v>3500</v>
      </c>
      <c r="W13" s="15">
        <v>3472</v>
      </c>
      <c r="X13" s="15">
        <v>3023</v>
      </c>
      <c r="Y13" s="15">
        <v>4229</v>
      </c>
      <c r="Z13" s="15">
        <v>3275</v>
      </c>
      <c r="AA13" s="15">
        <v>3188</v>
      </c>
      <c r="AB13" s="15">
        <v>2686</v>
      </c>
      <c r="AC13" s="15">
        <v>3736</v>
      </c>
      <c r="AD13" s="15">
        <v>2808</v>
      </c>
      <c r="AE13" s="15">
        <v>2780</v>
      </c>
      <c r="AF13" s="15">
        <v>2824</v>
      </c>
      <c r="AG13" s="15">
        <v>0</v>
      </c>
      <c r="AH13" s="15">
        <v>3354</v>
      </c>
      <c r="AI13" s="15">
        <v>0</v>
      </c>
      <c r="AJ13" s="15">
        <v>2450</v>
      </c>
      <c r="AK13" s="15">
        <v>2918</v>
      </c>
      <c r="AL13" s="15">
        <v>3590</v>
      </c>
      <c r="AM13" s="15">
        <v>3136</v>
      </c>
      <c r="AN13" s="15">
        <v>3438</v>
      </c>
      <c r="AO13" s="15">
        <v>2096</v>
      </c>
      <c r="AP13" s="15">
        <v>2330</v>
      </c>
      <c r="AQ13" s="15">
        <v>2992</v>
      </c>
      <c r="AR13" s="15">
        <v>2769</v>
      </c>
      <c r="AS13" s="16">
        <v>3.93</v>
      </c>
      <c r="AT13" s="16">
        <v>3.99</v>
      </c>
      <c r="AU13" s="16">
        <v>3.9</v>
      </c>
      <c r="AV13" s="16">
        <v>3.78</v>
      </c>
      <c r="AW13" s="16">
        <v>3.4</v>
      </c>
      <c r="AX13" s="16">
        <v>4.13</v>
      </c>
      <c r="AY13" s="16">
        <v>3.8</v>
      </c>
      <c r="AZ13" s="16">
        <v>3.5</v>
      </c>
      <c r="BA13" s="16">
        <v>3.76</v>
      </c>
      <c r="BB13" s="16">
        <v>3.86</v>
      </c>
      <c r="BC13" s="16">
        <v>4.0599999999999996</v>
      </c>
      <c r="BD13" s="16">
        <v>3.98</v>
      </c>
      <c r="BE13" s="16">
        <v>4.04</v>
      </c>
      <c r="BF13" s="16">
        <v>4.03</v>
      </c>
      <c r="BG13" s="16">
        <v>3.88</v>
      </c>
      <c r="BH13" s="16">
        <v>0</v>
      </c>
      <c r="BI13" s="16">
        <v>3.41</v>
      </c>
      <c r="BJ13" s="16">
        <v>4.09</v>
      </c>
      <c r="BK13" s="16">
        <v>4.29</v>
      </c>
      <c r="BL13" s="16">
        <v>4.0599999999999996</v>
      </c>
      <c r="BM13" s="16">
        <v>3.02</v>
      </c>
      <c r="BN13" s="16">
        <v>3.75</v>
      </c>
      <c r="BO13" s="16">
        <v>3.14</v>
      </c>
      <c r="BP13" s="16">
        <v>3.53</v>
      </c>
      <c r="BQ13" s="16">
        <v>3.01</v>
      </c>
      <c r="BR13" s="16">
        <v>3.42</v>
      </c>
      <c r="BS13" s="16">
        <v>3.48</v>
      </c>
      <c r="BT13" s="16">
        <v>0</v>
      </c>
      <c r="BU13" s="16">
        <v>3.31</v>
      </c>
      <c r="BV13" s="16">
        <v>0</v>
      </c>
      <c r="BW13" s="16">
        <v>3.29</v>
      </c>
      <c r="BX13" s="16">
        <v>3.51</v>
      </c>
      <c r="BY13" s="16">
        <v>3.38</v>
      </c>
      <c r="BZ13" s="16">
        <v>3.42</v>
      </c>
      <c r="CA13" s="16">
        <v>3.69</v>
      </c>
      <c r="CB13" s="16">
        <v>3.98</v>
      </c>
      <c r="CC13" s="16">
        <v>3.43</v>
      </c>
      <c r="CD13" s="16">
        <v>3.41</v>
      </c>
      <c r="CE13" s="16">
        <v>3.47</v>
      </c>
      <c r="CF13" s="17">
        <f>SUM(Input_Raw[[#This Row],[G01]:[G40]])</f>
        <v>111449</v>
      </c>
      <c r="CG13" s="18">
        <f>IFERROR(AVERAGE(Input_Raw[[#This Row],[WS_G01]:[WS_G40]]),"")</f>
        <v>3.3879487179487193</v>
      </c>
      <c r="CH13" s="19"/>
      <c r="CI13" s="19"/>
      <c r="CJ13" s="15">
        <v>237924</v>
      </c>
      <c r="CK13" s="15">
        <v>2163</v>
      </c>
      <c r="CL13" s="15">
        <v>278263</v>
      </c>
      <c r="CM13" s="15">
        <v>2193</v>
      </c>
      <c r="CN13" s="15">
        <v>253803</v>
      </c>
      <c r="CO13" s="15">
        <v>1800</v>
      </c>
      <c r="CP13" s="15">
        <v>289435</v>
      </c>
      <c r="CQ13" s="15">
        <v>1844</v>
      </c>
      <c r="CR13" s="148">
        <f>IF(((Input_Raw[[#This Row],[33 kV_Wind_F1_Export reading]]-CJ12)*1200)&gt;0,(Input_Raw[[#This Row],[33 kV_Wind_F1_Export reading]]-CJ12)*1200,0)</f>
        <v>27600</v>
      </c>
      <c r="CS13" s="148">
        <f>IF(((Input_Raw[[#This Row],[33 kV_Wind_F1_Import reading]]-CK12)*1200)&gt;0,(Input_Raw[[#This Row],[33 kV_Wind_F1_Import reading]]-CK12)*1200,0)</f>
        <v>1200</v>
      </c>
      <c r="CT13" s="148">
        <f>IF(((Input_Raw[[#This Row],[33 kV_Wind_F2_Export_reading]]-CL12)*1200)&gt;0,(Input_Raw[[#This Row],[33 kV_Wind_F2_Export_reading]]-CL12)*1200,0)</f>
        <v>22800</v>
      </c>
      <c r="CU13" s="148">
        <f>IF(((Input_Raw[[#This Row],[33 kV_Wind_F2_Import_reading]]-CM12)*1200)&gt;0,(Input_Raw[[#This Row],[33 kV_Wind_F2_Import_reading]]-CM12)*1200,0)</f>
        <v>1200</v>
      </c>
      <c r="CV13" s="148">
        <f>IF(((Input_Raw[[#This Row],[33 kV_Wind_F3_Export_Reading]]-CN12)*1200)&gt;0,(Input_Raw[[#This Row],[33 kV_Wind_F3_Export_Reading]]-CN12)*1200,0)</f>
        <v>27600</v>
      </c>
      <c r="CW13" s="148">
        <f>IF(((Input_Raw[[#This Row],[33 kV_Wind_F3_Import_Reading]]-CO12)*1200)&gt;0,(Input_Raw[[#This Row],[33 kV_Wind_F3_Import_Reading]]-CO12)*1200,0)</f>
        <v>1200</v>
      </c>
      <c r="CX13" s="148">
        <f>IF(((Input_Raw[[#This Row],[33 kV_Wind_F4_Export Reading]]-CP12)*1200)&gt;0,(Input_Raw[[#This Row],[33 kV_Wind_F4_Export Reading]]-CP12)*1200,0)</f>
        <v>26400</v>
      </c>
      <c r="CY13" s="148">
        <f>IF(((Input_Raw[[#This Row],[33 kV_Wind_F4_Import Reading]]-CQ12)*1200)&gt;0,(Input_Raw[[#This Row],[33 kV_Wind_F4_Import Reading]]-CQ12)*1200,0)</f>
        <v>0</v>
      </c>
      <c r="CZ13" s="148">
        <f>Input_Raw[[#This Row],[33 kV_F1_Total_Export (KWh)]]+Input_Raw[[#This Row],[33 kV_F2_Total_Export (KWh)2]]+Input_Raw[[#This Row],[33 kV_Wind_F3_Export (KWh)]]+Input_Raw[[#This Row],[33 kV_Wind_F4_Export (KWh)]]</f>
        <v>104400</v>
      </c>
      <c r="DA13" s="148">
        <f>Input_Raw[[#This Row],[33 kV_Wind_F1_Import (KWh)]]+Input_Raw[[#This Row],[33 kV_Wind_F2_Import (KWh)]]+Input_Raw[[#This Row],[33 kV_Wind_F3_Import (KWh)2]]+Input_Raw[[#This Row],[33 kV_Wind_F4_Import (KWh)2]]</f>
        <v>3600</v>
      </c>
      <c r="DB13" s="21">
        <f>IFERROR(1-Input_Raw[[#This Row],[33 kV_Wind_Total_Export (KWh)]]/Input_Raw[[#This Row],[WTG Total Gneration (KWh)]],0)</f>
        <v>6.3248660822438962E-2</v>
      </c>
      <c r="DC13" s="144">
        <v>96</v>
      </c>
      <c r="DD13" s="147">
        <v>233</v>
      </c>
      <c r="DE13" s="163">
        <v>106.01900000000001</v>
      </c>
      <c r="DF13" s="160"/>
      <c r="DG13" s="162">
        <v>78</v>
      </c>
      <c r="DH13" s="160"/>
    </row>
    <row r="14" spans="1:112">
      <c r="A14" s="20">
        <f t="shared" si="3"/>
        <v>45754</v>
      </c>
      <c r="B14" s="12">
        <f>YEAR(Input_Raw[[#This Row],[Date]])+IF(MONTH(Input_Raw[[#This Row],[Date]])&gt;=4,1,0)</f>
        <v>2026</v>
      </c>
      <c r="C14" s="13">
        <f>YEAR(Input_Raw[[#This Row],[Date]])</f>
        <v>2025</v>
      </c>
      <c r="D14" s="14">
        <f t="shared" si="2"/>
        <v>45748</v>
      </c>
      <c r="E14" s="13">
        <f>DAY(EOMONTH(Input_Raw[[#This Row],[Date]],0))</f>
        <v>30</v>
      </c>
      <c r="F14" s="15">
        <v>5128</v>
      </c>
      <c r="G14" s="15">
        <v>6280</v>
      </c>
      <c r="H14" s="15">
        <v>5516</v>
      </c>
      <c r="I14" s="15">
        <v>5776</v>
      </c>
      <c r="J14" s="15">
        <v>5745</v>
      </c>
      <c r="K14" s="15">
        <v>5410</v>
      </c>
      <c r="L14" s="15">
        <v>4061</v>
      </c>
      <c r="M14" s="15">
        <v>6316</v>
      </c>
      <c r="N14" s="15">
        <v>4348</v>
      </c>
      <c r="O14" s="15">
        <v>6676</v>
      </c>
      <c r="P14" s="15">
        <v>7840</v>
      </c>
      <c r="Q14" s="15">
        <v>5758</v>
      </c>
      <c r="R14" s="15">
        <v>6856</v>
      </c>
      <c r="S14" s="15">
        <v>6352</v>
      </c>
      <c r="T14" s="15">
        <v>5989</v>
      </c>
      <c r="U14" s="145">
        <v>0</v>
      </c>
      <c r="V14" s="15">
        <v>5120</v>
      </c>
      <c r="W14" s="15">
        <v>7232</v>
      </c>
      <c r="X14" s="15">
        <v>6608</v>
      </c>
      <c r="Y14" s="15">
        <v>9324</v>
      </c>
      <c r="Z14" s="15">
        <v>7629</v>
      </c>
      <c r="AA14" s="15">
        <v>7949</v>
      </c>
      <c r="AB14" s="15">
        <v>7329</v>
      </c>
      <c r="AC14" s="15">
        <v>7206</v>
      </c>
      <c r="AD14" s="15">
        <v>7220</v>
      </c>
      <c r="AE14" s="15">
        <v>7025</v>
      </c>
      <c r="AF14" s="15">
        <v>7807</v>
      </c>
      <c r="AG14" s="145">
        <v>0</v>
      </c>
      <c r="AH14" s="15">
        <v>7195</v>
      </c>
      <c r="AI14" s="15">
        <v>0</v>
      </c>
      <c r="AJ14" s="15">
        <v>7223</v>
      </c>
      <c r="AK14" s="15">
        <v>5906</v>
      </c>
      <c r="AL14" s="15">
        <v>6153</v>
      </c>
      <c r="AM14" s="15">
        <v>7858</v>
      </c>
      <c r="AN14" s="15">
        <v>6181</v>
      </c>
      <c r="AO14" s="15">
        <v>6848</v>
      </c>
      <c r="AP14" s="15">
        <v>6891</v>
      </c>
      <c r="AQ14" s="145">
        <v>6523</v>
      </c>
      <c r="AR14" s="15">
        <v>6822</v>
      </c>
      <c r="AS14" s="16">
        <v>4.6100000000000003</v>
      </c>
      <c r="AT14" s="16">
        <v>4.84</v>
      </c>
      <c r="AU14" s="16">
        <v>4.5999999999999996</v>
      </c>
      <c r="AV14" s="16">
        <v>4.6900000000000004</v>
      </c>
      <c r="AW14" s="16">
        <v>3.8</v>
      </c>
      <c r="AX14" s="16">
        <v>4.82</v>
      </c>
      <c r="AY14" s="16">
        <v>4.78</v>
      </c>
      <c r="AZ14" s="16">
        <v>4.8</v>
      </c>
      <c r="BA14" s="16">
        <v>4.38</v>
      </c>
      <c r="BB14" s="16">
        <v>4.71</v>
      </c>
      <c r="BC14" s="16">
        <v>5.09</v>
      </c>
      <c r="BD14" s="16">
        <v>4.76</v>
      </c>
      <c r="BE14" s="16">
        <v>4.95</v>
      </c>
      <c r="BF14" s="16">
        <v>4.8499999999999996</v>
      </c>
      <c r="BG14" s="16">
        <v>4.66</v>
      </c>
      <c r="BH14" s="16">
        <v>0</v>
      </c>
      <c r="BI14" s="16">
        <v>4.5999999999999996</v>
      </c>
      <c r="BJ14" s="16">
        <v>5.05</v>
      </c>
      <c r="BK14" s="16">
        <v>4.8</v>
      </c>
      <c r="BL14" s="16">
        <v>5.43</v>
      </c>
      <c r="BM14" s="16">
        <v>4.22</v>
      </c>
      <c r="BN14" s="16">
        <v>4.18</v>
      </c>
      <c r="BO14" s="16">
        <v>4.05</v>
      </c>
      <c r="BP14" s="16">
        <v>4.57</v>
      </c>
      <c r="BQ14" s="16">
        <v>3.71</v>
      </c>
      <c r="BR14" s="16">
        <v>4.3499999999999996</v>
      </c>
      <c r="BS14" s="16">
        <v>4.49</v>
      </c>
      <c r="BT14" s="16">
        <v>0</v>
      </c>
      <c r="BU14" s="16">
        <v>4.12</v>
      </c>
      <c r="BV14" s="16">
        <v>0</v>
      </c>
      <c r="BW14" s="16">
        <v>3.89</v>
      </c>
      <c r="BX14" s="16">
        <v>4.17</v>
      </c>
      <c r="BY14" s="16">
        <v>4.26</v>
      </c>
      <c r="BZ14" s="16">
        <v>4.16</v>
      </c>
      <c r="CA14" s="16">
        <v>4.38</v>
      </c>
      <c r="CB14" s="16">
        <v>4.16</v>
      </c>
      <c r="CC14" s="16">
        <v>3.8</v>
      </c>
      <c r="CD14" s="16">
        <v>4.04</v>
      </c>
      <c r="CE14" s="16">
        <v>4.04</v>
      </c>
      <c r="CF14" s="17">
        <f>SUM(Input_Raw[[#This Row],[G01]:[G40]])</f>
        <v>236100</v>
      </c>
      <c r="CG14" s="18">
        <f>IFERROR(AVERAGE(Input_Raw[[#This Row],[WS_G01]:[WS_G40]]),"")</f>
        <v>4.1233333333333331</v>
      </c>
      <c r="CH14" s="19"/>
      <c r="CI14" s="19"/>
      <c r="CJ14" s="15">
        <v>237977</v>
      </c>
      <c r="CK14" s="15">
        <v>2163</v>
      </c>
      <c r="CL14" s="15">
        <v>278309</v>
      </c>
      <c r="CM14" s="15">
        <v>2193</v>
      </c>
      <c r="CN14" s="15">
        <v>253844</v>
      </c>
      <c r="CO14" s="15">
        <v>1801</v>
      </c>
      <c r="CP14" s="15">
        <v>289480</v>
      </c>
      <c r="CQ14" s="15">
        <v>1845</v>
      </c>
      <c r="CR14" s="148">
        <f>IF(((Input_Raw[[#This Row],[33 kV_Wind_F1_Export reading]]-CJ13)*1200)&gt;0,(Input_Raw[[#This Row],[33 kV_Wind_F1_Export reading]]-CJ13)*1200,0)</f>
        <v>63600</v>
      </c>
      <c r="CS14" s="148">
        <f>IF(((Input_Raw[[#This Row],[33 kV_Wind_F1_Import reading]]-CK13)*1200)&gt;0,(Input_Raw[[#This Row],[33 kV_Wind_F1_Import reading]]-CK13)*1200,0)</f>
        <v>0</v>
      </c>
      <c r="CT14" s="148">
        <f>IF(((Input_Raw[[#This Row],[33 kV_Wind_F2_Export_reading]]-CL13)*1200)&gt;0,(Input_Raw[[#This Row],[33 kV_Wind_F2_Export_reading]]-CL13)*1200,0)</f>
        <v>55200</v>
      </c>
      <c r="CU14" s="148">
        <f>IF(((Input_Raw[[#This Row],[33 kV_Wind_F2_Import_reading]]-CM13)*1200)&gt;0,(Input_Raw[[#This Row],[33 kV_Wind_F2_Import_reading]]-CM13)*1200,0)</f>
        <v>0</v>
      </c>
      <c r="CV14" s="148">
        <f>IF(((Input_Raw[[#This Row],[33 kV_Wind_F3_Export_Reading]]-CN13)*1200)&gt;0,(Input_Raw[[#This Row],[33 kV_Wind_F3_Export_Reading]]-CN13)*1200,0)</f>
        <v>49200</v>
      </c>
      <c r="CW14" s="148">
        <f>IF(((Input_Raw[[#This Row],[33 kV_Wind_F3_Import_Reading]]-CO13)*1200)&gt;0,(Input_Raw[[#This Row],[33 kV_Wind_F3_Import_Reading]]-CO13)*1200,0)</f>
        <v>1200</v>
      </c>
      <c r="CX14" s="148">
        <f>IF(((Input_Raw[[#This Row],[33 kV_Wind_F4_Export Reading]]-CP13)*1200)&gt;0,(Input_Raw[[#This Row],[33 kV_Wind_F4_Export Reading]]-CP13)*1200,0)</f>
        <v>54000</v>
      </c>
      <c r="CY14" s="148">
        <f>IF(((Input_Raw[[#This Row],[33 kV_Wind_F4_Import Reading]]-CQ13)*1200)&gt;0,(Input_Raw[[#This Row],[33 kV_Wind_F4_Import Reading]]-CQ13)*1200,0)</f>
        <v>1200</v>
      </c>
      <c r="CZ14" s="148">
        <f>Input_Raw[[#This Row],[33 kV_F1_Total_Export (KWh)]]+Input_Raw[[#This Row],[33 kV_F2_Total_Export (KWh)2]]+Input_Raw[[#This Row],[33 kV_Wind_F3_Export (KWh)]]+Input_Raw[[#This Row],[33 kV_Wind_F4_Export (KWh)]]</f>
        <v>222000</v>
      </c>
      <c r="DA14" s="148">
        <f>Input_Raw[[#This Row],[33 kV_Wind_F1_Import (KWh)]]+Input_Raw[[#This Row],[33 kV_Wind_F2_Import (KWh)]]+Input_Raw[[#This Row],[33 kV_Wind_F3_Import (KWh)2]]+Input_Raw[[#This Row],[33 kV_Wind_F4_Import (KWh)2]]</f>
        <v>2400</v>
      </c>
      <c r="DB14" s="21">
        <f>IFERROR(1-Input_Raw[[#This Row],[33 kV_Wind_Total_Export (KWh)]]/Input_Raw[[#This Row],[WTG Total Gneration (KWh)]],0)</f>
        <v>5.9720457433291019E-2</v>
      </c>
      <c r="DC14" s="144">
        <v>96</v>
      </c>
      <c r="DD14" s="147">
        <v>5005</v>
      </c>
      <c r="DE14" s="163">
        <v>238.17599999999999</v>
      </c>
      <c r="DF14" s="160"/>
      <c r="DG14" s="162">
        <v>78</v>
      </c>
      <c r="DH14" s="160"/>
    </row>
    <row r="15" spans="1:112">
      <c r="A15" s="20">
        <f t="shared" si="3"/>
        <v>45755</v>
      </c>
      <c r="B15" s="12">
        <f>YEAR(Input_Raw[[#This Row],[Date]])+IF(MONTH(Input_Raw[[#This Row],[Date]])&gt;=4,1,0)</f>
        <v>2026</v>
      </c>
      <c r="C15" s="13">
        <f>YEAR(Input_Raw[[#This Row],[Date]])</f>
        <v>2025</v>
      </c>
      <c r="D15" s="14">
        <f t="shared" si="2"/>
        <v>45748</v>
      </c>
      <c r="E15" s="13">
        <f>DAY(EOMONTH(Input_Raw[[#This Row],[Date]],0))</f>
        <v>30</v>
      </c>
      <c r="F15" s="15">
        <v>4316</v>
      </c>
      <c r="G15" s="15">
        <v>3696</v>
      </c>
      <c r="H15" s="15">
        <v>3986</v>
      </c>
      <c r="I15" s="15">
        <v>2420</v>
      </c>
      <c r="J15" s="15">
        <v>4046</v>
      </c>
      <c r="K15" s="15">
        <v>5079</v>
      </c>
      <c r="L15" s="15">
        <v>4140</v>
      </c>
      <c r="M15" s="15">
        <v>4684</v>
      </c>
      <c r="N15" s="15">
        <v>1744</v>
      </c>
      <c r="O15" s="15">
        <v>4112</v>
      </c>
      <c r="P15" s="15">
        <v>4460</v>
      </c>
      <c r="Q15" s="15">
        <v>4310</v>
      </c>
      <c r="R15" s="15">
        <v>4204</v>
      </c>
      <c r="S15" s="15">
        <v>4472</v>
      </c>
      <c r="T15" s="15">
        <v>1155</v>
      </c>
      <c r="U15" s="145">
        <v>0</v>
      </c>
      <c r="V15" s="15">
        <v>5408</v>
      </c>
      <c r="W15" s="15">
        <v>5168</v>
      </c>
      <c r="X15" s="15">
        <v>5578</v>
      </c>
      <c r="Y15" s="15">
        <v>6118</v>
      </c>
      <c r="Z15" s="15">
        <v>4592</v>
      </c>
      <c r="AA15" s="15">
        <v>4328</v>
      </c>
      <c r="AB15" s="15">
        <v>4704</v>
      </c>
      <c r="AC15" s="15">
        <v>4450</v>
      </c>
      <c r="AD15" s="15">
        <v>3958</v>
      </c>
      <c r="AE15" s="15">
        <v>4076</v>
      </c>
      <c r="AF15" s="15">
        <v>3910</v>
      </c>
      <c r="AG15" s="145">
        <v>0</v>
      </c>
      <c r="AH15" s="15">
        <v>5106</v>
      </c>
      <c r="AI15" s="15">
        <v>0</v>
      </c>
      <c r="AJ15" s="15">
        <v>3788</v>
      </c>
      <c r="AK15" s="15">
        <v>3435</v>
      </c>
      <c r="AL15" s="15">
        <v>3696</v>
      </c>
      <c r="AM15" s="15">
        <v>4568</v>
      </c>
      <c r="AN15" s="15">
        <v>5094</v>
      </c>
      <c r="AO15" s="15">
        <v>4896</v>
      </c>
      <c r="AP15" s="15">
        <v>3666</v>
      </c>
      <c r="AQ15" s="15">
        <v>3596</v>
      </c>
      <c r="AR15" s="15">
        <v>4325</v>
      </c>
      <c r="AS15" s="16">
        <v>3.74</v>
      </c>
      <c r="AT15" s="16">
        <v>3.74</v>
      </c>
      <c r="AU15" s="16">
        <v>3.75</v>
      </c>
      <c r="AV15" s="16">
        <v>3.66</v>
      </c>
      <c r="AW15" s="16">
        <v>3.58</v>
      </c>
      <c r="AX15" s="16">
        <v>4.01</v>
      </c>
      <c r="AY15" s="16">
        <v>3.68</v>
      </c>
      <c r="AZ15" s="16">
        <v>3.94</v>
      </c>
      <c r="BA15" s="16">
        <v>3.7</v>
      </c>
      <c r="BB15" s="16">
        <v>3.66</v>
      </c>
      <c r="BC15" s="16">
        <v>3.85</v>
      </c>
      <c r="BD15" s="16">
        <v>3.83</v>
      </c>
      <c r="BE15" s="16">
        <v>3.84</v>
      </c>
      <c r="BF15" s="16">
        <v>3.92</v>
      </c>
      <c r="BG15" s="16">
        <v>3.11</v>
      </c>
      <c r="BH15" s="16">
        <v>0</v>
      </c>
      <c r="BI15" s="16">
        <v>4.0199999999999996</v>
      </c>
      <c r="BJ15" s="16">
        <v>3.98</v>
      </c>
      <c r="BK15" s="16">
        <v>4.12</v>
      </c>
      <c r="BL15" s="16">
        <v>4.16</v>
      </c>
      <c r="BM15" s="16">
        <v>3.79</v>
      </c>
      <c r="BN15" s="16">
        <v>3.68</v>
      </c>
      <c r="BO15" s="16">
        <v>3.68</v>
      </c>
      <c r="BP15" s="16">
        <v>3.85</v>
      </c>
      <c r="BQ15" s="16">
        <v>3.49</v>
      </c>
      <c r="BR15" s="16">
        <v>3.7</v>
      </c>
      <c r="BS15" s="16">
        <v>3.67</v>
      </c>
      <c r="BT15" s="16">
        <v>0</v>
      </c>
      <c r="BU15" s="16">
        <v>3.9</v>
      </c>
      <c r="BV15" s="16">
        <v>0</v>
      </c>
      <c r="BW15" s="16">
        <v>3.66</v>
      </c>
      <c r="BX15" s="16">
        <v>3.57</v>
      </c>
      <c r="BY15" s="16">
        <v>3.7</v>
      </c>
      <c r="BZ15" s="16">
        <v>3.91</v>
      </c>
      <c r="CA15" s="16">
        <v>4.05</v>
      </c>
      <c r="CB15" s="16">
        <v>3.93</v>
      </c>
      <c r="CC15" s="16">
        <v>3.61</v>
      </c>
      <c r="CD15" s="16">
        <v>4.13</v>
      </c>
      <c r="CE15" s="16">
        <v>3.7</v>
      </c>
      <c r="CF15" s="17">
        <f>SUM(Input_Raw[[#This Row],[G01]:[G40]])</f>
        <v>151284</v>
      </c>
      <c r="CG15" s="18">
        <f>IFERROR(AVERAGE(Input_Raw[[#This Row],[WS_G01]:[WS_G40]]),"")</f>
        <v>3.4951282051282053</v>
      </c>
      <c r="CH15" s="19"/>
      <c r="CI15" s="19"/>
      <c r="CJ15" s="15">
        <v>238011</v>
      </c>
      <c r="CK15" s="15">
        <v>2164</v>
      </c>
      <c r="CL15" s="15">
        <v>278337</v>
      </c>
      <c r="CM15" s="15">
        <v>2194</v>
      </c>
      <c r="CN15" s="15">
        <v>253876</v>
      </c>
      <c r="CO15" s="15">
        <v>1802</v>
      </c>
      <c r="CP15" s="15">
        <v>289511</v>
      </c>
      <c r="CQ15" s="15">
        <v>1846</v>
      </c>
      <c r="CR15" s="148">
        <f>IF(((Input_Raw[[#This Row],[33 kV_Wind_F1_Export reading]]-CJ14)*1200)&gt;0,(Input_Raw[[#This Row],[33 kV_Wind_F1_Export reading]]-CJ14)*1200,0)</f>
        <v>40800</v>
      </c>
      <c r="CS15" s="148">
        <f>IF(((Input_Raw[[#This Row],[33 kV_Wind_F1_Import reading]]-CK14)*1200)&gt;0,(Input_Raw[[#This Row],[33 kV_Wind_F1_Import reading]]-CK14)*1200,0)</f>
        <v>1200</v>
      </c>
      <c r="CT15" s="148">
        <f>IF(((Input_Raw[[#This Row],[33 kV_Wind_F2_Export_reading]]-CL14)*1200)&gt;0,(Input_Raw[[#This Row],[33 kV_Wind_F2_Export_reading]]-CL14)*1200,0)</f>
        <v>33600</v>
      </c>
      <c r="CU15" s="148">
        <f>IF(((Input_Raw[[#This Row],[33 kV_Wind_F2_Import_reading]]-CM14)*1200)&gt;0,(Input_Raw[[#This Row],[33 kV_Wind_F2_Import_reading]]-CM14)*1200,0)</f>
        <v>1200</v>
      </c>
      <c r="CV15" s="148">
        <f>IF(((Input_Raw[[#This Row],[33 kV_Wind_F3_Export_Reading]]-CN14)*1200)&gt;0,(Input_Raw[[#This Row],[33 kV_Wind_F3_Export_Reading]]-CN14)*1200,0)</f>
        <v>38400</v>
      </c>
      <c r="CW15" s="148">
        <f>IF(((Input_Raw[[#This Row],[33 kV_Wind_F3_Import_Reading]]-CO14)*1200)&gt;0,(Input_Raw[[#This Row],[33 kV_Wind_F3_Import_Reading]]-CO14)*1200,0)</f>
        <v>1200</v>
      </c>
      <c r="CX15" s="148">
        <f>IF(((Input_Raw[[#This Row],[33 kV_Wind_F4_Export Reading]]-CP14)*1200)&gt;0,(Input_Raw[[#This Row],[33 kV_Wind_F4_Export Reading]]-CP14)*1200,0)</f>
        <v>37200</v>
      </c>
      <c r="CY15" s="148">
        <f>IF(((Input_Raw[[#This Row],[33 kV_Wind_F4_Import Reading]]-CQ14)*1200)&gt;0,(Input_Raw[[#This Row],[33 kV_Wind_F4_Import Reading]]-CQ14)*1200,0)</f>
        <v>1200</v>
      </c>
      <c r="CZ15" s="148">
        <f>Input_Raw[[#This Row],[33 kV_F1_Total_Export (KWh)]]+Input_Raw[[#This Row],[33 kV_F2_Total_Export (KWh)2]]+Input_Raw[[#This Row],[33 kV_Wind_F3_Export (KWh)]]+Input_Raw[[#This Row],[33 kV_Wind_F4_Export (KWh)]]</f>
        <v>150000</v>
      </c>
      <c r="DA15" s="148">
        <f>Input_Raw[[#This Row],[33 kV_Wind_F1_Import (KWh)]]+Input_Raw[[#This Row],[33 kV_Wind_F2_Import (KWh)]]+Input_Raw[[#This Row],[33 kV_Wind_F3_Import (KWh)2]]+Input_Raw[[#This Row],[33 kV_Wind_F4_Import (KWh)2]]</f>
        <v>4800</v>
      </c>
      <c r="DB15" s="21">
        <f>IFERROR(1-Input_Raw[[#This Row],[33 kV_Wind_Total_Export (KWh)]]/Input_Raw[[#This Row],[WTG Total Gneration (KWh)]],0)</f>
        <v>8.4873482985642346E-3</v>
      </c>
      <c r="DC15" s="144">
        <v>96</v>
      </c>
      <c r="DD15" s="147">
        <v>4615</v>
      </c>
      <c r="DE15" s="163">
        <v>149.33000000000001</v>
      </c>
      <c r="DF15" s="160"/>
      <c r="DG15" s="162">
        <v>78</v>
      </c>
      <c r="DH15" s="160"/>
    </row>
    <row r="16" spans="1:112">
      <c r="A16" s="20">
        <f t="shared" si="3"/>
        <v>45756</v>
      </c>
      <c r="B16" s="12">
        <f>YEAR(Input_Raw[[#This Row],[Date]])+IF(MONTH(Input_Raw[[#This Row],[Date]])&gt;=4,1,0)</f>
        <v>2026</v>
      </c>
      <c r="C16" s="13">
        <f>YEAR(Input_Raw[[#This Row],[Date]])</f>
        <v>2025</v>
      </c>
      <c r="D16" s="14">
        <f t="shared" si="2"/>
        <v>45748</v>
      </c>
      <c r="E16" s="13">
        <f>DAY(EOMONTH(Input_Raw[[#This Row],[Date]],0))</f>
        <v>30</v>
      </c>
      <c r="F16" s="15">
        <v>11140</v>
      </c>
      <c r="G16" s="15">
        <v>7480</v>
      </c>
      <c r="H16" s="15">
        <v>9628</v>
      </c>
      <c r="I16" s="15">
        <v>2232</v>
      </c>
      <c r="J16" s="15">
        <v>9056</v>
      </c>
      <c r="K16" s="15">
        <v>7947</v>
      </c>
      <c r="L16" s="15">
        <v>9460</v>
      </c>
      <c r="M16" s="15">
        <v>9688</v>
      </c>
      <c r="N16" s="15">
        <v>6482</v>
      </c>
      <c r="O16" s="15">
        <v>3688</v>
      </c>
      <c r="P16" s="15">
        <v>12444</v>
      </c>
      <c r="Q16" s="15">
        <v>9350</v>
      </c>
      <c r="R16" s="15">
        <v>8102</v>
      </c>
      <c r="S16" s="15">
        <v>10392</v>
      </c>
      <c r="T16" s="15">
        <v>9464</v>
      </c>
      <c r="U16" s="15">
        <v>1112</v>
      </c>
      <c r="V16" s="15">
        <v>12968</v>
      </c>
      <c r="W16" s="15">
        <v>12416</v>
      </c>
      <c r="X16" s="15">
        <v>11728</v>
      </c>
      <c r="Y16" s="15">
        <v>12297</v>
      </c>
      <c r="Z16" s="15">
        <v>8994</v>
      </c>
      <c r="AA16" s="15">
        <v>8152</v>
      </c>
      <c r="AB16" s="15">
        <v>10714</v>
      </c>
      <c r="AC16" s="15">
        <v>10910</v>
      </c>
      <c r="AD16" s="15">
        <v>8828</v>
      </c>
      <c r="AE16" s="15">
        <v>9116</v>
      </c>
      <c r="AF16" s="15">
        <v>8908</v>
      </c>
      <c r="AG16" s="145">
        <v>0</v>
      </c>
      <c r="AH16" s="15">
        <v>9794</v>
      </c>
      <c r="AI16" s="15">
        <v>0</v>
      </c>
      <c r="AJ16" s="15">
        <v>7086</v>
      </c>
      <c r="AK16" s="15">
        <v>7543</v>
      </c>
      <c r="AL16" s="15">
        <v>8482</v>
      </c>
      <c r="AM16" s="15">
        <v>8556</v>
      </c>
      <c r="AN16" s="15">
        <v>9864</v>
      </c>
      <c r="AO16" s="15">
        <v>10140</v>
      </c>
      <c r="AP16" s="15">
        <v>7702</v>
      </c>
      <c r="AQ16" s="145">
        <v>7590</v>
      </c>
      <c r="AR16" s="15">
        <v>8333</v>
      </c>
      <c r="AS16" s="16">
        <v>4.8499999999999996</v>
      </c>
      <c r="AT16" s="16">
        <v>5.37</v>
      </c>
      <c r="AU16" s="16">
        <v>4.76</v>
      </c>
      <c r="AV16" s="16">
        <v>4.7699999999999996</v>
      </c>
      <c r="AW16" s="16">
        <v>5.09</v>
      </c>
      <c r="AX16" s="16">
        <v>5.19</v>
      </c>
      <c r="AY16" s="16">
        <v>4.8</v>
      </c>
      <c r="AZ16" s="16">
        <v>4.87</v>
      </c>
      <c r="BA16" s="16">
        <v>5.25</v>
      </c>
      <c r="BB16" s="16">
        <v>4.9800000000000004</v>
      </c>
      <c r="BC16" s="16">
        <v>5.45</v>
      </c>
      <c r="BD16" s="16">
        <v>5.28</v>
      </c>
      <c r="BE16" s="16">
        <v>5.32</v>
      </c>
      <c r="BF16" s="16">
        <v>5.14</v>
      </c>
      <c r="BG16" s="16">
        <v>5.09</v>
      </c>
      <c r="BH16" s="16">
        <v>5.27</v>
      </c>
      <c r="BI16" s="16">
        <v>5.07</v>
      </c>
      <c r="BJ16" s="16">
        <v>5.36</v>
      </c>
      <c r="BK16" s="16">
        <v>6.59</v>
      </c>
      <c r="BL16" s="16">
        <v>5.63</v>
      </c>
      <c r="BM16" s="16">
        <v>5.4</v>
      </c>
      <c r="BN16" s="16">
        <v>5.44</v>
      </c>
      <c r="BO16" s="16">
        <v>4.66</v>
      </c>
      <c r="BP16" s="16">
        <v>4.9800000000000004</v>
      </c>
      <c r="BQ16" s="16">
        <v>4.95</v>
      </c>
      <c r="BR16" s="16">
        <v>4.71</v>
      </c>
      <c r="BS16" s="16">
        <v>4.88</v>
      </c>
      <c r="BT16" s="16">
        <v>0</v>
      </c>
      <c r="BU16" s="16">
        <v>4.8600000000000003</v>
      </c>
      <c r="BV16" s="16">
        <v>0</v>
      </c>
      <c r="BW16" s="16">
        <v>4.59</v>
      </c>
      <c r="BX16" s="16">
        <v>4.7300000000000004</v>
      </c>
      <c r="BY16" s="16">
        <v>4.88</v>
      </c>
      <c r="BZ16" s="16">
        <v>4.88</v>
      </c>
      <c r="CA16" s="16">
        <v>5.07</v>
      </c>
      <c r="CB16" s="16">
        <v>5.05</v>
      </c>
      <c r="CC16" s="16">
        <v>4.83</v>
      </c>
      <c r="CD16" s="16">
        <v>4.74</v>
      </c>
      <c r="CE16" s="16">
        <v>5.01</v>
      </c>
      <c r="CF16" s="17">
        <f>SUM(Input_Raw[[#This Row],[G01]:[G40]])</f>
        <v>327786</v>
      </c>
      <c r="CG16" s="18">
        <f>IFERROR(AVERAGE(Input_Raw[[#This Row],[WS_G01]:[WS_G40]]),"")</f>
        <v>4.8151282051282047</v>
      </c>
      <c r="CH16" s="19"/>
      <c r="CI16" s="19"/>
      <c r="CJ16" s="15">
        <v>238080</v>
      </c>
      <c r="CK16" s="15">
        <v>2165</v>
      </c>
      <c r="CL16" s="15">
        <v>278399</v>
      </c>
      <c r="CM16" s="15">
        <v>2195</v>
      </c>
      <c r="CN16" s="15">
        <v>253934</v>
      </c>
      <c r="CO16" s="15">
        <v>1802</v>
      </c>
      <c r="CP16" s="15">
        <v>289579</v>
      </c>
      <c r="CQ16" s="15">
        <v>1846</v>
      </c>
      <c r="CR16" s="148">
        <f>IF(((Input_Raw[[#This Row],[33 kV_Wind_F1_Export reading]]-CJ15)*1200)&gt;0,(Input_Raw[[#This Row],[33 kV_Wind_F1_Export reading]]-CJ15)*1200,0)</f>
        <v>82800</v>
      </c>
      <c r="CS16" s="148">
        <f>IF(((Input_Raw[[#This Row],[33 kV_Wind_F1_Import reading]]-CK15)*1200)&gt;0,(Input_Raw[[#This Row],[33 kV_Wind_F1_Import reading]]-CK15)*1200,0)</f>
        <v>1200</v>
      </c>
      <c r="CT16" s="148">
        <f>IF(((Input_Raw[[#This Row],[33 kV_Wind_F2_Export_reading]]-CL15)*1200)&gt;0,(Input_Raw[[#This Row],[33 kV_Wind_F2_Export_reading]]-CL15)*1200,0)</f>
        <v>74400</v>
      </c>
      <c r="CU16" s="148">
        <f>IF(((Input_Raw[[#This Row],[33 kV_Wind_F2_Import_reading]]-CM15)*1200)&gt;0,(Input_Raw[[#This Row],[33 kV_Wind_F2_Import_reading]]-CM15)*1200,0)</f>
        <v>1200</v>
      </c>
      <c r="CV16" s="148">
        <f>IF(((Input_Raw[[#This Row],[33 kV_Wind_F3_Export_Reading]]-CN15)*1200)&gt;0,(Input_Raw[[#This Row],[33 kV_Wind_F3_Export_Reading]]-CN15)*1200,0)</f>
        <v>69600</v>
      </c>
      <c r="CW16" s="148">
        <f>IF(((Input_Raw[[#This Row],[33 kV_Wind_F3_Import_Reading]]-CO15)*1200)&gt;0,(Input_Raw[[#This Row],[33 kV_Wind_F3_Import_Reading]]-CO15)*1200,0)</f>
        <v>0</v>
      </c>
      <c r="CX16" s="148">
        <f>IF(((Input_Raw[[#This Row],[33 kV_Wind_F4_Export Reading]]-CP15)*1200)&gt;0,(Input_Raw[[#This Row],[33 kV_Wind_F4_Export Reading]]-CP15)*1200,0)</f>
        <v>81600</v>
      </c>
      <c r="CY16" s="148">
        <f>IF(((Input_Raw[[#This Row],[33 kV_Wind_F4_Import Reading]]-CQ15)*1200)&gt;0,(Input_Raw[[#This Row],[33 kV_Wind_F4_Import Reading]]-CQ15)*1200,0)</f>
        <v>0</v>
      </c>
      <c r="CZ16" s="148">
        <f>Input_Raw[[#This Row],[33 kV_F1_Total_Export (KWh)]]+Input_Raw[[#This Row],[33 kV_F2_Total_Export (KWh)2]]+Input_Raw[[#This Row],[33 kV_Wind_F3_Export (KWh)]]+Input_Raw[[#This Row],[33 kV_Wind_F4_Export (KWh)]]</f>
        <v>308400</v>
      </c>
      <c r="DA16" s="148">
        <f>Input_Raw[[#This Row],[33 kV_Wind_F1_Import (KWh)]]+Input_Raw[[#This Row],[33 kV_Wind_F2_Import (KWh)]]+Input_Raw[[#This Row],[33 kV_Wind_F3_Import (KWh)2]]+Input_Raw[[#This Row],[33 kV_Wind_F4_Import (KWh)2]]</f>
        <v>2400</v>
      </c>
      <c r="DB16" s="21">
        <f>IFERROR(1-Input_Raw[[#This Row],[33 kV_Wind_Total_Export (KWh)]]/Input_Raw[[#This Row],[WTG Total Gneration (KWh)]],0)</f>
        <v>5.9142245245373481E-2</v>
      </c>
      <c r="DC16" s="144">
        <v>96</v>
      </c>
      <c r="DD16" s="147">
        <v>91469</v>
      </c>
      <c r="DE16" s="163">
        <v>327.512</v>
      </c>
      <c r="DF16" s="160"/>
      <c r="DG16" s="162">
        <v>78</v>
      </c>
      <c r="DH16" s="160"/>
    </row>
    <row r="17" spans="1:112">
      <c r="A17" s="20">
        <f t="shared" si="3"/>
        <v>45757</v>
      </c>
      <c r="B17" s="12">
        <f>YEAR(Input_Raw[[#This Row],[Date]])+IF(MONTH(Input_Raw[[#This Row],[Date]])&gt;=4,1,0)</f>
        <v>2026</v>
      </c>
      <c r="C17" s="13">
        <f>YEAR(Input_Raw[[#This Row],[Date]])</f>
        <v>2025</v>
      </c>
      <c r="D17" s="14">
        <f t="shared" si="2"/>
        <v>45748</v>
      </c>
      <c r="E17" s="13">
        <f>DAY(EOMONTH(Input_Raw[[#This Row],[Date]],0))</f>
        <v>30</v>
      </c>
      <c r="F17" s="15">
        <v>14750</v>
      </c>
      <c r="G17" s="15">
        <v>13334</v>
      </c>
      <c r="H17" s="15">
        <v>13120</v>
      </c>
      <c r="I17" s="15">
        <v>12895</v>
      </c>
      <c r="J17" s="15">
        <v>13940</v>
      </c>
      <c r="K17" s="15">
        <v>14632</v>
      </c>
      <c r="L17" s="15">
        <v>15060</v>
      </c>
      <c r="M17" s="15">
        <v>14658</v>
      </c>
      <c r="N17" s="15">
        <v>14103</v>
      </c>
      <c r="O17" s="15">
        <v>13510</v>
      </c>
      <c r="P17" s="15">
        <v>16678</v>
      </c>
      <c r="Q17" s="15">
        <v>14261</v>
      </c>
      <c r="R17" s="15">
        <v>11088</v>
      </c>
      <c r="S17" s="15">
        <v>10532</v>
      </c>
      <c r="T17" s="15">
        <v>14296</v>
      </c>
      <c r="U17" s="15">
        <v>8036</v>
      </c>
      <c r="V17" s="15">
        <v>15320</v>
      </c>
      <c r="W17" s="15">
        <v>16124</v>
      </c>
      <c r="X17" s="15">
        <v>16394</v>
      </c>
      <c r="Y17" s="15">
        <v>16007</v>
      </c>
      <c r="Z17" s="15">
        <v>16920</v>
      </c>
      <c r="AA17" s="15">
        <v>16264</v>
      </c>
      <c r="AB17" s="15">
        <v>14364</v>
      </c>
      <c r="AC17" s="15">
        <v>14072</v>
      </c>
      <c r="AD17" s="15">
        <v>15618</v>
      </c>
      <c r="AE17" s="15">
        <v>13132</v>
      </c>
      <c r="AF17" s="15">
        <v>12542</v>
      </c>
      <c r="AG17" s="145">
        <v>0</v>
      </c>
      <c r="AH17" s="15">
        <v>13122</v>
      </c>
      <c r="AI17" s="15">
        <v>0</v>
      </c>
      <c r="AJ17" s="15">
        <v>12891</v>
      </c>
      <c r="AK17" s="15">
        <v>12930</v>
      </c>
      <c r="AL17" s="15">
        <v>13718</v>
      </c>
      <c r="AM17" s="15">
        <v>13574</v>
      </c>
      <c r="AN17" s="15">
        <v>15826</v>
      </c>
      <c r="AO17" s="15">
        <v>13794</v>
      </c>
      <c r="AP17" s="15">
        <v>14084</v>
      </c>
      <c r="AQ17" s="15">
        <v>14140</v>
      </c>
      <c r="AR17" s="15">
        <v>14001</v>
      </c>
      <c r="AS17" s="16">
        <v>5.59</v>
      </c>
      <c r="AT17" s="16">
        <v>6.18</v>
      </c>
      <c r="AU17" s="16">
        <v>5.43</v>
      </c>
      <c r="AV17" s="16">
        <v>5.42</v>
      </c>
      <c r="AW17" s="16">
        <v>5.97</v>
      </c>
      <c r="AX17" s="16">
        <v>6.06</v>
      </c>
      <c r="AY17" s="16">
        <v>5.51</v>
      </c>
      <c r="AZ17" s="16">
        <v>5.15</v>
      </c>
      <c r="BA17" s="16">
        <v>5.98</v>
      </c>
      <c r="BB17" s="16">
        <v>5.33</v>
      </c>
      <c r="BC17" s="16">
        <v>6.31</v>
      </c>
      <c r="BD17" s="16">
        <v>5.92</v>
      </c>
      <c r="BE17" s="16">
        <v>5.96</v>
      </c>
      <c r="BF17" s="16">
        <v>5.77</v>
      </c>
      <c r="BG17" s="16">
        <v>5.83</v>
      </c>
      <c r="BH17" s="16">
        <v>5.9</v>
      </c>
      <c r="BI17" s="16">
        <v>6.05</v>
      </c>
      <c r="BJ17" s="16">
        <v>5.8</v>
      </c>
      <c r="BK17" s="16">
        <v>5.74</v>
      </c>
      <c r="BL17" s="16">
        <v>6.66</v>
      </c>
      <c r="BM17" s="16">
        <v>6.01</v>
      </c>
      <c r="BN17" s="16">
        <v>6.2</v>
      </c>
      <c r="BO17" s="16">
        <v>6.1</v>
      </c>
      <c r="BP17" s="16">
        <v>5.88</v>
      </c>
      <c r="BQ17" s="16">
        <v>6</v>
      </c>
      <c r="BR17" s="16">
        <v>5.88</v>
      </c>
      <c r="BS17" s="16">
        <v>5.94</v>
      </c>
      <c r="BT17" s="16">
        <v>0</v>
      </c>
      <c r="BU17" s="16">
        <v>5.74</v>
      </c>
      <c r="BV17" s="16">
        <v>0</v>
      </c>
      <c r="BW17" s="16">
        <v>5.52</v>
      </c>
      <c r="BX17" s="16">
        <v>5.76</v>
      </c>
      <c r="BY17" s="16">
        <v>6.04</v>
      </c>
      <c r="BZ17" s="16">
        <v>6.02</v>
      </c>
      <c r="CA17" s="16">
        <v>5.85</v>
      </c>
      <c r="CB17" s="16">
        <v>6.03</v>
      </c>
      <c r="CC17" s="16">
        <v>5.99</v>
      </c>
      <c r="CD17" s="16">
        <v>5.42</v>
      </c>
      <c r="CE17" s="16">
        <v>6.19</v>
      </c>
      <c r="CF17" s="17">
        <f>SUM(Input_Raw[[#This Row],[G01]:[G40]])</f>
        <v>519730</v>
      </c>
      <c r="CG17" s="18">
        <f>IFERROR(AVERAGE(Input_Raw[[#This Row],[WS_G01]:[WS_G40]]),"")</f>
        <v>5.5674358974358968</v>
      </c>
      <c r="CH17" s="19"/>
      <c r="CI17" s="19"/>
      <c r="CJ17" s="15">
        <v>238197</v>
      </c>
      <c r="CK17" s="15">
        <v>2165</v>
      </c>
      <c r="CL17" s="15">
        <v>278494</v>
      </c>
      <c r="CM17" s="15">
        <v>2195</v>
      </c>
      <c r="CN17" s="15">
        <v>254041</v>
      </c>
      <c r="CO17" s="15">
        <v>1803</v>
      </c>
      <c r="CP17" s="15">
        <v>289688</v>
      </c>
      <c r="CQ17" s="15">
        <v>1847</v>
      </c>
      <c r="CR17" s="148">
        <f>IF(((Input_Raw[[#This Row],[33 kV_Wind_F1_Export reading]]-CJ16)*1200)&gt;0,(Input_Raw[[#This Row],[33 kV_Wind_F1_Export reading]]-CJ16)*1200,0)</f>
        <v>140400</v>
      </c>
      <c r="CS17" s="148">
        <f>IF(((Input_Raw[[#This Row],[33 kV_Wind_F1_Import reading]]-CK16)*1200)&gt;0,(Input_Raw[[#This Row],[33 kV_Wind_F1_Import reading]]-CK16)*1200,0)</f>
        <v>0</v>
      </c>
      <c r="CT17" s="148">
        <f>IF(((Input_Raw[[#This Row],[33 kV_Wind_F2_Export_reading]]-CL16)*1200)&gt;0,(Input_Raw[[#This Row],[33 kV_Wind_F2_Export_reading]]-CL16)*1200,0)</f>
        <v>114000</v>
      </c>
      <c r="CU17" s="148">
        <f>IF(((Input_Raw[[#This Row],[33 kV_Wind_F2_Import_reading]]-CM16)*1200)&gt;0,(Input_Raw[[#This Row],[33 kV_Wind_F2_Import_reading]]-CM16)*1200,0)</f>
        <v>0</v>
      </c>
      <c r="CV17" s="148">
        <f>IF(((Input_Raw[[#This Row],[33 kV_Wind_F3_Export_Reading]]-CN16)*1200)&gt;0,(Input_Raw[[#This Row],[33 kV_Wind_F3_Export_Reading]]-CN16)*1200,0)</f>
        <v>128400</v>
      </c>
      <c r="CW17" s="148">
        <f>IF(((Input_Raw[[#This Row],[33 kV_Wind_F3_Import_Reading]]-CO16)*1200)&gt;0,(Input_Raw[[#This Row],[33 kV_Wind_F3_Import_Reading]]-CO16)*1200,0)</f>
        <v>1200</v>
      </c>
      <c r="CX17" s="148">
        <f>IF(((Input_Raw[[#This Row],[33 kV_Wind_F4_Export Reading]]-CP16)*1200)&gt;0,(Input_Raw[[#This Row],[33 kV_Wind_F4_Export Reading]]-CP16)*1200,0)</f>
        <v>130800</v>
      </c>
      <c r="CY17" s="148">
        <f>IF(((Input_Raw[[#This Row],[33 kV_Wind_F4_Import Reading]]-CQ16)*1200)&gt;0,(Input_Raw[[#This Row],[33 kV_Wind_F4_Import Reading]]-CQ16)*1200,0)</f>
        <v>1200</v>
      </c>
      <c r="CZ17" s="148">
        <f>Input_Raw[[#This Row],[33 kV_F1_Total_Export (KWh)]]+Input_Raw[[#This Row],[33 kV_F2_Total_Export (KWh)2]]+Input_Raw[[#This Row],[33 kV_Wind_F3_Export (KWh)]]+Input_Raw[[#This Row],[33 kV_Wind_F4_Export (KWh)]]</f>
        <v>513600</v>
      </c>
      <c r="DA17" s="148">
        <f>Input_Raw[[#This Row],[33 kV_Wind_F1_Import (KWh)]]+Input_Raw[[#This Row],[33 kV_Wind_F2_Import (KWh)]]+Input_Raw[[#This Row],[33 kV_Wind_F3_Import (KWh)2]]+Input_Raw[[#This Row],[33 kV_Wind_F4_Import (KWh)2]]</f>
        <v>2400</v>
      </c>
      <c r="DB17" s="21">
        <f>IFERROR(1-Input_Raw[[#This Row],[33 kV_Wind_Total_Export (KWh)]]/Input_Raw[[#This Row],[WTG Total Gneration (KWh)]],0)</f>
        <v>1.1794585650241496E-2</v>
      </c>
      <c r="DC17" s="144">
        <v>96</v>
      </c>
      <c r="DD17" s="147">
        <v>97193</v>
      </c>
      <c r="DE17" s="163">
        <v>511</v>
      </c>
      <c r="DF17" s="160"/>
      <c r="DG17" s="162">
        <v>78</v>
      </c>
      <c r="DH17" s="281" t="s">
        <v>381</v>
      </c>
    </row>
    <row r="18" spans="1:112">
      <c r="A18" s="20">
        <f t="shared" si="3"/>
        <v>45758</v>
      </c>
      <c r="B18" s="12">
        <f>YEAR(Input_Raw[[#This Row],[Date]])+IF(MONTH(Input_Raw[[#This Row],[Date]])&gt;=4,1,0)</f>
        <v>2026</v>
      </c>
      <c r="C18" s="13">
        <f>YEAR(Input_Raw[[#This Row],[Date]])</f>
        <v>2025</v>
      </c>
      <c r="D18" s="14">
        <f t="shared" si="2"/>
        <v>45748</v>
      </c>
      <c r="E18" s="13">
        <f>DAY(EOMONTH(Input_Raw[[#This Row],[Date]],0))</f>
        <v>30</v>
      </c>
      <c r="F18" s="15">
        <v>14293</v>
      </c>
      <c r="G18" s="15">
        <v>14793</v>
      </c>
      <c r="H18" s="15">
        <v>14285</v>
      </c>
      <c r="I18" s="15">
        <v>14379</v>
      </c>
      <c r="J18" s="15">
        <v>13985</v>
      </c>
      <c r="K18" s="15">
        <v>14594</v>
      </c>
      <c r="L18" s="15">
        <v>14284</v>
      </c>
      <c r="M18" s="15">
        <v>14594</v>
      </c>
      <c r="N18" s="15">
        <v>14159</v>
      </c>
      <c r="O18" s="15">
        <v>14743</v>
      </c>
      <c r="P18" s="15">
        <v>14852</v>
      </c>
      <c r="Q18" s="15">
        <v>14273</v>
      </c>
      <c r="R18" s="15">
        <v>14184</v>
      </c>
      <c r="S18" s="15">
        <v>14221</v>
      </c>
      <c r="T18" s="15">
        <v>14457</v>
      </c>
      <c r="U18" s="15">
        <v>9475</v>
      </c>
      <c r="V18" s="15">
        <v>14263</v>
      </c>
      <c r="W18" s="15">
        <v>14282</v>
      </c>
      <c r="X18" s="15">
        <v>14291</v>
      </c>
      <c r="Y18" s="15">
        <v>14296</v>
      </c>
      <c r="Z18" s="15">
        <v>14704</v>
      </c>
      <c r="AA18" s="15">
        <v>14790</v>
      </c>
      <c r="AB18" s="15">
        <v>14721</v>
      </c>
      <c r="AC18" s="15">
        <v>14894</v>
      </c>
      <c r="AD18" s="15">
        <v>12720</v>
      </c>
      <c r="AE18" s="15">
        <v>14974</v>
      </c>
      <c r="AF18" s="15">
        <v>14802</v>
      </c>
      <c r="AG18" s="15">
        <v>0</v>
      </c>
      <c r="AH18" s="15">
        <v>14964</v>
      </c>
      <c r="AI18" s="15">
        <v>0</v>
      </c>
      <c r="AJ18" s="15">
        <v>12790</v>
      </c>
      <c r="AK18" s="15">
        <v>12748</v>
      </c>
      <c r="AL18" s="15">
        <v>12742</v>
      </c>
      <c r="AM18" s="15">
        <v>12973</v>
      </c>
      <c r="AN18" s="15">
        <v>12785</v>
      </c>
      <c r="AO18" s="15">
        <v>12790</v>
      </c>
      <c r="AP18" s="15">
        <v>12863</v>
      </c>
      <c r="AQ18" s="15">
        <v>12830</v>
      </c>
      <c r="AR18" s="15">
        <v>12795</v>
      </c>
      <c r="AS18" s="16">
        <v>5.83</v>
      </c>
      <c r="AT18" s="16">
        <v>5.9</v>
      </c>
      <c r="AU18" s="16">
        <v>6.05</v>
      </c>
      <c r="AV18" s="16">
        <v>5.8</v>
      </c>
      <c r="AW18" s="16">
        <v>5.74</v>
      </c>
      <c r="AX18" s="16">
        <v>6.21</v>
      </c>
      <c r="AY18" s="16">
        <v>6.01</v>
      </c>
      <c r="AZ18" s="16">
        <v>6.2</v>
      </c>
      <c r="BA18" s="16">
        <v>6.1</v>
      </c>
      <c r="BB18" s="16">
        <v>6.1</v>
      </c>
      <c r="BC18" s="16">
        <v>5.88</v>
      </c>
      <c r="BD18" s="16">
        <v>6</v>
      </c>
      <c r="BE18" s="16">
        <v>5.88</v>
      </c>
      <c r="BF18" s="16">
        <v>5.94</v>
      </c>
      <c r="BG18" s="16">
        <v>6.2</v>
      </c>
      <c r="BH18" s="16">
        <v>5.74</v>
      </c>
      <c r="BI18" s="16">
        <v>6.23</v>
      </c>
      <c r="BJ18" s="16">
        <v>5.52</v>
      </c>
      <c r="BK18" s="16">
        <v>5.76</v>
      </c>
      <c r="BL18" s="16">
        <v>6.04</v>
      </c>
      <c r="BM18" s="16">
        <v>6.02</v>
      </c>
      <c r="BN18" s="16">
        <v>5.85</v>
      </c>
      <c r="BO18" s="16">
        <v>6.03</v>
      </c>
      <c r="BP18" s="16">
        <v>5.42</v>
      </c>
      <c r="BQ18" s="16">
        <v>6.19</v>
      </c>
      <c r="BR18" s="16">
        <v>5.59</v>
      </c>
      <c r="BS18" s="16">
        <v>6.01</v>
      </c>
      <c r="BT18" s="16">
        <v>0</v>
      </c>
      <c r="BU18" s="16">
        <v>5.42</v>
      </c>
      <c r="BV18" s="16">
        <v>0</v>
      </c>
      <c r="BW18" s="16">
        <v>6</v>
      </c>
      <c r="BX18" s="16">
        <v>5.51</v>
      </c>
      <c r="BY18" s="16">
        <v>5.15</v>
      </c>
      <c r="BZ18" s="16">
        <v>5.98</v>
      </c>
      <c r="CA18" s="16">
        <v>5.33</v>
      </c>
      <c r="CB18" s="16">
        <v>6.1</v>
      </c>
      <c r="CC18" s="16">
        <v>5.92</v>
      </c>
      <c r="CD18" s="16">
        <v>5.92</v>
      </c>
      <c r="CE18" s="16">
        <v>5.9</v>
      </c>
      <c r="CF18" s="17">
        <f>SUM(Input_Raw[[#This Row],[G01]:[G40]])</f>
        <v>514588</v>
      </c>
      <c r="CG18" s="18">
        <f>IFERROR(AVERAGE(Input_Raw[[#This Row],[WS_G01]:[WS_G40]]),"")</f>
        <v>5.5761538461538445</v>
      </c>
      <c r="CH18" s="19"/>
      <c r="CI18" s="19"/>
      <c r="CJ18" s="15">
        <v>238303</v>
      </c>
      <c r="CK18" s="15">
        <v>2165</v>
      </c>
      <c r="CL18" s="15">
        <v>278592</v>
      </c>
      <c r="CM18" s="15">
        <v>2195</v>
      </c>
      <c r="CN18" s="15">
        <v>254150</v>
      </c>
      <c r="CO18" s="15">
        <v>1803</v>
      </c>
      <c r="CP18" s="15">
        <v>289801</v>
      </c>
      <c r="CQ18" s="15">
        <v>1847</v>
      </c>
      <c r="CR18" s="148">
        <f>IF(((Input_Raw[[#This Row],[33 kV_Wind_F1_Export reading]]-CJ17)*1200)&gt;0,(Input_Raw[[#This Row],[33 kV_Wind_F1_Export reading]]-CJ17)*1200,0)</f>
        <v>127200</v>
      </c>
      <c r="CS18" s="148">
        <f>IF(((Input_Raw[[#This Row],[33 kV_Wind_F1_Import reading]]-CK17)*1200)&gt;0,(Input_Raw[[#This Row],[33 kV_Wind_F1_Import reading]]-CK17)*1200,0)</f>
        <v>0</v>
      </c>
      <c r="CT18" s="148">
        <f>IF(((Input_Raw[[#This Row],[33 kV_Wind_F2_Export_reading]]-CL17)*1200)&gt;0,(Input_Raw[[#This Row],[33 kV_Wind_F2_Export_reading]]-CL17)*1200,0)</f>
        <v>117600</v>
      </c>
      <c r="CU18" s="148">
        <f>IF(((Input_Raw[[#This Row],[33 kV_Wind_F2_Import_reading]]-CM17)*1200)&gt;0,(Input_Raw[[#This Row],[33 kV_Wind_F2_Import_reading]]-CM17)*1200,0)</f>
        <v>0</v>
      </c>
      <c r="CV18" s="148">
        <f>IF(((Input_Raw[[#This Row],[33 kV_Wind_F3_Export_Reading]]-CN17)*1200)&gt;0,(Input_Raw[[#This Row],[33 kV_Wind_F3_Export_Reading]]-CN17)*1200,0)</f>
        <v>130800</v>
      </c>
      <c r="CW18" s="148">
        <f>IF(((Input_Raw[[#This Row],[33 kV_Wind_F3_Import_Reading]]-CO17)*1200)&gt;0,(Input_Raw[[#This Row],[33 kV_Wind_F3_Import_Reading]]-CO17)*1200,0)</f>
        <v>0</v>
      </c>
      <c r="CX18" s="148">
        <f>IF(((Input_Raw[[#This Row],[33 kV_Wind_F4_Export Reading]]-CP17)*1200)&gt;0,(Input_Raw[[#This Row],[33 kV_Wind_F4_Export Reading]]-CP17)*1200,0)</f>
        <v>135600</v>
      </c>
      <c r="CY18" s="148">
        <f>IF(((Input_Raw[[#This Row],[33 kV_Wind_F4_Import Reading]]-CQ17)*1200)&gt;0,(Input_Raw[[#This Row],[33 kV_Wind_F4_Import Reading]]-CQ17)*1200,0)</f>
        <v>0</v>
      </c>
      <c r="CZ18" s="148">
        <f>Input_Raw[[#This Row],[33 kV_F1_Total_Export (KWh)]]+Input_Raw[[#This Row],[33 kV_F2_Total_Export (KWh)2]]+Input_Raw[[#This Row],[33 kV_Wind_F3_Export (KWh)]]+Input_Raw[[#This Row],[33 kV_Wind_F4_Export (KWh)]]</f>
        <v>511200</v>
      </c>
      <c r="DA18" s="148">
        <f>Input_Raw[[#This Row],[33 kV_Wind_F1_Import (KWh)]]+Input_Raw[[#This Row],[33 kV_Wind_F2_Import (KWh)]]+Input_Raw[[#This Row],[33 kV_Wind_F3_Import (KWh)2]]+Input_Raw[[#This Row],[33 kV_Wind_F4_Import (KWh)2]]</f>
        <v>0</v>
      </c>
      <c r="DB18" s="21">
        <f>IFERROR(1-Input_Raw[[#This Row],[33 kV_Wind_Total_Export (KWh)]]/Input_Raw[[#This Row],[WTG Total Gneration (KWh)]],0)</f>
        <v>6.5839079030214354E-3</v>
      </c>
      <c r="DC18" s="144">
        <v>96</v>
      </c>
      <c r="DD18" s="147">
        <v>79804</v>
      </c>
      <c r="DE18" s="163">
        <v>514</v>
      </c>
      <c r="DF18" s="160"/>
      <c r="DG18" s="162">
        <v>78</v>
      </c>
      <c r="DH18" s="281" t="s">
        <v>381</v>
      </c>
    </row>
    <row r="19" spans="1:112">
      <c r="A19" s="20">
        <f t="shared" si="3"/>
        <v>45759</v>
      </c>
      <c r="B19" s="12">
        <f>YEAR(Input_Raw[[#This Row],[Date]])+IF(MONTH(Input_Raw[[#This Row],[Date]])&gt;=4,1,0)</f>
        <v>2026</v>
      </c>
      <c r="C19" s="13">
        <f>YEAR(Input_Raw[[#This Row],[Date]])</f>
        <v>2025</v>
      </c>
      <c r="D19" s="14">
        <f t="shared" si="2"/>
        <v>45748</v>
      </c>
      <c r="E19" s="13">
        <f>DAY(EOMONTH(Input_Raw[[#This Row],[Date]],0))</f>
        <v>30</v>
      </c>
      <c r="F19" s="15">
        <v>14925</v>
      </c>
      <c r="G19" s="15">
        <v>15604</v>
      </c>
      <c r="H19" s="15">
        <v>15395</v>
      </c>
      <c r="I19" s="15">
        <v>15942</v>
      </c>
      <c r="J19" s="15">
        <v>10932</v>
      </c>
      <c r="K19" s="15">
        <v>15953</v>
      </c>
      <c r="L19" s="15">
        <v>15693</v>
      </c>
      <c r="M19" s="15">
        <v>15831</v>
      </c>
      <c r="N19" s="145">
        <v>12593</v>
      </c>
      <c r="O19" s="15">
        <v>15603</v>
      </c>
      <c r="P19" s="15">
        <v>15493</v>
      </c>
      <c r="Q19" s="145">
        <v>12862</v>
      </c>
      <c r="R19" s="15">
        <v>12749</v>
      </c>
      <c r="S19" s="15">
        <v>12852</v>
      </c>
      <c r="T19" s="15">
        <v>12784</v>
      </c>
      <c r="U19" s="15">
        <v>8839</v>
      </c>
      <c r="V19" s="15">
        <v>12860</v>
      </c>
      <c r="W19" s="15">
        <v>10527</v>
      </c>
      <c r="X19" s="15">
        <v>12949</v>
      </c>
      <c r="Y19" s="15">
        <v>12973</v>
      </c>
      <c r="Z19" s="15">
        <v>12692</v>
      </c>
      <c r="AA19" s="15">
        <v>12639</v>
      </c>
      <c r="AB19" s="15">
        <v>11302</v>
      </c>
      <c r="AC19" s="15">
        <v>12842</v>
      </c>
      <c r="AD19" s="15">
        <v>10937</v>
      </c>
      <c r="AE19" s="15">
        <v>12706</v>
      </c>
      <c r="AF19" s="15">
        <v>12852</v>
      </c>
      <c r="AG19" s="15">
        <v>0</v>
      </c>
      <c r="AH19" s="15">
        <v>12793</v>
      </c>
      <c r="AI19" s="15">
        <v>0</v>
      </c>
      <c r="AJ19" s="15">
        <v>11295</v>
      </c>
      <c r="AK19" s="15">
        <v>10183</v>
      </c>
      <c r="AL19" s="15">
        <v>10962</v>
      </c>
      <c r="AM19" s="15">
        <v>10981</v>
      </c>
      <c r="AN19" s="15">
        <v>10939</v>
      </c>
      <c r="AO19" s="15">
        <v>10926</v>
      </c>
      <c r="AP19" s="15">
        <v>10969</v>
      </c>
      <c r="AQ19" s="15">
        <v>10210</v>
      </c>
      <c r="AR19" s="15">
        <v>10928</v>
      </c>
      <c r="AS19" s="16">
        <v>5.63</v>
      </c>
      <c r="AT19" s="16">
        <v>6.04</v>
      </c>
      <c r="AU19" s="16">
        <v>5.55</v>
      </c>
      <c r="AV19" s="16">
        <v>5.6</v>
      </c>
      <c r="AW19" s="16">
        <v>6.19</v>
      </c>
      <c r="AX19" s="16">
        <v>6.25</v>
      </c>
      <c r="AY19" s="16">
        <v>5.75</v>
      </c>
      <c r="AZ19" s="16">
        <v>5.53</v>
      </c>
      <c r="BA19" s="16">
        <v>5.55</v>
      </c>
      <c r="BB19" s="16">
        <v>5.54</v>
      </c>
      <c r="BC19" s="16">
        <v>5.96</v>
      </c>
      <c r="BD19" s="16">
        <v>5.74</v>
      </c>
      <c r="BE19" s="16">
        <v>5.9</v>
      </c>
      <c r="BF19" s="16">
        <v>5.75</v>
      </c>
      <c r="BG19" s="16">
        <v>5.91</v>
      </c>
      <c r="BH19" s="16">
        <v>5.82</v>
      </c>
      <c r="BI19" s="16">
        <v>5.86</v>
      </c>
      <c r="BJ19" s="16">
        <v>6.15</v>
      </c>
      <c r="BK19" s="16">
        <v>6.47</v>
      </c>
      <c r="BL19" s="16">
        <v>6.22</v>
      </c>
      <c r="BM19" s="16">
        <v>5.08</v>
      </c>
      <c r="BN19" s="16">
        <v>6.26</v>
      </c>
      <c r="BO19" s="16">
        <v>5.87</v>
      </c>
      <c r="BP19" s="16">
        <v>5.93</v>
      </c>
      <c r="BQ19" s="16">
        <v>5.43</v>
      </c>
      <c r="BR19" s="16">
        <v>5.57</v>
      </c>
      <c r="BS19" s="16">
        <v>5.63</v>
      </c>
      <c r="BT19" s="16">
        <v>0</v>
      </c>
      <c r="BU19" s="16">
        <v>5.51</v>
      </c>
      <c r="BV19" s="16">
        <v>0</v>
      </c>
      <c r="BW19" s="16">
        <v>5.16</v>
      </c>
      <c r="BX19" s="16">
        <v>5.45</v>
      </c>
      <c r="BY19" s="16">
        <v>5.48</v>
      </c>
      <c r="BZ19" s="16">
        <v>5.59</v>
      </c>
      <c r="CA19" s="16">
        <v>5.63</v>
      </c>
      <c r="CB19" s="16">
        <v>5.54</v>
      </c>
      <c r="CC19" s="16">
        <v>5.55</v>
      </c>
      <c r="CD19" s="16">
        <v>5.62</v>
      </c>
      <c r="CE19" s="16">
        <v>5.36</v>
      </c>
      <c r="CF19" s="17">
        <f>SUM(Input_Raw[[#This Row],[G01]:[G40]])</f>
        <v>469515</v>
      </c>
      <c r="CG19" s="18">
        <f>IFERROR(AVERAGE(Input_Raw[[#This Row],[WS_G01]:[WS_G40]]),"")</f>
        <v>5.4376923076923074</v>
      </c>
      <c r="CH19" s="19"/>
      <c r="CI19" s="19"/>
      <c r="CJ19" s="15">
        <v>238392</v>
      </c>
      <c r="CK19" s="15">
        <v>2166</v>
      </c>
      <c r="CL19" s="15">
        <v>278675</v>
      </c>
      <c r="CM19" s="15">
        <v>2195</v>
      </c>
      <c r="CN19" s="15">
        <v>254265</v>
      </c>
      <c r="CO19" s="15">
        <v>1803</v>
      </c>
      <c r="CP19" s="15">
        <v>289902</v>
      </c>
      <c r="CQ19" s="15">
        <v>1847</v>
      </c>
      <c r="CR19" s="148">
        <f>IF(((Input_Raw[[#This Row],[33 kV_Wind_F1_Export reading]]-CJ18)*1200)&gt;0,(Input_Raw[[#This Row],[33 kV_Wind_F1_Export reading]]-CJ18)*1200,0)</f>
        <v>106800</v>
      </c>
      <c r="CS19" s="148">
        <f>IF(((Input_Raw[[#This Row],[33 kV_Wind_F1_Import reading]]-CK18)*1200)&gt;0,(Input_Raw[[#This Row],[33 kV_Wind_F1_Import reading]]-CK18)*1200,0)</f>
        <v>1200</v>
      </c>
      <c r="CT19" s="148">
        <f>IF(((Input_Raw[[#This Row],[33 kV_Wind_F2_Export_reading]]-CL18)*1200)&gt;0,(Input_Raw[[#This Row],[33 kV_Wind_F2_Export_reading]]-CL18)*1200,0)</f>
        <v>99600</v>
      </c>
      <c r="CU19" s="148">
        <f>IF(((Input_Raw[[#This Row],[33 kV_Wind_F2_Import_reading]]-CM18)*1200)&gt;0,(Input_Raw[[#This Row],[33 kV_Wind_F2_Import_reading]]-CM18)*1200,0)</f>
        <v>0</v>
      </c>
      <c r="CV19" s="148">
        <f>IF(((Input_Raw[[#This Row],[33 kV_Wind_F3_Export_Reading]]-CN18)*1200)&gt;0,(Input_Raw[[#This Row],[33 kV_Wind_F3_Export_Reading]]-CN18)*1200,0)</f>
        <v>138000</v>
      </c>
      <c r="CW19" s="148">
        <f>IF(((Input_Raw[[#This Row],[33 kV_Wind_F3_Import_Reading]]-CO18)*1200)&gt;0,(Input_Raw[[#This Row],[33 kV_Wind_F3_Import_Reading]]-CO18)*1200,0)</f>
        <v>0</v>
      </c>
      <c r="CX19" s="148">
        <f>IF(((Input_Raw[[#This Row],[33 kV_Wind_F4_Export Reading]]-CP18)*1200)&gt;0,(Input_Raw[[#This Row],[33 kV_Wind_F4_Export Reading]]-CP18)*1200,0)</f>
        <v>121200</v>
      </c>
      <c r="CY19" s="148">
        <f>IF(((Input_Raw[[#This Row],[33 kV_Wind_F4_Import Reading]]-CQ18)*1200)&gt;0,(Input_Raw[[#This Row],[33 kV_Wind_F4_Import Reading]]-CQ18)*1200,0)</f>
        <v>0</v>
      </c>
      <c r="CZ19" s="148">
        <f>Input_Raw[[#This Row],[33 kV_F1_Total_Export (KWh)]]+Input_Raw[[#This Row],[33 kV_F2_Total_Export (KWh)2]]+Input_Raw[[#This Row],[33 kV_Wind_F3_Export (KWh)]]+Input_Raw[[#This Row],[33 kV_Wind_F4_Export (KWh)]]</f>
        <v>465600</v>
      </c>
      <c r="DA19" s="148">
        <f>Input_Raw[[#This Row],[33 kV_Wind_F1_Import (KWh)]]+Input_Raw[[#This Row],[33 kV_Wind_F2_Import (KWh)]]+Input_Raw[[#This Row],[33 kV_Wind_F3_Import (KWh)2]]+Input_Raw[[#This Row],[33 kV_Wind_F4_Import (KWh)2]]</f>
        <v>1200</v>
      </c>
      <c r="DB19" s="21">
        <f>IFERROR(1-Input_Raw[[#This Row],[33 kV_Wind_Total_Export (KWh)]]/Input_Raw[[#This Row],[WTG Total Gneration (KWh)]],0)</f>
        <v>8.3383917446726574E-3</v>
      </c>
      <c r="DC19" s="144">
        <v>96</v>
      </c>
      <c r="DD19" s="147">
        <v>83785</v>
      </c>
      <c r="DE19" s="163">
        <v>469.51</v>
      </c>
      <c r="DF19" s="160"/>
      <c r="DG19" s="162">
        <v>78</v>
      </c>
      <c r="DH19" s="281" t="s">
        <v>381</v>
      </c>
    </row>
    <row r="20" spans="1:112">
      <c r="A20" s="20">
        <f t="shared" si="3"/>
        <v>45760</v>
      </c>
      <c r="B20" s="12">
        <f>YEAR(Input_Raw[[#This Row],[Date]])+IF(MONTH(Input_Raw[[#This Row],[Date]])&gt;=4,1,0)</f>
        <v>2026</v>
      </c>
      <c r="C20" s="13">
        <f>YEAR(Input_Raw[[#This Row],[Date]])</f>
        <v>2025</v>
      </c>
      <c r="D20" s="14">
        <f t="shared" si="2"/>
        <v>45748</v>
      </c>
      <c r="E20" s="13">
        <f>DAY(EOMONTH(Input_Raw[[#This Row],[Date]],0))</f>
        <v>30</v>
      </c>
      <c r="F20" s="15">
        <v>9219</v>
      </c>
      <c r="G20" s="15">
        <v>9742</v>
      </c>
      <c r="H20" s="15">
        <v>9769</v>
      </c>
      <c r="I20" s="15">
        <v>9731</v>
      </c>
      <c r="J20" s="15">
        <v>7948</v>
      </c>
      <c r="K20" s="15">
        <v>9727</v>
      </c>
      <c r="L20" s="15">
        <v>9768</v>
      </c>
      <c r="M20" s="15">
        <v>9759</v>
      </c>
      <c r="N20" s="15">
        <v>8864</v>
      </c>
      <c r="O20" s="15">
        <v>9742</v>
      </c>
      <c r="P20" s="15">
        <v>9749</v>
      </c>
      <c r="Q20" s="15">
        <v>8846</v>
      </c>
      <c r="R20" s="15">
        <v>8790</v>
      </c>
      <c r="S20" s="15">
        <v>8732</v>
      </c>
      <c r="T20" s="15">
        <v>8759</v>
      </c>
      <c r="U20" s="15">
        <v>6190</v>
      </c>
      <c r="V20" s="15">
        <v>8742</v>
      </c>
      <c r="W20" s="15">
        <v>8756</v>
      </c>
      <c r="X20" s="15">
        <v>8796</v>
      </c>
      <c r="Y20" s="15">
        <v>8789</v>
      </c>
      <c r="Z20" s="15">
        <v>7939</v>
      </c>
      <c r="AA20" s="15">
        <v>8268</v>
      </c>
      <c r="AB20" s="15">
        <v>8179</v>
      </c>
      <c r="AC20" s="15">
        <v>8264</v>
      </c>
      <c r="AD20" s="15">
        <v>9214</v>
      </c>
      <c r="AE20" s="15">
        <v>8280</v>
      </c>
      <c r="AF20" s="15">
        <v>8264</v>
      </c>
      <c r="AG20" s="15">
        <v>0</v>
      </c>
      <c r="AH20" s="15">
        <v>8295</v>
      </c>
      <c r="AI20" s="15">
        <v>0</v>
      </c>
      <c r="AJ20" s="15">
        <v>9627</v>
      </c>
      <c r="AK20" s="15">
        <v>9637</v>
      </c>
      <c r="AL20" s="15">
        <v>9695</v>
      </c>
      <c r="AM20" s="15">
        <v>9635</v>
      </c>
      <c r="AN20" s="15">
        <v>9637</v>
      </c>
      <c r="AO20" s="15">
        <v>9678</v>
      </c>
      <c r="AP20" s="15">
        <v>9629</v>
      </c>
      <c r="AQ20" s="15">
        <v>9317</v>
      </c>
      <c r="AR20" s="15">
        <v>9687</v>
      </c>
      <c r="AS20" s="16">
        <v>4.8499999999999996</v>
      </c>
      <c r="AT20" s="16">
        <v>5.37</v>
      </c>
      <c r="AU20" s="16">
        <v>4.76</v>
      </c>
      <c r="AV20" s="16">
        <v>4.7699999999999996</v>
      </c>
      <c r="AW20" s="16">
        <v>5.09</v>
      </c>
      <c r="AX20" s="16">
        <v>5.19</v>
      </c>
      <c r="AY20" s="16">
        <v>4.8</v>
      </c>
      <c r="AZ20" s="16">
        <v>4.87</v>
      </c>
      <c r="BA20" s="16">
        <v>5.25</v>
      </c>
      <c r="BB20" s="16">
        <v>4.9800000000000004</v>
      </c>
      <c r="BC20" s="16">
        <v>5.45</v>
      </c>
      <c r="BD20" s="16">
        <v>5.28</v>
      </c>
      <c r="BE20" s="16">
        <v>5.32</v>
      </c>
      <c r="BF20" s="16">
        <v>5.14</v>
      </c>
      <c r="BG20" s="16">
        <v>5.09</v>
      </c>
      <c r="BH20" s="16">
        <v>5.27</v>
      </c>
      <c r="BI20" s="16">
        <v>5.07</v>
      </c>
      <c r="BJ20" s="16">
        <v>5.36</v>
      </c>
      <c r="BK20" s="16">
        <v>6.59</v>
      </c>
      <c r="BL20" s="16">
        <v>5.63</v>
      </c>
      <c r="BM20" s="16">
        <v>5.4</v>
      </c>
      <c r="BN20" s="16">
        <v>5.44</v>
      </c>
      <c r="BO20" s="16">
        <v>4.66</v>
      </c>
      <c r="BP20" s="16">
        <v>4.9800000000000004</v>
      </c>
      <c r="BQ20" s="16">
        <v>4.95</v>
      </c>
      <c r="BR20" s="16">
        <v>4.71</v>
      </c>
      <c r="BS20" s="16">
        <v>4.88</v>
      </c>
      <c r="BT20" s="16">
        <v>0</v>
      </c>
      <c r="BU20" s="16">
        <v>4.8600000000000003</v>
      </c>
      <c r="BV20" s="16">
        <v>0</v>
      </c>
      <c r="BW20" s="16">
        <v>4.59</v>
      </c>
      <c r="BX20" s="16">
        <v>4.7300000000000004</v>
      </c>
      <c r="BY20" s="16">
        <v>4.88</v>
      </c>
      <c r="BZ20" s="16">
        <v>4.88</v>
      </c>
      <c r="CA20" s="16">
        <v>5.07</v>
      </c>
      <c r="CB20" s="16">
        <v>5.05</v>
      </c>
      <c r="CC20" s="16">
        <v>4.83</v>
      </c>
      <c r="CD20" s="16">
        <v>4.74</v>
      </c>
      <c r="CE20" s="16">
        <v>5.01</v>
      </c>
      <c r="CF20" s="17">
        <f>SUM(Input_Raw[[#This Row],[G01]:[G40]])</f>
        <v>333663</v>
      </c>
      <c r="CG20" s="18">
        <f>IFERROR(AVERAGE(Input_Raw[[#This Row],[WS_G01]:[WS_G40]]),"")</f>
        <v>4.8151282051282047</v>
      </c>
      <c r="CH20" s="19"/>
      <c r="CI20" s="19"/>
      <c r="CJ20" s="15">
        <v>238471</v>
      </c>
      <c r="CK20" s="15">
        <v>2166</v>
      </c>
      <c r="CL20" s="15">
        <v>278729</v>
      </c>
      <c r="CM20" s="15">
        <v>2196</v>
      </c>
      <c r="CN20" s="15">
        <v>254337</v>
      </c>
      <c r="CO20" s="15">
        <v>1803</v>
      </c>
      <c r="CP20" s="15">
        <v>289973</v>
      </c>
      <c r="CQ20" s="15">
        <v>1847</v>
      </c>
      <c r="CR20" s="148">
        <f>IF(((Input_Raw[[#This Row],[33 kV_Wind_F1_Export reading]]-CJ19)*1200)&gt;0,(Input_Raw[[#This Row],[33 kV_Wind_F1_Export reading]]-CJ19)*1200,0)</f>
        <v>94800</v>
      </c>
      <c r="CS20" s="148">
        <f>IF(((Input_Raw[[#This Row],[33 kV_Wind_F1_Import reading]]-CK19)*1200)&gt;0,(Input_Raw[[#This Row],[33 kV_Wind_F1_Import reading]]-CK19)*1200,0)</f>
        <v>0</v>
      </c>
      <c r="CT20" s="148">
        <f>IF(((Input_Raw[[#This Row],[33 kV_Wind_F2_Export_reading]]-CL19)*1200)&gt;0,(Input_Raw[[#This Row],[33 kV_Wind_F2_Export_reading]]-CL19)*1200,0)</f>
        <v>64800</v>
      </c>
      <c r="CU20" s="148">
        <f>IF(((Input_Raw[[#This Row],[33 kV_Wind_F2_Import_reading]]-CM19)*1200)&gt;0,(Input_Raw[[#This Row],[33 kV_Wind_F2_Import_reading]]-CM19)*1200,0)</f>
        <v>1200</v>
      </c>
      <c r="CV20" s="148">
        <f>IF(((Input_Raw[[#This Row],[33 kV_Wind_F3_Export_Reading]]-CN19)*1200)&gt;0,(Input_Raw[[#This Row],[33 kV_Wind_F3_Export_Reading]]-CN19)*1200,0)</f>
        <v>86400</v>
      </c>
      <c r="CW20" s="148">
        <f>IF(((Input_Raw[[#This Row],[33 kV_Wind_F3_Import_Reading]]-CO19)*1200)&gt;0,(Input_Raw[[#This Row],[33 kV_Wind_F3_Import_Reading]]-CO19)*1200,0)</f>
        <v>0</v>
      </c>
      <c r="CX20" s="148">
        <f>IF(((Input_Raw[[#This Row],[33 kV_Wind_F4_Export Reading]]-CP19)*1200)&gt;0,(Input_Raw[[#This Row],[33 kV_Wind_F4_Export Reading]]-CP19)*1200,0)</f>
        <v>85200</v>
      </c>
      <c r="CY20" s="148">
        <f>IF(((Input_Raw[[#This Row],[33 kV_Wind_F4_Import Reading]]-CQ19)*1200)&gt;0,(Input_Raw[[#This Row],[33 kV_Wind_F4_Import Reading]]-CQ19)*1200,0)</f>
        <v>0</v>
      </c>
      <c r="CZ20" s="148">
        <f>Input_Raw[[#This Row],[33 kV_F1_Total_Export (KWh)]]+Input_Raw[[#This Row],[33 kV_F2_Total_Export (KWh)2]]+Input_Raw[[#This Row],[33 kV_Wind_F3_Export (KWh)]]+Input_Raw[[#This Row],[33 kV_Wind_F4_Export (KWh)]]</f>
        <v>331200</v>
      </c>
      <c r="DA20" s="148">
        <f>Input_Raw[[#This Row],[33 kV_Wind_F1_Import (KWh)]]+Input_Raw[[#This Row],[33 kV_Wind_F2_Import (KWh)]]+Input_Raw[[#This Row],[33 kV_Wind_F3_Import (KWh)2]]+Input_Raw[[#This Row],[33 kV_Wind_F4_Import (KWh)2]]</f>
        <v>1200</v>
      </c>
      <c r="DB20" s="21">
        <f>IFERROR(1-Input_Raw[[#This Row],[33 kV_Wind_Total_Export (KWh)]]/Input_Raw[[#This Row],[WTG Total Gneration (KWh)]],0)</f>
        <v>7.3816994991953155E-3</v>
      </c>
      <c r="DC20" s="144">
        <v>96</v>
      </c>
      <c r="DD20" s="147">
        <v>38289</v>
      </c>
      <c r="DE20" s="163">
        <v>333.66</v>
      </c>
      <c r="DF20" s="160"/>
      <c r="DG20" s="162">
        <v>78</v>
      </c>
      <c r="DH20" s="281" t="s">
        <v>381</v>
      </c>
    </row>
    <row r="21" spans="1:112">
      <c r="A21" s="20">
        <f t="shared" si="3"/>
        <v>45761</v>
      </c>
      <c r="B21" s="12">
        <f>YEAR(Input_Raw[[#This Row],[Date]])+IF(MONTH(Input_Raw[[#This Row],[Date]])&gt;=4,1,0)</f>
        <v>2026</v>
      </c>
      <c r="C21" s="13">
        <f>YEAR(Input_Raw[[#This Row],[Date]])</f>
        <v>2025</v>
      </c>
      <c r="D21" s="14">
        <f t="shared" si="2"/>
        <v>45748</v>
      </c>
      <c r="E21" s="13">
        <f>DAY(EOMONTH(Input_Raw[[#This Row],[Date]],0))</f>
        <v>30</v>
      </c>
      <c r="F21" s="15">
        <v>17456</v>
      </c>
      <c r="G21" s="15">
        <v>18268</v>
      </c>
      <c r="H21" s="15">
        <v>18198</v>
      </c>
      <c r="I21" s="15">
        <v>18467</v>
      </c>
      <c r="J21" s="15">
        <v>14740</v>
      </c>
      <c r="K21" s="15">
        <v>18104</v>
      </c>
      <c r="L21" s="15">
        <v>18132</v>
      </c>
      <c r="M21" s="15">
        <v>18105</v>
      </c>
      <c r="N21" s="15">
        <v>17283</v>
      </c>
      <c r="O21" s="15">
        <v>16001</v>
      </c>
      <c r="P21" s="15">
        <v>16100</v>
      </c>
      <c r="Q21" s="15">
        <v>17426</v>
      </c>
      <c r="R21" s="15">
        <v>17421</v>
      </c>
      <c r="S21" s="15">
        <v>17056</v>
      </c>
      <c r="T21" s="15">
        <v>17528</v>
      </c>
      <c r="U21" s="15">
        <v>8943</v>
      </c>
      <c r="V21" s="15">
        <v>17354</v>
      </c>
      <c r="W21" s="15">
        <v>17965</v>
      </c>
      <c r="X21" s="15">
        <v>17954</v>
      </c>
      <c r="Y21" s="15">
        <v>17695</v>
      </c>
      <c r="Z21" s="15">
        <v>14846</v>
      </c>
      <c r="AA21" s="15">
        <v>14749</v>
      </c>
      <c r="AB21" s="15">
        <v>14769</v>
      </c>
      <c r="AC21" s="15">
        <v>14754</v>
      </c>
      <c r="AD21" s="15">
        <v>15738</v>
      </c>
      <c r="AE21" s="15">
        <v>14803</v>
      </c>
      <c r="AF21" s="15">
        <v>14824</v>
      </c>
      <c r="AG21" s="15">
        <v>0</v>
      </c>
      <c r="AH21" s="15">
        <v>14795</v>
      </c>
      <c r="AI21" s="15">
        <v>0</v>
      </c>
      <c r="AJ21" s="15">
        <v>15796</v>
      </c>
      <c r="AK21" s="15">
        <v>15740</v>
      </c>
      <c r="AL21" s="15">
        <v>15791</v>
      </c>
      <c r="AM21" s="15">
        <v>15846</v>
      </c>
      <c r="AN21" s="15">
        <v>15846</v>
      </c>
      <c r="AO21" s="15">
        <v>15825</v>
      </c>
      <c r="AP21" s="15">
        <v>15742</v>
      </c>
      <c r="AQ21" s="15">
        <v>15962</v>
      </c>
      <c r="AR21" s="15">
        <v>15847</v>
      </c>
      <c r="AS21" s="16">
        <v>7.28</v>
      </c>
      <c r="AT21" s="16">
        <v>7.74</v>
      </c>
      <c r="AU21" s="16">
        <v>7.38</v>
      </c>
      <c r="AV21" s="16">
        <v>7.5</v>
      </c>
      <c r="AW21" s="16">
        <v>6.95</v>
      </c>
      <c r="AX21" s="16">
        <v>6.64</v>
      </c>
      <c r="AY21" s="146">
        <v>0</v>
      </c>
      <c r="AZ21" s="16">
        <v>7.59</v>
      </c>
      <c r="BA21" s="16">
        <v>7.79</v>
      </c>
      <c r="BB21" s="16">
        <v>7.37</v>
      </c>
      <c r="BC21" s="16">
        <v>7.73</v>
      </c>
      <c r="BD21" s="16">
        <v>7.52</v>
      </c>
      <c r="BE21" s="16">
        <v>7.72</v>
      </c>
      <c r="BF21" s="16">
        <v>7.67</v>
      </c>
      <c r="BG21" s="16">
        <v>7.75</v>
      </c>
      <c r="BH21" s="16">
        <v>7.66</v>
      </c>
      <c r="BI21" s="16">
        <v>8.3800000000000008</v>
      </c>
      <c r="BJ21" s="16">
        <v>7.44</v>
      </c>
      <c r="BK21" s="16">
        <v>8.44</v>
      </c>
      <c r="BL21" s="16">
        <v>7.02</v>
      </c>
      <c r="BM21" s="16">
        <v>6.9</v>
      </c>
      <c r="BN21" s="16">
        <v>7.2</v>
      </c>
      <c r="BO21" s="16">
        <v>7.24</v>
      </c>
      <c r="BP21" s="16">
        <v>7.4</v>
      </c>
      <c r="BQ21" s="16">
        <v>7.39</v>
      </c>
      <c r="BR21" s="16">
        <v>7.05</v>
      </c>
      <c r="BS21" s="16">
        <v>6.74</v>
      </c>
      <c r="BT21" s="16">
        <v>0</v>
      </c>
      <c r="BU21" s="16">
        <v>7.37</v>
      </c>
      <c r="BV21" s="16">
        <v>0</v>
      </c>
      <c r="BW21" s="16">
        <v>6.79</v>
      </c>
      <c r="BX21" s="16">
        <v>6.65</v>
      </c>
      <c r="BY21" s="16">
        <v>6.54</v>
      </c>
      <c r="BZ21" s="16">
        <v>7.02</v>
      </c>
      <c r="CA21" s="16">
        <v>7.65</v>
      </c>
      <c r="CB21" s="16">
        <v>7.66</v>
      </c>
      <c r="CC21" s="16">
        <v>6.74</v>
      </c>
      <c r="CD21" s="16">
        <v>6.53</v>
      </c>
      <c r="CE21" s="16">
        <v>7.19</v>
      </c>
      <c r="CF21" s="17">
        <f>SUM(Input_Raw[[#This Row],[G01]:[G40]])</f>
        <v>601869</v>
      </c>
      <c r="CG21" s="18">
        <f>IFERROR(AVERAGE(Input_Raw[[#This Row],[WS_G01]:[WS_G40]]),"")</f>
        <v>6.7597435897435894</v>
      </c>
      <c r="CH21" s="19"/>
      <c r="CI21" s="19"/>
      <c r="CJ21" s="15">
        <v>238602</v>
      </c>
      <c r="CK21" s="15">
        <v>2166</v>
      </c>
      <c r="CL21" s="15">
        <v>278827</v>
      </c>
      <c r="CM21" s="15">
        <v>2196</v>
      </c>
      <c r="CN21" s="15">
        <v>254472</v>
      </c>
      <c r="CO21" s="15">
        <v>1803</v>
      </c>
      <c r="CP21" s="15">
        <v>290108</v>
      </c>
      <c r="CQ21" s="15">
        <v>1848</v>
      </c>
      <c r="CR21" s="148">
        <f>IF(((Input_Raw[[#This Row],[33 kV_Wind_F1_Export reading]]-CJ20)*1200)&gt;0,(Input_Raw[[#This Row],[33 kV_Wind_F1_Export reading]]-CJ20)*1200,0)</f>
        <v>157200</v>
      </c>
      <c r="CS21" s="148">
        <f>IF(((Input_Raw[[#This Row],[33 kV_Wind_F1_Import reading]]-CK20)*1200)&gt;0,(Input_Raw[[#This Row],[33 kV_Wind_F1_Import reading]]-CK20)*1200,0)</f>
        <v>0</v>
      </c>
      <c r="CT21" s="148">
        <f>IF(((Input_Raw[[#This Row],[33 kV_Wind_F2_Export_reading]]-CL20)*1200)&gt;0,(Input_Raw[[#This Row],[33 kV_Wind_F2_Export_reading]]-CL20)*1200,0)</f>
        <v>117600</v>
      </c>
      <c r="CU21" s="148">
        <f>IF(((Input_Raw[[#This Row],[33 kV_Wind_F2_Import_reading]]-CM20)*1200)&gt;0,(Input_Raw[[#This Row],[33 kV_Wind_F2_Import_reading]]-CM20)*1200,0)</f>
        <v>0</v>
      </c>
      <c r="CV21" s="148">
        <f>IF(((Input_Raw[[#This Row],[33 kV_Wind_F3_Export_Reading]]-CN20)*1200)&gt;0,(Input_Raw[[#This Row],[33 kV_Wind_F3_Export_Reading]]-CN20)*1200,0)</f>
        <v>162000</v>
      </c>
      <c r="CW21" s="148">
        <f>IF(((Input_Raw[[#This Row],[33 kV_Wind_F3_Import_Reading]]-CO20)*1200)&gt;0,(Input_Raw[[#This Row],[33 kV_Wind_F3_Import_Reading]]-CO20)*1200,0)</f>
        <v>0</v>
      </c>
      <c r="CX21" s="148">
        <f>IF(((Input_Raw[[#This Row],[33 kV_Wind_F4_Export Reading]]-CP20)*1200)&gt;0,(Input_Raw[[#This Row],[33 kV_Wind_F4_Export Reading]]-CP20)*1200,0)</f>
        <v>162000</v>
      </c>
      <c r="CY21" s="148">
        <f>IF(((Input_Raw[[#This Row],[33 kV_Wind_F4_Import Reading]]-CQ20)*1200)&gt;0,(Input_Raw[[#This Row],[33 kV_Wind_F4_Import Reading]]-CQ20)*1200,0)</f>
        <v>1200</v>
      </c>
      <c r="CZ21" s="148">
        <f>Input_Raw[[#This Row],[33 kV_F1_Total_Export (KWh)]]+Input_Raw[[#This Row],[33 kV_F2_Total_Export (KWh)2]]+Input_Raw[[#This Row],[33 kV_Wind_F3_Export (KWh)]]+Input_Raw[[#This Row],[33 kV_Wind_F4_Export (KWh)]]</f>
        <v>598800</v>
      </c>
      <c r="DA21" s="148">
        <f>Input_Raw[[#This Row],[33 kV_Wind_F1_Import (KWh)]]+Input_Raw[[#This Row],[33 kV_Wind_F2_Import (KWh)]]+Input_Raw[[#This Row],[33 kV_Wind_F3_Import (KWh)2]]+Input_Raw[[#This Row],[33 kV_Wind_F4_Import (KWh)2]]</f>
        <v>1200</v>
      </c>
      <c r="DB21" s="21">
        <f>IFERROR(1-Input_Raw[[#This Row],[33 kV_Wind_Total_Export (KWh)]]/Input_Raw[[#This Row],[WTG Total Gneration (KWh)]],0)</f>
        <v>5.0991162528722933E-3</v>
      </c>
      <c r="DC21" s="144">
        <v>96</v>
      </c>
      <c r="DD21" s="147">
        <v>33860</v>
      </c>
      <c r="DE21" s="163">
        <v>601.86900000000003</v>
      </c>
      <c r="DF21" s="160"/>
      <c r="DG21" s="162">
        <v>78</v>
      </c>
      <c r="DH21" s="281" t="s">
        <v>381</v>
      </c>
    </row>
    <row r="22" spans="1:112">
      <c r="A22" s="20">
        <f t="shared" si="3"/>
        <v>45762</v>
      </c>
      <c r="B22" s="12">
        <f>YEAR(Input_Raw[[#This Row],[Date]])+IF(MONTH(Input_Raw[[#This Row],[Date]])&gt;=4,1,0)</f>
        <v>2026</v>
      </c>
      <c r="C22" s="13">
        <f>YEAR(Input_Raw[[#This Row],[Date]])</f>
        <v>2025</v>
      </c>
      <c r="D22" s="14">
        <f t="shared" si="2"/>
        <v>45748</v>
      </c>
      <c r="E22" s="13">
        <f>DAY(EOMONTH(Input_Raw[[#This Row],[Date]],0))</f>
        <v>30</v>
      </c>
      <c r="F22" s="15">
        <v>14297</v>
      </c>
      <c r="G22" s="15">
        <v>14921</v>
      </c>
      <c r="H22" s="15">
        <v>14963</v>
      </c>
      <c r="I22" s="15">
        <v>14367</v>
      </c>
      <c r="J22" s="15">
        <v>15592</v>
      </c>
      <c r="K22" s="15">
        <v>14874</v>
      </c>
      <c r="L22" s="15">
        <v>14853</v>
      </c>
      <c r="M22" s="15">
        <v>14869</v>
      </c>
      <c r="N22" s="15">
        <v>15102</v>
      </c>
      <c r="O22" s="15">
        <v>14848</v>
      </c>
      <c r="P22" s="15">
        <v>14863</v>
      </c>
      <c r="Q22" s="15">
        <v>15107</v>
      </c>
      <c r="R22" s="15">
        <v>15111</v>
      </c>
      <c r="S22" s="15">
        <v>15123</v>
      </c>
      <c r="T22" s="15">
        <v>15143</v>
      </c>
      <c r="U22" s="15">
        <v>9457</v>
      </c>
      <c r="V22" s="15">
        <v>15132</v>
      </c>
      <c r="W22" s="15">
        <v>15164</v>
      </c>
      <c r="X22" s="15">
        <v>15179</v>
      </c>
      <c r="Y22" s="15">
        <v>15189</v>
      </c>
      <c r="Z22" s="15">
        <v>15853</v>
      </c>
      <c r="AA22" s="15">
        <v>15895</v>
      </c>
      <c r="AB22" s="15">
        <v>15867</v>
      </c>
      <c r="AC22" s="15">
        <v>15874</v>
      </c>
      <c r="AD22" s="15">
        <v>12759</v>
      </c>
      <c r="AE22" s="15">
        <v>15842</v>
      </c>
      <c r="AF22" s="15">
        <v>15896</v>
      </c>
      <c r="AG22" s="15">
        <v>0</v>
      </c>
      <c r="AH22" s="15">
        <v>15862</v>
      </c>
      <c r="AI22" s="15">
        <v>0</v>
      </c>
      <c r="AJ22" s="15">
        <v>12796</v>
      </c>
      <c r="AK22" s="15">
        <v>12706</v>
      </c>
      <c r="AL22" s="15">
        <v>12759</v>
      </c>
      <c r="AM22" s="15">
        <v>12749</v>
      </c>
      <c r="AN22" s="15">
        <v>12796</v>
      </c>
      <c r="AO22" s="15">
        <v>12793</v>
      </c>
      <c r="AP22" s="15">
        <v>12795</v>
      </c>
      <c r="AQ22" s="15">
        <v>10236</v>
      </c>
      <c r="AR22" s="15">
        <v>12705</v>
      </c>
      <c r="AS22" s="16">
        <v>6.04</v>
      </c>
      <c r="AT22" s="16">
        <v>6.55</v>
      </c>
      <c r="AU22" s="16">
        <v>6.01</v>
      </c>
      <c r="AV22" s="16">
        <v>5.72</v>
      </c>
      <c r="AW22" s="16">
        <v>6.71</v>
      </c>
      <c r="AX22" s="16">
        <v>6.27</v>
      </c>
      <c r="AY22" s="16">
        <v>6</v>
      </c>
      <c r="AZ22" s="16">
        <v>5.79</v>
      </c>
      <c r="BA22" s="16">
        <v>6</v>
      </c>
      <c r="BB22" s="16">
        <v>6.65</v>
      </c>
      <c r="BC22" s="16">
        <v>6.61</v>
      </c>
      <c r="BD22" s="16">
        <v>6.36</v>
      </c>
      <c r="BE22" s="16">
        <v>6.31</v>
      </c>
      <c r="BF22" s="16">
        <v>6.18</v>
      </c>
      <c r="BG22" s="16">
        <v>6.29</v>
      </c>
      <c r="BH22" s="16">
        <v>6.5</v>
      </c>
      <c r="BI22" s="16">
        <v>6.63</v>
      </c>
      <c r="BJ22" s="16">
        <v>6.48</v>
      </c>
      <c r="BK22" s="16">
        <v>6.75</v>
      </c>
      <c r="BL22" s="16">
        <v>6.78</v>
      </c>
      <c r="BM22" s="16">
        <v>6.72</v>
      </c>
      <c r="BN22" s="16">
        <v>6.39</v>
      </c>
      <c r="BO22" s="16">
        <v>5.76</v>
      </c>
      <c r="BP22" s="16">
        <v>5.9</v>
      </c>
      <c r="BQ22" s="16">
        <v>6.3</v>
      </c>
      <c r="BR22" s="16">
        <v>5.66</v>
      </c>
      <c r="BS22" s="16">
        <v>5.5</v>
      </c>
      <c r="BT22" s="16">
        <v>5.76</v>
      </c>
      <c r="BU22" s="16">
        <v>5.28</v>
      </c>
      <c r="BV22" s="16">
        <v>0</v>
      </c>
      <c r="BW22" s="16">
        <v>5.85</v>
      </c>
      <c r="BX22" s="16">
        <v>5.65</v>
      </c>
      <c r="BY22" s="16">
        <v>5.63</v>
      </c>
      <c r="BZ22" s="16">
        <v>5.65</v>
      </c>
      <c r="CA22" s="16">
        <v>5.94</v>
      </c>
      <c r="CB22" s="16">
        <v>5.56</v>
      </c>
      <c r="CC22" s="16">
        <v>5.81</v>
      </c>
      <c r="CD22" s="16">
        <v>5.84</v>
      </c>
      <c r="CE22" s="16">
        <v>5.94</v>
      </c>
      <c r="CF22" s="17">
        <f>SUM(Input_Raw[[#This Row],[G01]:[G40]])</f>
        <v>530337</v>
      </c>
      <c r="CG22" s="18">
        <f>IFERROR(AVERAGE(Input_Raw[[#This Row],[WS_G01]:[WS_G40]]),"")</f>
        <v>5.9428205128205125</v>
      </c>
      <c r="CH22" s="19"/>
      <c r="CI22" s="19"/>
      <c r="CJ22" s="15">
        <v>238704</v>
      </c>
      <c r="CK22" s="15">
        <v>2167</v>
      </c>
      <c r="CL22" s="15">
        <v>278932</v>
      </c>
      <c r="CM22" s="15">
        <v>2197</v>
      </c>
      <c r="CN22" s="15">
        <v>254583</v>
      </c>
      <c r="CO22" s="15">
        <v>1804</v>
      </c>
      <c r="CP22" s="15">
        <v>290229</v>
      </c>
      <c r="CQ22" s="15">
        <v>1848</v>
      </c>
      <c r="CR22" s="148">
        <f>IF(((Input_Raw[[#This Row],[33 kV_Wind_F1_Export reading]]-CJ21)*1200)&gt;0,(Input_Raw[[#This Row],[33 kV_Wind_F1_Export reading]]-CJ21)*1200,0)</f>
        <v>122400</v>
      </c>
      <c r="CS22" s="148">
        <f>IF(((Input_Raw[[#This Row],[33 kV_Wind_F1_Import reading]]-CK21)*1200)&gt;0,(Input_Raw[[#This Row],[33 kV_Wind_F1_Import reading]]-CK21)*1200,0)</f>
        <v>1200</v>
      </c>
      <c r="CT22" s="148">
        <f>IF(((Input_Raw[[#This Row],[33 kV_Wind_F2_Export_reading]]-CL21)*1200)&gt;0,(Input_Raw[[#This Row],[33 kV_Wind_F2_Export_reading]]-CL21)*1200,0)</f>
        <v>126000</v>
      </c>
      <c r="CU22" s="148">
        <f>IF(((Input_Raw[[#This Row],[33 kV_Wind_F2_Import_reading]]-CM21)*1200)&gt;0,(Input_Raw[[#This Row],[33 kV_Wind_F2_Import_reading]]-CM21)*1200,0)</f>
        <v>1200</v>
      </c>
      <c r="CV22" s="148">
        <f>IF(((Input_Raw[[#This Row],[33 kV_Wind_F3_Export_Reading]]-CN21)*1200)&gt;0,(Input_Raw[[#This Row],[33 kV_Wind_F3_Export_Reading]]-CN21)*1200,0)</f>
        <v>133200</v>
      </c>
      <c r="CW22" s="148">
        <f>IF(((Input_Raw[[#This Row],[33 kV_Wind_F3_Import_Reading]]-CO21)*1200)&gt;0,(Input_Raw[[#This Row],[33 kV_Wind_F3_Import_Reading]]-CO21)*1200,0)</f>
        <v>1200</v>
      </c>
      <c r="CX22" s="148">
        <f>IF(((Input_Raw[[#This Row],[33 kV_Wind_F4_Export Reading]]-CP21)*1200)&gt;0,(Input_Raw[[#This Row],[33 kV_Wind_F4_Export Reading]]-CP21)*1200,0)</f>
        <v>145200</v>
      </c>
      <c r="CY22" s="148">
        <f>IF(((Input_Raw[[#This Row],[33 kV_Wind_F4_Import Reading]]-CQ21)*1200)&gt;0,(Input_Raw[[#This Row],[33 kV_Wind_F4_Import Reading]]-CQ21)*1200,0)</f>
        <v>0</v>
      </c>
      <c r="CZ22" s="148">
        <f>Input_Raw[[#This Row],[33 kV_F1_Total_Export (KWh)]]+Input_Raw[[#This Row],[33 kV_F2_Total_Export (KWh)2]]+Input_Raw[[#This Row],[33 kV_Wind_F3_Export (KWh)]]+Input_Raw[[#This Row],[33 kV_Wind_F4_Export (KWh)]]</f>
        <v>526800</v>
      </c>
      <c r="DA22" s="148">
        <f>Input_Raw[[#This Row],[33 kV_Wind_F1_Import (KWh)]]+Input_Raw[[#This Row],[33 kV_Wind_F2_Import (KWh)]]+Input_Raw[[#This Row],[33 kV_Wind_F3_Import (KWh)2]]+Input_Raw[[#This Row],[33 kV_Wind_F4_Import (KWh)2]]</f>
        <v>3600</v>
      </c>
      <c r="DB22" s="21">
        <f>IFERROR(1-Input_Raw[[#This Row],[33 kV_Wind_Total_Export (KWh)]]/Input_Raw[[#This Row],[WTG Total Gneration (KWh)]],0)</f>
        <v>6.6693442094366562E-3</v>
      </c>
      <c r="DC22" s="144">
        <v>96</v>
      </c>
      <c r="DD22" s="147">
        <v>145066</v>
      </c>
      <c r="DE22" s="163">
        <v>530.33699999999999</v>
      </c>
      <c r="DF22" s="160"/>
      <c r="DG22" s="162">
        <v>78</v>
      </c>
      <c r="DH22" s="280" t="s">
        <v>381</v>
      </c>
    </row>
    <row r="23" spans="1:112">
      <c r="A23" s="20">
        <f t="shared" si="3"/>
        <v>45763</v>
      </c>
      <c r="B23" s="12">
        <f>YEAR(Input_Raw[[#This Row],[Date]])+IF(MONTH(Input_Raw[[#This Row],[Date]])&gt;=4,1,0)</f>
        <v>2026</v>
      </c>
      <c r="C23" s="13">
        <f>YEAR(Input_Raw[[#This Row],[Date]])</f>
        <v>2025</v>
      </c>
      <c r="D23" s="14">
        <f t="shared" si="2"/>
        <v>45748</v>
      </c>
      <c r="E23" s="13">
        <f>DAY(EOMONTH(Input_Raw[[#This Row],[Date]],0))</f>
        <v>30</v>
      </c>
      <c r="F23" s="15">
        <v>16756</v>
      </c>
      <c r="G23" s="15">
        <v>16731</v>
      </c>
      <c r="H23" s="15">
        <v>16721</v>
      </c>
      <c r="I23" s="15">
        <v>16734</v>
      </c>
      <c r="J23" s="15">
        <v>12150</v>
      </c>
      <c r="K23" s="15">
        <v>16742</v>
      </c>
      <c r="L23" s="15">
        <v>16732</v>
      </c>
      <c r="M23" s="15">
        <v>16749</v>
      </c>
      <c r="N23" s="15">
        <v>16196</v>
      </c>
      <c r="O23" s="15">
        <v>16742</v>
      </c>
      <c r="P23" s="15">
        <v>16782</v>
      </c>
      <c r="Q23" s="15">
        <v>16187</v>
      </c>
      <c r="R23" s="15">
        <v>16186</v>
      </c>
      <c r="S23" s="15">
        <v>16164</v>
      </c>
      <c r="T23" s="15">
        <v>16184</v>
      </c>
      <c r="U23" s="15">
        <v>9321</v>
      </c>
      <c r="V23" s="15">
        <v>16189</v>
      </c>
      <c r="W23" s="15">
        <v>16147</v>
      </c>
      <c r="X23" s="15">
        <v>16197</v>
      </c>
      <c r="Y23" s="15">
        <v>16169</v>
      </c>
      <c r="Z23" s="15">
        <v>12169</v>
      </c>
      <c r="AA23" s="15">
        <v>12189</v>
      </c>
      <c r="AB23" s="15">
        <v>12190</v>
      </c>
      <c r="AC23" s="15">
        <v>12185</v>
      </c>
      <c r="AD23" s="15">
        <v>14915</v>
      </c>
      <c r="AE23" s="15">
        <v>12169</v>
      </c>
      <c r="AF23" s="15">
        <v>12185</v>
      </c>
      <c r="AG23" s="15">
        <v>0</v>
      </c>
      <c r="AH23" s="15">
        <v>12168</v>
      </c>
      <c r="AI23" s="15">
        <v>0</v>
      </c>
      <c r="AJ23" s="15">
        <v>14925</v>
      </c>
      <c r="AK23" s="15">
        <v>14952</v>
      </c>
      <c r="AL23" s="15">
        <v>14958</v>
      </c>
      <c r="AM23" s="15">
        <v>14952</v>
      </c>
      <c r="AN23" s="15">
        <v>14984</v>
      </c>
      <c r="AO23" s="15">
        <v>14984</v>
      </c>
      <c r="AP23" s="15">
        <v>14952</v>
      </c>
      <c r="AQ23" s="15">
        <v>14963</v>
      </c>
      <c r="AR23" s="15">
        <v>14962</v>
      </c>
      <c r="AS23" s="16">
        <v>5.59</v>
      </c>
      <c r="AT23" s="16">
        <v>6.18</v>
      </c>
      <c r="AU23" s="16">
        <v>5.43</v>
      </c>
      <c r="AV23" s="16">
        <v>5.42</v>
      </c>
      <c r="AW23" s="16">
        <v>5.97</v>
      </c>
      <c r="AX23" s="16">
        <v>6.06</v>
      </c>
      <c r="AY23" s="16">
        <v>5.51</v>
      </c>
      <c r="AZ23" s="16">
        <v>5.15</v>
      </c>
      <c r="BA23" s="16">
        <v>5.98</v>
      </c>
      <c r="BB23" s="16">
        <v>5.33</v>
      </c>
      <c r="BC23" s="16">
        <v>6.31</v>
      </c>
      <c r="BD23" s="16">
        <v>5.92</v>
      </c>
      <c r="BE23" s="16">
        <v>5.96</v>
      </c>
      <c r="BF23" s="16">
        <v>5.77</v>
      </c>
      <c r="BG23" s="16">
        <v>5.83</v>
      </c>
      <c r="BH23" s="16">
        <v>5.9</v>
      </c>
      <c r="BI23" s="16">
        <v>6.05</v>
      </c>
      <c r="BJ23" s="16">
        <v>5.8</v>
      </c>
      <c r="BK23" s="16">
        <v>5.74</v>
      </c>
      <c r="BL23" s="16">
        <v>6.66</v>
      </c>
      <c r="BM23" s="16">
        <v>6.01</v>
      </c>
      <c r="BN23" s="16">
        <v>6.2</v>
      </c>
      <c r="BO23" s="16">
        <v>6.1</v>
      </c>
      <c r="BP23" s="16">
        <v>5.88</v>
      </c>
      <c r="BQ23" s="16">
        <v>6</v>
      </c>
      <c r="BR23" s="16">
        <v>5.88</v>
      </c>
      <c r="BS23" s="16">
        <v>5.94</v>
      </c>
      <c r="BT23" s="16">
        <v>0</v>
      </c>
      <c r="BU23" s="16">
        <v>5.74</v>
      </c>
      <c r="BV23" s="16">
        <v>0</v>
      </c>
      <c r="BW23" s="16">
        <v>5.52</v>
      </c>
      <c r="BX23" s="16">
        <v>5.76</v>
      </c>
      <c r="BY23" s="16">
        <v>6.04</v>
      </c>
      <c r="BZ23" s="16">
        <v>6.02</v>
      </c>
      <c r="CA23" s="16">
        <v>5.85</v>
      </c>
      <c r="CB23" s="16">
        <v>6.03</v>
      </c>
      <c r="CC23" s="16">
        <v>5.99</v>
      </c>
      <c r="CD23" s="16">
        <v>5.42</v>
      </c>
      <c r="CE23" s="16">
        <v>6.19</v>
      </c>
      <c r="CF23" s="17">
        <f>SUM(Input_Raw[[#This Row],[G01]:[G40]])</f>
        <v>552581</v>
      </c>
      <c r="CG23" s="18">
        <f>IFERROR(AVERAGE(Input_Raw[[#This Row],[WS_G01]:[WS_G40]]),"")</f>
        <v>5.5674358974358968</v>
      </c>
      <c r="CH23" s="19"/>
      <c r="CI23" s="19"/>
      <c r="CJ23" s="15">
        <v>238828</v>
      </c>
      <c r="CK23" s="15">
        <v>2167</v>
      </c>
      <c r="CL23" s="15">
        <v>279013</v>
      </c>
      <c r="CM23" s="15">
        <v>2197</v>
      </c>
      <c r="CN23" s="15">
        <v>254708</v>
      </c>
      <c r="CO23" s="15">
        <v>1804</v>
      </c>
      <c r="CP23" s="15">
        <v>290358</v>
      </c>
      <c r="CQ23" s="15">
        <v>1848</v>
      </c>
      <c r="CR23" s="148">
        <f>IF(((Input_Raw[[#This Row],[33 kV_Wind_F1_Export reading]]-CJ22)*1200)&gt;0,(Input_Raw[[#This Row],[33 kV_Wind_F1_Export reading]]-CJ22)*1200,0)</f>
        <v>148800</v>
      </c>
      <c r="CS23" s="148">
        <f>IF(((Input_Raw[[#This Row],[33 kV_Wind_F1_Import reading]]-CK22)*1200)&gt;0,(Input_Raw[[#This Row],[33 kV_Wind_F1_Import reading]]-CK22)*1200,0)</f>
        <v>0</v>
      </c>
      <c r="CT23" s="148">
        <f>IF(((Input_Raw[[#This Row],[33 kV_Wind_F2_Export_reading]]-CL22)*1200)&gt;0,(Input_Raw[[#This Row],[33 kV_Wind_F2_Export_reading]]-CL22)*1200,0)</f>
        <v>97200</v>
      </c>
      <c r="CU23" s="148">
        <f>IF(((Input_Raw[[#This Row],[33 kV_Wind_F2_Import_reading]]-CM22)*1200)&gt;0,(Input_Raw[[#This Row],[33 kV_Wind_F2_Import_reading]]-CM22)*1200,0)</f>
        <v>0</v>
      </c>
      <c r="CV23" s="148">
        <f>IF(((Input_Raw[[#This Row],[33 kV_Wind_F3_Export_Reading]]-CN22)*1200)&gt;0,(Input_Raw[[#This Row],[33 kV_Wind_F3_Export_Reading]]-CN22)*1200,0)</f>
        <v>150000</v>
      </c>
      <c r="CW23" s="148">
        <f>IF(((Input_Raw[[#This Row],[33 kV_Wind_F3_Import_Reading]]-CO22)*1200)&gt;0,(Input_Raw[[#This Row],[33 kV_Wind_F3_Import_Reading]]-CO22)*1200,0)</f>
        <v>0</v>
      </c>
      <c r="CX23" s="148">
        <f>IF(((Input_Raw[[#This Row],[33 kV_Wind_F4_Export Reading]]-CP22)*1200)&gt;0,(Input_Raw[[#This Row],[33 kV_Wind_F4_Export Reading]]-CP22)*1200,0)</f>
        <v>154800</v>
      </c>
      <c r="CY23" s="148">
        <f>IF(((Input_Raw[[#This Row],[33 kV_Wind_F4_Import Reading]]-CQ22)*1200)&gt;0,(Input_Raw[[#This Row],[33 kV_Wind_F4_Import Reading]]-CQ22)*1200,0)</f>
        <v>0</v>
      </c>
      <c r="CZ23" s="148">
        <f>Input_Raw[[#This Row],[33 kV_F1_Total_Export (KWh)]]+Input_Raw[[#This Row],[33 kV_F2_Total_Export (KWh)2]]+Input_Raw[[#This Row],[33 kV_Wind_F3_Export (KWh)]]+Input_Raw[[#This Row],[33 kV_Wind_F4_Export (KWh)]]</f>
        <v>550800</v>
      </c>
      <c r="DA23" s="148">
        <f>Input_Raw[[#This Row],[33 kV_Wind_F1_Import (KWh)]]+Input_Raw[[#This Row],[33 kV_Wind_F2_Import (KWh)]]+Input_Raw[[#This Row],[33 kV_Wind_F3_Import (KWh)2]]+Input_Raw[[#This Row],[33 kV_Wind_F4_Import (KWh)2]]</f>
        <v>0</v>
      </c>
      <c r="DB23" s="21">
        <f>IFERROR(1-Input_Raw[[#This Row],[33 kV_Wind_Total_Export (KWh)]]/Input_Raw[[#This Row],[WTG Total Gneration (KWh)]],0)</f>
        <v>3.2230568912069435E-3</v>
      </c>
      <c r="DC23" s="144">
        <v>96</v>
      </c>
      <c r="DD23" s="147">
        <v>160779</v>
      </c>
      <c r="DE23" s="163">
        <v>552.58100000000002</v>
      </c>
      <c r="DF23" s="160"/>
      <c r="DG23" s="162">
        <v>78</v>
      </c>
      <c r="DH23" s="280" t="s">
        <v>381</v>
      </c>
    </row>
    <row r="24" spans="1:112">
      <c r="A24" s="20">
        <f t="shared" si="3"/>
        <v>45764</v>
      </c>
      <c r="B24" s="12">
        <f>YEAR(Input_Raw[[#This Row],[Date]])+IF(MONTH(Input_Raw[[#This Row],[Date]])&gt;=4,1,0)</f>
        <v>2026</v>
      </c>
      <c r="C24" s="13">
        <f>YEAR(Input_Raw[[#This Row],[Date]])</f>
        <v>2025</v>
      </c>
      <c r="D24" s="14">
        <f t="shared" si="2"/>
        <v>45748</v>
      </c>
      <c r="E24" s="13">
        <f>DAY(EOMONTH(Input_Raw[[#This Row],[Date]],0))</f>
        <v>30</v>
      </c>
      <c r="F24" s="15">
        <v>15153</v>
      </c>
      <c r="G24" s="15">
        <v>15183</v>
      </c>
      <c r="H24" s="15">
        <v>16583</v>
      </c>
      <c r="I24" s="15">
        <v>16584</v>
      </c>
      <c r="J24" s="15">
        <v>13650</v>
      </c>
      <c r="K24" s="15">
        <v>16573</v>
      </c>
      <c r="L24" s="15">
        <v>15190</v>
      </c>
      <c r="M24" s="15">
        <v>16587</v>
      </c>
      <c r="N24" s="15">
        <v>13458</v>
      </c>
      <c r="O24" s="15">
        <v>16784</v>
      </c>
      <c r="P24" s="15">
        <v>16596</v>
      </c>
      <c r="Q24" s="15">
        <v>14923</v>
      </c>
      <c r="R24" s="15">
        <v>14937</v>
      </c>
      <c r="S24" s="15">
        <v>14976</v>
      </c>
      <c r="T24" s="15">
        <v>14979</v>
      </c>
      <c r="U24" s="15">
        <v>9674</v>
      </c>
      <c r="V24" s="15">
        <v>14979</v>
      </c>
      <c r="W24" s="15">
        <v>14943</v>
      </c>
      <c r="X24" s="15">
        <v>14943</v>
      </c>
      <c r="Y24" s="15">
        <v>14964</v>
      </c>
      <c r="Z24" s="15">
        <v>13687</v>
      </c>
      <c r="AA24" s="15">
        <v>13696</v>
      </c>
      <c r="AB24" s="15">
        <v>13674</v>
      </c>
      <c r="AC24" s="15">
        <v>13653</v>
      </c>
      <c r="AD24" s="15">
        <v>12556</v>
      </c>
      <c r="AE24" s="15">
        <v>13687</v>
      </c>
      <c r="AF24" s="15">
        <v>13659</v>
      </c>
      <c r="AG24" s="15">
        <v>0</v>
      </c>
      <c r="AH24" s="15">
        <v>13653</v>
      </c>
      <c r="AI24" s="15">
        <v>0</v>
      </c>
      <c r="AJ24" s="15">
        <v>12562</v>
      </c>
      <c r="AK24" s="15">
        <v>12547</v>
      </c>
      <c r="AL24" s="15">
        <v>12589</v>
      </c>
      <c r="AM24" s="15">
        <v>12538</v>
      </c>
      <c r="AN24" s="15">
        <v>12565</v>
      </c>
      <c r="AO24" s="15">
        <v>12567</v>
      </c>
      <c r="AP24" s="15">
        <v>12564</v>
      </c>
      <c r="AQ24" s="15">
        <v>12032</v>
      </c>
      <c r="AR24" s="15">
        <v>12574</v>
      </c>
      <c r="AS24" s="16">
        <v>5.83</v>
      </c>
      <c r="AT24" s="16">
        <v>5.9</v>
      </c>
      <c r="AU24" s="16">
        <v>6.05</v>
      </c>
      <c r="AV24" s="16">
        <v>5.8</v>
      </c>
      <c r="AW24" s="16">
        <v>5.74</v>
      </c>
      <c r="AX24" s="16">
        <v>6.21</v>
      </c>
      <c r="AY24" s="16">
        <v>6.01</v>
      </c>
      <c r="AZ24" s="16">
        <v>6.2</v>
      </c>
      <c r="BA24" s="16">
        <v>6.1</v>
      </c>
      <c r="BB24" s="16">
        <v>6.1</v>
      </c>
      <c r="BC24" s="16">
        <v>5.88</v>
      </c>
      <c r="BD24" s="16">
        <v>6</v>
      </c>
      <c r="BE24" s="16">
        <v>5.88</v>
      </c>
      <c r="BF24" s="16">
        <v>5.94</v>
      </c>
      <c r="BG24" s="16">
        <v>6.2</v>
      </c>
      <c r="BH24" s="16">
        <v>5.74</v>
      </c>
      <c r="BI24" s="16">
        <v>6.23</v>
      </c>
      <c r="BJ24" s="16">
        <v>5.52</v>
      </c>
      <c r="BK24" s="16">
        <v>5.76</v>
      </c>
      <c r="BL24" s="16">
        <v>6.04</v>
      </c>
      <c r="BM24" s="16">
        <v>6.02</v>
      </c>
      <c r="BN24" s="16">
        <v>5.85</v>
      </c>
      <c r="BO24" s="16">
        <v>6.03</v>
      </c>
      <c r="BP24" s="16">
        <v>5.42</v>
      </c>
      <c r="BQ24" s="16">
        <v>6.19</v>
      </c>
      <c r="BR24" s="16">
        <v>5.59</v>
      </c>
      <c r="BS24" s="16">
        <v>6.01</v>
      </c>
      <c r="BT24" s="16">
        <v>0</v>
      </c>
      <c r="BU24" s="16">
        <v>5.42</v>
      </c>
      <c r="BV24" s="16">
        <v>0</v>
      </c>
      <c r="BW24" s="16">
        <v>6</v>
      </c>
      <c r="BX24" s="16">
        <v>5.51</v>
      </c>
      <c r="BY24" s="16">
        <v>5.15</v>
      </c>
      <c r="BZ24" s="16">
        <v>5.98</v>
      </c>
      <c r="CA24" s="16">
        <v>5.33</v>
      </c>
      <c r="CB24" s="16">
        <v>6.1</v>
      </c>
      <c r="CC24" s="16">
        <v>5.92</v>
      </c>
      <c r="CD24" s="16">
        <v>5.92</v>
      </c>
      <c r="CE24" s="16">
        <v>5.9</v>
      </c>
      <c r="CF24" s="17">
        <f>SUM(Input_Raw[[#This Row],[G01]:[G40]])</f>
        <v>522462</v>
      </c>
      <c r="CG24" s="18">
        <f>IFERROR(AVERAGE(Input_Raw[[#This Row],[WS_G01]:[WS_G40]]),"")</f>
        <v>5.5761538461538445</v>
      </c>
      <c r="CH24" s="19"/>
      <c r="CI24" s="19"/>
      <c r="CJ24" s="15">
        <v>238932</v>
      </c>
      <c r="CK24" s="15">
        <v>2167</v>
      </c>
      <c r="CL24" s="15">
        <v>279104</v>
      </c>
      <c r="CM24" s="15">
        <v>2197</v>
      </c>
      <c r="CN24" s="15">
        <v>254829</v>
      </c>
      <c r="CO24" s="15">
        <v>1804</v>
      </c>
      <c r="CP24" s="15">
        <v>290477</v>
      </c>
      <c r="CQ24" s="15">
        <v>1848</v>
      </c>
      <c r="CR24" s="148">
        <f>IF(((Input_Raw[[#This Row],[33 kV_Wind_F1_Export reading]]-CJ23)*1200)&gt;0,(Input_Raw[[#This Row],[33 kV_Wind_F1_Export reading]]-CJ23)*1200,0)</f>
        <v>124800</v>
      </c>
      <c r="CS24" s="148">
        <f>IF(((Input_Raw[[#This Row],[33 kV_Wind_F1_Import reading]]-CK23)*1200)&gt;0,(Input_Raw[[#This Row],[33 kV_Wind_F1_Import reading]]-CK23)*1200,0)</f>
        <v>0</v>
      </c>
      <c r="CT24" s="148">
        <f>IF(((Input_Raw[[#This Row],[33 kV_Wind_F2_Export_reading]]-CL23)*1200)&gt;0,(Input_Raw[[#This Row],[33 kV_Wind_F2_Export_reading]]-CL23)*1200,0)</f>
        <v>109200</v>
      </c>
      <c r="CU24" s="148">
        <f>IF(((Input_Raw[[#This Row],[33 kV_Wind_F2_Import_reading]]-CM23)*1200)&gt;0,(Input_Raw[[#This Row],[33 kV_Wind_F2_Import_reading]]-CM23)*1200,0)</f>
        <v>0</v>
      </c>
      <c r="CV24" s="148">
        <f>IF(((Input_Raw[[#This Row],[33 kV_Wind_F3_Export_Reading]]-CN23)*1200)&gt;0,(Input_Raw[[#This Row],[33 kV_Wind_F3_Export_Reading]]-CN23)*1200,0)</f>
        <v>145200</v>
      </c>
      <c r="CW24" s="148">
        <f>IF(((Input_Raw[[#This Row],[33 kV_Wind_F3_Import_Reading]]-CO23)*1200)&gt;0,(Input_Raw[[#This Row],[33 kV_Wind_F3_Import_Reading]]-CO23)*1200,0)</f>
        <v>0</v>
      </c>
      <c r="CX24" s="148">
        <f>IF(((Input_Raw[[#This Row],[33 kV_Wind_F4_Export Reading]]-CP23)*1200)&gt;0,(Input_Raw[[#This Row],[33 kV_Wind_F4_Export Reading]]-CP23)*1200,0)</f>
        <v>142800</v>
      </c>
      <c r="CY24" s="148">
        <f>IF(((Input_Raw[[#This Row],[33 kV_Wind_F4_Import Reading]]-CQ23)*1200)&gt;0,(Input_Raw[[#This Row],[33 kV_Wind_F4_Import Reading]]-CQ23)*1200,0)</f>
        <v>0</v>
      </c>
      <c r="CZ24" s="148">
        <f>Input_Raw[[#This Row],[33 kV_F1_Total_Export (KWh)]]+Input_Raw[[#This Row],[33 kV_F2_Total_Export (KWh)2]]+Input_Raw[[#This Row],[33 kV_Wind_F3_Export (KWh)]]+Input_Raw[[#This Row],[33 kV_Wind_F4_Export (KWh)]]</f>
        <v>522000</v>
      </c>
      <c r="DA24" s="148">
        <f>Input_Raw[[#This Row],[33 kV_Wind_F1_Import (KWh)]]+Input_Raw[[#This Row],[33 kV_Wind_F2_Import (KWh)]]+Input_Raw[[#This Row],[33 kV_Wind_F3_Import (KWh)2]]+Input_Raw[[#This Row],[33 kV_Wind_F4_Import (KWh)2]]</f>
        <v>0</v>
      </c>
      <c r="DB24" s="21">
        <f>IFERROR(1-Input_Raw[[#This Row],[33 kV_Wind_Total_Export (KWh)]]/Input_Raw[[#This Row],[WTG Total Gneration (KWh)]],0)</f>
        <v>8.8427483721309486E-4</v>
      </c>
      <c r="DC24" s="144">
        <v>96</v>
      </c>
      <c r="DD24" s="147">
        <v>182469</v>
      </c>
      <c r="DE24" s="163">
        <v>522.46199999999999</v>
      </c>
      <c r="DF24" s="160"/>
      <c r="DG24" s="162">
        <v>78</v>
      </c>
      <c r="DH24" s="280" t="s">
        <v>381</v>
      </c>
    </row>
    <row r="25" spans="1:112">
      <c r="A25" s="20">
        <f t="shared" si="3"/>
        <v>45765</v>
      </c>
      <c r="B25" s="12">
        <f>YEAR(Input_Raw[[#This Row],[Date]])+IF(MONTH(Input_Raw[[#This Row],[Date]])&gt;=4,1,0)</f>
        <v>2026</v>
      </c>
      <c r="C25" s="13">
        <f>YEAR(Input_Raw[[#This Row],[Date]])</f>
        <v>2025</v>
      </c>
      <c r="D25" s="14">
        <f t="shared" si="2"/>
        <v>45748</v>
      </c>
      <c r="E25" s="13">
        <f>DAY(EOMONTH(Input_Raw[[#This Row],[Date]],0))</f>
        <v>30</v>
      </c>
      <c r="F25" s="15">
        <v>9986</v>
      </c>
      <c r="G25" s="15">
        <v>9964</v>
      </c>
      <c r="H25" s="15">
        <v>9942</v>
      </c>
      <c r="I25" s="15">
        <v>9960</v>
      </c>
      <c r="J25" s="15">
        <v>8859</v>
      </c>
      <c r="K25" s="15">
        <v>9936</v>
      </c>
      <c r="L25" s="15">
        <v>9962</v>
      </c>
      <c r="M25" s="15">
        <v>9967</v>
      </c>
      <c r="N25" s="15">
        <v>8168</v>
      </c>
      <c r="O25" s="15">
        <v>9997</v>
      </c>
      <c r="P25" s="15">
        <v>9989</v>
      </c>
      <c r="Q25" s="15">
        <v>8164</v>
      </c>
      <c r="R25" s="15">
        <v>8196</v>
      </c>
      <c r="S25" s="15">
        <v>8164</v>
      </c>
      <c r="T25" s="15">
        <v>8153</v>
      </c>
      <c r="U25" s="15">
        <v>5639</v>
      </c>
      <c r="V25" s="15">
        <v>8169</v>
      </c>
      <c r="W25" s="15">
        <v>8176</v>
      </c>
      <c r="X25" s="15">
        <v>8148</v>
      </c>
      <c r="Y25" s="15">
        <v>8243</v>
      </c>
      <c r="Z25" s="15">
        <v>8895</v>
      </c>
      <c r="AA25" s="15">
        <v>8858</v>
      </c>
      <c r="AB25" s="15">
        <v>8853</v>
      </c>
      <c r="AC25" s="15">
        <v>8857</v>
      </c>
      <c r="AD25" s="15">
        <v>8106</v>
      </c>
      <c r="AE25" s="15">
        <v>8895</v>
      </c>
      <c r="AF25" s="15">
        <v>8824</v>
      </c>
      <c r="AG25" s="15">
        <v>0</v>
      </c>
      <c r="AH25" s="15">
        <v>8852</v>
      </c>
      <c r="AI25" s="15">
        <v>0</v>
      </c>
      <c r="AJ25" s="15">
        <v>8165</v>
      </c>
      <c r="AK25" s="15">
        <v>8169</v>
      </c>
      <c r="AL25" s="15">
        <v>8158</v>
      </c>
      <c r="AM25" s="15">
        <v>7963</v>
      </c>
      <c r="AN25" s="15">
        <v>7584</v>
      </c>
      <c r="AO25" s="15">
        <v>8139</v>
      </c>
      <c r="AP25" s="15">
        <v>8147</v>
      </c>
      <c r="AQ25" s="15">
        <v>8163</v>
      </c>
      <c r="AR25" s="15">
        <v>8189</v>
      </c>
      <c r="AS25" s="16">
        <v>4.8499999999999996</v>
      </c>
      <c r="AT25" s="16">
        <v>5.37</v>
      </c>
      <c r="AU25" s="16">
        <v>4.76</v>
      </c>
      <c r="AV25" s="16">
        <v>4.7699999999999996</v>
      </c>
      <c r="AW25" s="16">
        <v>5.09</v>
      </c>
      <c r="AX25" s="16">
        <v>5.19</v>
      </c>
      <c r="AY25" s="16">
        <v>4.8</v>
      </c>
      <c r="AZ25" s="16">
        <v>4.87</v>
      </c>
      <c r="BA25" s="16">
        <v>5.25</v>
      </c>
      <c r="BB25" s="16">
        <v>4.9800000000000004</v>
      </c>
      <c r="BC25" s="16">
        <v>5.45</v>
      </c>
      <c r="BD25" s="16">
        <v>5.28</v>
      </c>
      <c r="BE25" s="16">
        <v>5.32</v>
      </c>
      <c r="BF25" s="16">
        <v>5.14</v>
      </c>
      <c r="BG25" s="16">
        <v>5.09</v>
      </c>
      <c r="BH25" s="16">
        <v>5.27</v>
      </c>
      <c r="BI25" s="16">
        <v>5.07</v>
      </c>
      <c r="BJ25" s="16">
        <v>5.36</v>
      </c>
      <c r="BK25" s="16">
        <v>6.59</v>
      </c>
      <c r="BL25" s="16">
        <v>5.63</v>
      </c>
      <c r="BM25" s="16">
        <v>5.4</v>
      </c>
      <c r="BN25" s="16">
        <v>5.44</v>
      </c>
      <c r="BO25" s="16">
        <v>4.66</v>
      </c>
      <c r="BP25" s="16">
        <v>4.9800000000000004</v>
      </c>
      <c r="BQ25" s="16">
        <v>4.95</v>
      </c>
      <c r="BR25" s="16">
        <v>4.71</v>
      </c>
      <c r="BS25" s="16">
        <v>4.88</v>
      </c>
      <c r="BT25" s="16">
        <v>0</v>
      </c>
      <c r="BU25" s="16">
        <v>4.8600000000000003</v>
      </c>
      <c r="BV25" s="16">
        <v>0</v>
      </c>
      <c r="BW25" s="16">
        <v>4.59</v>
      </c>
      <c r="BX25" s="16">
        <v>4.7300000000000004</v>
      </c>
      <c r="BY25" s="16">
        <v>4.88</v>
      </c>
      <c r="BZ25" s="16">
        <v>4.88</v>
      </c>
      <c r="CA25" s="16">
        <v>5.07</v>
      </c>
      <c r="CB25" s="16">
        <v>5.05</v>
      </c>
      <c r="CC25" s="16">
        <v>4.83</v>
      </c>
      <c r="CD25" s="16">
        <v>4.74</v>
      </c>
      <c r="CE25" s="16">
        <v>5.01</v>
      </c>
      <c r="CF25" s="17">
        <f>SUM(Input_Raw[[#This Row],[G01]:[G40]])</f>
        <v>320599</v>
      </c>
      <c r="CG25" s="18">
        <f>IFERROR(AVERAGE(Input_Raw[[#This Row],[WS_G01]:[WS_G40]]),"")</f>
        <v>4.8151282051282047</v>
      </c>
      <c r="CH25" s="19"/>
      <c r="CI25" s="19"/>
      <c r="CJ25" s="15">
        <v>238998</v>
      </c>
      <c r="CK25" s="15">
        <v>2167</v>
      </c>
      <c r="CL25" s="15">
        <v>279163</v>
      </c>
      <c r="CM25" s="15">
        <v>2197</v>
      </c>
      <c r="CN25" s="15">
        <v>254903</v>
      </c>
      <c r="CO25" s="15">
        <v>1804</v>
      </c>
      <c r="CP25" s="15">
        <v>290542</v>
      </c>
      <c r="CQ25" s="15">
        <v>1849</v>
      </c>
      <c r="CR25" s="148">
        <f>IF(((Input_Raw[[#This Row],[33 kV_Wind_F1_Export reading]]-CJ24)*1200)&gt;0,(Input_Raw[[#This Row],[33 kV_Wind_F1_Export reading]]-CJ24)*1200,0)</f>
        <v>79200</v>
      </c>
      <c r="CS25" s="148">
        <f>IF(((Input_Raw[[#This Row],[33 kV_Wind_F1_Import reading]]-CK24)*1200)&gt;0,(Input_Raw[[#This Row],[33 kV_Wind_F1_Import reading]]-CK24)*1200,0)</f>
        <v>0</v>
      </c>
      <c r="CT25" s="148">
        <f>IF(((Input_Raw[[#This Row],[33 kV_Wind_F2_Export_reading]]-CL24)*1200)&gt;0,(Input_Raw[[#This Row],[33 kV_Wind_F2_Export_reading]]-CL24)*1200,0)</f>
        <v>70800</v>
      </c>
      <c r="CU25" s="148">
        <f>IF(((Input_Raw[[#This Row],[33 kV_Wind_F2_Import_reading]]-CM24)*1200)&gt;0,(Input_Raw[[#This Row],[33 kV_Wind_F2_Import_reading]]-CM24)*1200,0)</f>
        <v>0</v>
      </c>
      <c r="CV25" s="148">
        <f>IF(((Input_Raw[[#This Row],[33 kV_Wind_F3_Export_Reading]]-CN24)*1200)&gt;0,(Input_Raw[[#This Row],[33 kV_Wind_F3_Export_Reading]]-CN24)*1200,0)</f>
        <v>88800</v>
      </c>
      <c r="CW25" s="148">
        <f>IF(((Input_Raw[[#This Row],[33 kV_Wind_F3_Import_Reading]]-CO24)*1200)&gt;0,(Input_Raw[[#This Row],[33 kV_Wind_F3_Import_Reading]]-CO24)*1200,0)</f>
        <v>0</v>
      </c>
      <c r="CX25" s="148">
        <f>IF(((Input_Raw[[#This Row],[33 kV_Wind_F4_Export Reading]]-CP24)*1200)&gt;0,(Input_Raw[[#This Row],[33 kV_Wind_F4_Export Reading]]-CP24)*1200,0)</f>
        <v>78000</v>
      </c>
      <c r="CY25" s="148">
        <f>IF(((Input_Raw[[#This Row],[33 kV_Wind_F4_Import Reading]]-CQ24)*1200)&gt;0,(Input_Raw[[#This Row],[33 kV_Wind_F4_Import Reading]]-CQ24)*1200,0)</f>
        <v>1200</v>
      </c>
      <c r="CZ25" s="148">
        <f>Input_Raw[[#This Row],[33 kV_F1_Total_Export (KWh)]]+Input_Raw[[#This Row],[33 kV_F2_Total_Export (KWh)2]]+Input_Raw[[#This Row],[33 kV_Wind_F3_Export (KWh)]]+Input_Raw[[#This Row],[33 kV_Wind_F4_Export (KWh)]]</f>
        <v>316800</v>
      </c>
      <c r="DA25" s="148">
        <f>Input_Raw[[#This Row],[33 kV_Wind_F1_Import (KWh)]]+Input_Raw[[#This Row],[33 kV_Wind_F2_Import (KWh)]]+Input_Raw[[#This Row],[33 kV_Wind_F3_Import (KWh)2]]+Input_Raw[[#This Row],[33 kV_Wind_F4_Import (KWh)2]]</f>
        <v>1200</v>
      </c>
      <c r="DB25" s="21">
        <f>IFERROR(1-Input_Raw[[#This Row],[33 kV_Wind_Total_Export (KWh)]]/Input_Raw[[#This Row],[WTG Total Gneration (KWh)]],0)</f>
        <v>1.1849693854316445E-2</v>
      </c>
      <c r="DC25" s="144">
        <v>96</v>
      </c>
      <c r="DD25" s="147">
        <v>88227</v>
      </c>
      <c r="DE25" s="163">
        <v>320.58999999999997</v>
      </c>
      <c r="DF25" s="160"/>
      <c r="DG25" s="162">
        <v>78</v>
      </c>
      <c r="DH25" s="280" t="s">
        <v>381</v>
      </c>
    </row>
    <row r="26" spans="1:112">
      <c r="A26" s="20">
        <f t="shared" si="3"/>
        <v>45766</v>
      </c>
      <c r="B26" s="12">
        <f>YEAR(Input_Raw[[#This Row],[Date]])+IF(MONTH(Input_Raw[[#This Row],[Date]])&gt;=4,1,0)</f>
        <v>2026</v>
      </c>
      <c r="C26" s="13">
        <f>YEAR(Input_Raw[[#This Row],[Date]])</f>
        <v>2025</v>
      </c>
      <c r="D26" s="14">
        <f t="shared" si="2"/>
        <v>45748</v>
      </c>
      <c r="E26" s="13">
        <f>DAY(EOMONTH(Input_Raw[[#This Row],[Date]],0))</f>
        <v>30</v>
      </c>
      <c r="F26" s="15">
        <v>12321</v>
      </c>
      <c r="G26" s="15">
        <v>12334</v>
      </c>
      <c r="H26" s="15">
        <v>12353</v>
      </c>
      <c r="I26" s="15">
        <v>12327</v>
      </c>
      <c r="J26" s="15">
        <v>10590</v>
      </c>
      <c r="K26" s="15">
        <v>12358</v>
      </c>
      <c r="L26" s="15">
        <v>12364</v>
      </c>
      <c r="M26" s="15">
        <v>12387</v>
      </c>
      <c r="N26" s="15">
        <v>11389</v>
      </c>
      <c r="O26" s="15">
        <v>12389</v>
      </c>
      <c r="P26" s="15">
        <v>12393</v>
      </c>
      <c r="Q26" s="15">
        <v>11358</v>
      </c>
      <c r="R26" s="15">
        <v>10948</v>
      </c>
      <c r="S26" s="15">
        <v>11378</v>
      </c>
      <c r="T26" s="15">
        <v>11385</v>
      </c>
      <c r="U26" s="15">
        <v>8429</v>
      </c>
      <c r="V26" s="15">
        <v>11364</v>
      </c>
      <c r="W26" s="15">
        <v>11398</v>
      </c>
      <c r="X26" s="15">
        <v>11428</v>
      </c>
      <c r="Y26" s="15">
        <v>11463</v>
      </c>
      <c r="Z26" s="15">
        <v>10569</v>
      </c>
      <c r="AA26" s="15">
        <v>10595</v>
      </c>
      <c r="AB26" s="15">
        <v>8792</v>
      </c>
      <c r="AC26" s="15">
        <v>10563</v>
      </c>
      <c r="AD26" s="15">
        <v>10352</v>
      </c>
      <c r="AE26" s="15">
        <v>10585</v>
      </c>
      <c r="AF26" s="15">
        <v>10567</v>
      </c>
      <c r="AG26" s="15">
        <v>0</v>
      </c>
      <c r="AH26" s="15">
        <v>10589</v>
      </c>
      <c r="AI26" s="15">
        <v>0</v>
      </c>
      <c r="AJ26" s="15">
        <v>10274</v>
      </c>
      <c r="AK26" s="15">
        <v>9590</v>
      </c>
      <c r="AL26" s="15">
        <v>10290</v>
      </c>
      <c r="AM26" s="15">
        <v>10363</v>
      </c>
      <c r="AN26" s="15">
        <v>10368</v>
      </c>
      <c r="AO26" s="15">
        <v>10374</v>
      </c>
      <c r="AP26" s="15">
        <v>10387</v>
      </c>
      <c r="AQ26" s="15">
        <v>10338</v>
      </c>
      <c r="AR26" s="15">
        <v>10374</v>
      </c>
      <c r="AS26" s="16">
        <v>4.7300000000000004</v>
      </c>
      <c r="AT26" s="16">
        <v>5.25</v>
      </c>
      <c r="AU26" s="16">
        <v>4.97</v>
      </c>
      <c r="AV26" s="16">
        <v>4.5599999999999996</v>
      </c>
      <c r="AW26" s="16">
        <v>4.53</v>
      </c>
      <c r="AX26" s="16">
        <v>5.13</v>
      </c>
      <c r="AY26" s="16">
        <v>4.74</v>
      </c>
      <c r="AZ26" s="16">
        <v>4.54</v>
      </c>
      <c r="BA26" s="16">
        <v>5.04</v>
      </c>
      <c r="BB26" s="16">
        <v>4.6500000000000004</v>
      </c>
      <c r="BC26" s="16">
        <v>5.08</v>
      </c>
      <c r="BD26" s="16">
        <v>5.09</v>
      </c>
      <c r="BE26" s="16">
        <v>5.15</v>
      </c>
      <c r="BF26" s="16">
        <v>6.01</v>
      </c>
      <c r="BG26" s="16">
        <v>4.79</v>
      </c>
      <c r="BH26" s="16">
        <v>4.63</v>
      </c>
      <c r="BI26" s="16">
        <v>4.4000000000000004</v>
      </c>
      <c r="BJ26" s="16">
        <v>4.6900000000000004</v>
      </c>
      <c r="BK26" s="16">
        <v>5.17</v>
      </c>
      <c r="BL26" s="16">
        <v>5.05</v>
      </c>
      <c r="BM26" s="16">
        <v>4.8</v>
      </c>
      <c r="BN26" s="16">
        <v>4.95</v>
      </c>
      <c r="BO26" s="16">
        <v>4.57</v>
      </c>
      <c r="BP26" s="16">
        <v>4.87</v>
      </c>
      <c r="BQ26" s="16">
        <v>4.67</v>
      </c>
      <c r="BR26" s="16">
        <v>4.45</v>
      </c>
      <c r="BS26" s="16">
        <v>4.4800000000000004</v>
      </c>
      <c r="BT26" s="16">
        <v>0</v>
      </c>
      <c r="BU26" s="16">
        <v>4.42</v>
      </c>
      <c r="BV26" s="16">
        <v>0</v>
      </c>
      <c r="BW26" s="16">
        <v>4.25</v>
      </c>
      <c r="BX26" s="16">
        <v>4.37</v>
      </c>
      <c r="BY26" s="16">
        <v>4.4800000000000004</v>
      </c>
      <c r="BZ26" s="16">
        <v>4.63</v>
      </c>
      <c r="CA26" s="16">
        <v>4.57</v>
      </c>
      <c r="CB26" s="16">
        <v>4.4400000000000004</v>
      </c>
      <c r="CC26" s="16">
        <v>4.53</v>
      </c>
      <c r="CD26" s="16">
        <v>4.53</v>
      </c>
      <c r="CE26" s="16">
        <v>4.67</v>
      </c>
      <c r="CF26" s="17">
        <f>SUM(Input_Raw[[#This Row],[G01]:[G40]])</f>
        <v>407326</v>
      </c>
      <c r="CG26" s="18">
        <f>IFERROR(AVERAGE(Input_Raw[[#This Row],[WS_G01]:[WS_G40]]),"")</f>
        <v>4.5097435897435885</v>
      </c>
      <c r="CH26" s="19"/>
      <c r="CI26" s="19"/>
      <c r="CJ26" s="15">
        <v>239083</v>
      </c>
      <c r="CK26" s="15">
        <v>2168</v>
      </c>
      <c r="CL26" s="15">
        <v>279232</v>
      </c>
      <c r="CM26" s="15">
        <v>2197</v>
      </c>
      <c r="CN26" s="15">
        <v>254995</v>
      </c>
      <c r="CO26" s="15">
        <v>1805</v>
      </c>
      <c r="CP26" s="15">
        <v>290634</v>
      </c>
      <c r="CQ26" s="15">
        <v>1849</v>
      </c>
      <c r="CR26" s="148">
        <f>IF(((Input_Raw[[#This Row],[33 kV_Wind_F1_Export reading]]-CJ25)*1200)&gt;0,(Input_Raw[[#This Row],[33 kV_Wind_F1_Export reading]]-CJ25)*1200,0)</f>
        <v>102000</v>
      </c>
      <c r="CS26" s="148">
        <f>IF(((Input_Raw[[#This Row],[33 kV_Wind_F1_Import reading]]-CK25)*1200)&gt;0,(Input_Raw[[#This Row],[33 kV_Wind_F1_Import reading]]-CK25)*1200,0)</f>
        <v>1200</v>
      </c>
      <c r="CT26" s="148">
        <f>IF(((Input_Raw[[#This Row],[33 kV_Wind_F2_Export_reading]]-CL25)*1200)&gt;0,(Input_Raw[[#This Row],[33 kV_Wind_F2_Export_reading]]-CL25)*1200,0)</f>
        <v>82800</v>
      </c>
      <c r="CU26" s="148">
        <f>IF(((Input_Raw[[#This Row],[33 kV_Wind_F2_Import_reading]]-CM25)*1200)&gt;0,(Input_Raw[[#This Row],[33 kV_Wind_F2_Import_reading]]-CM25)*1200,0)</f>
        <v>0</v>
      </c>
      <c r="CV26" s="148">
        <f>IF(((Input_Raw[[#This Row],[33 kV_Wind_F3_Export_Reading]]-CN25)*1200)&gt;0,(Input_Raw[[#This Row],[33 kV_Wind_F3_Export_Reading]]-CN25)*1200,0)</f>
        <v>110400</v>
      </c>
      <c r="CW26" s="148">
        <f>IF(((Input_Raw[[#This Row],[33 kV_Wind_F3_Import_Reading]]-CO25)*1200)&gt;0,(Input_Raw[[#This Row],[33 kV_Wind_F3_Import_Reading]]-CO25)*1200,0)</f>
        <v>1200</v>
      </c>
      <c r="CX26" s="148">
        <f>IF(((Input_Raw[[#This Row],[33 kV_Wind_F4_Export Reading]]-CP25)*1200)&gt;0,(Input_Raw[[#This Row],[33 kV_Wind_F4_Export Reading]]-CP25)*1200,0)</f>
        <v>110400</v>
      </c>
      <c r="CY26" s="148">
        <f>IF(((Input_Raw[[#This Row],[33 kV_Wind_F4_Import Reading]]-CQ25)*1200)&gt;0,(Input_Raw[[#This Row],[33 kV_Wind_F4_Import Reading]]-CQ25)*1200,0)</f>
        <v>0</v>
      </c>
      <c r="CZ26" s="148">
        <f>Input_Raw[[#This Row],[33 kV_F1_Total_Export (KWh)]]+Input_Raw[[#This Row],[33 kV_F2_Total_Export (KWh)2]]+Input_Raw[[#This Row],[33 kV_Wind_F3_Export (KWh)]]+Input_Raw[[#This Row],[33 kV_Wind_F4_Export (KWh)]]</f>
        <v>405600</v>
      </c>
      <c r="DA26" s="148">
        <f>Input_Raw[[#This Row],[33 kV_Wind_F1_Import (KWh)]]+Input_Raw[[#This Row],[33 kV_Wind_F2_Import (KWh)]]+Input_Raw[[#This Row],[33 kV_Wind_F3_Import (KWh)2]]+Input_Raw[[#This Row],[33 kV_Wind_F4_Import (KWh)2]]</f>
        <v>2400</v>
      </c>
      <c r="DB26" s="21">
        <f>IFERROR(1-Input_Raw[[#This Row],[33 kV_Wind_Total_Export (KWh)]]/Input_Raw[[#This Row],[WTG Total Gneration (KWh)]],0)</f>
        <v>4.2373921625430411E-3</v>
      </c>
      <c r="DC26" s="144">
        <v>96</v>
      </c>
      <c r="DD26" s="147">
        <v>87932</v>
      </c>
      <c r="DE26" s="163">
        <v>407.32</v>
      </c>
      <c r="DF26" s="160"/>
      <c r="DG26" s="162">
        <v>78</v>
      </c>
      <c r="DH26" s="280" t="s">
        <v>381</v>
      </c>
    </row>
    <row r="27" spans="1:112">
      <c r="A27" s="20">
        <f t="shared" si="3"/>
        <v>45767</v>
      </c>
      <c r="B27" s="12">
        <f>YEAR(Input_Raw[[#This Row],[Date]])+IF(MONTH(Input_Raw[[#This Row],[Date]])&gt;=4,1,0)</f>
        <v>2026</v>
      </c>
      <c r="C27" s="13">
        <f>YEAR(Input_Raw[[#This Row],[Date]])</f>
        <v>2025</v>
      </c>
      <c r="D27" s="14">
        <f t="shared" si="2"/>
        <v>45748</v>
      </c>
      <c r="E27" s="13">
        <f>DAY(EOMONTH(Input_Raw[[#This Row],[Date]],0))</f>
        <v>30</v>
      </c>
      <c r="F27" s="15">
        <v>20358</v>
      </c>
      <c r="G27" s="15">
        <v>20376</v>
      </c>
      <c r="H27" s="15">
        <v>20321</v>
      </c>
      <c r="I27" s="15">
        <v>19585</v>
      </c>
      <c r="J27" s="15">
        <v>20876</v>
      </c>
      <c r="K27" s="15">
        <v>20387</v>
      </c>
      <c r="L27" s="15">
        <v>20341</v>
      </c>
      <c r="M27" s="15">
        <v>20365</v>
      </c>
      <c r="N27" s="15">
        <v>21187</v>
      </c>
      <c r="O27" s="15">
        <v>20369</v>
      </c>
      <c r="P27" s="15">
        <v>20385</v>
      </c>
      <c r="Q27" s="15">
        <v>21179</v>
      </c>
      <c r="R27" s="15">
        <v>19457</v>
      </c>
      <c r="S27" s="15">
        <v>21178</v>
      </c>
      <c r="T27" s="15">
        <v>21190</v>
      </c>
      <c r="U27" s="15">
        <v>21179</v>
      </c>
      <c r="V27" s="15">
        <v>21187</v>
      </c>
      <c r="W27" s="15">
        <v>21185</v>
      </c>
      <c r="X27" s="15">
        <v>21189</v>
      </c>
      <c r="Y27" s="15">
        <v>21254</v>
      </c>
      <c r="Z27" s="15">
        <v>20854</v>
      </c>
      <c r="AA27" s="15">
        <v>20862</v>
      </c>
      <c r="AB27" s="15">
        <v>20832</v>
      </c>
      <c r="AC27" s="15">
        <v>20858</v>
      </c>
      <c r="AD27" s="15">
        <v>19245</v>
      </c>
      <c r="AE27" s="15">
        <v>20835</v>
      </c>
      <c r="AF27" s="15">
        <v>20863</v>
      </c>
      <c r="AG27" s="15">
        <v>0</v>
      </c>
      <c r="AH27" s="15">
        <v>20851</v>
      </c>
      <c r="AI27" s="15">
        <v>0</v>
      </c>
      <c r="AJ27" s="15">
        <v>19254</v>
      </c>
      <c r="AK27" s="15">
        <v>19276</v>
      </c>
      <c r="AL27" s="15">
        <v>19267</v>
      </c>
      <c r="AM27" s="15">
        <v>19259</v>
      </c>
      <c r="AN27" s="15">
        <v>19274</v>
      </c>
      <c r="AO27" s="15">
        <v>19248</v>
      </c>
      <c r="AP27" s="15">
        <v>19256</v>
      </c>
      <c r="AQ27" s="15">
        <v>19289</v>
      </c>
      <c r="AR27" s="15">
        <v>19228</v>
      </c>
      <c r="AS27" s="16">
        <v>7.13</v>
      </c>
      <c r="AT27" s="16">
        <v>7.22</v>
      </c>
      <c r="AU27" s="16">
        <v>7.2</v>
      </c>
      <c r="AV27" s="16">
        <v>7.2</v>
      </c>
      <c r="AW27" s="16">
        <v>6.86</v>
      </c>
      <c r="AX27" s="16">
        <v>6.84</v>
      </c>
      <c r="AY27" s="16">
        <v>7.63</v>
      </c>
      <c r="AZ27" s="16">
        <v>7.38</v>
      </c>
      <c r="BA27" s="16">
        <v>7.33</v>
      </c>
      <c r="BB27" s="16">
        <v>7.21</v>
      </c>
      <c r="BC27" s="16">
        <v>7.65</v>
      </c>
      <c r="BD27" s="16">
        <v>7.19</v>
      </c>
      <c r="BE27" s="16">
        <v>7.34</v>
      </c>
      <c r="BF27" s="16">
        <v>7.41</v>
      </c>
      <c r="BG27" s="16">
        <v>7.49</v>
      </c>
      <c r="BH27" s="16">
        <v>7.4</v>
      </c>
      <c r="BI27" s="16">
        <v>7.65</v>
      </c>
      <c r="BJ27" s="16">
        <v>7.28</v>
      </c>
      <c r="BK27" s="16">
        <v>8.0299999999999994</v>
      </c>
      <c r="BL27" s="16">
        <v>7.54</v>
      </c>
      <c r="BM27" s="16">
        <v>6.5</v>
      </c>
      <c r="BN27" s="16">
        <v>7.13</v>
      </c>
      <c r="BO27" s="16">
        <v>7.11</v>
      </c>
      <c r="BP27" s="16">
        <v>7.2</v>
      </c>
      <c r="BQ27" s="16">
        <v>6.69</v>
      </c>
      <c r="BR27" s="16">
        <v>6.89</v>
      </c>
      <c r="BS27" s="16">
        <v>6.85</v>
      </c>
      <c r="BT27" s="16">
        <v>0</v>
      </c>
      <c r="BU27" s="16">
        <v>7.3</v>
      </c>
      <c r="BV27" s="16">
        <v>0</v>
      </c>
      <c r="BW27" s="16">
        <v>6.26</v>
      </c>
      <c r="BX27" s="16">
        <v>6.56</v>
      </c>
      <c r="BY27" s="16">
        <v>6.37</v>
      </c>
      <c r="BZ27" s="16">
        <v>6.77</v>
      </c>
      <c r="CA27" s="16">
        <v>7.26</v>
      </c>
      <c r="CB27" s="16">
        <v>7.17</v>
      </c>
      <c r="CC27" s="16">
        <v>6.41</v>
      </c>
      <c r="CD27" s="16">
        <v>6.12</v>
      </c>
      <c r="CE27" s="16">
        <v>6.55</v>
      </c>
      <c r="CF27" s="17">
        <f>SUM(Input_Raw[[#This Row],[G01]:[G40]])</f>
        <v>752099</v>
      </c>
      <c r="CG27" s="18">
        <f>IFERROR(AVERAGE(Input_Raw[[#This Row],[WS_G01]:[WS_G40]]),"")</f>
        <v>6.7210256410256397</v>
      </c>
      <c r="CH27" s="19"/>
      <c r="CI27" s="19"/>
      <c r="CJ27" s="15">
        <v>239243</v>
      </c>
      <c r="CK27" s="15">
        <v>2168</v>
      </c>
      <c r="CL27" s="15">
        <v>279371</v>
      </c>
      <c r="CM27" s="15">
        <v>2197</v>
      </c>
      <c r="CN27" s="15">
        <v>255147</v>
      </c>
      <c r="CO27" s="15">
        <v>1805</v>
      </c>
      <c r="CP27" s="15">
        <v>290809</v>
      </c>
      <c r="CQ27" s="15">
        <v>1849</v>
      </c>
      <c r="CR27" s="148">
        <f>IF(((Input_Raw[[#This Row],[33 kV_Wind_F1_Export reading]]-CJ26)*1200)&gt;0,(Input_Raw[[#This Row],[33 kV_Wind_F1_Export reading]]-CJ26)*1200,0)</f>
        <v>192000</v>
      </c>
      <c r="CS27" s="148">
        <f>IF(((Input_Raw[[#This Row],[33 kV_Wind_F1_Import reading]]-CK26)*1200)&gt;0,(Input_Raw[[#This Row],[33 kV_Wind_F1_Import reading]]-CK26)*1200,0)</f>
        <v>0</v>
      </c>
      <c r="CT27" s="148">
        <f>IF(((Input_Raw[[#This Row],[33 kV_Wind_F2_Export_reading]]-CL26)*1200)&gt;0,(Input_Raw[[#This Row],[33 kV_Wind_F2_Export_reading]]-CL26)*1200,0)</f>
        <v>166800</v>
      </c>
      <c r="CU27" s="148">
        <f>IF(((Input_Raw[[#This Row],[33 kV_Wind_F2_Import_reading]]-CM26)*1200)&gt;0,(Input_Raw[[#This Row],[33 kV_Wind_F2_Import_reading]]-CM26)*1200,0)</f>
        <v>0</v>
      </c>
      <c r="CV27" s="148">
        <f>IF(((Input_Raw[[#This Row],[33 kV_Wind_F3_Export_Reading]]-CN26)*1200)&gt;0,(Input_Raw[[#This Row],[33 kV_Wind_F3_Export_Reading]]-CN26)*1200,0)</f>
        <v>182400</v>
      </c>
      <c r="CW27" s="148">
        <f>IF(((Input_Raw[[#This Row],[33 kV_Wind_F3_Import_Reading]]-CO26)*1200)&gt;0,(Input_Raw[[#This Row],[33 kV_Wind_F3_Import_Reading]]-CO26)*1200,0)</f>
        <v>0</v>
      </c>
      <c r="CX27" s="148">
        <f>IF(((Input_Raw[[#This Row],[33 kV_Wind_F4_Export Reading]]-CP26)*1200)&gt;0,(Input_Raw[[#This Row],[33 kV_Wind_F4_Export Reading]]-CP26)*1200,0)</f>
        <v>210000</v>
      </c>
      <c r="CY27" s="148">
        <f>IF(((Input_Raw[[#This Row],[33 kV_Wind_F4_Import Reading]]-CQ26)*1200)&gt;0,(Input_Raw[[#This Row],[33 kV_Wind_F4_Import Reading]]-CQ26)*1200,0)</f>
        <v>0</v>
      </c>
      <c r="CZ27" s="148">
        <f>Input_Raw[[#This Row],[33 kV_F1_Total_Export (KWh)]]+Input_Raw[[#This Row],[33 kV_F2_Total_Export (KWh)2]]+Input_Raw[[#This Row],[33 kV_Wind_F3_Export (KWh)]]+Input_Raw[[#This Row],[33 kV_Wind_F4_Export (KWh)]]</f>
        <v>751200</v>
      </c>
      <c r="DA27" s="148">
        <f>Input_Raw[[#This Row],[33 kV_Wind_F1_Import (KWh)]]+Input_Raw[[#This Row],[33 kV_Wind_F2_Import (KWh)]]+Input_Raw[[#This Row],[33 kV_Wind_F3_Import (KWh)2]]+Input_Raw[[#This Row],[33 kV_Wind_F4_Import (KWh)2]]</f>
        <v>0</v>
      </c>
      <c r="DB27" s="21">
        <f>IFERROR(1-Input_Raw[[#This Row],[33 kV_Wind_Total_Export (KWh)]]/Input_Raw[[#This Row],[WTG Total Gneration (KWh)]],0)</f>
        <v>1.1953213606187285E-3</v>
      </c>
      <c r="DC27" s="144">
        <v>96</v>
      </c>
      <c r="DD27" s="147">
        <v>191708</v>
      </c>
      <c r="DE27" s="163">
        <v>752.09</v>
      </c>
      <c r="DF27" s="160"/>
      <c r="DG27" s="162">
        <v>78</v>
      </c>
      <c r="DH27" s="280" t="s">
        <v>381</v>
      </c>
    </row>
    <row r="28" spans="1:112">
      <c r="A28" s="20">
        <f t="shared" si="3"/>
        <v>45768</v>
      </c>
      <c r="B28" s="12">
        <f>YEAR(Input_Raw[[#This Row],[Date]])+IF(MONTH(Input_Raw[[#This Row],[Date]])&gt;=4,1,0)</f>
        <v>2026</v>
      </c>
      <c r="C28" s="13">
        <f>YEAR(Input_Raw[[#This Row],[Date]])</f>
        <v>2025</v>
      </c>
      <c r="D28" s="14">
        <f t="shared" si="2"/>
        <v>45748</v>
      </c>
      <c r="E28" s="13">
        <f>DAY(EOMONTH(Input_Raw[[#This Row],[Date]],0))</f>
        <v>30</v>
      </c>
      <c r="F28" s="15">
        <v>8279</v>
      </c>
      <c r="G28" s="15">
        <v>8290</v>
      </c>
      <c r="H28" s="15">
        <v>8289</v>
      </c>
      <c r="I28" s="15">
        <v>8278</v>
      </c>
      <c r="J28" s="15">
        <v>8013</v>
      </c>
      <c r="K28" s="15">
        <v>8268</v>
      </c>
      <c r="L28" s="15">
        <v>8242</v>
      </c>
      <c r="M28" s="15">
        <v>8281</v>
      </c>
      <c r="N28" s="15">
        <v>7742</v>
      </c>
      <c r="O28" s="15">
        <v>8284</v>
      </c>
      <c r="P28" s="15">
        <v>8295</v>
      </c>
      <c r="Q28" s="15">
        <v>7748</v>
      </c>
      <c r="R28" s="15">
        <v>7732</v>
      </c>
      <c r="S28" s="15">
        <v>7753</v>
      </c>
      <c r="T28" s="15">
        <v>7759</v>
      </c>
      <c r="U28" s="15">
        <v>6349</v>
      </c>
      <c r="V28" s="15">
        <v>7749</v>
      </c>
      <c r="W28" s="15">
        <v>7736</v>
      </c>
      <c r="X28" s="15">
        <v>7782</v>
      </c>
      <c r="Y28" s="145">
        <v>7793</v>
      </c>
      <c r="Z28" s="15">
        <v>8051</v>
      </c>
      <c r="AA28" s="15">
        <v>8057</v>
      </c>
      <c r="AB28" s="15">
        <v>8003</v>
      </c>
      <c r="AC28" s="15">
        <v>8042</v>
      </c>
      <c r="AD28" s="15">
        <v>8284</v>
      </c>
      <c r="AE28" s="15">
        <v>8073</v>
      </c>
      <c r="AF28" s="15">
        <v>8034</v>
      </c>
      <c r="AG28" s="15">
        <v>0</v>
      </c>
      <c r="AH28" s="15">
        <v>8055</v>
      </c>
      <c r="AI28" s="15">
        <v>0</v>
      </c>
      <c r="AJ28" s="15">
        <v>8241</v>
      </c>
      <c r="AK28" s="15">
        <v>8417</v>
      </c>
      <c r="AL28" s="15">
        <v>8486</v>
      </c>
      <c r="AM28" s="15">
        <v>8494</v>
      </c>
      <c r="AN28" s="15">
        <v>8496</v>
      </c>
      <c r="AO28" s="15">
        <v>8452</v>
      </c>
      <c r="AP28" s="15">
        <v>8467</v>
      </c>
      <c r="AQ28" s="15">
        <v>8463</v>
      </c>
      <c r="AR28" s="15">
        <v>8257</v>
      </c>
      <c r="AS28" s="146">
        <v>5.8621319444444415</v>
      </c>
      <c r="AT28" s="16">
        <v>6.3055555555555545</v>
      </c>
      <c r="AU28" s="16">
        <v>5.2876624999999988</v>
      </c>
      <c r="AV28" s="16">
        <v>5.3705000000000007</v>
      </c>
      <c r="AW28" s="16">
        <v>5.0465361111111111</v>
      </c>
      <c r="AX28" s="16">
        <v>5.8957361111111117</v>
      </c>
      <c r="AY28" s="16">
        <v>5.8957361111111117</v>
      </c>
      <c r="AZ28" s="16">
        <v>5.8117013888888884</v>
      </c>
      <c r="BA28" s="16">
        <v>6.2648402777777781</v>
      </c>
      <c r="BB28" s="16">
        <v>4.8664374999999991</v>
      </c>
      <c r="BC28" s="16">
        <v>5.6271666666666667</v>
      </c>
      <c r="BD28" s="16">
        <v>5.7042083333333338</v>
      </c>
      <c r="BE28" s="16">
        <v>5.521229166666668</v>
      </c>
      <c r="BF28" s="16">
        <v>5.7344027777777802</v>
      </c>
      <c r="BG28" s="16">
        <v>6.0184652777777803</v>
      </c>
      <c r="BH28" s="16">
        <v>5.5627708333333317</v>
      </c>
      <c r="BI28" s="16">
        <v>6.2912430555555545</v>
      </c>
      <c r="BJ28" s="16">
        <v>5.945188888888886</v>
      </c>
      <c r="BK28" s="16">
        <v>6.109395833333334</v>
      </c>
      <c r="BL28" s="16">
        <v>6.4610694444444432</v>
      </c>
      <c r="BM28" s="16">
        <v>5.9728426086956548</v>
      </c>
      <c r="BN28" s="16">
        <v>4.9143090909090903</v>
      </c>
      <c r="BO28" s="16">
        <v>5.1144638888888885</v>
      </c>
      <c r="BP28" s="16">
        <v>5.3359777777777788</v>
      </c>
      <c r="BQ28" s="16">
        <v>5.0754985294117674</v>
      </c>
      <c r="BR28" s="16">
        <v>5.3434958333333338</v>
      </c>
      <c r="BS28" s="16">
        <v>5.0553076388888858</v>
      </c>
      <c r="BT28" s="16">
        <v>0</v>
      </c>
      <c r="BU28" s="16">
        <v>5</v>
      </c>
      <c r="BV28" s="16">
        <v>0</v>
      </c>
      <c r="BW28" s="16">
        <v>4.9429823529411756</v>
      </c>
      <c r="BX28" s="16">
        <v>4.9764632352941165</v>
      </c>
      <c r="BY28" s="16">
        <v>5.2576333333333336</v>
      </c>
      <c r="BZ28" s="16">
        <v>5.670325663716814</v>
      </c>
      <c r="CA28" s="16">
        <v>5.5863234234234236</v>
      </c>
      <c r="CB28" s="16">
        <v>5.4673336283185847</v>
      </c>
      <c r="CC28" s="16">
        <v>5.2683985294117646</v>
      </c>
      <c r="CD28" s="16">
        <v>5.2848022058823538</v>
      </c>
      <c r="CE28" s="16">
        <v>5.2838499999999984</v>
      </c>
      <c r="CF28" s="17">
        <f>SUM(Input_Raw[[#This Row],[G01]:[G40]])</f>
        <v>299034</v>
      </c>
      <c r="CG28" s="18">
        <f>IFERROR(AVERAGE(Input_Raw[[#This Row],[WS_G01]:[WS_G40]]),"")</f>
        <v>5.25979450046166</v>
      </c>
      <c r="CH28" s="19"/>
      <c r="CI28" s="19"/>
      <c r="CJ28" s="15">
        <v>239312</v>
      </c>
      <c r="CK28" s="15">
        <v>2169</v>
      </c>
      <c r="CL28" s="15">
        <v>279424</v>
      </c>
      <c r="CM28" s="15">
        <v>2198</v>
      </c>
      <c r="CN28" s="15">
        <v>255208</v>
      </c>
      <c r="CO28" s="15">
        <v>1805</v>
      </c>
      <c r="CP28" s="15">
        <v>290869</v>
      </c>
      <c r="CQ28" s="15">
        <v>1849</v>
      </c>
      <c r="CR28" s="148">
        <f>IF(((Input_Raw[[#This Row],[33 kV_Wind_F1_Export reading]]-CJ27)*1200)&gt;0,(Input_Raw[[#This Row],[33 kV_Wind_F1_Export reading]]-CJ27)*1200,0)</f>
        <v>82800</v>
      </c>
      <c r="CS28" s="148">
        <f>IF(((Input_Raw[[#This Row],[33 kV_Wind_F1_Import reading]]-CK27)*1200)&gt;0,(Input_Raw[[#This Row],[33 kV_Wind_F1_Import reading]]-CK27)*1200,0)</f>
        <v>1200</v>
      </c>
      <c r="CT28" s="148">
        <f>IF(((Input_Raw[[#This Row],[33 kV_Wind_F2_Export_reading]]-CL27)*1200)&gt;0,(Input_Raw[[#This Row],[33 kV_Wind_F2_Export_reading]]-CL27)*1200,0)</f>
        <v>63600</v>
      </c>
      <c r="CU28" s="148">
        <f>IF(((Input_Raw[[#This Row],[33 kV_Wind_F2_Import_reading]]-CM27)*1200)&gt;0,(Input_Raw[[#This Row],[33 kV_Wind_F2_Import_reading]]-CM27)*1200,0)</f>
        <v>1200</v>
      </c>
      <c r="CV28" s="148">
        <f>IF(((Input_Raw[[#This Row],[33 kV_Wind_F3_Export_Reading]]-CN27)*1200)&gt;0,(Input_Raw[[#This Row],[33 kV_Wind_F3_Export_Reading]]-CN27)*1200,0)</f>
        <v>73200</v>
      </c>
      <c r="CW28" s="148">
        <f>IF(((Input_Raw[[#This Row],[33 kV_Wind_F3_Import_Reading]]-CO27)*1200)&gt;0,(Input_Raw[[#This Row],[33 kV_Wind_F3_Import_Reading]]-CO27)*1200,0)</f>
        <v>0</v>
      </c>
      <c r="CX28" s="148">
        <f>IF(((Input_Raw[[#This Row],[33 kV_Wind_F4_Export Reading]]-CP27)*1200)&gt;0,(Input_Raw[[#This Row],[33 kV_Wind_F4_Export Reading]]-CP27)*1200,0)</f>
        <v>72000</v>
      </c>
      <c r="CY28" s="148">
        <f>IF(((Input_Raw[[#This Row],[33 kV_Wind_F4_Import Reading]]-CQ27)*1200)&gt;0,(Input_Raw[[#This Row],[33 kV_Wind_F4_Import Reading]]-CQ27)*1200,0)</f>
        <v>0</v>
      </c>
      <c r="CZ28" s="148">
        <f>Input_Raw[[#This Row],[33 kV_F1_Total_Export (KWh)]]+Input_Raw[[#This Row],[33 kV_F2_Total_Export (KWh)2]]+Input_Raw[[#This Row],[33 kV_Wind_F3_Export (KWh)]]+Input_Raw[[#This Row],[33 kV_Wind_F4_Export (KWh)]]</f>
        <v>291600</v>
      </c>
      <c r="DA28" s="148">
        <f>Input_Raw[[#This Row],[33 kV_Wind_F1_Import (KWh)]]+Input_Raw[[#This Row],[33 kV_Wind_F2_Import (KWh)]]+Input_Raw[[#This Row],[33 kV_Wind_F3_Import (KWh)2]]+Input_Raw[[#This Row],[33 kV_Wind_F4_Import (KWh)2]]</f>
        <v>2400</v>
      </c>
      <c r="DB28" s="21">
        <f>IFERROR(1-Input_Raw[[#This Row],[33 kV_Wind_Total_Export (KWh)]]/Input_Raw[[#This Row],[WTG Total Gneration (KWh)]],0)</f>
        <v>2.4860049358935821E-2</v>
      </c>
      <c r="DC28" s="144">
        <v>95</v>
      </c>
      <c r="DD28" s="147">
        <v>78346</v>
      </c>
      <c r="DE28" s="163">
        <v>299.02999999999997</v>
      </c>
      <c r="DF28" s="160"/>
      <c r="DG28" s="162">
        <v>78</v>
      </c>
      <c r="DH28" s="280" t="s">
        <v>381</v>
      </c>
    </row>
    <row r="29" spans="1:112">
      <c r="A29" s="20">
        <f t="shared" si="3"/>
        <v>45769</v>
      </c>
      <c r="B29" s="12">
        <f>YEAR(Input_Raw[[#This Row],[Date]])+IF(MONTH(Input_Raw[[#This Row],[Date]])&gt;=4,1,0)</f>
        <v>2026</v>
      </c>
      <c r="C29" s="13">
        <f>YEAR(Input_Raw[[#This Row],[Date]])</f>
        <v>2025</v>
      </c>
      <c r="D29" s="14">
        <f t="shared" si="2"/>
        <v>45748</v>
      </c>
      <c r="E29" s="13">
        <f>DAY(EOMONTH(Input_Raw[[#This Row],[Date]],0))</f>
        <v>30</v>
      </c>
      <c r="F29" s="15">
        <v>4363</v>
      </c>
      <c r="G29" s="15">
        <v>4335</v>
      </c>
      <c r="H29" s="15">
        <v>4367</v>
      </c>
      <c r="I29" s="15">
        <v>4342</v>
      </c>
      <c r="J29" s="15">
        <v>6344</v>
      </c>
      <c r="K29" s="15">
        <v>4051</v>
      </c>
      <c r="L29" s="15">
        <v>4375</v>
      </c>
      <c r="M29" s="15">
        <v>4365</v>
      </c>
      <c r="N29" s="15">
        <v>6342</v>
      </c>
      <c r="O29" s="15">
        <v>4379</v>
      </c>
      <c r="P29" s="15">
        <v>4395</v>
      </c>
      <c r="Q29" s="15">
        <v>6356</v>
      </c>
      <c r="R29" s="15">
        <v>5538</v>
      </c>
      <c r="S29" s="15">
        <v>6342</v>
      </c>
      <c r="T29" s="15">
        <v>6367</v>
      </c>
      <c r="U29" s="15">
        <v>6321</v>
      </c>
      <c r="V29" s="15">
        <v>6376</v>
      </c>
      <c r="W29" s="15">
        <v>6372</v>
      </c>
      <c r="X29" s="15">
        <v>6398</v>
      </c>
      <c r="Y29" s="15">
        <v>6392</v>
      </c>
      <c r="Z29" s="15">
        <v>6356</v>
      </c>
      <c r="AA29" s="15">
        <v>5989</v>
      </c>
      <c r="AB29" s="15">
        <v>6347</v>
      </c>
      <c r="AC29" s="15">
        <v>6375</v>
      </c>
      <c r="AD29" s="145">
        <v>6450</v>
      </c>
      <c r="AE29" s="15">
        <v>6358</v>
      </c>
      <c r="AF29" s="15">
        <v>6332</v>
      </c>
      <c r="AG29" s="15">
        <v>0</v>
      </c>
      <c r="AH29" s="15">
        <v>6349</v>
      </c>
      <c r="AI29" s="15">
        <v>0</v>
      </c>
      <c r="AJ29" s="15">
        <v>5579</v>
      </c>
      <c r="AK29" s="15">
        <v>5595</v>
      </c>
      <c r="AL29" s="15">
        <v>6487</v>
      </c>
      <c r="AM29" s="15">
        <v>6431</v>
      </c>
      <c r="AN29" s="15">
        <v>6458</v>
      </c>
      <c r="AO29" s="15">
        <v>6435</v>
      </c>
      <c r="AP29" s="15">
        <v>6479</v>
      </c>
      <c r="AQ29" s="15">
        <v>6482</v>
      </c>
      <c r="AR29" s="15">
        <v>6474</v>
      </c>
      <c r="AS29" s="16">
        <v>4.58</v>
      </c>
      <c r="AT29" s="16">
        <v>4.46</v>
      </c>
      <c r="AU29" s="16">
        <v>3.97</v>
      </c>
      <c r="AV29" s="16">
        <v>4.1500000000000004</v>
      </c>
      <c r="AW29" s="16">
        <v>3.78</v>
      </c>
      <c r="AX29" s="16">
        <v>4.38</v>
      </c>
      <c r="AY29" s="16">
        <v>4.4000000000000004</v>
      </c>
      <c r="AZ29" s="16">
        <v>4.13</v>
      </c>
      <c r="BA29" s="16">
        <v>4.08</v>
      </c>
      <c r="BB29" s="16">
        <v>3.95</v>
      </c>
      <c r="BC29" s="16">
        <v>4.01</v>
      </c>
      <c r="BD29" s="16">
        <v>4.04</v>
      </c>
      <c r="BE29" s="16">
        <v>3.98</v>
      </c>
      <c r="BF29" s="16">
        <v>3.84</v>
      </c>
      <c r="BG29" s="16">
        <v>3.92</v>
      </c>
      <c r="BH29" s="16">
        <v>3.95</v>
      </c>
      <c r="BI29" s="16">
        <v>4.1500000000000004</v>
      </c>
      <c r="BJ29" s="16">
        <v>4.01</v>
      </c>
      <c r="BK29" s="16">
        <v>3.99</v>
      </c>
      <c r="BL29" s="16">
        <v>4.01</v>
      </c>
      <c r="BM29" s="16">
        <v>3.76</v>
      </c>
      <c r="BN29" s="16">
        <v>3.87</v>
      </c>
      <c r="BO29" s="16">
        <v>3.95</v>
      </c>
      <c r="BP29" s="16">
        <v>4.26</v>
      </c>
      <c r="BQ29" s="16">
        <v>4.2</v>
      </c>
      <c r="BR29" s="16">
        <v>4.22</v>
      </c>
      <c r="BS29" s="16">
        <v>4.21</v>
      </c>
      <c r="BT29" s="16">
        <v>0</v>
      </c>
      <c r="BU29" s="16">
        <v>5.44</v>
      </c>
      <c r="BV29" s="16">
        <v>0</v>
      </c>
      <c r="BW29" s="16">
        <v>4.17</v>
      </c>
      <c r="BX29" s="16">
        <v>4.1500000000000004</v>
      </c>
      <c r="BY29" s="16">
        <v>4.32</v>
      </c>
      <c r="BZ29" s="16">
        <v>4.55</v>
      </c>
      <c r="CA29" s="16">
        <v>6.32</v>
      </c>
      <c r="CB29" s="16">
        <v>4.45</v>
      </c>
      <c r="CC29" s="16">
        <v>4.87</v>
      </c>
      <c r="CD29" s="16">
        <v>4.3099999999999996</v>
      </c>
      <c r="CE29" s="16">
        <v>5.39</v>
      </c>
      <c r="CF29" s="17">
        <f>SUM(Input_Raw[[#This Row],[G01]:[G40]])</f>
        <v>215096</v>
      </c>
      <c r="CG29" s="18">
        <f>IFERROR(AVERAGE(Input_Raw[[#This Row],[WS_G01]:[WS_G40]]),"")</f>
        <v>4.056923076923078</v>
      </c>
      <c r="CH29" s="19"/>
      <c r="CI29" s="19"/>
      <c r="CJ29" s="15">
        <v>239364</v>
      </c>
      <c r="CK29" s="15">
        <v>2169</v>
      </c>
      <c r="CL29" s="15">
        <v>279466</v>
      </c>
      <c r="CM29" s="15">
        <v>2198</v>
      </c>
      <c r="CN29" s="15">
        <v>255240</v>
      </c>
      <c r="CO29" s="15">
        <v>1805</v>
      </c>
      <c r="CP29" s="15">
        <v>290921</v>
      </c>
      <c r="CQ29" s="15">
        <v>1850</v>
      </c>
      <c r="CR29" s="148">
        <f>IF(((Input_Raw[[#This Row],[33 kV_Wind_F1_Export reading]]-CJ28)*1200)&gt;0,(Input_Raw[[#This Row],[33 kV_Wind_F1_Export reading]]-CJ28)*1200,0)</f>
        <v>62400</v>
      </c>
      <c r="CS29" s="148">
        <f>IF(((Input_Raw[[#This Row],[33 kV_Wind_F1_Import reading]]-CK28)*1200)&gt;0,(Input_Raw[[#This Row],[33 kV_Wind_F1_Import reading]]-CK28)*1200,0)</f>
        <v>0</v>
      </c>
      <c r="CT29" s="148">
        <f>IF(((Input_Raw[[#This Row],[33 kV_Wind_F2_Export_reading]]-CL28)*1200)&gt;0,(Input_Raw[[#This Row],[33 kV_Wind_F2_Export_reading]]-CL28)*1200,0)</f>
        <v>50400</v>
      </c>
      <c r="CU29" s="148">
        <f>IF(((Input_Raw[[#This Row],[33 kV_Wind_F2_Import_reading]]-CM28)*1200)&gt;0,(Input_Raw[[#This Row],[33 kV_Wind_F2_Import_reading]]-CM28)*1200,0)</f>
        <v>0</v>
      </c>
      <c r="CV29" s="148">
        <f>IF(((Input_Raw[[#This Row],[33 kV_Wind_F3_Export_Reading]]-CN28)*1200)&gt;0,(Input_Raw[[#This Row],[33 kV_Wind_F3_Export_Reading]]-CN28)*1200,0)</f>
        <v>38400</v>
      </c>
      <c r="CW29" s="148">
        <f>IF(((Input_Raw[[#This Row],[33 kV_Wind_F3_Import_Reading]]-CO28)*1200)&gt;0,(Input_Raw[[#This Row],[33 kV_Wind_F3_Import_Reading]]-CO28)*1200,0)</f>
        <v>0</v>
      </c>
      <c r="CX29" s="148">
        <f>IF(((Input_Raw[[#This Row],[33 kV_Wind_F4_Export Reading]]-CP28)*1200)&gt;0,(Input_Raw[[#This Row],[33 kV_Wind_F4_Export Reading]]-CP28)*1200,0)</f>
        <v>62400</v>
      </c>
      <c r="CY29" s="148">
        <f>IF(((Input_Raw[[#This Row],[33 kV_Wind_F4_Import Reading]]-CQ28)*1200)&gt;0,(Input_Raw[[#This Row],[33 kV_Wind_F4_Import Reading]]-CQ28)*1200,0)</f>
        <v>1200</v>
      </c>
      <c r="CZ29" s="148">
        <f>Input_Raw[[#This Row],[33 kV_F1_Total_Export (KWh)]]+Input_Raw[[#This Row],[33 kV_F2_Total_Export (KWh)2]]+Input_Raw[[#This Row],[33 kV_Wind_F3_Export (KWh)]]+Input_Raw[[#This Row],[33 kV_Wind_F4_Export (KWh)]]</f>
        <v>213600</v>
      </c>
      <c r="DA29" s="148">
        <f>Input_Raw[[#This Row],[33 kV_Wind_F1_Import (KWh)]]+Input_Raw[[#This Row],[33 kV_Wind_F2_Import (KWh)]]+Input_Raw[[#This Row],[33 kV_Wind_F3_Import (KWh)2]]+Input_Raw[[#This Row],[33 kV_Wind_F4_Import (KWh)2]]</f>
        <v>1200</v>
      </c>
      <c r="DB29" s="21">
        <f>IFERROR(1-Input_Raw[[#This Row],[33 kV_Wind_Total_Export (KWh)]]/Input_Raw[[#This Row],[WTG Total Gneration (KWh)]],0)</f>
        <v>6.955034031316254E-3</v>
      </c>
      <c r="DC29" s="144">
        <v>96</v>
      </c>
      <c r="DD29" s="147">
        <v>29652</v>
      </c>
      <c r="DE29" s="163">
        <v>215.09</v>
      </c>
      <c r="DF29" s="160"/>
      <c r="DG29" s="162">
        <v>78</v>
      </c>
      <c r="DH29" s="280" t="s">
        <v>381</v>
      </c>
    </row>
    <row r="30" spans="1:112">
      <c r="A30" s="20">
        <f t="shared" si="3"/>
        <v>45770</v>
      </c>
      <c r="B30" s="12">
        <f>YEAR(Input_Raw[[#This Row],[Date]])+IF(MONTH(Input_Raw[[#This Row],[Date]])&gt;=4,1,0)</f>
        <v>2026</v>
      </c>
      <c r="C30" s="13">
        <f>YEAR(Input_Raw[[#This Row],[Date]])</f>
        <v>2025</v>
      </c>
      <c r="D30" s="14">
        <f t="shared" si="2"/>
        <v>45748</v>
      </c>
      <c r="E30" s="13">
        <f>DAY(EOMONTH(Input_Raw[[#This Row],[Date]],0))</f>
        <v>30</v>
      </c>
      <c r="F30" s="15">
        <v>3742</v>
      </c>
      <c r="G30" s="15">
        <v>3758</v>
      </c>
      <c r="H30" s="15">
        <v>3745</v>
      </c>
      <c r="I30" s="15">
        <v>3742</v>
      </c>
      <c r="J30" s="15">
        <v>3153</v>
      </c>
      <c r="K30" s="15">
        <v>3164</v>
      </c>
      <c r="L30" s="15">
        <v>3746</v>
      </c>
      <c r="M30" s="15">
        <v>3789</v>
      </c>
      <c r="N30" s="15">
        <v>3923</v>
      </c>
      <c r="O30" s="15">
        <v>3754</v>
      </c>
      <c r="P30" s="15">
        <v>3784</v>
      </c>
      <c r="Q30" s="15">
        <v>3942</v>
      </c>
      <c r="R30" s="15">
        <v>3956</v>
      </c>
      <c r="S30" s="15">
        <v>3932</v>
      </c>
      <c r="T30" s="15">
        <v>3951</v>
      </c>
      <c r="U30" s="15">
        <v>3956</v>
      </c>
      <c r="V30" s="15">
        <v>3973</v>
      </c>
      <c r="W30" s="15">
        <v>3957</v>
      </c>
      <c r="X30" s="15">
        <v>3521</v>
      </c>
      <c r="Y30" s="15">
        <v>3989</v>
      </c>
      <c r="Z30" s="15">
        <v>3158</v>
      </c>
      <c r="AA30" s="15">
        <v>3021</v>
      </c>
      <c r="AB30" s="15">
        <v>3153</v>
      </c>
      <c r="AC30" s="15">
        <v>2680</v>
      </c>
      <c r="AD30" s="15">
        <v>3102</v>
      </c>
      <c r="AE30" s="15">
        <v>3157</v>
      </c>
      <c r="AF30" s="15">
        <v>3178</v>
      </c>
      <c r="AG30" s="15">
        <v>0</v>
      </c>
      <c r="AH30" s="15">
        <v>3167</v>
      </c>
      <c r="AI30" s="15">
        <v>0</v>
      </c>
      <c r="AJ30" s="15">
        <v>2859</v>
      </c>
      <c r="AK30" s="15">
        <v>3123</v>
      </c>
      <c r="AL30" s="15">
        <v>3124</v>
      </c>
      <c r="AM30" s="15">
        <v>3154</v>
      </c>
      <c r="AN30" s="15">
        <v>3157</v>
      </c>
      <c r="AO30" s="15">
        <v>3185</v>
      </c>
      <c r="AP30" s="15">
        <v>3136</v>
      </c>
      <c r="AQ30" s="15">
        <v>3174</v>
      </c>
      <c r="AR30" s="15">
        <v>3162</v>
      </c>
      <c r="AS30" s="16">
        <v>3.93</v>
      </c>
      <c r="AT30" s="16">
        <v>3.99</v>
      </c>
      <c r="AU30" s="16">
        <v>3.9</v>
      </c>
      <c r="AV30" s="16">
        <v>3.78</v>
      </c>
      <c r="AW30" s="16">
        <v>3.4</v>
      </c>
      <c r="AX30" s="16">
        <v>4.13</v>
      </c>
      <c r="AY30" s="16">
        <v>3.8</v>
      </c>
      <c r="AZ30" s="16">
        <v>3.5</v>
      </c>
      <c r="BA30" s="16">
        <v>3.76</v>
      </c>
      <c r="BB30" s="16">
        <v>3.86</v>
      </c>
      <c r="BC30" s="16">
        <v>4.0599999999999996</v>
      </c>
      <c r="BD30" s="16">
        <v>3.98</v>
      </c>
      <c r="BE30" s="16">
        <v>4.04</v>
      </c>
      <c r="BF30" s="16">
        <v>4.03</v>
      </c>
      <c r="BG30" s="16">
        <v>3.88</v>
      </c>
      <c r="BH30" s="16">
        <v>3.99</v>
      </c>
      <c r="BI30" s="16">
        <v>3.41</v>
      </c>
      <c r="BJ30" s="16">
        <v>4.09</v>
      </c>
      <c r="BK30" s="16">
        <v>4.29</v>
      </c>
      <c r="BL30" s="16">
        <v>4.0599999999999996</v>
      </c>
      <c r="BM30" s="16">
        <v>3.02</v>
      </c>
      <c r="BN30" s="16">
        <v>3.75</v>
      </c>
      <c r="BO30" s="16">
        <v>3.14</v>
      </c>
      <c r="BP30" s="16">
        <v>3.53</v>
      </c>
      <c r="BQ30" s="16">
        <v>3.01</v>
      </c>
      <c r="BR30" s="16">
        <v>3.42</v>
      </c>
      <c r="BS30" s="16">
        <v>3.48</v>
      </c>
      <c r="BT30" s="16">
        <v>0</v>
      </c>
      <c r="BU30" s="16">
        <v>3.31</v>
      </c>
      <c r="BV30" s="16">
        <v>0</v>
      </c>
      <c r="BW30" s="16">
        <v>3.29</v>
      </c>
      <c r="BX30" s="16">
        <v>3.51</v>
      </c>
      <c r="BY30" s="16">
        <v>3.38</v>
      </c>
      <c r="BZ30" s="16">
        <v>3.42</v>
      </c>
      <c r="CA30" s="16">
        <v>3.69</v>
      </c>
      <c r="CB30" s="16">
        <v>3.98</v>
      </c>
      <c r="CC30" s="16">
        <v>3.43</v>
      </c>
      <c r="CD30" s="16">
        <v>3.41</v>
      </c>
      <c r="CE30" s="16">
        <v>3.47</v>
      </c>
      <c r="CF30" s="17">
        <f>SUM(Input_Raw[[#This Row],[G01]:[G40]])</f>
        <v>128167</v>
      </c>
      <c r="CG30" s="18">
        <f>IFERROR(AVERAGE(Input_Raw[[#This Row],[WS_G01]:[WS_G40]]),"")</f>
        <v>3.4902564102564111</v>
      </c>
      <c r="CH30" s="19"/>
      <c r="CI30" s="19"/>
      <c r="CJ30" s="15">
        <v>239389</v>
      </c>
      <c r="CK30" s="15">
        <v>2170</v>
      </c>
      <c r="CL30" s="15">
        <v>279486</v>
      </c>
      <c r="CM30" s="15">
        <v>2199</v>
      </c>
      <c r="CN30" s="15">
        <v>255268</v>
      </c>
      <c r="CO30" s="15">
        <v>1806</v>
      </c>
      <c r="CP30" s="15">
        <v>290953</v>
      </c>
      <c r="CQ30" s="15">
        <v>1851</v>
      </c>
      <c r="CR30" s="148">
        <f>IF(((Input_Raw[[#This Row],[33 kV_Wind_F1_Export reading]]-CJ29)*1200)&gt;0,(Input_Raw[[#This Row],[33 kV_Wind_F1_Export reading]]-CJ29)*1200,0)</f>
        <v>30000</v>
      </c>
      <c r="CS30" s="148">
        <f>IF(((Input_Raw[[#This Row],[33 kV_Wind_F1_Import reading]]-CK29)*1200)&gt;0,(Input_Raw[[#This Row],[33 kV_Wind_F1_Import reading]]-CK29)*1200,0)</f>
        <v>1200</v>
      </c>
      <c r="CT30" s="148">
        <f>IF(((Input_Raw[[#This Row],[33 kV_Wind_F2_Export_reading]]-CL29)*1200)&gt;0,(Input_Raw[[#This Row],[33 kV_Wind_F2_Export_reading]]-CL29)*1200,0)</f>
        <v>24000</v>
      </c>
      <c r="CU30" s="148">
        <f>IF(((Input_Raw[[#This Row],[33 kV_Wind_F2_Import_reading]]-CM29)*1200)&gt;0,(Input_Raw[[#This Row],[33 kV_Wind_F2_Import_reading]]-CM29)*1200,0)</f>
        <v>1200</v>
      </c>
      <c r="CV30" s="148">
        <f>IF(((Input_Raw[[#This Row],[33 kV_Wind_F3_Export_Reading]]-CN29)*1200)&gt;0,(Input_Raw[[#This Row],[33 kV_Wind_F3_Export_Reading]]-CN29)*1200,0)</f>
        <v>33600</v>
      </c>
      <c r="CW30" s="148">
        <f>IF(((Input_Raw[[#This Row],[33 kV_Wind_F3_Import_Reading]]-CO29)*1200)&gt;0,(Input_Raw[[#This Row],[33 kV_Wind_F3_Import_Reading]]-CO29)*1200,0)</f>
        <v>1200</v>
      </c>
      <c r="CX30" s="148">
        <f>IF(((Input_Raw[[#This Row],[33 kV_Wind_F4_Export Reading]]-CP29)*1200)&gt;0,(Input_Raw[[#This Row],[33 kV_Wind_F4_Export Reading]]-CP29)*1200,0)</f>
        <v>38400</v>
      </c>
      <c r="CY30" s="148">
        <f>IF(((Input_Raw[[#This Row],[33 kV_Wind_F4_Import Reading]]-CQ29)*1200)&gt;0,(Input_Raw[[#This Row],[33 kV_Wind_F4_Import Reading]]-CQ29)*1200,0)</f>
        <v>1200</v>
      </c>
      <c r="CZ30" s="148">
        <f>Input_Raw[[#This Row],[33 kV_F1_Total_Export (KWh)]]+Input_Raw[[#This Row],[33 kV_F2_Total_Export (KWh)2]]+Input_Raw[[#This Row],[33 kV_Wind_F3_Export (KWh)]]+Input_Raw[[#This Row],[33 kV_Wind_F4_Export (KWh)]]</f>
        <v>126000</v>
      </c>
      <c r="DA30" s="148">
        <f>Input_Raw[[#This Row],[33 kV_Wind_F1_Import (KWh)]]+Input_Raw[[#This Row],[33 kV_Wind_F2_Import (KWh)]]+Input_Raw[[#This Row],[33 kV_Wind_F3_Import (KWh)2]]+Input_Raw[[#This Row],[33 kV_Wind_F4_Import (KWh)2]]</f>
        <v>4800</v>
      </c>
      <c r="DB30" s="21">
        <f>IFERROR(1-Input_Raw[[#This Row],[33 kV_Wind_Total_Export (KWh)]]/Input_Raw[[#This Row],[WTG Total Gneration (KWh)]],0)</f>
        <v>1.6907628328664992E-2</v>
      </c>
      <c r="DC30" s="144">
        <v>90</v>
      </c>
      <c r="DD30" s="147">
        <v>5922</v>
      </c>
      <c r="DE30" s="163">
        <v>128.16</v>
      </c>
      <c r="DF30" s="160"/>
      <c r="DG30" s="162">
        <v>78</v>
      </c>
      <c r="DH30" s="280" t="s">
        <v>381</v>
      </c>
    </row>
    <row r="31" spans="1:112">
      <c r="A31" s="20">
        <f t="shared" si="3"/>
        <v>45771</v>
      </c>
      <c r="B31" s="12">
        <f>YEAR(Input_Raw[[#This Row],[Date]])+IF(MONTH(Input_Raw[[#This Row],[Date]])&gt;=4,1,0)</f>
        <v>2026</v>
      </c>
      <c r="C31" s="13">
        <f>YEAR(Input_Raw[[#This Row],[Date]])</f>
        <v>2025</v>
      </c>
      <c r="D31" s="14">
        <f t="shared" si="2"/>
        <v>45748</v>
      </c>
      <c r="E31" s="13">
        <f>DAY(EOMONTH(Input_Raw[[#This Row],[Date]],0))</f>
        <v>30</v>
      </c>
      <c r="F31" s="15">
        <v>5021</v>
      </c>
      <c r="G31" s="15">
        <v>5279</v>
      </c>
      <c r="H31" s="15">
        <v>5297</v>
      </c>
      <c r="I31" s="15">
        <v>5278</v>
      </c>
      <c r="J31" s="15">
        <v>5423</v>
      </c>
      <c r="K31" s="15">
        <v>5289</v>
      </c>
      <c r="L31" s="15">
        <v>5267</v>
      </c>
      <c r="M31" s="15">
        <v>5243</v>
      </c>
      <c r="N31" s="15">
        <v>4434</v>
      </c>
      <c r="O31" s="15">
        <v>5276</v>
      </c>
      <c r="P31" s="15">
        <v>5292</v>
      </c>
      <c r="Q31" s="15">
        <v>4432</v>
      </c>
      <c r="R31" s="15">
        <v>4452</v>
      </c>
      <c r="S31" s="15">
        <v>4457</v>
      </c>
      <c r="T31" s="15">
        <v>4432</v>
      </c>
      <c r="U31" s="15">
        <v>4475</v>
      </c>
      <c r="V31" s="15">
        <v>4478</v>
      </c>
      <c r="W31" s="15">
        <v>4472</v>
      </c>
      <c r="X31" s="15">
        <v>4489</v>
      </c>
      <c r="Y31" s="15">
        <v>4498</v>
      </c>
      <c r="Z31" s="15">
        <v>5490</v>
      </c>
      <c r="AA31" s="15">
        <v>5289</v>
      </c>
      <c r="AB31" s="15">
        <v>5489</v>
      </c>
      <c r="AC31" s="15">
        <v>5467</v>
      </c>
      <c r="AD31" s="15">
        <v>6041</v>
      </c>
      <c r="AE31" s="15">
        <v>5472</v>
      </c>
      <c r="AF31" s="15">
        <v>5484</v>
      </c>
      <c r="AG31" s="15">
        <v>0</v>
      </c>
      <c r="AH31" s="15">
        <v>5479</v>
      </c>
      <c r="AI31" s="15">
        <v>0</v>
      </c>
      <c r="AJ31" s="15">
        <v>7158</v>
      </c>
      <c r="AK31" s="15">
        <v>7169</v>
      </c>
      <c r="AL31" s="15">
        <v>7184</v>
      </c>
      <c r="AM31" s="15">
        <v>7167</v>
      </c>
      <c r="AN31" s="15">
        <v>7172</v>
      </c>
      <c r="AO31" s="15">
        <v>7182</v>
      </c>
      <c r="AP31" s="15">
        <v>7156</v>
      </c>
      <c r="AQ31" s="15">
        <v>6258</v>
      </c>
      <c r="AR31" s="15">
        <v>6021</v>
      </c>
      <c r="AS31" s="16">
        <v>4.33</v>
      </c>
      <c r="AT31" s="16">
        <v>4.54</v>
      </c>
      <c r="AU31" s="16">
        <v>4.49</v>
      </c>
      <c r="AV31" s="16">
        <v>4.18</v>
      </c>
      <c r="AW31" s="16">
        <v>4.2699999999999996</v>
      </c>
      <c r="AX31" s="16">
        <v>4.8899999999999997</v>
      </c>
      <c r="AY31" s="16">
        <v>4.38</v>
      </c>
      <c r="AZ31" s="16">
        <v>4.32</v>
      </c>
      <c r="BA31" s="16">
        <v>4.4400000000000004</v>
      </c>
      <c r="BB31" s="16">
        <v>4.47</v>
      </c>
      <c r="BC31" s="16">
        <v>4.8899999999999997</v>
      </c>
      <c r="BD31" s="16">
        <v>4.4800000000000004</v>
      </c>
      <c r="BE31" s="16">
        <v>4.5</v>
      </c>
      <c r="BF31" s="16">
        <v>4.5</v>
      </c>
      <c r="BG31" s="16">
        <v>4.37</v>
      </c>
      <c r="BH31" s="16">
        <v>4.5</v>
      </c>
      <c r="BI31" s="16">
        <v>4.41</v>
      </c>
      <c r="BJ31" s="16">
        <v>4.67</v>
      </c>
      <c r="BK31" s="16">
        <v>5.98</v>
      </c>
      <c r="BL31" s="16">
        <v>5.16</v>
      </c>
      <c r="BM31" s="16">
        <v>4.2</v>
      </c>
      <c r="BN31" s="16">
        <v>4.72</v>
      </c>
      <c r="BO31" s="16">
        <v>4.05</v>
      </c>
      <c r="BP31" s="16">
        <v>4.62</v>
      </c>
      <c r="BQ31" s="16">
        <v>4.45</v>
      </c>
      <c r="BR31" s="16">
        <v>4.26</v>
      </c>
      <c r="BS31" s="16">
        <v>4.37</v>
      </c>
      <c r="BT31" s="16">
        <v>0</v>
      </c>
      <c r="BU31" s="16">
        <v>4.93</v>
      </c>
      <c r="BV31" s="16">
        <v>0</v>
      </c>
      <c r="BW31" s="16">
        <v>4.07</v>
      </c>
      <c r="BX31" s="16">
        <v>4.82</v>
      </c>
      <c r="BY31" s="16">
        <v>4.43</v>
      </c>
      <c r="BZ31" s="16">
        <v>4.2699999999999996</v>
      </c>
      <c r="CA31" s="16">
        <v>4.59</v>
      </c>
      <c r="CB31" s="16">
        <v>4.5</v>
      </c>
      <c r="CC31" s="16">
        <v>4.33</v>
      </c>
      <c r="CD31" s="16">
        <v>4.5</v>
      </c>
      <c r="CE31" s="16">
        <v>4.5999999999999996</v>
      </c>
      <c r="CF31" s="17">
        <f>SUM(Input_Raw[[#This Row],[G01]:[G40]])</f>
        <v>203962</v>
      </c>
      <c r="CG31" s="18">
        <f>IFERROR(AVERAGE(Input_Raw[[#This Row],[WS_G01]:[WS_G40]]),"")</f>
        <v>4.2943589743589747</v>
      </c>
      <c r="CH31" s="19"/>
      <c r="CI31" s="19"/>
      <c r="CJ31" s="15">
        <v>239445</v>
      </c>
      <c r="CK31" s="15">
        <v>2170</v>
      </c>
      <c r="CL31" s="15">
        <v>279521</v>
      </c>
      <c r="CM31" s="15">
        <v>2200</v>
      </c>
      <c r="CN31" s="15">
        <v>255306</v>
      </c>
      <c r="CO31" s="15">
        <v>1806</v>
      </c>
      <c r="CP31" s="15">
        <v>290989</v>
      </c>
      <c r="CQ31" s="15">
        <v>1851</v>
      </c>
      <c r="CR31" s="148">
        <f>IF(((Input_Raw[[#This Row],[33 kV_Wind_F1_Export reading]]-CJ30)*1200)&gt;0,(Input_Raw[[#This Row],[33 kV_Wind_F1_Export reading]]-CJ30)*1200,0)</f>
        <v>67200</v>
      </c>
      <c r="CS31" s="148">
        <f>IF(((Input_Raw[[#This Row],[33 kV_Wind_F1_Import reading]]-CK30)*1200)&gt;0,(Input_Raw[[#This Row],[33 kV_Wind_F1_Import reading]]-CK30)*1200,0)</f>
        <v>0</v>
      </c>
      <c r="CT31" s="148">
        <f>IF(((Input_Raw[[#This Row],[33 kV_Wind_F2_Export_reading]]-CL30)*1200)&gt;0,(Input_Raw[[#This Row],[33 kV_Wind_F2_Export_reading]]-CL30)*1200,0)</f>
        <v>42000</v>
      </c>
      <c r="CU31" s="148">
        <f>IF(((Input_Raw[[#This Row],[33 kV_Wind_F2_Import_reading]]-CM30)*1200)&gt;0,(Input_Raw[[#This Row],[33 kV_Wind_F2_Import_reading]]-CM30)*1200,0)</f>
        <v>1200</v>
      </c>
      <c r="CV31" s="148">
        <f>IF(((Input_Raw[[#This Row],[33 kV_Wind_F3_Export_Reading]]-CN30)*1200)&gt;0,(Input_Raw[[#This Row],[33 kV_Wind_F3_Export_Reading]]-CN30)*1200,0)</f>
        <v>45600</v>
      </c>
      <c r="CW31" s="148">
        <f>IF(((Input_Raw[[#This Row],[33 kV_Wind_F3_Import_Reading]]-CO30)*1200)&gt;0,(Input_Raw[[#This Row],[33 kV_Wind_F3_Import_Reading]]-CO30)*1200,0)</f>
        <v>0</v>
      </c>
      <c r="CX31" s="148">
        <f>IF(((Input_Raw[[#This Row],[33 kV_Wind_F4_Export Reading]]-CP30)*1200)&gt;0,(Input_Raw[[#This Row],[33 kV_Wind_F4_Export Reading]]-CP30)*1200,0)</f>
        <v>43200</v>
      </c>
      <c r="CY31" s="148">
        <f>IF(((Input_Raw[[#This Row],[33 kV_Wind_F4_Import Reading]]-CQ30)*1200)&gt;0,(Input_Raw[[#This Row],[33 kV_Wind_F4_Import Reading]]-CQ30)*1200,0)</f>
        <v>0</v>
      </c>
      <c r="CZ31" s="148">
        <f>Input_Raw[[#This Row],[33 kV_F1_Total_Export (KWh)]]+Input_Raw[[#This Row],[33 kV_F2_Total_Export (KWh)2]]+Input_Raw[[#This Row],[33 kV_Wind_F3_Export (KWh)]]+Input_Raw[[#This Row],[33 kV_Wind_F4_Export (KWh)]]</f>
        <v>198000</v>
      </c>
      <c r="DA31" s="148">
        <f>Input_Raw[[#This Row],[33 kV_Wind_F1_Import (KWh)]]+Input_Raw[[#This Row],[33 kV_Wind_F2_Import (KWh)]]+Input_Raw[[#This Row],[33 kV_Wind_F3_Import (KWh)2]]+Input_Raw[[#This Row],[33 kV_Wind_F4_Import (KWh)2]]</f>
        <v>1200</v>
      </c>
      <c r="DB31" s="21">
        <f>IFERROR(1-Input_Raw[[#This Row],[33 kV_Wind_Total_Export (KWh)]]/Input_Raw[[#This Row],[WTG Total Gneration (KWh)]],0)</f>
        <v>2.9230935174199169E-2</v>
      </c>
      <c r="DC31" s="144">
        <v>96</v>
      </c>
      <c r="DD31" s="147">
        <v>7484</v>
      </c>
      <c r="DE31" s="163">
        <v>203.96</v>
      </c>
      <c r="DF31" s="160"/>
      <c r="DG31" s="162">
        <v>78</v>
      </c>
      <c r="DH31" s="280" t="s">
        <v>381</v>
      </c>
    </row>
    <row r="32" spans="1:112">
      <c r="A32" s="20">
        <f t="shared" si="3"/>
        <v>45772</v>
      </c>
      <c r="B32" s="12">
        <f>YEAR(Input_Raw[[#This Row],[Date]])+IF(MONTH(Input_Raw[[#This Row],[Date]])&gt;=4,1,0)</f>
        <v>2026</v>
      </c>
      <c r="C32" s="13">
        <f>YEAR(Input_Raw[[#This Row],[Date]])</f>
        <v>2025</v>
      </c>
      <c r="D32" s="14">
        <f t="shared" si="2"/>
        <v>45748</v>
      </c>
      <c r="E32" s="13">
        <f>DAY(EOMONTH(Input_Raw[[#This Row],[Date]],0))</f>
        <v>30</v>
      </c>
      <c r="F32" s="15">
        <v>7021</v>
      </c>
      <c r="G32" s="15">
        <v>7056</v>
      </c>
      <c r="H32" s="15">
        <v>7041</v>
      </c>
      <c r="I32" s="15">
        <v>6563</v>
      </c>
      <c r="J32" s="15">
        <v>6587</v>
      </c>
      <c r="K32" s="15">
        <v>7053</v>
      </c>
      <c r="L32" s="15">
        <v>7069</v>
      </c>
      <c r="M32" s="15">
        <v>6690</v>
      </c>
      <c r="N32" s="15">
        <v>6032</v>
      </c>
      <c r="O32" s="15">
        <v>7059</v>
      </c>
      <c r="P32" s="15">
        <v>7089</v>
      </c>
      <c r="Q32" s="15">
        <v>6063</v>
      </c>
      <c r="R32" s="15">
        <v>6321</v>
      </c>
      <c r="S32" s="15">
        <v>6345</v>
      </c>
      <c r="T32" s="15">
        <v>6356</v>
      </c>
      <c r="U32" s="15">
        <v>6332</v>
      </c>
      <c r="V32" s="15">
        <v>6341</v>
      </c>
      <c r="W32" s="15">
        <v>6345</v>
      </c>
      <c r="X32" s="15">
        <v>6347</v>
      </c>
      <c r="Y32" s="15">
        <v>6389</v>
      </c>
      <c r="Z32" s="15">
        <v>6583</v>
      </c>
      <c r="AA32" s="15">
        <v>6021</v>
      </c>
      <c r="AB32" s="15">
        <v>6545</v>
      </c>
      <c r="AC32" s="15">
        <v>6564</v>
      </c>
      <c r="AD32" s="15">
        <v>6832</v>
      </c>
      <c r="AE32" s="15">
        <v>6527</v>
      </c>
      <c r="AF32" s="15">
        <v>6544</v>
      </c>
      <c r="AG32" s="15">
        <v>0</v>
      </c>
      <c r="AH32" s="15">
        <v>6575</v>
      </c>
      <c r="AI32" s="15">
        <v>0</v>
      </c>
      <c r="AJ32" s="15">
        <v>6853</v>
      </c>
      <c r="AK32" s="15">
        <v>6842</v>
      </c>
      <c r="AL32" s="15">
        <v>6021</v>
      </c>
      <c r="AM32" s="15">
        <v>6829</v>
      </c>
      <c r="AN32" s="15">
        <v>6839</v>
      </c>
      <c r="AO32" s="15">
        <v>6869</v>
      </c>
      <c r="AP32" s="15">
        <v>6882</v>
      </c>
      <c r="AQ32" s="15">
        <v>5587</v>
      </c>
      <c r="AR32" s="15">
        <v>6849</v>
      </c>
      <c r="AS32" s="16">
        <v>4.6100000000000003</v>
      </c>
      <c r="AT32" s="16">
        <v>4.84</v>
      </c>
      <c r="AU32" s="16">
        <v>4.5999999999999996</v>
      </c>
      <c r="AV32" s="16">
        <v>4.6900000000000004</v>
      </c>
      <c r="AW32" s="16">
        <v>3.8</v>
      </c>
      <c r="AX32" s="16">
        <v>4.82</v>
      </c>
      <c r="AY32" s="16">
        <v>4.78</v>
      </c>
      <c r="AZ32" s="16">
        <v>4.8</v>
      </c>
      <c r="BA32" s="16">
        <v>4.38</v>
      </c>
      <c r="BB32" s="16">
        <v>4.71</v>
      </c>
      <c r="BC32" s="16">
        <v>5.09</v>
      </c>
      <c r="BD32" s="16">
        <v>4.76</v>
      </c>
      <c r="BE32" s="16">
        <v>4.95</v>
      </c>
      <c r="BF32" s="16">
        <v>4.8499999999999996</v>
      </c>
      <c r="BG32" s="16">
        <v>4.66</v>
      </c>
      <c r="BH32" s="16">
        <v>4.01</v>
      </c>
      <c r="BI32" s="16">
        <v>4.5999999999999996</v>
      </c>
      <c r="BJ32" s="16">
        <v>5.05</v>
      </c>
      <c r="BK32" s="16">
        <v>4.8</v>
      </c>
      <c r="BL32" s="16">
        <v>5.43</v>
      </c>
      <c r="BM32" s="16">
        <v>4.22</v>
      </c>
      <c r="BN32" s="16">
        <v>4.18</v>
      </c>
      <c r="BO32" s="16">
        <v>4.05</v>
      </c>
      <c r="BP32" s="16">
        <v>4.57</v>
      </c>
      <c r="BQ32" s="16">
        <v>3.71</v>
      </c>
      <c r="BR32" s="16">
        <v>4.3499999999999996</v>
      </c>
      <c r="BS32" s="16">
        <v>4.49</v>
      </c>
      <c r="BT32" s="16">
        <v>0</v>
      </c>
      <c r="BU32" s="16">
        <v>4.12</v>
      </c>
      <c r="BV32" s="16">
        <v>0</v>
      </c>
      <c r="BW32" s="16">
        <v>3.89</v>
      </c>
      <c r="BX32" s="16">
        <v>4.17</v>
      </c>
      <c r="BY32" s="16">
        <v>4.26</v>
      </c>
      <c r="BZ32" s="16">
        <v>4.16</v>
      </c>
      <c r="CA32" s="16">
        <v>4.38</v>
      </c>
      <c r="CB32" s="16">
        <v>4.16</v>
      </c>
      <c r="CC32" s="16">
        <v>3.8</v>
      </c>
      <c r="CD32" s="16">
        <v>4.04</v>
      </c>
      <c r="CE32" s="16">
        <v>4.04</v>
      </c>
      <c r="CF32" s="17">
        <f>SUM(Input_Raw[[#This Row],[G01]:[G40]])</f>
        <v>243861</v>
      </c>
      <c r="CG32" s="18">
        <f>IFERROR(AVERAGE(Input_Raw[[#This Row],[WS_G01]:[WS_G40]]),"")</f>
        <v>4.2261538461538448</v>
      </c>
      <c r="CH32" s="19"/>
      <c r="CI32" s="19"/>
      <c r="CJ32" s="15">
        <v>239500</v>
      </c>
      <c r="CK32" s="15">
        <v>2171</v>
      </c>
      <c r="CL32" s="15">
        <v>279564</v>
      </c>
      <c r="CM32" s="15">
        <v>2200</v>
      </c>
      <c r="CN32" s="15">
        <v>255358</v>
      </c>
      <c r="CO32" s="15">
        <v>1807</v>
      </c>
      <c r="CP32" s="15">
        <v>291041</v>
      </c>
      <c r="CQ32" s="15">
        <v>1852</v>
      </c>
      <c r="CR32" s="148">
        <f>IF(((Input_Raw[[#This Row],[33 kV_Wind_F1_Export reading]]-CJ31)*1200)&gt;0,(Input_Raw[[#This Row],[33 kV_Wind_F1_Export reading]]-CJ31)*1200,0)</f>
        <v>66000</v>
      </c>
      <c r="CS32" s="148">
        <f>IF(((Input_Raw[[#This Row],[33 kV_Wind_F1_Import reading]]-CK31)*1200)&gt;0,(Input_Raw[[#This Row],[33 kV_Wind_F1_Import reading]]-CK31)*1200,0)</f>
        <v>1200</v>
      </c>
      <c r="CT32" s="148">
        <f>IF(((Input_Raw[[#This Row],[33 kV_Wind_F2_Export_reading]]-CL31)*1200)&gt;0,(Input_Raw[[#This Row],[33 kV_Wind_F2_Export_reading]]-CL31)*1200,0)</f>
        <v>51600</v>
      </c>
      <c r="CU32" s="148">
        <f>IF(((Input_Raw[[#This Row],[33 kV_Wind_F2_Import_reading]]-CM31)*1200)&gt;0,(Input_Raw[[#This Row],[33 kV_Wind_F2_Import_reading]]-CM31)*1200,0)</f>
        <v>0</v>
      </c>
      <c r="CV32" s="148">
        <f>IF(((Input_Raw[[#This Row],[33 kV_Wind_F3_Export_Reading]]-CN31)*1200)&gt;0,(Input_Raw[[#This Row],[33 kV_Wind_F3_Export_Reading]]-CN31)*1200,0)</f>
        <v>62400</v>
      </c>
      <c r="CW32" s="148">
        <f>IF(((Input_Raw[[#This Row],[33 kV_Wind_F3_Import_Reading]]-CO31)*1200)&gt;0,(Input_Raw[[#This Row],[33 kV_Wind_F3_Import_Reading]]-CO31)*1200,0)</f>
        <v>1200</v>
      </c>
      <c r="CX32" s="148">
        <f>IF(((Input_Raw[[#This Row],[33 kV_Wind_F4_Export Reading]]-CP31)*1200)&gt;0,(Input_Raw[[#This Row],[33 kV_Wind_F4_Export Reading]]-CP31)*1200,0)</f>
        <v>62400</v>
      </c>
      <c r="CY32" s="148">
        <f>IF(((Input_Raw[[#This Row],[33 kV_Wind_F4_Import Reading]]-CQ31)*1200)&gt;0,(Input_Raw[[#This Row],[33 kV_Wind_F4_Import Reading]]-CQ31)*1200,0)</f>
        <v>1200</v>
      </c>
      <c r="CZ32" s="148">
        <f>Input_Raw[[#This Row],[33 kV_F1_Total_Export (KWh)]]+Input_Raw[[#This Row],[33 kV_F2_Total_Export (KWh)2]]+Input_Raw[[#This Row],[33 kV_Wind_F3_Export (KWh)]]+Input_Raw[[#This Row],[33 kV_Wind_F4_Export (KWh)]]</f>
        <v>242400</v>
      </c>
      <c r="DA32" s="148">
        <f>Input_Raw[[#This Row],[33 kV_Wind_F1_Import (KWh)]]+Input_Raw[[#This Row],[33 kV_Wind_F2_Import (KWh)]]+Input_Raw[[#This Row],[33 kV_Wind_F3_Import (KWh)2]]+Input_Raw[[#This Row],[33 kV_Wind_F4_Import (KWh)2]]</f>
        <v>3600</v>
      </c>
      <c r="DB32" s="21">
        <f>IFERROR(1-Input_Raw[[#This Row],[33 kV_Wind_Total_Export (KWh)]]/Input_Raw[[#This Row],[WTG Total Gneration (KWh)]],0)</f>
        <v>5.9911178909296536E-3</v>
      </c>
      <c r="DC32" s="144">
        <v>96</v>
      </c>
      <c r="DD32" s="147">
        <v>6052</v>
      </c>
      <c r="DE32" s="163">
        <v>243.86</v>
      </c>
      <c r="DF32" s="160"/>
      <c r="DG32" s="162">
        <v>78</v>
      </c>
      <c r="DH32" s="280" t="s">
        <v>381</v>
      </c>
    </row>
    <row r="33" spans="1:112">
      <c r="A33" s="20">
        <f t="shared" si="3"/>
        <v>45773</v>
      </c>
      <c r="B33" s="12">
        <f>YEAR(Input_Raw[[#This Row],[Date]])+IF(MONTH(Input_Raw[[#This Row],[Date]])&gt;=4,1,0)</f>
        <v>2026</v>
      </c>
      <c r="C33" s="13">
        <f>YEAR(Input_Raw[[#This Row],[Date]])</f>
        <v>2025</v>
      </c>
      <c r="D33" s="14">
        <f t="shared" si="2"/>
        <v>45748</v>
      </c>
      <c r="E33" s="13">
        <f>DAY(EOMONTH(Input_Raw[[#This Row],[Date]],0))</f>
        <v>30</v>
      </c>
      <c r="F33" s="15">
        <v>10931</v>
      </c>
      <c r="G33" s="15">
        <v>10952</v>
      </c>
      <c r="H33" s="15">
        <v>10932</v>
      </c>
      <c r="I33" s="15">
        <v>10921</v>
      </c>
      <c r="J33" s="15">
        <v>8845</v>
      </c>
      <c r="K33" s="15">
        <v>10210</v>
      </c>
      <c r="L33" s="15">
        <v>10953</v>
      </c>
      <c r="M33" s="15">
        <v>10959</v>
      </c>
      <c r="N33" s="15">
        <v>11852</v>
      </c>
      <c r="O33" s="15">
        <v>10944</v>
      </c>
      <c r="P33" s="15">
        <v>10965</v>
      </c>
      <c r="Q33" s="15">
        <v>11856</v>
      </c>
      <c r="R33" s="15">
        <v>11862</v>
      </c>
      <c r="S33" s="15">
        <v>11832</v>
      </c>
      <c r="T33" s="15">
        <v>11842</v>
      </c>
      <c r="U33" s="15">
        <v>11857</v>
      </c>
      <c r="V33" s="15">
        <v>11843</v>
      </c>
      <c r="W33" s="15">
        <v>11853</v>
      </c>
      <c r="X33" s="15">
        <v>11869</v>
      </c>
      <c r="Y33" s="15">
        <v>11897</v>
      </c>
      <c r="Z33" s="15">
        <v>8363</v>
      </c>
      <c r="AA33" s="15">
        <v>8563</v>
      </c>
      <c r="AB33" s="15">
        <v>8856</v>
      </c>
      <c r="AC33" s="15">
        <v>8842</v>
      </c>
      <c r="AD33" s="15">
        <v>9321</v>
      </c>
      <c r="AE33" s="15">
        <v>8858</v>
      </c>
      <c r="AF33" s="15">
        <v>8839</v>
      </c>
      <c r="AG33" s="15">
        <v>0</v>
      </c>
      <c r="AH33" s="15">
        <v>8849</v>
      </c>
      <c r="AI33" s="15">
        <v>0</v>
      </c>
      <c r="AJ33" s="15">
        <v>9323</v>
      </c>
      <c r="AK33" s="15">
        <v>9342</v>
      </c>
      <c r="AL33" s="15">
        <v>9354</v>
      </c>
      <c r="AM33" s="15">
        <v>9344</v>
      </c>
      <c r="AN33" s="15">
        <v>9063</v>
      </c>
      <c r="AO33" s="15">
        <v>9340</v>
      </c>
      <c r="AP33" s="15">
        <v>9356</v>
      </c>
      <c r="AQ33" s="15">
        <v>9376</v>
      </c>
      <c r="AR33" s="15">
        <v>9365</v>
      </c>
      <c r="AS33" s="16">
        <v>4.8499999999999996</v>
      </c>
      <c r="AT33" s="16">
        <v>5.37</v>
      </c>
      <c r="AU33" s="16">
        <v>4.76</v>
      </c>
      <c r="AV33" s="16">
        <v>4.7699999999999996</v>
      </c>
      <c r="AW33" s="16">
        <v>5.09</v>
      </c>
      <c r="AX33" s="16">
        <v>5.19</v>
      </c>
      <c r="AY33" s="16">
        <v>4.8</v>
      </c>
      <c r="AZ33" s="16">
        <v>4.87</v>
      </c>
      <c r="BA33" s="16">
        <v>5.25</v>
      </c>
      <c r="BB33" s="16">
        <v>4.9800000000000004</v>
      </c>
      <c r="BC33" s="16">
        <v>5.45</v>
      </c>
      <c r="BD33" s="16">
        <v>5.28</v>
      </c>
      <c r="BE33" s="16">
        <v>5.32</v>
      </c>
      <c r="BF33" s="16">
        <v>5.14</v>
      </c>
      <c r="BG33" s="16">
        <v>5.09</v>
      </c>
      <c r="BH33" s="16">
        <v>5.27</v>
      </c>
      <c r="BI33" s="16">
        <v>5.07</v>
      </c>
      <c r="BJ33" s="16">
        <v>5.36</v>
      </c>
      <c r="BK33" s="16">
        <v>6.59</v>
      </c>
      <c r="BL33" s="16">
        <v>5.63</v>
      </c>
      <c r="BM33" s="16">
        <v>5.4</v>
      </c>
      <c r="BN33" s="16">
        <v>5.44</v>
      </c>
      <c r="BO33" s="16">
        <v>4.66</v>
      </c>
      <c r="BP33" s="16">
        <v>4.9800000000000004</v>
      </c>
      <c r="BQ33" s="16">
        <v>4.95</v>
      </c>
      <c r="BR33" s="16">
        <v>4.71</v>
      </c>
      <c r="BS33" s="16">
        <v>4.88</v>
      </c>
      <c r="BT33" s="16">
        <v>0</v>
      </c>
      <c r="BU33" s="16">
        <v>4.8600000000000003</v>
      </c>
      <c r="BV33" s="16">
        <v>0</v>
      </c>
      <c r="BW33" s="16">
        <v>4.59</v>
      </c>
      <c r="BX33" s="16">
        <v>4.7300000000000004</v>
      </c>
      <c r="BY33" s="16">
        <v>4.88</v>
      </c>
      <c r="BZ33" s="16">
        <v>4.88</v>
      </c>
      <c r="CA33" s="16">
        <v>5.07</v>
      </c>
      <c r="CB33" s="16">
        <v>5.05</v>
      </c>
      <c r="CC33" s="16">
        <v>4.83</v>
      </c>
      <c r="CD33" s="16">
        <v>4.74</v>
      </c>
      <c r="CE33" s="16">
        <v>5.01</v>
      </c>
      <c r="CF33" s="17">
        <f>SUM(Input_Raw[[#This Row],[G01]:[G40]])</f>
        <v>379529</v>
      </c>
      <c r="CG33" s="18">
        <f>IFERROR(AVERAGE(Input_Raw[[#This Row],[WS_G01]:[WS_G40]]),"")</f>
        <v>4.8151282051282047</v>
      </c>
      <c r="CH33" s="19"/>
      <c r="CI33" s="19"/>
      <c r="CJ33" s="15">
        <v>239577</v>
      </c>
      <c r="CK33" s="15">
        <v>2171</v>
      </c>
      <c r="CL33" s="15">
        <v>279622</v>
      </c>
      <c r="CM33" s="15">
        <v>2200</v>
      </c>
      <c r="CN33" s="15">
        <v>255439</v>
      </c>
      <c r="CO33" s="15">
        <v>1807</v>
      </c>
      <c r="CP33" s="15">
        <v>291139</v>
      </c>
      <c r="CQ33" s="15">
        <v>1852</v>
      </c>
      <c r="CR33" s="148">
        <f>IF(((Input_Raw[[#This Row],[33 kV_Wind_F1_Export reading]]-CJ32)*1200)&gt;0,(Input_Raw[[#This Row],[33 kV_Wind_F1_Export reading]]-CJ32)*1200,0)</f>
        <v>92400</v>
      </c>
      <c r="CS33" s="148">
        <f>IF(((Input_Raw[[#This Row],[33 kV_Wind_F1_Import reading]]-CK32)*1200)&gt;0,(Input_Raw[[#This Row],[33 kV_Wind_F1_Import reading]]-CK32)*1200,0)</f>
        <v>0</v>
      </c>
      <c r="CT33" s="148">
        <f>IF(((Input_Raw[[#This Row],[33 kV_Wind_F2_Export_reading]]-CL32)*1200)&gt;0,(Input_Raw[[#This Row],[33 kV_Wind_F2_Export_reading]]-CL32)*1200,0)</f>
        <v>69600</v>
      </c>
      <c r="CU33" s="148">
        <f>IF(((Input_Raw[[#This Row],[33 kV_Wind_F2_Import_reading]]-CM32)*1200)&gt;0,(Input_Raw[[#This Row],[33 kV_Wind_F2_Import_reading]]-CM32)*1200,0)</f>
        <v>0</v>
      </c>
      <c r="CV33" s="148">
        <f>IF(((Input_Raw[[#This Row],[33 kV_Wind_F3_Export_Reading]]-CN32)*1200)&gt;0,(Input_Raw[[#This Row],[33 kV_Wind_F3_Export_Reading]]-CN32)*1200,0)</f>
        <v>97200</v>
      </c>
      <c r="CW33" s="148">
        <f>IF(((Input_Raw[[#This Row],[33 kV_Wind_F3_Import_Reading]]-CO32)*1200)&gt;0,(Input_Raw[[#This Row],[33 kV_Wind_F3_Import_Reading]]-CO32)*1200,0)</f>
        <v>0</v>
      </c>
      <c r="CX33" s="148">
        <f>IF(((Input_Raw[[#This Row],[33 kV_Wind_F4_Export Reading]]-CP32)*1200)&gt;0,(Input_Raw[[#This Row],[33 kV_Wind_F4_Export Reading]]-CP32)*1200,0)</f>
        <v>117600</v>
      </c>
      <c r="CY33" s="148">
        <f>IF(((Input_Raw[[#This Row],[33 kV_Wind_F4_Import Reading]]-CQ32)*1200)&gt;0,(Input_Raw[[#This Row],[33 kV_Wind_F4_Import Reading]]-CQ32)*1200,0)</f>
        <v>0</v>
      </c>
      <c r="CZ33" s="148">
        <f>Input_Raw[[#This Row],[33 kV_F1_Total_Export (KWh)]]+Input_Raw[[#This Row],[33 kV_F2_Total_Export (KWh)2]]+Input_Raw[[#This Row],[33 kV_Wind_F3_Export (KWh)]]+Input_Raw[[#This Row],[33 kV_Wind_F4_Export (KWh)]]</f>
        <v>376800</v>
      </c>
      <c r="DA33" s="148">
        <f>Input_Raw[[#This Row],[33 kV_Wind_F1_Import (KWh)]]+Input_Raw[[#This Row],[33 kV_Wind_F2_Import (KWh)]]+Input_Raw[[#This Row],[33 kV_Wind_F3_Import (KWh)2]]+Input_Raw[[#This Row],[33 kV_Wind_F4_Import (KWh)2]]</f>
        <v>0</v>
      </c>
      <c r="DB33" s="21">
        <f>IFERROR(1-Input_Raw[[#This Row],[33 kV_Wind_Total_Export (KWh)]]/Input_Raw[[#This Row],[WTG Total Gneration (KWh)]],0)</f>
        <v>7.1904913722008468E-3</v>
      </c>
      <c r="DC33" s="144">
        <v>96</v>
      </c>
      <c r="DD33" s="147">
        <v>53692</v>
      </c>
      <c r="DE33" s="163">
        <v>379.52</v>
      </c>
      <c r="DF33" s="160"/>
      <c r="DG33" s="162">
        <v>78</v>
      </c>
      <c r="DH33" s="280" t="s">
        <v>381</v>
      </c>
    </row>
    <row r="34" spans="1:112">
      <c r="A34" s="20">
        <f t="shared" si="3"/>
        <v>45774</v>
      </c>
      <c r="B34" s="12">
        <f>YEAR(Input_Raw[[#This Row],[Date]])+IF(MONTH(Input_Raw[[#This Row],[Date]])&gt;=4,1,0)</f>
        <v>2026</v>
      </c>
      <c r="C34" s="13">
        <f>YEAR(Input_Raw[[#This Row],[Date]])</f>
        <v>2025</v>
      </c>
      <c r="D34" s="14">
        <f t="shared" si="2"/>
        <v>45748</v>
      </c>
      <c r="E34" s="13">
        <f>DAY(EOMONTH(Input_Raw[[#This Row],[Date]],0))</f>
        <v>30</v>
      </c>
      <c r="F34" s="15">
        <v>5801</v>
      </c>
      <c r="G34" s="15">
        <v>5823</v>
      </c>
      <c r="H34" s="15">
        <v>5812</v>
      </c>
      <c r="I34" s="15">
        <v>5824</v>
      </c>
      <c r="J34" s="15">
        <v>4832</v>
      </c>
      <c r="K34" s="15">
        <v>5849</v>
      </c>
      <c r="L34" s="15">
        <v>5365</v>
      </c>
      <c r="M34" s="15">
        <v>5859</v>
      </c>
      <c r="N34" s="15">
        <v>5634</v>
      </c>
      <c r="O34" s="15">
        <v>5864</v>
      </c>
      <c r="P34" s="15">
        <v>5879</v>
      </c>
      <c r="Q34" s="15">
        <v>5641</v>
      </c>
      <c r="R34" s="15">
        <v>5623</v>
      </c>
      <c r="S34" s="15">
        <v>5321</v>
      </c>
      <c r="T34" s="15">
        <v>5642</v>
      </c>
      <c r="U34" s="15">
        <v>5648</v>
      </c>
      <c r="V34" s="15">
        <v>5645</v>
      </c>
      <c r="W34" s="15">
        <v>5649</v>
      </c>
      <c r="X34" s="15">
        <v>5672</v>
      </c>
      <c r="Y34" s="15">
        <v>5679</v>
      </c>
      <c r="Z34" s="15">
        <v>4845</v>
      </c>
      <c r="AA34" s="15">
        <v>4265</v>
      </c>
      <c r="AB34" s="15">
        <v>4823</v>
      </c>
      <c r="AC34" s="15">
        <v>4854</v>
      </c>
      <c r="AD34" s="15">
        <v>4532</v>
      </c>
      <c r="AE34" s="15">
        <v>4210</v>
      </c>
      <c r="AF34" s="15">
        <v>4867</v>
      </c>
      <c r="AG34" s="15">
        <v>0</v>
      </c>
      <c r="AH34" s="15">
        <v>4879</v>
      </c>
      <c r="AI34" s="15">
        <v>0</v>
      </c>
      <c r="AJ34" s="15">
        <v>4565</v>
      </c>
      <c r="AK34" s="15">
        <v>4521</v>
      </c>
      <c r="AL34" s="15">
        <v>4526</v>
      </c>
      <c r="AM34" s="15">
        <v>4556</v>
      </c>
      <c r="AN34" s="15">
        <v>4021</v>
      </c>
      <c r="AO34" s="15">
        <v>4537</v>
      </c>
      <c r="AP34" s="15">
        <v>4539</v>
      </c>
      <c r="AQ34" s="15">
        <v>4567</v>
      </c>
      <c r="AR34" s="15">
        <v>3943</v>
      </c>
      <c r="AS34" s="16">
        <v>4.2300000000000004</v>
      </c>
      <c r="AT34" s="16">
        <v>4.33</v>
      </c>
      <c r="AU34" s="16">
        <v>4.21</v>
      </c>
      <c r="AV34" s="16">
        <v>4.28</v>
      </c>
      <c r="AW34" s="16">
        <v>4.21</v>
      </c>
      <c r="AX34" s="16">
        <v>4.4800000000000004</v>
      </c>
      <c r="AY34" s="16">
        <v>4.2300000000000004</v>
      </c>
      <c r="AZ34" s="16">
        <v>4.3499999999999996</v>
      </c>
      <c r="BA34" s="16">
        <v>4.3499999999999996</v>
      </c>
      <c r="BB34" s="16">
        <v>4.18</v>
      </c>
      <c r="BC34" s="16">
        <v>4.62</v>
      </c>
      <c r="BD34" s="16">
        <v>4.3099999999999996</v>
      </c>
      <c r="BE34" s="16">
        <v>4.42</v>
      </c>
      <c r="BF34" s="16">
        <v>4.46</v>
      </c>
      <c r="BG34" s="16">
        <v>4.3</v>
      </c>
      <c r="BH34" s="16">
        <v>4.5</v>
      </c>
      <c r="BI34" s="16">
        <v>5.8</v>
      </c>
      <c r="BJ34" s="16">
        <v>4.68</v>
      </c>
      <c r="BK34" s="16">
        <v>4.8499999999999996</v>
      </c>
      <c r="BL34" s="16">
        <v>4.97</v>
      </c>
      <c r="BM34" s="16">
        <v>4.72</v>
      </c>
      <c r="BN34" s="16">
        <v>4.43</v>
      </c>
      <c r="BO34" s="16">
        <v>4.49</v>
      </c>
      <c r="BP34" s="16">
        <v>4.62</v>
      </c>
      <c r="BQ34" s="16">
        <v>4.33</v>
      </c>
      <c r="BR34" s="16">
        <v>4.3600000000000003</v>
      </c>
      <c r="BS34" s="16">
        <v>4.24</v>
      </c>
      <c r="BT34" s="16">
        <v>0</v>
      </c>
      <c r="BU34" s="16">
        <v>4.4400000000000004</v>
      </c>
      <c r="BV34" s="16">
        <v>0</v>
      </c>
      <c r="BW34" s="16">
        <v>4.26</v>
      </c>
      <c r="BX34" s="16">
        <v>4.4400000000000004</v>
      </c>
      <c r="BY34" s="16">
        <v>4.4400000000000004</v>
      </c>
      <c r="BZ34" s="16">
        <v>4.4400000000000004</v>
      </c>
      <c r="CA34" s="16">
        <v>4.4800000000000004</v>
      </c>
      <c r="CB34" s="16">
        <v>4.54</v>
      </c>
      <c r="CC34" s="16">
        <v>4.25</v>
      </c>
      <c r="CD34" s="16">
        <v>4.41</v>
      </c>
      <c r="CE34" s="16">
        <v>4.59</v>
      </c>
      <c r="CF34" s="17">
        <f>SUM(Input_Raw[[#This Row],[G01]:[G40]])</f>
        <v>190112</v>
      </c>
      <c r="CG34" s="18">
        <f>IFERROR(AVERAGE(Input_Raw[[#This Row],[WS_G01]:[WS_G40]]),"")</f>
        <v>4.2369230769230759</v>
      </c>
      <c r="CH34" s="19"/>
      <c r="CI34" s="19"/>
      <c r="CJ34" s="15">
        <v>239613</v>
      </c>
      <c r="CK34" s="15">
        <v>2172</v>
      </c>
      <c r="CL34" s="15">
        <v>279653</v>
      </c>
      <c r="CM34" s="15">
        <v>2201</v>
      </c>
      <c r="CN34" s="15">
        <v>255482</v>
      </c>
      <c r="CO34" s="15">
        <v>1808</v>
      </c>
      <c r="CP34" s="15">
        <v>291185</v>
      </c>
      <c r="CQ34" s="15">
        <v>1853</v>
      </c>
      <c r="CR34" s="148">
        <f>IF(((Input_Raw[[#This Row],[33 kV_Wind_F1_Export reading]]-CJ33)*1200)&gt;0,(Input_Raw[[#This Row],[33 kV_Wind_F1_Export reading]]-CJ33)*1200,0)</f>
        <v>43200</v>
      </c>
      <c r="CS34" s="148">
        <f>IF(((Input_Raw[[#This Row],[33 kV_Wind_F1_Import reading]]-CK33)*1200)&gt;0,(Input_Raw[[#This Row],[33 kV_Wind_F1_Import reading]]-CK33)*1200,0)</f>
        <v>1200</v>
      </c>
      <c r="CT34" s="148">
        <f>IF(((Input_Raw[[#This Row],[33 kV_Wind_F2_Export_reading]]-CL33)*1200)&gt;0,(Input_Raw[[#This Row],[33 kV_Wind_F2_Export_reading]]-CL33)*1200,0)</f>
        <v>37200</v>
      </c>
      <c r="CU34" s="148">
        <f>IF(((Input_Raw[[#This Row],[33 kV_Wind_F2_Import_reading]]-CM33)*1200)&gt;0,(Input_Raw[[#This Row],[33 kV_Wind_F2_Import_reading]]-CM33)*1200,0)</f>
        <v>1200</v>
      </c>
      <c r="CV34" s="148">
        <f>IF(((Input_Raw[[#This Row],[33 kV_Wind_F3_Export_Reading]]-CN33)*1200)&gt;0,(Input_Raw[[#This Row],[33 kV_Wind_F3_Export_Reading]]-CN33)*1200,0)</f>
        <v>51600</v>
      </c>
      <c r="CW34" s="148">
        <f>IF(((Input_Raw[[#This Row],[33 kV_Wind_F3_Import_Reading]]-CO33)*1200)&gt;0,(Input_Raw[[#This Row],[33 kV_Wind_F3_Import_Reading]]-CO33)*1200,0)</f>
        <v>1200</v>
      </c>
      <c r="CX34" s="148">
        <f>IF(((Input_Raw[[#This Row],[33 kV_Wind_F4_Export Reading]]-CP33)*1200)&gt;0,(Input_Raw[[#This Row],[33 kV_Wind_F4_Export Reading]]-CP33)*1200,0)</f>
        <v>55200</v>
      </c>
      <c r="CY34" s="148">
        <f>IF(((Input_Raw[[#This Row],[33 kV_Wind_F4_Import Reading]]-CQ33)*1200)&gt;0,(Input_Raw[[#This Row],[33 kV_Wind_F4_Import Reading]]-CQ33)*1200,0)</f>
        <v>1200</v>
      </c>
      <c r="CZ34" s="148">
        <f>Input_Raw[[#This Row],[33 kV_F1_Total_Export (KWh)]]+Input_Raw[[#This Row],[33 kV_F2_Total_Export (KWh)2]]+Input_Raw[[#This Row],[33 kV_Wind_F3_Export (KWh)]]+Input_Raw[[#This Row],[33 kV_Wind_F4_Export (KWh)]]</f>
        <v>187200</v>
      </c>
      <c r="DA34" s="148">
        <f>Input_Raw[[#This Row],[33 kV_Wind_F1_Import (KWh)]]+Input_Raw[[#This Row],[33 kV_Wind_F2_Import (KWh)]]+Input_Raw[[#This Row],[33 kV_Wind_F3_Import (KWh)2]]+Input_Raw[[#This Row],[33 kV_Wind_F4_Import (KWh)2]]</f>
        <v>4800</v>
      </c>
      <c r="DB34" s="21">
        <f>IFERROR(1-Input_Raw[[#This Row],[33 kV_Wind_Total_Export (KWh)]]/Input_Raw[[#This Row],[WTG Total Gneration (KWh)]],0)</f>
        <v>1.5317286652078765E-2</v>
      </c>
      <c r="DC34" s="144">
        <v>96</v>
      </c>
      <c r="DD34" s="147">
        <v>17621</v>
      </c>
      <c r="DE34" s="163">
        <v>190.11</v>
      </c>
      <c r="DF34" s="160"/>
      <c r="DG34" s="162">
        <v>78</v>
      </c>
      <c r="DH34" s="280" t="s">
        <v>381</v>
      </c>
    </row>
    <row r="35" spans="1:112">
      <c r="A35" s="20">
        <f t="shared" si="3"/>
        <v>45775</v>
      </c>
      <c r="B35" s="12">
        <f>YEAR(Input_Raw[[#This Row],[Date]])+IF(MONTH(Input_Raw[[#This Row],[Date]])&gt;=4,1,0)</f>
        <v>2026</v>
      </c>
      <c r="C35" s="13">
        <f>YEAR(Input_Raw[[#This Row],[Date]])</f>
        <v>2025</v>
      </c>
      <c r="D35" s="14">
        <f t="shared" si="2"/>
        <v>45748</v>
      </c>
      <c r="E35" s="13">
        <f>DAY(EOMONTH(Input_Raw[[#This Row],[Date]],0))</f>
        <v>30</v>
      </c>
      <c r="F35" s="15">
        <v>8035</v>
      </c>
      <c r="G35" s="15">
        <v>8042</v>
      </c>
      <c r="H35" s="15">
        <v>8051</v>
      </c>
      <c r="I35" s="15">
        <v>7521</v>
      </c>
      <c r="J35" s="15">
        <v>6672</v>
      </c>
      <c r="K35" s="15">
        <v>8044</v>
      </c>
      <c r="L35" s="15">
        <v>8020</v>
      </c>
      <c r="M35" s="15">
        <v>8047</v>
      </c>
      <c r="N35" s="15">
        <v>7821</v>
      </c>
      <c r="O35" s="15">
        <v>8053</v>
      </c>
      <c r="P35" s="15">
        <v>8059</v>
      </c>
      <c r="Q35" s="15">
        <v>7844</v>
      </c>
      <c r="R35" s="15">
        <v>7856</v>
      </c>
      <c r="S35" s="15">
        <v>7842</v>
      </c>
      <c r="T35" s="15">
        <v>7823</v>
      </c>
      <c r="U35" s="15">
        <v>7834</v>
      </c>
      <c r="V35" s="15">
        <v>7818</v>
      </c>
      <c r="W35" s="15">
        <v>7820</v>
      </c>
      <c r="X35" s="15">
        <v>7853</v>
      </c>
      <c r="Y35" s="15">
        <v>7280</v>
      </c>
      <c r="Z35" s="15">
        <v>6632</v>
      </c>
      <c r="AA35" s="15">
        <v>6640</v>
      </c>
      <c r="AB35" s="15">
        <v>6621</v>
      </c>
      <c r="AC35" s="15">
        <v>6644</v>
      </c>
      <c r="AD35" s="15">
        <v>7021</v>
      </c>
      <c r="AE35" s="15">
        <v>6635</v>
      </c>
      <c r="AF35" s="15">
        <v>6654</v>
      </c>
      <c r="AG35" s="15">
        <v>0</v>
      </c>
      <c r="AH35" s="15">
        <v>5521</v>
      </c>
      <c r="AI35" s="15">
        <v>0</v>
      </c>
      <c r="AJ35" s="15">
        <v>7034</v>
      </c>
      <c r="AK35" s="15">
        <v>7056</v>
      </c>
      <c r="AL35" s="15">
        <v>7045</v>
      </c>
      <c r="AM35" s="15">
        <v>7062</v>
      </c>
      <c r="AN35" s="15">
        <v>6760</v>
      </c>
      <c r="AO35" s="15">
        <v>7052</v>
      </c>
      <c r="AP35" s="15">
        <v>7044</v>
      </c>
      <c r="AQ35" s="15">
        <v>7041</v>
      </c>
      <c r="AR35" s="15">
        <v>7047</v>
      </c>
      <c r="AS35" s="16">
        <v>4.58</v>
      </c>
      <c r="AT35" s="16">
        <v>4.46</v>
      </c>
      <c r="AU35" s="16">
        <v>3.97</v>
      </c>
      <c r="AV35" s="16">
        <v>4.1500000000000004</v>
      </c>
      <c r="AW35" s="16">
        <v>3.78</v>
      </c>
      <c r="AX35" s="16">
        <v>4.38</v>
      </c>
      <c r="AY35" s="16">
        <v>4.4000000000000004</v>
      </c>
      <c r="AZ35" s="16">
        <v>4.13</v>
      </c>
      <c r="BA35" s="16">
        <v>4.08</v>
      </c>
      <c r="BB35" s="16">
        <v>3.95</v>
      </c>
      <c r="BC35" s="16">
        <v>4.01</v>
      </c>
      <c r="BD35" s="16">
        <v>4.04</v>
      </c>
      <c r="BE35" s="16">
        <v>3.98</v>
      </c>
      <c r="BF35" s="16">
        <v>3.84</v>
      </c>
      <c r="BG35" s="16">
        <v>3.92</v>
      </c>
      <c r="BH35" s="16">
        <v>3.95</v>
      </c>
      <c r="BI35" s="16">
        <v>4.1500000000000004</v>
      </c>
      <c r="BJ35" s="16">
        <v>4.01</v>
      </c>
      <c r="BK35" s="16">
        <v>3.99</v>
      </c>
      <c r="BL35" s="16">
        <v>4.01</v>
      </c>
      <c r="BM35" s="16">
        <v>3.76</v>
      </c>
      <c r="BN35" s="16">
        <v>3.87</v>
      </c>
      <c r="BO35" s="16">
        <v>3.95</v>
      </c>
      <c r="BP35" s="16">
        <v>4.26</v>
      </c>
      <c r="BQ35" s="16">
        <v>4.2</v>
      </c>
      <c r="BR35" s="16">
        <v>4.22</v>
      </c>
      <c r="BS35" s="16">
        <v>4.21</v>
      </c>
      <c r="BT35" s="16">
        <v>0</v>
      </c>
      <c r="BU35" s="16">
        <v>5.44</v>
      </c>
      <c r="BV35" s="16">
        <v>0</v>
      </c>
      <c r="BW35" s="16">
        <v>4.17</v>
      </c>
      <c r="BX35" s="16">
        <v>4.1500000000000004</v>
      </c>
      <c r="BY35" s="16">
        <v>4.32</v>
      </c>
      <c r="BZ35" s="16">
        <v>4.55</v>
      </c>
      <c r="CA35" s="16">
        <v>6.32</v>
      </c>
      <c r="CB35" s="16">
        <v>4.45</v>
      </c>
      <c r="CC35" s="16">
        <v>4.87</v>
      </c>
      <c r="CD35" s="16">
        <v>4.3099999999999996</v>
      </c>
      <c r="CE35" s="16">
        <v>5.39</v>
      </c>
      <c r="CF35" s="17">
        <f>SUM(Input_Raw[[#This Row],[G01]:[G40]])</f>
        <v>271844</v>
      </c>
      <c r="CG35" s="18">
        <f>IFERROR(AVERAGE(Input_Raw[[#This Row],[WS_G01]:[WS_G40]]),"")</f>
        <v>4.056923076923078</v>
      </c>
      <c r="CH35" s="19"/>
      <c r="CI35" s="19"/>
      <c r="CJ35" s="15">
        <v>239671</v>
      </c>
      <c r="CK35" s="15">
        <v>2172</v>
      </c>
      <c r="CL35" s="15">
        <v>279696</v>
      </c>
      <c r="CM35" s="15">
        <v>2201</v>
      </c>
      <c r="CN35" s="15">
        <v>255541</v>
      </c>
      <c r="CO35" s="15">
        <v>1808</v>
      </c>
      <c r="CP35" s="15">
        <v>291249</v>
      </c>
      <c r="CQ35" s="15">
        <v>1853</v>
      </c>
      <c r="CR35" s="148">
        <f>IF(((Input_Raw[[#This Row],[33 kV_Wind_F1_Export reading]]-CJ34)*1200)&gt;0,(Input_Raw[[#This Row],[33 kV_Wind_F1_Export reading]]-CJ34)*1200,0)</f>
        <v>69600</v>
      </c>
      <c r="CS35" s="148">
        <f>IF(((Input_Raw[[#This Row],[33 kV_Wind_F1_Import reading]]-CK34)*1200)&gt;0,(Input_Raw[[#This Row],[33 kV_Wind_F1_Import reading]]-CK34)*1200,0)</f>
        <v>0</v>
      </c>
      <c r="CT35" s="148">
        <f>IF(((Input_Raw[[#This Row],[33 kV_Wind_F2_Export_reading]]-CL34)*1200)&gt;0,(Input_Raw[[#This Row],[33 kV_Wind_F2_Export_reading]]-CL34)*1200,0)</f>
        <v>51600</v>
      </c>
      <c r="CU35" s="148">
        <f>IF(((Input_Raw[[#This Row],[33 kV_Wind_F2_Import_reading]]-CM34)*1200)&gt;0,(Input_Raw[[#This Row],[33 kV_Wind_F2_Import_reading]]-CM34)*1200,0)</f>
        <v>0</v>
      </c>
      <c r="CV35" s="148">
        <f>IF(((Input_Raw[[#This Row],[33 kV_Wind_F3_Export_Reading]]-CN34)*1200)&gt;0,(Input_Raw[[#This Row],[33 kV_Wind_F3_Export_Reading]]-CN34)*1200,0)</f>
        <v>70800</v>
      </c>
      <c r="CW35" s="148">
        <f>IF(((Input_Raw[[#This Row],[33 kV_Wind_F3_Import_Reading]]-CO34)*1200)&gt;0,(Input_Raw[[#This Row],[33 kV_Wind_F3_Import_Reading]]-CO34)*1200,0)</f>
        <v>0</v>
      </c>
      <c r="CX35" s="148">
        <f>IF(((Input_Raw[[#This Row],[33 kV_Wind_F4_Export Reading]]-CP34)*1200)&gt;0,(Input_Raw[[#This Row],[33 kV_Wind_F4_Export Reading]]-CP34)*1200,0)</f>
        <v>76800</v>
      </c>
      <c r="CY35" s="148">
        <f>IF(((Input_Raw[[#This Row],[33 kV_Wind_F4_Import Reading]]-CQ34)*1200)&gt;0,(Input_Raw[[#This Row],[33 kV_Wind_F4_Import Reading]]-CQ34)*1200,0)</f>
        <v>0</v>
      </c>
      <c r="CZ35" s="148">
        <f>Input_Raw[[#This Row],[33 kV_F1_Total_Export (KWh)]]+Input_Raw[[#This Row],[33 kV_F2_Total_Export (KWh)2]]+Input_Raw[[#This Row],[33 kV_Wind_F3_Export (KWh)]]+Input_Raw[[#This Row],[33 kV_Wind_F4_Export (KWh)]]</f>
        <v>268800</v>
      </c>
      <c r="DA35" s="148">
        <f>Input_Raw[[#This Row],[33 kV_Wind_F1_Import (KWh)]]+Input_Raw[[#This Row],[33 kV_Wind_F2_Import (KWh)]]+Input_Raw[[#This Row],[33 kV_Wind_F3_Import (KWh)2]]+Input_Raw[[#This Row],[33 kV_Wind_F4_Import (KWh)2]]</f>
        <v>0</v>
      </c>
      <c r="DB35" s="21">
        <f>IFERROR(1-Input_Raw[[#This Row],[33 kV_Wind_Total_Export (KWh)]]/Input_Raw[[#This Row],[WTG Total Gneration (KWh)]],0)</f>
        <v>1.1197598622739502E-2</v>
      </c>
      <c r="DC35" s="144">
        <v>96</v>
      </c>
      <c r="DD35" s="147">
        <v>49821</v>
      </c>
      <c r="DE35" s="163">
        <v>271.83999999999997</v>
      </c>
      <c r="DF35" s="160"/>
      <c r="DG35" s="162">
        <v>78</v>
      </c>
      <c r="DH35" s="280" t="s">
        <v>381</v>
      </c>
    </row>
    <row r="36" spans="1:112">
      <c r="A36" s="20">
        <f t="shared" si="3"/>
        <v>45776</v>
      </c>
      <c r="B36" s="12">
        <f>YEAR(Input_Raw[[#This Row],[Date]])+IF(MONTH(Input_Raw[[#This Row],[Date]])&gt;=4,1,0)</f>
        <v>2026</v>
      </c>
      <c r="C36" s="13">
        <f>YEAR(Input_Raw[[#This Row],[Date]])</f>
        <v>2025</v>
      </c>
      <c r="D36" s="14">
        <f t="shared" si="2"/>
        <v>45748</v>
      </c>
      <c r="E36" s="13">
        <f>DAY(EOMONTH(Input_Raw[[#This Row],[Date]],0))</f>
        <v>30</v>
      </c>
      <c r="F36" s="15">
        <v>6459</v>
      </c>
      <c r="G36" s="15">
        <v>6487</v>
      </c>
      <c r="H36" s="15">
        <v>6443</v>
      </c>
      <c r="I36" s="15">
        <v>6473</v>
      </c>
      <c r="J36" s="15">
        <v>6742</v>
      </c>
      <c r="K36" s="15">
        <v>6452</v>
      </c>
      <c r="L36" s="15">
        <v>6401</v>
      </c>
      <c r="M36" s="15">
        <v>6459</v>
      </c>
      <c r="N36" s="15">
        <v>8098</v>
      </c>
      <c r="O36" s="15">
        <v>6453</v>
      </c>
      <c r="P36" s="15">
        <v>6467</v>
      </c>
      <c r="Q36" s="15">
        <v>8073</v>
      </c>
      <c r="R36" s="15">
        <v>8068</v>
      </c>
      <c r="S36" s="15">
        <v>8079</v>
      </c>
      <c r="T36" s="15">
        <v>8082</v>
      </c>
      <c r="U36" s="15">
        <v>8061</v>
      </c>
      <c r="V36" s="15">
        <v>8013</v>
      </c>
      <c r="W36" s="15">
        <v>8047</v>
      </c>
      <c r="X36" s="15">
        <v>8056</v>
      </c>
      <c r="Y36" s="15">
        <v>8067</v>
      </c>
      <c r="Z36" s="15">
        <v>6755</v>
      </c>
      <c r="AA36" s="15">
        <v>5210</v>
      </c>
      <c r="AB36" s="15">
        <v>6776</v>
      </c>
      <c r="AC36" s="15">
        <v>6785</v>
      </c>
      <c r="AD36" s="15">
        <v>8124</v>
      </c>
      <c r="AE36" s="15">
        <v>6778</v>
      </c>
      <c r="AF36" s="15">
        <v>5567</v>
      </c>
      <c r="AG36" s="15">
        <v>0</v>
      </c>
      <c r="AH36" s="15">
        <v>6792</v>
      </c>
      <c r="AI36" s="15">
        <v>0</v>
      </c>
      <c r="AJ36" s="15">
        <v>8135</v>
      </c>
      <c r="AK36" s="15">
        <v>8122</v>
      </c>
      <c r="AL36" s="15">
        <v>8132</v>
      </c>
      <c r="AM36" s="15">
        <v>8184</v>
      </c>
      <c r="AN36" s="15">
        <v>8157</v>
      </c>
      <c r="AO36" s="15">
        <v>8162</v>
      </c>
      <c r="AP36" s="15">
        <v>8151</v>
      </c>
      <c r="AQ36" s="15">
        <v>8121</v>
      </c>
      <c r="AR36" s="15">
        <v>8139</v>
      </c>
      <c r="AS36" s="16">
        <v>4.58</v>
      </c>
      <c r="AT36" s="16">
        <v>4.46</v>
      </c>
      <c r="AU36" s="16">
        <v>3.97</v>
      </c>
      <c r="AV36" s="16">
        <v>4.1500000000000004</v>
      </c>
      <c r="AW36" s="16">
        <v>3.78</v>
      </c>
      <c r="AX36" s="16">
        <v>4.38</v>
      </c>
      <c r="AY36" s="16">
        <v>4.4000000000000004</v>
      </c>
      <c r="AZ36" s="16">
        <v>4.13</v>
      </c>
      <c r="BA36" s="16">
        <v>4.08</v>
      </c>
      <c r="BB36" s="16">
        <v>3.95</v>
      </c>
      <c r="BC36" s="16">
        <v>4.01</v>
      </c>
      <c r="BD36" s="16">
        <v>4.04</v>
      </c>
      <c r="BE36" s="16">
        <v>3.98</v>
      </c>
      <c r="BF36" s="16">
        <v>3.84</v>
      </c>
      <c r="BG36" s="16">
        <v>3.92</v>
      </c>
      <c r="BH36" s="16">
        <v>3.95</v>
      </c>
      <c r="BI36" s="16">
        <v>4.1500000000000004</v>
      </c>
      <c r="BJ36" s="16">
        <v>4.01</v>
      </c>
      <c r="BK36" s="16">
        <v>3.99</v>
      </c>
      <c r="BL36" s="16">
        <v>4.01</v>
      </c>
      <c r="BM36" s="16">
        <v>3.76</v>
      </c>
      <c r="BN36" s="16">
        <v>3.87</v>
      </c>
      <c r="BO36" s="16">
        <v>3.95</v>
      </c>
      <c r="BP36" s="16">
        <v>4.26</v>
      </c>
      <c r="BQ36" s="16">
        <v>4.2</v>
      </c>
      <c r="BR36" s="16">
        <v>4.22</v>
      </c>
      <c r="BS36" s="16">
        <v>4.21</v>
      </c>
      <c r="BT36" s="16">
        <v>0</v>
      </c>
      <c r="BU36" s="16">
        <v>5.44</v>
      </c>
      <c r="BV36" s="16">
        <v>0</v>
      </c>
      <c r="BW36" s="16">
        <v>4.17</v>
      </c>
      <c r="BX36" s="16">
        <v>4.1500000000000004</v>
      </c>
      <c r="BY36" s="16">
        <v>4.32</v>
      </c>
      <c r="BZ36" s="16">
        <v>4.55</v>
      </c>
      <c r="CA36" s="16">
        <v>6.32</v>
      </c>
      <c r="CB36" s="16">
        <v>4.45</v>
      </c>
      <c r="CC36" s="16">
        <v>4.87</v>
      </c>
      <c r="CD36" s="16">
        <v>4.3099999999999996</v>
      </c>
      <c r="CE36" s="16">
        <v>5.39</v>
      </c>
      <c r="CF36" s="17">
        <f>SUM(Input_Raw[[#This Row],[G01]:[G40]])</f>
        <v>271570</v>
      </c>
      <c r="CG36" s="18">
        <f>IFERROR(AVERAGE(Input_Raw[[#This Row],[WS_G01]:[WS_G40]]),"")</f>
        <v>4.056923076923078</v>
      </c>
      <c r="CH36" s="19"/>
      <c r="CI36" s="19"/>
      <c r="CJ36" s="15">
        <v>239738</v>
      </c>
      <c r="CK36" s="15">
        <v>2173</v>
      </c>
      <c r="CL36" s="15">
        <v>279738</v>
      </c>
      <c r="CM36" s="15">
        <v>2202</v>
      </c>
      <c r="CN36" s="15">
        <v>255589</v>
      </c>
      <c r="CO36" s="15">
        <v>1809</v>
      </c>
      <c r="CP36" s="15">
        <v>291316</v>
      </c>
      <c r="CQ36" s="15">
        <v>1854</v>
      </c>
      <c r="CR36" s="148">
        <f>IF(((Input_Raw[[#This Row],[33 kV_Wind_F1_Export reading]]-CJ35)*1200)&gt;0,(Input_Raw[[#This Row],[33 kV_Wind_F1_Export reading]]-CJ35)*1200,0)</f>
        <v>80400</v>
      </c>
      <c r="CS36" s="148">
        <f>IF(((Input_Raw[[#This Row],[33 kV_Wind_F1_Import reading]]-CK35)*1200)&gt;0,(Input_Raw[[#This Row],[33 kV_Wind_F1_Import reading]]-CK35)*1200,0)</f>
        <v>1200</v>
      </c>
      <c r="CT36" s="148">
        <f>IF(((Input_Raw[[#This Row],[33 kV_Wind_F2_Export_reading]]-CL35)*1200)&gt;0,(Input_Raw[[#This Row],[33 kV_Wind_F2_Export_reading]]-CL35)*1200,0)</f>
        <v>50400</v>
      </c>
      <c r="CU36" s="148">
        <f>IF(((Input_Raw[[#This Row],[33 kV_Wind_F2_Import_reading]]-CM35)*1200)&gt;0,(Input_Raw[[#This Row],[33 kV_Wind_F2_Import_reading]]-CM35)*1200,0)</f>
        <v>1200</v>
      </c>
      <c r="CV36" s="148">
        <f>IF(((Input_Raw[[#This Row],[33 kV_Wind_F3_Export_Reading]]-CN35)*1200)&gt;0,(Input_Raw[[#This Row],[33 kV_Wind_F3_Export_Reading]]-CN35)*1200,0)</f>
        <v>57600</v>
      </c>
      <c r="CW36" s="148">
        <f>IF(((Input_Raw[[#This Row],[33 kV_Wind_F3_Import_Reading]]-CO35)*1200)&gt;0,(Input_Raw[[#This Row],[33 kV_Wind_F3_Import_Reading]]-CO35)*1200,0)</f>
        <v>1200</v>
      </c>
      <c r="CX36" s="148">
        <f>IF(((Input_Raw[[#This Row],[33 kV_Wind_F4_Export Reading]]-CP35)*1200)&gt;0,(Input_Raw[[#This Row],[33 kV_Wind_F4_Export Reading]]-CP35)*1200,0)</f>
        <v>80400</v>
      </c>
      <c r="CY36" s="148">
        <f>IF(((Input_Raw[[#This Row],[33 kV_Wind_F4_Import Reading]]-CQ35)*1200)&gt;0,(Input_Raw[[#This Row],[33 kV_Wind_F4_Import Reading]]-CQ35)*1200,0)</f>
        <v>1200</v>
      </c>
      <c r="CZ36" s="148">
        <f>Input_Raw[[#This Row],[33 kV_F1_Total_Export (KWh)]]+Input_Raw[[#This Row],[33 kV_F2_Total_Export (KWh)2]]+Input_Raw[[#This Row],[33 kV_Wind_F3_Export (KWh)]]+Input_Raw[[#This Row],[33 kV_Wind_F4_Export (KWh)]]</f>
        <v>268800</v>
      </c>
      <c r="DA36" s="148">
        <f>Input_Raw[[#This Row],[33 kV_Wind_F1_Import (KWh)]]+Input_Raw[[#This Row],[33 kV_Wind_F2_Import (KWh)]]+Input_Raw[[#This Row],[33 kV_Wind_F3_Import (KWh)2]]+Input_Raw[[#This Row],[33 kV_Wind_F4_Import (KWh)2]]</f>
        <v>4800</v>
      </c>
      <c r="DB36" s="21">
        <f>IFERROR(1-Input_Raw[[#This Row],[33 kV_Wind_Total_Export (KWh)]]/Input_Raw[[#This Row],[WTG Total Gneration (KWh)]],0)</f>
        <v>1.0199948447913942E-2</v>
      </c>
      <c r="DC36" s="144">
        <v>96</v>
      </c>
      <c r="DD36" s="147">
        <v>39915</v>
      </c>
      <c r="DE36" s="163">
        <v>271.54000000000002</v>
      </c>
      <c r="DF36" s="160"/>
      <c r="DG36" s="162">
        <v>78</v>
      </c>
      <c r="DH36" s="280" t="s">
        <v>381</v>
      </c>
    </row>
    <row r="37" spans="1:112">
      <c r="A37" s="20">
        <f t="shared" si="3"/>
        <v>45777</v>
      </c>
      <c r="B37" s="12">
        <f>YEAR(Input_Raw[[#This Row],[Date]])+IF(MONTH(Input_Raw[[#This Row],[Date]])&gt;=4,1,0)</f>
        <v>2026</v>
      </c>
      <c r="C37" s="13">
        <f>YEAR(Input_Raw[[#This Row],[Date]])</f>
        <v>2025</v>
      </c>
      <c r="D37" s="14">
        <f t="shared" si="2"/>
        <v>45748</v>
      </c>
      <c r="E37" s="13">
        <f>DAY(EOMONTH(Input_Raw[[#This Row],[Date]],0))</f>
        <v>30</v>
      </c>
      <c r="F37" s="15">
        <v>16089</v>
      </c>
      <c r="G37" s="15">
        <v>16078</v>
      </c>
      <c r="H37" s="15">
        <v>16042</v>
      </c>
      <c r="I37" s="15">
        <v>14467</v>
      </c>
      <c r="J37" s="15">
        <v>15425</v>
      </c>
      <c r="K37" s="15">
        <v>16059</v>
      </c>
      <c r="L37" s="15">
        <v>16042</v>
      </c>
      <c r="M37" s="15">
        <v>16072</v>
      </c>
      <c r="N37" s="15">
        <v>17489</v>
      </c>
      <c r="O37" s="15">
        <v>16079</v>
      </c>
      <c r="P37" s="15">
        <v>14989</v>
      </c>
      <c r="Q37" s="15">
        <v>17467</v>
      </c>
      <c r="R37" s="15">
        <v>17482</v>
      </c>
      <c r="S37" s="15">
        <v>17421</v>
      </c>
      <c r="T37" s="15">
        <v>17429</v>
      </c>
      <c r="U37" s="15">
        <v>17435</v>
      </c>
      <c r="V37" s="15">
        <v>17445</v>
      </c>
      <c r="W37" s="15">
        <v>17466</v>
      </c>
      <c r="X37" s="15">
        <v>17487</v>
      </c>
      <c r="Y37" s="15">
        <v>17501</v>
      </c>
      <c r="Z37" s="15">
        <v>15456</v>
      </c>
      <c r="AA37" s="15">
        <v>12641</v>
      </c>
      <c r="AB37" s="15">
        <v>13935</v>
      </c>
      <c r="AC37" s="15">
        <v>15467</v>
      </c>
      <c r="AD37" s="15">
        <v>15921</v>
      </c>
      <c r="AE37" s="15">
        <v>15432</v>
      </c>
      <c r="AF37" s="15">
        <v>12782</v>
      </c>
      <c r="AG37" s="15">
        <v>0</v>
      </c>
      <c r="AH37" s="15">
        <v>15469</v>
      </c>
      <c r="AI37" s="15">
        <v>0</v>
      </c>
      <c r="AJ37" s="15">
        <v>15934</v>
      </c>
      <c r="AK37" s="15">
        <v>15954</v>
      </c>
      <c r="AL37" s="15">
        <v>14263</v>
      </c>
      <c r="AM37" s="15">
        <v>15967</v>
      </c>
      <c r="AN37" s="15">
        <v>15945</v>
      </c>
      <c r="AO37" s="15">
        <v>15932</v>
      </c>
      <c r="AP37" s="15">
        <v>15957</v>
      </c>
      <c r="AQ37" s="15">
        <v>15955</v>
      </c>
      <c r="AR37" s="15">
        <v>15968</v>
      </c>
      <c r="AS37" s="16">
        <v>6.04</v>
      </c>
      <c r="AT37" s="16">
        <v>6.55</v>
      </c>
      <c r="AU37" s="16">
        <v>6.01</v>
      </c>
      <c r="AV37" s="16">
        <v>5.72</v>
      </c>
      <c r="AW37" s="16">
        <v>6.71</v>
      </c>
      <c r="AX37" s="16">
        <v>6.27</v>
      </c>
      <c r="AY37" s="16">
        <v>6</v>
      </c>
      <c r="AZ37" s="16">
        <v>5.79</v>
      </c>
      <c r="BA37" s="16">
        <v>6</v>
      </c>
      <c r="BB37" s="16">
        <v>6.65</v>
      </c>
      <c r="BC37" s="16">
        <v>6.61</v>
      </c>
      <c r="BD37" s="16">
        <v>6.36</v>
      </c>
      <c r="BE37" s="16">
        <v>6.31</v>
      </c>
      <c r="BF37" s="16">
        <v>6.18</v>
      </c>
      <c r="BG37" s="16">
        <v>6.29</v>
      </c>
      <c r="BH37" s="16">
        <v>6.5</v>
      </c>
      <c r="BI37" s="16">
        <v>6.63</v>
      </c>
      <c r="BJ37" s="16">
        <v>6.48</v>
      </c>
      <c r="BK37" s="16">
        <v>6.75</v>
      </c>
      <c r="BL37" s="16">
        <v>6.78</v>
      </c>
      <c r="BM37" s="16">
        <v>6.72</v>
      </c>
      <c r="BN37" s="16">
        <v>6.39</v>
      </c>
      <c r="BO37" s="16">
        <v>5.76</v>
      </c>
      <c r="BP37" s="16">
        <v>5.9</v>
      </c>
      <c r="BQ37" s="16">
        <v>6.3</v>
      </c>
      <c r="BR37" s="16">
        <v>5.66</v>
      </c>
      <c r="BS37" s="16">
        <v>5.5</v>
      </c>
      <c r="BT37" s="16">
        <v>5.76</v>
      </c>
      <c r="BU37" s="16">
        <v>5.28</v>
      </c>
      <c r="BV37" s="16">
        <v>0</v>
      </c>
      <c r="BW37" s="16">
        <v>5.85</v>
      </c>
      <c r="BX37" s="16">
        <v>5.65</v>
      </c>
      <c r="BY37" s="16">
        <v>5.63</v>
      </c>
      <c r="BZ37" s="16">
        <v>5.65</v>
      </c>
      <c r="CA37" s="16">
        <v>5.94</v>
      </c>
      <c r="CB37" s="16">
        <v>5.56</v>
      </c>
      <c r="CC37" s="16">
        <v>5.81</v>
      </c>
      <c r="CD37" s="16">
        <v>5.84</v>
      </c>
      <c r="CE37" s="16">
        <v>5.94</v>
      </c>
      <c r="CF37" s="17">
        <f>SUM(Input_Raw[[#This Row],[G01]:[G40]])</f>
        <v>590942</v>
      </c>
      <c r="CG37" s="18">
        <f>IFERROR(AVERAGE(Input_Raw[[#This Row],[WS_G01]:[WS_G40]]),"")</f>
        <v>5.9428205128205125</v>
      </c>
      <c r="CH37" s="19"/>
      <c r="CI37" s="19"/>
      <c r="CJ37" s="15">
        <v>239869</v>
      </c>
      <c r="CK37" s="15">
        <v>2173</v>
      </c>
      <c r="CL37" s="15">
        <v>279835</v>
      </c>
      <c r="CM37" s="15">
        <v>2202</v>
      </c>
      <c r="CN37" s="15">
        <v>255707</v>
      </c>
      <c r="CO37" s="15">
        <v>1809</v>
      </c>
      <c r="CP37" s="15">
        <v>291461</v>
      </c>
      <c r="CQ37" s="15">
        <v>1854</v>
      </c>
      <c r="CR37" s="148">
        <f>IF(((Input_Raw[[#This Row],[33 kV_Wind_F1_Export reading]]-CJ36)*1200)&gt;0,(Input_Raw[[#This Row],[33 kV_Wind_F1_Export reading]]-CJ36)*1200,0)</f>
        <v>157200</v>
      </c>
      <c r="CS37" s="148">
        <f>IF(((Input_Raw[[#This Row],[33 kV_Wind_F1_Import reading]]-CK36)*1200)&gt;0,(Input_Raw[[#This Row],[33 kV_Wind_F1_Import reading]]-CK36)*1200,0)</f>
        <v>0</v>
      </c>
      <c r="CT37" s="148">
        <f>IF(((Input_Raw[[#This Row],[33 kV_Wind_F2_Export_reading]]-CL36)*1200)&gt;0,(Input_Raw[[#This Row],[33 kV_Wind_F2_Export_reading]]-CL36)*1200,0)</f>
        <v>116400</v>
      </c>
      <c r="CU37" s="148">
        <f>IF(((Input_Raw[[#This Row],[33 kV_Wind_F2_Import_reading]]-CM36)*1200)&gt;0,(Input_Raw[[#This Row],[33 kV_Wind_F2_Import_reading]]-CM36)*1200,0)</f>
        <v>0</v>
      </c>
      <c r="CV37" s="148">
        <f>IF(((Input_Raw[[#This Row],[33 kV_Wind_F3_Export_Reading]]-CN36)*1200)&gt;0,(Input_Raw[[#This Row],[33 kV_Wind_F3_Export_Reading]]-CN36)*1200,0)</f>
        <v>141600</v>
      </c>
      <c r="CW37" s="148">
        <f>IF(((Input_Raw[[#This Row],[33 kV_Wind_F3_Import_Reading]]-CO36)*1200)&gt;0,(Input_Raw[[#This Row],[33 kV_Wind_F3_Import_Reading]]-CO36)*1200,0)</f>
        <v>0</v>
      </c>
      <c r="CX37" s="148">
        <f>IF(((Input_Raw[[#This Row],[33 kV_Wind_F4_Export Reading]]-CP36)*1200)&gt;0,(Input_Raw[[#This Row],[33 kV_Wind_F4_Export Reading]]-CP36)*1200,0)</f>
        <v>174000</v>
      </c>
      <c r="CY37" s="148">
        <f>IF(((Input_Raw[[#This Row],[33 kV_Wind_F4_Import Reading]]-CQ36)*1200)&gt;0,(Input_Raw[[#This Row],[33 kV_Wind_F4_Import Reading]]-CQ36)*1200,0)</f>
        <v>0</v>
      </c>
      <c r="CZ37" s="148">
        <f>Input_Raw[[#This Row],[33 kV_F1_Total_Export (KWh)]]+Input_Raw[[#This Row],[33 kV_F2_Total_Export (KWh)2]]+Input_Raw[[#This Row],[33 kV_Wind_F3_Export (KWh)]]+Input_Raw[[#This Row],[33 kV_Wind_F4_Export (KWh)]]</f>
        <v>589200</v>
      </c>
      <c r="DA37" s="148">
        <f>Input_Raw[[#This Row],[33 kV_Wind_F1_Import (KWh)]]+Input_Raw[[#This Row],[33 kV_Wind_F2_Import (KWh)]]+Input_Raw[[#This Row],[33 kV_Wind_F3_Import (KWh)2]]+Input_Raw[[#This Row],[33 kV_Wind_F4_Import (KWh)2]]</f>
        <v>0</v>
      </c>
      <c r="DB37" s="21">
        <f>IFERROR(1-Input_Raw[[#This Row],[33 kV_Wind_Total_Export (KWh)]]/Input_Raw[[#This Row],[WTG Total Gneration (KWh)]],0)</f>
        <v>2.9478358282200023E-3</v>
      </c>
      <c r="DC37" s="144">
        <v>96</v>
      </c>
      <c r="DD37" s="147">
        <v>129769</v>
      </c>
      <c r="DE37" s="163">
        <v>590.94000000000005</v>
      </c>
      <c r="DF37" s="160"/>
      <c r="DG37" s="162">
        <v>78</v>
      </c>
      <c r="DH37" s="280" t="s">
        <v>381</v>
      </c>
    </row>
    <row r="38" spans="1:112">
      <c r="A38" s="20">
        <f t="shared" si="3"/>
        <v>45778</v>
      </c>
      <c r="B38" s="12">
        <f>YEAR(Input_Raw[[#This Row],[Date]])+IF(MONTH(Input_Raw[[#This Row],[Date]])&gt;=4,1,0)</f>
        <v>2026</v>
      </c>
      <c r="C38" s="13">
        <f>YEAR(Input_Raw[[#This Row],[Date]])</f>
        <v>2025</v>
      </c>
      <c r="D38" s="14">
        <f t="shared" si="2"/>
        <v>45778</v>
      </c>
      <c r="E38" s="13">
        <f>DAY(EOMONTH(Input_Raw[[#This Row],[Date]],0))</f>
        <v>31</v>
      </c>
      <c r="F38" s="15">
        <v>16821</v>
      </c>
      <c r="G38" s="15">
        <v>16852</v>
      </c>
      <c r="H38" s="15">
        <v>16832</v>
      </c>
      <c r="I38" s="15">
        <v>16825</v>
      </c>
      <c r="J38" s="15">
        <v>15121</v>
      </c>
      <c r="K38" s="15">
        <v>16832</v>
      </c>
      <c r="L38" s="15">
        <v>16844</v>
      </c>
      <c r="M38" s="15">
        <v>16842</v>
      </c>
      <c r="N38" s="15">
        <v>16583</v>
      </c>
      <c r="O38" s="15">
        <v>16845</v>
      </c>
      <c r="P38" s="15">
        <v>16858</v>
      </c>
      <c r="Q38" s="15">
        <v>16574</v>
      </c>
      <c r="R38" s="15">
        <v>16587</v>
      </c>
      <c r="S38" s="15">
        <v>16537</v>
      </c>
      <c r="T38" s="15">
        <v>16573</v>
      </c>
      <c r="U38" s="15">
        <v>16001</v>
      </c>
      <c r="V38" s="15">
        <v>16529</v>
      </c>
      <c r="W38" s="15">
        <v>16542</v>
      </c>
      <c r="X38" s="15">
        <v>16584</v>
      </c>
      <c r="Y38" s="15">
        <v>16578</v>
      </c>
      <c r="Z38" s="15">
        <v>15124</v>
      </c>
      <c r="AA38" s="15">
        <v>13052</v>
      </c>
      <c r="AB38" s="15">
        <v>15142</v>
      </c>
      <c r="AC38" s="15">
        <v>15152</v>
      </c>
      <c r="AD38" s="15">
        <v>15528</v>
      </c>
      <c r="AE38" s="15">
        <v>15562</v>
      </c>
      <c r="AF38" s="15">
        <v>15526</v>
      </c>
      <c r="AG38" s="15">
        <v>0</v>
      </c>
      <c r="AH38" s="15">
        <v>13531</v>
      </c>
      <c r="AI38" s="15">
        <v>0</v>
      </c>
      <c r="AJ38" s="15">
        <v>15532</v>
      </c>
      <c r="AK38" s="15">
        <v>13574</v>
      </c>
      <c r="AL38" s="15">
        <v>15535</v>
      </c>
      <c r="AM38" s="15">
        <v>15534</v>
      </c>
      <c r="AN38" s="15">
        <v>15565</v>
      </c>
      <c r="AO38" s="15">
        <v>15546</v>
      </c>
      <c r="AP38" s="15">
        <v>15537</v>
      </c>
      <c r="AQ38" s="15">
        <v>15542</v>
      </c>
      <c r="AR38" s="15">
        <v>15543</v>
      </c>
      <c r="AS38" s="16">
        <v>5.58</v>
      </c>
      <c r="AT38" s="16">
        <v>6.55</v>
      </c>
      <c r="AU38" s="16">
        <v>5.67</v>
      </c>
      <c r="AV38" s="16">
        <v>5.72</v>
      </c>
      <c r="AW38" s="16">
        <v>6.71</v>
      </c>
      <c r="AX38" s="16">
        <v>6.27</v>
      </c>
      <c r="AY38" s="16">
        <v>6</v>
      </c>
      <c r="AZ38" s="16">
        <v>5.79</v>
      </c>
      <c r="BA38" s="16">
        <v>6</v>
      </c>
      <c r="BB38" s="16">
        <v>6.65</v>
      </c>
      <c r="BC38" s="16">
        <v>5.98</v>
      </c>
      <c r="BD38" s="16">
        <v>6.36</v>
      </c>
      <c r="BE38" s="16">
        <v>6.31</v>
      </c>
      <c r="BF38" s="16">
        <v>5.42</v>
      </c>
      <c r="BG38" s="16">
        <v>6.29</v>
      </c>
      <c r="BH38" s="16">
        <v>6.5</v>
      </c>
      <c r="BI38" s="16">
        <v>6.63</v>
      </c>
      <c r="BJ38" s="16">
        <v>6.48</v>
      </c>
      <c r="BK38" s="16">
        <v>6.75</v>
      </c>
      <c r="BL38" s="16">
        <v>6.78</v>
      </c>
      <c r="BM38" s="16">
        <v>6.72</v>
      </c>
      <c r="BN38" s="16">
        <v>6.39</v>
      </c>
      <c r="BO38" s="16">
        <v>5.76</v>
      </c>
      <c r="BP38" s="16">
        <v>5.9</v>
      </c>
      <c r="BQ38" s="16">
        <v>6.3</v>
      </c>
      <c r="BR38" s="16">
        <v>5.66</v>
      </c>
      <c r="BS38" s="16">
        <v>5.5</v>
      </c>
      <c r="BT38" s="16">
        <v>5.76</v>
      </c>
      <c r="BU38" s="16">
        <v>5.28</v>
      </c>
      <c r="BV38" s="16">
        <v>0</v>
      </c>
      <c r="BW38" s="16">
        <v>5.85</v>
      </c>
      <c r="BX38" s="16">
        <v>5.65</v>
      </c>
      <c r="BY38" s="16">
        <v>5.63</v>
      </c>
      <c r="BZ38" s="16">
        <v>5.65</v>
      </c>
      <c r="CA38" s="16">
        <v>5.94</v>
      </c>
      <c r="CB38" s="16">
        <v>5.56</v>
      </c>
      <c r="CC38" s="16">
        <v>5.81</v>
      </c>
      <c r="CD38" s="16">
        <v>5.84</v>
      </c>
      <c r="CE38" s="16">
        <v>5.94</v>
      </c>
      <c r="CF38" s="17">
        <f>SUM(Input_Raw[[#This Row],[G01]:[G40]])</f>
        <v>588285</v>
      </c>
      <c r="CG38" s="18">
        <f>IFERROR(AVERAGE(Input_Raw[[#This Row],[WS_G01]:[WS_G40]]),"")</f>
        <v>5.8866666666666667</v>
      </c>
      <c r="CH38" s="19"/>
      <c r="CI38" s="19"/>
      <c r="CJ38" s="15">
        <v>239996</v>
      </c>
      <c r="CK38" s="15">
        <v>2173</v>
      </c>
      <c r="CL38" s="15">
        <v>279932</v>
      </c>
      <c r="CM38" s="15">
        <v>2202</v>
      </c>
      <c r="CN38" s="15">
        <v>255833</v>
      </c>
      <c r="CO38" s="15">
        <v>1809</v>
      </c>
      <c r="CP38" s="15">
        <v>291598</v>
      </c>
      <c r="CQ38" s="15">
        <v>1854</v>
      </c>
      <c r="CR38" s="148">
        <f>IF(((Input_Raw[[#This Row],[33 kV_Wind_F1_Export reading]]-CJ37)*1200)&gt;0,(Input_Raw[[#This Row],[33 kV_Wind_F1_Export reading]]-CJ37)*1200,0)</f>
        <v>152400</v>
      </c>
      <c r="CS38" s="148">
        <f>IF(((Input_Raw[[#This Row],[33 kV_Wind_F1_Import reading]]-CK37)*1200)&gt;0,(Input_Raw[[#This Row],[33 kV_Wind_F1_Import reading]]-CK37)*1200,0)</f>
        <v>0</v>
      </c>
      <c r="CT38" s="148">
        <f>IF(((Input_Raw[[#This Row],[33 kV_Wind_F2_Export_reading]]-CL37)*1200)&gt;0,(Input_Raw[[#This Row],[33 kV_Wind_F2_Export_reading]]-CL37)*1200,0)</f>
        <v>116400</v>
      </c>
      <c r="CU38" s="148">
        <f>IF(((Input_Raw[[#This Row],[33 kV_Wind_F2_Import_reading]]-CM37)*1200)&gt;0,(Input_Raw[[#This Row],[33 kV_Wind_F2_Import_reading]]-CM37)*1200,0)</f>
        <v>0</v>
      </c>
      <c r="CV38" s="148">
        <f>IF(((Input_Raw[[#This Row],[33 kV_Wind_F3_Export_Reading]]-CN37)*1200)&gt;0,(Input_Raw[[#This Row],[33 kV_Wind_F3_Export_Reading]]-CN37)*1200,0)</f>
        <v>151200</v>
      </c>
      <c r="CW38" s="148">
        <f>IF(((Input_Raw[[#This Row],[33 kV_Wind_F3_Import_Reading]]-CO37)*1200)&gt;0,(Input_Raw[[#This Row],[33 kV_Wind_F3_Import_Reading]]-CO37)*1200,0)</f>
        <v>0</v>
      </c>
      <c r="CX38" s="148">
        <f>IF(((Input_Raw[[#This Row],[33 kV_Wind_F4_Export Reading]]-CP37)*1200)&gt;0,(Input_Raw[[#This Row],[33 kV_Wind_F4_Export Reading]]-CP37)*1200,0)</f>
        <v>164400</v>
      </c>
      <c r="CY38" s="148">
        <f>IF(((Input_Raw[[#This Row],[33 kV_Wind_F4_Import Reading]]-CQ37)*1200)&gt;0,(Input_Raw[[#This Row],[33 kV_Wind_F4_Import Reading]]-CQ37)*1200,0)</f>
        <v>0</v>
      </c>
      <c r="CZ38" s="148">
        <f>Input_Raw[[#This Row],[33 kV_F1_Total_Export (KWh)]]+Input_Raw[[#This Row],[33 kV_F2_Total_Export (KWh)2]]+Input_Raw[[#This Row],[33 kV_Wind_F3_Export (KWh)]]+Input_Raw[[#This Row],[33 kV_Wind_F4_Export (KWh)]]</f>
        <v>584400</v>
      </c>
      <c r="DA38" s="148">
        <f>Input_Raw[[#This Row],[33 kV_Wind_F1_Import (KWh)]]+Input_Raw[[#This Row],[33 kV_Wind_F2_Import (KWh)]]+Input_Raw[[#This Row],[33 kV_Wind_F3_Import (KWh)2]]+Input_Raw[[#This Row],[33 kV_Wind_F4_Import (KWh)2]]</f>
        <v>0</v>
      </c>
      <c r="DB38" s="21">
        <f>IFERROR(1-Input_Raw[[#This Row],[33 kV_Wind_Total_Export (KWh)]]/Input_Raw[[#This Row],[WTG Total Gneration (KWh)]],0)</f>
        <v>6.6039419669038368E-3</v>
      </c>
      <c r="DC38" s="144">
        <v>96</v>
      </c>
      <c r="DD38" s="147">
        <v>139458</v>
      </c>
      <c r="DE38" s="163">
        <v>588.28</v>
      </c>
      <c r="DF38" s="160"/>
      <c r="DG38" s="162">
        <v>78</v>
      </c>
      <c r="DH38" s="280" t="s">
        <v>381</v>
      </c>
    </row>
    <row r="39" spans="1:112">
      <c r="A39" s="20">
        <f>A38+1</f>
        <v>45779</v>
      </c>
      <c r="B39" s="12">
        <f>YEAR(Input_Raw[[#This Row],[Date]])+IF(MONTH(Input_Raw[[#This Row],[Date]])&gt;=4,1,0)</f>
        <v>2026</v>
      </c>
      <c r="C39" s="13">
        <f>YEAR(Input_Raw[[#This Row],[Date]])</f>
        <v>2025</v>
      </c>
      <c r="D39" s="14">
        <f t="shared" si="2"/>
        <v>45778</v>
      </c>
      <c r="E39" s="13">
        <f>DAY(EOMONTH(Input_Raw[[#This Row],[Date]],0))</f>
        <v>31</v>
      </c>
      <c r="F39" s="15">
        <v>14538</v>
      </c>
      <c r="G39" s="15">
        <v>14554</v>
      </c>
      <c r="H39" s="15">
        <v>14576</v>
      </c>
      <c r="I39" s="15">
        <v>14574</v>
      </c>
      <c r="J39" s="15">
        <v>12967</v>
      </c>
      <c r="K39" s="15">
        <v>14573</v>
      </c>
      <c r="L39" s="15">
        <v>11052</v>
      </c>
      <c r="M39" s="15">
        <v>14576</v>
      </c>
      <c r="N39" s="15">
        <v>13721</v>
      </c>
      <c r="O39" s="15">
        <v>14621</v>
      </c>
      <c r="P39" s="15">
        <v>14678</v>
      </c>
      <c r="Q39" s="15">
        <v>13753</v>
      </c>
      <c r="R39" s="15">
        <v>14749</v>
      </c>
      <c r="S39" s="15">
        <v>14756</v>
      </c>
      <c r="T39" s="15">
        <v>14732</v>
      </c>
      <c r="U39" s="15">
        <v>14765</v>
      </c>
      <c r="V39" s="15">
        <v>14768</v>
      </c>
      <c r="W39" s="15">
        <v>12952</v>
      </c>
      <c r="X39" s="15">
        <v>14789</v>
      </c>
      <c r="Y39" s="15">
        <v>14799</v>
      </c>
      <c r="Z39" s="15">
        <v>12888</v>
      </c>
      <c r="AA39" s="15">
        <v>12863</v>
      </c>
      <c r="AB39" s="15">
        <v>12877</v>
      </c>
      <c r="AC39" s="15">
        <v>12889</v>
      </c>
      <c r="AD39" s="15">
        <v>11834</v>
      </c>
      <c r="AE39" s="15">
        <v>11750</v>
      </c>
      <c r="AF39" s="15">
        <v>12844</v>
      </c>
      <c r="AG39" s="15">
        <v>0</v>
      </c>
      <c r="AH39" s="15">
        <v>12856</v>
      </c>
      <c r="AI39" s="15">
        <v>0</v>
      </c>
      <c r="AJ39" s="15">
        <v>11453</v>
      </c>
      <c r="AK39" s="15">
        <v>11842</v>
      </c>
      <c r="AL39" s="15">
        <v>11849</v>
      </c>
      <c r="AM39" s="15">
        <v>11832</v>
      </c>
      <c r="AN39" s="15">
        <v>11854</v>
      </c>
      <c r="AO39" s="15">
        <v>11844</v>
      </c>
      <c r="AP39" s="15">
        <v>11824</v>
      </c>
      <c r="AQ39" s="15">
        <v>11856</v>
      </c>
      <c r="AR39" s="15">
        <v>11845</v>
      </c>
      <c r="AS39" s="16">
        <v>4.7300000000000004</v>
      </c>
      <c r="AT39" s="16">
        <v>5.25</v>
      </c>
      <c r="AU39" s="16">
        <v>4.97</v>
      </c>
      <c r="AV39" s="16">
        <v>4.5599999999999996</v>
      </c>
      <c r="AW39" s="16">
        <v>4.53</v>
      </c>
      <c r="AX39" s="16">
        <v>5.13</v>
      </c>
      <c r="AY39" s="16">
        <v>4.74</v>
      </c>
      <c r="AZ39" s="16">
        <v>4.54</v>
      </c>
      <c r="BA39" s="16">
        <v>5.04</v>
      </c>
      <c r="BB39" s="16">
        <v>4.6500000000000004</v>
      </c>
      <c r="BC39" s="16">
        <v>5.08</v>
      </c>
      <c r="BD39" s="16">
        <v>5.09</v>
      </c>
      <c r="BE39" s="16">
        <v>5.15</v>
      </c>
      <c r="BF39" s="16">
        <v>6.01</v>
      </c>
      <c r="BG39" s="16">
        <v>4.79</v>
      </c>
      <c r="BH39" s="16">
        <v>4.63</v>
      </c>
      <c r="BI39" s="16">
        <v>4.4000000000000004</v>
      </c>
      <c r="BJ39" s="16">
        <v>4.6900000000000004</v>
      </c>
      <c r="BK39" s="16">
        <v>5.17</v>
      </c>
      <c r="BL39" s="16">
        <v>5.05</v>
      </c>
      <c r="BM39" s="16">
        <v>4.8</v>
      </c>
      <c r="BN39" s="16">
        <v>4.95</v>
      </c>
      <c r="BO39" s="16">
        <v>4.57</v>
      </c>
      <c r="BP39" s="16">
        <v>4.87</v>
      </c>
      <c r="BQ39" s="16">
        <v>4.67</v>
      </c>
      <c r="BR39" s="16">
        <v>4.45</v>
      </c>
      <c r="BS39" s="16">
        <v>4.4800000000000004</v>
      </c>
      <c r="BT39" s="16">
        <v>0</v>
      </c>
      <c r="BU39" s="16">
        <v>4.42</v>
      </c>
      <c r="BV39" s="16">
        <v>0</v>
      </c>
      <c r="BW39" s="16">
        <v>4.25</v>
      </c>
      <c r="BX39" s="16">
        <v>4.37</v>
      </c>
      <c r="BY39" s="16">
        <v>4.4800000000000004</v>
      </c>
      <c r="BZ39" s="16">
        <v>4.63</v>
      </c>
      <c r="CA39" s="16">
        <v>4.57</v>
      </c>
      <c r="CB39" s="16">
        <v>4.4400000000000004</v>
      </c>
      <c r="CC39" s="16">
        <v>4.53</v>
      </c>
      <c r="CD39" s="16">
        <v>4.53</v>
      </c>
      <c r="CE39" s="16">
        <v>4.67</v>
      </c>
      <c r="CF39" s="17">
        <f>SUM(Input_Raw[[#This Row],[G01]:[G40]])</f>
        <v>491493</v>
      </c>
      <c r="CG39" s="18">
        <f>IFERROR(AVERAGE(Input_Raw[[#This Row],[WS_G01]:[WS_G40]]),"")</f>
        <v>4.5097435897435885</v>
      </c>
      <c r="CH39" s="19"/>
      <c r="CI39" s="19"/>
      <c r="CJ39" s="15">
        <v>240094</v>
      </c>
      <c r="CK39" s="15">
        <v>2173</v>
      </c>
      <c r="CL39" s="15">
        <v>280017</v>
      </c>
      <c r="CM39" s="15">
        <v>2202</v>
      </c>
      <c r="CN39" s="15">
        <v>255927</v>
      </c>
      <c r="CO39" s="15">
        <v>1809</v>
      </c>
      <c r="CP39" s="15">
        <v>291712</v>
      </c>
      <c r="CQ39" s="15">
        <v>1854</v>
      </c>
      <c r="CR39" s="148">
        <f>IF(((Input_Raw[[#This Row],[33 kV_Wind_F1_Export reading]]-CJ38)*1200)&gt;0,(Input_Raw[[#This Row],[33 kV_Wind_F1_Export reading]]-CJ38)*1200,0)</f>
        <v>117600</v>
      </c>
      <c r="CS39" s="148">
        <f>IF(((Input_Raw[[#This Row],[33 kV_Wind_F1_Import reading]]-CK38)*1200)&gt;0,(Input_Raw[[#This Row],[33 kV_Wind_F1_Import reading]]-CK38)*1200,0)</f>
        <v>0</v>
      </c>
      <c r="CT39" s="148">
        <f>IF(((Input_Raw[[#This Row],[33 kV_Wind_F2_Export_reading]]-CL38)*1200)&gt;0,(Input_Raw[[#This Row],[33 kV_Wind_F2_Export_reading]]-CL38)*1200,0)</f>
        <v>102000</v>
      </c>
      <c r="CU39" s="148">
        <f>IF(((Input_Raw[[#This Row],[33 kV_Wind_F2_Import_reading]]-CM38)*1200)&gt;0,(Input_Raw[[#This Row],[33 kV_Wind_F2_Import_reading]]-CM38)*1200,0)</f>
        <v>0</v>
      </c>
      <c r="CV39" s="148">
        <f>IF(((Input_Raw[[#This Row],[33 kV_Wind_F3_Export_Reading]]-CN38)*1200)&gt;0,(Input_Raw[[#This Row],[33 kV_Wind_F3_Export_Reading]]-CN38)*1200,0)</f>
        <v>112800</v>
      </c>
      <c r="CW39" s="148">
        <f>IF(((Input_Raw[[#This Row],[33 kV_Wind_F3_Import_Reading]]-CO38)*1200)&gt;0,(Input_Raw[[#This Row],[33 kV_Wind_F3_Import_Reading]]-CO38)*1200,0)</f>
        <v>0</v>
      </c>
      <c r="CX39" s="148">
        <f>IF(((Input_Raw[[#This Row],[33 kV_Wind_F4_Export Reading]]-CP38)*1200)&gt;0,(Input_Raw[[#This Row],[33 kV_Wind_F4_Export Reading]]-CP38)*1200,0)</f>
        <v>136800</v>
      </c>
      <c r="CY39" s="148">
        <f>IF(((Input_Raw[[#This Row],[33 kV_Wind_F4_Import Reading]]-CQ38)*1200)&gt;0,(Input_Raw[[#This Row],[33 kV_Wind_F4_Import Reading]]-CQ38)*1200,0)</f>
        <v>0</v>
      </c>
      <c r="CZ39" s="148">
        <f>Input_Raw[[#This Row],[33 kV_F1_Total_Export (KWh)]]+Input_Raw[[#This Row],[33 kV_F2_Total_Export (KWh)2]]+Input_Raw[[#This Row],[33 kV_Wind_F3_Export (KWh)]]+Input_Raw[[#This Row],[33 kV_Wind_F4_Export (KWh)]]</f>
        <v>469200</v>
      </c>
      <c r="DA39" s="148">
        <f>Input_Raw[[#This Row],[33 kV_Wind_F1_Import (KWh)]]+Input_Raw[[#This Row],[33 kV_Wind_F2_Import (KWh)]]+Input_Raw[[#This Row],[33 kV_Wind_F3_Import (KWh)2]]+Input_Raw[[#This Row],[33 kV_Wind_F4_Import (KWh)2]]</f>
        <v>0</v>
      </c>
      <c r="DB39" s="21">
        <f>IFERROR(1-Input_Raw[[#This Row],[33 kV_Wind_Total_Export (KWh)]]/Input_Raw[[#This Row],[WTG Total Gneration (KWh)]],0)</f>
        <v>4.5357716183139996E-2</v>
      </c>
      <c r="DC39" s="144">
        <v>96</v>
      </c>
      <c r="DD39" s="147">
        <v>152479</v>
      </c>
      <c r="DE39" s="163">
        <v>491.49</v>
      </c>
      <c r="DF39" s="160"/>
      <c r="DG39" s="162">
        <v>78</v>
      </c>
      <c r="DH39" s="280" t="s">
        <v>381</v>
      </c>
    </row>
    <row r="40" spans="1:112">
      <c r="A40" s="20">
        <f>A39+1</f>
        <v>45780</v>
      </c>
      <c r="B40" s="12">
        <f>YEAR(Input_Raw[[#This Row],[Date]])+IF(MONTH(Input_Raw[[#This Row],[Date]])&gt;=4,1,0)</f>
        <v>2026</v>
      </c>
      <c r="C40" s="13">
        <f>YEAR(Input_Raw[[#This Row],[Date]])</f>
        <v>2025</v>
      </c>
      <c r="D40" s="14">
        <f t="shared" si="2"/>
        <v>45778</v>
      </c>
      <c r="E40" s="13">
        <f>DAY(EOMONTH(Input_Raw[[#This Row],[Date]],0))</f>
        <v>31</v>
      </c>
      <c r="F40" s="15">
        <v>17432</v>
      </c>
      <c r="G40" s="15">
        <v>17421</v>
      </c>
      <c r="H40" s="15">
        <v>17434</v>
      </c>
      <c r="I40" s="15">
        <v>17442</v>
      </c>
      <c r="J40" s="15">
        <v>16349</v>
      </c>
      <c r="K40" s="15">
        <v>17435</v>
      </c>
      <c r="L40" s="15">
        <v>17425</v>
      </c>
      <c r="M40" s="15">
        <v>17443</v>
      </c>
      <c r="N40" s="15">
        <v>17731</v>
      </c>
      <c r="O40" s="15">
        <v>17456</v>
      </c>
      <c r="P40" s="15">
        <v>17489</v>
      </c>
      <c r="Q40" s="15">
        <v>17727</v>
      </c>
      <c r="R40" s="15">
        <v>18239</v>
      </c>
      <c r="S40" s="15">
        <v>18211</v>
      </c>
      <c r="T40" s="15">
        <v>18234</v>
      </c>
      <c r="U40" s="15">
        <v>18242</v>
      </c>
      <c r="V40" s="15">
        <v>18222</v>
      </c>
      <c r="W40" s="15">
        <v>18234</v>
      </c>
      <c r="X40" s="15">
        <v>17248</v>
      </c>
      <c r="Y40" s="15">
        <v>18221</v>
      </c>
      <c r="Z40" s="15">
        <v>16595</v>
      </c>
      <c r="AA40" s="15">
        <v>16548</v>
      </c>
      <c r="AB40" s="15">
        <v>16531</v>
      </c>
      <c r="AC40" s="15">
        <v>16523</v>
      </c>
      <c r="AD40" s="15">
        <v>14845</v>
      </c>
      <c r="AE40" s="15">
        <v>16543</v>
      </c>
      <c r="AF40" s="15">
        <v>16562</v>
      </c>
      <c r="AG40" s="15">
        <v>0</v>
      </c>
      <c r="AH40" s="15">
        <v>16569</v>
      </c>
      <c r="AI40" s="15">
        <v>0</v>
      </c>
      <c r="AJ40" s="15">
        <v>14321</v>
      </c>
      <c r="AK40" s="15">
        <v>14856</v>
      </c>
      <c r="AL40" s="15">
        <v>14842</v>
      </c>
      <c r="AM40" s="15">
        <v>13521</v>
      </c>
      <c r="AN40" s="15">
        <v>14847</v>
      </c>
      <c r="AO40" s="15">
        <v>14834</v>
      </c>
      <c r="AP40" s="15">
        <v>14841</v>
      </c>
      <c r="AQ40" s="15">
        <v>14865</v>
      </c>
      <c r="AR40" s="15">
        <v>14852</v>
      </c>
      <c r="AS40" s="16">
        <v>7.28</v>
      </c>
      <c r="AT40" s="16">
        <v>7.74</v>
      </c>
      <c r="AU40" s="16">
        <v>7.38</v>
      </c>
      <c r="AV40" s="16">
        <v>7.5</v>
      </c>
      <c r="AW40" s="16">
        <v>6.95</v>
      </c>
      <c r="AX40" s="16">
        <v>6.64</v>
      </c>
      <c r="AY40" s="146">
        <v>6.2</v>
      </c>
      <c r="AZ40" s="16">
        <v>7.59</v>
      </c>
      <c r="BA40" s="16">
        <v>7.79</v>
      </c>
      <c r="BB40" s="16">
        <v>7.37</v>
      </c>
      <c r="BC40" s="16">
        <v>7.73</v>
      </c>
      <c r="BD40" s="16">
        <v>7.52</v>
      </c>
      <c r="BE40" s="16">
        <v>7.72</v>
      </c>
      <c r="BF40" s="16">
        <v>7.67</v>
      </c>
      <c r="BG40" s="16">
        <v>7.75</v>
      </c>
      <c r="BH40" s="16">
        <v>7.66</v>
      </c>
      <c r="BI40" s="16">
        <v>8.3800000000000008</v>
      </c>
      <c r="BJ40" s="16">
        <v>7.44</v>
      </c>
      <c r="BK40" s="16">
        <v>8.44</v>
      </c>
      <c r="BL40" s="16">
        <v>7.02</v>
      </c>
      <c r="BM40" s="16">
        <v>6.9</v>
      </c>
      <c r="BN40" s="16">
        <v>7.2</v>
      </c>
      <c r="BO40" s="16">
        <v>7.24</v>
      </c>
      <c r="BP40" s="16">
        <v>7.4</v>
      </c>
      <c r="BQ40" s="16">
        <v>7.39</v>
      </c>
      <c r="BR40" s="16">
        <v>7.05</v>
      </c>
      <c r="BS40" s="16">
        <v>6.74</v>
      </c>
      <c r="BT40" s="16">
        <v>0</v>
      </c>
      <c r="BU40" s="16">
        <v>7.37</v>
      </c>
      <c r="BV40" s="16">
        <v>0</v>
      </c>
      <c r="BW40" s="16">
        <v>6.79</v>
      </c>
      <c r="BX40" s="16">
        <v>6.65</v>
      </c>
      <c r="BY40" s="16">
        <v>6.54</v>
      </c>
      <c r="BZ40" s="16">
        <v>7.02</v>
      </c>
      <c r="CA40" s="16">
        <v>7.65</v>
      </c>
      <c r="CB40" s="16">
        <v>7.66</v>
      </c>
      <c r="CC40" s="16">
        <v>6.74</v>
      </c>
      <c r="CD40" s="16">
        <v>6.53</v>
      </c>
      <c r="CE40" s="16">
        <v>7.19</v>
      </c>
      <c r="CF40" s="17">
        <f>SUM(Input_Raw[[#This Row],[G01]:[G40]])</f>
        <v>616130</v>
      </c>
      <c r="CG40" s="18">
        <f>IFERROR(AVERAGE(Input_Raw[[#This Row],[WS_G01]:[WS_G40]]),"")</f>
        <v>6.9187179487179487</v>
      </c>
      <c r="CH40" s="19"/>
      <c r="CI40" s="19"/>
      <c r="CJ40" s="15">
        <v>240216</v>
      </c>
      <c r="CK40" s="15">
        <v>2173</v>
      </c>
      <c r="CL40" s="15">
        <v>280127</v>
      </c>
      <c r="CM40" s="15">
        <v>2203</v>
      </c>
      <c r="CN40" s="15">
        <v>256057</v>
      </c>
      <c r="CO40" s="15">
        <v>1809</v>
      </c>
      <c r="CP40" s="15">
        <v>291862</v>
      </c>
      <c r="CQ40" s="15">
        <v>1854</v>
      </c>
      <c r="CR40" s="148">
        <f>IF(((Input_Raw[[#This Row],[33 kV_Wind_F1_Export reading]]-CJ39)*1200)&gt;0,(Input_Raw[[#This Row],[33 kV_Wind_F1_Export reading]]-CJ39)*1200,0)</f>
        <v>146400</v>
      </c>
      <c r="CS40" s="148">
        <f>IF(((Input_Raw[[#This Row],[33 kV_Wind_F1_Import reading]]-CK39)*1200)&gt;0,(Input_Raw[[#This Row],[33 kV_Wind_F1_Import reading]]-CK39)*1200,0)</f>
        <v>0</v>
      </c>
      <c r="CT40" s="148">
        <f>IF(((Input_Raw[[#This Row],[33 kV_Wind_F2_Export_reading]]-CL39)*1200)&gt;0,(Input_Raw[[#This Row],[33 kV_Wind_F2_Export_reading]]-CL39)*1200,0)</f>
        <v>132000</v>
      </c>
      <c r="CU40" s="148">
        <f>IF(((Input_Raw[[#This Row],[33 kV_Wind_F2_Import_reading]]-CM39)*1200)&gt;0,(Input_Raw[[#This Row],[33 kV_Wind_F2_Import_reading]]-CM39)*1200,0)</f>
        <v>1200</v>
      </c>
      <c r="CV40" s="148">
        <f>IF(((Input_Raw[[#This Row],[33 kV_Wind_F3_Export_Reading]]-CN39)*1200)&gt;0,(Input_Raw[[#This Row],[33 kV_Wind_F3_Export_Reading]]-CN39)*1200,0)</f>
        <v>156000</v>
      </c>
      <c r="CW40" s="148">
        <f>IF(((Input_Raw[[#This Row],[33 kV_Wind_F3_Import_Reading]]-CO39)*1200)&gt;0,(Input_Raw[[#This Row],[33 kV_Wind_F3_Import_Reading]]-CO39)*1200,0)</f>
        <v>0</v>
      </c>
      <c r="CX40" s="148">
        <f>IF(((Input_Raw[[#This Row],[33 kV_Wind_F4_Export Reading]]-CP39)*1200)&gt;0,(Input_Raw[[#This Row],[33 kV_Wind_F4_Export Reading]]-CP39)*1200,0)</f>
        <v>180000</v>
      </c>
      <c r="CY40" s="148">
        <f>IF(((Input_Raw[[#This Row],[33 kV_Wind_F4_Import Reading]]-CQ39)*1200)&gt;0,(Input_Raw[[#This Row],[33 kV_Wind_F4_Import Reading]]-CQ39)*1200,0)</f>
        <v>0</v>
      </c>
      <c r="CZ40" s="148">
        <f>Input_Raw[[#This Row],[33 kV_F1_Total_Export (KWh)]]+Input_Raw[[#This Row],[33 kV_F2_Total_Export (KWh)2]]+Input_Raw[[#This Row],[33 kV_Wind_F3_Export (KWh)]]+Input_Raw[[#This Row],[33 kV_Wind_F4_Export (KWh)]]</f>
        <v>614400</v>
      </c>
      <c r="DA40" s="148">
        <f>Input_Raw[[#This Row],[33 kV_Wind_F1_Import (KWh)]]+Input_Raw[[#This Row],[33 kV_Wind_F2_Import (KWh)]]+Input_Raw[[#This Row],[33 kV_Wind_F3_Import (KWh)2]]+Input_Raw[[#This Row],[33 kV_Wind_F4_Import (KWh)2]]</f>
        <v>1200</v>
      </c>
      <c r="DB40" s="21">
        <f>IFERROR(1-Input_Raw[[#This Row],[33 kV_Wind_Total_Export (KWh)]]/Input_Raw[[#This Row],[WTG Total Gneration (KWh)]],0)</f>
        <v>2.8078489929073136E-3</v>
      </c>
      <c r="DC40" s="144">
        <v>96</v>
      </c>
      <c r="DD40" s="147">
        <v>208104</v>
      </c>
      <c r="DE40" s="163">
        <v>616.13</v>
      </c>
      <c r="DF40" s="160"/>
      <c r="DG40" s="162">
        <v>78</v>
      </c>
      <c r="DH40" s="281" t="s">
        <v>381</v>
      </c>
    </row>
    <row r="41" spans="1:112">
      <c r="A41" s="20">
        <f>A40+1</f>
        <v>45781</v>
      </c>
      <c r="B41" s="12">
        <f>YEAR(Input_Raw[[#This Row],[Date]])+IF(MONTH(Input_Raw[[#This Row],[Date]])&gt;=4,1,0)</f>
        <v>2026</v>
      </c>
      <c r="C41" s="13">
        <f>YEAR(Input_Raw[[#This Row],[Date]])</f>
        <v>2025</v>
      </c>
      <c r="D41" s="14">
        <f t="shared" si="2"/>
        <v>45778</v>
      </c>
      <c r="E41" s="13">
        <f>DAY(EOMONTH(Input_Raw[[#This Row],[Date]],0))</f>
        <v>31</v>
      </c>
      <c r="F41" s="15">
        <v>10932</v>
      </c>
      <c r="G41" s="15">
        <v>10952</v>
      </c>
      <c r="H41" s="15">
        <v>10976</v>
      </c>
      <c r="I41" s="15">
        <v>10967</v>
      </c>
      <c r="J41" s="15">
        <v>11167</v>
      </c>
      <c r="K41" s="15">
        <v>10974</v>
      </c>
      <c r="L41" s="15">
        <v>10953</v>
      </c>
      <c r="M41" s="15">
        <v>10963</v>
      </c>
      <c r="N41" s="15">
        <v>13230</v>
      </c>
      <c r="O41" s="15">
        <v>10963</v>
      </c>
      <c r="P41" s="15">
        <v>10977</v>
      </c>
      <c r="Q41" s="15">
        <v>13571</v>
      </c>
      <c r="R41" s="15">
        <v>13578</v>
      </c>
      <c r="S41" s="15">
        <v>13064</v>
      </c>
      <c r="T41" s="15">
        <v>13853</v>
      </c>
      <c r="U41" s="15">
        <v>13852</v>
      </c>
      <c r="V41" s="15">
        <v>13674</v>
      </c>
      <c r="W41" s="15">
        <v>13569</v>
      </c>
      <c r="X41" s="15">
        <v>13863</v>
      </c>
      <c r="Y41" s="15">
        <v>13761</v>
      </c>
      <c r="Z41" s="15">
        <v>11153</v>
      </c>
      <c r="AA41" s="15">
        <v>11012</v>
      </c>
      <c r="AB41" s="15">
        <v>11145</v>
      </c>
      <c r="AC41" s="15">
        <v>11147</v>
      </c>
      <c r="AD41" s="15">
        <v>5192</v>
      </c>
      <c r="AE41" s="15">
        <v>11151</v>
      </c>
      <c r="AF41" s="15">
        <v>11152</v>
      </c>
      <c r="AG41" s="15">
        <v>0</v>
      </c>
      <c r="AH41" s="15">
        <v>11164</v>
      </c>
      <c r="AI41" s="15">
        <v>0</v>
      </c>
      <c r="AJ41" s="15">
        <v>8752</v>
      </c>
      <c r="AK41" s="15">
        <v>8732</v>
      </c>
      <c r="AL41" s="15">
        <v>8758</v>
      </c>
      <c r="AM41" s="15">
        <v>8787</v>
      </c>
      <c r="AN41" s="15">
        <v>5147</v>
      </c>
      <c r="AO41" s="15">
        <v>8759</v>
      </c>
      <c r="AP41" s="15">
        <v>8742</v>
      </c>
      <c r="AQ41" s="15">
        <v>8795</v>
      </c>
      <c r="AR41" s="15">
        <v>8749</v>
      </c>
      <c r="AS41" s="16">
        <v>4.8499999999999996</v>
      </c>
      <c r="AT41" s="16">
        <v>5.37</v>
      </c>
      <c r="AU41" s="16">
        <v>4.76</v>
      </c>
      <c r="AV41" s="16">
        <v>4.7699999999999996</v>
      </c>
      <c r="AW41" s="16">
        <v>5.09</v>
      </c>
      <c r="AX41" s="16">
        <v>5.19</v>
      </c>
      <c r="AY41" s="16">
        <v>4.8</v>
      </c>
      <c r="AZ41" s="16">
        <v>4.87</v>
      </c>
      <c r="BA41" s="16">
        <v>5.25</v>
      </c>
      <c r="BB41" s="16">
        <v>4.9800000000000004</v>
      </c>
      <c r="BC41" s="16">
        <v>5.45</v>
      </c>
      <c r="BD41" s="16">
        <v>5.28</v>
      </c>
      <c r="BE41" s="16">
        <v>5.32</v>
      </c>
      <c r="BF41" s="16">
        <v>5.14</v>
      </c>
      <c r="BG41" s="16">
        <v>5.09</v>
      </c>
      <c r="BH41" s="16">
        <v>5.27</v>
      </c>
      <c r="BI41" s="16">
        <v>5.07</v>
      </c>
      <c r="BJ41" s="16">
        <v>5.36</v>
      </c>
      <c r="BK41" s="16">
        <v>6.59</v>
      </c>
      <c r="BL41" s="16">
        <v>5.63</v>
      </c>
      <c r="BM41" s="16">
        <v>5.4</v>
      </c>
      <c r="BN41" s="16">
        <v>5.44</v>
      </c>
      <c r="BO41" s="16">
        <v>4.66</v>
      </c>
      <c r="BP41" s="16">
        <v>4.9800000000000004</v>
      </c>
      <c r="BQ41" s="16">
        <v>4.95</v>
      </c>
      <c r="BR41" s="16">
        <v>4.71</v>
      </c>
      <c r="BS41" s="16">
        <v>4.88</v>
      </c>
      <c r="BT41" s="16">
        <v>0</v>
      </c>
      <c r="BU41" s="16">
        <v>4.8600000000000003</v>
      </c>
      <c r="BV41" s="16">
        <v>0</v>
      </c>
      <c r="BW41" s="16">
        <v>4.59</v>
      </c>
      <c r="BX41" s="16">
        <v>4.7300000000000004</v>
      </c>
      <c r="BY41" s="16">
        <v>4.88</v>
      </c>
      <c r="BZ41" s="16">
        <v>4.88</v>
      </c>
      <c r="CA41" s="16">
        <v>5.07</v>
      </c>
      <c r="CB41" s="16">
        <v>5.05</v>
      </c>
      <c r="CC41" s="16">
        <v>4.83</v>
      </c>
      <c r="CD41" s="16">
        <v>4.74</v>
      </c>
      <c r="CE41" s="16">
        <v>5.01</v>
      </c>
      <c r="CF41" s="17">
        <f>SUM(Input_Raw[[#This Row],[G01]:[G40]])</f>
        <v>404176</v>
      </c>
      <c r="CG41" s="18">
        <f>IFERROR(AVERAGE(Input_Raw[[#This Row],[WS_G01]:[WS_G40]]),"")</f>
        <v>4.8151282051282047</v>
      </c>
      <c r="CH41" s="19"/>
      <c r="CI41" s="19"/>
      <c r="CJ41" s="15">
        <v>240282</v>
      </c>
      <c r="CK41" s="15">
        <v>2174</v>
      </c>
      <c r="CL41" s="15">
        <v>280201</v>
      </c>
      <c r="CM41" s="15">
        <v>2203</v>
      </c>
      <c r="CN41" s="15">
        <v>256139</v>
      </c>
      <c r="CO41" s="15">
        <v>1810</v>
      </c>
      <c r="CP41" s="15">
        <v>291971</v>
      </c>
      <c r="CQ41" s="15">
        <v>1855</v>
      </c>
      <c r="CR41" s="148">
        <f>IF(((Input_Raw[[#This Row],[33 kV_Wind_F1_Export reading]]-CJ40)*1200)&gt;0,(Input_Raw[[#This Row],[33 kV_Wind_F1_Export reading]]-CJ40)*1200,0)</f>
        <v>79200</v>
      </c>
      <c r="CS41" s="148">
        <f>IF(((Input_Raw[[#This Row],[33 kV_Wind_F1_Import reading]]-CK40)*1200)&gt;0,(Input_Raw[[#This Row],[33 kV_Wind_F1_Import reading]]-CK40)*1200,0)</f>
        <v>1200</v>
      </c>
      <c r="CT41" s="148">
        <f>IF(((Input_Raw[[#This Row],[33 kV_Wind_F2_Export_reading]]-CL40)*1200)&gt;0,(Input_Raw[[#This Row],[33 kV_Wind_F2_Export_reading]]-CL40)*1200,0)</f>
        <v>88800</v>
      </c>
      <c r="CU41" s="148">
        <f>IF(((Input_Raw[[#This Row],[33 kV_Wind_F2_Import_reading]]-CM40)*1200)&gt;0,(Input_Raw[[#This Row],[33 kV_Wind_F2_Import_reading]]-CM40)*1200,0)</f>
        <v>0</v>
      </c>
      <c r="CV41" s="148">
        <f>IF(((Input_Raw[[#This Row],[33 kV_Wind_F3_Export_Reading]]-CN40)*1200)&gt;0,(Input_Raw[[#This Row],[33 kV_Wind_F3_Export_Reading]]-CN40)*1200,0)</f>
        <v>98400</v>
      </c>
      <c r="CW41" s="148">
        <f>IF(((Input_Raw[[#This Row],[33 kV_Wind_F3_Import_Reading]]-CO40)*1200)&gt;0,(Input_Raw[[#This Row],[33 kV_Wind_F3_Import_Reading]]-CO40)*1200,0)</f>
        <v>1200</v>
      </c>
      <c r="CX41" s="148">
        <f>IF(((Input_Raw[[#This Row],[33 kV_Wind_F4_Export Reading]]-CP40)*1200)&gt;0,(Input_Raw[[#This Row],[33 kV_Wind_F4_Export Reading]]-CP40)*1200,0)</f>
        <v>130800</v>
      </c>
      <c r="CY41" s="148">
        <f>IF(((Input_Raw[[#This Row],[33 kV_Wind_F4_Import Reading]]-CQ40)*1200)&gt;0,(Input_Raw[[#This Row],[33 kV_Wind_F4_Import Reading]]-CQ40)*1200,0)</f>
        <v>1200</v>
      </c>
      <c r="CZ41" s="148">
        <f>Input_Raw[[#This Row],[33 kV_F1_Total_Export (KWh)]]+Input_Raw[[#This Row],[33 kV_F2_Total_Export (KWh)2]]+Input_Raw[[#This Row],[33 kV_Wind_F3_Export (KWh)]]+Input_Raw[[#This Row],[33 kV_Wind_F4_Export (KWh)]]</f>
        <v>397200</v>
      </c>
      <c r="DA41" s="148">
        <f>Input_Raw[[#This Row],[33 kV_Wind_F1_Import (KWh)]]+Input_Raw[[#This Row],[33 kV_Wind_F2_Import (KWh)]]+Input_Raw[[#This Row],[33 kV_Wind_F3_Import (KWh)2]]+Input_Raw[[#This Row],[33 kV_Wind_F4_Import (KWh)2]]</f>
        <v>3600</v>
      </c>
      <c r="DB41" s="21">
        <f>IFERROR(1-Input_Raw[[#This Row],[33 kV_Wind_Total_Export (KWh)]]/Input_Raw[[#This Row],[WTG Total Gneration (KWh)]],0)</f>
        <v>1.7259807608566602E-2</v>
      </c>
      <c r="DC41" s="144">
        <v>96</v>
      </c>
      <c r="DD41" s="147">
        <v>7564</v>
      </c>
      <c r="DE41" s="163">
        <v>404.17</v>
      </c>
      <c r="DF41" s="160"/>
      <c r="DG41" s="162">
        <v>78</v>
      </c>
      <c r="DH41" s="281" t="s">
        <v>381</v>
      </c>
    </row>
    <row r="42" spans="1:112">
      <c r="A42" s="20">
        <f>A41+1</f>
        <v>45782</v>
      </c>
      <c r="B42" s="12">
        <f>YEAR(Input_Raw[[#This Row],[Date]])+IF(MONTH(Input_Raw[[#This Row],[Date]])&gt;=4,1,0)</f>
        <v>2026</v>
      </c>
      <c r="C42" s="13">
        <f>YEAR(Input_Raw[[#This Row],[Date]])</f>
        <v>2025</v>
      </c>
      <c r="D42" s="14">
        <f t="shared" si="2"/>
        <v>45778</v>
      </c>
      <c r="E42" s="13">
        <f>DAY(EOMONTH(Input_Raw[[#This Row],[Date]],0))</f>
        <v>31</v>
      </c>
      <c r="F42" s="15">
        <v>6172</v>
      </c>
      <c r="G42" s="15">
        <v>8301</v>
      </c>
      <c r="H42" s="15">
        <v>8352</v>
      </c>
      <c r="I42" s="15">
        <v>8341</v>
      </c>
      <c r="J42" s="15">
        <v>6500</v>
      </c>
      <c r="K42" s="15">
        <v>8346</v>
      </c>
      <c r="L42" s="15">
        <v>8346</v>
      </c>
      <c r="M42" s="15">
        <v>8323</v>
      </c>
      <c r="N42" s="15">
        <v>8289</v>
      </c>
      <c r="O42" s="15">
        <v>8356</v>
      </c>
      <c r="P42" s="15">
        <v>8367</v>
      </c>
      <c r="Q42" s="15">
        <v>8021</v>
      </c>
      <c r="R42" s="15">
        <v>8240</v>
      </c>
      <c r="S42" s="15">
        <v>8026</v>
      </c>
      <c r="T42" s="15">
        <v>8256</v>
      </c>
      <c r="U42" s="15">
        <v>8254</v>
      </c>
      <c r="V42" s="15">
        <v>8562</v>
      </c>
      <c r="W42" s="15">
        <v>8267</v>
      </c>
      <c r="X42" s="15">
        <v>8287</v>
      </c>
      <c r="Y42" s="15">
        <v>8299</v>
      </c>
      <c r="Z42" s="15">
        <v>6521</v>
      </c>
      <c r="AA42" s="15">
        <v>6524</v>
      </c>
      <c r="AB42" s="15">
        <v>7721</v>
      </c>
      <c r="AC42" s="15">
        <v>7752</v>
      </c>
      <c r="AD42" s="15">
        <v>0</v>
      </c>
      <c r="AE42" s="15">
        <v>7767</v>
      </c>
      <c r="AF42" s="15">
        <v>7756</v>
      </c>
      <c r="AG42" s="15">
        <v>0</v>
      </c>
      <c r="AH42" s="15">
        <v>7741</v>
      </c>
      <c r="AI42" s="15">
        <v>0</v>
      </c>
      <c r="AJ42" s="15">
        <v>5832</v>
      </c>
      <c r="AK42" s="15">
        <v>5847</v>
      </c>
      <c r="AL42" s="15">
        <v>5831</v>
      </c>
      <c r="AM42" s="15">
        <v>5867</v>
      </c>
      <c r="AN42" s="15">
        <v>5844</v>
      </c>
      <c r="AO42" s="15">
        <v>5821</v>
      </c>
      <c r="AP42" s="15">
        <v>5853</v>
      </c>
      <c r="AQ42" s="15">
        <v>5849</v>
      </c>
      <c r="AR42" s="15">
        <v>5885</v>
      </c>
      <c r="AS42" s="16">
        <v>4.58</v>
      </c>
      <c r="AT42" s="16">
        <v>4.46</v>
      </c>
      <c r="AU42" s="16">
        <v>3.97</v>
      </c>
      <c r="AV42" s="16">
        <v>4.1500000000000004</v>
      </c>
      <c r="AW42" s="16">
        <v>3.78</v>
      </c>
      <c r="AX42" s="16">
        <v>4.38</v>
      </c>
      <c r="AY42" s="16">
        <v>4.4000000000000004</v>
      </c>
      <c r="AZ42" s="16">
        <v>4.13</v>
      </c>
      <c r="BA42" s="16">
        <v>4.08</v>
      </c>
      <c r="BB42" s="16">
        <v>3.95</v>
      </c>
      <c r="BC42" s="16">
        <v>4.01</v>
      </c>
      <c r="BD42" s="16">
        <v>4.04</v>
      </c>
      <c r="BE42" s="16">
        <v>3.98</v>
      </c>
      <c r="BF42" s="16">
        <v>3.84</v>
      </c>
      <c r="BG42" s="16">
        <v>3.92</v>
      </c>
      <c r="BH42" s="16">
        <v>3.95</v>
      </c>
      <c r="BI42" s="16">
        <v>4.1500000000000004</v>
      </c>
      <c r="BJ42" s="16">
        <v>4.01</v>
      </c>
      <c r="BK42" s="16">
        <v>3.99</v>
      </c>
      <c r="BL42" s="16">
        <v>4.01</v>
      </c>
      <c r="BM42" s="16">
        <v>3.76</v>
      </c>
      <c r="BN42" s="16">
        <v>3.87</v>
      </c>
      <c r="BO42" s="16">
        <v>3.95</v>
      </c>
      <c r="BP42" s="16">
        <v>4.26</v>
      </c>
      <c r="BQ42" s="16">
        <v>4.2</v>
      </c>
      <c r="BR42" s="16">
        <v>4.22</v>
      </c>
      <c r="BS42" s="16">
        <v>4.21</v>
      </c>
      <c r="BT42" s="16">
        <v>0</v>
      </c>
      <c r="BU42" s="16">
        <v>5.44</v>
      </c>
      <c r="BV42" s="16">
        <v>0</v>
      </c>
      <c r="BW42" s="16">
        <v>4.17</v>
      </c>
      <c r="BX42" s="16">
        <v>4.1500000000000004</v>
      </c>
      <c r="BY42" s="16">
        <v>4.32</v>
      </c>
      <c r="BZ42" s="16">
        <v>4.55</v>
      </c>
      <c r="CA42" s="16">
        <v>6.32</v>
      </c>
      <c r="CB42" s="16">
        <v>4.45</v>
      </c>
      <c r="CC42" s="16">
        <v>4.87</v>
      </c>
      <c r="CD42" s="16">
        <v>4.3099999999999996</v>
      </c>
      <c r="CE42" s="16">
        <v>5.39</v>
      </c>
      <c r="CF42" s="17">
        <f>SUM(Input_Raw[[#This Row],[G01]:[G40]])</f>
        <v>266316</v>
      </c>
      <c r="CG42" s="18">
        <f>IFERROR(AVERAGE(Input_Raw[[#This Row],[WS_G01]:[WS_G40]]),"")</f>
        <v>4.056923076923078</v>
      </c>
      <c r="CH42" s="19"/>
      <c r="CI42" s="19"/>
      <c r="CJ42" s="15">
        <v>240325</v>
      </c>
      <c r="CK42" s="15">
        <v>2174</v>
      </c>
      <c r="CL42" s="15">
        <v>280249</v>
      </c>
      <c r="CM42" s="15">
        <v>2203</v>
      </c>
      <c r="CN42" s="15">
        <v>256199</v>
      </c>
      <c r="CO42" s="15">
        <v>1810</v>
      </c>
      <c r="CP42" s="15">
        <v>292039</v>
      </c>
      <c r="CQ42" s="15">
        <v>1855</v>
      </c>
      <c r="CR42" s="148">
        <f>IF(((Input_Raw[[#This Row],[33 kV_Wind_F1_Export reading]]-CJ41)*1200)&gt;0,(Input_Raw[[#This Row],[33 kV_Wind_F1_Export reading]]-CJ41)*1200,0)</f>
        <v>51600</v>
      </c>
      <c r="CS42" s="148">
        <f>IF(((Input_Raw[[#This Row],[33 kV_Wind_F1_Import reading]]-CK41)*1200)&gt;0,(Input_Raw[[#This Row],[33 kV_Wind_F1_Import reading]]-CK41)*1200,0)</f>
        <v>0</v>
      </c>
      <c r="CT42" s="148">
        <f>IF(((Input_Raw[[#This Row],[33 kV_Wind_F2_Export_reading]]-CL41)*1200)&gt;0,(Input_Raw[[#This Row],[33 kV_Wind_F2_Export_reading]]-CL41)*1200,0)</f>
        <v>57600</v>
      </c>
      <c r="CU42" s="148">
        <f>IF(((Input_Raw[[#This Row],[33 kV_Wind_F2_Import_reading]]-CM41)*1200)&gt;0,(Input_Raw[[#This Row],[33 kV_Wind_F2_Import_reading]]-CM41)*1200,0)</f>
        <v>0</v>
      </c>
      <c r="CV42" s="148">
        <f>IF(((Input_Raw[[#This Row],[33 kV_Wind_F3_Export_Reading]]-CN41)*1200)&gt;0,(Input_Raw[[#This Row],[33 kV_Wind_F3_Export_Reading]]-CN41)*1200,0)</f>
        <v>72000</v>
      </c>
      <c r="CW42" s="148">
        <f>IF(((Input_Raw[[#This Row],[33 kV_Wind_F3_Import_Reading]]-CO41)*1200)&gt;0,(Input_Raw[[#This Row],[33 kV_Wind_F3_Import_Reading]]-CO41)*1200,0)</f>
        <v>0</v>
      </c>
      <c r="CX42" s="148">
        <f>IF(((Input_Raw[[#This Row],[33 kV_Wind_F4_Export Reading]]-CP41)*1200)&gt;0,(Input_Raw[[#This Row],[33 kV_Wind_F4_Export Reading]]-CP41)*1200,0)</f>
        <v>81600</v>
      </c>
      <c r="CY42" s="148">
        <f>IF(((Input_Raw[[#This Row],[33 kV_Wind_F4_Import Reading]]-CQ41)*1200)&gt;0,(Input_Raw[[#This Row],[33 kV_Wind_F4_Import Reading]]-CQ41)*1200,0)</f>
        <v>0</v>
      </c>
      <c r="CZ42" s="148">
        <f>Input_Raw[[#This Row],[33 kV_F1_Total_Export (KWh)]]+Input_Raw[[#This Row],[33 kV_F2_Total_Export (KWh)2]]+Input_Raw[[#This Row],[33 kV_Wind_F3_Export (KWh)]]+Input_Raw[[#This Row],[33 kV_Wind_F4_Export (KWh)]]</f>
        <v>262800</v>
      </c>
      <c r="DA42" s="148">
        <f>Input_Raw[[#This Row],[33 kV_Wind_F1_Import (KWh)]]+Input_Raw[[#This Row],[33 kV_Wind_F2_Import (KWh)]]+Input_Raw[[#This Row],[33 kV_Wind_F3_Import (KWh)2]]+Input_Raw[[#This Row],[33 kV_Wind_F4_Import (KWh)2]]</f>
        <v>0</v>
      </c>
      <c r="DB42" s="21">
        <f>IFERROR(1-Input_Raw[[#This Row],[33 kV_Wind_Total_Export (KWh)]]/Input_Raw[[#This Row],[WTG Total Gneration (KWh)]],0)</f>
        <v>1.3202361104852844E-2</v>
      </c>
      <c r="DC42" s="144">
        <v>96</v>
      </c>
      <c r="DD42" s="147">
        <v>53090</v>
      </c>
      <c r="DE42" s="163">
        <v>266.31</v>
      </c>
      <c r="DF42" s="160"/>
      <c r="DG42" s="162">
        <v>78</v>
      </c>
      <c r="DH42" s="281" t="s">
        <v>381</v>
      </c>
    </row>
    <row r="43" spans="1:112">
      <c r="A43" s="20">
        <f>A42+1</f>
        <v>45783</v>
      </c>
      <c r="B43" s="12">
        <f>YEAR(Input_Raw[[#This Row],[Date]])+IF(MONTH(Input_Raw[[#This Row],[Date]])&gt;=4,1,0)</f>
        <v>2026</v>
      </c>
      <c r="C43" s="13">
        <f>YEAR(Input_Raw[[#This Row],[Date]])</f>
        <v>2025</v>
      </c>
      <c r="D43" s="14">
        <f t="shared" si="2"/>
        <v>45778</v>
      </c>
      <c r="E43" s="13">
        <f>DAY(EOMONTH(Input_Raw[[#This Row],[Date]],0))</f>
        <v>31</v>
      </c>
      <c r="F43" s="15">
        <v>9263</v>
      </c>
      <c r="G43" s="15">
        <v>9255</v>
      </c>
      <c r="H43" s="15">
        <v>9241</v>
      </c>
      <c r="I43" s="15">
        <v>9245</v>
      </c>
      <c r="J43" s="15">
        <v>8301</v>
      </c>
      <c r="K43" s="15">
        <v>9247</v>
      </c>
      <c r="L43" s="15">
        <v>9251</v>
      </c>
      <c r="M43" s="15">
        <v>9053</v>
      </c>
      <c r="N43" s="15">
        <v>9673</v>
      </c>
      <c r="O43" s="15">
        <v>9249</v>
      </c>
      <c r="P43" s="15">
        <v>9287</v>
      </c>
      <c r="Q43" s="15">
        <v>9681</v>
      </c>
      <c r="R43" s="15">
        <v>9657</v>
      </c>
      <c r="S43" s="15">
        <v>9652</v>
      </c>
      <c r="T43" s="15">
        <v>9645</v>
      </c>
      <c r="U43" s="15">
        <v>8562</v>
      </c>
      <c r="V43" s="15">
        <v>9644</v>
      </c>
      <c r="W43" s="15">
        <v>9640</v>
      </c>
      <c r="X43" s="15">
        <v>8361</v>
      </c>
      <c r="Y43" s="15">
        <v>9688</v>
      </c>
      <c r="Z43" s="15">
        <v>8321</v>
      </c>
      <c r="AA43" s="15">
        <v>7531</v>
      </c>
      <c r="AB43" s="15">
        <v>7542</v>
      </c>
      <c r="AC43" s="15">
        <v>8367</v>
      </c>
      <c r="AD43" s="15">
        <v>3521</v>
      </c>
      <c r="AE43" s="15">
        <v>8356</v>
      </c>
      <c r="AF43" s="15">
        <v>8376</v>
      </c>
      <c r="AG43" s="15">
        <v>0</v>
      </c>
      <c r="AH43" s="15">
        <v>8364</v>
      </c>
      <c r="AI43" s="15">
        <v>0</v>
      </c>
      <c r="AJ43" s="15">
        <v>6972</v>
      </c>
      <c r="AK43" s="15">
        <v>6964</v>
      </c>
      <c r="AL43" s="15">
        <v>6977</v>
      </c>
      <c r="AM43" s="15">
        <v>6952</v>
      </c>
      <c r="AN43" s="15">
        <v>6953</v>
      </c>
      <c r="AO43" s="15">
        <v>5128</v>
      </c>
      <c r="AP43" s="15">
        <v>6945</v>
      </c>
      <c r="AQ43" s="15">
        <v>6983</v>
      </c>
      <c r="AR43" s="15">
        <v>6961</v>
      </c>
      <c r="AS43" s="16">
        <v>4.76</v>
      </c>
      <c r="AT43" s="16">
        <v>4.88</v>
      </c>
      <c r="AU43" s="16">
        <v>4.8</v>
      </c>
      <c r="AV43" s="16">
        <v>4.6500000000000004</v>
      </c>
      <c r="AW43" s="16">
        <v>4.2699999999999996</v>
      </c>
      <c r="AX43" s="16">
        <v>5.04</v>
      </c>
      <c r="AY43" s="16">
        <v>5.09</v>
      </c>
      <c r="AZ43" s="16">
        <v>4.76</v>
      </c>
      <c r="BA43" s="16">
        <v>4.82</v>
      </c>
      <c r="BB43" s="16">
        <v>4.8</v>
      </c>
      <c r="BC43" s="16">
        <v>4.93</v>
      </c>
      <c r="BD43" s="16">
        <v>4.74</v>
      </c>
      <c r="BE43" s="16">
        <v>4.55</v>
      </c>
      <c r="BF43" s="16">
        <v>4.63</v>
      </c>
      <c r="BG43" s="16">
        <v>4.57</v>
      </c>
      <c r="BH43" s="16">
        <v>4.63</v>
      </c>
      <c r="BI43" s="16">
        <v>4.82</v>
      </c>
      <c r="BJ43" s="16">
        <v>4.84</v>
      </c>
      <c r="BK43" s="16">
        <v>4.83</v>
      </c>
      <c r="BL43" s="16">
        <v>5.0999999999999996</v>
      </c>
      <c r="BM43" s="16">
        <v>4.76</v>
      </c>
      <c r="BN43" s="16">
        <v>4.34</v>
      </c>
      <c r="BO43" s="16">
        <v>4.24</v>
      </c>
      <c r="BP43" s="16">
        <v>4.4800000000000004</v>
      </c>
      <c r="BQ43" s="16">
        <v>4.55</v>
      </c>
      <c r="BR43" s="16">
        <v>4.34</v>
      </c>
      <c r="BS43" s="16">
        <v>4.26</v>
      </c>
      <c r="BT43" s="16">
        <v>0</v>
      </c>
      <c r="BU43" s="16">
        <v>3.79</v>
      </c>
      <c r="BV43" s="16">
        <v>0</v>
      </c>
      <c r="BW43" s="16">
        <v>4.37</v>
      </c>
      <c r="BX43" s="16">
        <v>4.3</v>
      </c>
      <c r="BY43" s="16">
        <v>4.4800000000000004</v>
      </c>
      <c r="BZ43" s="16">
        <v>4.78</v>
      </c>
      <c r="CA43" s="16">
        <v>4.74</v>
      </c>
      <c r="CB43" s="16">
        <v>4.25</v>
      </c>
      <c r="CC43" s="16">
        <v>4.4400000000000004</v>
      </c>
      <c r="CD43" s="16">
        <v>4.59</v>
      </c>
      <c r="CE43" s="16">
        <v>5.03</v>
      </c>
      <c r="CF43" s="17">
        <f>SUM(Input_Raw[[#This Row],[G01]:[G40]])</f>
        <v>306808</v>
      </c>
      <c r="CG43" s="18">
        <f>IFERROR(AVERAGE(Input_Raw[[#This Row],[WS_G01]:[WS_G40]]),"")</f>
        <v>4.3910256410256414</v>
      </c>
      <c r="CH43" s="19"/>
      <c r="CI43" s="19"/>
      <c r="CJ43" s="15">
        <v>240378</v>
      </c>
      <c r="CK43" s="15">
        <v>2175</v>
      </c>
      <c r="CL43" s="15">
        <v>280303</v>
      </c>
      <c r="CM43" s="15">
        <v>2204</v>
      </c>
      <c r="CN43" s="15">
        <v>256268</v>
      </c>
      <c r="CO43" s="15">
        <v>1811</v>
      </c>
      <c r="CP43" s="15">
        <v>292117</v>
      </c>
      <c r="CQ43" s="15">
        <v>1856</v>
      </c>
      <c r="CR43" s="148">
        <f>IF(((Input_Raw[[#This Row],[33 kV_Wind_F1_Export reading]]-CJ42)*1200)&gt;0,(Input_Raw[[#This Row],[33 kV_Wind_F1_Export reading]]-CJ42)*1200,0)</f>
        <v>63600</v>
      </c>
      <c r="CS43" s="148">
        <f>IF(((Input_Raw[[#This Row],[33 kV_Wind_F1_Import reading]]-CK42)*1200)&gt;0,(Input_Raw[[#This Row],[33 kV_Wind_F1_Import reading]]-CK42)*1200,0)</f>
        <v>1200</v>
      </c>
      <c r="CT43" s="148">
        <f>IF(((Input_Raw[[#This Row],[33 kV_Wind_F2_Export_reading]]-CL42)*1200)&gt;0,(Input_Raw[[#This Row],[33 kV_Wind_F2_Export_reading]]-CL42)*1200,0)</f>
        <v>64800</v>
      </c>
      <c r="CU43" s="148">
        <f>IF(((Input_Raw[[#This Row],[33 kV_Wind_F2_Import_reading]]-CM42)*1200)&gt;0,(Input_Raw[[#This Row],[33 kV_Wind_F2_Import_reading]]-CM42)*1200,0)</f>
        <v>1200</v>
      </c>
      <c r="CV43" s="148">
        <f>IF(((Input_Raw[[#This Row],[33 kV_Wind_F3_Export_Reading]]-CN42)*1200)&gt;0,(Input_Raw[[#This Row],[33 kV_Wind_F3_Export_Reading]]-CN42)*1200,0)</f>
        <v>82800</v>
      </c>
      <c r="CW43" s="148">
        <f>IF(((Input_Raw[[#This Row],[33 kV_Wind_F3_Import_Reading]]-CO42)*1200)&gt;0,(Input_Raw[[#This Row],[33 kV_Wind_F3_Import_Reading]]-CO42)*1200,0)</f>
        <v>1200</v>
      </c>
      <c r="CX43" s="148">
        <f>IF(((Input_Raw[[#This Row],[33 kV_Wind_F4_Export Reading]]-CP42)*1200)&gt;0,(Input_Raw[[#This Row],[33 kV_Wind_F4_Export Reading]]-CP42)*1200,0)</f>
        <v>93600</v>
      </c>
      <c r="CY43" s="148">
        <f>IF(((Input_Raw[[#This Row],[33 kV_Wind_F4_Import Reading]]-CQ42)*1200)&gt;0,(Input_Raw[[#This Row],[33 kV_Wind_F4_Import Reading]]-CQ42)*1200,0)</f>
        <v>1200</v>
      </c>
      <c r="CZ43" s="148">
        <f>Input_Raw[[#This Row],[33 kV_F1_Total_Export (KWh)]]+Input_Raw[[#This Row],[33 kV_F2_Total_Export (KWh)2]]+Input_Raw[[#This Row],[33 kV_Wind_F3_Export (KWh)]]+Input_Raw[[#This Row],[33 kV_Wind_F4_Export (KWh)]]</f>
        <v>304800</v>
      </c>
      <c r="DA43" s="148">
        <f>Input_Raw[[#This Row],[33 kV_Wind_F1_Import (KWh)]]+Input_Raw[[#This Row],[33 kV_Wind_F2_Import (KWh)]]+Input_Raw[[#This Row],[33 kV_Wind_F3_Import (KWh)2]]+Input_Raw[[#This Row],[33 kV_Wind_F4_Import (KWh)2]]</f>
        <v>4800</v>
      </c>
      <c r="DB43" s="21">
        <f>IFERROR(1-Input_Raw[[#This Row],[33 kV_Wind_Total_Export (KWh)]]/Input_Raw[[#This Row],[WTG Total Gneration (KWh)]],0)</f>
        <v>6.5448097833172847E-3</v>
      </c>
      <c r="DC43" s="144">
        <v>96</v>
      </c>
      <c r="DD43" s="147">
        <v>42452</v>
      </c>
      <c r="DE43" s="163">
        <v>306.8</v>
      </c>
      <c r="DF43" s="160"/>
      <c r="DG43" s="162">
        <v>78</v>
      </c>
      <c r="DH43" s="281" t="s">
        <v>381</v>
      </c>
    </row>
    <row r="44" spans="1:112">
      <c r="A44" s="20">
        <f t="shared" ref="A44:A49" si="4">A43+1</f>
        <v>45784</v>
      </c>
      <c r="B44" s="12">
        <f>YEAR(Input_Raw[[#This Row],[Date]])+IF(MONTH(Input_Raw[[#This Row],[Date]])&gt;=4,1,0)</f>
        <v>2026</v>
      </c>
      <c r="C44" s="13">
        <f>YEAR(Input_Raw[[#This Row],[Date]])</f>
        <v>2025</v>
      </c>
      <c r="D44" s="14">
        <f t="shared" ref="D44:D107" si="5">A44-DAY(A44)+1</f>
        <v>45778</v>
      </c>
      <c r="E44" s="13">
        <f>DAY(EOMONTH(Input_Raw[[#This Row],[Date]],0))</f>
        <v>31</v>
      </c>
      <c r="F44" s="15">
        <v>10973</v>
      </c>
      <c r="G44" s="15">
        <v>12685</v>
      </c>
      <c r="H44" s="15">
        <v>12694</v>
      </c>
      <c r="I44" s="15">
        <v>11052</v>
      </c>
      <c r="J44" s="15">
        <v>8461</v>
      </c>
      <c r="K44" s="15">
        <v>11205</v>
      </c>
      <c r="L44" s="15">
        <v>10989</v>
      </c>
      <c r="M44" s="15">
        <v>12648</v>
      </c>
      <c r="N44" s="15">
        <v>14478</v>
      </c>
      <c r="O44" s="15">
        <v>12686</v>
      </c>
      <c r="P44" s="15">
        <v>12734</v>
      </c>
      <c r="Q44" s="15">
        <v>14484</v>
      </c>
      <c r="R44" s="15">
        <v>14476</v>
      </c>
      <c r="S44" s="15">
        <v>14467</v>
      </c>
      <c r="T44" s="15">
        <v>14489</v>
      </c>
      <c r="U44" s="15">
        <v>13963</v>
      </c>
      <c r="V44" s="15">
        <v>14472</v>
      </c>
      <c r="W44" s="15">
        <v>13735</v>
      </c>
      <c r="X44" s="15">
        <v>14535</v>
      </c>
      <c r="Y44" s="15">
        <v>14599</v>
      </c>
      <c r="Z44" s="15">
        <v>4731</v>
      </c>
      <c r="AA44" s="15">
        <v>4538</v>
      </c>
      <c r="AB44" s="15">
        <v>4634</v>
      </c>
      <c r="AC44" s="15">
        <v>4587</v>
      </c>
      <c r="AD44" s="15">
        <v>4742</v>
      </c>
      <c r="AE44" s="15">
        <v>9472</v>
      </c>
      <c r="AF44" s="15">
        <v>9453</v>
      </c>
      <c r="AG44" s="15">
        <v>0</v>
      </c>
      <c r="AH44" s="15">
        <v>4967</v>
      </c>
      <c r="AI44" s="15">
        <v>0</v>
      </c>
      <c r="AJ44" s="15">
        <v>4739</v>
      </c>
      <c r="AK44" s="15">
        <v>4790</v>
      </c>
      <c r="AL44" s="15">
        <v>4021</v>
      </c>
      <c r="AM44" s="15">
        <v>4783</v>
      </c>
      <c r="AN44" s="15">
        <v>4762</v>
      </c>
      <c r="AO44" s="15">
        <v>3904</v>
      </c>
      <c r="AP44" s="15">
        <v>3632</v>
      </c>
      <c r="AQ44" s="15">
        <v>6794</v>
      </c>
      <c r="AR44" s="15">
        <v>6749</v>
      </c>
      <c r="AS44" s="16">
        <v>4.8499999999999996</v>
      </c>
      <c r="AT44" s="16">
        <v>5.37</v>
      </c>
      <c r="AU44" s="16">
        <v>4.76</v>
      </c>
      <c r="AV44" s="16">
        <v>4.7699999999999996</v>
      </c>
      <c r="AW44" s="16">
        <v>5.09</v>
      </c>
      <c r="AX44" s="16">
        <v>5.19</v>
      </c>
      <c r="AY44" s="16">
        <v>4.8</v>
      </c>
      <c r="AZ44" s="16">
        <v>4.87</v>
      </c>
      <c r="BA44" s="16">
        <v>5.25</v>
      </c>
      <c r="BB44" s="16">
        <v>4.9800000000000004</v>
      </c>
      <c r="BC44" s="16">
        <v>5.45</v>
      </c>
      <c r="BD44" s="16">
        <v>5.28</v>
      </c>
      <c r="BE44" s="16">
        <v>5.32</v>
      </c>
      <c r="BF44" s="16">
        <v>5.14</v>
      </c>
      <c r="BG44" s="16">
        <v>5.09</v>
      </c>
      <c r="BH44" s="16">
        <v>5.27</v>
      </c>
      <c r="BI44" s="16">
        <v>5.07</v>
      </c>
      <c r="BJ44" s="16">
        <v>5.36</v>
      </c>
      <c r="BK44" s="16">
        <v>6.59</v>
      </c>
      <c r="BL44" s="16">
        <v>5.63</v>
      </c>
      <c r="BM44" s="16">
        <v>5.4</v>
      </c>
      <c r="BN44" s="16">
        <v>5.44</v>
      </c>
      <c r="BO44" s="16">
        <v>4.66</v>
      </c>
      <c r="BP44" s="16">
        <v>4.9800000000000004</v>
      </c>
      <c r="BQ44" s="16">
        <v>4.95</v>
      </c>
      <c r="BR44" s="16">
        <v>4.71</v>
      </c>
      <c r="BS44" s="16">
        <v>4.88</v>
      </c>
      <c r="BT44" s="16">
        <v>0</v>
      </c>
      <c r="BU44" s="16">
        <v>4.8600000000000003</v>
      </c>
      <c r="BV44" s="16">
        <v>0</v>
      </c>
      <c r="BW44" s="16">
        <v>4.59</v>
      </c>
      <c r="BX44" s="16">
        <v>4.7300000000000004</v>
      </c>
      <c r="BY44" s="16">
        <v>4.88</v>
      </c>
      <c r="BZ44" s="16">
        <v>4.88</v>
      </c>
      <c r="CA44" s="16">
        <v>5.07</v>
      </c>
      <c r="CB44" s="16">
        <v>5.05</v>
      </c>
      <c r="CC44" s="16">
        <v>4.83</v>
      </c>
      <c r="CD44" s="16">
        <v>4.74</v>
      </c>
      <c r="CE44" s="16">
        <v>5.01</v>
      </c>
      <c r="CF44" s="17">
        <f>SUM(Input_Raw[[#This Row],[G01]:[G40]])</f>
        <v>351123</v>
      </c>
      <c r="CG44" s="18">
        <f>IFERROR(AVERAGE(Input_Raw[[#This Row],[WS_G01]:[WS_G40]]),"")</f>
        <v>4.8151282051282047</v>
      </c>
      <c r="CH44" s="19"/>
      <c r="CI44" s="19"/>
      <c r="CJ44" s="15">
        <v>240415</v>
      </c>
      <c r="CK44" s="15">
        <v>2175</v>
      </c>
      <c r="CL44" s="15">
        <v>280338</v>
      </c>
      <c r="CM44" s="15">
        <v>2204</v>
      </c>
      <c r="CN44" s="15">
        <v>256357</v>
      </c>
      <c r="CO44" s="15">
        <v>1811</v>
      </c>
      <c r="CP44" s="15">
        <v>292236</v>
      </c>
      <c r="CQ44" s="15">
        <v>1856</v>
      </c>
      <c r="CR44" s="148">
        <f>IF(((Input_Raw[[#This Row],[33 kV_Wind_F1_Export reading]]-CJ43)*1200)&gt;0,(Input_Raw[[#This Row],[33 kV_Wind_F1_Export reading]]-CJ43)*1200,0)</f>
        <v>44400</v>
      </c>
      <c r="CS44" s="148">
        <f>IF(((Input_Raw[[#This Row],[33 kV_Wind_F1_Import reading]]-CK43)*1200)&gt;0,(Input_Raw[[#This Row],[33 kV_Wind_F1_Import reading]]-CK43)*1200,0)</f>
        <v>0</v>
      </c>
      <c r="CT44" s="148">
        <f>IF(((Input_Raw[[#This Row],[33 kV_Wind_F2_Export_reading]]-CL43)*1200)&gt;0,(Input_Raw[[#This Row],[33 kV_Wind_F2_Export_reading]]-CL43)*1200,0)</f>
        <v>42000</v>
      </c>
      <c r="CU44" s="148">
        <f>IF(((Input_Raw[[#This Row],[33 kV_Wind_F2_Import_reading]]-CM43)*1200)&gt;0,(Input_Raw[[#This Row],[33 kV_Wind_F2_Import_reading]]-CM43)*1200,0)</f>
        <v>0</v>
      </c>
      <c r="CV44" s="148">
        <f>IF(((Input_Raw[[#This Row],[33 kV_Wind_F3_Export_Reading]]-CN43)*1200)&gt;0,(Input_Raw[[#This Row],[33 kV_Wind_F3_Export_Reading]]-CN43)*1200,0)</f>
        <v>106800</v>
      </c>
      <c r="CW44" s="148">
        <f>IF(((Input_Raw[[#This Row],[33 kV_Wind_F3_Import_Reading]]-CO43)*1200)&gt;0,(Input_Raw[[#This Row],[33 kV_Wind_F3_Import_Reading]]-CO43)*1200,0)</f>
        <v>0</v>
      </c>
      <c r="CX44" s="148">
        <f>IF(((Input_Raw[[#This Row],[33 kV_Wind_F4_Export Reading]]-CP43)*1200)&gt;0,(Input_Raw[[#This Row],[33 kV_Wind_F4_Export Reading]]-CP43)*1200,0)</f>
        <v>142800</v>
      </c>
      <c r="CY44" s="148">
        <f>IF(((Input_Raw[[#This Row],[33 kV_Wind_F4_Import Reading]]-CQ43)*1200)&gt;0,(Input_Raw[[#This Row],[33 kV_Wind_F4_Import Reading]]-CQ43)*1200,0)</f>
        <v>0</v>
      </c>
      <c r="CZ44" s="148">
        <f>Input_Raw[[#This Row],[33 kV_F1_Total_Export (KWh)]]+Input_Raw[[#This Row],[33 kV_F2_Total_Export (KWh)2]]+Input_Raw[[#This Row],[33 kV_Wind_F3_Export (KWh)]]+Input_Raw[[#This Row],[33 kV_Wind_F4_Export (KWh)]]</f>
        <v>336000</v>
      </c>
      <c r="DA44" s="148">
        <f>Input_Raw[[#This Row],[33 kV_Wind_F1_Import (KWh)]]+Input_Raw[[#This Row],[33 kV_Wind_F2_Import (KWh)]]+Input_Raw[[#This Row],[33 kV_Wind_F3_Import (KWh)2]]+Input_Raw[[#This Row],[33 kV_Wind_F4_Import (KWh)2]]</f>
        <v>0</v>
      </c>
      <c r="DB44" s="21">
        <f>IFERROR(1-Input_Raw[[#This Row],[33 kV_Wind_Total_Export (KWh)]]/Input_Raw[[#This Row],[WTG Total Gneration (KWh)]],0)</f>
        <v>4.3070377047359498E-2</v>
      </c>
      <c r="DC44" s="161">
        <v>96</v>
      </c>
      <c r="DD44" s="144">
        <v>45221</v>
      </c>
      <c r="DE44" s="163">
        <v>351.12</v>
      </c>
      <c r="DF44" s="160"/>
      <c r="DG44" s="162">
        <v>78</v>
      </c>
      <c r="DH44" s="281" t="s">
        <v>381</v>
      </c>
    </row>
    <row r="45" spans="1:112">
      <c r="A45" s="20">
        <f t="shared" si="4"/>
        <v>45785</v>
      </c>
      <c r="B45" s="12">
        <f>YEAR(Input_Raw[[#This Row],[Date]])+IF(MONTH(Input_Raw[[#This Row],[Date]])&gt;=4,1,0)</f>
        <v>2026</v>
      </c>
      <c r="C45" s="13">
        <f>YEAR(Input_Raw[[#This Row],[Date]])</f>
        <v>2025</v>
      </c>
      <c r="D45" s="14">
        <f t="shared" si="5"/>
        <v>45778</v>
      </c>
      <c r="E45" s="13">
        <f>DAY(EOMONTH(Input_Raw[[#This Row],[Date]],0))</f>
        <v>31</v>
      </c>
      <c r="F45" s="15">
        <v>8876</v>
      </c>
      <c r="G45" s="15">
        <v>8856</v>
      </c>
      <c r="H45" s="15">
        <v>8467</v>
      </c>
      <c r="I45" s="15">
        <v>8849</v>
      </c>
      <c r="J45" s="15">
        <v>7901</v>
      </c>
      <c r="K45" s="15">
        <v>8860</v>
      </c>
      <c r="L45" s="15">
        <v>8872</v>
      </c>
      <c r="M45" s="15">
        <v>8893</v>
      </c>
      <c r="N45" s="15">
        <v>10832</v>
      </c>
      <c r="O45" s="15">
        <v>8401</v>
      </c>
      <c r="P45" s="15">
        <v>8890</v>
      </c>
      <c r="Q45" s="15">
        <v>10821</v>
      </c>
      <c r="R45" s="15">
        <v>10846</v>
      </c>
      <c r="S45" s="15">
        <v>10849</v>
      </c>
      <c r="T45" s="15">
        <v>10850</v>
      </c>
      <c r="U45" s="15">
        <v>10842</v>
      </c>
      <c r="V45" s="15">
        <v>10856</v>
      </c>
      <c r="W45" s="15">
        <v>10847</v>
      </c>
      <c r="X45" s="15">
        <v>10879</v>
      </c>
      <c r="Y45" s="15">
        <v>10876</v>
      </c>
      <c r="Z45" s="15">
        <v>7949</v>
      </c>
      <c r="AA45" s="15">
        <v>7251</v>
      </c>
      <c r="AB45" s="15">
        <v>7934</v>
      </c>
      <c r="AC45" s="15">
        <v>7373</v>
      </c>
      <c r="AD45" s="15">
        <v>6841</v>
      </c>
      <c r="AE45" s="15">
        <v>7921</v>
      </c>
      <c r="AF45" s="15">
        <v>7369</v>
      </c>
      <c r="AG45" s="15">
        <v>0</v>
      </c>
      <c r="AH45" s="15">
        <v>7942</v>
      </c>
      <c r="AI45" s="15">
        <v>0</v>
      </c>
      <c r="AJ45" s="15">
        <v>6837</v>
      </c>
      <c r="AK45" s="15">
        <v>6845</v>
      </c>
      <c r="AL45" s="15">
        <v>6867</v>
      </c>
      <c r="AM45" s="15">
        <v>6287</v>
      </c>
      <c r="AN45" s="15">
        <v>6856</v>
      </c>
      <c r="AO45" s="15">
        <v>5639</v>
      </c>
      <c r="AP45" s="15">
        <v>6859</v>
      </c>
      <c r="AQ45" s="15">
        <v>6263</v>
      </c>
      <c r="AR45" s="15">
        <v>6857</v>
      </c>
      <c r="AS45" s="16">
        <v>4.58</v>
      </c>
      <c r="AT45" s="16">
        <v>4.46</v>
      </c>
      <c r="AU45" s="16">
        <v>3.97</v>
      </c>
      <c r="AV45" s="16">
        <v>4.1500000000000004</v>
      </c>
      <c r="AW45" s="16">
        <v>3.78</v>
      </c>
      <c r="AX45" s="16">
        <v>4.38</v>
      </c>
      <c r="AY45" s="16">
        <v>4.4000000000000004</v>
      </c>
      <c r="AZ45" s="16">
        <v>4.13</v>
      </c>
      <c r="BA45" s="16">
        <v>4.08</v>
      </c>
      <c r="BB45" s="16">
        <v>3.95</v>
      </c>
      <c r="BC45" s="16">
        <v>4.01</v>
      </c>
      <c r="BD45" s="16">
        <v>4.04</v>
      </c>
      <c r="BE45" s="16">
        <v>3.98</v>
      </c>
      <c r="BF45" s="16">
        <v>3.84</v>
      </c>
      <c r="BG45" s="16">
        <v>3.92</v>
      </c>
      <c r="BH45" s="16">
        <v>3.95</v>
      </c>
      <c r="BI45" s="16">
        <v>4.1500000000000004</v>
      </c>
      <c r="BJ45" s="16">
        <v>4.01</v>
      </c>
      <c r="BK45" s="16">
        <v>3.99</v>
      </c>
      <c r="BL45" s="16">
        <v>4.01</v>
      </c>
      <c r="BM45" s="16">
        <v>3.76</v>
      </c>
      <c r="BN45" s="16">
        <v>3.87</v>
      </c>
      <c r="BO45" s="16">
        <v>3.95</v>
      </c>
      <c r="BP45" s="16">
        <v>4.26</v>
      </c>
      <c r="BQ45" s="16">
        <v>4.2</v>
      </c>
      <c r="BR45" s="16">
        <v>4.22</v>
      </c>
      <c r="BS45" s="16">
        <v>4.21</v>
      </c>
      <c r="BT45" s="16">
        <v>0</v>
      </c>
      <c r="BU45" s="16">
        <v>5.44</v>
      </c>
      <c r="BV45" s="16">
        <v>0</v>
      </c>
      <c r="BW45" s="16">
        <v>4.17</v>
      </c>
      <c r="BX45" s="16">
        <v>4.1500000000000004</v>
      </c>
      <c r="BY45" s="16">
        <v>4.32</v>
      </c>
      <c r="BZ45" s="16">
        <v>4.55</v>
      </c>
      <c r="CA45" s="16">
        <v>6.32</v>
      </c>
      <c r="CB45" s="16">
        <v>4.45</v>
      </c>
      <c r="CC45" s="16">
        <v>4.87</v>
      </c>
      <c r="CD45" s="16">
        <v>4.3099999999999996</v>
      </c>
      <c r="CE45" s="16">
        <v>5.39</v>
      </c>
      <c r="CF45" s="17">
        <f>SUM(Input_Raw[[#This Row],[G01]:[G40]])</f>
        <v>315253</v>
      </c>
      <c r="CG45" s="18">
        <f>IFERROR(AVERAGE(Input_Raw[[#This Row],[WS_G01]:[WS_G40]]),"")</f>
        <v>4.056923076923078</v>
      </c>
      <c r="CH45" s="19"/>
      <c r="CI45" s="19"/>
      <c r="CJ45" s="15">
        <v>240469</v>
      </c>
      <c r="CK45" s="15">
        <v>2175</v>
      </c>
      <c r="CL45" s="15">
        <v>280388</v>
      </c>
      <c r="CM45" s="15">
        <v>2204</v>
      </c>
      <c r="CN45" s="15">
        <v>256422</v>
      </c>
      <c r="CO45" s="15">
        <v>1811</v>
      </c>
      <c r="CP45" s="15">
        <v>292326</v>
      </c>
      <c r="CQ45" s="15">
        <v>1856</v>
      </c>
      <c r="CR45" s="148">
        <f>IF(((Input_Raw[[#This Row],[33 kV_Wind_F1_Export reading]]-CJ44)*1200)&gt;0,(Input_Raw[[#This Row],[33 kV_Wind_F1_Export reading]]-CJ44)*1200,0)</f>
        <v>64800</v>
      </c>
      <c r="CS45" s="148">
        <f>IF(((Input_Raw[[#This Row],[33 kV_Wind_F1_Import reading]]-CK44)*1200)&gt;0,(Input_Raw[[#This Row],[33 kV_Wind_F1_Import reading]]-CK44)*1200,0)</f>
        <v>0</v>
      </c>
      <c r="CT45" s="148">
        <f>IF(((Input_Raw[[#This Row],[33 kV_Wind_F2_Export_reading]]-CL44)*1200)&gt;0,(Input_Raw[[#This Row],[33 kV_Wind_F2_Export_reading]]-CL44)*1200,0)</f>
        <v>60000</v>
      </c>
      <c r="CU45" s="148">
        <f>IF(((Input_Raw[[#This Row],[33 kV_Wind_F2_Import_reading]]-CM44)*1200)&gt;0,(Input_Raw[[#This Row],[33 kV_Wind_F2_Import_reading]]-CM44)*1200,0)</f>
        <v>0</v>
      </c>
      <c r="CV45" s="148">
        <f>IF(((Input_Raw[[#This Row],[33 kV_Wind_F3_Export_Reading]]-CN44)*1200)&gt;0,(Input_Raw[[#This Row],[33 kV_Wind_F3_Export_Reading]]-CN44)*1200,0)</f>
        <v>78000</v>
      </c>
      <c r="CW45" s="148">
        <f>IF(((Input_Raw[[#This Row],[33 kV_Wind_F3_Import_Reading]]-CO44)*1200)&gt;0,(Input_Raw[[#This Row],[33 kV_Wind_F3_Import_Reading]]-CO44)*1200,0)</f>
        <v>0</v>
      </c>
      <c r="CX45" s="148">
        <f>IF(((Input_Raw[[#This Row],[33 kV_Wind_F4_Export Reading]]-CP44)*1200)&gt;0,(Input_Raw[[#This Row],[33 kV_Wind_F4_Export Reading]]-CP44)*1200,0)</f>
        <v>108000</v>
      </c>
      <c r="CY45" s="148">
        <f>IF(((Input_Raw[[#This Row],[33 kV_Wind_F4_Import Reading]]-CQ44)*1200)&gt;0,(Input_Raw[[#This Row],[33 kV_Wind_F4_Import Reading]]-CQ44)*1200,0)</f>
        <v>0</v>
      </c>
      <c r="CZ45" s="148">
        <f>Input_Raw[[#This Row],[33 kV_F1_Total_Export (KWh)]]+Input_Raw[[#This Row],[33 kV_F2_Total_Export (KWh)2]]+Input_Raw[[#This Row],[33 kV_Wind_F3_Export (KWh)]]+Input_Raw[[#This Row],[33 kV_Wind_F4_Export (KWh)]]</f>
        <v>310800</v>
      </c>
      <c r="DA45" s="148">
        <f>Input_Raw[[#This Row],[33 kV_Wind_F1_Import (KWh)]]+Input_Raw[[#This Row],[33 kV_Wind_F2_Import (KWh)]]+Input_Raw[[#This Row],[33 kV_Wind_F3_Import (KWh)2]]+Input_Raw[[#This Row],[33 kV_Wind_F4_Import (KWh)2]]</f>
        <v>0</v>
      </c>
      <c r="DB45" s="21">
        <f>IFERROR(1-Input_Raw[[#This Row],[33 kV_Wind_Total_Export (KWh)]]/Input_Raw[[#This Row],[WTG Total Gneration (KWh)]],0)</f>
        <v>1.4125162964349292E-2</v>
      </c>
      <c r="DC45" s="161">
        <v>96</v>
      </c>
      <c r="DD45" s="144">
        <v>53455</v>
      </c>
      <c r="DE45" s="163">
        <v>315.25</v>
      </c>
      <c r="DF45" s="160"/>
      <c r="DG45" s="162">
        <v>78</v>
      </c>
      <c r="DH45" s="281" t="s">
        <v>381</v>
      </c>
    </row>
    <row r="46" spans="1:112">
      <c r="A46" s="20">
        <f t="shared" si="4"/>
        <v>45786</v>
      </c>
      <c r="B46" s="12">
        <f>YEAR(Input_Raw[[#This Row],[Date]])+IF(MONTH(Input_Raw[[#This Row],[Date]])&gt;=4,1,0)</f>
        <v>2026</v>
      </c>
      <c r="C46" s="13">
        <f>YEAR(Input_Raw[[#This Row],[Date]])</f>
        <v>2025</v>
      </c>
      <c r="D46" s="14">
        <f t="shared" si="5"/>
        <v>45778</v>
      </c>
      <c r="E46" s="13">
        <f>DAY(EOMONTH(Input_Raw[[#This Row],[Date]],0))</f>
        <v>31</v>
      </c>
      <c r="F46" s="15">
        <v>4021</v>
      </c>
      <c r="G46" s="15">
        <v>4032</v>
      </c>
      <c r="H46" s="15">
        <v>3562</v>
      </c>
      <c r="I46" s="15">
        <v>3583</v>
      </c>
      <c r="J46" s="15">
        <v>4562</v>
      </c>
      <c r="K46" s="15">
        <v>3521</v>
      </c>
      <c r="L46" s="15">
        <v>4024</v>
      </c>
      <c r="M46" s="15">
        <v>3536</v>
      </c>
      <c r="N46" s="15">
        <v>3832</v>
      </c>
      <c r="O46" s="15">
        <v>3543</v>
      </c>
      <c r="P46" s="15">
        <v>4026</v>
      </c>
      <c r="Q46" s="15">
        <v>4056</v>
      </c>
      <c r="R46" s="15">
        <v>4059</v>
      </c>
      <c r="S46" s="15">
        <v>4062</v>
      </c>
      <c r="T46" s="15">
        <v>4053</v>
      </c>
      <c r="U46" s="15">
        <v>4059</v>
      </c>
      <c r="V46" s="15">
        <v>4055</v>
      </c>
      <c r="W46" s="15">
        <v>4062</v>
      </c>
      <c r="X46" s="15">
        <v>4067</v>
      </c>
      <c r="Y46" s="15">
        <v>4072</v>
      </c>
      <c r="Z46" s="15">
        <v>4531</v>
      </c>
      <c r="AA46" s="15">
        <v>4564</v>
      </c>
      <c r="AB46" s="15">
        <v>4521</v>
      </c>
      <c r="AC46" s="15">
        <v>4562</v>
      </c>
      <c r="AD46" s="15">
        <v>3587</v>
      </c>
      <c r="AE46" s="15">
        <v>4537</v>
      </c>
      <c r="AF46" s="15">
        <v>4526</v>
      </c>
      <c r="AG46" s="15">
        <v>0</v>
      </c>
      <c r="AH46" s="15">
        <v>4555</v>
      </c>
      <c r="AI46" s="15">
        <v>0</v>
      </c>
      <c r="AJ46" s="15">
        <v>3579</v>
      </c>
      <c r="AK46" s="15">
        <v>3593</v>
      </c>
      <c r="AL46" s="15">
        <v>3061</v>
      </c>
      <c r="AM46" s="15">
        <v>3582</v>
      </c>
      <c r="AN46" s="15">
        <v>3578</v>
      </c>
      <c r="AO46" s="15">
        <v>3072</v>
      </c>
      <c r="AP46" s="15">
        <v>3569</v>
      </c>
      <c r="AQ46" s="15">
        <v>3056</v>
      </c>
      <c r="AR46" s="15">
        <v>3566</v>
      </c>
      <c r="AS46" s="16">
        <v>4.0641180555555536</v>
      </c>
      <c r="AT46" s="16">
        <v>4.0593055555555582</v>
      </c>
      <c r="AU46" s="16">
        <v>4.0183402777777761</v>
      </c>
      <c r="AV46" s="16">
        <v>3.9908402777777772</v>
      </c>
      <c r="AW46" s="16">
        <v>3.97079861111111</v>
      </c>
      <c r="AX46" s="16">
        <v>4.1533333333333324</v>
      </c>
      <c r="AY46" s="16">
        <v>4.1533333333333324</v>
      </c>
      <c r="AZ46" s="16">
        <v>4.3952637795275589</v>
      </c>
      <c r="BA46" s="16">
        <v>4.0945833333333352</v>
      </c>
      <c r="BB46" s="16">
        <v>4.1891249999999989</v>
      </c>
      <c r="BC46" s="16">
        <v>4.5515753968253962</v>
      </c>
      <c r="BD46" s="16">
        <v>4.0447986111111112</v>
      </c>
      <c r="BE46" s="16">
        <v>4.0977430555555578</v>
      </c>
      <c r="BF46" s="16">
        <v>4.1513819444444442</v>
      </c>
      <c r="BG46" s="16">
        <v>4.114952083333332</v>
      </c>
      <c r="BH46" s="16">
        <v>4.1474861111111121</v>
      </c>
      <c r="BI46" s="16">
        <v>4.3756666666666675</v>
      </c>
      <c r="BJ46" s="16">
        <v>4.3612430555555521</v>
      </c>
      <c r="BK46" s="16">
        <v>4.2470694444444446</v>
      </c>
      <c r="BL46" s="16">
        <v>4.3102222222222224</v>
      </c>
      <c r="BM46" s="16">
        <v>4.0999999999999996</v>
      </c>
      <c r="BN46" s="16">
        <v>4.0657152777777794</v>
      </c>
      <c r="BO46" s="16">
        <v>3.9717916666666659</v>
      </c>
      <c r="BP46" s="16">
        <v>4.1679513888888877</v>
      </c>
      <c r="BQ46" s="16">
        <v>3.8945486111111092</v>
      </c>
      <c r="BR46" s="16">
        <v>3.9962013888888888</v>
      </c>
      <c r="BS46" s="16">
        <v>4.0165833333333332</v>
      </c>
      <c r="BT46" s="16">
        <v>0</v>
      </c>
      <c r="BU46" s="16">
        <v>4.0999999999999996</v>
      </c>
      <c r="BV46" s="16">
        <v>0</v>
      </c>
      <c r="BW46" s="16">
        <v>3.80823611111111</v>
      </c>
      <c r="BX46" s="16">
        <v>3.923756944444444</v>
      </c>
      <c r="BY46" s="16">
        <v>4.0071736111111118</v>
      </c>
      <c r="BZ46" s="16">
        <v>4.0676805555555573</v>
      </c>
      <c r="CA46" s="16">
        <v>4.0488194444444439</v>
      </c>
      <c r="CB46" s="16">
        <v>4.1112569444444436</v>
      </c>
      <c r="CC46" s="16">
        <v>3.8610277777777782</v>
      </c>
      <c r="CD46" s="16">
        <v>3.9456944444444466</v>
      </c>
      <c r="CE46" s="16">
        <v>3.9453750000000003</v>
      </c>
      <c r="CF46" s="17">
        <f>SUM(Input_Raw[[#This Row],[G01]:[G40]])</f>
        <v>144826</v>
      </c>
      <c r="CG46" s="18">
        <f>IFERROR(AVERAGE(Input_Raw[[#This Row],[WS_G01]:[WS_G40]]),"")</f>
        <v>3.885204939707056</v>
      </c>
      <c r="CH46" s="19"/>
      <c r="CI46" s="19"/>
      <c r="CJ46" s="15">
        <v>240497</v>
      </c>
      <c r="CK46" s="15">
        <v>2176</v>
      </c>
      <c r="CL46" s="15">
        <v>280418</v>
      </c>
      <c r="CM46" s="15">
        <v>2205</v>
      </c>
      <c r="CN46" s="15">
        <v>256450</v>
      </c>
      <c r="CO46" s="15">
        <v>1812</v>
      </c>
      <c r="CP46" s="15">
        <v>292358</v>
      </c>
      <c r="CQ46" s="15">
        <v>1857</v>
      </c>
      <c r="CR46" s="148">
        <f>IF(((Input_Raw[[#This Row],[33 kV_Wind_F1_Export reading]]-CJ45)*1200)&gt;0,(Input_Raw[[#This Row],[33 kV_Wind_F1_Export reading]]-CJ45)*1200,0)</f>
        <v>33600</v>
      </c>
      <c r="CS46" s="148">
        <f>IF(((Input_Raw[[#This Row],[33 kV_Wind_F1_Import reading]]-CK45)*1200)&gt;0,(Input_Raw[[#This Row],[33 kV_Wind_F1_Import reading]]-CK45)*1200,0)</f>
        <v>1200</v>
      </c>
      <c r="CT46" s="148">
        <f>IF(((Input_Raw[[#This Row],[33 kV_Wind_F2_Export_reading]]-CL45)*1200)&gt;0,(Input_Raw[[#This Row],[33 kV_Wind_F2_Export_reading]]-CL45)*1200,0)</f>
        <v>36000</v>
      </c>
      <c r="CU46" s="148">
        <f>IF(((Input_Raw[[#This Row],[33 kV_Wind_F2_Import_reading]]-CM45)*1200)&gt;0,(Input_Raw[[#This Row],[33 kV_Wind_F2_Import_reading]]-CM45)*1200,0)</f>
        <v>1200</v>
      </c>
      <c r="CV46" s="148">
        <f>IF(((Input_Raw[[#This Row],[33 kV_Wind_F3_Export_Reading]]-CN45)*1200)&gt;0,(Input_Raw[[#This Row],[33 kV_Wind_F3_Export_Reading]]-CN45)*1200,0)</f>
        <v>33600</v>
      </c>
      <c r="CW46" s="148">
        <f>IF(((Input_Raw[[#This Row],[33 kV_Wind_F3_Import_Reading]]-CO45)*1200)&gt;0,(Input_Raw[[#This Row],[33 kV_Wind_F3_Import_Reading]]-CO45)*1200,0)</f>
        <v>1200</v>
      </c>
      <c r="CX46" s="148">
        <f>IF(((Input_Raw[[#This Row],[33 kV_Wind_F4_Export Reading]]-CP45)*1200)&gt;0,(Input_Raw[[#This Row],[33 kV_Wind_F4_Export Reading]]-CP45)*1200,0)</f>
        <v>38400</v>
      </c>
      <c r="CY46" s="148">
        <f>IF(((Input_Raw[[#This Row],[33 kV_Wind_F4_Import Reading]]-CQ45)*1200)&gt;0,(Input_Raw[[#This Row],[33 kV_Wind_F4_Import Reading]]-CQ45)*1200,0)</f>
        <v>1200</v>
      </c>
      <c r="CZ46" s="148">
        <f>Input_Raw[[#This Row],[33 kV_F1_Total_Export (KWh)]]+Input_Raw[[#This Row],[33 kV_F2_Total_Export (KWh)2]]+Input_Raw[[#This Row],[33 kV_Wind_F3_Export (KWh)]]+Input_Raw[[#This Row],[33 kV_Wind_F4_Export (KWh)]]</f>
        <v>141600</v>
      </c>
      <c r="DA46" s="148">
        <f>Input_Raw[[#This Row],[33 kV_Wind_F1_Import (KWh)]]+Input_Raw[[#This Row],[33 kV_Wind_F2_Import (KWh)]]+Input_Raw[[#This Row],[33 kV_Wind_F3_Import (KWh)2]]+Input_Raw[[#This Row],[33 kV_Wind_F4_Import (KWh)2]]</f>
        <v>4800</v>
      </c>
      <c r="DB46" s="21">
        <f>IFERROR(1-Input_Raw[[#This Row],[33 kV_Wind_Total_Export (KWh)]]/Input_Raw[[#This Row],[WTG Total Gneration (KWh)]],0)</f>
        <v>2.2275005869111908E-2</v>
      </c>
      <c r="DC46" s="161">
        <v>44</v>
      </c>
      <c r="DD46" s="161">
        <v>3437</v>
      </c>
      <c r="DE46" s="163">
        <v>144.82</v>
      </c>
      <c r="DF46" s="160"/>
      <c r="DG46" s="162">
        <v>78</v>
      </c>
      <c r="DH46" s="281" t="s">
        <v>381</v>
      </c>
    </row>
    <row r="47" spans="1:112">
      <c r="A47" s="20">
        <f t="shared" si="4"/>
        <v>45787</v>
      </c>
      <c r="B47" s="12">
        <f>YEAR(Input_Raw[[#This Row],[Date]])+IF(MONTH(Input_Raw[[#This Row],[Date]])&gt;=4,1,0)</f>
        <v>2026</v>
      </c>
      <c r="C47" s="13">
        <f>YEAR(Input_Raw[[#This Row],[Date]])</f>
        <v>2025</v>
      </c>
      <c r="D47" s="14">
        <f t="shared" si="5"/>
        <v>45778</v>
      </c>
      <c r="E47" s="13">
        <f>DAY(EOMONTH(Input_Raw[[#This Row],[Date]],0))</f>
        <v>31</v>
      </c>
      <c r="F47" s="15">
        <v>6650</v>
      </c>
      <c r="G47" s="15">
        <v>6658</v>
      </c>
      <c r="H47" s="15">
        <v>6673</v>
      </c>
      <c r="I47" s="15">
        <v>3206</v>
      </c>
      <c r="J47" s="15">
        <v>4055</v>
      </c>
      <c r="K47" s="15">
        <v>6692</v>
      </c>
      <c r="L47" s="15">
        <v>6703</v>
      </c>
      <c r="M47" s="15">
        <v>6698</v>
      </c>
      <c r="N47" s="15">
        <v>6300</v>
      </c>
      <c r="O47" s="15">
        <v>6712</v>
      </c>
      <c r="P47" s="15">
        <v>6693</v>
      </c>
      <c r="Q47" s="15">
        <v>7043</v>
      </c>
      <c r="R47" s="15">
        <v>6965</v>
      </c>
      <c r="S47" s="15">
        <v>6923</v>
      </c>
      <c r="T47" s="15">
        <v>7206</v>
      </c>
      <c r="U47" s="15">
        <v>7190</v>
      </c>
      <c r="V47" s="15">
        <v>7205</v>
      </c>
      <c r="W47" s="15">
        <v>6965</v>
      </c>
      <c r="X47" s="15">
        <v>6942</v>
      </c>
      <c r="Y47" s="15">
        <v>7164</v>
      </c>
      <c r="Z47" s="15">
        <v>4052</v>
      </c>
      <c r="AA47" s="15">
        <v>4048</v>
      </c>
      <c r="AB47" s="15">
        <v>4060</v>
      </c>
      <c r="AC47" s="15">
        <v>4048</v>
      </c>
      <c r="AD47" s="15">
        <v>3590</v>
      </c>
      <c r="AE47" s="15">
        <v>4083</v>
      </c>
      <c r="AF47" s="15">
        <v>4032</v>
      </c>
      <c r="AG47" s="15">
        <v>0</v>
      </c>
      <c r="AH47" s="15">
        <v>4116</v>
      </c>
      <c r="AI47" s="15">
        <v>0</v>
      </c>
      <c r="AJ47" s="15">
        <v>3476</v>
      </c>
      <c r="AK47" s="15">
        <v>3598</v>
      </c>
      <c r="AL47" s="15">
        <v>3056</v>
      </c>
      <c r="AM47" s="15">
        <v>3587</v>
      </c>
      <c r="AN47" s="15">
        <v>3573</v>
      </c>
      <c r="AO47" s="15">
        <v>3577</v>
      </c>
      <c r="AP47" s="15">
        <v>3563</v>
      </c>
      <c r="AQ47" s="15">
        <v>3561</v>
      </c>
      <c r="AR47" s="15">
        <v>3561</v>
      </c>
      <c r="AS47" s="16">
        <v>4.2300000000000004</v>
      </c>
      <c r="AT47" s="16">
        <v>4.33</v>
      </c>
      <c r="AU47" s="16">
        <v>4.21</v>
      </c>
      <c r="AV47" s="16">
        <v>4.28</v>
      </c>
      <c r="AW47" s="16">
        <v>4.21</v>
      </c>
      <c r="AX47" s="16">
        <v>4.4800000000000004</v>
      </c>
      <c r="AY47" s="16">
        <v>4.2300000000000004</v>
      </c>
      <c r="AZ47" s="16">
        <v>4.3499999999999996</v>
      </c>
      <c r="BA47" s="16">
        <v>4.3499999999999996</v>
      </c>
      <c r="BB47" s="16">
        <v>4.18</v>
      </c>
      <c r="BC47" s="16">
        <v>4.62</v>
      </c>
      <c r="BD47" s="16">
        <v>4.3099999999999996</v>
      </c>
      <c r="BE47" s="16">
        <v>4.42</v>
      </c>
      <c r="BF47" s="16">
        <v>4.46</v>
      </c>
      <c r="BG47" s="16">
        <v>4.3</v>
      </c>
      <c r="BH47" s="16">
        <v>4.5</v>
      </c>
      <c r="BI47" s="16">
        <v>5.8</v>
      </c>
      <c r="BJ47" s="16">
        <v>4.68</v>
      </c>
      <c r="BK47" s="16">
        <v>4.8499999999999996</v>
      </c>
      <c r="BL47" s="16">
        <v>4.97</v>
      </c>
      <c r="BM47" s="16">
        <v>4.72</v>
      </c>
      <c r="BN47" s="16">
        <v>4.43</v>
      </c>
      <c r="BO47" s="16">
        <v>4.49</v>
      </c>
      <c r="BP47" s="16">
        <v>4.62</v>
      </c>
      <c r="BQ47" s="16">
        <v>4.33</v>
      </c>
      <c r="BR47" s="16">
        <v>4.3600000000000003</v>
      </c>
      <c r="BS47" s="16">
        <v>4.24</v>
      </c>
      <c r="BT47" s="16">
        <v>0</v>
      </c>
      <c r="BU47" s="16">
        <v>4.4400000000000004</v>
      </c>
      <c r="BV47" s="16">
        <v>0</v>
      </c>
      <c r="BW47" s="16">
        <v>4.26</v>
      </c>
      <c r="BX47" s="16">
        <v>4.4400000000000004</v>
      </c>
      <c r="BY47" s="16">
        <v>4.4400000000000004</v>
      </c>
      <c r="BZ47" s="16">
        <v>4.4400000000000004</v>
      </c>
      <c r="CA47" s="16">
        <v>4.4800000000000004</v>
      </c>
      <c r="CB47" s="16">
        <v>4.54</v>
      </c>
      <c r="CC47" s="16">
        <v>4.25</v>
      </c>
      <c r="CD47" s="16">
        <v>4.41</v>
      </c>
      <c r="CE47" s="16">
        <v>4.59</v>
      </c>
      <c r="CF47" s="17">
        <f>SUM(Input_Raw[[#This Row],[G01]:[G40]])</f>
        <v>194224</v>
      </c>
      <c r="CG47" s="18">
        <f>IFERROR(AVERAGE(Input_Raw[[#This Row],[WS_G01]:[WS_G40]]),"")</f>
        <v>4.2369230769230759</v>
      </c>
      <c r="CH47" s="19"/>
      <c r="CI47" s="19"/>
      <c r="CJ47" s="15">
        <v>240525</v>
      </c>
      <c r="CK47" s="15">
        <v>2177</v>
      </c>
      <c r="CL47" s="15">
        <v>280445</v>
      </c>
      <c r="CM47" s="15">
        <v>2205</v>
      </c>
      <c r="CN47" s="15">
        <v>256497</v>
      </c>
      <c r="CO47" s="15">
        <v>1813</v>
      </c>
      <c r="CP47" s="15">
        <v>292416</v>
      </c>
      <c r="CQ47" s="15">
        <v>1858</v>
      </c>
      <c r="CR47" s="148">
        <f>IF(((Input_Raw[[#This Row],[33 kV_Wind_F1_Export reading]]-CJ46)*1200)&gt;0,(Input_Raw[[#This Row],[33 kV_Wind_F1_Export reading]]-CJ46)*1200,0)</f>
        <v>33600</v>
      </c>
      <c r="CS47" s="148">
        <f>IF(((Input_Raw[[#This Row],[33 kV_Wind_F1_Import reading]]-CK46)*1200)&gt;0,(Input_Raw[[#This Row],[33 kV_Wind_F1_Import reading]]-CK46)*1200,0)</f>
        <v>1200</v>
      </c>
      <c r="CT47" s="148">
        <f>IF(((Input_Raw[[#This Row],[33 kV_Wind_F2_Export_reading]]-CL46)*1200)&gt;0,(Input_Raw[[#This Row],[33 kV_Wind_F2_Export_reading]]-CL46)*1200,0)</f>
        <v>32400</v>
      </c>
      <c r="CU47" s="148">
        <f>IF(((Input_Raw[[#This Row],[33 kV_Wind_F2_Import_reading]]-CM46)*1200)&gt;0,(Input_Raw[[#This Row],[33 kV_Wind_F2_Import_reading]]-CM46)*1200,0)</f>
        <v>0</v>
      </c>
      <c r="CV47" s="148">
        <f>IF(((Input_Raw[[#This Row],[33 kV_Wind_F3_Export_Reading]]-CN46)*1200)&gt;0,(Input_Raw[[#This Row],[33 kV_Wind_F3_Export_Reading]]-CN46)*1200,0)</f>
        <v>56400</v>
      </c>
      <c r="CW47" s="148">
        <f>IF(((Input_Raw[[#This Row],[33 kV_Wind_F3_Import_Reading]]-CO46)*1200)&gt;0,(Input_Raw[[#This Row],[33 kV_Wind_F3_Import_Reading]]-CO46)*1200,0)</f>
        <v>1200</v>
      </c>
      <c r="CX47" s="148">
        <f>IF(((Input_Raw[[#This Row],[33 kV_Wind_F4_Export Reading]]-CP46)*1200)&gt;0,(Input_Raw[[#This Row],[33 kV_Wind_F4_Export Reading]]-CP46)*1200,0)</f>
        <v>69600</v>
      </c>
      <c r="CY47" s="148">
        <f>IF(((Input_Raw[[#This Row],[33 kV_Wind_F4_Import Reading]]-CQ46)*1200)&gt;0,(Input_Raw[[#This Row],[33 kV_Wind_F4_Import Reading]]-CQ46)*1200,0)</f>
        <v>1200</v>
      </c>
      <c r="CZ47" s="148">
        <f>Input_Raw[[#This Row],[33 kV_F1_Total_Export (KWh)]]+Input_Raw[[#This Row],[33 kV_F2_Total_Export (KWh)2]]+Input_Raw[[#This Row],[33 kV_Wind_F3_Export (KWh)]]+Input_Raw[[#This Row],[33 kV_Wind_F4_Export (KWh)]]</f>
        <v>192000</v>
      </c>
      <c r="DA47" s="148">
        <f>Input_Raw[[#This Row],[33 kV_Wind_F1_Import (KWh)]]+Input_Raw[[#This Row],[33 kV_Wind_F2_Import (KWh)]]+Input_Raw[[#This Row],[33 kV_Wind_F3_Import (KWh)2]]+Input_Raw[[#This Row],[33 kV_Wind_F4_Import (KWh)2]]</f>
        <v>3600</v>
      </c>
      <c r="DB47" s="21">
        <f>IFERROR(1-Input_Raw[[#This Row],[33 kV_Wind_Total_Export (KWh)]]/Input_Raw[[#This Row],[WTG Total Gneration (KWh)]],0)</f>
        <v>1.1450696103468161E-2</v>
      </c>
      <c r="DC47" s="161">
        <v>0</v>
      </c>
      <c r="DD47" s="161">
        <v>0</v>
      </c>
      <c r="DE47" s="163">
        <v>194.22</v>
      </c>
      <c r="DF47" s="160"/>
      <c r="DG47" s="162">
        <v>78</v>
      </c>
      <c r="DH47" s="281" t="s">
        <v>381</v>
      </c>
    </row>
    <row r="48" spans="1:112">
      <c r="A48" s="20">
        <f t="shared" si="4"/>
        <v>45788</v>
      </c>
      <c r="B48" s="12">
        <f>YEAR(Input_Raw[[#This Row],[Date]])+IF(MONTH(Input_Raw[[#This Row],[Date]])&gt;=4,1,0)</f>
        <v>2026</v>
      </c>
      <c r="C48" s="13">
        <f>YEAR(Input_Raw[[#This Row],[Date]])</f>
        <v>2025</v>
      </c>
      <c r="D48" s="14">
        <f t="shared" si="5"/>
        <v>45778</v>
      </c>
      <c r="E48" s="13">
        <f>DAY(EOMONTH(Input_Raw[[#This Row],[Date]],0))</f>
        <v>31</v>
      </c>
      <c r="F48" s="15">
        <v>12206</v>
      </c>
      <c r="G48" s="15">
        <v>12243</v>
      </c>
      <c r="H48" s="15">
        <v>12116</v>
      </c>
      <c r="I48" s="15">
        <v>5892</v>
      </c>
      <c r="J48" s="15">
        <v>8608</v>
      </c>
      <c r="K48" s="15">
        <v>12178</v>
      </c>
      <c r="L48" s="15">
        <v>12998</v>
      </c>
      <c r="M48" s="15">
        <v>12208</v>
      </c>
      <c r="N48" s="15">
        <v>11345</v>
      </c>
      <c r="O48" s="15">
        <v>12064</v>
      </c>
      <c r="P48" s="15">
        <v>12092</v>
      </c>
      <c r="Q48" s="15">
        <v>11236</v>
      </c>
      <c r="R48" s="15">
        <v>11299</v>
      </c>
      <c r="S48" s="15">
        <v>11376</v>
      </c>
      <c r="T48" s="15">
        <v>11407</v>
      </c>
      <c r="U48" s="15">
        <v>11348</v>
      </c>
      <c r="V48" s="15">
        <v>11369</v>
      </c>
      <c r="W48" s="15">
        <v>11272</v>
      </c>
      <c r="X48" s="15">
        <v>11454</v>
      </c>
      <c r="Y48" s="15">
        <v>11344</v>
      </c>
      <c r="Z48" s="15">
        <v>3206</v>
      </c>
      <c r="AA48" s="15">
        <v>8658</v>
      </c>
      <c r="AB48" s="15">
        <v>3569</v>
      </c>
      <c r="AC48" s="15">
        <v>8533</v>
      </c>
      <c r="AD48" s="15">
        <v>6275</v>
      </c>
      <c r="AE48" s="15">
        <v>8712</v>
      </c>
      <c r="AF48" s="15">
        <v>8517</v>
      </c>
      <c r="AG48" s="15">
        <v>0</v>
      </c>
      <c r="AH48" s="15">
        <v>8653</v>
      </c>
      <c r="AI48" s="15">
        <v>0</v>
      </c>
      <c r="AJ48" s="15">
        <v>6087</v>
      </c>
      <c r="AK48" s="15">
        <v>6225</v>
      </c>
      <c r="AL48" s="15">
        <v>6105</v>
      </c>
      <c r="AM48" s="15">
        <v>6275</v>
      </c>
      <c r="AN48" s="15">
        <v>6260</v>
      </c>
      <c r="AO48" s="15">
        <v>6235</v>
      </c>
      <c r="AP48" s="15">
        <v>6273</v>
      </c>
      <c r="AQ48" s="15">
        <v>6308</v>
      </c>
      <c r="AR48" s="15">
        <v>6262</v>
      </c>
      <c r="AS48" s="16">
        <v>4.8499999999999996</v>
      </c>
      <c r="AT48" s="16">
        <v>5.37</v>
      </c>
      <c r="AU48" s="16">
        <v>4.76</v>
      </c>
      <c r="AV48" s="16">
        <v>4.7699999999999996</v>
      </c>
      <c r="AW48" s="16">
        <v>5.09</v>
      </c>
      <c r="AX48" s="16">
        <v>5.19</v>
      </c>
      <c r="AY48" s="16">
        <v>4.8</v>
      </c>
      <c r="AZ48" s="16">
        <v>4.87</v>
      </c>
      <c r="BA48" s="16">
        <v>5.25</v>
      </c>
      <c r="BB48" s="16">
        <v>4.9800000000000004</v>
      </c>
      <c r="BC48" s="16">
        <v>5.45</v>
      </c>
      <c r="BD48" s="16">
        <v>5.28</v>
      </c>
      <c r="BE48" s="16">
        <v>5.32</v>
      </c>
      <c r="BF48" s="16">
        <v>5.14</v>
      </c>
      <c r="BG48" s="16">
        <v>5.09</v>
      </c>
      <c r="BH48" s="16">
        <v>5.27</v>
      </c>
      <c r="BI48" s="16">
        <v>5.07</v>
      </c>
      <c r="BJ48" s="16">
        <v>5.36</v>
      </c>
      <c r="BK48" s="16">
        <v>6.59</v>
      </c>
      <c r="BL48" s="16">
        <v>5.63</v>
      </c>
      <c r="BM48" s="16">
        <v>5.4</v>
      </c>
      <c r="BN48" s="16">
        <v>5.44</v>
      </c>
      <c r="BO48" s="16">
        <v>4.66</v>
      </c>
      <c r="BP48" s="16">
        <v>4.9800000000000004</v>
      </c>
      <c r="BQ48" s="16">
        <v>4.95</v>
      </c>
      <c r="BR48" s="16">
        <v>4.71</v>
      </c>
      <c r="BS48" s="16">
        <v>4.88</v>
      </c>
      <c r="BT48" s="16">
        <v>0</v>
      </c>
      <c r="BU48" s="16">
        <v>4.8600000000000003</v>
      </c>
      <c r="BV48" s="16">
        <v>0</v>
      </c>
      <c r="BW48" s="16">
        <v>4.59</v>
      </c>
      <c r="BX48" s="16">
        <v>4.7300000000000004</v>
      </c>
      <c r="BY48" s="16">
        <v>4.88</v>
      </c>
      <c r="BZ48" s="16">
        <v>4.88</v>
      </c>
      <c r="CA48" s="16">
        <v>5.07</v>
      </c>
      <c r="CB48" s="16">
        <v>5.05</v>
      </c>
      <c r="CC48" s="16">
        <v>4.83</v>
      </c>
      <c r="CD48" s="16">
        <v>4.74</v>
      </c>
      <c r="CE48" s="16">
        <v>5.01</v>
      </c>
      <c r="CF48" s="17">
        <f>SUM(Input_Raw[[#This Row],[G01]:[G40]])</f>
        <v>338208</v>
      </c>
      <c r="CG48" s="18">
        <f>IFERROR(AVERAGE(Input_Raw[[#This Row],[WS_G01]:[WS_G40]]),"")</f>
        <v>4.8151282051282047</v>
      </c>
      <c r="CH48" s="19"/>
      <c r="CI48" s="19"/>
      <c r="CJ48" s="15">
        <v>240577</v>
      </c>
      <c r="CK48" s="15">
        <v>2177</v>
      </c>
      <c r="CL48" s="15">
        <v>280494</v>
      </c>
      <c r="CM48" s="15">
        <v>2206</v>
      </c>
      <c r="CN48" s="15">
        <v>256583</v>
      </c>
      <c r="CO48" s="15">
        <v>1813</v>
      </c>
      <c r="CP48" s="15">
        <v>292508</v>
      </c>
      <c r="CQ48" s="15">
        <v>1858</v>
      </c>
      <c r="CR48" s="148">
        <f>IF(((Input_Raw[[#This Row],[33 kV_Wind_F1_Export reading]]-CJ47)*1200)&gt;0,(Input_Raw[[#This Row],[33 kV_Wind_F1_Export reading]]-CJ47)*1200,0)</f>
        <v>62400</v>
      </c>
      <c r="CS48" s="148">
        <f>IF(((Input_Raw[[#This Row],[33 kV_Wind_F1_Import reading]]-CK47)*1200)&gt;0,(Input_Raw[[#This Row],[33 kV_Wind_F1_Import reading]]-CK47)*1200,0)</f>
        <v>0</v>
      </c>
      <c r="CT48" s="148">
        <f>IF(((Input_Raw[[#This Row],[33 kV_Wind_F2_Export_reading]]-CL47)*1200)&gt;0,(Input_Raw[[#This Row],[33 kV_Wind_F2_Export_reading]]-CL47)*1200,0)</f>
        <v>58800</v>
      </c>
      <c r="CU48" s="148">
        <f>IF(((Input_Raw[[#This Row],[33 kV_Wind_F2_Import_reading]]-CM47)*1200)&gt;0,(Input_Raw[[#This Row],[33 kV_Wind_F2_Import_reading]]-CM47)*1200,0)</f>
        <v>1200</v>
      </c>
      <c r="CV48" s="148">
        <f>IF(((Input_Raw[[#This Row],[33 kV_Wind_F3_Export_Reading]]-CN47)*1200)&gt;0,(Input_Raw[[#This Row],[33 kV_Wind_F3_Export_Reading]]-CN47)*1200,0)</f>
        <v>103200</v>
      </c>
      <c r="CW48" s="148">
        <f>IF(((Input_Raw[[#This Row],[33 kV_Wind_F3_Import_Reading]]-CO47)*1200)&gt;0,(Input_Raw[[#This Row],[33 kV_Wind_F3_Import_Reading]]-CO47)*1200,0)</f>
        <v>0</v>
      </c>
      <c r="CX48" s="148">
        <f>IF(((Input_Raw[[#This Row],[33 kV_Wind_F4_Export Reading]]-CP47)*1200)&gt;0,(Input_Raw[[#This Row],[33 kV_Wind_F4_Export Reading]]-CP47)*1200,0)</f>
        <v>110400</v>
      </c>
      <c r="CY48" s="148">
        <f>IF(((Input_Raw[[#This Row],[33 kV_Wind_F4_Import Reading]]-CQ47)*1200)&gt;0,(Input_Raw[[#This Row],[33 kV_Wind_F4_Import Reading]]-CQ47)*1200,0)</f>
        <v>0</v>
      </c>
      <c r="CZ48" s="148">
        <f>Input_Raw[[#This Row],[33 kV_F1_Total_Export (KWh)]]+Input_Raw[[#This Row],[33 kV_F2_Total_Export (KWh)2]]+Input_Raw[[#This Row],[33 kV_Wind_F3_Export (KWh)]]+Input_Raw[[#This Row],[33 kV_Wind_F4_Export (KWh)]]</f>
        <v>334800</v>
      </c>
      <c r="DA48" s="148">
        <f>Input_Raw[[#This Row],[33 kV_Wind_F1_Import (KWh)]]+Input_Raw[[#This Row],[33 kV_Wind_F2_Import (KWh)]]+Input_Raw[[#This Row],[33 kV_Wind_F3_Import (KWh)2]]+Input_Raw[[#This Row],[33 kV_Wind_F4_Import (KWh)2]]</f>
        <v>1200</v>
      </c>
      <c r="DB48" s="21">
        <f>IFERROR(1-Input_Raw[[#This Row],[33 kV_Wind_Total_Export (KWh)]]/Input_Raw[[#This Row],[WTG Total Gneration (KWh)]],0)</f>
        <v>1.0076639227930784E-2</v>
      </c>
      <c r="DC48" s="161">
        <v>0</v>
      </c>
      <c r="DD48" s="161">
        <v>0</v>
      </c>
      <c r="DE48" s="163">
        <v>338.2</v>
      </c>
      <c r="DF48" s="160"/>
      <c r="DG48" s="162">
        <v>78</v>
      </c>
      <c r="DH48" s="281" t="s">
        <v>381</v>
      </c>
    </row>
    <row r="49" spans="1:112">
      <c r="A49" s="20">
        <f t="shared" si="4"/>
        <v>45789</v>
      </c>
      <c r="B49" s="12">
        <f>YEAR(Input_Raw[[#This Row],[Date]])+IF(MONTH(Input_Raw[[#This Row],[Date]])&gt;=4,1,0)</f>
        <v>2026</v>
      </c>
      <c r="C49" s="13">
        <f>YEAR(Input_Raw[[#This Row],[Date]])</f>
        <v>2025</v>
      </c>
      <c r="D49" s="14">
        <f t="shared" si="5"/>
        <v>45778</v>
      </c>
      <c r="E49" s="13">
        <f>DAY(EOMONTH(Input_Raw[[#This Row],[Date]],0))</f>
        <v>31</v>
      </c>
      <c r="F49" s="15">
        <v>3065</v>
      </c>
      <c r="G49" s="15">
        <v>3066</v>
      </c>
      <c r="H49" s="15">
        <v>2784</v>
      </c>
      <c r="I49" s="15">
        <v>2259</v>
      </c>
      <c r="J49" s="15">
        <v>4032</v>
      </c>
      <c r="K49" s="15">
        <v>3086</v>
      </c>
      <c r="L49" s="15">
        <v>3109</v>
      </c>
      <c r="M49" s="15">
        <v>3046</v>
      </c>
      <c r="N49" s="15">
        <v>3381</v>
      </c>
      <c r="O49" s="15">
        <v>3125</v>
      </c>
      <c r="P49" s="15">
        <v>3110</v>
      </c>
      <c r="Q49" s="15">
        <v>3357</v>
      </c>
      <c r="R49" s="15">
        <v>3392</v>
      </c>
      <c r="S49" s="15">
        <v>3347</v>
      </c>
      <c r="T49" s="15">
        <v>3362</v>
      </c>
      <c r="U49" s="15">
        <v>3317</v>
      </c>
      <c r="V49" s="15">
        <v>3327</v>
      </c>
      <c r="W49" s="15">
        <v>3465</v>
      </c>
      <c r="X49" s="15">
        <v>3456</v>
      </c>
      <c r="Y49" s="15">
        <v>3408</v>
      </c>
      <c r="Z49" s="15">
        <v>758</v>
      </c>
      <c r="AA49" s="15">
        <v>2856</v>
      </c>
      <c r="AB49" s="15">
        <v>1102</v>
      </c>
      <c r="AC49" s="15">
        <v>4157</v>
      </c>
      <c r="AD49" s="15">
        <v>2670</v>
      </c>
      <c r="AE49" s="15">
        <v>4213</v>
      </c>
      <c r="AF49" s="15">
        <v>4215</v>
      </c>
      <c r="AG49" s="15">
        <v>0</v>
      </c>
      <c r="AH49" s="15">
        <v>4167</v>
      </c>
      <c r="AI49" s="15">
        <v>0</v>
      </c>
      <c r="AJ49" s="15">
        <v>2699</v>
      </c>
      <c r="AK49" s="15">
        <v>2567</v>
      </c>
      <c r="AL49" s="15">
        <v>2607</v>
      </c>
      <c r="AM49" s="15">
        <v>2743</v>
      </c>
      <c r="AN49" s="15">
        <v>2736</v>
      </c>
      <c r="AO49" s="15">
        <v>2687</v>
      </c>
      <c r="AP49" s="15">
        <v>2673</v>
      </c>
      <c r="AQ49" s="15">
        <v>2676</v>
      </c>
      <c r="AR49" s="15">
        <v>2642</v>
      </c>
      <c r="AS49" s="16">
        <v>3.93</v>
      </c>
      <c r="AT49" s="16">
        <v>3.99</v>
      </c>
      <c r="AU49" s="16">
        <v>3.9</v>
      </c>
      <c r="AV49" s="16">
        <v>3.78</v>
      </c>
      <c r="AW49" s="16">
        <v>3.4</v>
      </c>
      <c r="AX49" s="16">
        <v>4.13</v>
      </c>
      <c r="AY49" s="16">
        <v>3.8</v>
      </c>
      <c r="AZ49" s="16">
        <v>4.05</v>
      </c>
      <c r="BA49" s="16">
        <v>3.76</v>
      </c>
      <c r="BB49" s="16">
        <v>3.86</v>
      </c>
      <c r="BC49" s="16">
        <v>4.0599999999999996</v>
      </c>
      <c r="BD49" s="16">
        <v>3.98</v>
      </c>
      <c r="BE49" s="16">
        <v>4.04</v>
      </c>
      <c r="BF49" s="16">
        <v>4.03</v>
      </c>
      <c r="BG49" s="16">
        <v>3.88</v>
      </c>
      <c r="BH49" s="16">
        <v>4.18</v>
      </c>
      <c r="BI49" s="16">
        <v>3.41</v>
      </c>
      <c r="BJ49" s="16">
        <v>4.09</v>
      </c>
      <c r="BK49" s="16">
        <v>4.29</v>
      </c>
      <c r="BL49" s="16">
        <v>4.0599999999999996</v>
      </c>
      <c r="BM49" s="16">
        <v>4.5</v>
      </c>
      <c r="BN49" s="16">
        <v>3.75</v>
      </c>
      <c r="BO49" s="16">
        <v>3.14</v>
      </c>
      <c r="BP49" s="16">
        <v>3.53</v>
      </c>
      <c r="BQ49" s="16">
        <v>3.02</v>
      </c>
      <c r="BR49" s="16">
        <v>3.42</v>
      </c>
      <c r="BS49" s="16">
        <v>3.48</v>
      </c>
      <c r="BT49" s="16">
        <v>0</v>
      </c>
      <c r="BU49" s="16">
        <v>3.31</v>
      </c>
      <c r="BV49" s="16">
        <v>0</v>
      </c>
      <c r="BW49" s="16">
        <v>3.29</v>
      </c>
      <c r="BX49" s="16">
        <v>3.51</v>
      </c>
      <c r="BY49" s="16">
        <v>3.38</v>
      </c>
      <c r="BZ49" s="16">
        <v>3.42</v>
      </c>
      <c r="CA49" s="16">
        <v>3.69</v>
      </c>
      <c r="CB49" s="16">
        <v>3.98</v>
      </c>
      <c r="CC49" s="16">
        <v>3.43</v>
      </c>
      <c r="CD49" s="16">
        <v>3.41</v>
      </c>
      <c r="CE49" s="16">
        <v>3.47</v>
      </c>
      <c r="CF49" s="17">
        <f>SUM(Input_Raw[[#This Row],[G01]:[G40]])</f>
        <v>112662</v>
      </c>
      <c r="CG49" s="18">
        <f>IFERROR(AVERAGE(Input_Raw[[#This Row],[WS_G01]:[WS_G40]]),"")</f>
        <v>3.5474358974358982</v>
      </c>
      <c r="CH49" s="19"/>
      <c r="CI49" s="19"/>
      <c r="CJ49" s="15">
        <v>240599</v>
      </c>
      <c r="CK49" s="15">
        <v>2178</v>
      </c>
      <c r="CL49" s="15">
        <v>280515</v>
      </c>
      <c r="CM49" s="15">
        <v>2206</v>
      </c>
      <c r="CN49" s="15">
        <v>256605</v>
      </c>
      <c r="CO49" s="15">
        <v>1813</v>
      </c>
      <c r="CP49" s="15">
        <v>292536</v>
      </c>
      <c r="CQ49" s="15">
        <v>1859</v>
      </c>
      <c r="CR49" s="148">
        <f>IF(((Input_Raw[[#This Row],[33 kV_Wind_F1_Export reading]]-CJ48)*1200)&gt;0,(Input_Raw[[#This Row],[33 kV_Wind_F1_Export reading]]-CJ48)*1200,0)</f>
        <v>26400</v>
      </c>
      <c r="CS49" s="148">
        <f>IF(((Input_Raw[[#This Row],[33 kV_Wind_F1_Import reading]]-CK48)*1200)&gt;0,(Input_Raw[[#This Row],[33 kV_Wind_F1_Import reading]]-CK48)*1200,0)</f>
        <v>1200</v>
      </c>
      <c r="CT49" s="148">
        <f>IF(((Input_Raw[[#This Row],[33 kV_Wind_F2_Export_reading]]-CL48)*1200)&gt;0,(Input_Raw[[#This Row],[33 kV_Wind_F2_Export_reading]]-CL48)*1200,0)</f>
        <v>25200</v>
      </c>
      <c r="CU49" s="148">
        <f>IF(((Input_Raw[[#This Row],[33 kV_Wind_F2_Import_reading]]-CM48)*1200)&gt;0,(Input_Raw[[#This Row],[33 kV_Wind_F2_Import_reading]]-CM48)*1200,0)</f>
        <v>0</v>
      </c>
      <c r="CV49" s="148">
        <f>IF(((Input_Raw[[#This Row],[33 kV_Wind_F3_Export_Reading]]-CN48)*1200)&gt;0,(Input_Raw[[#This Row],[33 kV_Wind_F3_Export_Reading]]-CN48)*1200,0)</f>
        <v>26400</v>
      </c>
      <c r="CW49" s="148">
        <f>IF(((Input_Raw[[#This Row],[33 kV_Wind_F3_Import_Reading]]-CO48)*1200)&gt;0,(Input_Raw[[#This Row],[33 kV_Wind_F3_Import_Reading]]-CO48)*1200,0)</f>
        <v>0</v>
      </c>
      <c r="CX49" s="148">
        <f>IF(((Input_Raw[[#This Row],[33 kV_Wind_F4_Export Reading]]-CP48)*1200)&gt;0,(Input_Raw[[#This Row],[33 kV_Wind_F4_Export Reading]]-CP48)*1200,0)</f>
        <v>33600</v>
      </c>
      <c r="CY49" s="148">
        <f>IF(((Input_Raw[[#This Row],[33 kV_Wind_F4_Import Reading]]-CQ48)*1200)&gt;0,(Input_Raw[[#This Row],[33 kV_Wind_F4_Import Reading]]-CQ48)*1200,0)</f>
        <v>1200</v>
      </c>
      <c r="CZ49" s="148">
        <f>Input_Raw[[#This Row],[33 kV_F1_Total_Export (KWh)]]+Input_Raw[[#This Row],[33 kV_F2_Total_Export (KWh)2]]+Input_Raw[[#This Row],[33 kV_Wind_F3_Export (KWh)]]+Input_Raw[[#This Row],[33 kV_Wind_F4_Export (KWh)]]</f>
        <v>111600</v>
      </c>
      <c r="DA49" s="148">
        <f>Input_Raw[[#This Row],[33 kV_Wind_F1_Import (KWh)]]+Input_Raw[[#This Row],[33 kV_Wind_F2_Import (KWh)]]+Input_Raw[[#This Row],[33 kV_Wind_F3_Import (KWh)2]]+Input_Raw[[#This Row],[33 kV_Wind_F4_Import (KWh)2]]</f>
        <v>2400</v>
      </c>
      <c r="DB49" s="21">
        <f>IFERROR(1-Input_Raw[[#This Row],[33 kV_Wind_Total_Export (KWh)]]/Input_Raw[[#This Row],[WTG Total Gneration (KWh)]],0)</f>
        <v>9.426425946636896E-3</v>
      </c>
      <c r="DC49" s="161">
        <v>0</v>
      </c>
      <c r="DD49" s="161">
        <v>0</v>
      </c>
      <c r="DE49" s="163">
        <v>112.66</v>
      </c>
      <c r="DF49" s="160"/>
      <c r="DG49" s="162">
        <v>78</v>
      </c>
      <c r="DH49" s="281" t="s">
        <v>381</v>
      </c>
    </row>
    <row r="50" spans="1:112">
      <c r="A50" s="20">
        <f t="shared" ref="A50:A107" si="6">A49+1</f>
        <v>45790</v>
      </c>
      <c r="B50" s="12">
        <f>YEAR(Input_Raw[[#This Row],[Date]])+IF(MONTH(Input_Raw[[#This Row],[Date]])&gt;=4,1,0)</f>
        <v>2026</v>
      </c>
      <c r="C50" s="13">
        <f>YEAR(Input_Raw[[#This Row],[Date]])</f>
        <v>2025</v>
      </c>
      <c r="D50" s="14">
        <f t="shared" si="5"/>
        <v>45778</v>
      </c>
      <c r="E50" s="13">
        <f>DAY(EOMONTH(Input_Raw[[#This Row],[Date]],0))</f>
        <v>31</v>
      </c>
      <c r="F50" s="15">
        <v>6782</v>
      </c>
      <c r="G50" s="15">
        <v>6734</v>
      </c>
      <c r="H50" s="15">
        <v>6789</v>
      </c>
      <c r="I50" s="15">
        <v>5976</v>
      </c>
      <c r="J50" s="15">
        <v>4621</v>
      </c>
      <c r="K50" s="15">
        <v>6821</v>
      </c>
      <c r="L50" s="15">
        <v>6345</v>
      </c>
      <c r="M50" s="15">
        <v>6599</v>
      </c>
      <c r="N50" s="15">
        <v>7324</v>
      </c>
      <c r="O50" s="15">
        <v>6759</v>
      </c>
      <c r="P50" s="15">
        <v>6775</v>
      </c>
      <c r="Q50" s="15">
        <v>7344</v>
      </c>
      <c r="R50" s="15">
        <v>7354</v>
      </c>
      <c r="S50" s="15">
        <v>6898</v>
      </c>
      <c r="T50" s="15">
        <v>7344</v>
      </c>
      <c r="U50" s="15">
        <v>7256</v>
      </c>
      <c r="V50" s="15">
        <v>7299</v>
      </c>
      <c r="W50" s="15">
        <v>7378</v>
      </c>
      <c r="X50" s="15">
        <v>7359</v>
      </c>
      <c r="Y50" s="15">
        <v>7387</v>
      </c>
      <c r="Z50" s="15">
        <v>4108</v>
      </c>
      <c r="AA50" s="15">
        <v>4516</v>
      </c>
      <c r="AB50" s="15">
        <v>4598</v>
      </c>
      <c r="AC50" s="15">
        <v>4588</v>
      </c>
      <c r="AD50" s="15">
        <v>3825</v>
      </c>
      <c r="AE50" s="15">
        <v>4576</v>
      </c>
      <c r="AF50" s="15">
        <v>4414</v>
      </c>
      <c r="AG50" s="15">
        <v>0</v>
      </c>
      <c r="AH50" s="15">
        <v>4579</v>
      </c>
      <c r="AI50" s="15">
        <v>0</v>
      </c>
      <c r="AJ50" s="15">
        <v>3978</v>
      </c>
      <c r="AK50" s="15">
        <v>3996</v>
      </c>
      <c r="AL50" s="15">
        <v>3987</v>
      </c>
      <c r="AM50" s="15">
        <v>4116</v>
      </c>
      <c r="AN50" s="15">
        <v>4112</v>
      </c>
      <c r="AO50" s="15">
        <v>4022</v>
      </c>
      <c r="AP50" s="15">
        <v>4056</v>
      </c>
      <c r="AQ50" s="15">
        <v>4008</v>
      </c>
      <c r="AR50" s="15">
        <v>927</v>
      </c>
      <c r="AS50" s="16">
        <v>4.8499999999999996</v>
      </c>
      <c r="AT50" s="16">
        <v>5.26</v>
      </c>
      <c r="AU50" s="16">
        <v>4.68</v>
      </c>
      <c r="AV50" s="16">
        <v>5.05</v>
      </c>
      <c r="AW50" s="16">
        <v>5</v>
      </c>
      <c r="AX50" s="16">
        <v>5.1100000000000003</v>
      </c>
      <c r="AY50" s="16">
        <v>4.84</v>
      </c>
      <c r="AZ50" s="16">
        <v>4.4800000000000004</v>
      </c>
      <c r="BA50" s="16">
        <v>5.09</v>
      </c>
      <c r="BB50" s="16">
        <v>4.83</v>
      </c>
      <c r="BC50" s="16">
        <v>5.29</v>
      </c>
      <c r="BD50" s="16">
        <v>5.04</v>
      </c>
      <c r="BE50" s="16">
        <v>5.15</v>
      </c>
      <c r="BF50" s="16">
        <v>5.24</v>
      </c>
      <c r="BG50" s="16">
        <v>4.99</v>
      </c>
      <c r="BH50" s="16">
        <v>5.44</v>
      </c>
      <c r="BI50" s="16">
        <v>4.96</v>
      </c>
      <c r="BJ50" s="16">
        <v>5.48</v>
      </c>
      <c r="BK50" s="16">
        <v>5.43</v>
      </c>
      <c r="BL50" s="16">
        <v>5.67</v>
      </c>
      <c r="BM50" s="16">
        <v>0</v>
      </c>
      <c r="BN50" s="16">
        <v>5.29</v>
      </c>
      <c r="BO50" s="16">
        <v>4.82</v>
      </c>
      <c r="BP50" s="16">
        <v>5.04</v>
      </c>
      <c r="BQ50" s="16">
        <v>5.32</v>
      </c>
      <c r="BR50" s="16">
        <v>5.01</v>
      </c>
      <c r="BS50" s="16">
        <v>5.03</v>
      </c>
      <c r="BT50" s="16" t="s">
        <v>382</v>
      </c>
      <c r="BU50" s="16">
        <v>4.8099999999999996</v>
      </c>
      <c r="BV50" s="16">
        <v>0</v>
      </c>
      <c r="BW50" s="16">
        <v>4.95</v>
      </c>
      <c r="BX50" s="16">
        <v>5.01</v>
      </c>
      <c r="BY50" s="16">
        <v>4.99</v>
      </c>
      <c r="BZ50" s="16">
        <v>5.16</v>
      </c>
      <c r="CA50" s="16">
        <v>5.21</v>
      </c>
      <c r="CB50" s="16">
        <v>4.87</v>
      </c>
      <c r="CC50" s="16">
        <v>5.18</v>
      </c>
      <c r="CD50" s="16">
        <v>4.8499999999999996</v>
      </c>
      <c r="CE50" s="16">
        <v>5.19</v>
      </c>
      <c r="CF50" s="17">
        <f>SUM(Input_Raw[[#This Row],[G01]:[G40]])</f>
        <v>205550</v>
      </c>
      <c r="CG50" s="18">
        <f>IFERROR(AVERAGE(Input_Raw[[#This Row],[WS_G01]:[WS_G40]]),"")</f>
        <v>4.8055263157894732</v>
      </c>
      <c r="CH50" s="19"/>
      <c r="CI50" s="19"/>
      <c r="CJ50" s="15">
        <v>240629</v>
      </c>
      <c r="CK50" s="15">
        <v>2179</v>
      </c>
      <c r="CL50" s="15">
        <v>280544</v>
      </c>
      <c r="CM50" s="15">
        <v>2207</v>
      </c>
      <c r="CN50" s="15">
        <v>256654</v>
      </c>
      <c r="CO50" s="15">
        <v>1814</v>
      </c>
      <c r="CP50" s="15">
        <v>292596</v>
      </c>
      <c r="CQ50" s="15">
        <v>1860</v>
      </c>
      <c r="CR50" s="148">
        <f>IF(((Input_Raw[[#This Row],[33 kV_Wind_F1_Export reading]]-CJ49)*1200)&gt;0,(Input_Raw[[#This Row],[33 kV_Wind_F1_Export reading]]-CJ49)*1200,0)</f>
        <v>36000</v>
      </c>
      <c r="CS50" s="148">
        <f>IF(((Input_Raw[[#This Row],[33 kV_Wind_F1_Import reading]]-CK49)*1200)&gt;0,(Input_Raw[[#This Row],[33 kV_Wind_F1_Import reading]]-CK49)*1200,0)</f>
        <v>1200</v>
      </c>
      <c r="CT50" s="148">
        <f>IF(((Input_Raw[[#This Row],[33 kV_Wind_F2_Export_reading]]-CL49)*1200)&gt;0,(Input_Raw[[#This Row],[33 kV_Wind_F2_Export_reading]]-CL49)*1200,0)</f>
        <v>34800</v>
      </c>
      <c r="CU50" s="148">
        <f>IF(((Input_Raw[[#This Row],[33 kV_Wind_F2_Import_reading]]-CM49)*1200)&gt;0,(Input_Raw[[#This Row],[33 kV_Wind_F2_Import_reading]]-CM49)*1200,0)</f>
        <v>1200</v>
      </c>
      <c r="CV50" s="148">
        <f>IF(((Input_Raw[[#This Row],[33 kV_Wind_F3_Export_Reading]]-CN49)*1200)&gt;0,(Input_Raw[[#This Row],[33 kV_Wind_F3_Export_Reading]]-CN49)*1200,0)</f>
        <v>58800</v>
      </c>
      <c r="CW50" s="148">
        <f>IF(((Input_Raw[[#This Row],[33 kV_Wind_F3_Import_Reading]]-CO49)*1200)&gt;0,(Input_Raw[[#This Row],[33 kV_Wind_F3_Import_Reading]]-CO49)*1200,0)</f>
        <v>1200</v>
      </c>
      <c r="CX50" s="148">
        <f>IF(((Input_Raw[[#This Row],[33 kV_Wind_F4_Export Reading]]-CP49)*1200)&gt;0,(Input_Raw[[#This Row],[33 kV_Wind_F4_Export Reading]]-CP49)*1200,0)</f>
        <v>72000</v>
      </c>
      <c r="CY50" s="148">
        <f>IF(((Input_Raw[[#This Row],[33 kV_Wind_F4_Import Reading]]-CQ49)*1200)&gt;0,(Input_Raw[[#This Row],[33 kV_Wind_F4_Import Reading]]-CQ49)*1200,0)</f>
        <v>1200</v>
      </c>
      <c r="CZ50" s="148">
        <f>Input_Raw[[#This Row],[33 kV_F1_Total_Export (KWh)]]+Input_Raw[[#This Row],[33 kV_F2_Total_Export (KWh)2]]+Input_Raw[[#This Row],[33 kV_Wind_F3_Export (KWh)]]+Input_Raw[[#This Row],[33 kV_Wind_F4_Export (KWh)]]</f>
        <v>201600</v>
      </c>
      <c r="DA50" s="148">
        <f>Input_Raw[[#This Row],[33 kV_Wind_F1_Import (KWh)]]+Input_Raw[[#This Row],[33 kV_Wind_F2_Import (KWh)]]+Input_Raw[[#This Row],[33 kV_Wind_F3_Import (KWh)2]]+Input_Raw[[#This Row],[33 kV_Wind_F4_Import (KWh)2]]</f>
        <v>4800</v>
      </c>
      <c r="DB50" s="21">
        <f>IFERROR(1-Input_Raw[[#This Row],[33 kV_Wind_Total_Export (KWh)]]/Input_Raw[[#This Row],[WTG Total Gneration (KWh)]],0)</f>
        <v>1.9216735587448297E-2</v>
      </c>
      <c r="DC50" s="161">
        <v>0</v>
      </c>
      <c r="DD50" s="161">
        <v>0</v>
      </c>
      <c r="DE50" s="163">
        <v>205.55</v>
      </c>
      <c r="DF50" s="160"/>
      <c r="DG50" s="162">
        <v>78</v>
      </c>
      <c r="DH50" s="281" t="s">
        <v>381</v>
      </c>
    </row>
    <row r="51" spans="1:112">
      <c r="A51" s="20">
        <f t="shared" si="6"/>
        <v>45791</v>
      </c>
      <c r="B51" s="12">
        <f>YEAR(Input_Raw[[#This Row],[Date]])+IF(MONTH(Input_Raw[[#This Row],[Date]])&gt;=4,1,0)</f>
        <v>2026</v>
      </c>
      <c r="C51" s="13">
        <f>YEAR(Input_Raw[[#This Row],[Date]])</f>
        <v>2025</v>
      </c>
      <c r="D51" s="14">
        <f t="shared" si="5"/>
        <v>45778</v>
      </c>
      <c r="E51" s="13">
        <f>DAY(EOMONTH(Input_Raw[[#This Row],[Date]],0))</f>
        <v>31</v>
      </c>
      <c r="F51" s="15">
        <v>4822</v>
      </c>
      <c r="G51" s="15">
        <v>4843</v>
      </c>
      <c r="H51" s="15">
        <v>4845</v>
      </c>
      <c r="I51" s="15">
        <v>4423</v>
      </c>
      <c r="J51" s="15">
        <v>3239</v>
      </c>
      <c r="K51" s="15">
        <v>4812</v>
      </c>
      <c r="L51" s="15">
        <v>4878</v>
      </c>
      <c r="M51" s="15">
        <v>4780</v>
      </c>
      <c r="N51" s="15">
        <v>5060</v>
      </c>
      <c r="O51" s="15">
        <v>4796</v>
      </c>
      <c r="P51" s="15">
        <v>4821</v>
      </c>
      <c r="Q51" s="15">
        <v>5012</v>
      </c>
      <c r="R51" s="15">
        <v>4749</v>
      </c>
      <c r="S51" s="15">
        <v>1056</v>
      </c>
      <c r="T51" s="15">
        <v>5076</v>
      </c>
      <c r="U51" s="15">
        <v>5064</v>
      </c>
      <c r="V51" s="15">
        <v>5096</v>
      </c>
      <c r="W51" s="15">
        <v>5013</v>
      </c>
      <c r="X51" s="15">
        <v>5043</v>
      </c>
      <c r="Y51" s="15">
        <v>5024</v>
      </c>
      <c r="Z51" s="15">
        <v>1998</v>
      </c>
      <c r="AA51" s="15">
        <v>3256</v>
      </c>
      <c r="AB51" s="15">
        <v>3212</v>
      </c>
      <c r="AC51" s="15">
        <v>3197</v>
      </c>
      <c r="AD51" s="15">
        <v>2911</v>
      </c>
      <c r="AE51" s="15">
        <v>3243</v>
      </c>
      <c r="AF51" s="15">
        <v>2368</v>
      </c>
      <c r="AG51" s="15">
        <v>0</v>
      </c>
      <c r="AH51" s="15">
        <v>3268</v>
      </c>
      <c r="AI51" s="15">
        <v>0</v>
      </c>
      <c r="AJ51" s="15">
        <v>2943</v>
      </c>
      <c r="AK51" s="15">
        <v>2879</v>
      </c>
      <c r="AL51" s="15">
        <v>2867</v>
      </c>
      <c r="AM51" s="15">
        <v>2976</v>
      </c>
      <c r="AN51" s="15">
        <v>2913</v>
      </c>
      <c r="AO51" s="15">
        <v>2945</v>
      </c>
      <c r="AP51" s="15">
        <v>2901</v>
      </c>
      <c r="AQ51" s="15">
        <v>2901</v>
      </c>
      <c r="AR51" s="15">
        <v>0</v>
      </c>
      <c r="AS51" s="16">
        <v>3.74</v>
      </c>
      <c r="AT51" s="16">
        <v>3.74</v>
      </c>
      <c r="AU51" s="16">
        <v>3.75</v>
      </c>
      <c r="AV51" s="16">
        <v>3.66</v>
      </c>
      <c r="AW51" s="16">
        <v>3.58</v>
      </c>
      <c r="AX51" s="16">
        <v>4.01</v>
      </c>
      <c r="AY51" s="16">
        <v>3.68</v>
      </c>
      <c r="AZ51" s="16">
        <v>3.94</v>
      </c>
      <c r="BA51" s="16">
        <v>3.7</v>
      </c>
      <c r="BB51" s="16">
        <v>3.66</v>
      </c>
      <c r="BC51" s="16">
        <v>3.85</v>
      </c>
      <c r="BD51" s="16">
        <v>3.83</v>
      </c>
      <c r="BE51" s="16">
        <v>3.84</v>
      </c>
      <c r="BF51" s="16">
        <v>3.92</v>
      </c>
      <c r="BG51" s="16">
        <v>3.11</v>
      </c>
      <c r="BH51" s="16">
        <v>0</v>
      </c>
      <c r="BI51" s="16">
        <v>4.0199999999999996</v>
      </c>
      <c r="BJ51" s="16">
        <v>3.98</v>
      </c>
      <c r="BK51" s="16">
        <v>4.12</v>
      </c>
      <c r="BL51" s="16">
        <v>4.16</v>
      </c>
      <c r="BM51" s="16">
        <v>3.79</v>
      </c>
      <c r="BN51" s="16">
        <v>3.68</v>
      </c>
      <c r="BO51" s="16">
        <v>3.68</v>
      </c>
      <c r="BP51" s="16">
        <v>3.85</v>
      </c>
      <c r="BQ51" s="16">
        <v>3.49</v>
      </c>
      <c r="BR51" s="16">
        <v>3.7</v>
      </c>
      <c r="BS51" s="16">
        <v>3.67</v>
      </c>
      <c r="BT51" s="16">
        <v>0</v>
      </c>
      <c r="BU51" s="16">
        <v>3.9</v>
      </c>
      <c r="BV51" s="16">
        <v>0</v>
      </c>
      <c r="BW51" s="16">
        <v>3.66</v>
      </c>
      <c r="BX51" s="16">
        <v>3.57</v>
      </c>
      <c r="BY51" s="16">
        <v>3.7</v>
      </c>
      <c r="BZ51" s="16">
        <v>3.91</v>
      </c>
      <c r="CA51" s="16">
        <v>4.05</v>
      </c>
      <c r="CB51" s="16">
        <v>3.93</v>
      </c>
      <c r="CC51" s="16">
        <v>3.61</v>
      </c>
      <c r="CD51" s="16">
        <v>4.13</v>
      </c>
      <c r="CE51" s="16">
        <v>3.7</v>
      </c>
      <c r="CF51" s="17">
        <f>SUM(Input_Raw[[#This Row],[G01]:[G40]])</f>
        <v>139230</v>
      </c>
      <c r="CG51" s="18">
        <f>IFERROR(AVERAGE(Input_Raw[[#This Row],[WS_G01]:[WS_G40]]),"")</f>
        <v>3.4951282051282053</v>
      </c>
      <c r="CH51" s="19"/>
      <c r="CI51" s="19"/>
      <c r="CJ51" s="15">
        <v>240650</v>
      </c>
      <c r="CK51" s="15">
        <v>2180</v>
      </c>
      <c r="CL51" s="15">
        <v>280563</v>
      </c>
      <c r="CM51" s="15">
        <v>2208</v>
      </c>
      <c r="CN51" s="15">
        <v>256689</v>
      </c>
      <c r="CO51" s="15">
        <v>1815</v>
      </c>
      <c r="CP51" s="15">
        <v>292634</v>
      </c>
      <c r="CQ51" s="15">
        <v>1861</v>
      </c>
      <c r="CR51" s="148">
        <f>IF(((Input_Raw[[#This Row],[33 kV_Wind_F1_Export reading]]-CJ50)*1200)&gt;0,(Input_Raw[[#This Row],[33 kV_Wind_F1_Export reading]]-CJ50)*1200,0)</f>
        <v>25200</v>
      </c>
      <c r="CS51" s="148">
        <f>IF(((Input_Raw[[#This Row],[33 kV_Wind_F1_Import reading]]-CK50)*1200)&gt;0,(Input_Raw[[#This Row],[33 kV_Wind_F1_Import reading]]-CK50)*1200,0)</f>
        <v>1200</v>
      </c>
      <c r="CT51" s="148">
        <f>IF(((Input_Raw[[#This Row],[33 kV_Wind_F2_Export_reading]]-CL50)*1200)&gt;0,(Input_Raw[[#This Row],[33 kV_Wind_F2_Export_reading]]-CL50)*1200,0)</f>
        <v>22800</v>
      </c>
      <c r="CU51" s="148">
        <f>IF(((Input_Raw[[#This Row],[33 kV_Wind_F2_Import_reading]]-CM50)*1200)&gt;0,(Input_Raw[[#This Row],[33 kV_Wind_F2_Import_reading]]-CM50)*1200,0)</f>
        <v>1200</v>
      </c>
      <c r="CV51" s="148">
        <f>IF(((Input_Raw[[#This Row],[33 kV_Wind_F3_Export_Reading]]-CN50)*1200)&gt;0,(Input_Raw[[#This Row],[33 kV_Wind_F3_Export_Reading]]-CN50)*1200,0)</f>
        <v>42000</v>
      </c>
      <c r="CW51" s="148">
        <f>IF(((Input_Raw[[#This Row],[33 kV_Wind_F3_Import_Reading]]-CO50)*1200)&gt;0,(Input_Raw[[#This Row],[33 kV_Wind_F3_Import_Reading]]-CO50)*1200,0)</f>
        <v>1200</v>
      </c>
      <c r="CX51" s="148">
        <f>IF(((Input_Raw[[#This Row],[33 kV_Wind_F4_Export Reading]]-CP50)*1200)&gt;0,(Input_Raw[[#This Row],[33 kV_Wind_F4_Export Reading]]-CP50)*1200,0)</f>
        <v>45600</v>
      </c>
      <c r="CY51" s="148">
        <f>IF(((Input_Raw[[#This Row],[33 kV_Wind_F4_Import Reading]]-CQ50)*1200)&gt;0,(Input_Raw[[#This Row],[33 kV_Wind_F4_Import Reading]]-CQ50)*1200,0)</f>
        <v>1200</v>
      </c>
      <c r="CZ51" s="148">
        <f>Input_Raw[[#This Row],[33 kV_F1_Total_Export (KWh)]]+Input_Raw[[#This Row],[33 kV_F2_Total_Export (KWh)2]]+Input_Raw[[#This Row],[33 kV_Wind_F3_Export (KWh)]]+Input_Raw[[#This Row],[33 kV_Wind_F4_Export (KWh)]]</f>
        <v>135600</v>
      </c>
      <c r="DA51" s="148">
        <f>Input_Raw[[#This Row],[33 kV_Wind_F1_Import (KWh)]]+Input_Raw[[#This Row],[33 kV_Wind_F2_Import (KWh)]]+Input_Raw[[#This Row],[33 kV_Wind_F3_Import (KWh)2]]+Input_Raw[[#This Row],[33 kV_Wind_F4_Import (KWh)2]]</f>
        <v>4800</v>
      </c>
      <c r="DB51" s="21">
        <f>IFERROR(1-Input_Raw[[#This Row],[33 kV_Wind_Total_Export (KWh)]]/Input_Raw[[#This Row],[WTG Total Gneration (KWh)]],0)</f>
        <v>2.6071967248437855E-2</v>
      </c>
      <c r="DC51" s="161">
        <v>96</v>
      </c>
      <c r="DD51" s="161">
        <v>34850</v>
      </c>
      <c r="DE51" s="163">
        <v>139.22999999999999</v>
      </c>
      <c r="DF51" s="160"/>
      <c r="DG51" s="162">
        <v>78</v>
      </c>
      <c r="DH51" s="281" t="s">
        <v>381</v>
      </c>
    </row>
    <row r="52" spans="1:112">
      <c r="A52" s="20">
        <f t="shared" si="6"/>
        <v>45792</v>
      </c>
      <c r="B52" s="12">
        <f>YEAR(Input_Raw[[#This Row],[Date]])+IF(MONTH(Input_Raw[[#This Row],[Date]])&gt;=4,1,0)</f>
        <v>2026</v>
      </c>
      <c r="C52" s="13">
        <f>YEAR(Input_Raw[[#This Row],[Date]])</f>
        <v>2025</v>
      </c>
      <c r="D52" s="14">
        <f t="shared" si="5"/>
        <v>45778</v>
      </c>
      <c r="E52" s="13">
        <f>DAY(EOMONTH(Input_Raw[[#This Row],[Date]],0))</f>
        <v>31</v>
      </c>
      <c r="F52" s="15">
        <v>6421</v>
      </c>
      <c r="G52" s="15">
        <v>6453</v>
      </c>
      <c r="H52" s="15">
        <v>6423</v>
      </c>
      <c r="I52" s="15">
        <v>6431</v>
      </c>
      <c r="J52" s="15">
        <v>5032</v>
      </c>
      <c r="K52" s="15">
        <v>6021</v>
      </c>
      <c r="L52" s="15">
        <v>6023</v>
      </c>
      <c r="M52" s="15">
        <v>6452</v>
      </c>
      <c r="N52" s="15">
        <v>5890</v>
      </c>
      <c r="O52" s="15">
        <v>6464</v>
      </c>
      <c r="P52" s="15">
        <v>6479</v>
      </c>
      <c r="Q52" s="15">
        <v>5859</v>
      </c>
      <c r="R52" s="15">
        <v>5867</v>
      </c>
      <c r="S52" s="15">
        <v>5858</v>
      </c>
      <c r="T52" s="15">
        <v>5842</v>
      </c>
      <c r="U52" s="15">
        <v>5854</v>
      </c>
      <c r="V52" s="15">
        <v>5875</v>
      </c>
      <c r="W52" s="15">
        <v>5879</v>
      </c>
      <c r="X52" s="15">
        <v>5870</v>
      </c>
      <c r="Y52" s="15">
        <v>5848</v>
      </c>
      <c r="Z52" s="15">
        <v>5067</v>
      </c>
      <c r="AA52" s="15">
        <v>5058</v>
      </c>
      <c r="AB52" s="15">
        <v>5022</v>
      </c>
      <c r="AC52" s="15">
        <v>4596</v>
      </c>
      <c r="AD52" s="15">
        <v>4572</v>
      </c>
      <c r="AE52" s="15">
        <v>5056</v>
      </c>
      <c r="AF52" s="15">
        <v>5042</v>
      </c>
      <c r="AG52" s="15">
        <v>0</v>
      </c>
      <c r="AH52" s="15">
        <v>5074</v>
      </c>
      <c r="AI52" s="15">
        <v>0</v>
      </c>
      <c r="AJ52" s="15">
        <v>4529</v>
      </c>
      <c r="AK52" s="15">
        <v>3021</v>
      </c>
      <c r="AL52" s="15">
        <v>4572</v>
      </c>
      <c r="AM52" s="15">
        <v>4556</v>
      </c>
      <c r="AN52" s="15">
        <v>4581</v>
      </c>
      <c r="AO52" s="15">
        <v>4549</v>
      </c>
      <c r="AP52" s="15">
        <v>4588</v>
      </c>
      <c r="AQ52" s="15">
        <v>2677</v>
      </c>
      <c r="AR52" s="15">
        <v>1265</v>
      </c>
      <c r="AS52" s="16">
        <v>3.93</v>
      </c>
      <c r="AT52" s="16">
        <v>3.99</v>
      </c>
      <c r="AU52" s="16">
        <v>3.9</v>
      </c>
      <c r="AV52" s="16">
        <v>3.78</v>
      </c>
      <c r="AW52" s="16">
        <v>3.4</v>
      </c>
      <c r="AX52" s="16">
        <v>4.13</v>
      </c>
      <c r="AY52" s="16">
        <v>3.8</v>
      </c>
      <c r="AZ52" s="16">
        <v>4.05</v>
      </c>
      <c r="BA52" s="16">
        <v>3.76</v>
      </c>
      <c r="BB52" s="16">
        <v>3.86</v>
      </c>
      <c r="BC52" s="16">
        <v>4.0599999999999996</v>
      </c>
      <c r="BD52" s="16">
        <v>3.98</v>
      </c>
      <c r="BE52" s="16">
        <v>4.04</v>
      </c>
      <c r="BF52" s="16">
        <v>4.03</v>
      </c>
      <c r="BG52" s="16">
        <v>3.88</v>
      </c>
      <c r="BH52" s="16">
        <v>4.18</v>
      </c>
      <c r="BI52" s="16">
        <v>3.41</v>
      </c>
      <c r="BJ52" s="16">
        <v>4.09</v>
      </c>
      <c r="BK52" s="16">
        <v>4.29</v>
      </c>
      <c r="BL52" s="16">
        <v>4.0599999999999996</v>
      </c>
      <c r="BM52" s="16">
        <v>4.5</v>
      </c>
      <c r="BN52" s="16">
        <v>3.75</v>
      </c>
      <c r="BO52" s="16">
        <v>3.14</v>
      </c>
      <c r="BP52" s="16">
        <v>3.53</v>
      </c>
      <c r="BQ52" s="16">
        <v>3.02</v>
      </c>
      <c r="BR52" s="16">
        <v>3.42</v>
      </c>
      <c r="BS52" s="16">
        <v>3.48</v>
      </c>
      <c r="BT52" s="16">
        <v>0</v>
      </c>
      <c r="BU52" s="16">
        <v>3.31</v>
      </c>
      <c r="BV52" s="16">
        <v>0</v>
      </c>
      <c r="BW52" s="16">
        <v>3.29</v>
      </c>
      <c r="BX52" s="16">
        <v>3.51</v>
      </c>
      <c r="BY52" s="16">
        <v>3.38</v>
      </c>
      <c r="BZ52" s="16">
        <v>3.42</v>
      </c>
      <c r="CA52" s="16">
        <v>3.69</v>
      </c>
      <c r="CB52" s="16">
        <v>3.98</v>
      </c>
      <c r="CC52" s="16">
        <v>3.43</v>
      </c>
      <c r="CD52" s="16">
        <v>3.41</v>
      </c>
      <c r="CE52" s="16">
        <v>3.47</v>
      </c>
      <c r="CF52" s="17">
        <f>SUM(Input_Raw[[#This Row],[G01]:[G40]])</f>
        <v>194666</v>
      </c>
      <c r="CG52" s="18">
        <f>IFERROR(AVERAGE(Input_Raw[[#This Row],[WS_G01]:[WS_G40]]),"")</f>
        <v>3.5474358974358982</v>
      </c>
      <c r="CH52" s="19"/>
      <c r="CI52" s="19"/>
      <c r="CJ52" s="15">
        <v>240682</v>
      </c>
      <c r="CK52" s="15">
        <v>2180</v>
      </c>
      <c r="CL52" s="15">
        <v>280596</v>
      </c>
      <c r="CM52" s="15">
        <v>2208</v>
      </c>
      <c r="CN52" s="15">
        <v>256736</v>
      </c>
      <c r="CO52" s="15">
        <v>1816</v>
      </c>
      <c r="CP52" s="15">
        <v>292682</v>
      </c>
      <c r="CQ52" s="15">
        <v>1861</v>
      </c>
      <c r="CR52" s="148">
        <f>IF(((Input_Raw[[#This Row],[33 kV_Wind_F1_Export reading]]-CJ51)*1200)&gt;0,(Input_Raw[[#This Row],[33 kV_Wind_F1_Export reading]]-CJ51)*1200,0)</f>
        <v>38400</v>
      </c>
      <c r="CS52" s="148">
        <f>IF(((Input_Raw[[#This Row],[33 kV_Wind_F1_Import reading]]-CK51)*1200)&gt;0,(Input_Raw[[#This Row],[33 kV_Wind_F1_Import reading]]-CK51)*1200,0)</f>
        <v>0</v>
      </c>
      <c r="CT52" s="148">
        <f>IF(((Input_Raw[[#This Row],[33 kV_Wind_F2_Export_reading]]-CL51)*1200)&gt;0,(Input_Raw[[#This Row],[33 kV_Wind_F2_Export_reading]]-CL51)*1200,0)</f>
        <v>39600</v>
      </c>
      <c r="CU52" s="148">
        <f>IF(((Input_Raw[[#This Row],[33 kV_Wind_F2_Import_reading]]-CM51)*1200)&gt;0,(Input_Raw[[#This Row],[33 kV_Wind_F2_Import_reading]]-CM51)*1200,0)</f>
        <v>0</v>
      </c>
      <c r="CV52" s="148">
        <f>IF(((Input_Raw[[#This Row],[33 kV_Wind_F3_Export_Reading]]-CN51)*1200)&gt;0,(Input_Raw[[#This Row],[33 kV_Wind_F3_Export_Reading]]-CN51)*1200,0)</f>
        <v>56400</v>
      </c>
      <c r="CW52" s="148">
        <f>IF(((Input_Raw[[#This Row],[33 kV_Wind_F3_Import_Reading]]-CO51)*1200)&gt;0,(Input_Raw[[#This Row],[33 kV_Wind_F3_Import_Reading]]-CO51)*1200,0)</f>
        <v>1200</v>
      </c>
      <c r="CX52" s="148">
        <f>IF(((Input_Raw[[#This Row],[33 kV_Wind_F4_Export Reading]]-CP51)*1200)&gt;0,(Input_Raw[[#This Row],[33 kV_Wind_F4_Export Reading]]-CP51)*1200,0)</f>
        <v>57600</v>
      </c>
      <c r="CY52" s="148">
        <f>IF(((Input_Raw[[#This Row],[33 kV_Wind_F4_Import Reading]]-CQ51)*1200)&gt;0,(Input_Raw[[#This Row],[33 kV_Wind_F4_Import Reading]]-CQ51)*1200,0)</f>
        <v>0</v>
      </c>
      <c r="CZ52" s="148">
        <f>Input_Raw[[#This Row],[33 kV_F1_Total_Export (KWh)]]+Input_Raw[[#This Row],[33 kV_F2_Total_Export (KWh)2]]+Input_Raw[[#This Row],[33 kV_Wind_F3_Export (KWh)]]+Input_Raw[[#This Row],[33 kV_Wind_F4_Export (KWh)]]</f>
        <v>192000</v>
      </c>
      <c r="DA52" s="148">
        <f>Input_Raw[[#This Row],[33 kV_Wind_F1_Import (KWh)]]+Input_Raw[[#This Row],[33 kV_Wind_F2_Import (KWh)]]+Input_Raw[[#This Row],[33 kV_Wind_F3_Import (KWh)2]]+Input_Raw[[#This Row],[33 kV_Wind_F4_Import (KWh)2]]</f>
        <v>1200</v>
      </c>
      <c r="DB52" s="21">
        <f>IFERROR(1-Input_Raw[[#This Row],[33 kV_Wind_Total_Export (KWh)]]/Input_Raw[[#This Row],[WTG Total Gneration (KWh)]],0)</f>
        <v>1.3695252381001333E-2</v>
      </c>
      <c r="DC52" s="161">
        <v>96</v>
      </c>
      <c r="DD52" s="161">
        <v>708</v>
      </c>
      <c r="DE52" s="163">
        <v>194.66</v>
      </c>
      <c r="DF52" s="160"/>
      <c r="DG52" s="162">
        <v>78</v>
      </c>
      <c r="DH52" s="281" t="s">
        <v>381</v>
      </c>
    </row>
    <row r="53" spans="1:112">
      <c r="A53" s="20">
        <f t="shared" si="6"/>
        <v>45793</v>
      </c>
      <c r="B53" s="12">
        <f>YEAR(Input_Raw[[#This Row],[Date]])+IF(MONTH(Input_Raw[[#This Row],[Date]])&gt;=4,1,0)</f>
        <v>2026</v>
      </c>
      <c r="C53" s="13">
        <f>YEAR(Input_Raw[[#This Row],[Date]])</f>
        <v>2025</v>
      </c>
      <c r="D53" s="14">
        <f t="shared" si="5"/>
        <v>45778</v>
      </c>
      <c r="E53" s="13">
        <f>DAY(EOMONTH(Input_Raw[[#This Row],[Date]],0))</f>
        <v>31</v>
      </c>
      <c r="F53" s="15">
        <v>9898</v>
      </c>
      <c r="G53" s="15">
        <v>9872</v>
      </c>
      <c r="H53" s="15">
        <v>10542</v>
      </c>
      <c r="I53" s="15">
        <v>9888</v>
      </c>
      <c r="J53" s="15">
        <v>8169</v>
      </c>
      <c r="K53" s="15">
        <v>9874</v>
      </c>
      <c r="L53" s="15">
        <v>10576</v>
      </c>
      <c r="M53" s="15">
        <v>10587</v>
      </c>
      <c r="N53" s="15">
        <v>8749</v>
      </c>
      <c r="O53" s="15">
        <v>10556</v>
      </c>
      <c r="P53" s="15">
        <v>10578</v>
      </c>
      <c r="Q53" s="15">
        <v>8787</v>
      </c>
      <c r="R53" s="15">
        <v>8764</v>
      </c>
      <c r="S53" s="15">
        <v>8769</v>
      </c>
      <c r="T53" s="15">
        <v>8760</v>
      </c>
      <c r="U53" s="15">
        <v>9946</v>
      </c>
      <c r="V53" s="15">
        <v>9984</v>
      </c>
      <c r="W53" s="15">
        <v>9966</v>
      </c>
      <c r="X53" s="15">
        <v>7253</v>
      </c>
      <c r="Y53" s="15">
        <v>9989</v>
      </c>
      <c r="Z53" s="15">
        <v>8166</v>
      </c>
      <c r="AA53" s="15">
        <v>8152</v>
      </c>
      <c r="AB53" s="15">
        <v>8121</v>
      </c>
      <c r="AC53" s="15">
        <v>8176</v>
      </c>
      <c r="AD53" s="15">
        <v>7376</v>
      </c>
      <c r="AE53" s="15">
        <v>8162</v>
      </c>
      <c r="AF53" s="15">
        <v>8165</v>
      </c>
      <c r="AG53" s="15">
        <v>0</v>
      </c>
      <c r="AH53" s="15">
        <v>8175</v>
      </c>
      <c r="AI53" s="15">
        <v>0</v>
      </c>
      <c r="AJ53" s="15">
        <v>7365</v>
      </c>
      <c r="AK53" s="15">
        <v>7370</v>
      </c>
      <c r="AL53" s="15">
        <v>7342</v>
      </c>
      <c r="AM53" s="15">
        <v>7359</v>
      </c>
      <c r="AN53" s="15">
        <v>7383</v>
      </c>
      <c r="AO53" s="15">
        <v>7376</v>
      </c>
      <c r="AP53" s="15">
        <v>7369</v>
      </c>
      <c r="AQ53" s="15">
        <v>7388</v>
      </c>
      <c r="AR53" s="15">
        <v>6574</v>
      </c>
      <c r="AS53" s="16">
        <v>4.58</v>
      </c>
      <c r="AT53" s="16">
        <v>4.46</v>
      </c>
      <c r="AU53" s="16">
        <v>3.97</v>
      </c>
      <c r="AV53" s="16">
        <v>4.1500000000000004</v>
      </c>
      <c r="AW53" s="16">
        <v>3.78</v>
      </c>
      <c r="AX53" s="16">
        <v>4.38</v>
      </c>
      <c r="AY53" s="16">
        <v>4.4000000000000004</v>
      </c>
      <c r="AZ53" s="16">
        <v>4.13</v>
      </c>
      <c r="BA53" s="16">
        <v>4.08</v>
      </c>
      <c r="BB53" s="16">
        <v>3.95</v>
      </c>
      <c r="BC53" s="16">
        <v>4.01</v>
      </c>
      <c r="BD53" s="16">
        <v>4.04</v>
      </c>
      <c r="BE53" s="16">
        <v>3.98</v>
      </c>
      <c r="BF53" s="16">
        <v>3.84</v>
      </c>
      <c r="BG53" s="16">
        <v>3.92</v>
      </c>
      <c r="BH53" s="16">
        <v>3.95</v>
      </c>
      <c r="BI53" s="16">
        <v>4.1500000000000004</v>
      </c>
      <c r="BJ53" s="16">
        <v>4.01</v>
      </c>
      <c r="BK53" s="16">
        <v>3.99</v>
      </c>
      <c r="BL53" s="16">
        <v>4.01</v>
      </c>
      <c r="BM53" s="16">
        <v>3.76</v>
      </c>
      <c r="BN53" s="16">
        <v>3.87</v>
      </c>
      <c r="BO53" s="16">
        <v>3.95</v>
      </c>
      <c r="BP53" s="16">
        <v>4.26</v>
      </c>
      <c r="BQ53" s="16">
        <v>4.2</v>
      </c>
      <c r="BR53" s="16">
        <v>4.22</v>
      </c>
      <c r="BS53" s="16">
        <v>4.21</v>
      </c>
      <c r="BT53" s="16">
        <v>0</v>
      </c>
      <c r="BU53" s="16">
        <v>5.44</v>
      </c>
      <c r="BV53" s="16">
        <v>0</v>
      </c>
      <c r="BW53" s="16">
        <v>4.17</v>
      </c>
      <c r="BX53" s="16">
        <v>4.1500000000000004</v>
      </c>
      <c r="BY53" s="16">
        <v>4.32</v>
      </c>
      <c r="BZ53" s="16">
        <v>4.55</v>
      </c>
      <c r="CA53" s="16">
        <v>6.32</v>
      </c>
      <c r="CB53" s="16">
        <v>4.45</v>
      </c>
      <c r="CC53" s="16">
        <v>4.87</v>
      </c>
      <c r="CD53" s="16">
        <v>4.3099999999999996</v>
      </c>
      <c r="CE53" s="16">
        <v>5.39</v>
      </c>
      <c r="CF53" s="17">
        <f>SUM(Input_Raw[[#This Row],[G01]:[G40]])</f>
        <v>321526</v>
      </c>
      <c r="CG53" s="18">
        <f>IFERROR(AVERAGE(Input_Raw[[#This Row],[WS_G01]:[WS_G40]]),"")</f>
        <v>4.056923076923078</v>
      </c>
      <c r="CH53" s="19"/>
      <c r="CI53" s="19"/>
      <c r="CJ53" s="15">
        <v>240740</v>
      </c>
      <c r="CK53" s="15">
        <v>2180</v>
      </c>
      <c r="CL53" s="15">
        <v>280655</v>
      </c>
      <c r="CM53" s="15">
        <v>2208</v>
      </c>
      <c r="CN53" s="15">
        <v>256811</v>
      </c>
      <c r="CO53" s="15">
        <v>1816</v>
      </c>
      <c r="CP53" s="15">
        <v>292755</v>
      </c>
      <c r="CQ53" s="15">
        <v>1861</v>
      </c>
      <c r="CR53" s="148">
        <f>IF(((Input_Raw[[#This Row],[33 kV_Wind_F1_Export reading]]-CJ52)*1200)&gt;0,(Input_Raw[[#This Row],[33 kV_Wind_F1_Export reading]]-CJ52)*1200,0)</f>
        <v>69600</v>
      </c>
      <c r="CS53" s="148">
        <f>IF(((Input_Raw[[#This Row],[33 kV_Wind_F1_Import reading]]-CK52)*1200)&gt;0,(Input_Raw[[#This Row],[33 kV_Wind_F1_Import reading]]-CK52)*1200,0)</f>
        <v>0</v>
      </c>
      <c r="CT53" s="148">
        <f>IF(((Input_Raw[[#This Row],[33 kV_Wind_F2_Export_reading]]-CL52)*1200)&gt;0,(Input_Raw[[#This Row],[33 kV_Wind_F2_Export_reading]]-CL52)*1200,0)</f>
        <v>70800</v>
      </c>
      <c r="CU53" s="148">
        <f>IF(((Input_Raw[[#This Row],[33 kV_Wind_F2_Import_reading]]-CM52)*1200)&gt;0,(Input_Raw[[#This Row],[33 kV_Wind_F2_Import_reading]]-CM52)*1200,0)</f>
        <v>0</v>
      </c>
      <c r="CV53" s="148">
        <f>IF(((Input_Raw[[#This Row],[33 kV_Wind_F3_Export_Reading]]-CN52)*1200)&gt;0,(Input_Raw[[#This Row],[33 kV_Wind_F3_Export_Reading]]-CN52)*1200,0)</f>
        <v>90000</v>
      </c>
      <c r="CW53" s="148">
        <f>IF(((Input_Raw[[#This Row],[33 kV_Wind_F3_Import_Reading]]-CO52)*1200)&gt;0,(Input_Raw[[#This Row],[33 kV_Wind_F3_Import_Reading]]-CO52)*1200,0)</f>
        <v>0</v>
      </c>
      <c r="CX53" s="148">
        <f>IF(((Input_Raw[[#This Row],[33 kV_Wind_F4_Export Reading]]-CP52)*1200)&gt;0,(Input_Raw[[#This Row],[33 kV_Wind_F4_Export Reading]]-CP52)*1200,0)</f>
        <v>87600</v>
      </c>
      <c r="CY53" s="148">
        <f>IF(((Input_Raw[[#This Row],[33 kV_Wind_F4_Import Reading]]-CQ52)*1200)&gt;0,(Input_Raw[[#This Row],[33 kV_Wind_F4_Import Reading]]-CQ52)*1200,0)</f>
        <v>0</v>
      </c>
      <c r="CZ53" s="148">
        <f>Input_Raw[[#This Row],[33 kV_F1_Total_Export (KWh)]]+Input_Raw[[#This Row],[33 kV_F2_Total_Export (KWh)2]]+Input_Raw[[#This Row],[33 kV_Wind_F3_Export (KWh)]]+Input_Raw[[#This Row],[33 kV_Wind_F4_Export (KWh)]]</f>
        <v>318000</v>
      </c>
      <c r="DA53" s="148">
        <f>Input_Raw[[#This Row],[33 kV_Wind_F1_Import (KWh)]]+Input_Raw[[#This Row],[33 kV_Wind_F2_Import (KWh)]]+Input_Raw[[#This Row],[33 kV_Wind_F3_Import (KWh)2]]+Input_Raw[[#This Row],[33 kV_Wind_F4_Import (KWh)2]]</f>
        <v>0</v>
      </c>
      <c r="DB53" s="21">
        <f>IFERROR(1-Input_Raw[[#This Row],[33 kV_Wind_Total_Export (KWh)]]/Input_Raw[[#This Row],[WTG Total Gneration (KWh)]],0)</f>
        <v>1.0966453723804559E-2</v>
      </c>
      <c r="DC53" s="161">
        <v>96</v>
      </c>
      <c r="DD53" s="161">
        <v>1873</v>
      </c>
      <c r="DE53" s="163">
        <v>321.52</v>
      </c>
      <c r="DF53" s="160"/>
      <c r="DG53" s="162">
        <v>78</v>
      </c>
      <c r="DH53" s="281" t="s">
        <v>381</v>
      </c>
    </row>
    <row r="54" spans="1:112">
      <c r="A54" s="20">
        <f t="shared" si="6"/>
        <v>45794</v>
      </c>
      <c r="B54" s="12">
        <f>YEAR(Input_Raw[[#This Row],[Date]])+IF(MONTH(Input_Raw[[#This Row],[Date]])&gt;=4,1,0)</f>
        <v>2026</v>
      </c>
      <c r="C54" s="13">
        <f>YEAR(Input_Raw[[#This Row],[Date]])</f>
        <v>2025</v>
      </c>
      <c r="D54" s="14">
        <f t="shared" si="5"/>
        <v>45778</v>
      </c>
      <c r="E54" s="13">
        <f>DAY(EOMONTH(Input_Raw[[#This Row],[Date]],0))</f>
        <v>31</v>
      </c>
      <c r="F54" s="15">
        <v>5673</v>
      </c>
      <c r="G54" s="15">
        <v>5132</v>
      </c>
      <c r="H54" s="15">
        <v>5684</v>
      </c>
      <c r="I54" s="15">
        <v>5681</v>
      </c>
      <c r="J54" s="15">
        <v>4123</v>
      </c>
      <c r="K54" s="15">
        <v>5424</v>
      </c>
      <c r="L54" s="15">
        <v>5163</v>
      </c>
      <c r="M54" s="15">
        <v>5642</v>
      </c>
      <c r="N54" s="15">
        <v>6458</v>
      </c>
      <c r="O54" s="15">
        <v>5635</v>
      </c>
      <c r="P54" s="15">
        <v>5673</v>
      </c>
      <c r="Q54" s="15">
        <v>6475</v>
      </c>
      <c r="R54" s="15">
        <v>6438</v>
      </c>
      <c r="S54" s="15">
        <v>6473</v>
      </c>
      <c r="T54" s="15">
        <v>6451</v>
      </c>
      <c r="U54" s="15">
        <v>6423</v>
      </c>
      <c r="V54" s="15">
        <v>6446</v>
      </c>
      <c r="W54" s="15">
        <v>6475</v>
      </c>
      <c r="X54" s="15">
        <v>1297</v>
      </c>
      <c r="Y54" s="15">
        <v>6452</v>
      </c>
      <c r="Z54" s="15">
        <v>4135</v>
      </c>
      <c r="AA54" s="15">
        <v>4154</v>
      </c>
      <c r="AB54" s="15">
        <v>4111</v>
      </c>
      <c r="AC54" s="15">
        <v>4156</v>
      </c>
      <c r="AD54" s="15">
        <v>2867</v>
      </c>
      <c r="AE54" s="15">
        <v>4127</v>
      </c>
      <c r="AF54" s="15">
        <v>4123</v>
      </c>
      <c r="AG54" s="15">
        <v>0</v>
      </c>
      <c r="AH54" s="15">
        <v>4145</v>
      </c>
      <c r="AI54" s="15">
        <v>0</v>
      </c>
      <c r="AJ54" s="15">
        <v>3521</v>
      </c>
      <c r="AK54" s="15">
        <v>3536</v>
      </c>
      <c r="AL54" s="15">
        <v>3573</v>
      </c>
      <c r="AM54" s="15">
        <v>3557</v>
      </c>
      <c r="AN54" s="15">
        <v>3564</v>
      </c>
      <c r="AO54" s="15">
        <v>3535</v>
      </c>
      <c r="AP54" s="15">
        <v>3547</v>
      </c>
      <c r="AQ54" s="15">
        <v>3550</v>
      </c>
      <c r="AR54" s="15">
        <v>3569</v>
      </c>
      <c r="AS54" s="16">
        <v>4.0641180555555536</v>
      </c>
      <c r="AT54" s="16">
        <v>4.0593055555555582</v>
      </c>
      <c r="AU54" s="16">
        <v>4.0183402777777761</v>
      </c>
      <c r="AV54" s="16">
        <v>3.9908402777777772</v>
      </c>
      <c r="AW54" s="16">
        <v>3.97079861111111</v>
      </c>
      <c r="AX54" s="16">
        <v>4.1533333333333324</v>
      </c>
      <c r="AY54" s="16">
        <v>4.1533333333333324</v>
      </c>
      <c r="AZ54" s="16">
        <v>4.3952637795275589</v>
      </c>
      <c r="BA54" s="16">
        <v>4.0945833333333352</v>
      </c>
      <c r="BB54" s="16">
        <v>4.1891249999999989</v>
      </c>
      <c r="BC54" s="16">
        <v>4.5515753968253962</v>
      </c>
      <c r="BD54" s="16">
        <v>4.0447986111111112</v>
      </c>
      <c r="BE54" s="16">
        <v>4.0977430555555578</v>
      </c>
      <c r="BF54" s="16">
        <v>4.1513819444444442</v>
      </c>
      <c r="BG54" s="16">
        <v>4.114952083333332</v>
      </c>
      <c r="BH54" s="16">
        <v>4.1474861111111121</v>
      </c>
      <c r="BI54" s="16">
        <v>4.3756666666666675</v>
      </c>
      <c r="BJ54" s="16">
        <v>4.3612430555555521</v>
      </c>
      <c r="BK54" s="16">
        <v>4.2470694444444446</v>
      </c>
      <c r="BL54" s="16">
        <v>4.3102222222222224</v>
      </c>
      <c r="BM54" s="16">
        <v>4.0999999999999996</v>
      </c>
      <c r="BN54" s="16">
        <v>4.0657152777777794</v>
      </c>
      <c r="BO54" s="16">
        <v>3.9717916666666659</v>
      </c>
      <c r="BP54" s="16">
        <v>4.1679513888888877</v>
      </c>
      <c r="BQ54" s="16">
        <v>3.8945486111111092</v>
      </c>
      <c r="BR54" s="16">
        <v>3.9962013888888888</v>
      </c>
      <c r="BS54" s="16">
        <v>4.0165833333333332</v>
      </c>
      <c r="BT54" s="16">
        <v>0</v>
      </c>
      <c r="BU54" s="16">
        <v>4.0999999999999996</v>
      </c>
      <c r="BV54" s="16">
        <v>0</v>
      </c>
      <c r="BW54" s="16">
        <v>3.80823611111111</v>
      </c>
      <c r="BX54" s="16">
        <v>3.923756944444444</v>
      </c>
      <c r="BY54" s="16">
        <v>4.0071736111111118</v>
      </c>
      <c r="BZ54" s="16">
        <v>4.0676805555555573</v>
      </c>
      <c r="CA54" s="16">
        <v>4.0488194444444439</v>
      </c>
      <c r="CB54" s="16">
        <v>4.1112569444444436</v>
      </c>
      <c r="CC54" s="16">
        <v>3.8610277777777782</v>
      </c>
      <c r="CD54" s="16">
        <v>3.9456944444444466</v>
      </c>
      <c r="CE54" s="16">
        <v>3.9453750000000003</v>
      </c>
      <c r="CF54" s="17">
        <f>SUM(Input_Raw[[#This Row],[G01]:[G40]])</f>
        <v>176988</v>
      </c>
      <c r="CG54" s="18">
        <f>IFERROR(AVERAGE(Input_Raw[[#This Row],[WS_G01]:[WS_G40]]),"")</f>
        <v>3.885204939707056</v>
      </c>
      <c r="CH54" s="19"/>
      <c r="CI54" s="19"/>
      <c r="CJ54" s="15">
        <v>240768</v>
      </c>
      <c r="CK54" s="15">
        <v>2181</v>
      </c>
      <c r="CL54" s="15">
        <v>280682</v>
      </c>
      <c r="CM54" s="15">
        <v>2208</v>
      </c>
      <c r="CN54" s="15">
        <v>256852</v>
      </c>
      <c r="CO54" s="15">
        <v>1816</v>
      </c>
      <c r="CP54" s="15">
        <v>292804</v>
      </c>
      <c r="CQ54" s="15">
        <v>1862</v>
      </c>
      <c r="CR54" s="148">
        <f>IF(((Input_Raw[[#This Row],[33 kV_Wind_F1_Export reading]]-CJ53)*1200)&gt;0,(Input_Raw[[#This Row],[33 kV_Wind_F1_Export reading]]-CJ53)*1200,0)</f>
        <v>33600</v>
      </c>
      <c r="CS54" s="148">
        <f>IF(((Input_Raw[[#This Row],[33 kV_Wind_F1_Import reading]]-CK53)*1200)&gt;0,(Input_Raw[[#This Row],[33 kV_Wind_F1_Import reading]]-CK53)*1200,0)</f>
        <v>1200</v>
      </c>
      <c r="CT54" s="148">
        <f>IF(((Input_Raw[[#This Row],[33 kV_Wind_F2_Export_reading]]-CL53)*1200)&gt;0,(Input_Raw[[#This Row],[33 kV_Wind_F2_Export_reading]]-CL53)*1200,0)</f>
        <v>32400</v>
      </c>
      <c r="CU54" s="148">
        <f>IF(((Input_Raw[[#This Row],[33 kV_Wind_F2_Import_reading]]-CM53)*1200)&gt;0,(Input_Raw[[#This Row],[33 kV_Wind_F2_Import_reading]]-CM53)*1200,0)</f>
        <v>0</v>
      </c>
      <c r="CV54" s="148">
        <f>IF(((Input_Raw[[#This Row],[33 kV_Wind_F3_Export_Reading]]-CN53)*1200)&gt;0,(Input_Raw[[#This Row],[33 kV_Wind_F3_Export_Reading]]-CN53)*1200,0)</f>
        <v>49200</v>
      </c>
      <c r="CW54" s="148">
        <f>IF(((Input_Raw[[#This Row],[33 kV_Wind_F3_Import_Reading]]-CO53)*1200)&gt;0,(Input_Raw[[#This Row],[33 kV_Wind_F3_Import_Reading]]-CO53)*1200,0)</f>
        <v>0</v>
      </c>
      <c r="CX54" s="148">
        <f>IF(((Input_Raw[[#This Row],[33 kV_Wind_F4_Export Reading]]-CP53)*1200)&gt;0,(Input_Raw[[#This Row],[33 kV_Wind_F4_Export Reading]]-CP53)*1200,0)</f>
        <v>58800</v>
      </c>
      <c r="CY54" s="148">
        <f>IF(((Input_Raw[[#This Row],[33 kV_Wind_F4_Import Reading]]-CQ53)*1200)&gt;0,(Input_Raw[[#This Row],[33 kV_Wind_F4_Import Reading]]-CQ53)*1200,0)</f>
        <v>1200</v>
      </c>
      <c r="CZ54" s="148">
        <f>Input_Raw[[#This Row],[33 kV_F1_Total_Export (KWh)]]+Input_Raw[[#This Row],[33 kV_F2_Total_Export (KWh)2]]+Input_Raw[[#This Row],[33 kV_Wind_F3_Export (KWh)]]+Input_Raw[[#This Row],[33 kV_Wind_F4_Export (KWh)]]</f>
        <v>174000</v>
      </c>
      <c r="DA54" s="148">
        <f>Input_Raw[[#This Row],[33 kV_Wind_F1_Import (KWh)]]+Input_Raw[[#This Row],[33 kV_Wind_F2_Import (KWh)]]+Input_Raw[[#This Row],[33 kV_Wind_F3_Import (KWh)2]]+Input_Raw[[#This Row],[33 kV_Wind_F4_Import (KWh)2]]</f>
        <v>2400</v>
      </c>
      <c r="DB54" s="21">
        <f>IFERROR(1-Input_Raw[[#This Row],[33 kV_Wind_Total_Export (KWh)]]/Input_Raw[[#This Row],[WTG Total Gneration (KWh)]],0)</f>
        <v>1.6882500508509035E-2</v>
      </c>
      <c r="DC54" s="161">
        <v>96</v>
      </c>
      <c r="DD54" s="161">
        <v>15134</v>
      </c>
      <c r="DE54" s="163">
        <v>176.98</v>
      </c>
      <c r="DF54" s="160"/>
      <c r="DG54" s="162">
        <v>78</v>
      </c>
      <c r="DH54" s="281" t="s">
        <v>381</v>
      </c>
    </row>
    <row r="55" spans="1:112">
      <c r="A55" s="20">
        <f t="shared" si="6"/>
        <v>45795</v>
      </c>
      <c r="B55" s="12">
        <f>YEAR(Input_Raw[[#This Row],[Date]])+IF(MONTH(Input_Raw[[#This Row],[Date]])&gt;=4,1,0)</f>
        <v>2026</v>
      </c>
      <c r="C55" s="13">
        <f>YEAR(Input_Raw[[#This Row],[Date]])</f>
        <v>2025</v>
      </c>
      <c r="D55" s="14">
        <f t="shared" si="5"/>
        <v>45778</v>
      </c>
      <c r="E55" s="13">
        <f>DAY(EOMONTH(Input_Raw[[#This Row],[Date]],0))</f>
        <v>31</v>
      </c>
      <c r="F55" s="15">
        <v>3466</v>
      </c>
      <c r="G55" s="15">
        <v>3564</v>
      </c>
      <c r="H55" s="15">
        <v>3552</v>
      </c>
      <c r="I55" s="15">
        <v>3546</v>
      </c>
      <c r="J55" s="15">
        <v>3521</v>
      </c>
      <c r="K55" s="15">
        <v>3576</v>
      </c>
      <c r="L55" s="15">
        <v>3537</v>
      </c>
      <c r="M55" s="15">
        <v>3551</v>
      </c>
      <c r="N55" s="15">
        <v>4056</v>
      </c>
      <c r="O55" s="15">
        <v>3532</v>
      </c>
      <c r="P55" s="15">
        <v>3543</v>
      </c>
      <c r="Q55" s="15">
        <v>4052</v>
      </c>
      <c r="R55" s="15">
        <v>4033</v>
      </c>
      <c r="S55" s="15">
        <v>4042</v>
      </c>
      <c r="T55" s="15">
        <v>4034</v>
      </c>
      <c r="U55" s="15">
        <v>4011</v>
      </c>
      <c r="V55" s="15">
        <v>4047</v>
      </c>
      <c r="W55" s="15">
        <v>4052</v>
      </c>
      <c r="X55" s="15">
        <v>4040</v>
      </c>
      <c r="Y55" s="15">
        <v>4057</v>
      </c>
      <c r="Z55" s="15">
        <v>3523</v>
      </c>
      <c r="AA55" s="15">
        <v>3511</v>
      </c>
      <c r="AB55" s="15">
        <v>3525</v>
      </c>
      <c r="AC55" s="15">
        <v>3514</v>
      </c>
      <c r="AD55" s="15">
        <v>3162</v>
      </c>
      <c r="AE55" s="15">
        <v>3515</v>
      </c>
      <c r="AF55" s="15">
        <v>3543</v>
      </c>
      <c r="AG55" s="15">
        <v>0</v>
      </c>
      <c r="AH55" s="15">
        <v>3548</v>
      </c>
      <c r="AI55" s="15">
        <v>0</v>
      </c>
      <c r="AJ55" s="15">
        <v>2487</v>
      </c>
      <c r="AK55" s="15">
        <v>3145</v>
      </c>
      <c r="AL55" s="15">
        <v>3121</v>
      </c>
      <c r="AM55" s="15">
        <v>3154</v>
      </c>
      <c r="AN55" s="15">
        <v>3132</v>
      </c>
      <c r="AO55" s="15">
        <v>3136</v>
      </c>
      <c r="AP55" s="15">
        <v>3156</v>
      </c>
      <c r="AQ55" s="15">
        <v>3149</v>
      </c>
      <c r="AR55" s="15">
        <v>3152</v>
      </c>
      <c r="AS55" s="16">
        <v>3.93</v>
      </c>
      <c r="AT55" s="16">
        <v>3.99</v>
      </c>
      <c r="AU55" s="16">
        <v>3.9</v>
      </c>
      <c r="AV55" s="16">
        <v>3.78</v>
      </c>
      <c r="AW55" s="16">
        <v>3.4</v>
      </c>
      <c r="AX55" s="16">
        <v>4.13</v>
      </c>
      <c r="AY55" s="16">
        <v>3.8</v>
      </c>
      <c r="AZ55" s="16">
        <v>4.05</v>
      </c>
      <c r="BA55" s="16">
        <v>3.76</v>
      </c>
      <c r="BB55" s="16">
        <v>3.86</v>
      </c>
      <c r="BC55" s="16">
        <v>4.0599999999999996</v>
      </c>
      <c r="BD55" s="16">
        <v>3.98</v>
      </c>
      <c r="BE55" s="16">
        <v>4.04</v>
      </c>
      <c r="BF55" s="16">
        <v>4.03</v>
      </c>
      <c r="BG55" s="16">
        <v>3.88</v>
      </c>
      <c r="BH55" s="16">
        <v>4.18</v>
      </c>
      <c r="BI55" s="16">
        <v>3.41</v>
      </c>
      <c r="BJ55" s="16">
        <v>4.09</v>
      </c>
      <c r="BK55" s="16">
        <v>4.29</v>
      </c>
      <c r="BL55" s="16">
        <v>4.0599999999999996</v>
      </c>
      <c r="BM55" s="16">
        <v>4.5</v>
      </c>
      <c r="BN55" s="16">
        <v>3.75</v>
      </c>
      <c r="BO55" s="16">
        <v>3.14</v>
      </c>
      <c r="BP55" s="16">
        <v>3.53</v>
      </c>
      <c r="BQ55" s="16">
        <v>3.02</v>
      </c>
      <c r="BR55" s="16">
        <v>3.42</v>
      </c>
      <c r="BS55" s="16">
        <v>3.48</v>
      </c>
      <c r="BT55" s="16">
        <v>0</v>
      </c>
      <c r="BU55" s="16">
        <v>3.31</v>
      </c>
      <c r="BV55" s="16">
        <v>0</v>
      </c>
      <c r="BW55" s="16">
        <v>3.29</v>
      </c>
      <c r="BX55" s="16">
        <v>3.51</v>
      </c>
      <c r="BY55" s="16">
        <v>3.38</v>
      </c>
      <c r="BZ55" s="16">
        <v>3.42</v>
      </c>
      <c r="CA55" s="16">
        <v>3.69</v>
      </c>
      <c r="CB55" s="16">
        <v>3.98</v>
      </c>
      <c r="CC55" s="16">
        <v>3.43</v>
      </c>
      <c r="CD55" s="16">
        <v>3.41</v>
      </c>
      <c r="CE55" s="16">
        <v>3.47</v>
      </c>
      <c r="CF55" s="17">
        <f>SUM(Input_Raw[[#This Row],[G01]:[G40]])</f>
        <v>131285</v>
      </c>
      <c r="CG55" s="18">
        <f>IFERROR(AVERAGE(Input_Raw[[#This Row],[WS_G01]:[WS_G40]]),"")</f>
        <v>3.5474358974358982</v>
      </c>
      <c r="CH55" s="19"/>
      <c r="CI55" s="19"/>
      <c r="CJ55" s="15">
        <v>240792</v>
      </c>
      <c r="CK55" s="15">
        <v>2181</v>
      </c>
      <c r="CL55" s="15">
        <v>280705</v>
      </c>
      <c r="CM55" s="15">
        <v>2209</v>
      </c>
      <c r="CN55" s="15">
        <v>256878</v>
      </c>
      <c r="CO55" s="15">
        <v>1817</v>
      </c>
      <c r="CP55" s="15">
        <v>292837</v>
      </c>
      <c r="CQ55" s="15">
        <v>1862</v>
      </c>
      <c r="CR55" s="148">
        <f>IF(((Input_Raw[[#This Row],[33 kV_Wind_F1_Export reading]]-CJ54)*1200)&gt;0,(Input_Raw[[#This Row],[33 kV_Wind_F1_Export reading]]-CJ54)*1200,0)</f>
        <v>28800</v>
      </c>
      <c r="CS55" s="148">
        <f>IF(((Input_Raw[[#This Row],[33 kV_Wind_F1_Import reading]]-CK54)*1200)&gt;0,(Input_Raw[[#This Row],[33 kV_Wind_F1_Import reading]]-CK54)*1200,0)</f>
        <v>0</v>
      </c>
      <c r="CT55" s="148">
        <f>IF(((Input_Raw[[#This Row],[33 kV_Wind_F2_Export_reading]]-CL54)*1200)&gt;0,(Input_Raw[[#This Row],[33 kV_Wind_F2_Export_reading]]-CL54)*1200,0)</f>
        <v>27600</v>
      </c>
      <c r="CU55" s="148">
        <f>IF(((Input_Raw[[#This Row],[33 kV_Wind_F2_Import_reading]]-CM54)*1200)&gt;0,(Input_Raw[[#This Row],[33 kV_Wind_F2_Import_reading]]-CM54)*1200,0)</f>
        <v>1200</v>
      </c>
      <c r="CV55" s="148">
        <f>IF(((Input_Raw[[#This Row],[33 kV_Wind_F3_Export_Reading]]-CN54)*1200)&gt;0,(Input_Raw[[#This Row],[33 kV_Wind_F3_Export_Reading]]-CN54)*1200,0)</f>
        <v>31200</v>
      </c>
      <c r="CW55" s="148">
        <f>IF(((Input_Raw[[#This Row],[33 kV_Wind_F3_Import_Reading]]-CO54)*1200)&gt;0,(Input_Raw[[#This Row],[33 kV_Wind_F3_Import_Reading]]-CO54)*1200,0)</f>
        <v>1200</v>
      </c>
      <c r="CX55" s="148">
        <f>IF(((Input_Raw[[#This Row],[33 kV_Wind_F4_Export Reading]]-CP54)*1200)&gt;0,(Input_Raw[[#This Row],[33 kV_Wind_F4_Export Reading]]-CP54)*1200,0)</f>
        <v>39600</v>
      </c>
      <c r="CY55" s="148">
        <f>IF(((Input_Raw[[#This Row],[33 kV_Wind_F4_Import Reading]]-CQ54)*1200)&gt;0,(Input_Raw[[#This Row],[33 kV_Wind_F4_Import Reading]]-CQ54)*1200,0)</f>
        <v>0</v>
      </c>
      <c r="CZ55" s="148">
        <f>Input_Raw[[#This Row],[33 kV_F1_Total_Export (KWh)]]+Input_Raw[[#This Row],[33 kV_F2_Total_Export (KWh)2]]+Input_Raw[[#This Row],[33 kV_Wind_F3_Export (KWh)]]+Input_Raw[[#This Row],[33 kV_Wind_F4_Export (KWh)]]</f>
        <v>127200</v>
      </c>
      <c r="DA55" s="148">
        <f>Input_Raw[[#This Row],[33 kV_Wind_F1_Import (KWh)]]+Input_Raw[[#This Row],[33 kV_Wind_F2_Import (KWh)]]+Input_Raw[[#This Row],[33 kV_Wind_F3_Import (KWh)2]]+Input_Raw[[#This Row],[33 kV_Wind_F4_Import (KWh)2]]</f>
        <v>2400</v>
      </c>
      <c r="DB55" s="21">
        <f>IFERROR(1-Input_Raw[[#This Row],[33 kV_Wind_Total_Export (KWh)]]/Input_Raw[[#This Row],[WTG Total Gneration (KWh)]],0)</f>
        <v>3.1115512053928485E-2</v>
      </c>
      <c r="DC55" s="161">
        <v>96</v>
      </c>
      <c r="DD55" s="161">
        <v>55</v>
      </c>
      <c r="DE55" s="163">
        <v>131.28</v>
      </c>
      <c r="DF55" s="160"/>
      <c r="DG55" s="162">
        <v>78</v>
      </c>
      <c r="DH55" s="281" t="s">
        <v>381</v>
      </c>
    </row>
    <row r="56" spans="1:112">
      <c r="A56" s="20">
        <f t="shared" si="6"/>
        <v>45796</v>
      </c>
      <c r="B56" s="12">
        <f>YEAR(Input_Raw[[#This Row],[Date]])+IF(MONTH(Input_Raw[[#This Row],[Date]])&gt;=4,1,0)</f>
        <v>2026</v>
      </c>
      <c r="C56" s="13">
        <f>YEAR(Input_Raw[[#This Row],[Date]])</f>
        <v>2025</v>
      </c>
      <c r="D56" s="14">
        <f t="shared" si="5"/>
        <v>45778</v>
      </c>
      <c r="E56" s="13">
        <f>DAY(EOMONTH(Input_Raw[[#This Row],[Date]],0))</f>
        <v>31</v>
      </c>
      <c r="F56" s="15">
        <v>3821</v>
      </c>
      <c r="G56" s="15">
        <v>3824</v>
      </c>
      <c r="H56" s="15">
        <v>3809</v>
      </c>
      <c r="I56" s="15">
        <v>3815</v>
      </c>
      <c r="J56" s="15">
        <v>3190</v>
      </c>
      <c r="K56" s="15">
        <v>3821</v>
      </c>
      <c r="L56" s="15">
        <v>3829</v>
      </c>
      <c r="M56" s="15">
        <v>3825</v>
      </c>
      <c r="N56" s="15">
        <v>3550</v>
      </c>
      <c r="O56" s="15">
        <v>3839</v>
      </c>
      <c r="P56" s="15">
        <v>3852</v>
      </c>
      <c r="Q56" s="15">
        <v>3523</v>
      </c>
      <c r="R56" s="15">
        <v>3522</v>
      </c>
      <c r="S56" s="15">
        <v>3556</v>
      </c>
      <c r="T56" s="15">
        <v>3528</v>
      </c>
      <c r="U56" s="15">
        <v>3542</v>
      </c>
      <c r="V56" s="15">
        <v>3541</v>
      </c>
      <c r="W56" s="15">
        <v>3540</v>
      </c>
      <c r="X56" s="15">
        <v>3559</v>
      </c>
      <c r="Y56" s="15">
        <v>3567</v>
      </c>
      <c r="Z56" s="15">
        <v>4102</v>
      </c>
      <c r="AA56" s="15">
        <v>2789</v>
      </c>
      <c r="AB56" s="15">
        <v>4115</v>
      </c>
      <c r="AC56" s="15">
        <v>4136</v>
      </c>
      <c r="AD56" s="15">
        <v>4021</v>
      </c>
      <c r="AE56" s="15">
        <v>4140</v>
      </c>
      <c r="AF56" s="15">
        <v>4109</v>
      </c>
      <c r="AG56" s="15">
        <v>0</v>
      </c>
      <c r="AH56" s="15">
        <v>4121</v>
      </c>
      <c r="AI56" s="15">
        <v>0</v>
      </c>
      <c r="AJ56" s="15">
        <v>4101</v>
      </c>
      <c r="AK56" s="15">
        <v>4111</v>
      </c>
      <c r="AL56" s="15">
        <v>4116</v>
      </c>
      <c r="AM56" s="15">
        <v>4121</v>
      </c>
      <c r="AN56" s="15">
        <v>4119</v>
      </c>
      <c r="AO56" s="15">
        <v>4153</v>
      </c>
      <c r="AP56" s="15">
        <v>4132</v>
      </c>
      <c r="AQ56" s="15">
        <v>4127</v>
      </c>
      <c r="AR56" s="15">
        <v>4129</v>
      </c>
      <c r="AS56" s="16">
        <v>3.74</v>
      </c>
      <c r="AT56" s="16">
        <v>3.74</v>
      </c>
      <c r="AU56" s="16">
        <v>3.75</v>
      </c>
      <c r="AV56" s="16">
        <v>3.66</v>
      </c>
      <c r="AW56" s="16">
        <v>3.58</v>
      </c>
      <c r="AX56" s="16">
        <v>4.01</v>
      </c>
      <c r="AY56" s="16">
        <v>3.68</v>
      </c>
      <c r="AZ56" s="16">
        <v>3.94</v>
      </c>
      <c r="BA56" s="16">
        <v>3.7</v>
      </c>
      <c r="BB56" s="16">
        <v>3.66</v>
      </c>
      <c r="BC56" s="16">
        <v>3.85</v>
      </c>
      <c r="BD56" s="16">
        <v>3.83</v>
      </c>
      <c r="BE56" s="16">
        <v>3.84</v>
      </c>
      <c r="BF56" s="16">
        <v>3.92</v>
      </c>
      <c r="BG56" s="16">
        <v>3.11</v>
      </c>
      <c r="BH56" s="16">
        <v>0</v>
      </c>
      <c r="BI56" s="16">
        <v>4.0199999999999996</v>
      </c>
      <c r="BJ56" s="16">
        <v>3.98</v>
      </c>
      <c r="BK56" s="16">
        <v>4.12</v>
      </c>
      <c r="BL56" s="16">
        <v>4.16</v>
      </c>
      <c r="BM56" s="16">
        <v>3.79</v>
      </c>
      <c r="BN56" s="16">
        <v>3.68</v>
      </c>
      <c r="BO56" s="16">
        <v>3.68</v>
      </c>
      <c r="BP56" s="16">
        <v>3.85</v>
      </c>
      <c r="BQ56" s="16">
        <v>3.49</v>
      </c>
      <c r="BR56" s="16">
        <v>3.7</v>
      </c>
      <c r="BS56" s="16">
        <v>3.67</v>
      </c>
      <c r="BT56" s="16">
        <v>0</v>
      </c>
      <c r="BU56" s="16">
        <v>3.9</v>
      </c>
      <c r="BV56" s="16">
        <v>0</v>
      </c>
      <c r="BW56" s="16">
        <v>3.66</v>
      </c>
      <c r="BX56" s="16">
        <v>3.57</v>
      </c>
      <c r="BY56" s="16">
        <v>3.7</v>
      </c>
      <c r="BZ56" s="16">
        <v>3.91</v>
      </c>
      <c r="CA56" s="16">
        <v>4.05</v>
      </c>
      <c r="CB56" s="16">
        <v>3.93</v>
      </c>
      <c r="CC56" s="16">
        <v>3.61</v>
      </c>
      <c r="CD56" s="16">
        <v>4.13</v>
      </c>
      <c r="CE56" s="16">
        <v>3.7</v>
      </c>
      <c r="CF56" s="17">
        <f>SUM(Input_Raw[[#This Row],[G01]:[G40]])</f>
        <v>141695</v>
      </c>
      <c r="CG56" s="18">
        <f>IFERROR(AVERAGE(Input_Raw[[#This Row],[WS_G01]:[WS_G40]]),"")</f>
        <v>3.4951282051282053</v>
      </c>
      <c r="CH56" s="19"/>
      <c r="CI56" s="19"/>
      <c r="CJ56" s="15">
        <v>240825</v>
      </c>
      <c r="CK56" s="15">
        <v>2182</v>
      </c>
      <c r="CL56" s="15">
        <v>280730</v>
      </c>
      <c r="CM56" s="15">
        <v>2210</v>
      </c>
      <c r="CN56" s="15">
        <v>256906</v>
      </c>
      <c r="CO56" s="15">
        <v>1817</v>
      </c>
      <c r="CP56" s="15">
        <v>292866</v>
      </c>
      <c r="CQ56" s="15">
        <v>1863</v>
      </c>
      <c r="CR56" s="148">
        <f>IF(((Input_Raw[[#This Row],[33 kV_Wind_F1_Export reading]]-CJ55)*1200)&gt;0,(Input_Raw[[#This Row],[33 kV_Wind_F1_Export reading]]-CJ55)*1200,0)</f>
        <v>39600</v>
      </c>
      <c r="CS56" s="148">
        <f>IF(((Input_Raw[[#This Row],[33 kV_Wind_F1_Import reading]]-CK55)*1200)&gt;0,(Input_Raw[[#This Row],[33 kV_Wind_F1_Import reading]]-CK55)*1200,0)</f>
        <v>1200</v>
      </c>
      <c r="CT56" s="148">
        <f>IF(((Input_Raw[[#This Row],[33 kV_Wind_F2_Export_reading]]-CL55)*1200)&gt;0,(Input_Raw[[#This Row],[33 kV_Wind_F2_Export_reading]]-CL55)*1200,0)</f>
        <v>30000</v>
      </c>
      <c r="CU56" s="148">
        <f>IF(((Input_Raw[[#This Row],[33 kV_Wind_F2_Import_reading]]-CM55)*1200)&gt;0,(Input_Raw[[#This Row],[33 kV_Wind_F2_Import_reading]]-CM55)*1200,0)</f>
        <v>1200</v>
      </c>
      <c r="CV56" s="148">
        <f>IF(((Input_Raw[[#This Row],[33 kV_Wind_F3_Export_Reading]]-CN55)*1200)&gt;0,(Input_Raw[[#This Row],[33 kV_Wind_F3_Export_Reading]]-CN55)*1200,0)</f>
        <v>33600</v>
      </c>
      <c r="CW56" s="148">
        <f>IF(((Input_Raw[[#This Row],[33 kV_Wind_F3_Import_Reading]]-CO55)*1200)&gt;0,(Input_Raw[[#This Row],[33 kV_Wind_F3_Import_Reading]]-CO55)*1200,0)</f>
        <v>0</v>
      </c>
      <c r="CX56" s="148">
        <f>IF(((Input_Raw[[#This Row],[33 kV_Wind_F4_Export Reading]]-CP55)*1200)&gt;0,(Input_Raw[[#This Row],[33 kV_Wind_F4_Export Reading]]-CP55)*1200,0)</f>
        <v>34800</v>
      </c>
      <c r="CY56" s="148">
        <f>IF(((Input_Raw[[#This Row],[33 kV_Wind_F4_Import Reading]]-CQ55)*1200)&gt;0,(Input_Raw[[#This Row],[33 kV_Wind_F4_Import Reading]]-CQ55)*1200,0)</f>
        <v>1200</v>
      </c>
      <c r="CZ56" s="148">
        <f>Input_Raw[[#This Row],[33 kV_F1_Total_Export (KWh)]]+Input_Raw[[#This Row],[33 kV_F2_Total_Export (KWh)2]]+Input_Raw[[#This Row],[33 kV_Wind_F3_Export (KWh)]]+Input_Raw[[#This Row],[33 kV_Wind_F4_Export (KWh)]]</f>
        <v>138000</v>
      </c>
      <c r="DA56" s="148">
        <f>Input_Raw[[#This Row],[33 kV_Wind_F1_Import (KWh)]]+Input_Raw[[#This Row],[33 kV_Wind_F2_Import (KWh)]]+Input_Raw[[#This Row],[33 kV_Wind_F3_Import (KWh)2]]+Input_Raw[[#This Row],[33 kV_Wind_F4_Import (KWh)2]]</f>
        <v>3600</v>
      </c>
      <c r="DB56" s="21">
        <f>IFERROR(1-Input_Raw[[#This Row],[33 kV_Wind_Total_Export (KWh)]]/Input_Raw[[#This Row],[WTG Total Gneration (KWh)]],0)</f>
        <v>2.6077137513673687E-2</v>
      </c>
      <c r="DC56" s="161">
        <v>96</v>
      </c>
      <c r="DD56" s="161">
        <v>5662</v>
      </c>
      <c r="DE56" s="163">
        <v>141.69</v>
      </c>
      <c r="DF56" s="160"/>
      <c r="DG56" s="162">
        <v>78</v>
      </c>
      <c r="DH56" s="281" t="s">
        <v>381</v>
      </c>
    </row>
    <row r="57" spans="1:112">
      <c r="A57" s="20">
        <f t="shared" si="6"/>
        <v>45797</v>
      </c>
      <c r="B57" s="12">
        <f>YEAR(Input_Raw[[#This Row],[Date]])+IF(MONTH(Input_Raw[[#This Row],[Date]])&gt;=4,1,0)</f>
        <v>2026</v>
      </c>
      <c r="C57" s="13">
        <f>YEAR(Input_Raw[[#This Row],[Date]])</f>
        <v>2025</v>
      </c>
      <c r="D57" s="14">
        <f t="shared" si="5"/>
        <v>45778</v>
      </c>
      <c r="E57" s="13">
        <f>DAY(EOMONTH(Input_Raw[[#This Row],[Date]],0))</f>
        <v>31</v>
      </c>
      <c r="F57" s="15">
        <v>5587</v>
      </c>
      <c r="G57" s="15">
        <v>5267</v>
      </c>
      <c r="H57" s="15">
        <v>5278</v>
      </c>
      <c r="I57" s="15">
        <v>5575</v>
      </c>
      <c r="J57" s="15">
        <v>5201</v>
      </c>
      <c r="K57" s="15">
        <v>5562</v>
      </c>
      <c r="L57" s="15">
        <v>5579</v>
      </c>
      <c r="M57" s="15">
        <v>5565</v>
      </c>
      <c r="N57" s="15">
        <v>5321</v>
      </c>
      <c r="O57" s="15">
        <v>5032</v>
      </c>
      <c r="P57" s="15">
        <v>5543</v>
      </c>
      <c r="Q57" s="15">
        <v>5342</v>
      </c>
      <c r="R57" s="15">
        <v>5347</v>
      </c>
      <c r="S57" s="15">
        <v>5352</v>
      </c>
      <c r="T57" s="15">
        <v>5353</v>
      </c>
      <c r="U57" s="15">
        <v>5021</v>
      </c>
      <c r="V57" s="15">
        <v>5042</v>
      </c>
      <c r="W57" s="15">
        <v>5034</v>
      </c>
      <c r="X57" s="15">
        <v>5045</v>
      </c>
      <c r="Y57" s="15">
        <v>5067</v>
      </c>
      <c r="Z57" s="15">
        <v>4693</v>
      </c>
      <c r="AA57" s="15">
        <v>5205</v>
      </c>
      <c r="AB57" s="15">
        <v>5200</v>
      </c>
      <c r="AC57" s="15">
        <v>5215</v>
      </c>
      <c r="AD57" s="15">
        <v>3501</v>
      </c>
      <c r="AE57" s="15">
        <v>5210</v>
      </c>
      <c r="AF57" s="15">
        <v>5242</v>
      </c>
      <c r="AG57" s="15">
        <v>0</v>
      </c>
      <c r="AH57" s="15">
        <v>5245</v>
      </c>
      <c r="AI57" s="15">
        <v>0</v>
      </c>
      <c r="AJ57" s="15">
        <v>3515</v>
      </c>
      <c r="AK57" s="15">
        <v>3690</v>
      </c>
      <c r="AL57" s="15">
        <v>3692</v>
      </c>
      <c r="AM57" s="15">
        <v>3679</v>
      </c>
      <c r="AN57" s="15">
        <v>3698</v>
      </c>
      <c r="AO57" s="15">
        <v>3678</v>
      </c>
      <c r="AP57" s="15">
        <v>3682</v>
      </c>
      <c r="AQ57" s="15">
        <v>3516</v>
      </c>
      <c r="AR57" s="15">
        <v>3696</v>
      </c>
      <c r="AS57" s="16">
        <v>4.0641180555555536</v>
      </c>
      <c r="AT57" s="16">
        <v>4.0593055555555582</v>
      </c>
      <c r="AU57" s="16">
        <v>4.0183402777777761</v>
      </c>
      <c r="AV57" s="16">
        <v>3.9908402777777772</v>
      </c>
      <c r="AW57" s="16">
        <v>3.97079861111111</v>
      </c>
      <c r="AX57" s="16">
        <v>4.1533333333333324</v>
      </c>
      <c r="AY57" s="16">
        <v>4.1533333333333324</v>
      </c>
      <c r="AZ57" s="16">
        <v>4.3952637795275589</v>
      </c>
      <c r="BA57" s="16">
        <v>4.0945833333333352</v>
      </c>
      <c r="BB57" s="16">
        <v>4.1891249999999989</v>
      </c>
      <c r="BC57" s="16">
        <v>4.5515753968253962</v>
      </c>
      <c r="BD57" s="16">
        <v>4.0447986111111112</v>
      </c>
      <c r="BE57" s="16">
        <v>4.0977430555555578</v>
      </c>
      <c r="BF57" s="16">
        <v>4.1513819444444442</v>
      </c>
      <c r="BG57" s="16">
        <v>4.114952083333332</v>
      </c>
      <c r="BH57" s="16">
        <v>4.1474861111111121</v>
      </c>
      <c r="BI57" s="16">
        <v>4.3756666666666675</v>
      </c>
      <c r="BJ57" s="16">
        <v>4.3612430555555521</v>
      </c>
      <c r="BK57" s="16">
        <v>4.2470694444444446</v>
      </c>
      <c r="BL57" s="16">
        <v>4.3102222222222224</v>
      </c>
      <c r="BM57" s="16">
        <v>4.0999999999999996</v>
      </c>
      <c r="BN57" s="16">
        <v>4.0657152777777794</v>
      </c>
      <c r="BO57" s="16">
        <v>3.9717916666666659</v>
      </c>
      <c r="BP57" s="16">
        <v>4.1679513888888877</v>
      </c>
      <c r="BQ57" s="16">
        <v>3.8945486111111092</v>
      </c>
      <c r="BR57" s="16">
        <v>3.9962013888888888</v>
      </c>
      <c r="BS57" s="16">
        <v>4.0165833333333332</v>
      </c>
      <c r="BT57" s="16">
        <v>0</v>
      </c>
      <c r="BU57" s="16">
        <v>4.0999999999999996</v>
      </c>
      <c r="BV57" s="16">
        <v>0</v>
      </c>
      <c r="BW57" s="16">
        <v>3.80823611111111</v>
      </c>
      <c r="BX57" s="16">
        <v>3.923756944444444</v>
      </c>
      <c r="BY57" s="16">
        <v>4.0071736111111118</v>
      </c>
      <c r="BZ57" s="16">
        <v>4.0676805555555573</v>
      </c>
      <c r="CA57" s="16">
        <v>4.0488194444444439</v>
      </c>
      <c r="CB57" s="16">
        <v>4.1112569444444436</v>
      </c>
      <c r="CC57" s="16">
        <v>3.8610277777777782</v>
      </c>
      <c r="CD57" s="16">
        <v>3.9456944444444466</v>
      </c>
      <c r="CE57" s="16">
        <v>3.9453750000000003</v>
      </c>
      <c r="CF57" s="17">
        <f>SUM(Input_Raw[[#This Row],[G01]:[G40]])</f>
        <v>178470</v>
      </c>
      <c r="CG57" s="18">
        <f>IFERROR(AVERAGE(Input_Raw[[#This Row],[WS_G01]:[WS_G40]]),"")</f>
        <v>3.885204939707056</v>
      </c>
      <c r="CH57" s="19"/>
      <c r="CI57" s="19"/>
      <c r="CJ57" s="15">
        <v>240855</v>
      </c>
      <c r="CK57" s="15">
        <v>2183</v>
      </c>
      <c r="CL57" s="15">
        <v>280764</v>
      </c>
      <c r="CM57" s="15">
        <v>2210</v>
      </c>
      <c r="CN57" s="15">
        <v>256946</v>
      </c>
      <c r="CO57" s="15">
        <v>1818</v>
      </c>
      <c r="CP57" s="15">
        <v>292909</v>
      </c>
      <c r="CQ57" s="15">
        <v>1864</v>
      </c>
      <c r="CR57" s="148">
        <f>IF(((Input_Raw[[#This Row],[33 kV_Wind_F1_Export reading]]-CJ56)*1200)&gt;0,(Input_Raw[[#This Row],[33 kV_Wind_F1_Export reading]]-CJ56)*1200,0)</f>
        <v>36000</v>
      </c>
      <c r="CS57" s="148">
        <f>IF(((Input_Raw[[#This Row],[33 kV_Wind_F1_Import reading]]-CK56)*1200)&gt;0,(Input_Raw[[#This Row],[33 kV_Wind_F1_Import reading]]-CK56)*1200,0)</f>
        <v>1200</v>
      </c>
      <c r="CT57" s="148">
        <f>IF(((Input_Raw[[#This Row],[33 kV_Wind_F2_Export_reading]]-CL56)*1200)&gt;0,(Input_Raw[[#This Row],[33 kV_Wind_F2_Export_reading]]-CL56)*1200,0)</f>
        <v>40800</v>
      </c>
      <c r="CU57" s="148">
        <f>IF(((Input_Raw[[#This Row],[33 kV_Wind_F2_Import_reading]]-CM56)*1200)&gt;0,(Input_Raw[[#This Row],[33 kV_Wind_F2_Import_reading]]-CM56)*1200,0)</f>
        <v>0</v>
      </c>
      <c r="CV57" s="148">
        <f>IF(((Input_Raw[[#This Row],[33 kV_Wind_F3_Export_Reading]]-CN56)*1200)&gt;0,(Input_Raw[[#This Row],[33 kV_Wind_F3_Export_Reading]]-CN56)*1200,0)</f>
        <v>48000</v>
      </c>
      <c r="CW57" s="148">
        <f>IF(((Input_Raw[[#This Row],[33 kV_Wind_F3_Import_Reading]]-CO56)*1200)&gt;0,(Input_Raw[[#This Row],[33 kV_Wind_F3_Import_Reading]]-CO56)*1200,0)</f>
        <v>1200</v>
      </c>
      <c r="CX57" s="148">
        <f>IF(((Input_Raw[[#This Row],[33 kV_Wind_F4_Export Reading]]-CP56)*1200)&gt;0,(Input_Raw[[#This Row],[33 kV_Wind_F4_Export Reading]]-CP56)*1200,0)</f>
        <v>51600</v>
      </c>
      <c r="CY57" s="148">
        <f>IF(((Input_Raw[[#This Row],[33 kV_Wind_F4_Import Reading]]-CQ56)*1200)&gt;0,(Input_Raw[[#This Row],[33 kV_Wind_F4_Import Reading]]-CQ56)*1200,0)</f>
        <v>1200</v>
      </c>
      <c r="CZ57" s="148">
        <f>Input_Raw[[#This Row],[33 kV_F1_Total_Export (KWh)]]+Input_Raw[[#This Row],[33 kV_F2_Total_Export (KWh)2]]+Input_Raw[[#This Row],[33 kV_Wind_F3_Export (KWh)]]+Input_Raw[[#This Row],[33 kV_Wind_F4_Export (KWh)]]</f>
        <v>176400</v>
      </c>
      <c r="DA57" s="148">
        <f>Input_Raw[[#This Row],[33 kV_Wind_F1_Import (KWh)]]+Input_Raw[[#This Row],[33 kV_Wind_F2_Import (KWh)]]+Input_Raw[[#This Row],[33 kV_Wind_F3_Import (KWh)2]]+Input_Raw[[#This Row],[33 kV_Wind_F4_Import (KWh)2]]</f>
        <v>3600</v>
      </c>
      <c r="DB57" s="21">
        <f>IFERROR(1-Input_Raw[[#This Row],[33 kV_Wind_Total_Export (KWh)]]/Input_Raw[[#This Row],[WTG Total Gneration (KWh)]],0)</f>
        <v>1.1598587997982857E-2</v>
      </c>
      <c r="DC57" s="161">
        <v>96</v>
      </c>
      <c r="DD57" s="161">
        <v>2876</v>
      </c>
      <c r="DE57" s="163">
        <v>178.47</v>
      </c>
      <c r="DF57" s="160"/>
      <c r="DG57" s="162">
        <v>78</v>
      </c>
      <c r="DH57" s="281" t="s">
        <v>381</v>
      </c>
    </row>
    <row r="58" spans="1:112">
      <c r="A58" s="20">
        <f>A57+1</f>
        <v>45798</v>
      </c>
      <c r="B58" s="12">
        <f>YEAR(Input_Raw[[#This Row],[Date]])+IF(MONTH(Input_Raw[[#This Row],[Date]])&gt;=4,1,0)</f>
        <v>2026</v>
      </c>
      <c r="C58" s="13">
        <f>YEAR(Input_Raw[[#This Row],[Date]])</f>
        <v>2025</v>
      </c>
      <c r="D58" s="14">
        <f t="shared" si="5"/>
        <v>45778</v>
      </c>
      <c r="E58" s="13">
        <f>DAY(EOMONTH(Input_Raw[[#This Row],[Date]],0))</f>
        <v>31</v>
      </c>
      <c r="F58" s="15">
        <v>5618</v>
      </c>
      <c r="G58" s="15">
        <v>5628</v>
      </c>
      <c r="H58" s="15">
        <v>5632</v>
      </c>
      <c r="I58" s="15">
        <v>5640</v>
      </c>
      <c r="J58" s="15">
        <v>5601</v>
      </c>
      <c r="K58" s="15">
        <v>5079</v>
      </c>
      <c r="L58" s="15">
        <v>5633</v>
      </c>
      <c r="M58" s="15">
        <v>5622</v>
      </c>
      <c r="N58" s="15">
        <v>5173</v>
      </c>
      <c r="O58" s="15">
        <v>5656</v>
      </c>
      <c r="P58" s="15">
        <v>5674</v>
      </c>
      <c r="Q58" s="15">
        <v>5174</v>
      </c>
      <c r="R58" s="15">
        <v>5164</v>
      </c>
      <c r="S58" s="15">
        <v>5156</v>
      </c>
      <c r="T58" s="15">
        <v>5177</v>
      </c>
      <c r="U58" s="15">
        <v>5148</v>
      </c>
      <c r="V58" s="15">
        <v>5142</v>
      </c>
      <c r="W58" s="15">
        <v>5156</v>
      </c>
      <c r="X58" s="15">
        <v>5176</v>
      </c>
      <c r="Y58" s="15">
        <v>5178</v>
      </c>
      <c r="Z58" s="15">
        <v>5632</v>
      </c>
      <c r="AA58" s="15">
        <v>5621</v>
      </c>
      <c r="AB58" s="15">
        <v>4621</v>
      </c>
      <c r="AC58" s="15">
        <v>5637</v>
      </c>
      <c r="AD58" s="15">
        <v>4021</v>
      </c>
      <c r="AE58" s="15">
        <v>5636</v>
      </c>
      <c r="AF58" s="15">
        <v>5644</v>
      </c>
      <c r="AG58" s="15">
        <v>0</v>
      </c>
      <c r="AH58" s="15">
        <v>5654</v>
      </c>
      <c r="AI58" s="15">
        <v>0</v>
      </c>
      <c r="AJ58" s="15">
        <v>4631</v>
      </c>
      <c r="AK58" s="15">
        <v>4637</v>
      </c>
      <c r="AL58" s="15">
        <v>4645</v>
      </c>
      <c r="AM58" s="15">
        <v>4642</v>
      </c>
      <c r="AN58" s="15">
        <v>4666</v>
      </c>
      <c r="AO58" s="15">
        <v>4665</v>
      </c>
      <c r="AP58" s="15">
        <v>4633</v>
      </c>
      <c r="AQ58" s="15">
        <v>4647</v>
      </c>
      <c r="AR58" s="15">
        <v>4664</v>
      </c>
      <c r="AS58" s="16">
        <v>3.93</v>
      </c>
      <c r="AT58" s="16">
        <v>3.99</v>
      </c>
      <c r="AU58" s="16">
        <v>3.9</v>
      </c>
      <c r="AV58" s="16">
        <v>3.78</v>
      </c>
      <c r="AW58" s="16">
        <v>3.4</v>
      </c>
      <c r="AX58" s="16">
        <v>4.13</v>
      </c>
      <c r="AY58" s="16">
        <v>3.8</v>
      </c>
      <c r="AZ58" s="16">
        <v>4.05</v>
      </c>
      <c r="BA58" s="16">
        <v>3.76</v>
      </c>
      <c r="BB58" s="16">
        <v>3.86</v>
      </c>
      <c r="BC58" s="16">
        <v>4.0599999999999996</v>
      </c>
      <c r="BD58" s="16">
        <v>3.98</v>
      </c>
      <c r="BE58" s="16">
        <v>4.04</v>
      </c>
      <c r="BF58" s="16">
        <v>4.03</v>
      </c>
      <c r="BG58" s="16">
        <v>3.88</v>
      </c>
      <c r="BH58" s="16">
        <v>4.18</v>
      </c>
      <c r="BI58" s="16">
        <v>3.41</v>
      </c>
      <c r="BJ58" s="16">
        <v>4.09</v>
      </c>
      <c r="BK58" s="16">
        <v>4.29</v>
      </c>
      <c r="BL58" s="16">
        <v>4.0599999999999996</v>
      </c>
      <c r="BM58" s="16">
        <v>4.5</v>
      </c>
      <c r="BN58" s="16">
        <v>3.75</v>
      </c>
      <c r="BO58" s="16">
        <v>3.14</v>
      </c>
      <c r="BP58" s="16">
        <v>3.53</v>
      </c>
      <c r="BQ58" s="16">
        <v>3.02</v>
      </c>
      <c r="BR58" s="16">
        <v>3.42</v>
      </c>
      <c r="BS58" s="16">
        <v>3.48</v>
      </c>
      <c r="BT58" s="16">
        <v>0</v>
      </c>
      <c r="BU58" s="16">
        <v>3.31</v>
      </c>
      <c r="BV58" s="16">
        <v>0</v>
      </c>
      <c r="BW58" s="16">
        <v>3.29</v>
      </c>
      <c r="BX58" s="16">
        <v>3.51</v>
      </c>
      <c r="BY58" s="16">
        <v>3.38</v>
      </c>
      <c r="BZ58" s="16">
        <v>3.42</v>
      </c>
      <c r="CA58" s="16">
        <v>3.69</v>
      </c>
      <c r="CB58" s="16">
        <v>3.98</v>
      </c>
      <c r="CC58" s="16">
        <v>3.43</v>
      </c>
      <c r="CD58" s="16">
        <v>3.41</v>
      </c>
      <c r="CE58" s="16">
        <v>3.47</v>
      </c>
      <c r="CF58" s="17">
        <f>SUM(Input_Raw[[#This Row],[G01]:[G40]])</f>
        <v>191723</v>
      </c>
      <c r="CG58" s="18">
        <f>IFERROR(AVERAGE(Input_Raw[[#This Row],[WS_G01]:[WS_G40]]),"")</f>
        <v>3.5474358974358982</v>
      </c>
      <c r="CH58" s="19"/>
      <c r="CI58" s="19"/>
      <c r="CJ58" s="15">
        <v>240892</v>
      </c>
      <c r="CK58" s="15">
        <v>2184</v>
      </c>
      <c r="CL58" s="15">
        <v>280800</v>
      </c>
      <c r="CM58" s="15">
        <v>2211</v>
      </c>
      <c r="CN58" s="15">
        <v>256987</v>
      </c>
      <c r="CO58" s="15">
        <v>1819</v>
      </c>
      <c r="CP58" s="15">
        <v>292951</v>
      </c>
      <c r="CQ58" s="15">
        <v>1865</v>
      </c>
      <c r="CR58" s="148">
        <f>IF(((Input_Raw[[#This Row],[33 kV_Wind_F1_Export reading]]-CJ57)*1200)&gt;0,(Input_Raw[[#This Row],[33 kV_Wind_F1_Export reading]]-CJ57)*1200,0)</f>
        <v>44400</v>
      </c>
      <c r="CS58" s="148">
        <f>IF(((Input_Raw[[#This Row],[33 kV_Wind_F1_Import reading]]-CK57)*1200)&gt;0,(Input_Raw[[#This Row],[33 kV_Wind_F1_Import reading]]-CK57)*1200,0)</f>
        <v>1200</v>
      </c>
      <c r="CT58" s="148">
        <f>IF(((Input_Raw[[#This Row],[33 kV_Wind_F2_Export_reading]]-CL57)*1200)&gt;0,(Input_Raw[[#This Row],[33 kV_Wind_F2_Export_reading]]-CL57)*1200,0)</f>
        <v>43200</v>
      </c>
      <c r="CU58" s="148">
        <f>IF(((Input_Raw[[#This Row],[33 kV_Wind_F2_Import_reading]]-CM57)*1200)&gt;0,(Input_Raw[[#This Row],[33 kV_Wind_F2_Import_reading]]-CM57)*1200,0)</f>
        <v>1200</v>
      </c>
      <c r="CV58" s="148">
        <f>IF(((Input_Raw[[#This Row],[33 kV_Wind_F3_Export_Reading]]-CN57)*1200)&gt;0,(Input_Raw[[#This Row],[33 kV_Wind_F3_Export_Reading]]-CN57)*1200,0)</f>
        <v>49200</v>
      </c>
      <c r="CW58" s="148">
        <f>IF(((Input_Raw[[#This Row],[33 kV_Wind_F3_Import_Reading]]-CO57)*1200)&gt;0,(Input_Raw[[#This Row],[33 kV_Wind_F3_Import_Reading]]-CO57)*1200,0)</f>
        <v>1200</v>
      </c>
      <c r="CX58" s="148">
        <f>IF(((Input_Raw[[#This Row],[33 kV_Wind_F4_Export Reading]]-CP57)*1200)&gt;0,(Input_Raw[[#This Row],[33 kV_Wind_F4_Export Reading]]-CP57)*1200,0)</f>
        <v>50400</v>
      </c>
      <c r="CY58" s="148">
        <f>IF(((Input_Raw[[#This Row],[33 kV_Wind_F4_Import Reading]]-CQ57)*1200)&gt;0,(Input_Raw[[#This Row],[33 kV_Wind_F4_Import Reading]]-CQ57)*1200,0)</f>
        <v>1200</v>
      </c>
      <c r="CZ58" s="148">
        <f>Input_Raw[[#This Row],[33 kV_F1_Total_Export (KWh)]]+Input_Raw[[#This Row],[33 kV_F2_Total_Export (KWh)2]]+Input_Raw[[#This Row],[33 kV_Wind_F3_Export (KWh)]]+Input_Raw[[#This Row],[33 kV_Wind_F4_Export (KWh)]]</f>
        <v>187200</v>
      </c>
      <c r="DA58" s="148">
        <f>Input_Raw[[#This Row],[33 kV_Wind_F1_Import (KWh)]]+Input_Raw[[#This Row],[33 kV_Wind_F2_Import (KWh)]]+Input_Raw[[#This Row],[33 kV_Wind_F3_Import (KWh)2]]+Input_Raw[[#This Row],[33 kV_Wind_F4_Import (KWh)2]]</f>
        <v>4800</v>
      </c>
      <c r="DB58" s="21">
        <f>IFERROR(1-Input_Raw[[#This Row],[33 kV_Wind_Total_Export (KWh)]]/Input_Raw[[#This Row],[WTG Total Gneration (KWh)]],0)</f>
        <v>2.3591327070826118E-2</v>
      </c>
      <c r="DC58" s="161">
        <v>96</v>
      </c>
      <c r="DD58" s="161">
        <v>9688</v>
      </c>
      <c r="DE58" s="163">
        <v>191.73</v>
      </c>
      <c r="DF58" s="160"/>
      <c r="DG58" s="162">
        <v>78</v>
      </c>
      <c r="DH58" s="281" t="s">
        <v>381</v>
      </c>
    </row>
    <row r="59" spans="1:112">
      <c r="A59" s="20">
        <f t="shared" si="6"/>
        <v>45799</v>
      </c>
      <c r="B59" s="12">
        <f>YEAR(Input_Raw[[#This Row],[Date]])+IF(MONTH(Input_Raw[[#This Row],[Date]])&gt;=4,1,0)</f>
        <v>2026</v>
      </c>
      <c r="C59" s="13">
        <f>YEAR(Input_Raw[[#This Row],[Date]])</f>
        <v>2025</v>
      </c>
      <c r="D59" s="14">
        <f t="shared" si="5"/>
        <v>45778</v>
      </c>
      <c r="E59" s="13">
        <f>DAY(EOMONTH(Input_Raw[[#This Row],[Date]],0))</f>
        <v>31</v>
      </c>
      <c r="F59" s="15">
        <v>6537</v>
      </c>
      <c r="G59" s="15">
        <v>6585</v>
      </c>
      <c r="H59" s="15">
        <v>6279</v>
      </c>
      <c r="I59" s="15">
        <v>6263</v>
      </c>
      <c r="J59" s="15">
        <v>8296</v>
      </c>
      <c r="K59" s="15">
        <v>6578</v>
      </c>
      <c r="L59" s="15">
        <v>6542</v>
      </c>
      <c r="M59" s="15">
        <v>6545</v>
      </c>
      <c r="N59" s="15">
        <v>9753</v>
      </c>
      <c r="O59" s="15">
        <v>6567</v>
      </c>
      <c r="P59" s="15">
        <v>6582</v>
      </c>
      <c r="Q59" s="15">
        <v>9745</v>
      </c>
      <c r="R59" s="15">
        <v>9746</v>
      </c>
      <c r="S59" s="15">
        <v>9723</v>
      </c>
      <c r="T59" s="15">
        <v>9748</v>
      </c>
      <c r="U59" s="15">
        <v>9752</v>
      </c>
      <c r="V59" s="15">
        <v>9758</v>
      </c>
      <c r="W59" s="15">
        <v>9742</v>
      </c>
      <c r="X59" s="15">
        <v>9772</v>
      </c>
      <c r="Y59" s="15">
        <v>9784</v>
      </c>
      <c r="Z59" s="15">
        <v>8833</v>
      </c>
      <c r="AA59" s="15">
        <v>8842</v>
      </c>
      <c r="AB59" s="15">
        <v>8829</v>
      </c>
      <c r="AC59" s="15">
        <v>8835</v>
      </c>
      <c r="AD59" s="15">
        <v>6041</v>
      </c>
      <c r="AE59" s="15">
        <v>8846</v>
      </c>
      <c r="AF59" s="15">
        <v>8852</v>
      </c>
      <c r="AG59" s="15">
        <v>0</v>
      </c>
      <c r="AH59" s="15">
        <v>8853</v>
      </c>
      <c r="AI59" s="15">
        <v>0</v>
      </c>
      <c r="AJ59" s="15">
        <v>5885</v>
      </c>
      <c r="AK59" s="15">
        <v>6046</v>
      </c>
      <c r="AL59" s="15">
        <v>6042</v>
      </c>
      <c r="AM59" s="15">
        <v>6055</v>
      </c>
      <c r="AN59" s="15">
        <v>6057</v>
      </c>
      <c r="AO59" s="15">
        <v>6048</v>
      </c>
      <c r="AP59" s="15">
        <v>5564</v>
      </c>
      <c r="AQ59" s="15">
        <v>6049</v>
      </c>
      <c r="AR59" s="15">
        <v>6067</v>
      </c>
      <c r="AS59" s="16">
        <v>4.8499999999999996</v>
      </c>
      <c r="AT59" s="16">
        <v>5.26</v>
      </c>
      <c r="AU59" s="16">
        <v>4.68</v>
      </c>
      <c r="AV59" s="16">
        <v>5.05</v>
      </c>
      <c r="AW59" s="16">
        <v>5</v>
      </c>
      <c r="AX59" s="16">
        <v>5.1100000000000003</v>
      </c>
      <c r="AY59" s="16">
        <v>4.84</v>
      </c>
      <c r="AZ59" s="16">
        <v>4.4800000000000004</v>
      </c>
      <c r="BA59" s="16">
        <v>5.09</v>
      </c>
      <c r="BB59" s="16">
        <v>4.83</v>
      </c>
      <c r="BC59" s="16">
        <v>5.29</v>
      </c>
      <c r="BD59" s="16">
        <v>5.04</v>
      </c>
      <c r="BE59" s="16">
        <v>5.15</v>
      </c>
      <c r="BF59" s="16">
        <v>5.24</v>
      </c>
      <c r="BG59" s="16">
        <v>4.99</v>
      </c>
      <c r="BH59" s="16">
        <v>5.44</v>
      </c>
      <c r="BI59" s="16">
        <v>4.96</v>
      </c>
      <c r="BJ59" s="16">
        <v>5.48</v>
      </c>
      <c r="BK59" s="16">
        <v>5.43</v>
      </c>
      <c r="BL59" s="16">
        <v>5.67</v>
      </c>
      <c r="BM59" s="16">
        <v>0</v>
      </c>
      <c r="BN59" s="16">
        <v>5.29</v>
      </c>
      <c r="BO59" s="16">
        <v>4.82</v>
      </c>
      <c r="BP59" s="16">
        <v>5.04</v>
      </c>
      <c r="BQ59" s="16">
        <v>5.32</v>
      </c>
      <c r="BR59" s="16">
        <v>5.01</v>
      </c>
      <c r="BS59" s="16">
        <v>5.03</v>
      </c>
      <c r="BT59" s="16" t="s">
        <v>382</v>
      </c>
      <c r="BU59" s="16">
        <v>4.8099999999999996</v>
      </c>
      <c r="BV59" s="16">
        <v>0</v>
      </c>
      <c r="BW59" s="16">
        <v>4.95</v>
      </c>
      <c r="BX59" s="16">
        <v>5.01</v>
      </c>
      <c r="BY59" s="16">
        <v>4.99</v>
      </c>
      <c r="BZ59" s="16">
        <v>5.16</v>
      </c>
      <c r="CA59" s="16">
        <v>5.21</v>
      </c>
      <c r="CB59" s="16">
        <v>4.87</v>
      </c>
      <c r="CC59" s="16">
        <v>5.18</v>
      </c>
      <c r="CD59" s="16">
        <v>4.8499999999999996</v>
      </c>
      <c r="CE59" s="16">
        <v>5.19</v>
      </c>
      <c r="CF59" s="17">
        <f>SUM(Input_Raw[[#This Row],[G01]:[G40]])</f>
        <v>286041</v>
      </c>
      <c r="CG59" s="18">
        <f>IFERROR(AVERAGE(Input_Raw[[#This Row],[WS_G01]:[WS_G40]]),"")</f>
        <v>4.8055263157894732</v>
      </c>
      <c r="CH59" s="19"/>
      <c r="CI59" s="19"/>
      <c r="CJ59" s="15">
        <v>240941</v>
      </c>
      <c r="CK59" s="15">
        <v>2185</v>
      </c>
      <c r="CL59" s="15">
        <v>280858</v>
      </c>
      <c r="CM59" s="15">
        <v>2212</v>
      </c>
      <c r="CN59" s="15">
        <v>257037</v>
      </c>
      <c r="CO59" s="15">
        <v>1820</v>
      </c>
      <c r="CP59" s="15">
        <v>293032</v>
      </c>
      <c r="CQ59" s="15">
        <v>1866</v>
      </c>
      <c r="CR59" s="148">
        <f>IF(((Input_Raw[[#This Row],[33 kV_Wind_F1_Export reading]]-CJ58)*1200)&gt;0,(Input_Raw[[#This Row],[33 kV_Wind_F1_Export reading]]-CJ58)*1200,0)</f>
        <v>58800</v>
      </c>
      <c r="CS59" s="148">
        <f>IF(((Input_Raw[[#This Row],[33 kV_Wind_F1_Import reading]]-CK58)*1200)&gt;0,(Input_Raw[[#This Row],[33 kV_Wind_F1_Import reading]]-CK58)*1200,0)</f>
        <v>1200</v>
      </c>
      <c r="CT59" s="148">
        <f>IF(((Input_Raw[[#This Row],[33 kV_Wind_F2_Export_reading]]-CL58)*1200)&gt;0,(Input_Raw[[#This Row],[33 kV_Wind_F2_Export_reading]]-CL58)*1200,0)</f>
        <v>69600</v>
      </c>
      <c r="CU59" s="148">
        <f>IF(((Input_Raw[[#This Row],[33 kV_Wind_F2_Import_reading]]-CM58)*1200)&gt;0,(Input_Raw[[#This Row],[33 kV_Wind_F2_Import_reading]]-CM58)*1200,0)</f>
        <v>1200</v>
      </c>
      <c r="CV59" s="148">
        <f>IF(((Input_Raw[[#This Row],[33 kV_Wind_F3_Export_Reading]]-CN58)*1200)&gt;0,(Input_Raw[[#This Row],[33 kV_Wind_F3_Export_Reading]]-CN58)*1200,0)</f>
        <v>60000</v>
      </c>
      <c r="CW59" s="148">
        <f>IF(((Input_Raw[[#This Row],[33 kV_Wind_F3_Import_Reading]]-CO58)*1200)&gt;0,(Input_Raw[[#This Row],[33 kV_Wind_F3_Import_Reading]]-CO58)*1200,0)</f>
        <v>1200</v>
      </c>
      <c r="CX59" s="148">
        <f>IF(((Input_Raw[[#This Row],[33 kV_Wind_F4_Export Reading]]-CP58)*1200)&gt;0,(Input_Raw[[#This Row],[33 kV_Wind_F4_Export Reading]]-CP58)*1200,0)</f>
        <v>97200</v>
      </c>
      <c r="CY59" s="148">
        <f>IF(((Input_Raw[[#This Row],[33 kV_Wind_F4_Import Reading]]-CQ58)*1200)&gt;0,(Input_Raw[[#This Row],[33 kV_Wind_F4_Import Reading]]-CQ58)*1200,0)</f>
        <v>1200</v>
      </c>
      <c r="CZ59" s="148">
        <f>Input_Raw[[#This Row],[33 kV_F1_Total_Export (KWh)]]+Input_Raw[[#This Row],[33 kV_F2_Total_Export (KWh)2]]+Input_Raw[[#This Row],[33 kV_Wind_F3_Export (KWh)]]+Input_Raw[[#This Row],[33 kV_Wind_F4_Export (KWh)]]</f>
        <v>285600</v>
      </c>
      <c r="DA59" s="148">
        <f>Input_Raw[[#This Row],[33 kV_Wind_F1_Import (KWh)]]+Input_Raw[[#This Row],[33 kV_Wind_F2_Import (KWh)]]+Input_Raw[[#This Row],[33 kV_Wind_F3_Import (KWh)2]]+Input_Raw[[#This Row],[33 kV_Wind_F4_Import (KWh)2]]</f>
        <v>4800</v>
      </c>
      <c r="DB59" s="21">
        <f>IFERROR(1-Input_Raw[[#This Row],[33 kV_Wind_Total_Export (KWh)]]/Input_Raw[[#This Row],[WTG Total Gneration (KWh)]],0)</f>
        <v>1.5417370237134076E-3</v>
      </c>
      <c r="DC59" s="161">
        <v>96</v>
      </c>
      <c r="DD59" s="161">
        <v>3218</v>
      </c>
      <c r="DE59" s="163">
        <v>286.08</v>
      </c>
      <c r="DF59" s="160"/>
      <c r="DG59" s="162">
        <v>78</v>
      </c>
      <c r="DH59" s="281" t="s">
        <v>381</v>
      </c>
    </row>
    <row r="60" spans="1:112">
      <c r="A60" s="20">
        <f t="shared" si="6"/>
        <v>45800</v>
      </c>
      <c r="B60" s="12">
        <f>YEAR(Input_Raw[[#This Row],[Date]])+IF(MONTH(Input_Raw[[#This Row],[Date]])&gt;=4,1,0)</f>
        <v>2026</v>
      </c>
      <c r="C60" s="13">
        <f>YEAR(Input_Raw[[#This Row],[Date]])</f>
        <v>2025</v>
      </c>
      <c r="D60" s="14">
        <f t="shared" si="5"/>
        <v>45778</v>
      </c>
      <c r="E60" s="13">
        <f>DAY(EOMONTH(Input_Raw[[#This Row],[Date]],0))</f>
        <v>31</v>
      </c>
      <c r="F60" s="15">
        <v>2801</v>
      </c>
      <c r="G60" s="15">
        <v>2812</v>
      </c>
      <c r="H60" s="15">
        <v>2817</v>
      </c>
      <c r="I60" s="15">
        <v>2814</v>
      </c>
      <c r="J60" s="15">
        <v>2032</v>
      </c>
      <c r="K60" s="15">
        <v>2801</v>
      </c>
      <c r="L60" s="15">
        <v>2809</v>
      </c>
      <c r="M60" s="15">
        <v>2816</v>
      </c>
      <c r="N60" s="15">
        <v>3103</v>
      </c>
      <c r="O60" s="15">
        <v>2832</v>
      </c>
      <c r="P60" s="15">
        <v>2840</v>
      </c>
      <c r="Q60" s="15">
        <v>3108</v>
      </c>
      <c r="R60" s="15">
        <v>3107</v>
      </c>
      <c r="S60" s="15">
        <v>3118</v>
      </c>
      <c r="T60" s="15">
        <v>3001</v>
      </c>
      <c r="U60" s="15">
        <v>3109</v>
      </c>
      <c r="V60" s="15">
        <v>3111</v>
      </c>
      <c r="W60" s="15">
        <v>3104</v>
      </c>
      <c r="X60" s="15">
        <v>3128</v>
      </c>
      <c r="Y60" s="15">
        <v>3135</v>
      </c>
      <c r="Z60" s="15">
        <v>2045</v>
      </c>
      <c r="AA60" s="15">
        <v>2042</v>
      </c>
      <c r="AB60" s="15">
        <v>2007</v>
      </c>
      <c r="AC60" s="15">
        <v>2021</v>
      </c>
      <c r="AD60" s="15">
        <v>1521</v>
      </c>
      <c r="AE60" s="15">
        <v>2014</v>
      </c>
      <c r="AF60" s="15">
        <v>2038</v>
      </c>
      <c r="AG60" s="15">
        <v>0</v>
      </c>
      <c r="AH60" s="15">
        <v>2042</v>
      </c>
      <c r="AI60" s="15">
        <v>0</v>
      </c>
      <c r="AJ60" s="15">
        <v>1532</v>
      </c>
      <c r="AK60" s="15">
        <v>1542</v>
      </c>
      <c r="AL60" s="15">
        <v>1526</v>
      </c>
      <c r="AM60" s="15">
        <v>1535</v>
      </c>
      <c r="AN60" s="15">
        <v>1542</v>
      </c>
      <c r="AO60" s="15">
        <v>1540</v>
      </c>
      <c r="AP60" s="15">
        <v>1538</v>
      </c>
      <c r="AQ60" s="15">
        <v>1539</v>
      </c>
      <c r="AR60" s="15">
        <v>1542</v>
      </c>
      <c r="AS60" s="16">
        <v>3.1604649999999999</v>
      </c>
      <c r="AT60" s="16">
        <v>3.5607857142857156</v>
      </c>
      <c r="AU60" s="16">
        <v>3.1150642857142858</v>
      </c>
      <c r="AV60" s="16">
        <v>3.3498214285714289</v>
      </c>
      <c r="AW60" s="16">
        <v>3.3268703389830518</v>
      </c>
      <c r="AX60" s="16">
        <v>3.19943165467626</v>
      </c>
      <c r="AY60" s="16">
        <v>3.1126521739130437</v>
      </c>
      <c r="AZ60" s="16">
        <v>3.3074779411764714</v>
      </c>
      <c r="BA60" s="16">
        <v>3.3207647058823522</v>
      </c>
      <c r="BB60" s="16">
        <v>2.8658962962962966</v>
      </c>
      <c r="BC60" s="16">
        <v>3.1958955223880592</v>
      </c>
      <c r="BD60" s="16">
        <v>3.2101954887218032</v>
      </c>
      <c r="BE60" s="16">
        <v>3.4380946969696962</v>
      </c>
      <c r="BF60" s="16">
        <v>3.1363816793893138</v>
      </c>
      <c r="BG60" s="16">
        <v>3.1875307692307708</v>
      </c>
      <c r="BH60" s="16">
        <v>3.02</v>
      </c>
      <c r="BI60" s="16">
        <v>3.2244062500000004</v>
      </c>
      <c r="BJ60" s="16">
        <v>3.1801574803149606</v>
      </c>
      <c r="BK60" s="16">
        <v>3.1785396825396823</v>
      </c>
      <c r="BL60" s="16">
        <v>3.0891760000000019</v>
      </c>
      <c r="BM60" s="16">
        <v>3.3396568627450995</v>
      </c>
      <c r="BN60" s="16">
        <v>3.3299801980198023</v>
      </c>
      <c r="BO60" s="16">
        <v>3.1536669999999987</v>
      </c>
      <c r="BP60" s="16">
        <v>2.9715846938775519</v>
      </c>
      <c r="BQ60" s="16">
        <v>3.1007329896907221</v>
      </c>
      <c r="BR60" s="16">
        <v>2.7795312500000002</v>
      </c>
      <c r="BS60" s="16">
        <v>3.1705336842105267</v>
      </c>
      <c r="BT60" s="16">
        <v>0</v>
      </c>
      <c r="BU60" s="16">
        <v>3.0810967741935489</v>
      </c>
      <c r="BV60" s="16">
        <v>0</v>
      </c>
      <c r="BW60" s="16">
        <v>3.1179021978021968</v>
      </c>
      <c r="BX60" s="16">
        <v>2.8481661290322582</v>
      </c>
      <c r="BY60" s="16">
        <v>2.9089775280898884</v>
      </c>
      <c r="BZ60" s="16">
        <v>3.1530829545454537</v>
      </c>
      <c r="CA60" s="16">
        <v>3.0023655172413792</v>
      </c>
      <c r="CB60" s="16">
        <v>3.1489511627906976</v>
      </c>
      <c r="CC60" s="16">
        <v>3.0592047058823537</v>
      </c>
      <c r="CD60" s="16">
        <v>3.2</v>
      </c>
      <c r="CE60" s="16">
        <v>3.0888108433734929</v>
      </c>
      <c r="CF60" s="17">
        <f>SUM(Input_Raw[[#This Row],[G01]:[G40]])</f>
        <v>87964</v>
      </c>
      <c r="CG60" s="18">
        <f>IFERROR(AVERAGE(Input_Raw[[#This Row],[WS_G01]:[WS_G40]]),"")</f>
        <v>2.9906115795012349</v>
      </c>
      <c r="CH60" s="19"/>
      <c r="CI60" s="19"/>
      <c r="CJ60" s="15">
        <v>240953</v>
      </c>
      <c r="CK60" s="15">
        <v>2186</v>
      </c>
      <c r="CL60" s="15">
        <v>280871</v>
      </c>
      <c r="CM60" s="15">
        <v>2213</v>
      </c>
      <c r="CN60" s="15">
        <v>257057</v>
      </c>
      <c r="CO60" s="15">
        <v>1821</v>
      </c>
      <c r="CP60" s="15">
        <v>293057</v>
      </c>
      <c r="CQ60" s="15">
        <v>1867</v>
      </c>
      <c r="CR60" s="148">
        <f>IF(((Input_Raw[[#This Row],[33 kV_Wind_F1_Export reading]]-CJ59)*1200)&gt;0,(Input_Raw[[#This Row],[33 kV_Wind_F1_Export reading]]-CJ59)*1200,0)</f>
        <v>14400</v>
      </c>
      <c r="CS60" s="148">
        <f>IF(((Input_Raw[[#This Row],[33 kV_Wind_F1_Import reading]]-CK59)*1200)&gt;0,(Input_Raw[[#This Row],[33 kV_Wind_F1_Import reading]]-CK59)*1200,0)</f>
        <v>1200</v>
      </c>
      <c r="CT60" s="148">
        <f>IF(((Input_Raw[[#This Row],[33 kV_Wind_F2_Export_reading]]-CL59)*1200)&gt;0,(Input_Raw[[#This Row],[33 kV_Wind_F2_Export_reading]]-CL59)*1200,0)</f>
        <v>15600</v>
      </c>
      <c r="CU60" s="148">
        <f>IF(((Input_Raw[[#This Row],[33 kV_Wind_F2_Import_reading]]-CM59)*1200)&gt;0,(Input_Raw[[#This Row],[33 kV_Wind_F2_Import_reading]]-CM59)*1200,0)</f>
        <v>1200</v>
      </c>
      <c r="CV60" s="148">
        <f>IF(((Input_Raw[[#This Row],[33 kV_Wind_F3_Export_Reading]]-CN59)*1200)&gt;0,(Input_Raw[[#This Row],[33 kV_Wind_F3_Export_Reading]]-CN59)*1200,0)</f>
        <v>24000</v>
      </c>
      <c r="CW60" s="148">
        <f>IF(((Input_Raw[[#This Row],[33 kV_Wind_F3_Import_Reading]]-CO59)*1200)&gt;0,(Input_Raw[[#This Row],[33 kV_Wind_F3_Import_Reading]]-CO59)*1200,0)</f>
        <v>1200</v>
      </c>
      <c r="CX60" s="148">
        <f>IF(((Input_Raw[[#This Row],[33 kV_Wind_F4_Export Reading]]-CP59)*1200)&gt;0,(Input_Raw[[#This Row],[33 kV_Wind_F4_Export Reading]]-CP59)*1200,0)</f>
        <v>30000</v>
      </c>
      <c r="CY60" s="148">
        <f>IF(((Input_Raw[[#This Row],[33 kV_Wind_F4_Import Reading]]-CQ59)*1200)&gt;0,(Input_Raw[[#This Row],[33 kV_Wind_F4_Import Reading]]-CQ59)*1200,0)</f>
        <v>1200</v>
      </c>
      <c r="CZ60" s="148">
        <f>Input_Raw[[#This Row],[33 kV_F1_Total_Export (KWh)]]+Input_Raw[[#This Row],[33 kV_F2_Total_Export (KWh)2]]+Input_Raw[[#This Row],[33 kV_Wind_F3_Export (KWh)]]+Input_Raw[[#This Row],[33 kV_Wind_F4_Export (KWh)]]</f>
        <v>84000</v>
      </c>
      <c r="DA60" s="148">
        <f>Input_Raw[[#This Row],[33 kV_Wind_F1_Import (KWh)]]+Input_Raw[[#This Row],[33 kV_Wind_F2_Import (KWh)]]+Input_Raw[[#This Row],[33 kV_Wind_F3_Import (KWh)2]]+Input_Raw[[#This Row],[33 kV_Wind_F4_Import (KWh)2]]</f>
        <v>4800</v>
      </c>
      <c r="DB60" s="21">
        <f>IFERROR(1-Input_Raw[[#This Row],[33 kV_Wind_Total_Export (KWh)]]/Input_Raw[[#This Row],[WTG Total Gneration (KWh)]],0)</f>
        <v>4.506388977308895E-2</v>
      </c>
      <c r="DC60" s="161">
        <v>96</v>
      </c>
      <c r="DD60" s="161">
        <v>45073</v>
      </c>
      <c r="DE60" s="163">
        <v>87.96</v>
      </c>
      <c r="DF60" s="160"/>
      <c r="DG60" s="162">
        <v>78</v>
      </c>
      <c r="DH60" s="281" t="s">
        <v>381</v>
      </c>
    </row>
    <row r="61" spans="1:112">
      <c r="A61" s="20">
        <f t="shared" si="6"/>
        <v>45801</v>
      </c>
      <c r="B61" s="12">
        <f>YEAR(Input_Raw[[#This Row],[Date]])+IF(MONTH(Input_Raw[[#This Row],[Date]])&gt;=4,1,0)</f>
        <v>2026</v>
      </c>
      <c r="C61" s="13">
        <f>YEAR(Input_Raw[[#This Row],[Date]])</f>
        <v>2025</v>
      </c>
      <c r="D61" s="14">
        <f t="shared" si="5"/>
        <v>45778</v>
      </c>
      <c r="E61" s="13">
        <f>DAY(EOMONTH(Input_Raw[[#This Row],[Date]],0))</f>
        <v>31</v>
      </c>
      <c r="F61" s="15">
        <v>7042</v>
      </c>
      <c r="G61" s="15">
        <v>7032</v>
      </c>
      <c r="H61" s="15">
        <v>7021</v>
      </c>
      <c r="I61" s="15">
        <v>7022</v>
      </c>
      <c r="J61" s="15">
        <v>7732</v>
      </c>
      <c r="K61" s="15">
        <v>7053</v>
      </c>
      <c r="L61" s="15">
        <v>7043</v>
      </c>
      <c r="M61" s="15">
        <v>7033</v>
      </c>
      <c r="N61" s="15">
        <v>7342</v>
      </c>
      <c r="O61" s="15">
        <v>7057</v>
      </c>
      <c r="P61" s="15">
        <v>7069</v>
      </c>
      <c r="Q61" s="15">
        <v>7352</v>
      </c>
      <c r="R61" s="15">
        <v>7347</v>
      </c>
      <c r="S61" s="15">
        <v>7349</v>
      </c>
      <c r="T61" s="15">
        <v>7354</v>
      </c>
      <c r="U61" s="15">
        <v>6521</v>
      </c>
      <c r="V61" s="15">
        <v>7365</v>
      </c>
      <c r="W61" s="15">
        <v>7359</v>
      </c>
      <c r="X61" s="15">
        <v>7387</v>
      </c>
      <c r="Y61" s="15">
        <v>7395</v>
      </c>
      <c r="Z61" s="15">
        <v>7768</v>
      </c>
      <c r="AA61" s="15">
        <v>7758</v>
      </c>
      <c r="AB61" s="15">
        <v>7743</v>
      </c>
      <c r="AC61" s="15">
        <v>7728</v>
      </c>
      <c r="AD61" s="15">
        <v>5831</v>
      </c>
      <c r="AE61" s="15">
        <v>7721</v>
      </c>
      <c r="AF61" s="15">
        <v>7772</v>
      </c>
      <c r="AG61" s="15">
        <v>0</v>
      </c>
      <c r="AH61" s="15">
        <v>7787</v>
      </c>
      <c r="AI61" s="15">
        <v>0</v>
      </c>
      <c r="AJ61" s="15">
        <v>6467</v>
      </c>
      <c r="AK61" s="15">
        <v>6457</v>
      </c>
      <c r="AL61" s="15">
        <v>6043</v>
      </c>
      <c r="AM61" s="15">
        <v>6452</v>
      </c>
      <c r="AN61" s="15">
        <v>6456</v>
      </c>
      <c r="AO61" s="15">
        <v>6451</v>
      </c>
      <c r="AP61" s="15">
        <v>6458</v>
      </c>
      <c r="AQ61" s="15">
        <v>6487</v>
      </c>
      <c r="AR61" s="15">
        <v>6466</v>
      </c>
      <c r="AS61" s="16">
        <v>4.8499999999999996</v>
      </c>
      <c r="AT61" s="16">
        <v>5.26</v>
      </c>
      <c r="AU61" s="16">
        <v>4.68</v>
      </c>
      <c r="AV61" s="16">
        <v>5.05</v>
      </c>
      <c r="AW61" s="16">
        <v>5</v>
      </c>
      <c r="AX61" s="16">
        <v>5.1100000000000003</v>
      </c>
      <c r="AY61" s="16">
        <v>4.84</v>
      </c>
      <c r="AZ61" s="16">
        <v>4.4800000000000004</v>
      </c>
      <c r="BA61" s="16">
        <v>5.09</v>
      </c>
      <c r="BB61" s="16">
        <v>4.83</v>
      </c>
      <c r="BC61" s="16">
        <v>5.29</v>
      </c>
      <c r="BD61" s="16">
        <v>5.04</v>
      </c>
      <c r="BE61" s="16">
        <v>5.15</v>
      </c>
      <c r="BF61" s="16">
        <v>5.24</v>
      </c>
      <c r="BG61" s="16">
        <v>4.99</v>
      </c>
      <c r="BH61" s="16">
        <v>5.44</v>
      </c>
      <c r="BI61" s="16">
        <v>4.96</v>
      </c>
      <c r="BJ61" s="16">
        <v>5.48</v>
      </c>
      <c r="BK61" s="16">
        <v>5.43</v>
      </c>
      <c r="BL61" s="16">
        <v>5.67</v>
      </c>
      <c r="BM61" s="16">
        <v>0</v>
      </c>
      <c r="BN61" s="16">
        <v>5.29</v>
      </c>
      <c r="BO61" s="16">
        <v>4.82</v>
      </c>
      <c r="BP61" s="16">
        <v>5.04</v>
      </c>
      <c r="BQ61" s="16">
        <v>5.32</v>
      </c>
      <c r="BR61" s="16">
        <v>5.01</v>
      </c>
      <c r="BS61" s="16">
        <v>5.03</v>
      </c>
      <c r="BT61" s="16">
        <v>0</v>
      </c>
      <c r="BU61" s="16">
        <v>4.8099999999999996</v>
      </c>
      <c r="BV61" s="16">
        <v>0</v>
      </c>
      <c r="BW61" s="16">
        <v>4.95</v>
      </c>
      <c r="BX61" s="16">
        <v>5.01</v>
      </c>
      <c r="BY61" s="16">
        <v>4.99</v>
      </c>
      <c r="BZ61" s="16">
        <v>5.16</v>
      </c>
      <c r="CA61" s="16">
        <v>5.21</v>
      </c>
      <c r="CB61" s="16">
        <v>4.87</v>
      </c>
      <c r="CC61" s="16">
        <v>5.18</v>
      </c>
      <c r="CD61" s="16">
        <v>4.8499999999999996</v>
      </c>
      <c r="CE61" s="16">
        <v>5.19</v>
      </c>
      <c r="CF61" s="17">
        <f>SUM(Input_Raw[[#This Row],[G01]:[G40]])</f>
        <v>261720</v>
      </c>
      <c r="CG61" s="18">
        <f>IFERROR(AVERAGE(Input_Raw[[#This Row],[WS_G01]:[WS_G40]]),"")</f>
        <v>4.6823076923076918</v>
      </c>
      <c r="CH61" s="19"/>
      <c r="CI61" s="19"/>
      <c r="CJ61" s="15">
        <v>241005</v>
      </c>
      <c r="CK61" s="15">
        <v>2187</v>
      </c>
      <c r="CL61" s="15">
        <v>280922</v>
      </c>
      <c r="CM61" s="15">
        <v>2214</v>
      </c>
      <c r="CN61" s="15">
        <v>257109</v>
      </c>
      <c r="CO61" s="15">
        <v>1822</v>
      </c>
      <c r="CP61" s="15">
        <v>293117</v>
      </c>
      <c r="CQ61" s="15">
        <v>1867</v>
      </c>
      <c r="CR61" s="148">
        <f>IF(((Input_Raw[[#This Row],[33 kV_Wind_F1_Export reading]]-CJ60)*1200)&gt;0,(Input_Raw[[#This Row],[33 kV_Wind_F1_Export reading]]-CJ60)*1200,0)</f>
        <v>62400</v>
      </c>
      <c r="CS61" s="148">
        <f>IF(((Input_Raw[[#This Row],[33 kV_Wind_F1_Import reading]]-CK60)*1200)&gt;0,(Input_Raw[[#This Row],[33 kV_Wind_F1_Import reading]]-CK60)*1200,0)</f>
        <v>1200</v>
      </c>
      <c r="CT61" s="148">
        <f>IF(((Input_Raw[[#This Row],[33 kV_Wind_F2_Export_reading]]-CL60)*1200)&gt;0,(Input_Raw[[#This Row],[33 kV_Wind_F2_Export_reading]]-CL60)*1200,0)</f>
        <v>61200</v>
      </c>
      <c r="CU61" s="148">
        <f>IF(((Input_Raw[[#This Row],[33 kV_Wind_F2_Import_reading]]-CM60)*1200)&gt;0,(Input_Raw[[#This Row],[33 kV_Wind_F2_Import_reading]]-CM60)*1200,0)</f>
        <v>1200</v>
      </c>
      <c r="CV61" s="148">
        <f>IF(((Input_Raw[[#This Row],[33 kV_Wind_F3_Export_Reading]]-CN60)*1200)&gt;0,(Input_Raw[[#This Row],[33 kV_Wind_F3_Export_Reading]]-CN60)*1200,0)</f>
        <v>62400</v>
      </c>
      <c r="CW61" s="148">
        <f>IF(((Input_Raw[[#This Row],[33 kV_Wind_F3_Import_Reading]]-CO60)*1200)&gt;0,(Input_Raw[[#This Row],[33 kV_Wind_F3_Import_Reading]]-CO60)*1200,0)</f>
        <v>1200</v>
      </c>
      <c r="CX61" s="148">
        <f>IF(((Input_Raw[[#This Row],[33 kV_Wind_F4_Export Reading]]-CP60)*1200)&gt;0,(Input_Raw[[#This Row],[33 kV_Wind_F4_Export Reading]]-CP60)*1200,0)</f>
        <v>72000</v>
      </c>
      <c r="CY61" s="148">
        <f>IF(((Input_Raw[[#This Row],[33 kV_Wind_F4_Import Reading]]-CQ60)*1200)&gt;0,(Input_Raw[[#This Row],[33 kV_Wind_F4_Import Reading]]-CQ60)*1200,0)</f>
        <v>0</v>
      </c>
      <c r="CZ61" s="148">
        <f>Input_Raw[[#This Row],[33 kV_F1_Total_Export (KWh)]]+Input_Raw[[#This Row],[33 kV_F2_Total_Export (KWh)2]]+Input_Raw[[#This Row],[33 kV_Wind_F3_Export (KWh)]]+Input_Raw[[#This Row],[33 kV_Wind_F4_Export (KWh)]]</f>
        <v>258000</v>
      </c>
      <c r="DA61" s="148">
        <f>Input_Raw[[#This Row],[33 kV_Wind_F1_Import (KWh)]]+Input_Raw[[#This Row],[33 kV_Wind_F2_Import (KWh)]]+Input_Raw[[#This Row],[33 kV_Wind_F3_Import (KWh)2]]+Input_Raw[[#This Row],[33 kV_Wind_F4_Import (KWh)2]]</f>
        <v>3600</v>
      </c>
      <c r="DB61" s="21">
        <f>IFERROR(1-Input_Raw[[#This Row],[33 kV_Wind_Total_Export (KWh)]]/Input_Raw[[#This Row],[WTG Total Gneration (KWh)]],0)</f>
        <v>1.421366345712971E-2</v>
      </c>
      <c r="DC61" s="161">
        <v>96</v>
      </c>
      <c r="DD61" s="161">
        <v>54003</v>
      </c>
      <c r="DE61" s="163">
        <v>261.72000000000003</v>
      </c>
      <c r="DF61" s="160"/>
      <c r="DG61" s="162">
        <v>78</v>
      </c>
      <c r="DH61" s="281" t="s">
        <v>381</v>
      </c>
    </row>
    <row r="62" spans="1:112">
      <c r="A62" s="20">
        <f t="shared" si="6"/>
        <v>45802</v>
      </c>
      <c r="B62" s="12">
        <f>YEAR(Input_Raw[[#This Row],[Date]])+IF(MONTH(Input_Raw[[#This Row],[Date]])&gt;=4,1,0)</f>
        <v>2026</v>
      </c>
      <c r="C62" s="13">
        <f>YEAR(Input_Raw[[#This Row],[Date]])</f>
        <v>2025</v>
      </c>
      <c r="D62" s="14">
        <f t="shared" si="5"/>
        <v>45778</v>
      </c>
      <c r="E62" s="13">
        <f>DAY(EOMONTH(Input_Raw[[#This Row],[Date]],0))</f>
        <v>31</v>
      </c>
      <c r="F62" s="15">
        <v>7125</v>
      </c>
      <c r="G62" s="15">
        <v>7129</v>
      </c>
      <c r="H62" s="15">
        <v>7132</v>
      </c>
      <c r="I62" s="15">
        <v>7136</v>
      </c>
      <c r="J62" s="15">
        <v>5501</v>
      </c>
      <c r="K62" s="15">
        <v>7142</v>
      </c>
      <c r="L62" s="15">
        <v>7122</v>
      </c>
      <c r="M62" s="15">
        <v>7126</v>
      </c>
      <c r="N62" s="15">
        <v>7109</v>
      </c>
      <c r="O62" s="15">
        <v>6749</v>
      </c>
      <c r="P62" s="15">
        <v>7164</v>
      </c>
      <c r="Q62" s="15">
        <v>7110</v>
      </c>
      <c r="R62" s="15">
        <v>7118</v>
      </c>
      <c r="S62" s="15">
        <v>7126</v>
      </c>
      <c r="T62" s="15">
        <v>7129</v>
      </c>
      <c r="U62" s="15">
        <v>6898</v>
      </c>
      <c r="V62" s="15">
        <v>6473</v>
      </c>
      <c r="W62" s="15">
        <v>7108</v>
      </c>
      <c r="X62" s="15">
        <v>7142</v>
      </c>
      <c r="Y62" s="15">
        <v>7149</v>
      </c>
      <c r="Z62" s="15">
        <v>5521</v>
      </c>
      <c r="AA62" s="15">
        <v>5518</v>
      </c>
      <c r="AB62" s="15">
        <v>5509</v>
      </c>
      <c r="AC62" s="15">
        <v>5524</v>
      </c>
      <c r="AD62" s="15">
        <v>5842</v>
      </c>
      <c r="AE62" s="15">
        <v>5516</v>
      </c>
      <c r="AF62" s="15">
        <v>5528</v>
      </c>
      <c r="AG62" s="15">
        <v>0</v>
      </c>
      <c r="AH62" s="15">
        <v>5532</v>
      </c>
      <c r="AI62" s="15">
        <v>0</v>
      </c>
      <c r="AJ62" s="15">
        <v>5589</v>
      </c>
      <c r="AK62" s="15">
        <v>5822</v>
      </c>
      <c r="AL62" s="15">
        <v>5821</v>
      </c>
      <c r="AM62" s="15">
        <v>5842</v>
      </c>
      <c r="AN62" s="15">
        <v>5846</v>
      </c>
      <c r="AO62" s="15">
        <v>5844</v>
      </c>
      <c r="AP62" s="15">
        <v>5824</v>
      </c>
      <c r="AQ62" s="15">
        <v>5839</v>
      </c>
      <c r="AR62" s="15">
        <v>5842</v>
      </c>
      <c r="AS62" s="16">
        <v>4.0641180555555536</v>
      </c>
      <c r="AT62" s="16">
        <v>4.0593055555555582</v>
      </c>
      <c r="AU62" s="16">
        <v>4.0183402777777761</v>
      </c>
      <c r="AV62" s="16">
        <v>3.9908402777777772</v>
      </c>
      <c r="AW62" s="16">
        <v>3.97079861111111</v>
      </c>
      <c r="AX62" s="16">
        <v>4.1533333333333324</v>
      </c>
      <c r="AY62" s="16">
        <v>4.1533333333333324</v>
      </c>
      <c r="AZ62" s="16">
        <v>4.3952637795275589</v>
      </c>
      <c r="BA62" s="16">
        <v>4.0945833333333352</v>
      </c>
      <c r="BB62" s="16">
        <v>4.1891249999999989</v>
      </c>
      <c r="BC62" s="16">
        <v>4.5515753968253962</v>
      </c>
      <c r="BD62" s="16">
        <v>4.0447986111111112</v>
      </c>
      <c r="BE62" s="16">
        <v>4.0977430555555578</v>
      </c>
      <c r="BF62" s="16">
        <v>4.1513819444444442</v>
      </c>
      <c r="BG62" s="16">
        <v>4.114952083333332</v>
      </c>
      <c r="BH62" s="16">
        <v>4.1474861111111121</v>
      </c>
      <c r="BI62" s="16">
        <v>4.3756666666666675</v>
      </c>
      <c r="BJ62" s="16">
        <v>4.3612430555555521</v>
      </c>
      <c r="BK62" s="16">
        <v>4.2470694444444446</v>
      </c>
      <c r="BL62" s="16">
        <v>4.3102222222222224</v>
      </c>
      <c r="BM62" s="16">
        <v>4.0999999999999996</v>
      </c>
      <c r="BN62" s="16">
        <v>4.0657152777777794</v>
      </c>
      <c r="BO62" s="16">
        <v>3.9717916666666659</v>
      </c>
      <c r="BP62" s="16">
        <v>4.1679513888888877</v>
      </c>
      <c r="BQ62" s="16">
        <v>3.8945486111111092</v>
      </c>
      <c r="BR62" s="16">
        <v>3.9962013888888888</v>
      </c>
      <c r="BS62" s="16">
        <v>4.0165833333333332</v>
      </c>
      <c r="BT62" s="16">
        <v>0</v>
      </c>
      <c r="BU62" s="16">
        <v>4.0999999999999996</v>
      </c>
      <c r="BV62" s="16">
        <v>0</v>
      </c>
      <c r="BW62" s="16">
        <v>3.80823611111111</v>
      </c>
      <c r="BX62" s="16">
        <v>3.923756944444444</v>
      </c>
      <c r="BY62" s="16">
        <v>4.0071736111111118</v>
      </c>
      <c r="BZ62" s="16">
        <v>4.0676805555555573</v>
      </c>
      <c r="CA62" s="16">
        <v>4.0488194444444439</v>
      </c>
      <c r="CB62" s="16">
        <v>4.1112569444444436</v>
      </c>
      <c r="CC62" s="16">
        <v>3.8610277777777782</v>
      </c>
      <c r="CD62" s="16">
        <v>3.9456944444444466</v>
      </c>
      <c r="CE62" s="16">
        <v>3.9453750000000003</v>
      </c>
      <c r="CF62" s="17">
        <f>SUM(Input_Raw[[#This Row],[G01]:[G40]])</f>
        <v>236447</v>
      </c>
      <c r="CG62" s="18">
        <f>IFERROR(AVERAGE(Input_Raw[[#This Row],[WS_G01]:[WS_G40]]),"")</f>
        <v>3.885204939707056</v>
      </c>
      <c r="CH62" s="19"/>
      <c r="CI62" s="19"/>
      <c r="CJ62" s="15">
        <v>241053</v>
      </c>
      <c r="CK62" s="15">
        <v>2187</v>
      </c>
      <c r="CL62" s="15">
        <v>280958</v>
      </c>
      <c r="CM62" s="15">
        <v>2214</v>
      </c>
      <c r="CN62" s="15">
        <v>257161</v>
      </c>
      <c r="CO62" s="15">
        <v>1822</v>
      </c>
      <c r="CP62" s="15">
        <v>293174</v>
      </c>
      <c r="CQ62" s="15">
        <v>1868</v>
      </c>
      <c r="CR62" s="148">
        <f>IF(((Input_Raw[[#This Row],[33 kV_Wind_F1_Export reading]]-CJ61)*1200)&gt;0,(Input_Raw[[#This Row],[33 kV_Wind_F1_Export reading]]-CJ61)*1200,0)</f>
        <v>57600</v>
      </c>
      <c r="CS62" s="148">
        <f>IF(((Input_Raw[[#This Row],[33 kV_Wind_F1_Import reading]]-CK61)*1200)&gt;0,(Input_Raw[[#This Row],[33 kV_Wind_F1_Import reading]]-CK61)*1200,0)</f>
        <v>0</v>
      </c>
      <c r="CT62" s="148">
        <f>IF(((Input_Raw[[#This Row],[33 kV_Wind_F2_Export_reading]]-CL61)*1200)&gt;0,(Input_Raw[[#This Row],[33 kV_Wind_F2_Export_reading]]-CL61)*1200,0)</f>
        <v>43200</v>
      </c>
      <c r="CU62" s="148">
        <f>IF(((Input_Raw[[#This Row],[33 kV_Wind_F2_Import_reading]]-CM61)*1200)&gt;0,(Input_Raw[[#This Row],[33 kV_Wind_F2_Import_reading]]-CM61)*1200,0)</f>
        <v>0</v>
      </c>
      <c r="CV62" s="148">
        <f>IF(((Input_Raw[[#This Row],[33 kV_Wind_F3_Export_Reading]]-CN61)*1200)&gt;0,(Input_Raw[[#This Row],[33 kV_Wind_F3_Export_Reading]]-CN61)*1200,0)</f>
        <v>62400</v>
      </c>
      <c r="CW62" s="148">
        <f>IF(((Input_Raw[[#This Row],[33 kV_Wind_F3_Import_Reading]]-CO61)*1200)&gt;0,(Input_Raw[[#This Row],[33 kV_Wind_F3_Import_Reading]]-CO61)*1200,0)</f>
        <v>0</v>
      </c>
      <c r="CX62" s="148">
        <f>IF(((Input_Raw[[#This Row],[33 kV_Wind_F4_Export Reading]]-CP61)*1200)&gt;0,(Input_Raw[[#This Row],[33 kV_Wind_F4_Export Reading]]-CP61)*1200,0)</f>
        <v>68400</v>
      </c>
      <c r="CY62" s="148">
        <f>IF(((Input_Raw[[#This Row],[33 kV_Wind_F4_Import Reading]]-CQ61)*1200)&gt;0,(Input_Raw[[#This Row],[33 kV_Wind_F4_Import Reading]]-CQ61)*1200,0)</f>
        <v>1200</v>
      </c>
      <c r="CZ62" s="148">
        <f>Input_Raw[[#This Row],[33 kV_F1_Total_Export (KWh)]]+Input_Raw[[#This Row],[33 kV_F2_Total_Export (KWh)2]]+Input_Raw[[#This Row],[33 kV_Wind_F3_Export (KWh)]]+Input_Raw[[#This Row],[33 kV_Wind_F4_Export (KWh)]]</f>
        <v>231600</v>
      </c>
      <c r="DA62" s="148">
        <f>Input_Raw[[#This Row],[33 kV_Wind_F1_Import (KWh)]]+Input_Raw[[#This Row],[33 kV_Wind_F2_Import (KWh)]]+Input_Raw[[#This Row],[33 kV_Wind_F3_Import (KWh)2]]+Input_Raw[[#This Row],[33 kV_Wind_F4_Import (KWh)2]]</f>
        <v>1200</v>
      </c>
      <c r="DB62" s="21">
        <f>IFERROR(1-Input_Raw[[#This Row],[33 kV_Wind_Total_Export (KWh)]]/Input_Raw[[#This Row],[WTG Total Gneration (KWh)]],0)</f>
        <v>2.0499308513112879E-2</v>
      </c>
      <c r="DC62" s="161">
        <v>96</v>
      </c>
      <c r="DD62" s="161">
        <v>64981</v>
      </c>
      <c r="DE62" s="163">
        <v>236.44</v>
      </c>
      <c r="DF62" s="160"/>
      <c r="DG62" s="162">
        <v>78</v>
      </c>
      <c r="DH62" s="281" t="s">
        <v>381</v>
      </c>
    </row>
    <row r="63" spans="1:112">
      <c r="A63" s="20">
        <f t="shared" si="6"/>
        <v>45803</v>
      </c>
      <c r="B63" s="12">
        <f>YEAR(Input_Raw[[#This Row],[Date]])+IF(MONTH(Input_Raw[[#This Row],[Date]])&gt;=4,1,0)</f>
        <v>2026</v>
      </c>
      <c r="C63" s="13">
        <f>YEAR(Input_Raw[[#This Row],[Date]])</f>
        <v>2025</v>
      </c>
      <c r="D63" s="14">
        <f t="shared" si="5"/>
        <v>45778</v>
      </c>
      <c r="E63" s="13">
        <f>DAY(EOMONTH(Input_Raw[[#This Row],[Date]],0))</f>
        <v>31</v>
      </c>
      <c r="F63" s="15">
        <v>4453</v>
      </c>
      <c r="G63" s="15">
        <v>4458</v>
      </c>
      <c r="H63" s="15">
        <v>4421</v>
      </c>
      <c r="I63" s="15">
        <v>4290</v>
      </c>
      <c r="J63" s="15">
        <v>3602</v>
      </c>
      <c r="K63" s="15">
        <v>4456</v>
      </c>
      <c r="L63" s="15">
        <v>4434</v>
      </c>
      <c r="M63" s="15">
        <v>4426</v>
      </c>
      <c r="N63" s="15">
        <v>3729</v>
      </c>
      <c r="O63" s="15">
        <v>4456</v>
      </c>
      <c r="P63" s="15">
        <v>4467</v>
      </c>
      <c r="Q63" s="15">
        <v>3742</v>
      </c>
      <c r="R63" s="15">
        <v>3745</v>
      </c>
      <c r="S63" s="15">
        <v>3749</v>
      </c>
      <c r="T63" s="15">
        <v>3752</v>
      </c>
      <c r="U63" s="15">
        <v>3750</v>
      </c>
      <c r="V63" s="15">
        <v>3753</v>
      </c>
      <c r="W63" s="15">
        <v>3321</v>
      </c>
      <c r="X63" s="15">
        <v>3356</v>
      </c>
      <c r="Y63" s="15">
        <v>3758</v>
      </c>
      <c r="Z63" s="15">
        <v>3656</v>
      </c>
      <c r="AA63" s="15">
        <v>3643</v>
      </c>
      <c r="AB63" s="15">
        <v>3622</v>
      </c>
      <c r="AC63" s="15">
        <v>3234</v>
      </c>
      <c r="AD63" s="15">
        <v>3552</v>
      </c>
      <c r="AE63" s="15">
        <v>3652</v>
      </c>
      <c r="AF63" s="15">
        <v>3649</v>
      </c>
      <c r="AG63" s="15">
        <v>0</v>
      </c>
      <c r="AH63" s="15">
        <v>3424</v>
      </c>
      <c r="AI63" s="15">
        <v>0</v>
      </c>
      <c r="AJ63" s="15">
        <v>3553</v>
      </c>
      <c r="AK63" s="15">
        <v>3572</v>
      </c>
      <c r="AL63" s="15">
        <v>3522</v>
      </c>
      <c r="AM63" s="15">
        <v>3562</v>
      </c>
      <c r="AN63" s="15">
        <v>3565</v>
      </c>
      <c r="AO63" s="15">
        <v>3560</v>
      </c>
      <c r="AP63" s="15">
        <v>3532</v>
      </c>
      <c r="AQ63" s="15">
        <v>3529</v>
      </c>
      <c r="AR63" s="15">
        <v>3321</v>
      </c>
      <c r="AS63" s="16">
        <v>3.74</v>
      </c>
      <c r="AT63" s="16">
        <v>3.74</v>
      </c>
      <c r="AU63" s="16">
        <v>3.75</v>
      </c>
      <c r="AV63" s="16">
        <v>3.66</v>
      </c>
      <c r="AW63" s="16">
        <v>3.58</v>
      </c>
      <c r="AX63" s="16">
        <v>4.01</v>
      </c>
      <c r="AY63" s="16">
        <v>3.68</v>
      </c>
      <c r="AZ63" s="16">
        <v>3.94</v>
      </c>
      <c r="BA63" s="16">
        <v>3.7</v>
      </c>
      <c r="BB63" s="16">
        <v>3.66</v>
      </c>
      <c r="BC63" s="16">
        <v>3.85</v>
      </c>
      <c r="BD63" s="16">
        <v>3.83</v>
      </c>
      <c r="BE63" s="16">
        <v>3.84</v>
      </c>
      <c r="BF63" s="16">
        <v>3.92</v>
      </c>
      <c r="BG63" s="16">
        <v>3.11</v>
      </c>
      <c r="BH63" s="16">
        <v>0</v>
      </c>
      <c r="BI63" s="16">
        <v>4.0199999999999996</v>
      </c>
      <c r="BJ63" s="16">
        <v>3.98</v>
      </c>
      <c r="BK63" s="16">
        <v>4.12</v>
      </c>
      <c r="BL63" s="16">
        <v>4.16</v>
      </c>
      <c r="BM63" s="16">
        <v>3.79</v>
      </c>
      <c r="BN63" s="16">
        <v>3.68</v>
      </c>
      <c r="BO63" s="16">
        <v>3.68</v>
      </c>
      <c r="BP63" s="16">
        <v>3.85</v>
      </c>
      <c r="BQ63" s="16">
        <v>3.49</v>
      </c>
      <c r="BR63" s="16">
        <v>3.7</v>
      </c>
      <c r="BS63" s="16">
        <v>3.67</v>
      </c>
      <c r="BT63" s="16">
        <v>0</v>
      </c>
      <c r="BU63" s="16">
        <v>3.9</v>
      </c>
      <c r="BV63" s="16">
        <v>0</v>
      </c>
      <c r="BW63" s="16">
        <v>3.66</v>
      </c>
      <c r="BX63" s="16">
        <v>3.57</v>
      </c>
      <c r="BY63" s="16">
        <v>3.7</v>
      </c>
      <c r="BZ63" s="16">
        <v>3.91</v>
      </c>
      <c r="CA63" s="16">
        <v>4.05</v>
      </c>
      <c r="CB63" s="16">
        <v>3.93</v>
      </c>
      <c r="CC63" s="16">
        <v>3.61</v>
      </c>
      <c r="CD63" s="16">
        <v>4.13</v>
      </c>
      <c r="CE63" s="16">
        <v>3.7</v>
      </c>
      <c r="CF63" s="17">
        <f>SUM(Input_Raw[[#This Row],[G01]:[G40]])</f>
        <v>140266</v>
      </c>
      <c r="CG63" s="18">
        <f>IFERROR(AVERAGE(Input_Raw[[#This Row],[WS_G01]:[WS_G40]]),"")</f>
        <v>3.4951282051282053</v>
      </c>
      <c r="CH63" s="19"/>
      <c r="CI63" s="19"/>
      <c r="CJ63" s="15">
        <v>241082</v>
      </c>
      <c r="CK63" s="15">
        <v>2188</v>
      </c>
      <c r="CL63" s="15">
        <v>280981</v>
      </c>
      <c r="CM63" s="15">
        <v>2215</v>
      </c>
      <c r="CN63" s="15">
        <v>257194</v>
      </c>
      <c r="CO63" s="15">
        <v>1823</v>
      </c>
      <c r="CP63" s="15">
        <v>293204</v>
      </c>
      <c r="CQ63" s="15">
        <v>1868</v>
      </c>
      <c r="CR63" s="148">
        <f>IF(((Input_Raw[[#This Row],[33 kV_Wind_F1_Export reading]]-CJ62)*1200)&gt;0,(Input_Raw[[#This Row],[33 kV_Wind_F1_Export reading]]-CJ62)*1200,0)</f>
        <v>34800</v>
      </c>
      <c r="CS63" s="148">
        <f>IF(((Input_Raw[[#This Row],[33 kV_Wind_F1_Import reading]]-CK62)*1200)&gt;0,(Input_Raw[[#This Row],[33 kV_Wind_F1_Import reading]]-CK62)*1200,0)</f>
        <v>1200</v>
      </c>
      <c r="CT63" s="148">
        <f>IF(((Input_Raw[[#This Row],[33 kV_Wind_F2_Export_reading]]-CL62)*1200)&gt;0,(Input_Raw[[#This Row],[33 kV_Wind_F2_Export_reading]]-CL62)*1200,0)</f>
        <v>27600</v>
      </c>
      <c r="CU63" s="148">
        <f>IF(((Input_Raw[[#This Row],[33 kV_Wind_F2_Import_reading]]-CM62)*1200)&gt;0,(Input_Raw[[#This Row],[33 kV_Wind_F2_Import_reading]]-CM62)*1200,0)</f>
        <v>1200</v>
      </c>
      <c r="CV63" s="148">
        <f>IF(((Input_Raw[[#This Row],[33 kV_Wind_F3_Export_Reading]]-CN62)*1200)&gt;0,(Input_Raw[[#This Row],[33 kV_Wind_F3_Export_Reading]]-CN62)*1200,0)</f>
        <v>39600</v>
      </c>
      <c r="CW63" s="148">
        <f>IF(((Input_Raw[[#This Row],[33 kV_Wind_F3_Import_Reading]]-CO62)*1200)&gt;0,(Input_Raw[[#This Row],[33 kV_Wind_F3_Import_Reading]]-CO62)*1200,0)</f>
        <v>1200</v>
      </c>
      <c r="CX63" s="148">
        <f>IF(((Input_Raw[[#This Row],[33 kV_Wind_F4_Export Reading]]-CP62)*1200)&gt;0,(Input_Raw[[#This Row],[33 kV_Wind_F4_Export Reading]]-CP62)*1200,0)</f>
        <v>36000</v>
      </c>
      <c r="CY63" s="148">
        <f>IF(((Input_Raw[[#This Row],[33 kV_Wind_F4_Import Reading]]-CQ62)*1200)&gt;0,(Input_Raw[[#This Row],[33 kV_Wind_F4_Import Reading]]-CQ62)*1200,0)</f>
        <v>0</v>
      </c>
      <c r="CZ63" s="148">
        <f>Input_Raw[[#This Row],[33 kV_F1_Total_Export (KWh)]]+Input_Raw[[#This Row],[33 kV_F2_Total_Export (KWh)2]]+Input_Raw[[#This Row],[33 kV_Wind_F3_Export (KWh)]]+Input_Raw[[#This Row],[33 kV_Wind_F4_Export (KWh)]]</f>
        <v>138000</v>
      </c>
      <c r="DA63" s="148">
        <f>Input_Raw[[#This Row],[33 kV_Wind_F1_Import (KWh)]]+Input_Raw[[#This Row],[33 kV_Wind_F2_Import (KWh)]]+Input_Raw[[#This Row],[33 kV_Wind_F3_Import (KWh)2]]+Input_Raw[[#This Row],[33 kV_Wind_F4_Import (KWh)2]]</f>
        <v>3600</v>
      </c>
      <c r="DB63" s="21">
        <f>IFERROR(1-Input_Raw[[#This Row],[33 kV_Wind_Total_Export (KWh)]]/Input_Raw[[#This Row],[WTG Total Gneration (KWh)]],0)</f>
        <v>1.6155019748192667E-2</v>
      </c>
      <c r="DC63" s="161">
        <v>94</v>
      </c>
      <c r="DD63" s="161">
        <v>14022</v>
      </c>
      <c r="DE63" s="163">
        <v>140.26</v>
      </c>
      <c r="DF63" s="160"/>
      <c r="DG63" s="162">
        <v>78</v>
      </c>
      <c r="DH63" s="281" t="s">
        <v>381</v>
      </c>
    </row>
    <row r="64" spans="1:112">
      <c r="A64" s="20">
        <f t="shared" si="6"/>
        <v>45804</v>
      </c>
      <c r="B64" s="12">
        <f>YEAR(Input_Raw[[#This Row],[Date]])+IF(MONTH(Input_Raw[[#This Row],[Date]])&gt;=4,1,0)</f>
        <v>2026</v>
      </c>
      <c r="C64" s="13">
        <f>YEAR(Input_Raw[[#This Row],[Date]])</f>
        <v>2025</v>
      </c>
      <c r="D64" s="14">
        <f t="shared" si="5"/>
        <v>45778</v>
      </c>
      <c r="E64" s="13">
        <f>DAY(EOMONTH(Input_Raw[[#This Row],[Date]],0))</f>
        <v>31</v>
      </c>
      <c r="F64" s="15">
        <v>8741</v>
      </c>
      <c r="G64" s="15">
        <v>10621</v>
      </c>
      <c r="H64" s="15">
        <v>10623</v>
      </c>
      <c r="I64" s="15">
        <v>10219</v>
      </c>
      <c r="J64" s="15">
        <v>11850</v>
      </c>
      <c r="K64" s="15">
        <v>10227</v>
      </c>
      <c r="L64" s="15">
        <v>10615</v>
      </c>
      <c r="M64" s="15">
        <v>10632</v>
      </c>
      <c r="N64" s="15">
        <v>14750</v>
      </c>
      <c r="O64" s="15">
        <v>10645</v>
      </c>
      <c r="P64" s="15">
        <v>10658</v>
      </c>
      <c r="Q64" s="15">
        <v>14755</v>
      </c>
      <c r="R64" s="15">
        <v>14752</v>
      </c>
      <c r="S64" s="15">
        <v>14749</v>
      </c>
      <c r="T64" s="15">
        <v>14754</v>
      </c>
      <c r="U64" s="15">
        <v>14758</v>
      </c>
      <c r="V64" s="15">
        <v>14762</v>
      </c>
      <c r="W64" s="15">
        <v>14742</v>
      </c>
      <c r="X64" s="15">
        <v>14782</v>
      </c>
      <c r="Y64" s="15">
        <v>12689</v>
      </c>
      <c r="Z64" s="15">
        <v>11856</v>
      </c>
      <c r="AA64" s="15">
        <v>11852</v>
      </c>
      <c r="AB64" s="15">
        <v>11811</v>
      </c>
      <c r="AC64" s="15">
        <v>11861</v>
      </c>
      <c r="AD64" s="15">
        <v>10450</v>
      </c>
      <c r="AE64" s="15">
        <v>11852</v>
      </c>
      <c r="AF64" s="15">
        <v>11859</v>
      </c>
      <c r="AG64" s="15">
        <v>0</v>
      </c>
      <c r="AH64" s="15">
        <v>10981</v>
      </c>
      <c r="AI64" s="15">
        <v>0</v>
      </c>
      <c r="AJ64" s="15">
        <v>10452</v>
      </c>
      <c r="AK64" s="15">
        <v>9572</v>
      </c>
      <c r="AL64" s="15">
        <v>10421</v>
      </c>
      <c r="AM64" s="15">
        <v>10465</v>
      </c>
      <c r="AN64" s="15">
        <v>10459</v>
      </c>
      <c r="AO64" s="15">
        <v>10456</v>
      </c>
      <c r="AP64" s="15">
        <v>10448</v>
      </c>
      <c r="AQ64" s="15">
        <v>10463</v>
      </c>
      <c r="AR64" s="15">
        <v>10465</v>
      </c>
      <c r="AS64" s="16">
        <v>4.8499999999999996</v>
      </c>
      <c r="AT64" s="16">
        <v>5.37</v>
      </c>
      <c r="AU64" s="16">
        <v>4.76</v>
      </c>
      <c r="AV64" s="16">
        <v>4.7699999999999996</v>
      </c>
      <c r="AW64" s="16">
        <v>5.09</v>
      </c>
      <c r="AX64" s="16">
        <v>5.19</v>
      </c>
      <c r="AY64" s="16">
        <v>4.8</v>
      </c>
      <c r="AZ64" s="16">
        <v>4.87</v>
      </c>
      <c r="BA64" s="16">
        <v>5.25</v>
      </c>
      <c r="BB64" s="16">
        <v>4.9800000000000004</v>
      </c>
      <c r="BC64" s="16">
        <v>5.45</v>
      </c>
      <c r="BD64" s="16">
        <v>5.28</v>
      </c>
      <c r="BE64" s="16">
        <v>5.32</v>
      </c>
      <c r="BF64" s="16">
        <v>5.14</v>
      </c>
      <c r="BG64" s="16">
        <v>5.09</v>
      </c>
      <c r="BH64" s="16">
        <v>5.27</v>
      </c>
      <c r="BI64" s="16">
        <v>5.07</v>
      </c>
      <c r="BJ64" s="16">
        <v>5.36</v>
      </c>
      <c r="BK64" s="16">
        <v>6.59</v>
      </c>
      <c r="BL64" s="16">
        <v>5.63</v>
      </c>
      <c r="BM64" s="16">
        <v>5.4</v>
      </c>
      <c r="BN64" s="16">
        <v>5.44</v>
      </c>
      <c r="BO64" s="16">
        <v>4.66</v>
      </c>
      <c r="BP64" s="16">
        <v>4.9800000000000004</v>
      </c>
      <c r="BQ64" s="16">
        <v>4.95</v>
      </c>
      <c r="BR64" s="16">
        <v>4.71</v>
      </c>
      <c r="BS64" s="16">
        <v>4.88</v>
      </c>
      <c r="BT64" s="16">
        <v>0</v>
      </c>
      <c r="BU64" s="16">
        <v>4.8600000000000003</v>
      </c>
      <c r="BV64" s="16">
        <v>0</v>
      </c>
      <c r="BW64" s="16">
        <v>4.59</v>
      </c>
      <c r="BX64" s="16">
        <v>4.7300000000000004</v>
      </c>
      <c r="BY64" s="16">
        <v>4.88</v>
      </c>
      <c r="BZ64" s="16">
        <v>4.88</v>
      </c>
      <c r="CA64" s="16">
        <v>5.07</v>
      </c>
      <c r="CB64" s="16">
        <v>5.05</v>
      </c>
      <c r="CC64" s="16">
        <v>4.83</v>
      </c>
      <c r="CD64" s="16">
        <v>4.74</v>
      </c>
      <c r="CE64" s="16">
        <v>5.01</v>
      </c>
      <c r="CF64" s="17">
        <f>SUM(Input_Raw[[#This Row],[G01]:[G40]])</f>
        <v>436047</v>
      </c>
      <c r="CG64" s="18">
        <f>IFERROR(AVERAGE(Input_Raw[[#This Row],[WS_G01]:[WS_G40]]),"")</f>
        <v>4.8151282051282047</v>
      </c>
      <c r="CH64" s="19"/>
      <c r="CI64" s="19"/>
      <c r="CJ64" s="15">
        <v>241168</v>
      </c>
      <c r="CK64" s="15">
        <v>2188</v>
      </c>
      <c r="CL64" s="15">
        <v>281059</v>
      </c>
      <c r="CM64" s="15">
        <v>2215</v>
      </c>
      <c r="CN64" s="15">
        <v>257271</v>
      </c>
      <c r="CO64" s="15">
        <v>1823</v>
      </c>
      <c r="CP64" s="15">
        <v>293325</v>
      </c>
      <c r="CQ64" s="15">
        <v>1868</v>
      </c>
      <c r="CR64" s="148">
        <f>IF(((Input_Raw[[#This Row],[33 kV_Wind_F1_Export reading]]-CJ63)*1200)&gt;0,(Input_Raw[[#This Row],[33 kV_Wind_F1_Export reading]]-CJ63)*1200,0)</f>
        <v>103200</v>
      </c>
      <c r="CS64" s="148">
        <f>IF(((Input_Raw[[#This Row],[33 kV_Wind_F1_Import reading]]-CK63)*1200)&gt;0,(Input_Raw[[#This Row],[33 kV_Wind_F1_Import reading]]-CK63)*1200,0)</f>
        <v>0</v>
      </c>
      <c r="CT64" s="148">
        <f>IF(((Input_Raw[[#This Row],[33 kV_Wind_F2_Export_reading]]-CL63)*1200)&gt;0,(Input_Raw[[#This Row],[33 kV_Wind_F2_Export_reading]]-CL63)*1200,0)</f>
        <v>93600</v>
      </c>
      <c r="CU64" s="148">
        <f>IF(((Input_Raw[[#This Row],[33 kV_Wind_F2_Import_reading]]-CM63)*1200)&gt;0,(Input_Raw[[#This Row],[33 kV_Wind_F2_Import_reading]]-CM63)*1200,0)</f>
        <v>0</v>
      </c>
      <c r="CV64" s="148">
        <f>IF(((Input_Raw[[#This Row],[33 kV_Wind_F3_Export_Reading]]-CN63)*1200)&gt;0,(Input_Raw[[#This Row],[33 kV_Wind_F3_Export_Reading]]-CN63)*1200,0)</f>
        <v>92400</v>
      </c>
      <c r="CW64" s="148">
        <f>IF(((Input_Raw[[#This Row],[33 kV_Wind_F3_Import_Reading]]-CO63)*1200)&gt;0,(Input_Raw[[#This Row],[33 kV_Wind_F3_Import_Reading]]-CO63)*1200,0)</f>
        <v>0</v>
      </c>
      <c r="CX64" s="148">
        <f>IF(((Input_Raw[[#This Row],[33 kV_Wind_F4_Export Reading]]-CP63)*1200)&gt;0,(Input_Raw[[#This Row],[33 kV_Wind_F4_Export Reading]]-CP63)*1200,0)</f>
        <v>145200</v>
      </c>
      <c r="CY64" s="148">
        <f>IF(((Input_Raw[[#This Row],[33 kV_Wind_F4_Import Reading]]-CQ63)*1200)&gt;0,(Input_Raw[[#This Row],[33 kV_Wind_F4_Import Reading]]-CQ63)*1200,0)</f>
        <v>0</v>
      </c>
      <c r="CZ64" s="148">
        <f>Input_Raw[[#This Row],[33 kV_F1_Total_Export (KWh)]]+Input_Raw[[#This Row],[33 kV_F2_Total_Export (KWh)2]]+Input_Raw[[#This Row],[33 kV_Wind_F3_Export (KWh)]]+Input_Raw[[#This Row],[33 kV_Wind_F4_Export (KWh)]]</f>
        <v>434400</v>
      </c>
      <c r="DA64" s="148">
        <f>Input_Raw[[#This Row],[33 kV_Wind_F1_Import (KWh)]]+Input_Raw[[#This Row],[33 kV_Wind_F2_Import (KWh)]]+Input_Raw[[#This Row],[33 kV_Wind_F3_Import (KWh)2]]+Input_Raw[[#This Row],[33 kV_Wind_F4_Import (KWh)2]]</f>
        <v>0</v>
      </c>
      <c r="DB64" s="21">
        <f>IFERROR(1-Input_Raw[[#This Row],[33 kV_Wind_Total_Export (KWh)]]/Input_Raw[[#This Row],[WTG Total Gneration (KWh)]],0)</f>
        <v>3.777115769630357E-3</v>
      </c>
      <c r="DC64" s="161">
        <v>96</v>
      </c>
      <c r="DD64" s="161">
        <v>86461</v>
      </c>
      <c r="DE64" s="163">
        <v>436.04</v>
      </c>
      <c r="DF64" s="160"/>
      <c r="DG64" s="162">
        <v>78</v>
      </c>
      <c r="DH64" s="281" t="s">
        <v>381</v>
      </c>
    </row>
    <row r="65" spans="1:112">
      <c r="A65" s="20">
        <f t="shared" si="6"/>
        <v>45805</v>
      </c>
      <c r="B65" s="12">
        <f>YEAR(Input_Raw[[#This Row],[Date]])+IF(MONTH(Input_Raw[[#This Row],[Date]])&gt;=4,1,0)</f>
        <v>2026</v>
      </c>
      <c r="C65" s="13">
        <f>YEAR(Input_Raw[[#This Row],[Date]])</f>
        <v>2025</v>
      </c>
      <c r="D65" s="14">
        <f t="shared" si="5"/>
        <v>45778</v>
      </c>
      <c r="E65" s="13">
        <f>DAY(EOMONTH(Input_Raw[[#This Row],[Date]],0))</f>
        <v>31</v>
      </c>
      <c r="F65" s="15">
        <v>5219</v>
      </c>
      <c r="G65" s="15">
        <v>16389</v>
      </c>
      <c r="H65" s="15">
        <v>16385</v>
      </c>
      <c r="I65" s="15">
        <v>16380</v>
      </c>
      <c r="J65" s="15">
        <v>9901</v>
      </c>
      <c r="K65" s="15">
        <v>16374</v>
      </c>
      <c r="L65" s="15">
        <v>15953</v>
      </c>
      <c r="M65" s="15">
        <v>16387</v>
      </c>
      <c r="N65" s="15">
        <v>13721</v>
      </c>
      <c r="O65" s="15">
        <v>16382</v>
      </c>
      <c r="P65" s="15">
        <v>16389</v>
      </c>
      <c r="Q65" s="15">
        <v>13750</v>
      </c>
      <c r="R65" s="15">
        <v>13752</v>
      </c>
      <c r="S65" s="15">
        <v>12032</v>
      </c>
      <c r="T65" s="15">
        <v>13759</v>
      </c>
      <c r="U65" s="15">
        <v>13021</v>
      </c>
      <c r="V65" s="15">
        <v>13752</v>
      </c>
      <c r="W65" s="15">
        <v>13744</v>
      </c>
      <c r="X65" s="15">
        <v>13759</v>
      </c>
      <c r="Y65" s="15">
        <v>13782</v>
      </c>
      <c r="Z65" s="15">
        <v>9957</v>
      </c>
      <c r="AA65" s="15">
        <v>9952</v>
      </c>
      <c r="AB65" s="15">
        <v>9932</v>
      </c>
      <c r="AC65" s="15">
        <v>9967</v>
      </c>
      <c r="AD65" s="15">
        <v>7450</v>
      </c>
      <c r="AE65" s="15">
        <v>9962</v>
      </c>
      <c r="AF65" s="15">
        <v>9969</v>
      </c>
      <c r="AG65" s="15">
        <v>0</v>
      </c>
      <c r="AH65" s="15">
        <v>9974</v>
      </c>
      <c r="AI65" s="15">
        <v>0</v>
      </c>
      <c r="AJ65" s="15">
        <v>7432</v>
      </c>
      <c r="AK65" s="15">
        <v>7021</v>
      </c>
      <c r="AL65" s="15">
        <v>7422</v>
      </c>
      <c r="AM65" s="15">
        <v>7437</v>
      </c>
      <c r="AN65" s="15">
        <v>7442</v>
      </c>
      <c r="AO65" s="15">
        <v>7445</v>
      </c>
      <c r="AP65" s="15">
        <v>7431</v>
      </c>
      <c r="AQ65" s="15">
        <v>7447</v>
      </c>
      <c r="AR65" s="15">
        <v>7451</v>
      </c>
      <c r="AS65" s="16">
        <v>4.7300000000000004</v>
      </c>
      <c r="AT65" s="16">
        <v>5.25</v>
      </c>
      <c r="AU65" s="16">
        <v>4.97</v>
      </c>
      <c r="AV65" s="16">
        <v>4.5599999999999996</v>
      </c>
      <c r="AW65" s="16">
        <v>4.53</v>
      </c>
      <c r="AX65" s="16">
        <v>5.13</v>
      </c>
      <c r="AY65" s="16">
        <v>4.74</v>
      </c>
      <c r="AZ65" s="16">
        <v>4.54</v>
      </c>
      <c r="BA65" s="16">
        <v>5.04</v>
      </c>
      <c r="BB65" s="16">
        <v>4.6500000000000004</v>
      </c>
      <c r="BC65" s="16">
        <v>5.08</v>
      </c>
      <c r="BD65" s="16">
        <v>5.09</v>
      </c>
      <c r="BE65" s="16">
        <v>5.15</v>
      </c>
      <c r="BF65" s="16">
        <v>6.01</v>
      </c>
      <c r="BG65" s="16">
        <v>4.79</v>
      </c>
      <c r="BH65" s="16">
        <v>4.63</v>
      </c>
      <c r="BI65" s="16">
        <v>4.4000000000000004</v>
      </c>
      <c r="BJ65" s="16">
        <v>4.6900000000000004</v>
      </c>
      <c r="BK65" s="16">
        <v>5.17</v>
      </c>
      <c r="BL65" s="16">
        <v>5.05</v>
      </c>
      <c r="BM65" s="16">
        <v>4.8</v>
      </c>
      <c r="BN65" s="16">
        <v>4.95</v>
      </c>
      <c r="BO65" s="16">
        <v>4.57</v>
      </c>
      <c r="BP65" s="16">
        <v>4.87</v>
      </c>
      <c r="BQ65" s="16">
        <v>4.67</v>
      </c>
      <c r="BR65" s="16">
        <v>4.45</v>
      </c>
      <c r="BS65" s="16">
        <v>4.4800000000000004</v>
      </c>
      <c r="BT65" s="16">
        <v>0</v>
      </c>
      <c r="BU65" s="16">
        <v>4.42</v>
      </c>
      <c r="BV65" s="16">
        <v>0</v>
      </c>
      <c r="BW65" s="16">
        <v>4.25</v>
      </c>
      <c r="BX65" s="16">
        <v>4.37</v>
      </c>
      <c r="BY65" s="16">
        <v>4.4800000000000004</v>
      </c>
      <c r="BZ65" s="16">
        <v>4.63</v>
      </c>
      <c r="CA65" s="16">
        <v>4.57</v>
      </c>
      <c r="CB65" s="16">
        <v>4.4400000000000004</v>
      </c>
      <c r="CC65" s="16">
        <v>4.53</v>
      </c>
      <c r="CD65" s="16">
        <v>4.53</v>
      </c>
      <c r="CE65" s="16">
        <v>4.67</v>
      </c>
      <c r="CF65" s="17">
        <f>SUM(Input_Raw[[#This Row],[G01]:[G40]])</f>
        <v>424522</v>
      </c>
      <c r="CG65" s="18">
        <f>IFERROR(AVERAGE(Input_Raw[[#This Row],[WS_G01]:[WS_G40]]),"")</f>
        <v>4.5097435897435885</v>
      </c>
      <c r="CH65" s="19"/>
      <c r="CI65" s="19"/>
      <c r="CJ65" s="15">
        <v>241229</v>
      </c>
      <c r="CK65" s="15">
        <v>2189</v>
      </c>
      <c r="CL65" s="15">
        <v>281125</v>
      </c>
      <c r="CM65" s="15">
        <v>2216</v>
      </c>
      <c r="CN65" s="15">
        <v>257382</v>
      </c>
      <c r="CO65" s="15">
        <v>1823</v>
      </c>
      <c r="CP65" s="15">
        <v>293437</v>
      </c>
      <c r="CQ65" s="15">
        <v>1869</v>
      </c>
      <c r="CR65" s="148">
        <f>IF(((Input_Raw[[#This Row],[33 kV_Wind_F1_Export reading]]-CJ64)*1200)&gt;0,(Input_Raw[[#This Row],[33 kV_Wind_F1_Export reading]]-CJ64)*1200,0)</f>
        <v>73200</v>
      </c>
      <c r="CS65" s="148">
        <f>IF(((Input_Raw[[#This Row],[33 kV_Wind_F1_Import reading]]-CK64)*1200)&gt;0,(Input_Raw[[#This Row],[33 kV_Wind_F1_Import reading]]-CK64)*1200,0)</f>
        <v>1200</v>
      </c>
      <c r="CT65" s="148">
        <f>IF(((Input_Raw[[#This Row],[33 kV_Wind_F2_Export_reading]]-CL64)*1200)&gt;0,(Input_Raw[[#This Row],[33 kV_Wind_F2_Export_reading]]-CL64)*1200,0)</f>
        <v>79200</v>
      </c>
      <c r="CU65" s="148">
        <f>IF(((Input_Raw[[#This Row],[33 kV_Wind_F2_Import_reading]]-CM64)*1200)&gt;0,(Input_Raw[[#This Row],[33 kV_Wind_F2_Import_reading]]-CM64)*1200,0)</f>
        <v>1200</v>
      </c>
      <c r="CV65" s="148">
        <f>IF(((Input_Raw[[#This Row],[33 kV_Wind_F3_Export_Reading]]-CN64)*1200)&gt;0,(Input_Raw[[#This Row],[33 kV_Wind_F3_Export_Reading]]-CN64)*1200,0)</f>
        <v>133200</v>
      </c>
      <c r="CW65" s="148">
        <f>IF(((Input_Raw[[#This Row],[33 kV_Wind_F3_Import_Reading]]-CO64)*1200)&gt;0,(Input_Raw[[#This Row],[33 kV_Wind_F3_Import_Reading]]-CO64)*1200,0)</f>
        <v>0</v>
      </c>
      <c r="CX65" s="148">
        <f>IF(((Input_Raw[[#This Row],[33 kV_Wind_F4_Export Reading]]-CP64)*1200)&gt;0,(Input_Raw[[#This Row],[33 kV_Wind_F4_Export Reading]]-CP64)*1200,0)</f>
        <v>134400</v>
      </c>
      <c r="CY65" s="148">
        <f>IF(((Input_Raw[[#This Row],[33 kV_Wind_F4_Import Reading]]-CQ64)*1200)&gt;0,(Input_Raw[[#This Row],[33 kV_Wind_F4_Import Reading]]-CQ64)*1200,0)</f>
        <v>1200</v>
      </c>
      <c r="CZ65" s="148">
        <f>Input_Raw[[#This Row],[33 kV_F1_Total_Export (KWh)]]+Input_Raw[[#This Row],[33 kV_F2_Total_Export (KWh)2]]+Input_Raw[[#This Row],[33 kV_Wind_F3_Export (KWh)]]+Input_Raw[[#This Row],[33 kV_Wind_F4_Export (KWh)]]</f>
        <v>420000</v>
      </c>
      <c r="DA65" s="148">
        <f>Input_Raw[[#This Row],[33 kV_Wind_F1_Import (KWh)]]+Input_Raw[[#This Row],[33 kV_Wind_F2_Import (KWh)]]+Input_Raw[[#This Row],[33 kV_Wind_F3_Import (KWh)2]]+Input_Raw[[#This Row],[33 kV_Wind_F4_Import (KWh)2]]</f>
        <v>3600</v>
      </c>
      <c r="DB65" s="21">
        <f>IFERROR(1-Input_Raw[[#This Row],[33 kV_Wind_Total_Export (KWh)]]/Input_Raw[[#This Row],[WTG Total Gneration (KWh)]],0)</f>
        <v>1.0651980344952627E-2</v>
      </c>
      <c r="DC65" s="161">
        <v>96</v>
      </c>
      <c r="DD65" s="161">
        <v>167998</v>
      </c>
      <c r="DE65" s="163">
        <v>424.52</v>
      </c>
      <c r="DF65" s="160"/>
      <c r="DG65" s="162">
        <v>78</v>
      </c>
      <c r="DH65" s="281" t="s">
        <v>381</v>
      </c>
    </row>
    <row r="66" spans="1:112">
      <c r="A66" s="20">
        <f t="shared" si="6"/>
        <v>45806</v>
      </c>
      <c r="B66" s="12">
        <f>YEAR(Input_Raw[[#This Row],[Date]])+IF(MONTH(Input_Raw[[#This Row],[Date]])&gt;=4,1,0)</f>
        <v>2026</v>
      </c>
      <c r="C66" s="13">
        <f>YEAR(Input_Raw[[#This Row],[Date]])</f>
        <v>2025</v>
      </c>
      <c r="D66" s="14">
        <f t="shared" si="5"/>
        <v>45778</v>
      </c>
      <c r="E66" s="13">
        <f>DAY(EOMONTH(Input_Raw[[#This Row],[Date]],0))</f>
        <v>31</v>
      </c>
      <c r="F66" s="15">
        <v>16456</v>
      </c>
      <c r="G66" s="15">
        <v>16445</v>
      </c>
      <c r="H66" s="15">
        <v>16454</v>
      </c>
      <c r="I66" s="15">
        <v>16001</v>
      </c>
      <c r="J66" s="15">
        <v>16466</v>
      </c>
      <c r="K66" s="15">
        <v>16423</v>
      </c>
      <c r="L66" s="15">
        <v>16427</v>
      </c>
      <c r="M66" s="15">
        <v>16421</v>
      </c>
      <c r="N66" s="15">
        <v>16001</v>
      </c>
      <c r="O66" s="15">
        <v>16456</v>
      </c>
      <c r="P66" s="15">
        <v>16467</v>
      </c>
      <c r="Q66" s="15">
        <v>16467</v>
      </c>
      <c r="R66" s="15">
        <v>12578</v>
      </c>
      <c r="S66" s="15">
        <v>14842</v>
      </c>
      <c r="T66" s="15">
        <v>16061</v>
      </c>
      <c r="U66" s="15">
        <v>16032</v>
      </c>
      <c r="V66" s="15">
        <v>16034</v>
      </c>
      <c r="W66" s="15">
        <v>16027</v>
      </c>
      <c r="X66" s="15">
        <v>16072</v>
      </c>
      <c r="Y66" s="15">
        <v>16085</v>
      </c>
      <c r="Z66" s="15">
        <v>12252</v>
      </c>
      <c r="AA66" s="15">
        <v>12256</v>
      </c>
      <c r="AB66" s="15">
        <v>12235</v>
      </c>
      <c r="AC66" s="15">
        <v>11021</v>
      </c>
      <c r="AD66" s="15">
        <v>13852</v>
      </c>
      <c r="AE66" s="15">
        <v>12264</v>
      </c>
      <c r="AF66" s="15">
        <v>12268</v>
      </c>
      <c r="AG66" s="15">
        <v>0</v>
      </c>
      <c r="AH66" s="15">
        <v>12276</v>
      </c>
      <c r="AI66" s="15">
        <v>0</v>
      </c>
      <c r="AJ66" s="15">
        <v>13863</v>
      </c>
      <c r="AK66" s="15">
        <v>10521</v>
      </c>
      <c r="AL66" s="15">
        <v>13853</v>
      </c>
      <c r="AM66" s="15">
        <v>13845</v>
      </c>
      <c r="AN66" s="15">
        <v>12853</v>
      </c>
      <c r="AO66" s="15">
        <v>13857</v>
      </c>
      <c r="AP66" s="15">
        <v>13839</v>
      </c>
      <c r="AQ66" s="15">
        <v>13879</v>
      </c>
      <c r="AR66" s="15">
        <v>13897</v>
      </c>
      <c r="AS66" s="16">
        <v>5.58</v>
      </c>
      <c r="AT66" s="16">
        <v>6.55</v>
      </c>
      <c r="AU66" s="16">
        <v>5.67</v>
      </c>
      <c r="AV66" s="16">
        <v>5.72</v>
      </c>
      <c r="AW66" s="16">
        <v>6.71</v>
      </c>
      <c r="AX66" s="16">
        <v>6.27</v>
      </c>
      <c r="AY66" s="16">
        <v>6</v>
      </c>
      <c r="AZ66" s="16">
        <v>5.79</v>
      </c>
      <c r="BA66" s="16">
        <v>6</v>
      </c>
      <c r="BB66" s="16">
        <v>6.65</v>
      </c>
      <c r="BC66" s="16">
        <v>5.98</v>
      </c>
      <c r="BD66" s="16">
        <v>6.36</v>
      </c>
      <c r="BE66" s="16">
        <v>6.31</v>
      </c>
      <c r="BF66" s="16">
        <v>5.42</v>
      </c>
      <c r="BG66" s="16">
        <v>6.29</v>
      </c>
      <c r="BH66" s="16">
        <v>6.5</v>
      </c>
      <c r="BI66" s="16">
        <v>6.63</v>
      </c>
      <c r="BJ66" s="16">
        <v>6.48</v>
      </c>
      <c r="BK66" s="16">
        <v>6.75</v>
      </c>
      <c r="BL66" s="16">
        <v>6.78</v>
      </c>
      <c r="BM66" s="16">
        <v>6.72</v>
      </c>
      <c r="BN66" s="16">
        <v>6.39</v>
      </c>
      <c r="BO66" s="16">
        <v>5.76</v>
      </c>
      <c r="BP66" s="16">
        <v>5.9</v>
      </c>
      <c r="BQ66" s="16">
        <v>6.3</v>
      </c>
      <c r="BR66" s="16">
        <v>5.66</v>
      </c>
      <c r="BS66" s="16">
        <v>5.5</v>
      </c>
      <c r="BT66" s="16">
        <v>0</v>
      </c>
      <c r="BU66" s="16">
        <v>5.28</v>
      </c>
      <c r="BV66" s="16">
        <v>0</v>
      </c>
      <c r="BW66" s="16">
        <v>5.85</v>
      </c>
      <c r="BX66" s="16">
        <v>5.65</v>
      </c>
      <c r="BY66" s="16">
        <v>5.63</v>
      </c>
      <c r="BZ66" s="16">
        <v>5.65</v>
      </c>
      <c r="CA66" s="16">
        <v>5.94</v>
      </c>
      <c r="CB66" s="16">
        <v>5.56</v>
      </c>
      <c r="CC66" s="16">
        <v>5.81</v>
      </c>
      <c r="CD66" s="16">
        <v>5.84</v>
      </c>
      <c r="CE66" s="16">
        <v>5.94</v>
      </c>
      <c r="CF66" s="17">
        <f>SUM(Input_Raw[[#This Row],[G01]:[G40]])</f>
        <v>539046</v>
      </c>
      <c r="CG66" s="18">
        <f>IFERROR(AVERAGE(Input_Raw[[#This Row],[WS_G01]:[WS_G40]]),"")</f>
        <v>5.7389743589743594</v>
      </c>
      <c r="CH66" s="19"/>
      <c r="CI66" s="19"/>
      <c r="CJ66" s="15">
        <v>241340</v>
      </c>
      <c r="CK66" s="15">
        <v>2189</v>
      </c>
      <c r="CL66" s="15">
        <v>281205</v>
      </c>
      <c r="CM66" s="15">
        <v>2216</v>
      </c>
      <c r="CN66" s="15">
        <v>257505</v>
      </c>
      <c r="CO66" s="15">
        <v>1823</v>
      </c>
      <c r="CP66" s="15">
        <v>293566</v>
      </c>
      <c r="CQ66" s="15">
        <v>1869</v>
      </c>
      <c r="CR66" s="148">
        <f>IF(((Input_Raw[[#This Row],[33 kV_Wind_F1_Export reading]]-CJ65)*1200)&gt;0,(Input_Raw[[#This Row],[33 kV_Wind_F1_Export reading]]-CJ65)*1200,0)</f>
        <v>133200</v>
      </c>
      <c r="CS66" s="148">
        <f>IF(((Input_Raw[[#This Row],[33 kV_Wind_F1_Import reading]]-CK65)*1200)&gt;0,(Input_Raw[[#This Row],[33 kV_Wind_F1_Import reading]]-CK65)*1200,0)</f>
        <v>0</v>
      </c>
      <c r="CT66" s="148">
        <f>IF(((Input_Raw[[#This Row],[33 kV_Wind_F2_Export_reading]]-CL65)*1200)&gt;0,(Input_Raw[[#This Row],[33 kV_Wind_F2_Export_reading]]-CL65)*1200,0)</f>
        <v>96000</v>
      </c>
      <c r="CU66" s="148">
        <f>IF(((Input_Raw[[#This Row],[33 kV_Wind_F2_Import_reading]]-CM65)*1200)&gt;0,(Input_Raw[[#This Row],[33 kV_Wind_F2_Import_reading]]-CM65)*1200,0)</f>
        <v>0</v>
      </c>
      <c r="CV66" s="148">
        <f>IF(((Input_Raw[[#This Row],[33 kV_Wind_F3_Export_Reading]]-CN65)*1200)&gt;0,(Input_Raw[[#This Row],[33 kV_Wind_F3_Export_Reading]]-CN65)*1200,0)</f>
        <v>147600</v>
      </c>
      <c r="CW66" s="148">
        <f>IF(((Input_Raw[[#This Row],[33 kV_Wind_F3_Import_Reading]]-CO65)*1200)&gt;0,(Input_Raw[[#This Row],[33 kV_Wind_F3_Import_Reading]]-CO65)*1200,0)</f>
        <v>0</v>
      </c>
      <c r="CX66" s="148">
        <f>IF(((Input_Raw[[#This Row],[33 kV_Wind_F4_Export Reading]]-CP65)*1200)&gt;0,(Input_Raw[[#This Row],[33 kV_Wind_F4_Export Reading]]-CP65)*1200,0)</f>
        <v>154800</v>
      </c>
      <c r="CY66" s="148">
        <f>IF(((Input_Raw[[#This Row],[33 kV_Wind_F4_Import Reading]]-CQ65)*1200)&gt;0,(Input_Raw[[#This Row],[33 kV_Wind_F4_Import Reading]]-CQ65)*1200,0)</f>
        <v>0</v>
      </c>
      <c r="CZ66" s="148">
        <f>Input_Raw[[#This Row],[33 kV_F1_Total_Export (KWh)]]+Input_Raw[[#This Row],[33 kV_F2_Total_Export (KWh)2]]+Input_Raw[[#This Row],[33 kV_Wind_F3_Export (KWh)]]+Input_Raw[[#This Row],[33 kV_Wind_F4_Export (KWh)]]</f>
        <v>531600</v>
      </c>
      <c r="DA66" s="148">
        <f>Input_Raw[[#This Row],[33 kV_Wind_F1_Import (KWh)]]+Input_Raw[[#This Row],[33 kV_Wind_F2_Import (KWh)]]+Input_Raw[[#This Row],[33 kV_Wind_F3_Import (KWh)2]]+Input_Raw[[#This Row],[33 kV_Wind_F4_Import (KWh)2]]</f>
        <v>0</v>
      </c>
      <c r="DB66" s="21">
        <f>IFERROR(1-Input_Raw[[#This Row],[33 kV_Wind_Total_Export (KWh)]]/Input_Raw[[#This Row],[WTG Total Gneration (KWh)]],0)</f>
        <v>1.3813292372079511E-2</v>
      </c>
      <c r="DC66" s="161">
        <v>96</v>
      </c>
      <c r="DD66" s="161">
        <v>52674</v>
      </c>
      <c r="DE66" s="163">
        <v>539.04</v>
      </c>
      <c r="DF66" s="160"/>
      <c r="DG66" s="162">
        <v>78</v>
      </c>
      <c r="DH66" s="281" t="s">
        <v>381</v>
      </c>
    </row>
    <row r="67" spans="1:112">
      <c r="A67" s="20">
        <f t="shared" si="6"/>
        <v>45807</v>
      </c>
      <c r="B67" s="12">
        <f>YEAR(Input_Raw[[#This Row],[Date]])+IF(MONTH(Input_Raw[[#This Row],[Date]])&gt;=4,1,0)</f>
        <v>2026</v>
      </c>
      <c r="C67" s="13">
        <f>YEAR(Input_Raw[[#This Row],[Date]])</f>
        <v>2025</v>
      </c>
      <c r="D67" s="14">
        <f t="shared" si="5"/>
        <v>45778</v>
      </c>
      <c r="E67" s="13">
        <f>DAY(EOMONTH(Input_Raw[[#This Row],[Date]],0))</f>
        <v>31</v>
      </c>
      <c r="F67" s="15">
        <v>15835</v>
      </c>
      <c r="G67" s="15">
        <v>14321</v>
      </c>
      <c r="H67" s="15">
        <v>15869</v>
      </c>
      <c r="I67" s="15">
        <v>14797</v>
      </c>
      <c r="J67" s="15">
        <v>11790</v>
      </c>
      <c r="K67" s="15">
        <v>15894</v>
      </c>
      <c r="L67" s="15">
        <v>15864</v>
      </c>
      <c r="M67" s="15">
        <v>15892</v>
      </c>
      <c r="N67" s="15">
        <v>18652</v>
      </c>
      <c r="O67" s="15">
        <v>15889</v>
      </c>
      <c r="P67" s="15">
        <v>15896</v>
      </c>
      <c r="Q67" s="15">
        <v>18632</v>
      </c>
      <c r="R67" s="15">
        <v>18643</v>
      </c>
      <c r="S67" s="15">
        <v>18645</v>
      </c>
      <c r="T67" s="15">
        <v>18665</v>
      </c>
      <c r="U67" s="15">
        <v>17521</v>
      </c>
      <c r="V67" s="15">
        <v>18675</v>
      </c>
      <c r="W67" s="15">
        <v>18653</v>
      </c>
      <c r="X67" s="15">
        <v>18678</v>
      </c>
      <c r="Y67" s="15">
        <v>18692</v>
      </c>
      <c r="Z67" s="15">
        <v>11789</v>
      </c>
      <c r="AA67" s="15">
        <v>11797</v>
      </c>
      <c r="AB67" s="15">
        <v>11735</v>
      </c>
      <c r="AC67" s="15">
        <v>8749</v>
      </c>
      <c r="AD67" s="15">
        <v>13604</v>
      </c>
      <c r="AE67" s="15">
        <v>11795</v>
      </c>
      <c r="AF67" s="15">
        <v>10990</v>
      </c>
      <c r="AG67" s="15">
        <v>0</v>
      </c>
      <c r="AH67" s="15">
        <v>11786</v>
      </c>
      <c r="AI67" s="15">
        <v>0</v>
      </c>
      <c r="AJ67" s="15">
        <v>13631</v>
      </c>
      <c r="AK67" s="15">
        <v>13656</v>
      </c>
      <c r="AL67" s="15">
        <v>13621</v>
      </c>
      <c r="AM67" s="15">
        <v>13645</v>
      </c>
      <c r="AN67" s="15">
        <v>13652</v>
      </c>
      <c r="AO67" s="15">
        <v>13642</v>
      </c>
      <c r="AP67" s="15">
        <v>13625</v>
      </c>
      <c r="AQ67" s="15">
        <v>13647</v>
      </c>
      <c r="AR67" s="15">
        <v>13664</v>
      </c>
      <c r="AS67" s="146">
        <v>5.8621319444444415</v>
      </c>
      <c r="AT67" s="16">
        <v>6.3055555555555545</v>
      </c>
      <c r="AU67" s="16">
        <v>5.2876624999999988</v>
      </c>
      <c r="AV67" s="16">
        <v>5.3705000000000007</v>
      </c>
      <c r="AW67" s="16">
        <v>5.0465361111111111</v>
      </c>
      <c r="AX67" s="16">
        <v>5.8957361111111117</v>
      </c>
      <c r="AY67" s="16">
        <v>5.8957361111111117</v>
      </c>
      <c r="AZ67" s="16">
        <v>5.8117013888888884</v>
      </c>
      <c r="BA67" s="16">
        <v>6.2648402777777781</v>
      </c>
      <c r="BB67" s="16">
        <v>4.8664374999999991</v>
      </c>
      <c r="BC67" s="16">
        <v>5.6271666666666667</v>
      </c>
      <c r="BD67" s="16">
        <v>5.7042083333333338</v>
      </c>
      <c r="BE67" s="16">
        <v>5.521229166666668</v>
      </c>
      <c r="BF67" s="16">
        <v>5.7344027777777802</v>
      </c>
      <c r="BG67" s="16">
        <v>6.0184652777777803</v>
      </c>
      <c r="BH67" s="16">
        <v>5.5627708333333317</v>
      </c>
      <c r="BI67" s="16">
        <v>6.2912430555555545</v>
      </c>
      <c r="BJ67" s="16">
        <v>5.945188888888886</v>
      </c>
      <c r="BK67" s="16">
        <v>6.109395833333334</v>
      </c>
      <c r="BL67" s="16">
        <v>6.4610694444444432</v>
      </c>
      <c r="BM67" s="16">
        <v>5.9728426086956548</v>
      </c>
      <c r="BN67" s="16">
        <v>4.9143090909090903</v>
      </c>
      <c r="BO67" s="16">
        <v>5.1144638888888885</v>
      </c>
      <c r="BP67" s="16">
        <v>5.3359777777777788</v>
      </c>
      <c r="BQ67" s="16">
        <v>5.0754985294117674</v>
      </c>
      <c r="BR67" s="16">
        <v>5.3434958333333338</v>
      </c>
      <c r="BS67" s="16">
        <v>5.0553076388888858</v>
      </c>
      <c r="BT67" s="16">
        <v>0</v>
      </c>
      <c r="BU67" s="16">
        <v>5</v>
      </c>
      <c r="BV67" s="16">
        <v>0</v>
      </c>
      <c r="BW67" s="16">
        <v>4.9429823529411756</v>
      </c>
      <c r="BX67" s="16">
        <v>4.9764632352941165</v>
      </c>
      <c r="BY67" s="16">
        <v>5.2576333333333336</v>
      </c>
      <c r="BZ67" s="16">
        <v>5.670325663716814</v>
      </c>
      <c r="CA67" s="16">
        <v>5.5863234234234236</v>
      </c>
      <c r="CB67" s="16">
        <v>5.4673336283185847</v>
      </c>
      <c r="CC67" s="16">
        <v>5.2683985294117646</v>
      </c>
      <c r="CD67" s="16">
        <v>5.2848022058823538</v>
      </c>
      <c r="CE67" s="16">
        <v>5.2838499999999984</v>
      </c>
      <c r="CF67" s="17">
        <f>SUM(Input_Raw[[#This Row],[G01]:[G40]])</f>
        <v>552531</v>
      </c>
      <c r="CG67" s="18">
        <f>IFERROR(AVERAGE(Input_Raw[[#This Row],[WS_G01]:[WS_G40]]),"")</f>
        <v>5.25979450046166</v>
      </c>
      <c r="CH67" s="19"/>
      <c r="CI67" s="19"/>
      <c r="CJ67" s="15">
        <v>241453</v>
      </c>
      <c r="CK67" s="15">
        <v>2189</v>
      </c>
      <c r="CL67" s="15">
        <v>281280</v>
      </c>
      <c r="CM67" s="15">
        <v>2216</v>
      </c>
      <c r="CN67" s="15">
        <v>257621</v>
      </c>
      <c r="CO67" s="15">
        <v>1823</v>
      </c>
      <c r="CP67" s="15">
        <v>293720</v>
      </c>
      <c r="CQ67" s="15">
        <v>1869</v>
      </c>
      <c r="CR67" s="148">
        <f>IF(((Input_Raw[[#This Row],[33 kV_Wind_F1_Export reading]]-CJ66)*1200)&gt;0,(Input_Raw[[#This Row],[33 kV_Wind_F1_Export reading]]-CJ66)*1200,0)</f>
        <v>135600</v>
      </c>
      <c r="CS67" s="148">
        <f>IF(((Input_Raw[[#This Row],[33 kV_Wind_F1_Import reading]]-CK66)*1200)&gt;0,(Input_Raw[[#This Row],[33 kV_Wind_F1_Import reading]]-CK66)*1200,0)</f>
        <v>0</v>
      </c>
      <c r="CT67" s="148">
        <f>IF(((Input_Raw[[#This Row],[33 kV_Wind_F2_Export_reading]]-CL66)*1200)&gt;0,(Input_Raw[[#This Row],[33 kV_Wind_F2_Export_reading]]-CL66)*1200,0)</f>
        <v>90000</v>
      </c>
      <c r="CU67" s="148">
        <f>IF(((Input_Raw[[#This Row],[33 kV_Wind_F2_Import_reading]]-CM66)*1200)&gt;0,(Input_Raw[[#This Row],[33 kV_Wind_F2_Import_reading]]-CM66)*1200,0)</f>
        <v>0</v>
      </c>
      <c r="CV67" s="148">
        <f>IF(((Input_Raw[[#This Row],[33 kV_Wind_F3_Export_Reading]]-CN66)*1200)&gt;0,(Input_Raw[[#This Row],[33 kV_Wind_F3_Export_Reading]]-CN66)*1200,0)</f>
        <v>139200</v>
      </c>
      <c r="CW67" s="148">
        <f>IF(((Input_Raw[[#This Row],[33 kV_Wind_F3_Import_Reading]]-CO66)*1200)&gt;0,(Input_Raw[[#This Row],[33 kV_Wind_F3_Import_Reading]]-CO66)*1200,0)</f>
        <v>0</v>
      </c>
      <c r="CX67" s="148">
        <f>IF(((Input_Raw[[#This Row],[33 kV_Wind_F4_Export Reading]]-CP66)*1200)&gt;0,(Input_Raw[[#This Row],[33 kV_Wind_F4_Export Reading]]-CP66)*1200,0)</f>
        <v>184800</v>
      </c>
      <c r="CY67" s="148">
        <f>IF(((Input_Raw[[#This Row],[33 kV_Wind_F4_Import Reading]]-CQ66)*1200)&gt;0,(Input_Raw[[#This Row],[33 kV_Wind_F4_Import Reading]]-CQ66)*1200,0)</f>
        <v>0</v>
      </c>
      <c r="CZ67" s="148">
        <f>Input_Raw[[#This Row],[33 kV_F1_Total_Export (KWh)]]+Input_Raw[[#This Row],[33 kV_F2_Total_Export (KWh)2]]+Input_Raw[[#This Row],[33 kV_Wind_F3_Export (KWh)]]+Input_Raw[[#This Row],[33 kV_Wind_F4_Export (KWh)]]</f>
        <v>549600</v>
      </c>
      <c r="DA67" s="148">
        <f>Input_Raw[[#This Row],[33 kV_Wind_F1_Import (KWh)]]+Input_Raw[[#This Row],[33 kV_Wind_F2_Import (KWh)]]+Input_Raw[[#This Row],[33 kV_Wind_F3_Import (KWh)2]]+Input_Raw[[#This Row],[33 kV_Wind_F4_Import (KWh)2]]</f>
        <v>0</v>
      </c>
      <c r="DB67" s="21">
        <f>IFERROR(1-Input_Raw[[#This Row],[33 kV_Wind_Total_Export (KWh)]]/Input_Raw[[#This Row],[WTG Total Gneration (KWh)]],0)</f>
        <v>5.3046797374265431E-3</v>
      </c>
      <c r="DC67" s="161">
        <v>96</v>
      </c>
      <c r="DD67" s="161">
        <v>111665</v>
      </c>
      <c r="DE67" s="163">
        <v>552.53</v>
      </c>
      <c r="DF67" s="160"/>
      <c r="DG67" s="162">
        <v>78</v>
      </c>
      <c r="DH67" s="281" t="s">
        <v>381</v>
      </c>
    </row>
    <row r="68" spans="1:112">
      <c r="A68" s="20">
        <f t="shared" si="6"/>
        <v>45808</v>
      </c>
      <c r="B68" s="12">
        <f>YEAR(Input_Raw[[#This Row],[Date]])+IF(MONTH(Input_Raw[[#This Row],[Date]])&gt;=4,1,0)</f>
        <v>2026</v>
      </c>
      <c r="C68" s="13">
        <f>YEAR(Input_Raw[[#This Row],[Date]])</f>
        <v>2025</v>
      </c>
      <c r="D68" s="14">
        <f t="shared" si="5"/>
        <v>45778</v>
      </c>
      <c r="E68" s="13">
        <f>DAY(EOMONTH(Input_Raw[[#This Row],[Date]],0))</f>
        <v>31</v>
      </c>
      <c r="F68" s="15">
        <v>27801</v>
      </c>
      <c r="G68" s="15">
        <v>27807</v>
      </c>
      <c r="H68" s="15">
        <v>27806</v>
      </c>
      <c r="I68" s="15">
        <v>27819</v>
      </c>
      <c r="J68" s="15">
        <v>17106</v>
      </c>
      <c r="K68" s="15">
        <v>27841</v>
      </c>
      <c r="L68" s="15">
        <v>27854</v>
      </c>
      <c r="M68" s="15">
        <v>27867</v>
      </c>
      <c r="N68" s="15">
        <v>26901</v>
      </c>
      <c r="O68" s="15">
        <v>27878</v>
      </c>
      <c r="P68" s="15">
        <v>27897</v>
      </c>
      <c r="Q68" s="15">
        <v>24649</v>
      </c>
      <c r="R68" s="15">
        <v>26906</v>
      </c>
      <c r="S68" s="15">
        <v>26909</v>
      </c>
      <c r="T68" s="15">
        <v>26945</v>
      </c>
      <c r="U68" s="15">
        <v>26942</v>
      </c>
      <c r="V68" s="15">
        <v>26963</v>
      </c>
      <c r="W68" s="15">
        <v>26942</v>
      </c>
      <c r="X68" s="15">
        <v>26983</v>
      </c>
      <c r="Y68" s="15">
        <v>26997</v>
      </c>
      <c r="Z68" s="15">
        <v>17115</v>
      </c>
      <c r="AA68" s="15">
        <v>17167</v>
      </c>
      <c r="AB68" s="15">
        <v>17109</v>
      </c>
      <c r="AC68" s="15">
        <v>15902</v>
      </c>
      <c r="AD68" s="15">
        <v>15980</v>
      </c>
      <c r="AE68" s="15">
        <v>17190</v>
      </c>
      <c r="AF68" s="15">
        <v>17189</v>
      </c>
      <c r="AG68" s="15">
        <v>0</v>
      </c>
      <c r="AH68" s="15">
        <v>17192</v>
      </c>
      <c r="AI68" s="15">
        <v>0</v>
      </c>
      <c r="AJ68" s="15">
        <v>17851</v>
      </c>
      <c r="AK68" s="15">
        <v>17832</v>
      </c>
      <c r="AL68" s="15">
        <v>17842</v>
      </c>
      <c r="AM68" s="15">
        <v>17821</v>
      </c>
      <c r="AN68" s="15">
        <v>17300</v>
      </c>
      <c r="AO68" s="15">
        <v>17839</v>
      </c>
      <c r="AP68" s="15">
        <v>17847</v>
      </c>
      <c r="AQ68" s="15">
        <v>17852</v>
      </c>
      <c r="AR68" s="15">
        <v>17869</v>
      </c>
      <c r="AS68" s="16">
        <v>7.28</v>
      </c>
      <c r="AT68" s="16">
        <v>7.74</v>
      </c>
      <c r="AU68" s="16">
        <v>7.38</v>
      </c>
      <c r="AV68" s="16">
        <v>7.5</v>
      </c>
      <c r="AW68" s="16">
        <v>6.95</v>
      </c>
      <c r="AX68" s="16">
        <v>6.64</v>
      </c>
      <c r="AY68" s="146">
        <v>0</v>
      </c>
      <c r="AZ68" s="16">
        <v>7.59</v>
      </c>
      <c r="BA68" s="16">
        <v>7.79</v>
      </c>
      <c r="BB68" s="16">
        <v>7.37</v>
      </c>
      <c r="BC68" s="16">
        <v>7.73</v>
      </c>
      <c r="BD68" s="16">
        <v>7.52</v>
      </c>
      <c r="BE68" s="16">
        <v>7.72</v>
      </c>
      <c r="BF68" s="16">
        <v>7.67</v>
      </c>
      <c r="BG68" s="16">
        <v>7.75</v>
      </c>
      <c r="BH68" s="16">
        <v>7.66</v>
      </c>
      <c r="BI68" s="16">
        <v>8.3800000000000008</v>
      </c>
      <c r="BJ68" s="16">
        <v>7.44</v>
      </c>
      <c r="BK68" s="16">
        <v>8.44</v>
      </c>
      <c r="BL68" s="16">
        <v>7.02</v>
      </c>
      <c r="BM68" s="16">
        <v>6.9</v>
      </c>
      <c r="BN68" s="16">
        <v>7.2</v>
      </c>
      <c r="BO68" s="16">
        <v>7.24</v>
      </c>
      <c r="BP68" s="16">
        <v>7.4</v>
      </c>
      <c r="BQ68" s="16">
        <v>7.39</v>
      </c>
      <c r="BR68" s="16">
        <v>7.05</v>
      </c>
      <c r="BS68" s="16">
        <v>6.74</v>
      </c>
      <c r="BT68" s="16">
        <v>0</v>
      </c>
      <c r="BU68" s="16">
        <v>7.37</v>
      </c>
      <c r="BV68" s="16">
        <v>0</v>
      </c>
      <c r="BW68" s="16">
        <v>6.79</v>
      </c>
      <c r="BX68" s="16">
        <v>6.65</v>
      </c>
      <c r="BY68" s="16">
        <v>6.54</v>
      </c>
      <c r="BZ68" s="16">
        <v>7.02</v>
      </c>
      <c r="CA68" s="16">
        <v>7.65</v>
      </c>
      <c r="CB68" s="16">
        <v>7.66</v>
      </c>
      <c r="CC68" s="16">
        <v>6.74</v>
      </c>
      <c r="CD68" s="16">
        <v>6.53</v>
      </c>
      <c r="CE68" s="16">
        <v>7.19</v>
      </c>
      <c r="CF68" s="17">
        <f>SUM(Input_Raw[[#This Row],[G01]:[G40]])</f>
        <v>829710</v>
      </c>
      <c r="CG68" s="18">
        <f>IFERROR(AVERAGE(Input_Raw[[#This Row],[WS_G01]:[WS_G40]]),"")</f>
        <v>6.7597435897435894</v>
      </c>
      <c r="CH68" s="19"/>
      <c r="CI68" s="19"/>
      <c r="CJ68" s="15">
        <v>241599</v>
      </c>
      <c r="CK68" s="15">
        <v>2189</v>
      </c>
      <c r="CL68" s="15">
        <v>281393</v>
      </c>
      <c r="CM68" s="15">
        <v>2216</v>
      </c>
      <c r="CN68" s="15">
        <v>257829</v>
      </c>
      <c r="CO68" s="15">
        <v>1823</v>
      </c>
      <c r="CP68" s="15">
        <v>293942</v>
      </c>
      <c r="CQ68" s="15">
        <v>1869</v>
      </c>
      <c r="CR68" s="148">
        <f>IF(((Input_Raw[[#This Row],[33 kV_Wind_F1_Export reading]]-CJ67)*1200)&gt;0,(Input_Raw[[#This Row],[33 kV_Wind_F1_Export reading]]-CJ67)*1200,0)</f>
        <v>175200</v>
      </c>
      <c r="CS68" s="148">
        <f>IF(((Input_Raw[[#This Row],[33 kV_Wind_F1_Import reading]]-CK67)*1200)&gt;0,(Input_Raw[[#This Row],[33 kV_Wind_F1_Import reading]]-CK67)*1200,0)</f>
        <v>0</v>
      </c>
      <c r="CT68" s="148">
        <f>IF(((Input_Raw[[#This Row],[33 kV_Wind_F2_Export_reading]]-CL67)*1200)&gt;0,(Input_Raw[[#This Row],[33 kV_Wind_F2_Export_reading]]-CL67)*1200,0)</f>
        <v>135600</v>
      </c>
      <c r="CU68" s="148">
        <f>IF(((Input_Raw[[#This Row],[33 kV_Wind_F2_Import_reading]]-CM67)*1200)&gt;0,(Input_Raw[[#This Row],[33 kV_Wind_F2_Import_reading]]-CM67)*1200,0)</f>
        <v>0</v>
      </c>
      <c r="CV68" s="148">
        <f>IF(((Input_Raw[[#This Row],[33 kV_Wind_F3_Export_Reading]]-CN67)*1200)&gt;0,(Input_Raw[[#This Row],[33 kV_Wind_F3_Export_Reading]]-CN67)*1200,0)</f>
        <v>249600</v>
      </c>
      <c r="CW68" s="148">
        <f>IF(((Input_Raw[[#This Row],[33 kV_Wind_F3_Import_Reading]]-CO67)*1200)&gt;0,(Input_Raw[[#This Row],[33 kV_Wind_F3_Import_Reading]]-CO67)*1200,0)</f>
        <v>0</v>
      </c>
      <c r="CX68" s="148">
        <f>IF(((Input_Raw[[#This Row],[33 kV_Wind_F4_Export Reading]]-CP67)*1200)&gt;0,(Input_Raw[[#This Row],[33 kV_Wind_F4_Export Reading]]-CP67)*1200,0)</f>
        <v>266400</v>
      </c>
      <c r="CY68" s="148">
        <f>IF(((Input_Raw[[#This Row],[33 kV_Wind_F4_Import Reading]]-CQ67)*1200)&gt;0,(Input_Raw[[#This Row],[33 kV_Wind_F4_Import Reading]]-CQ67)*1200,0)</f>
        <v>0</v>
      </c>
      <c r="CZ68" s="148">
        <f>Input_Raw[[#This Row],[33 kV_F1_Total_Export (KWh)]]+Input_Raw[[#This Row],[33 kV_F2_Total_Export (KWh)2]]+Input_Raw[[#This Row],[33 kV_Wind_F3_Export (KWh)]]+Input_Raw[[#This Row],[33 kV_Wind_F4_Export (KWh)]]</f>
        <v>826800</v>
      </c>
      <c r="DA68" s="148">
        <f>Input_Raw[[#This Row],[33 kV_Wind_F1_Import (KWh)]]+Input_Raw[[#This Row],[33 kV_Wind_F2_Import (KWh)]]+Input_Raw[[#This Row],[33 kV_Wind_F3_Import (KWh)2]]+Input_Raw[[#This Row],[33 kV_Wind_F4_Import (KWh)2]]</f>
        <v>0</v>
      </c>
      <c r="DB68" s="21">
        <f>IFERROR(1-Input_Raw[[#This Row],[33 kV_Wind_Total_Export (KWh)]]/Input_Raw[[#This Row],[WTG Total Gneration (KWh)]],0)</f>
        <v>3.5072495209169663E-3</v>
      </c>
      <c r="DC68" s="161">
        <v>96</v>
      </c>
      <c r="DD68" s="161">
        <v>291053</v>
      </c>
      <c r="DE68" s="163">
        <v>829.71</v>
      </c>
      <c r="DF68" s="160"/>
      <c r="DG68" s="162">
        <v>78</v>
      </c>
      <c r="DH68" s="281" t="s">
        <v>381</v>
      </c>
    </row>
    <row r="69" spans="1:112">
      <c r="A69" s="20">
        <f t="shared" si="6"/>
        <v>45809</v>
      </c>
      <c r="B69" s="12">
        <f>YEAR(Input_Raw[[#This Row],[Date]])+IF(MONTH(Input_Raw[[#This Row],[Date]])&gt;=4,1,0)</f>
        <v>2026</v>
      </c>
      <c r="C69" s="13">
        <f>YEAR(Input_Raw[[#This Row],[Date]])</f>
        <v>2025</v>
      </c>
      <c r="D69" s="14">
        <f t="shared" si="5"/>
        <v>45809</v>
      </c>
      <c r="E69" s="13">
        <f>DAY(EOMONTH(Input_Raw[[#This Row],[Date]],0))</f>
        <v>30</v>
      </c>
      <c r="F69" s="15">
        <v>25119</v>
      </c>
      <c r="G69" s="15">
        <v>25121</v>
      </c>
      <c r="H69" s="15">
        <v>25115</v>
      </c>
      <c r="I69" s="15">
        <v>25122</v>
      </c>
      <c r="J69" s="15">
        <v>19223</v>
      </c>
      <c r="K69" s="15">
        <v>25134</v>
      </c>
      <c r="L69" s="15">
        <v>25123</v>
      </c>
      <c r="M69" s="15">
        <v>25131</v>
      </c>
      <c r="N69" s="15">
        <v>20263</v>
      </c>
      <c r="O69" s="15">
        <v>25165</v>
      </c>
      <c r="P69" s="15">
        <v>25172</v>
      </c>
      <c r="Q69" s="15">
        <v>23119</v>
      </c>
      <c r="R69" s="15">
        <v>23112</v>
      </c>
      <c r="S69" s="15">
        <v>23132</v>
      </c>
      <c r="T69" s="15">
        <v>23145</v>
      </c>
      <c r="U69" s="15">
        <v>23144</v>
      </c>
      <c r="V69" s="15">
        <v>23151</v>
      </c>
      <c r="W69" s="15">
        <v>23134</v>
      </c>
      <c r="X69" s="15">
        <v>23167</v>
      </c>
      <c r="Y69" s="15">
        <v>23178</v>
      </c>
      <c r="Z69" s="15">
        <v>19243</v>
      </c>
      <c r="AA69" s="15">
        <v>18521</v>
      </c>
      <c r="AB69" s="15">
        <v>18501</v>
      </c>
      <c r="AC69" s="15">
        <v>18509</v>
      </c>
      <c r="AD69" s="15">
        <v>17921</v>
      </c>
      <c r="AE69" s="15">
        <v>19245</v>
      </c>
      <c r="AF69" s="15">
        <v>19252</v>
      </c>
      <c r="AG69" s="15">
        <v>0</v>
      </c>
      <c r="AH69" s="15">
        <v>19267</v>
      </c>
      <c r="AI69" s="15">
        <v>0</v>
      </c>
      <c r="AJ69" s="15">
        <v>17945</v>
      </c>
      <c r="AK69" s="15">
        <v>17924</v>
      </c>
      <c r="AL69" s="15">
        <v>17952</v>
      </c>
      <c r="AM69" s="15">
        <v>17946</v>
      </c>
      <c r="AN69" s="15">
        <v>17956</v>
      </c>
      <c r="AO69" s="15">
        <v>17949</v>
      </c>
      <c r="AP69" s="15">
        <v>17932</v>
      </c>
      <c r="AQ69" s="15">
        <v>17967</v>
      </c>
      <c r="AR69" s="15">
        <v>17959</v>
      </c>
      <c r="AS69" s="16">
        <v>7.13</v>
      </c>
      <c r="AT69" s="16">
        <v>7.22</v>
      </c>
      <c r="AU69" s="16">
        <v>7.2</v>
      </c>
      <c r="AV69" s="16">
        <v>7.2</v>
      </c>
      <c r="AW69" s="16">
        <v>6.86</v>
      </c>
      <c r="AX69" s="16">
        <v>6.84</v>
      </c>
      <c r="AY69" s="16">
        <v>7.52</v>
      </c>
      <c r="AZ69" s="16">
        <v>7.38</v>
      </c>
      <c r="BA69" s="16">
        <v>7.33</v>
      </c>
      <c r="BB69" s="16">
        <v>7.21</v>
      </c>
      <c r="BC69" s="16">
        <v>7.51</v>
      </c>
      <c r="BD69" s="16">
        <v>7.19</v>
      </c>
      <c r="BE69" s="16">
        <v>7.34</v>
      </c>
      <c r="BF69" s="16">
        <v>7.41</v>
      </c>
      <c r="BG69" s="16">
        <v>7.21</v>
      </c>
      <c r="BH69" s="16">
        <v>7.4</v>
      </c>
      <c r="BI69" s="16">
        <v>7.01</v>
      </c>
      <c r="BJ69" s="16">
        <v>7.28</v>
      </c>
      <c r="BK69" s="16">
        <v>7.58</v>
      </c>
      <c r="BL69" s="16">
        <v>7.54</v>
      </c>
      <c r="BM69" s="16">
        <v>6.5</v>
      </c>
      <c r="BN69" s="16">
        <v>7.13</v>
      </c>
      <c r="BO69" s="16">
        <v>7.11</v>
      </c>
      <c r="BP69" s="16">
        <v>7.2</v>
      </c>
      <c r="BQ69" s="16">
        <v>6.69</v>
      </c>
      <c r="BR69" s="16">
        <v>6.89</v>
      </c>
      <c r="BS69" s="16">
        <v>6.85</v>
      </c>
      <c r="BT69" s="16">
        <v>0</v>
      </c>
      <c r="BU69" s="16">
        <v>7.02</v>
      </c>
      <c r="BV69" s="16">
        <v>0</v>
      </c>
      <c r="BW69" s="16">
        <v>6.26</v>
      </c>
      <c r="BX69" s="16">
        <v>6.56</v>
      </c>
      <c r="BY69" s="16">
        <v>6.37</v>
      </c>
      <c r="BZ69" s="16">
        <v>6.77</v>
      </c>
      <c r="CA69" s="16">
        <v>7.01</v>
      </c>
      <c r="CB69" s="16">
        <v>7.01</v>
      </c>
      <c r="CC69" s="16">
        <v>6.41</v>
      </c>
      <c r="CD69" s="16">
        <v>6.12</v>
      </c>
      <c r="CE69" s="16">
        <v>6.55</v>
      </c>
      <c r="CF69" s="17">
        <f>SUM(Input_Raw[[#This Row],[G01]:[G40]])</f>
        <v>785959</v>
      </c>
      <c r="CG69" s="18">
        <f>IFERROR(AVERAGE(Input_Raw[[#This Row],[WS_G01]:[WS_G40]]),"")</f>
        <v>6.6617948717948723</v>
      </c>
      <c r="CH69" s="19"/>
      <c r="CI69" s="19"/>
      <c r="CJ69" s="15">
        <v>241748</v>
      </c>
      <c r="CK69" s="15">
        <v>2189</v>
      </c>
      <c r="CL69" s="15">
        <v>281518</v>
      </c>
      <c r="CM69" s="15">
        <v>2216</v>
      </c>
      <c r="CN69" s="15">
        <v>258017</v>
      </c>
      <c r="CO69" s="15">
        <v>1823</v>
      </c>
      <c r="CP69" s="15">
        <v>294132</v>
      </c>
      <c r="CQ69" s="15">
        <v>1869</v>
      </c>
      <c r="CR69" s="148">
        <f>IF(((Input_Raw[[#This Row],[33 kV_Wind_F1_Export reading]]-CJ68)*1200)&gt;0,(Input_Raw[[#This Row],[33 kV_Wind_F1_Export reading]]-CJ68)*1200,0)</f>
        <v>178800</v>
      </c>
      <c r="CS69" s="148">
        <f>IF(((Input_Raw[[#This Row],[33 kV_Wind_F1_Import reading]]-CK68)*1200)&gt;0,(Input_Raw[[#This Row],[33 kV_Wind_F1_Import reading]]-CK68)*1200,0)</f>
        <v>0</v>
      </c>
      <c r="CT69" s="148">
        <f>IF(((Input_Raw[[#This Row],[33 kV_Wind_F2_Export_reading]]-CL68)*1200)&gt;0,(Input_Raw[[#This Row],[33 kV_Wind_F2_Export_reading]]-CL68)*1200,0)</f>
        <v>150000</v>
      </c>
      <c r="CU69" s="148">
        <f>IF(((Input_Raw[[#This Row],[33 kV_Wind_F2_Import_reading]]-CM68)*1200)&gt;0,(Input_Raw[[#This Row],[33 kV_Wind_F2_Import_reading]]-CM68)*1200,0)</f>
        <v>0</v>
      </c>
      <c r="CV69" s="148">
        <f>IF(((Input_Raw[[#This Row],[33 kV_Wind_F3_Export_Reading]]-CN68)*1200)&gt;0,(Input_Raw[[#This Row],[33 kV_Wind_F3_Export_Reading]]-CN68)*1200,0)</f>
        <v>225600</v>
      </c>
      <c r="CW69" s="148">
        <f>IF(((Input_Raw[[#This Row],[33 kV_Wind_F3_Import_Reading]]-CO68)*1200)&gt;0,(Input_Raw[[#This Row],[33 kV_Wind_F3_Import_Reading]]-CO68)*1200,0)</f>
        <v>0</v>
      </c>
      <c r="CX69" s="148">
        <f>IF(((Input_Raw[[#This Row],[33 kV_Wind_F4_Export Reading]]-CP68)*1200)&gt;0,(Input_Raw[[#This Row],[33 kV_Wind_F4_Export Reading]]-CP68)*1200,0)</f>
        <v>228000</v>
      </c>
      <c r="CY69" s="148">
        <f>IF(((Input_Raw[[#This Row],[33 kV_Wind_F4_Import Reading]]-CQ68)*1200)&gt;0,(Input_Raw[[#This Row],[33 kV_Wind_F4_Import Reading]]-CQ68)*1200,0)</f>
        <v>0</v>
      </c>
      <c r="CZ69" s="148">
        <f>Input_Raw[[#This Row],[33 kV_F1_Total_Export (KWh)]]+Input_Raw[[#This Row],[33 kV_F2_Total_Export (KWh)2]]+Input_Raw[[#This Row],[33 kV_Wind_F3_Export (KWh)]]+Input_Raw[[#This Row],[33 kV_Wind_F4_Export (KWh)]]</f>
        <v>782400</v>
      </c>
      <c r="DA69" s="148">
        <f>Input_Raw[[#This Row],[33 kV_Wind_F1_Import (KWh)]]+Input_Raw[[#This Row],[33 kV_Wind_F2_Import (KWh)]]+Input_Raw[[#This Row],[33 kV_Wind_F3_Import (KWh)2]]+Input_Raw[[#This Row],[33 kV_Wind_F4_Import (KWh)2]]</f>
        <v>0</v>
      </c>
      <c r="DB69" s="21">
        <f>IFERROR(1-Input_Raw[[#This Row],[33 kV_Wind_Total_Export (KWh)]]/Input_Raw[[#This Row],[WTG Total Gneration (KWh)]],0)</f>
        <v>4.5282260270573804E-3</v>
      </c>
      <c r="DC69" s="161">
        <v>96</v>
      </c>
      <c r="DD69" s="161">
        <v>247411</v>
      </c>
      <c r="DE69" s="163">
        <v>785.95</v>
      </c>
      <c r="DF69" s="160"/>
      <c r="DG69" s="162">
        <v>78</v>
      </c>
      <c r="DH69" s="281" t="s">
        <v>381</v>
      </c>
    </row>
    <row r="70" spans="1:112">
      <c r="A70" s="20">
        <f t="shared" si="6"/>
        <v>45810</v>
      </c>
      <c r="B70" s="12">
        <f>YEAR(Input_Raw[[#This Row],[Date]])+IF(MONTH(Input_Raw[[#This Row],[Date]])&gt;=4,1,0)</f>
        <v>2026</v>
      </c>
      <c r="C70" s="13">
        <f>YEAR(Input_Raw[[#This Row],[Date]])</f>
        <v>2025</v>
      </c>
      <c r="D70" s="14">
        <f t="shared" si="5"/>
        <v>45809</v>
      </c>
      <c r="E70" s="13">
        <f>DAY(EOMONTH(Input_Raw[[#This Row],[Date]],0))</f>
        <v>30</v>
      </c>
      <c r="F70" s="15">
        <v>10401</v>
      </c>
      <c r="G70" s="15">
        <v>10407</v>
      </c>
      <c r="H70" s="15">
        <v>10402</v>
      </c>
      <c r="I70" s="15">
        <v>9518</v>
      </c>
      <c r="J70" s="15">
        <v>9544</v>
      </c>
      <c r="K70" s="15">
        <v>10409</v>
      </c>
      <c r="L70" s="15">
        <v>10399</v>
      </c>
      <c r="M70" s="15">
        <v>8107</v>
      </c>
      <c r="N70" s="15">
        <v>12223</v>
      </c>
      <c r="O70" s="15">
        <v>10456</v>
      </c>
      <c r="P70" s="15">
        <v>10467</v>
      </c>
      <c r="Q70" s="15">
        <v>12232</v>
      </c>
      <c r="R70" s="15">
        <v>12234</v>
      </c>
      <c r="S70" s="15">
        <v>12245</v>
      </c>
      <c r="T70" s="15">
        <v>12256</v>
      </c>
      <c r="U70" s="15">
        <v>12252</v>
      </c>
      <c r="V70" s="15">
        <v>12254</v>
      </c>
      <c r="W70" s="15">
        <v>12233</v>
      </c>
      <c r="X70" s="15">
        <v>12267</v>
      </c>
      <c r="Y70" s="15">
        <v>11499</v>
      </c>
      <c r="Z70" s="15">
        <v>9556</v>
      </c>
      <c r="AA70" s="15">
        <v>9552</v>
      </c>
      <c r="AB70" s="15">
        <v>9545</v>
      </c>
      <c r="AC70" s="15">
        <v>10260</v>
      </c>
      <c r="AD70" s="15">
        <v>9102</v>
      </c>
      <c r="AE70" s="15">
        <v>10256</v>
      </c>
      <c r="AF70" s="15">
        <v>10267</v>
      </c>
      <c r="AG70" s="15">
        <v>0</v>
      </c>
      <c r="AH70" s="15">
        <v>10278</v>
      </c>
      <c r="AI70" s="15">
        <v>0</v>
      </c>
      <c r="AJ70" s="15">
        <v>9105</v>
      </c>
      <c r="AK70" s="15">
        <v>8664</v>
      </c>
      <c r="AL70" s="15">
        <v>9109</v>
      </c>
      <c r="AM70" s="15">
        <v>8678</v>
      </c>
      <c r="AN70" s="15">
        <v>9111</v>
      </c>
      <c r="AO70" s="15">
        <v>9110</v>
      </c>
      <c r="AP70" s="15">
        <v>9103</v>
      </c>
      <c r="AQ70" s="15">
        <v>9114</v>
      </c>
      <c r="AR70" s="15">
        <v>9116</v>
      </c>
      <c r="AS70" s="16">
        <v>4.8499999999999996</v>
      </c>
      <c r="AT70" s="16">
        <v>5.37</v>
      </c>
      <c r="AU70" s="16">
        <v>4.76</v>
      </c>
      <c r="AV70" s="16">
        <v>4.7699999999999996</v>
      </c>
      <c r="AW70" s="16">
        <v>5.09</v>
      </c>
      <c r="AX70" s="16">
        <v>5.19</v>
      </c>
      <c r="AY70" s="16">
        <v>4.8</v>
      </c>
      <c r="AZ70" s="16">
        <v>4.87</v>
      </c>
      <c r="BA70" s="16">
        <v>5.25</v>
      </c>
      <c r="BB70" s="16">
        <v>4.9800000000000004</v>
      </c>
      <c r="BC70" s="16">
        <v>5.45</v>
      </c>
      <c r="BD70" s="16">
        <v>5.28</v>
      </c>
      <c r="BE70" s="16">
        <v>5.32</v>
      </c>
      <c r="BF70" s="16">
        <v>5.14</v>
      </c>
      <c r="BG70" s="16">
        <v>5.09</v>
      </c>
      <c r="BH70" s="16">
        <v>5.27</v>
      </c>
      <c r="BI70" s="16">
        <v>5.07</v>
      </c>
      <c r="BJ70" s="16">
        <v>5.36</v>
      </c>
      <c r="BK70" s="16">
        <v>6.59</v>
      </c>
      <c r="BL70" s="16">
        <v>5.63</v>
      </c>
      <c r="BM70" s="16">
        <v>5.4</v>
      </c>
      <c r="BN70" s="16">
        <v>5.44</v>
      </c>
      <c r="BO70" s="16">
        <v>4.66</v>
      </c>
      <c r="BP70" s="16">
        <v>4.9800000000000004</v>
      </c>
      <c r="BQ70" s="16">
        <v>4.95</v>
      </c>
      <c r="BR70" s="16">
        <v>4.71</v>
      </c>
      <c r="BS70" s="16">
        <v>4.88</v>
      </c>
      <c r="BT70" s="16">
        <v>0</v>
      </c>
      <c r="BU70" s="16">
        <v>4.8600000000000003</v>
      </c>
      <c r="BV70" s="16">
        <v>0</v>
      </c>
      <c r="BW70" s="16">
        <v>4.59</v>
      </c>
      <c r="BX70" s="16">
        <v>4.7300000000000004</v>
      </c>
      <c r="BY70" s="16">
        <v>4.88</v>
      </c>
      <c r="BZ70" s="16">
        <v>4.88</v>
      </c>
      <c r="CA70" s="16">
        <v>5.07</v>
      </c>
      <c r="CB70" s="16">
        <v>5.05</v>
      </c>
      <c r="CC70" s="16">
        <v>4.83</v>
      </c>
      <c r="CD70" s="16">
        <v>4.74</v>
      </c>
      <c r="CE70" s="16">
        <v>5.01</v>
      </c>
      <c r="CF70" s="17">
        <f>SUM(Input_Raw[[#This Row],[G01]:[G40]])</f>
        <v>381731</v>
      </c>
      <c r="CG70" s="18">
        <f>IFERROR(AVERAGE(Input_Raw[[#This Row],[WS_G01]:[WS_G40]]),"")</f>
        <v>4.8151282051282047</v>
      </c>
      <c r="CH70" s="19"/>
      <c r="CI70" s="19"/>
      <c r="CJ70" s="15">
        <v>241822</v>
      </c>
      <c r="CK70" s="15">
        <v>2189</v>
      </c>
      <c r="CL70" s="15">
        <v>281584</v>
      </c>
      <c r="CM70" s="15">
        <v>2216</v>
      </c>
      <c r="CN70" s="15">
        <v>258092</v>
      </c>
      <c r="CO70" s="15">
        <v>1823</v>
      </c>
      <c r="CP70" s="15">
        <v>294233</v>
      </c>
      <c r="CQ70" s="15">
        <v>1869</v>
      </c>
      <c r="CR70" s="148">
        <f>IF(((Input_Raw[[#This Row],[33 kV_Wind_F1_Export reading]]-CJ69)*1200)&gt;0,(Input_Raw[[#This Row],[33 kV_Wind_F1_Export reading]]-CJ69)*1200,0)</f>
        <v>88800</v>
      </c>
      <c r="CS70" s="148">
        <f>IF(((Input_Raw[[#This Row],[33 kV_Wind_F1_Import reading]]-CK69)*1200)&gt;0,(Input_Raw[[#This Row],[33 kV_Wind_F1_Import reading]]-CK69)*1200,0)</f>
        <v>0</v>
      </c>
      <c r="CT70" s="148">
        <f>IF(((Input_Raw[[#This Row],[33 kV_Wind_F2_Export_reading]]-CL69)*1200)&gt;0,(Input_Raw[[#This Row],[33 kV_Wind_F2_Export_reading]]-CL69)*1200,0)</f>
        <v>79200</v>
      </c>
      <c r="CU70" s="148">
        <f>IF(((Input_Raw[[#This Row],[33 kV_Wind_F2_Import_reading]]-CM69)*1200)&gt;0,(Input_Raw[[#This Row],[33 kV_Wind_F2_Import_reading]]-CM69)*1200,0)</f>
        <v>0</v>
      </c>
      <c r="CV70" s="148">
        <f>IF(((Input_Raw[[#This Row],[33 kV_Wind_F3_Export_Reading]]-CN69)*1200)&gt;0,(Input_Raw[[#This Row],[33 kV_Wind_F3_Export_Reading]]-CN69)*1200,0)</f>
        <v>90000</v>
      </c>
      <c r="CW70" s="148">
        <f>IF(((Input_Raw[[#This Row],[33 kV_Wind_F3_Import_Reading]]-CO69)*1200)&gt;0,(Input_Raw[[#This Row],[33 kV_Wind_F3_Import_Reading]]-CO69)*1200,0)</f>
        <v>0</v>
      </c>
      <c r="CX70" s="148">
        <f>IF(((Input_Raw[[#This Row],[33 kV_Wind_F4_Export Reading]]-CP69)*1200)&gt;0,(Input_Raw[[#This Row],[33 kV_Wind_F4_Export Reading]]-CP69)*1200,0)</f>
        <v>121200</v>
      </c>
      <c r="CY70" s="148">
        <f>IF(((Input_Raw[[#This Row],[33 kV_Wind_F4_Import Reading]]-CQ69)*1200)&gt;0,(Input_Raw[[#This Row],[33 kV_Wind_F4_Import Reading]]-CQ69)*1200,0)</f>
        <v>0</v>
      </c>
      <c r="CZ70" s="148">
        <f>Input_Raw[[#This Row],[33 kV_F1_Total_Export (KWh)]]+Input_Raw[[#This Row],[33 kV_F2_Total_Export (KWh)2]]+Input_Raw[[#This Row],[33 kV_Wind_F3_Export (KWh)]]+Input_Raw[[#This Row],[33 kV_Wind_F4_Export (KWh)]]</f>
        <v>379200</v>
      </c>
      <c r="DA70" s="148">
        <f>Input_Raw[[#This Row],[33 kV_Wind_F1_Import (KWh)]]+Input_Raw[[#This Row],[33 kV_Wind_F2_Import (KWh)]]+Input_Raw[[#This Row],[33 kV_Wind_F3_Import (KWh)2]]+Input_Raw[[#This Row],[33 kV_Wind_F4_Import (KWh)2]]</f>
        <v>0</v>
      </c>
      <c r="DB70" s="21">
        <f>IFERROR(1-Input_Raw[[#This Row],[33 kV_Wind_Total_Export (KWh)]]/Input_Raw[[#This Row],[WTG Total Gneration (KWh)]],0)</f>
        <v>6.6303234476634554E-3</v>
      </c>
      <c r="DC70" s="161">
        <v>96</v>
      </c>
      <c r="DD70" s="161">
        <v>14431</v>
      </c>
      <c r="DE70" s="163">
        <v>381.73</v>
      </c>
      <c r="DF70" s="160"/>
      <c r="DG70" s="162">
        <v>78</v>
      </c>
      <c r="DH70" s="281" t="s">
        <v>381</v>
      </c>
    </row>
    <row r="71" spans="1:112">
      <c r="A71" s="20">
        <f t="shared" si="6"/>
        <v>45811</v>
      </c>
      <c r="B71" s="12">
        <f>YEAR(Input_Raw[[#This Row],[Date]])+IF(MONTH(Input_Raw[[#This Row],[Date]])&gt;=4,1,0)</f>
        <v>2026</v>
      </c>
      <c r="C71" s="13">
        <f>YEAR(Input_Raw[[#This Row],[Date]])</f>
        <v>2025</v>
      </c>
      <c r="D71" s="14">
        <f t="shared" si="5"/>
        <v>45809</v>
      </c>
      <c r="E71" s="13">
        <f>DAY(EOMONTH(Input_Raw[[#This Row],[Date]],0))</f>
        <v>30</v>
      </c>
      <c r="F71" s="15">
        <v>21256</v>
      </c>
      <c r="G71" s="15">
        <v>21262</v>
      </c>
      <c r="H71" s="15">
        <v>21242</v>
      </c>
      <c r="I71" s="15">
        <v>21234</v>
      </c>
      <c r="J71" s="15">
        <v>18241</v>
      </c>
      <c r="K71" s="15">
        <v>21265</v>
      </c>
      <c r="L71" s="15">
        <v>21254</v>
      </c>
      <c r="M71" s="15">
        <v>21262</v>
      </c>
      <c r="N71" s="15">
        <v>21621</v>
      </c>
      <c r="O71" s="15">
        <v>21268</v>
      </c>
      <c r="P71" s="15">
        <v>19969</v>
      </c>
      <c r="Q71" s="15">
        <v>21632</v>
      </c>
      <c r="R71" s="15">
        <v>21634</v>
      </c>
      <c r="S71" s="15">
        <v>21638</v>
      </c>
      <c r="T71" s="15">
        <v>21642</v>
      </c>
      <c r="U71" s="15">
        <v>21640</v>
      </c>
      <c r="V71" s="15">
        <v>21652</v>
      </c>
      <c r="W71" s="15">
        <v>21657</v>
      </c>
      <c r="X71" s="15">
        <v>21647</v>
      </c>
      <c r="Y71" s="15">
        <v>20782</v>
      </c>
      <c r="Z71" s="15">
        <v>18242</v>
      </c>
      <c r="AA71" s="15">
        <v>18236</v>
      </c>
      <c r="AB71" s="15">
        <v>18230</v>
      </c>
      <c r="AC71" s="15">
        <v>18256</v>
      </c>
      <c r="AD71" s="15">
        <v>18022</v>
      </c>
      <c r="AE71" s="15">
        <v>18251</v>
      </c>
      <c r="AF71" s="15">
        <v>18276</v>
      </c>
      <c r="AG71" s="15">
        <v>0</v>
      </c>
      <c r="AH71" s="15">
        <v>18280</v>
      </c>
      <c r="AI71" s="15">
        <v>0</v>
      </c>
      <c r="AJ71" s="15">
        <v>18067</v>
      </c>
      <c r="AK71" s="15">
        <v>18065</v>
      </c>
      <c r="AL71" s="15">
        <v>18046</v>
      </c>
      <c r="AM71" s="15">
        <v>17021</v>
      </c>
      <c r="AN71" s="15">
        <v>18037</v>
      </c>
      <c r="AO71" s="15">
        <v>18069</v>
      </c>
      <c r="AP71" s="15">
        <v>18065</v>
      </c>
      <c r="AQ71" s="15">
        <v>17489</v>
      </c>
      <c r="AR71" s="15">
        <v>18076</v>
      </c>
      <c r="AS71" s="146">
        <v>5.8621319444444415</v>
      </c>
      <c r="AT71" s="16">
        <v>6.3055555555555545</v>
      </c>
      <c r="AU71" s="16">
        <v>5.2876624999999988</v>
      </c>
      <c r="AV71" s="16">
        <v>5.3705000000000007</v>
      </c>
      <c r="AW71" s="16">
        <v>5.0465361111111111</v>
      </c>
      <c r="AX71" s="16">
        <v>5.8957361111111117</v>
      </c>
      <c r="AY71" s="16">
        <v>5.8957361111111117</v>
      </c>
      <c r="AZ71" s="16">
        <v>5.8117013888888884</v>
      </c>
      <c r="BA71" s="16">
        <v>6.2648402777777781</v>
      </c>
      <c r="BB71" s="16">
        <v>4.8664374999999991</v>
      </c>
      <c r="BC71" s="16">
        <v>5.6271666666666667</v>
      </c>
      <c r="BD71" s="16">
        <v>5.7042083333333338</v>
      </c>
      <c r="BE71" s="16">
        <v>5.521229166666668</v>
      </c>
      <c r="BF71" s="16">
        <v>5.7344027777777802</v>
      </c>
      <c r="BG71" s="16">
        <v>6.0184652777777803</v>
      </c>
      <c r="BH71" s="16">
        <v>5.5627708333333317</v>
      </c>
      <c r="BI71" s="16">
        <v>6.2912430555555545</v>
      </c>
      <c r="BJ71" s="16">
        <v>5.945188888888886</v>
      </c>
      <c r="BK71" s="16">
        <v>6.109395833333334</v>
      </c>
      <c r="BL71" s="16">
        <v>6.4610694444444432</v>
      </c>
      <c r="BM71" s="16">
        <v>5.9728426086956548</v>
      </c>
      <c r="BN71" s="16">
        <v>4.9143090909090903</v>
      </c>
      <c r="BO71" s="16">
        <v>5.1144638888888885</v>
      </c>
      <c r="BP71" s="16">
        <v>5.3359777777777788</v>
      </c>
      <c r="BQ71" s="16">
        <v>5.0754985294117674</v>
      </c>
      <c r="BR71" s="16">
        <v>5.3434958333333338</v>
      </c>
      <c r="BS71" s="16">
        <v>5.0553076388888858</v>
      </c>
      <c r="BT71" s="16">
        <v>0</v>
      </c>
      <c r="BU71" s="16">
        <v>5</v>
      </c>
      <c r="BV71" s="16">
        <v>0</v>
      </c>
      <c r="BW71" s="16">
        <v>4.9429823529411756</v>
      </c>
      <c r="BX71" s="16">
        <v>4.9764632352941165</v>
      </c>
      <c r="BY71" s="16">
        <v>5.2576333333333336</v>
      </c>
      <c r="BZ71" s="16">
        <v>5.670325663716814</v>
      </c>
      <c r="CA71" s="16">
        <v>5.5863234234234236</v>
      </c>
      <c r="CB71" s="16">
        <v>5.4673336283185847</v>
      </c>
      <c r="CC71" s="16">
        <v>5.2683985294117646</v>
      </c>
      <c r="CD71" s="16">
        <v>5.2848022058823538</v>
      </c>
      <c r="CE71" s="16">
        <v>5.2838499999999984</v>
      </c>
      <c r="CF71" s="17">
        <f>SUM(Input_Raw[[#This Row],[G01]:[G40]])</f>
        <v>730526</v>
      </c>
      <c r="CG71" s="18">
        <f>IFERROR(AVERAGE(Input_Raw[[#This Row],[WS_G01]:[WS_G40]]),"")</f>
        <v>5.25979450046166</v>
      </c>
      <c r="CH71" s="19"/>
      <c r="CI71" s="19"/>
      <c r="CJ71" s="15">
        <v>241970</v>
      </c>
      <c r="CK71" s="15">
        <v>2189</v>
      </c>
      <c r="CL71" s="15">
        <v>281705</v>
      </c>
      <c r="CM71" s="15">
        <v>2216</v>
      </c>
      <c r="CN71" s="15">
        <v>258250</v>
      </c>
      <c r="CO71" s="15">
        <v>1823</v>
      </c>
      <c r="CP71" s="15">
        <v>294412</v>
      </c>
      <c r="CQ71" s="15">
        <v>1869</v>
      </c>
      <c r="CR71" s="148">
        <f>IF(((Input_Raw[[#This Row],[33 kV_Wind_F1_Export reading]]-CJ70)*1200)&gt;0,(Input_Raw[[#This Row],[33 kV_Wind_F1_Export reading]]-CJ70)*1200,0)</f>
        <v>177600</v>
      </c>
      <c r="CS71" s="148">
        <f>IF(((Input_Raw[[#This Row],[33 kV_Wind_F1_Import reading]]-CK70)*1200)&gt;0,(Input_Raw[[#This Row],[33 kV_Wind_F1_Import reading]]-CK70)*1200,0)</f>
        <v>0</v>
      </c>
      <c r="CT71" s="148">
        <f>IF(((Input_Raw[[#This Row],[33 kV_Wind_F2_Export_reading]]-CL70)*1200)&gt;0,(Input_Raw[[#This Row],[33 kV_Wind_F2_Export_reading]]-CL70)*1200,0)</f>
        <v>145200</v>
      </c>
      <c r="CU71" s="148">
        <f>IF(((Input_Raw[[#This Row],[33 kV_Wind_F2_Import_reading]]-CM70)*1200)&gt;0,(Input_Raw[[#This Row],[33 kV_Wind_F2_Import_reading]]-CM70)*1200,0)</f>
        <v>0</v>
      </c>
      <c r="CV71" s="148">
        <f>IF(((Input_Raw[[#This Row],[33 kV_Wind_F3_Export_Reading]]-CN70)*1200)&gt;0,(Input_Raw[[#This Row],[33 kV_Wind_F3_Export_Reading]]-CN70)*1200,0)</f>
        <v>189600</v>
      </c>
      <c r="CW71" s="148">
        <f>IF(((Input_Raw[[#This Row],[33 kV_Wind_F3_Import_Reading]]-CO70)*1200)&gt;0,(Input_Raw[[#This Row],[33 kV_Wind_F3_Import_Reading]]-CO70)*1200,0)</f>
        <v>0</v>
      </c>
      <c r="CX71" s="148">
        <f>IF(((Input_Raw[[#This Row],[33 kV_Wind_F4_Export Reading]]-CP70)*1200)&gt;0,(Input_Raw[[#This Row],[33 kV_Wind_F4_Export Reading]]-CP70)*1200,0)</f>
        <v>214800</v>
      </c>
      <c r="CY71" s="148">
        <f>IF(((Input_Raw[[#This Row],[33 kV_Wind_F4_Import Reading]]-CQ70)*1200)&gt;0,(Input_Raw[[#This Row],[33 kV_Wind_F4_Import Reading]]-CQ70)*1200,0)</f>
        <v>0</v>
      </c>
      <c r="CZ71" s="148">
        <f>Input_Raw[[#This Row],[33 kV_F1_Total_Export (KWh)]]+Input_Raw[[#This Row],[33 kV_F2_Total_Export (KWh)2]]+Input_Raw[[#This Row],[33 kV_Wind_F3_Export (KWh)]]+Input_Raw[[#This Row],[33 kV_Wind_F4_Export (KWh)]]</f>
        <v>727200</v>
      </c>
      <c r="DA71" s="148">
        <f>Input_Raw[[#This Row],[33 kV_Wind_F1_Import (KWh)]]+Input_Raw[[#This Row],[33 kV_Wind_F2_Import (KWh)]]+Input_Raw[[#This Row],[33 kV_Wind_F3_Import (KWh)2]]+Input_Raw[[#This Row],[33 kV_Wind_F4_Import (KWh)2]]</f>
        <v>0</v>
      </c>
      <c r="DB71" s="21">
        <f>IFERROR(1-Input_Raw[[#This Row],[33 kV_Wind_Total_Export (KWh)]]/Input_Raw[[#This Row],[WTG Total Gneration (KWh)]],0)</f>
        <v>4.5528838124857529E-3</v>
      </c>
      <c r="DC71" s="161">
        <v>96</v>
      </c>
      <c r="DD71" s="161">
        <v>118681</v>
      </c>
      <c r="DE71" s="163">
        <v>730.52</v>
      </c>
      <c r="DF71" s="160"/>
      <c r="DG71" s="162">
        <v>78</v>
      </c>
      <c r="DH71" s="281" t="s">
        <v>381</v>
      </c>
    </row>
    <row r="72" spans="1:112">
      <c r="A72" s="20">
        <f t="shared" si="6"/>
        <v>45812</v>
      </c>
      <c r="B72" s="12">
        <f>YEAR(Input_Raw[[#This Row],[Date]])+IF(MONTH(Input_Raw[[#This Row],[Date]])&gt;=4,1,0)</f>
        <v>2026</v>
      </c>
      <c r="C72" s="13">
        <f>YEAR(Input_Raw[[#This Row],[Date]])</f>
        <v>2025</v>
      </c>
      <c r="D72" s="14">
        <f t="shared" si="5"/>
        <v>45809</v>
      </c>
      <c r="E72" s="13">
        <f>DAY(EOMONTH(Input_Raw[[#This Row],[Date]],0))</f>
        <v>30</v>
      </c>
      <c r="F72" s="15">
        <v>5742</v>
      </c>
      <c r="G72" s="15">
        <v>5721</v>
      </c>
      <c r="H72" s="15">
        <v>5723</v>
      </c>
      <c r="I72" s="15">
        <v>5734</v>
      </c>
      <c r="J72" s="15">
        <v>2321</v>
      </c>
      <c r="K72" s="15">
        <v>5728</v>
      </c>
      <c r="L72" s="15">
        <v>5722</v>
      </c>
      <c r="M72" s="15">
        <v>5719</v>
      </c>
      <c r="N72" s="15">
        <v>6001</v>
      </c>
      <c r="O72" s="15">
        <v>5732</v>
      </c>
      <c r="P72" s="15">
        <v>5747</v>
      </c>
      <c r="Q72" s="15">
        <v>6021</v>
      </c>
      <c r="R72" s="15">
        <v>6025</v>
      </c>
      <c r="S72" s="15">
        <v>6030</v>
      </c>
      <c r="T72" s="15">
        <v>6045</v>
      </c>
      <c r="U72" s="15">
        <v>6023</v>
      </c>
      <c r="V72" s="15">
        <v>6033</v>
      </c>
      <c r="W72" s="15">
        <v>6021</v>
      </c>
      <c r="X72" s="15">
        <v>6038</v>
      </c>
      <c r="Y72" s="15">
        <v>6039</v>
      </c>
      <c r="Z72" s="15">
        <v>2345</v>
      </c>
      <c r="AA72" s="15">
        <v>2356</v>
      </c>
      <c r="AB72" s="15">
        <v>2342</v>
      </c>
      <c r="AC72" s="15">
        <v>2365</v>
      </c>
      <c r="AD72" s="15">
        <v>3050</v>
      </c>
      <c r="AE72" s="15">
        <v>2362</v>
      </c>
      <c r="AF72" s="15">
        <v>2356</v>
      </c>
      <c r="AG72" s="15">
        <v>0</v>
      </c>
      <c r="AH72" s="15">
        <v>2372</v>
      </c>
      <c r="AI72" s="15">
        <v>0</v>
      </c>
      <c r="AJ72" s="15">
        <v>3059</v>
      </c>
      <c r="AK72" s="15">
        <v>3069</v>
      </c>
      <c r="AL72" s="15">
        <v>3054</v>
      </c>
      <c r="AM72" s="15">
        <v>3059</v>
      </c>
      <c r="AN72" s="15">
        <v>3051</v>
      </c>
      <c r="AO72" s="15">
        <v>3055</v>
      </c>
      <c r="AP72" s="15">
        <v>3034</v>
      </c>
      <c r="AQ72" s="15">
        <v>3059</v>
      </c>
      <c r="AR72" s="15">
        <v>3056</v>
      </c>
      <c r="AS72" s="16">
        <v>4.0641180555555536</v>
      </c>
      <c r="AT72" s="16">
        <v>4.0593055555555582</v>
      </c>
      <c r="AU72" s="16">
        <v>4.0183402777777761</v>
      </c>
      <c r="AV72" s="16">
        <v>3.9908402777777772</v>
      </c>
      <c r="AW72" s="16">
        <v>3.97079861111111</v>
      </c>
      <c r="AX72" s="16">
        <v>4.1533333333333324</v>
      </c>
      <c r="AY72" s="16">
        <v>4.1533333333333324</v>
      </c>
      <c r="AZ72" s="16">
        <v>4.3952637795275589</v>
      </c>
      <c r="BA72" s="16">
        <v>4.0945833333333352</v>
      </c>
      <c r="BB72" s="16">
        <v>4.1891249999999989</v>
      </c>
      <c r="BC72" s="16">
        <v>4.5515753968253962</v>
      </c>
      <c r="BD72" s="16">
        <v>4.0447986111111112</v>
      </c>
      <c r="BE72" s="16">
        <v>4.0977430555555578</v>
      </c>
      <c r="BF72" s="16">
        <v>4.1513819444444442</v>
      </c>
      <c r="BG72" s="16">
        <v>4.114952083333332</v>
      </c>
      <c r="BH72" s="16">
        <v>4.1474861111111121</v>
      </c>
      <c r="BI72" s="16">
        <v>4.3756666666666675</v>
      </c>
      <c r="BJ72" s="16">
        <v>4.3612430555555521</v>
      </c>
      <c r="BK72" s="16">
        <v>4.2470694444444446</v>
      </c>
      <c r="BL72" s="16">
        <v>4.3102222222222224</v>
      </c>
      <c r="BM72" s="16">
        <v>4.0999999999999996</v>
      </c>
      <c r="BN72" s="16">
        <v>4.0657152777777794</v>
      </c>
      <c r="BO72" s="16">
        <v>3.9717916666666659</v>
      </c>
      <c r="BP72" s="16">
        <v>4.1679513888888877</v>
      </c>
      <c r="BQ72" s="16">
        <v>3.8945486111111092</v>
      </c>
      <c r="BR72" s="16">
        <v>3.9962013888888888</v>
      </c>
      <c r="BS72" s="16">
        <v>4.0165833333333332</v>
      </c>
      <c r="BT72" s="16">
        <v>0</v>
      </c>
      <c r="BU72" s="16">
        <v>4.0999999999999996</v>
      </c>
      <c r="BV72" s="16">
        <v>0</v>
      </c>
      <c r="BW72" s="16">
        <v>3.80823611111111</v>
      </c>
      <c r="BX72" s="16">
        <v>3.923756944444444</v>
      </c>
      <c r="BY72" s="16">
        <v>4.0071736111111118</v>
      </c>
      <c r="BZ72" s="16">
        <v>4.0676805555555573</v>
      </c>
      <c r="CA72" s="16">
        <v>4.0488194444444439</v>
      </c>
      <c r="CB72" s="16">
        <v>4.1112569444444436</v>
      </c>
      <c r="CC72" s="16">
        <v>3.8610277777777782</v>
      </c>
      <c r="CD72" s="16">
        <v>3.9456944444444466</v>
      </c>
      <c r="CE72" s="16">
        <v>3.9453750000000003</v>
      </c>
      <c r="CF72" s="17">
        <f>SUM(Input_Raw[[#This Row],[G01]:[G40]])</f>
        <v>161209</v>
      </c>
      <c r="CG72" s="18">
        <f>IFERROR(AVERAGE(Input_Raw[[#This Row],[WS_G01]:[WS_G40]]),"")</f>
        <v>3.885204939707056</v>
      </c>
      <c r="CH72" s="19"/>
      <c r="CI72" s="19"/>
      <c r="CJ72" s="15">
        <v>241995</v>
      </c>
      <c r="CK72" s="15">
        <v>2189</v>
      </c>
      <c r="CL72" s="15">
        <v>281720</v>
      </c>
      <c r="CM72" s="15">
        <v>2216</v>
      </c>
      <c r="CN72" s="15">
        <v>258292</v>
      </c>
      <c r="CO72" s="15">
        <v>1823</v>
      </c>
      <c r="CP72" s="15">
        <v>294461</v>
      </c>
      <c r="CQ72" s="15">
        <v>1869</v>
      </c>
      <c r="CR72" s="148">
        <f>IF(((Input_Raw[[#This Row],[33 kV_Wind_F1_Export reading]]-CJ71)*1200)&gt;0,(Input_Raw[[#This Row],[33 kV_Wind_F1_Export reading]]-CJ71)*1200,0)</f>
        <v>30000</v>
      </c>
      <c r="CS72" s="148">
        <f>IF(((Input_Raw[[#This Row],[33 kV_Wind_F1_Import reading]]-CK71)*1200)&gt;0,(Input_Raw[[#This Row],[33 kV_Wind_F1_Import reading]]-CK71)*1200,0)</f>
        <v>0</v>
      </c>
      <c r="CT72" s="148">
        <f>IF(((Input_Raw[[#This Row],[33 kV_Wind_F2_Export_reading]]-CL71)*1200)&gt;0,(Input_Raw[[#This Row],[33 kV_Wind_F2_Export_reading]]-CL71)*1200,0)</f>
        <v>18000</v>
      </c>
      <c r="CU72" s="148">
        <f>IF(((Input_Raw[[#This Row],[33 kV_Wind_F2_Import_reading]]-CM71)*1200)&gt;0,(Input_Raw[[#This Row],[33 kV_Wind_F2_Import_reading]]-CM71)*1200,0)</f>
        <v>0</v>
      </c>
      <c r="CV72" s="148">
        <f>IF(((Input_Raw[[#This Row],[33 kV_Wind_F3_Export_Reading]]-CN71)*1200)&gt;0,(Input_Raw[[#This Row],[33 kV_Wind_F3_Export_Reading]]-CN71)*1200,0)</f>
        <v>50400</v>
      </c>
      <c r="CW72" s="148">
        <f>IF(((Input_Raw[[#This Row],[33 kV_Wind_F3_Import_Reading]]-CO71)*1200)&gt;0,(Input_Raw[[#This Row],[33 kV_Wind_F3_Import_Reading]]-CO71)*1200,0)</f>
        <v>0</v>
      </c>
      <c r="CX72" s="148">
        <f>IF(((Input_Raw[[#This Row],[33 kV_Wind_F4_Export Reading]]-CP71)*1200)&gt;0,(Input_Raw[[#This Row],[33 kV_Wind_F4_Export Reading]]-CP71)*1200,0)</f>
        <v>58800</v>
      </c>
      <c r="CY72" s="148">
        <f>IF(((Input_Raw[[#This Row],[33 kV_Wind_F4_Import Reading]]-CQ71)*1200)&gt;0,(Input_Raw[[#This Row],[33 kV_Wind_F4_Import Reading]]-CQ71)*1200,0)</f>
        <v>0</v>
      </c>
      <c r="CZ72" s="148">
        <f>Input_Raw[[#This Row],[33 kV_F1_Total_Export (KWh)]]+Input_Raw[[#This Row],[33 kV_F2_Total_Export (KWh)2]]+Input_Raw[[#This Row],[33 kV_Wind_F3_Export (KWh)]]+Input_Raw[[#This Row],[33 kV_Wind_F4_Export (KWh)]]</f>
        <v>157200</v>
      </c>
      <c r="DA72" s="148">
        <f>Input_Raw[[#This Row],[33 kV_Wind_F1_Import (KWh)]]+Input_Raw[[#This Row],[33 kV_Wind_F2_Import (KWh)]]+Input_Raw[[#This Row],[33 kV_Wind_F3_Import (KWh)2]]+Input_Raw[[#This Row],[33 kV_Wind_F4_Import (KWh)2]]</f>
        <v>0</v>
      </c>
      <c r="DB72" s="21">
        <f>IFERROR(1-Input_Raw[[#This Row],[33 kV_Wind_Total_Export (KWh)]]/Input_Raw[[#This Row],[WTG Total Gneration (KWh)]],0)</f>
        <v>2.486833861633031E-2</v>
      </c>
      <c r="DC72" s="161">
        <v>96</v>
      </c>
      <c r="DD72" s="161">
        <v>19160</v>
      </c>
      <c r="DE72" s="287">
        <v>161.19999999999999</v>
      </c>
      <c r="DF72" s="160"/>
      <c r="DG72" s="162">
        <v>78</v>
      </c>
      <c r="DH72" s="281" t="s">
        <v>381</v>
      </c>
    </row>
    <row r="73" spans="1:112">
      <c r="A73" s="20">
        <f t="shared" si="6"/>
        <v>45813</v>
      </c>
      <c r="B73" s="12">
        <f>YEAR(Input_Raw[[#This Row],[Date]])+IF(MONTH(Input_Raw[[#This Row],[Date]])&gt;=4,1,0)</f>
        <v>2026</v>
      </c>
      <c r="C73" s="13">
        <f>YEAR(Input_Raw[[#This Row],[Date]])</f>
        <v>2025</v>
      </c>
      <c r="D73" s="14">
        <f t="shared" si="5"/>
        <v>45809</v>
      </c>
      <c r="E73" s="13">
        <f>DAY(EOMONTH(Input_Raw[[#This Row],[Date]],0))</f>
        <v>30</v>
      </c>
      <c r="F73" s="15">
        <v>9011</v>
      </c>
      <c r="G73" s="15">
        <v>9018</v>
      </c>
      <c r="H73" s="15">
        <v>9015</v>
      </c>
      <c r="I73" s="15">
        <v>8627</v>
      </c>
      <c r="J73" s="15">
        <v>6821</v>
      </c>
      <c r="K73" s="15">
        <v>7959</v>
      </c>
      <c r="L73" s="15">
        <v>9009</v>
      </c>
      <c r="M73" s="15">
        <v>9012</v>
      </c>
      <c r="N73" s="15">
        <v>8001</v>
      </c>
      <c r="O73" s="15">
        <v>9019</v>
      </c>
      <c r="P73" s="15">
        <v>8644</v>
      </c>
      <c r="Q73" s="15">
        <v>8012</v>
      </c>
      <c r="R73" s="15">
        <v>8015</v>
      </c>
      <c r="S73" s="15">
        <v>8012</v>
      </c>
      <c r="T73" s="15">
        <v>8021</v>
      </c>
      <c r="U73" s="15">
        <v>8016</v>
      </c>
      <c r="V73" s="15">
        <v>8025</v>
      </c>
      <c r="W73" s="15">
        <v>8019</v>
      </c>
      <c r="X73" s="15">
        <v>7778</v>
      </c>
      <c r="Y73" s="15">
        <v>8078</v>
      </c>
      <c r="Z73" s="15">
        <v>6832</v>
      </c>
      <c r="AA73" s="15">
        <v>6828</v>
      </c>
      <c r="AB73" s="15">
        <v>6809</v>
      </c>
      <c r="AC73" s="15">
        <v>6845</v>
      </c>
      <c r="AD73" s="15">
        <v>6215</v>
      </c>
      <c r="AE73" s="15">
        <v>6840</v>
      </c>
      <c r="AF73" s="15">
        <v>6856</v>
      </c>
      <c r="AG73" s="15">
        <v>0</v>
      </c>
      <c r="AH73" s="15">
        <v>6862</v>
      </c>
      <c r="AI73" s="15">
        <v>0</v>
      </c>
      <c r="AJ73" s="15">
        <v>6218</v>
      </c>
      <c r="AK73" s="15">
        <v>6221</v>
      </c>
      <c r="AL73" s="15">
        <v>6224</v>
      </c>
      <c r="AM73" s="15">
        <v>6232</v>
      </c>
      <c r="AN73" s="15">
        <v>5589</v>
      </c>
      <c r="AO73" s="15">
        <v>5753</v>
      </c>
      <c r="AP73" s="15">
        <v>6211</v>
      </c>
      <c r="AQ73" s="15">
        <v>6232</v>
      </c>
      <c r="AR73" s="15">
        <v>6245</v>
      </c>
      <c r="AS73" s="16">
        <v>4.8499999999999996</v>
      </c>
      <c r="AT73" s="16">
        <v>5.26</v>
      </c>
      <c r="AU73" s="16">
        <v>4.68</v>
      </c>
      <c r="AV73" s="16">
        <v>5.05</v>
      </c>
      <c r="AW73" s="16">
        <v>5</v>
      </c>
      <c r="AX73" s="16">
        <v>5.1100000000000003</v>
      </c>
      <c r="AY73" s="16">
        <v>4.84</v>
      </c>
      <c r="AZ73" s="16">
        <v>4.4800000000000004</v>
      </c>
      <c r="BA73" s="16">
        <v>5.09</v>
      </c>
      <c r="BB73" s="16">
        <v>4.83</v>
      </c>
      <c r="BC73" s="16">
        <v>5.29</v>
      </c>
      <c r="BD73" s="16">
        <v>5.04</v>
      </c>
      <c r="BE73" s="16">
        <v>5.15</v>
      </c>
      <c r="BF73" s="16">
        <v>5.24</v>
      </c>
      <c r="BG73" s="16">
        <v>4.99</v>
      </c>
      <c r="BH73" s="16">
        <v>5.44</v>
      </c>
      <c r="BI73" s="16">
        <v>4.96</v>
      </c>
      <c r="BJ73" s="16">
        <v>5.48</v>
      </c>
      <c r="BK73" s="16">
        <v>5.43</v>
      </c>
      <c r="BL73" s="16">
        <v>5.67</v>
      </c>
      <c r="BM73" s="16">
        <v>0</v>
      </c>
      <c r="BN73" s="16">
        <v>5.29</v>
      </c>
      <c r="BO73" s="16">
        <v>4.82</v>
      </c>
      <c r="BP73" s="16">
        <v>5.04</v>
      </c>
      <c r="BQ73" s="16">
        <v>5.32</v>
      </c>
      <c r="BR73" s="16">
        <v>5.01</v>
      </c>
      <c r="BS73" s="16">
        <v>5.03</v>
      </c>
      <c r="BT73" s="16">
        <v>0</v>
      </c>
      <c r="BU73" s="16">
        <v>4.8099999999999996</v>
      </c>
      <c r="BV73" s="16">
        <v>0</v>
      </c>
      <c r="BW73" s="16">
        <v>4.95</v>
      </c>
      <c r="BX73" s="16">
        <v>5.01</v>
      </c>
      <c r="BY73" s="16">
        <v>4.99</v>
      </c>
      <c r="BZ73" s="16">
        <v>5.16</v>
      </c>
      <c r="CA73" s="16">
        <v>5.21</v>
      </c>
      <c r="CB73" s="16">
        <v>4.87</v>
      </c>
      <c r="CC73" s="16">
        <v>5.18</v>
      </c>
      <c r="CD73" s="16">
        <v>4.8499999999999996</v>
      </c>
      <c r="CE73" s="16">
        <v>5.19</v>
      </c>
      <c r="CF73" s="17">
        <f>SUM(Input_Raw[[#This Row],[G01]:[G40]])</f>
        <v>275124</v>
      </c>
      <c r="CG73" s="18">
        <f>IFERROR(AVERAGE(Input_Raw[[#This Row],[WS_G01]:[WS_G40]]),"")</f>
        <v>4.6823076923076918</v>
      </c>
      <c r="CH73" s="19"/>
      <c r="CI73" s="19"/>
      <c r="CJ73" s="15">
        <v>242045</v>
      </c>
      <c r="CK73" s="15">
        <v>2190</v>
      </c>
      <c r="CL73" s="15">
        <v>281765</v>
      </c>
      <c r="CM73" s="15">
        <v>2216</v>
      </c>
      <c r="CN73" s="15">
        <v>258358</v>
      </c>
      <c r="CO73" s="15">
        <v>1824</v>
      </c>
      <c r="CP73" s="15">
        <v>294527</v>
      </c>
      <c r="CQ73" s="15">
        <v>1869</v>
      </c>
      <c r="CR73" s="148">
        <f>IF(((Input_Raw[[#This Row],[33 kV_Wind_F1_Export reading]]-CJ72)*1200)&gt;0,(Input_Raw[[#This Row],[33 kV_Wind_F1_Export reading]]-CJ72)*1200,0)</f>
        <v>60000</v>
      </c>
      <c r="CS73" s="148">
        <f>IF(((Input_Raw[[#This Row],[33 kV_Wind_F1_Import reading]]-CK72)*1200)&gt;0,(Input_Raw[[#This Row],[33 kV_Wind_F1_Import reading]]-CK72)*1200,0)</f>
        <v>1200</v>
      </c>
      <c r="CT73" s="148">
        <f>IF(((Input_Raw[[#This Row],[33 kV_Wind_F2_Export_reading]]-CL72)*1200)&gt;0,(Input_Raw[[#This Row],[33 kV_Wind_F2_Export_reading]]-CL72)*1200,0)</f>
        <v>54000</v>
      </c>
      <c r="CU73" s="148">
        <f>IF(((Input_Raw[[#This Row],[33 kV_Wind_F2_Import_reading]]-CM72)*1200)&gt;0,(Input_Raw[[#This Row],[33 kV_Wind_F2_Import_reading]]-CM72)*1200,0)</f>
        <v>0</v>
      </c>
      <c r="CV73" s="148">
        <f>IF(((Input_Raw[[#This Row],[33 kV_Wind_F3_Export_Reading]]-CN72)*1200)&gt;0,(Input_Raw[[#This Row],[33 kV_Wind_F3_Export_Reading]]-CN72)*1200,0)</f>
        <v>79200</v>
      </c>
      <c r="CW73" s="148">
        <f>IF(((Input_Raw[[#This Row],[33 kV_Wind_F3_Import_Reading]]-CO72)*1200)&gt;0,(Input_Raw[[#This Row],[33 kV_Wind_F3_Import_Reading]]-CO72)*1200,0)</f>
        <v>1200</v>
      </c>
      <c r="CX73" s="148">
        <f>IF(((Input_Raw[[#This Row],[33 kV_Wind_F4_Export Reading]]-CP72)*1200)&gt;0,(Input_Raw[[#This Row],[33 kV_Wind_F4_Export Reading]]-CP72)*1200,0)</f>
        <v>79200</v>
      </c>
      <c r="CY73" s="148">
        <f>IF(((Input_Raw[[#This Row],[33 kV_Wind_F4_Import Reading]]-CQ72)*1200)&gt;0,(Input_Raw[[#This Row],[33 kV_Wind_F4_Import Reading]]-CQ72)*1200,0)</f>
        <v>0</v>
      </c>
      <c r="CZ73" s="148">
        <f>Input_Raw[[#This Row],[33 kV_F1_Total_Export (KWh)]]+Input_Raw[[#This Row],[33 kV_F2_Total_Export (KWh)2]]+Input_Raw[[#This Row],[33 kV_Wind_F3_Export (KWh)]]+Input_Raw[[#This Row],[33 kV_Wind_F4_Export (KWh)]]</f>
        <v>272400</v>
      </c>
      <c r="DA73" s="148">
        <f>Input_Raw[[#This Row],[33 kV_Wind_F1_Import (KWh)]]+Input_Raw[[#This Row],[33 kV_Wind_F2_Import (KWh)]]+Input_Raw[[#This Row],[33 kV_Wind_F3_Import (KWh)2]]+Input_Raw[[#This Row],[33 kV_Wind_F4_Import (KWh)2]]</f>
        <v>2400</v>
      </c>
      <c r="DB73" s="21">
        <f>IFERROR(1-Input_Raw[[#This Row],[33 kV_Wind_Total_Export (KWh)]]/Input_Raw[[#This Row],[WTG Total Gneration (KWh)]],0)</f>
        <v>9.9009900990099098E-3</v>
      </c>
      <c r="DC73" s="161">
        <v>96</v>
      </c>
      <c r="DD73" s="161">
        <v>8433</v>
      </c>
      <c r="DE73" s="163">
        <v>275.12</v>
      </c>
      <c r="DF73" s="160"/>
      <c r="DG73" s="162">
        <v>78</v>
      </c>
      <c r="DH73" s="281" t="s">
        <v>381</v>
      </c>
    </row>
    <row r="74" spans="1:112">
      <c r="A74" s="20">
        <f t="shared" si="6"/>
        <v>45814</v>
      </c>
      <c r="B74" s="12">
        <f>YEAR(Input_Raw[[#This Row],[Date]])+IF(MONTH(Input_Raw[[#This Row],[Date]])&gt;=4,1,0)</f>
        <v>2026</v>
      </c>
      <c r="C74" s="13">
        <f>YEAR(Input_Raw[[#This Row],[Date]])</f>
        <v>2025</v>
      </c>
      <c r="D74" s="14">
        <f t="shared" si="5"/>
        <v>45809</v>
      </c>
      <c r="E74" s="13">
        <f>DAY(EOMONTH(Input_Raw[[#This Row],[Date]],0))</f>
        <v>30</v>
      </c>
      <c r="F74" s="15">
        <v>14601</v>
      </c>
      <c r="G74" s="15">
        <v>14605</v>
      </c>
      <c r="H74" s="15">
        <v>12264</v>
      </c>
      <c r="I74" s="15">
        <v>14606</v>
      </c>
      <c r="J74" s="15">
        <v>9321</v>
      </c>
      <c r="K74" s="442">
        <v>14611</v>
      </c>
      <c r="L74" s="442">
        <v>14608</v>
      </c>
      <c r="M74" s="442">
        <v>14615</v>
      </c>
      <c r="N74" s="15">
        <v>12801</v>
      </c>
      <c r="O74" s="442">
        <v>14632</v>
      </c>
      <c r="P74" s="442">
        <v>14640</v>
      </c>
      <c r="Q74" s="15">
        <v>12857</v>
      </c>
      <c r="R74" s="15">
        <v>12846</v>
      </c>
      <c r="S74" s="15">
        <v>12852</v>
      </c>
      <c r="T74" s="15">
        <v>12845</v>
      </c>
      <c r="U74" s="15">
        <v>12843</v>
      </c>
      <c r="V74" s="15">
        <v>12842</v>
      </c>
      <c r="W74" s="15">
        <v>12847</v>
      </c>
      <c r="X74" s="15">
        <v>12867</v>
      </c>
      <c r="Y74" s="15">
        <v>12876</v>
      </c>
      <c r="Z74" s="15">
        <v>9354</v>
      </c>
      <c r="AA74" s="15">
        <v>9352</v>
      </c>
      <c r="AB74" s="15">
        <v>9345</v>
      </c>
      <c r="AC74" s="15">
        <v>9359</v>
      </c>
      <c r="AD74" s="15">
        <v>7790</v>
      </c>
      <c r="AE74" s="15">
        <v>9355</v>
      </c>
      <c r="AF74" s="15">
        <v>9362</v>
      </c>
      <c r="AG74" s="15">
        <v>0</v>
      </c>
      <c r="AH74" s="15">
        <v>9365</v>
      </c>
      <c r="AI74" s="15">
        <v>0</v>
      </c>
      <c r="AJ74" s="15">
        <v>7756</v>
      </c>
      <c r="AK74" s="15">
        <v>7759</v>
      </c>
      <c r="AL74" s="15">
        <v>7784</v>
      </c>
      <c r="AM74" s="15">
        <v>7787</v>
      </c>
      <c r="AN74" s="15">
        <v>7780</v>
      </c>
      <c r="AO74" s="15">
        <v>6689</v>
      </c>
      <c r="AP74" s="15">
        <v>7769</v>
      </c>
      <c r="AQ74" s="15">
        <v>7782</v>
      </c>
      <c r="AR74" s="15">
        <v>7789</v>
      </c>
      <c r="AS74" s="16">
        <v>4.8499999999999996</v>
      </c>
      <c r="AT74" s="16">
        <v>5.37</v>
      </c>
      <c r="AU74" s="16">
        <v>4.76</v>
      </c>
      <c r="AV74" s="16">
        <v>4.7699999999999996</v>
      </c>
      <c r="AW74" s="16">
        <v>5.09</v>
      </c>
      <c r="AX74" s="16">
        <v>5.19</v>
      </c>
      <c r="AY74" s="16">
        <v>4.8</v>
      </c>
      <c r="AZ74" s="16">
        <v>4.87</v>
      </c>
      <c r="BA74" s="16">
        <v>5.25</v>
      </c>
      <c r="BB74" s="16">
        <v>4.9800000000000004</v>
      </c>
      <c r="BC74" s="16">
        <v>5.45</v>
      </c>
      <c r="BD74" s="16">
        <v>5.28</v>
      </c>
      <c r="BE74" s="16">
        <v>5.32</v>
      </c>
      <c r="BF74" s="16">
        <v>5.14</v>
      </c>
      <c r="BG74" s="16">
        <v>5.09</v>
      </c>
      <c r="BH74" s="16">
        <v>5.27</v>
      </c>
      <c r="BI74" s="16">
        <v>5.07</v>
      </c>
      <c r="BJ74" s="16">
        <v>5.36</v>
      </c>
      <c r="BK74" s="16">
        <v>6.59</v>
      </c>
      <c r="BL74" s="16">
        <v>5.63</v>
      </c>
      <c r="BM74" s="16">
        <v>5.4</v>
      </c>
      <c r="BN74" s="16">
        <v>5.44</v>
      </c>
      <c r="BO74" s="16">
        <v>4.66</v>
      </c>
      <c r="BP74" s="16">
        <v>4.9800000000000004</v>
      </c>
      <c r="BQ74" s="16">
        <v>4.95</v>
      </c>
      <c r="BR74" s="16">
        <v>4.71</v>
      </c>
      <c r="BS74" s="16">
        <v>4.88</v>
      </c>
      <c r="BT74" s="16">
        <v>0</v>
      </c>
      <c r="BU74" s="16">
        <v>4.8600000000000003</v>
      </c>
      <c r="BV74" s="16">
        <v>0</v>
      </c>
      <c r="BW74" s="16">
        <v>4.59</v>
      </c>
      <c r="BX74" s="16">
        <v>4.7300000000000004</v>
      </c>
      <c r="BY74" s="16">
        <v>4.88</v>
      </c>
      <c r="BZ74" s="16">
        <v>4.88</v>
      </c>
      <c r="CA74" s="16">
        <v>5.07</v>
      </c>
      <c r="CB74" s="16">
        <v>5.05</v>
      </c>
      <c r="CC74" s="16">
        <v>4.83</v>
      </c>
      <c r="CD74" s="16">
        <v>4.74</v>
      </c>
      <c r="CE74" s="16">
        <v>5.01</v>
      </c>
      <c r="CF74" s="17">
        <f>SUM(Input_Raw[[#This Row],[G01]:[G40]])</f>
        <v>409156</v>
      </c>
      <c r="CG74" s="18">
        <f>IFERROR(AVERAGE(Input_Raw[[#This Row],[WS_G01]:[WS_G40]]),"")</f>
        <v>4.8151282051282047</v>
      </c>
      <c r="CH74" s="19"/>
      <c r="CI74" s="19"/>
      <c r="CJ74" s="15">
        <v>242109</v>
      </c>
      <c r="CK74" s="15">
        <v>2190</v>
      </c>
      <c r="CL74" s="15">
        <v>281828</v>
      </c>
      <c r="CM74" s="15">
        <v>2216</v>
      </c>
      <c r="CN74" s="15">
        <v>258466</v>
      </c>
      <c r="CO74" s="15">
        <v>1824</v>
      </c>
      <c r="CP74" s="15">
        <v>294623</v>
      </c>
      <c r="CQ74" s="15">
        <v>1869</v>
      </c>
      <c r="CR74" s="148">
        <f>IF(((Input_Raw[[#This Row],[33 kV_Wind_F1_Export reading]]-CJ73)*1200)&gt;0,(Input_Raw[[#This Row],[33 kV_Wind_F1_Export reading]]-CJ73)*1200,0)</f>
        <v>76800</v>
      </c>
      <c r="CS74" s="148">
        <f>IF(((Input_Raw[[#This Row],[33 kV_Wind_F1_Import reading]]-CK73)*1200)&gt;0,(Input_Raw[[#This Row],[33 kV_Wind_F1_Import reading]]-CK73)*1200,0)</f>
        <v>0</v>
      </c>
      <c r="CT74" s="148">
        <f>IF(((Input_Raw[[#This Row],[33 kV_Wind_F2_Export_reading]]-CL73)*1200)&gt;0,(Input_Raw[[#This Row],[33 kV_Wind_F2_Export_reading]]-CL73)*1200,0)</f>
        <v>75600</v>
      </c>
      <c r="CU74" s="148">
        <f>IF(((Input_Raw[[#This Row],[33 kV_Wind_F2_Import_reading]]-CM73)*1200)&gt;0,(Input_Raw[[#This Row],[33 kV_Wind_F2_Import_reading]]-CM73)*1200,0)</f>
        <v>0</v>
      </c>
      <c r="CV74" s="148">
        <f>IF(((Input_Raw[[#This Row],[33 kV_Wind_F3_Export_Reading]]-CN73)*1200)&gt;0,(Input_Raw[[#This Row],[33 kV_Wind_F3_Export_Reading]]-CN73)*1200,0)</f>
        <v>129600</v>
      </c>
      <c r="CW74" s="148">
        <f>IF(((Input_Raw[[#This Row],[33 kV_Wind_F3_Import_Reading]]-CO73)*1200)&gt;0,(Input_Raw[[#This Row],[33 kV_Wind_F3_Import_Reading]]-CO73)*1200,0)</f>
        <v>0</v>
      </c>
      <c r="CX74" s="148">
        <f>IF(((Input_Raw[[#This Row],[33 kV_Wind_F4_Export Reading]]-CP73)*1200)&gt;0,(Input_Raw[[#This Row],[33 kV_Wind_F4_Export Reading]]-CP73)*1200,0)</f>
        <v>115200</v>
      </c>
      <c r="CY74" s="148">
        <f>IF(((Input_Raw[[#This Row],[33 kV_Wind_F4_Import Reading]]-CQ73)*1200)&gt;0,(Input_Raw[[#This Row],[33 kV_Wind_F4_Import Reading]]-CQ73)*1200,0)</f>
        <v>0</v>
      </c>
      <c r="CZ74" s="148">
        <f>Input_Raw[[#This Row],[33 kV_F1_Total_Export (KWh)]]+Input_Raw[[#This Row],[33 kV_F2_Total_Export (KWh)2]]+Input_Raw[[#This Row],[33 kV_Wind_F3_Export (KWh)]]+Input_Raw[[#This Row],[33 kV_Wind_F4_Export (KWh)]]</f>
        <v>397200</v>
      </c>
      <c r="DA74" s="148">
        <f>Input_Raw[[#This Row],[33 kV_Wind_F1_Import (KWh)]]+Input_Raw[[#This Row],[33 kV_Wind_F2_Import (KWh)]]+Input_Raw[[#This Row],[33 kV_Wind_F3_Import (KWh)2]]+Input_Raw[[#This Row],[33 kV_Wind_F4_Import (KWh)2]]</f>
        <v>0</v>
      </c>
      <c r="DB74" s="21">
        <f>IFERROR(1-Input_Raw[[#This Row],[33 kV_Wind_Total_Export (KWh)]]/Input_Raw[[#This Row],[WTG Total Gneration (KWh)]],0)</f>
        <v>2.9221128371574645E-2</v>
      </c>
      <c r="DC74" s="161">
        <v>96</v>
      </c>
      <c r="DD74" s="161">
        <v>35674</v>
      </c>
      <c r="DE74" s="163">
        <v>409.15</v>
      </c>
      <c r="DF74" s="160"/>
      <c r="DG74" s="162">
        <v>78</v>
      </c>
      <c r="DH74" s="281" t="s">
        <v>381</v>
      </c>
    </row>
    <row r="75" spans="1:112">
      <c r="A75" s="20">
        <f t="shared" si="6"/>
        <v>45815</v>
      </c>
      <c r="B75" s="12">
        <f>YEAR(Input_Raw[[#This Row],[Date]])+IF(MONTH(Input_Raw[[#This Row],[Date]])&gt;=4,1,0)</f>
        <v>2026</v>
      </c>
      <c r="C75" s="13">
        <f>YEAR(Input_Raw[[#This Row],[Date]])</f>
        <v>2025</v>
      </c>
      <c r="D75" s="14">
        <f t="shared" si="5"/>
        <v>45809</v>
      </c>
      <c r="E75" s="13">
        <f>DAY(EOMONTH(Input_Raw[[#This Row],[Date]],0))</f>
        <v>30</v>
      </c>
      <c r="F75" s="15">
        <v>19801</v>
      </c>
      <c r="G75" s="15">
        <v>19807</v>
      </c>
      <c r="H75" s="15">
        <v>19809</v>
      </c>
      <c r="I75" s="15">
        <v>18098</v>
      </c>
      <c r="J75" s="15">
        <v>13021</v>
      </c>
      <c r="K75" s="15">
        <v>19815</v>
      </c>
      <c r="L75" s="15">
        <v>19801</v>
      </c>
      <c r="M75" s="15">
        <v>19811</v>
      </c>
      <c r="N75" s="15">
        <v>16321</v>
      </c>
      <c r="O75" s="15">
        <v>19819</v>
      </c>
      <c r="P75" s="15">
        <v>19821</v>
      </c>
      <c r="Q75" s="15">
        <v>16342</v>
      </c>
      <c r="R75" s="15">
        <v>16345</v>
      </c>
      <c r="S75" s="15">
        <v>16347</v>
      </c>
      <c r="T75" s="15">
        <v>16344</v>
      </c>
      <c r="U75" s="15">
        <v>16332</v>
      </c>
      <c r="V75" s="15">
        <v>16322</v>
      </c>
      <c r="W75" s="15">
        <v>16329</v>
      </c>
      <c r="X75" s="15">
        <v>16345</v>
      </c>
      <c r="Y75" s="15">
        <v>16352</v>
      </c>
      <c r="Z75" s="15">
        <v>13051</v>
      </c>
      <c r="AA75" s="15">
        <v>13042</v>
      </c>
      <c r="AB75" s="15">
        <v>13038</v>
      </c>
      <c r="AC75" s="15">
        <v>13045</v>
      </c>
      <c r="AD75" s="15">
        <v>10821</v>
      </c>
      <c r="AE75" s="15">
        <v>13042</v>
      </c>
      <c r="AF75" s="15">
        <v>12590</v>
      </c>
      <c r="AG75" s="15">
        <v>0</v>
      </c>
      <c r="AH75" s="15">
        <v>12542</v>
      </c>
      <c r="AI75" s="15">
        <v>0</v>
      </c>
      <c r="AJ75" s="15">
        <v>10829</v>
      </c>
      <c r="AK75" s="15">
        <v>10824</v>
      </c>
      <c r="AL75" s="15">
        <v>10832</v>
      </c>
      <c r="AM75" s="15">
        <v>10835</v>
      </c>
      <c r="AN75" s="15">
        <v>10838</v>
      </c>
      <c r="AO75" s="15">
        <v>10840</v>
      </c>
      <c r="AP75" s="15">
        <v>10831</v>
      </c>
      <c r="AQ75" s="15">
        <v>10841</v>
      </c>
      <c r="AR75" s="15">
        <v>10844</v>
      </c>
      <c r="AS75" s="146">
        <v>5.8621319444444415</v>
      </c>
      <c r="AT75" s="16">
        <v>6.3055555555555545</v>
      </c>
      <c r="AU75" s="16">
        <v>5.2876624999999988</v>
      </c>
      <c r="AV75" s="16">
        <v>5.3705000000000007</v>
      </c>
      <c r="AW75" s="16">
        <v>5.0465361111111111</v>
      </c>
      <c r="AX75" s="16">
        <v>5.8957361111111117</v>
      </c>
      <c r="AY75" s="16">
        <v>5.8957361111111117</v>
      </c>
      <c r="AZ75" s="16">
        <v>5.8117013888888884</v>
      </c>
      <c r="BA75" s="16">
        <v>6.2648402777777781</v>
      </c>
      <c r="BB75" s="16">
        <v>4.8664374999999991</v>
      </c>
      <c r="BC75" s="16">
        <v>5.6271666666666667</v>
      </c>
      <c r="BD75" s="16">
        <v>5.7042083333333338</v>
      </c>
      <c r="BE75" s="16">
        <v>5.521229166666668</v>
      </c>
      <c r="BF75" s="16">
        <v>5.7344027777777802</v>
      </c>
      <c r="BG75" s="16">
        <v>6.0184652777777803</v>
      </c>
      <c r="BH75" s="16">
        <v>5.5627708333333317</v>
      </c>
      <c r="BI75" s="16">
        <v>6.2912430555555545</v>
      </c>
      <c r="BJ75" s="16">
        <v>5.945188888888886</v>
      </c>
      <c r="BK75" s="16">
        <v>6.109395833333334</v>
      </c>
      <c r="BL75" s="16">
        <v>6.4610694444444432</v>
      </c>
      <c r="BM75" s="16">
        <v>5.9728426086956548</v>
      </c>
      <c r="BN75" s="16">
        <v>4.9143090909090903</v>
      </c>
      <c r="BO75" s="16">
        <v>5.1144638888888885</v>
      </c>
      <c r="BP75" s="16">
        <v>5.3359777777777788</v>
      </c>
      <c r="BQ75" s="16">
        <v>5.0754985294117674</v>
      </c>
      <c r="BR75" s="16">
        <v>5.3434958333333338</v>
      </c>
      <c r="BS75" s="16">
        <v>5.0553076388888858</v>
      </c>
      <c r="BT75" s="16">
        <v>0</v>
      </c>
      <c r="BU75" s="16">
        <v>5</v>
      </c>
      <c r="BV75" s="16">
        <v>0</v>
      </c>
      <c r="BW75" s="16">
        <v>4.9429823529411756</v>
      </c>
      <c r="BX75" s="16">
        <v>4.9764632352941165</v>
      </c>
      <c r="BY75" s="16">
        <v>5.2576333333333336</v>
      </c>
      <c r="BZ75" s="16">
        <v>5.670325663716814</v>
      </c>
      <c r="CA75" s="16">
        <v>5.5863234234234236</v>
      </c>
      <c r="CB75" s="16">
        <v>5.4673336283185847</v>
      </c>
      <c r="CC75" s="16">
        <v>5.2683985294117646</v>
      </c>
      <c r="CD75" s="16">
        <v>5.2848022058823538</v>
      </c>
      <c r="CE75" s="16">
        <v>5.2838499999999984</v>
      </c>
      <c r="CF75" s="17">
        <f>SUM(Input_Raw[[#This Row],[G01]:[G40]])</f>
        <v>551667</v>
      </c>
      <c r="CG75" s="18">
        <f>IFERROR(AVERAGE(Input_Raw[[#This Row],[WS_G01]:[WS_G40]]),"")</f>
        <v>5.25979450046166</v>
      </c>
      <c r="CH75" s="19"/>
      <c r="CI75" s="19"/>
      <c r="CJ75" s="15">
        <v>242199</v>
      </c>
      <c r="CK75" s="15">
        <v>2190</v>
      </c>
      <c r="CL75" s="15">
        <v>281913</v>
      </c>
      <c r="CM75" s="15">
        <v>2216</v>
      </c>
      <c r="CN75" s="15">
        <v>258613</v>
      </c>
      <c r="CO75" s="15">
        <v>1824</v>
      </c>
      <c r="CP75" s="15">
        <v>294759</v>
      </c>
      <c r="CQ75" s="15">
        <v>1869</v>
      </c>
      <c r="CR75" s="148">
        <f>IF(((Input_Raw[[#This Row],[33 kV_Wind_F1_Export reading]]-CJ74)*1200)&gt;0,(Input_Raw[[#This Row],[33 kV_Wind_F1_Export reading]]-CJ74)*1200,0)</f>
        <v>108000</v>
      </c>
      <c r="CS75" s="148">
        <f>IF(((Input_Raw[[#This Row],[33 kV_Wind_F1_Import reading]]-CK74)*1200)&gt;0,(Input_Raw[[#This Row],[33 kV_Wind_F1_Import reading]]-CK74)*1200,0)</f>
        <v>0</v>
      </c>
      <c r="CT75" s="148">
        <f>IF(((Input_Raw[[#This Row],[33 kV_Wind_F2_Export_reading]]-CL74)*1200)&gt;0,(Input_Raw[[#This Row],[33 kV_Wind_F2_Export_reading]]-CL74)*1200,0)</f>
        <v>102000</v>
      </c>
      <c r="CU75" s="148">
        <f>IF(((Input_Raw[[#This Row],[33 kV_Wind_F2_Import_reading]]-CM74)*1200)&gt;0,(Input_Raw[[#This Row],[33 kV_Wind_F2_Import_reading]]-CM74)*1200,0)</f>
        <v>0</v>
      </c>
      <c r="CV75" s="148">
        <f>IF(((Input_Raw[[#This Row],[33 kV_Wind_F3_Export_Reading]]-CN74)*1200)&gt;0,(Input_Raw[[#This Row],[33 kV_Wind_F3_Export_Reading]]-CN74)*1200,0)</f>
        <v>176400</v>
      </c>
      <c r="CW75" s="148">
        <f>IF(((Input_Raw[[#This Row],[33 kV_Wind_F3_Import_Reading]]-CO74)*1200)&gt;0,(Input_Raw[[#This Row],[33 kV_Wind_F3_Import_Reading]]-CO74)*1200,0)</f>
        <v>0</v>
      </c>
      <c r="CX75" s="148">
        <f>IF(((Input_Raw[[#This Row],[33 kV_Wind_F4_Export Reading]]-CP74)*1200)&gt;0,(Input_Raw[[#This Row],[33 kV_Wind_F4_Export Reading]]-CP74)*1200,0)</f>
        <v>163200</v>
      </c>
      <c r="CY75" s="148">
        <f>IF(((Input_Raw[[#This Row],[33 kV_Wind_F4_Import Reading]]-CQ74)*1200)&gt;0,(Input_Raw[[#This Row],[33 kV_Wind_F4_Import Reading]]-CQ74)*1200,0)</f>
        <v>0</v>
      </c>
      <c r="CZ75" s="148">
        <f>Input_Raw[[#This Row],[33 kV_F1_Total_Export (KWh)]]+Input_Raw[[#This Row],[33 kV_F2_Total_Export (KWh)2]]+Input_Raw[[#This Row],[33 kV_Wind_F3_Export (KWh)]]+Input_Raw[[#This Row],[33 kV_Wind_F4_Export (KWh)]]</f>
        <v>549600</v>
      </c>
      <c r="DA75" s="148">
        <f>Input_Raw[[#This Row],[33 kV_Wind_F1_Import (KWh)]]+Input_Raw[[#This Row],[33 kV_Wind_F2_Import (KWh)]]+Input_Raw[[#This Row],[33 kV_Wind_F3_Import (KWh)2]]+Input_Raw[[#This Row],[33 kV_Wind_F4_Import (KWh)2]]</f>
        <v>0</v>
      </c>
      <c r="DB75" s="21">
        <f>IFERROR(1-Input_Raw[[#This Row],[33 kV_Wind_Total_Export (KWh)]]/Input_Raw[[#This Row],[WTG Total Gneration (KWh)]],0)</f>
        <v>3.7468255306190024E-3</v>
      </c>
      <c r="DC75" s="161">
        <v>96</v>
      </c>
      <c r="DD75" s="161">
        <v>70776</v>
      </c>
      <c r="DE75" s="163">
        <v>551.66</v>
      </c>
      <c r="DF75" s="160"/>
      <c r="DG75" s="162">
        <v>78</v>
      </c>
      <c r="DH75" s="281" t="s">
        <v>381</v>
      </c>
    </row>
    <row r="76" spans="1:112">
      <c r="A76" s="20">
        <f t="shared" si="6"/>
        <v>45816</v>
      </c>
      <c r="B76" s="12">
        <f>YEAR(Input_Raw[[#This Row],[Date]])+IF(MONTH(Input_Raw[[#This Row],[Date]])&gt;=4,1,0)</f>
        <v>2026</v>
      </c>
      <c r="C76" s="13">
        <f>YEAR(Input_Raw[[#This Row],[Date]])</f>
        <v>2025</v>
      </c>
      <c r="D76" s="14">
        <f t="shared" si="5"/>
        <v>45809</v>
      </c>
      <c r="E76" s="13">
        <f>DAY(EOMONTH(Input_Raw[[#This Row],[Date]],0))</f>
        <v>30</v>
      </c>
      <c r="F76" s="15">
        <v>20601</v>
      </c>
      <c r="G76" s="15">
        <v>20609</v>
      </c>
      <c r="H76" s="15">
        <v>20611</v>
      </c>
      <c r="I76" s="15">
        <v>20615</v>
      </c>
      <c r="J76" s="15">
        <v>12000</v>
      </c>
      <c r="K76" s="15">
        <v>20619</v>
      </c>
      <c r="L76" s="15">
        <v>20605</v>
      </c>
      <c r="M76" s="15">
        <v>20621</v>
      </c>
      <c r="N76" s="15">
        <v>18150</v>
      </c>
      <c r="O76" s="15">
        <v>20626</v>
      </c>
      <c r="P76" s="15">
        <v>20632</v>
      </c>
      <c r="Q76" s="15">
        <v>18154</v>
      </c>
      <c r="R76" s="15">
        <v>18159</v>
      </c>
      <c r="S76" s="15">
        <v>18162</v>
      </c>
      <c r="T76" s="15">
        <v>18167</v>
      </c>
      <c r="U76" s="15">
        <v>18165</v>
      </c>
      <c r="V76" s="15">
        <v>18169</v>
      </c>
      <c r="W76" s="15">
        <v>18159</v>
      </c>
      <c r="X76" s="15">
        <v>18176</v>
      </c>
      <c r="Y76" s="15">
        <v>18184</v>
      </c>
      <c r="Z76" s="15">
        <v>12012</v>
      </c>
      <c r="AA76" s="15">
        <v>12015</v>
      </c>
      <c r="AB76" s="15">
        <v>12001</v>
      </c>
      <c r="AC76" s="15">
        <v>12145</v>
      </c>
      <c r="AD76" s="15">
        <v>10350</v>
      </c>
      <c r="AE76" s="15">
        <v>12121</v>
      </c>
      <c r="AF76" s="15">
        <v>12125</v>
      </c>
      <c r="AG76" s="15">
        <v>0</v>
      </c>
      <c r="AH76" s="15">
        <v>12132</v>
      </c>
      <c r="AI76" s="15">
        <v>0</v>
      </c>
      <c r="AJ76" s="15">
        <v>10379</v>
      </c>
      <c r="AK76" s="15">
        <v>10372</v>
      </c>
      <c r="AL76" s="15">
        <v>10376</v>
      </c>
      <c r="AM76" s="15">
        <v>10374</v>
      </c>
      <c r="AN76" s="15">
        <v>10362</v>
      </c>
      <c r="AO76" s="15">
        <v>10368</v>
      </c>
      <c r="AP76" s="15">
        <v>10359</v>
      </c>
      <c r="AQ76" s="15">
        <v>10367</v>
      </c>
      <c r="AR76" s="15">
        <v>10370</v>
      </c>
      <c r="AS76" s="16">
        <v>5.63</v>
      </c>
      <c r="AT76" s="16">
        <v>6.04</v>
      </c>
      <c r="AU76" s="16">
        <v>5.55</v>
      </c>
      <c r="AV76" s="16">
        <v>5.6</v>
      </c>
      <c r="AW76" s="16">
        <v>6.19</v>
      </c>
      <c r="AX76" s="16">
        <v>6.25</v>
      </c>
      <c r="AY76" s="16">
        <v>5.75</v>
      </c>
      <c r="AZ76" s="16">
        <v>5.53</v>
      </c>
      <c r="BA76" s="16">
        <v>5.55</v>
      </c>
      <c r="BB76" s="16">
        <v>5.54</v>
      </c>
      <c r="BC76" s="16">
        <v>5.96</v>
      </c>
      <c r="BD76" s="16">
        <v>5.74</v>
      </c>
      <c r="BE76" s="16">
        <v>5.9</v>
      </c>
      <c r="BF76" s="16">
        <v>5.75</v>
      </c>
      <c r="BG76" s="16">
        <v>5.91</v>
      </c>
      <c r="BH76" s="16">
        <v>5.82</v>
      </c>
      <c r="BI76" s="16">
        <v>5.86</v>
      </c>
      <c r="BJ76" s="16">
        <v>6.15</v>
      </c>
      <c r="BK76" s="16">
        <v>6.47</v>
      </c>
      <c r="BL76" s="16">
        <v>6.22</v>
      </c>
      <c r="BM76" s="16">
        <v>5.08</v>
      </c>
      <c r="BN76" s="16">
        <v>6.26</v>
      </c>
      <c r="BO76" s="16">
        <v>5.87</v>
      </c>
      <c r="BP76" s="16">
        <v>5.93</v>
      </c>
      <c r="BQ76" s="16">
        <v>5.43</v>
      </c>
      <c r="BR76" s="16">
        <v>5.57</v>
      </c>
      <c r="BS76" s="16">
        <v>5.63</v>
      </c>
      <c r="BT76" s="16">
        <v>0</v>
      </c>
      <c r="BU76" s="16">
        <v>5.51</v>
      </c>
      <c r="BV76" s="16">
        <v>0</v>
      </c>
      <c r="BW76" s="16">
        <v>5.16</v>
      </c>
      <c r="BX76" s="16">
        <v>5.45</v>
      </c>
      <c r="BY76" s="16">
        <v>5.48</v>
      </c>
      <c r="BZ76" s="16">
        <v>5.59</v>
      </c>
      <c r="CA76" s="16">
        <v>5.63</v>
      </c>
      <c r="CB76" s="16">
        <v>5.54</v>
      </c>
      <c r="CC76" s="16">
        <v>5.55</v>
      </c>
      <c r="CD76" s="16">
        <v>5.62</v>
      </c>
      <c r="CE76" s="16">
        <v>5.36</v>
      </c>
      <c r="CF76" s="17">
        <f>SUM(Input_Raw[[#This Row],[G01]:[G40]])</f>
        <v>567412</v>
      </c>
      <c r="CG76" s="18">
        <f>IFERROR(AVERAGE(Input_Raw[[#This Row],[WS_G01]:[WS_G40]]),"")</f>
        <v>5.4376923076923074</v>
      </c>
      <c r="CH76" s="19"/>
      <c r="CI76" s="19"/>
      <c r="CJ76" s="15">
        <v>242285</v>
      </c>
      <c r="CK76" s="15">
        <v>2190</v>
      </c>
      <c r="CL76" s="15">
        <v>281993</v>
      </c>
      <c r="CM76" s="15">
        <v>2216</v>
      </c>
      <c r="CN76" s="15">
        <v>258767</v>
      </c>
      <c r="CO76" s="15">
        <v>1824</v>
      </c>
      <c r="CP76" s="15">
        <v>294910</v>
      </c>
      <c r="CQ76" s="15">
        <v>1869</v>
      </c>
      <c r="CR76" s="148">
        <f>IF(((Input_Raw[[#This Row],[33 kV_Wind_F1_Export reading]]-CJ75)*1200)&gt;0,(Input_Raw[[#This Row],[33 kV_Wind_F1_Export reading]]-CJ75)*1200,0)</f>
        <v>103200</v>
      </c>
      <c r="CS76" s="148">
        <f>IF(((Input_Raw[[#This Row],[33 kV_Wind_F1_Import reading]]-CK75)*1200)&gt;0,(Input_Raw[[#This Row],[33 kV_Wind_F1_Import reading]]-CK75)*1200,0)</f>
        <v>0</v>
      </c>
      <c r="CT76" s="148">
        <f>IF(((Input_Raw[[#This Row],[33 kV_Wind_F2_Export_reading]]-CL75)*1200)&gt;0,(Input_Raw[[#This Row],[33 kV_Wind_F2_Export_reading]]-CL75)*1200,0)</f>
        <v>96000</v>
      </c>
      <c r="CU76" s="148">
        <f>IF(((Input_Raw[[#This Row],[33 kV_Wind_F2_Import_reading]]-CM75)*1200)&gt;0,(Input_Raw[[#This Row],[33 kV_Wind_F2_Import_reading]]-CM75)*1200,0)</f>
        <v>0</v>
      </c>
      <c r="CV76" s="148">
        <f>IF(((Input_Raw[[#This Row],[33 kV_Wind_F3_Export_Reading]]-CN75)*1200)&gt;0,(Input_Raw[[#This Row],[33 kV_Wind_F3_Export_Reading]]-CN75)*1200,0)</f>
        <v>184800</v>
      </c>
      <c r="CW76" s="148">
        <f>IF(((Input_Raw[[#This Row],[33 kV_Wind_F3_Import_Reading]]-CO75)*1200)&gt;0,(Input_Raw[[#This Row],[33 kV_Wind_F3_Import_Reading]]-CO75)*1200,0)</f>
        <v>0</v>
      </c>
      <c r="CX76" s="148">
        <f>IF(((Input_Raw[[#This Row],[33 kV_Wind_F4_Export Reading]]-CP75)*1200)&gt;0,(Input_Raw[[#This Row],[33 kV_Wind_F4_Export Reading]]-CP75)*1200,0)</f>
        <v>181200</v>
      </c>
      <c r="CY76" s="148">
        <f>IF(((Input_Raw[[#This Row],[33 kV_Wind_F4_Import Reading]]-CQ75)*1200)&gt;0,(Input_Raw[[#This Row],[33 kV_Wind_F4_Import Reading]]-CQ75)*1200,0)</f>
        <v>0</v>
      </c>
      <c r="CZ76" s="148">
        <f>Input_Raw[[#This Row],[33 kV_F1_Total_Export (KWh)]]+Input_Raw[[#This Row],[33 kV_F2_Total_Export (KWh)2]]+Input_Raw[[#This Row],[33 kV_Wind_F3_Export (KWh)]]+Input_Raw[[#This Row],[33 kV_Wind_F4_Export (KWh)]]</f>
        <v>565200</v>
      </c>
      <c r="DA76" s="148">
        <f>Input_Raw[[#This Row],[33 kV_Wind_F1_Import (KWh)]]+Input_Raw[[#This Row],[33 kV_Wind_F2_Import (KWh)]]+Input_Raw[[#This Row],[33 kV_Wind_F3_Import (KWh)2]]+Input_Raw[[#This Row],[33 kV_Wind_F4_Import (KWh)2]]</f>
        <v>0</v>
      </c>
      <c r="DB76" s="21">
        <f>IFERROR(1-Input_Raw[[#This Row],[33 kV_Wind_Total_Export (KWh)]]/Input_Raw[[#This Row],[WTG Total Gneration (KWh)]],0)</f>
        <v>3.8984018667211906E-3</v>
      </c>
      <c r="DC76" s="161">
        <v>96</v>
      </c>
      <c r="DD76" s="161">
        <v>100593</v>
      </c>
      <c r="DE76" s="163">
        <v>567.41</v>
      </c>
      <c r="DF76" s="160"/>
      <c r="DG76" s="162">
        <v>78</v>
      </c>
      <c r="DH76" s="281" t="s">
        <v>381</v>
      </c>
    </row>
    <row r="77" spans="1:112">
      <c r="A77" s="20">
        <f t="shared" si="6"/>
        <v>45817</v>
      </c>
      <c r="B77" s="12">
        <f>YEAR(Input_Raw[[#This Row],[Date]])+IF(MONTH(Input_Raw[[#This Row],[Date]])&gt;=4,1,0)</f>
        <v>2026</v>
      </c>
      <c r="C77" s="13">
        <f>YEAR(Input_Raw[[#This Row],[Date]])</f>
        <v>2025</v>
      </c>
      <c r="D77" s="14">
        <f t="shared" si="5"/>
        <v>45809</v>
      </c>
      <c r="E77" s="13">
        <f>DAY(EOMONTH(Input_Raw[[#This Row],[Date]],0))</f>
        <v>30</v>
      </c>
      <c r="F77" s="15">
        <v>24750</v>
      </c>
      <c r="G77" s="15">
        <v>24757</v>
      </c>
      <c r="H77" s="15">
        <v>24743</v>
      </c>
      <c r="I77" s="15">
        <v>24298</v>
      </c>
      <c r="J77" s="15">
        <v>23401</v>
      </c>
      <c r="K77" s="15">
        <v>24756</v>
      </c>
      <c r="L77" s="15">
        <v>24732</v>
      </c>
      <c r="M77" s="15">
        <v>24745</v>
      </c>
      <c r="N77" s="15">
        <v>21821</v>
      </c>
      <c r="O77" s="15">
        <v>24775</v>
      </c>
      <c r="P77" s="15">
        <v>24789</v>
      </c>
      <c r="Q77" s="15">
        <v>21850</v>
      </c>
      <c r="R77" s="15">
        <v>21856</v>
      </c>
      <c r="S77" s="15">
        <v>21520</v>
      </c>
      <c r="T77" s="15">
        <v>21860</v>
      </c>
      <c r="U77" s="15">
        <v>21845</v>
      </c>
      <c r="V77" s="15">
        <v>21861</v>
      </c>
      <c r="W77" s="15">
        <v>21848</v>
      </c>
      <c r="X77" s="15">
        <v>21878</v>
      </c>
      <c r="Y77" s="15">
        <v>21250</v>
      </c>
      <c r="Z77" s="15">
        <v>23422</v>
      </c>
      <c r="AA77" s="15">
        <v>23419</v>
      </c>
      <c r="AB77" s="15">
        <v>23411</v>
      </c>
      <c r="AC77" s="15">
        <v>23421</v>
      </c>
      <c r="AD77" s="15">
        <v>20121</v>
      </c>
      <c r="AE77" s="15">
        <v>21998</v>
      </c>
      <c r="AF77" s="15">
        <v>23434</v>
      </c>
      <c r="AG77" s="15">
        <v>0</v>
      </c>
      <c r="AH77" s="15">
        <v>22789</v>
      </c>
      <c r="AI77" s="15">
        <v>0</v>
      </c>
      <c r="AJ77" s="15">
        <v>20114</v>
      </c>
      <c r="AK77" s="15">
        <v>20124</v>
      </c>
      <c r="AL77" s="15">
        <v>20128</v>
      </c>
      <c r="AM77" s="15">
        <v>20135</v>
      </c>
      <c r="AN77" s="15">
        <v>20138</v>
      </c>
      <c r="AO77" s="15">
        <v>20140</v>
      </c>
      <c r="AP77" s="15">
        <v>20119</v>
      </c>
      <c r="AQ77" s="15">
        <v>19629</v>
      </c>
      <c r="AR77" s="15">
        <v>20145</v>
      </c>
      <c r="AS77" s="16">
        <v>7.28</v>
      </c>
      <c r="AT77" s="16">
        <v>7.74</v>
      </c>
      <c r="AU77" s="16">
        <v>7.38</v>
      </c>
      <c r="AV77" s="16">
        <v>7.5</v>
      </c>
      <c r="AW77" s="16">
        <v>6.95</v>
      </c>
      <c r="AX77" s="16">
        <v>6.64</v>
      </c>
      <c r="AY77" s="146">
        <v>7.2</v>
      </c>
      <c r="AZ77" s="16">
        <v>7.59</v>
      </c>
      <c r="BA77" s="16">
        <v>7.79</v>
      </c>
      <c r="BB77" s="16">
        <v>7.37</v>
      </c>
      <c r="BC77" s="16">
        <v>7.73</v>
      </c>
      <c r="BD77" s="16">
        <v>7.52</v>
      </c>
      <c r="BE77" s="16">
        <v>7.72</v>
      </c>
      <c r="BF77" s="16">
        <v>7.67</v>
      </c>
      <c r="BG77" s="16">
        <v>7.75</v>
      </c>
      <c r="BH77" s="16">
        <v>7.66</v>
      </c>
      <c r="BI77" s="16">
        <v>8.3800000000000008</v>
      </c>
      <c r="BJ77" s="16">
        <v>7.44</v>
      </c>
      <c r="BK77" s="16">
        <v>8.44</v>
      </c>
      <c r="BL77" s="16">
        <v>7.02</v>
      </c>
      <c r="BM77" s="16">
        <v>6.9</v>
      </c>
      <c r="BN77" s="16">
        <v>7.2</v>
      </c>
      <c r="BO77" s="16">
        <v>7.24</v>
      </c>
      <c r="BP77" s="16">
        <v>7.4</v>
      </c>
      <c r="BQ77" s="16">
        <v>7.39</v>
      </c>
      <c r="BR77" s="16">
        <v>7.05</v>
      </c>
      <c r="BS77" s="16">
        <v>6.74</v>
      </c>
      <c r="BT77" s="16">
        <v>0</v>
      </c>
      <c r="BU77" s="16">
        <v>7.37</v>
      </c>
      <c r="BV77" s="16">
        <v>0</v>
      </c>
      <c r="BW77" s="16">
        <v>6.79</v>
      </c>
      <c r="BX77" s="16">
        <v>6.65</v>
      </c>
      <c r="BY77" s="16">
        <v>6.54</v>
      </c>
      <c r="BZ77" s="16">
        <v>7.02</v>
      </c>
      <c r="CA77" s="16">
        <v>7.65</v>
      </c>
      <c r="CB77" s="16">
        <v>7.66</v>
      </c>
      <c r="CC77" s="16">
        <v>6.74</v>
      </c>
      <c r="CD77" s="16">
        <v>6.53</v>
      </c>
      <c r="CE77" s="16">
        <v>7.19</v>
      </c>
      <c r="CF77" s="17">
        <f>SUM(Input_Raw[[#This Row],[G01]:[G40]])</f>
        <v>826022</v>
      </c>
      <c r="CG77" s="18">
        <f>IFERROR(AVERAGE(Input_Raw[[#This Row],[WS_G01]:[WS_G40]]),"")</f>
        <v>6.9443589743589742</v>
      </c>
      <c r="CH77" s="19"/>
      <c r="CI77" s="19"/>
      <c r="CJ77" s="15">
        <v>242452</v>
      </c>
      <c r="CK77" s="15">
        <v>2190</v>
      </c>
      <c r="CL77" s="15">
        <v>282147</v>
      </c>
      <c r="CM77" s="15">
        <v>2216</v>
      </c>
      <c r="CN77" s="15">
        <v>258952</v>
      </c>
      <c r="CO77" s="15">
        <v>1824</v>
      </c>
      <c r="CP77" s="15">
        <v>295091</v>
      </c>
      <c r="CQ77" s="15">
        <v>1869</v>
      </c>
      <c r="CR77" s="148">
        <f>IF(((Input_Raw[[#This Row],[33 kV_Wind_F1_Export reading]]-CJ76)*1200)&gt;0,(Input_Raw[[#This Row],[33 kV_Wind_F1_Export reading]]-CJ76)*1200,0)</f>
        <v>200400</v>
      </c>
      <c r="CS77" s="148">
        <f>IF(((Input_Raw[[#This Row],[33 kV_Wind_F1_Import reading]]-CK76)*1200)&gt;0,(Input_Raw[[#This Row],[33 kV_Wind_F1_Import reading]]-CK76)*1200,0)</f>
        <v>0</v>
      </c>
      <c r="CT77" s="148">
        <f>IF(((Input_Raw[[#This Row],[33 kV_Wind_F2_Export_reading]]-CL76)*1200)&gt;0,(Input_Raw[[#This Row],[33 kV_Wind_F2_Export_reading]]-CL76)*1200,0)</f>
        <v>184800</v>
      </c>
      <c r="CU77" s="148">
        <f>IF(((Input_Raw[[#This Row],[33 kV_Wind_F2_Import_reading]]-CM76)*1200)&gt;0,(Input_Raw[[#This Row],[33 kV_Wind_F2_Import_reading]]-CM76)*1200,0)</f>
        <v>0</v>
      </c>
      <c r="CV77" s="148">
        <f>IF(((Input_Raw[[#This Row],[33 kV_Wind_F3_Export_Reading]]-CN76)*1200)&gt;0,(Input_Raw[[#This Row],[33 kV_Wind_F3_Export_Reading]]-CN76)*1200,0)</f>
        <v>222000</v>
      </c>
      <c r="CW77" s="148">
        <f>IF(((Input_Raw[[#This Row],[33 kV_Wind_F3_Import_Reading]]-CO76)*1200)&gt;0,(Input_Raw[[#This Row],[33 kV_Wind_F3_Import_Reading]]-CO76)*1200,0)</f>
        <v>0</v>
      </c>
      <c r="CX77" s="148">
        <f>IF(((Input_Raw[[#This Row],[33 kV_Wind_F4_Export Reading]]-CP76)*1200)&gt;0,(Input_Raw[[#This Row],[33 kV_Wind_F4_Export Reading]]-CP76)*1200,0)</f>
        <v>217200</v>
      </c>
      <c r="CY77" s="148">
        <f>IF(((Input_Raw[[#This Row],[33 kV_Wind_F4_Import Reading]]-CQ76)*1200)&gt;0,(Input_Raw[[#This Row],[33 kV_Wind_F4_Import Reading]]-CQ76)*1200,0)</f>
        <v>0</v>
      </c>
      <c r="CZ77" s="148">
        <f>Input_Raw[[#This Row],[33 kV_F1_Total_Export (KWh)]]+Input_Raw[[#This Row],[33 kV_F2_Total_Export (KWh)2]]+Input_Raw[[#This Row],[33 kV_Wind_F3_Export (KWh)]]+Input_Raw[[#This Row],[33 kV_Wind_F4_Export (KWh)]]</f>
        <v>824400</v>
      </c>
      <c r="DA77" s="148">
        <f>Input_Raw[[#This Row],[33 kV_Wind_F1_Import (KWh)]]+Input_Raw[[#This Row],[33 kV_Wind_F2_Import (KWh)]]+Input_Raw[[#This Row],[33 kV_Wind_F3_Import (KWh)2]]+Input_Raw[[#This Row],[33 kV_Wind_F4_Import (KWh)2]]</f>
        <v>0</v>
      </c>
      <c r="DB77" s="21">
        <f>IFERROR(1-Input_Raw[[#This Row],[33 kV_Wind_Total_Export (KWh)]]/Input_Raw[[#This Row],[WTG Total Gneration (KWh)]],0)</f>
        <v>1.9636280873874812E-3</v>
      </c>
      <c r="DC77" s="161">
        <v>96</v>
      </c>
      <c r="DD77" s="161">
        <v>186028</v>
      </c>
      <c r="DE77" s="163">
        <v>826.02</v>
      </c>
      <c r="DF77" s="160"/>
      <c r="DG77" s="162">
        <v>78</v>
      </c>
      <c r="DH77" s="281" t="s">
        <v>381</v>
      </c>
    </row>
    <row r="78" spans="1:112">
      <c r="A78" s="20">
        <f t="shared" si="6"/>
        <v>45818</v>
      </c>
      <c r="B78" s="12">
        <f>YEAR(Input_Raw[[#This Row],[Date]])+IF(MONTH(Input_Raw[[#This Row],[Date]])&gt;=4,1,0)</f>
        <v>2026</v>
      </c>
      <c r="C78" s="13">
        <f>YEAR(Input_Raw[[#This Row],[Date]])</f>
        <v>2025</v>
      </c>
      <c r="D78" s="14">
        <f t="shared" si="5"/>
        <v>45809</v>
      </c>
      <c r="E78" s="13">
        <f>DAY(EOMONTH(Input_Raw[[#This Row],[Date]],0))</f>
        <v>30</v>
      </c>
      <c r="F78" s="15">
        <v>13301</v>
      </c>
      <c r="G78" s="15">
        <v>11520</v>
      </c>
      <c r="H78" s="15">
        <v>13323</v>
      </c>
      <c r="I78" s="15">
        <v>13335</v>
      </c>
      <c r="J78" s="15">
        <v>12629</v>
      </c>
      <c r="K78" s="15">
        <v>13346</v>
      </c>
      <c r="L78" s="15">
        <v>13337</v>
      </c>
      <c r="M78" s="15">
        <v>13364</v>
      </c>
      <c r="N78" s="15">
        <v>22332</v>
      </c>
      <c r="O78" s="15">
        <v>13372</v>
      </c>
      <c r="P78" s="15">
        <v>13378</v>
      </c>
      <c r="Q78" s="15">
        <v>22326</v>
      </c>
      <c r="R78" s="15">
        <v>22342</v>
      </c>
      <c r="S78" s="15">
        <v>20987</v>
      </c>
      <c r="T78" s="15">
        <v>21535</v>
      </c>
      <c r="U78" s="15">
        <v>21522</v>
      </c>
      <c r="V78" s="15">
        <v>22321</v>
      </c>
      <c r="W78" s="15">
        <v>22316</v>
      </c>
      <c r="X78" s="15">
        <v>22345</v>
      </c>
      <c r="Y78" s="15">
        <v>21452</v>
      </c>
      <c r="Z78" s="15">
        <v>12672</v>
      </c>
      <c r="AA78" s="15">
        <v>12662</v>
      </c>
      <c r="AB78" s="15">
        <v>11201</v>
      </c>
      <c r="AC78" s="15">
        <v>12678</v>
      </c>
      <c r="AD78" s="15">
        <v>11701</v>
      </c>
      <c r="AE78" s="15">
        <v>12672</v>
      </c>
      <c r="AF78" s="15">
        <v>12689</v>
      </c>
      <c r="AG78" s="15">
        <v>0</v>
      </c>
      <c r="AH78" s="15">
        <v>12692</v>
      </c>
      <c r="AI78" s="15">
        <v>0</v>
      </c>
      <c r="AJ78" s="15">
        <v>11711</v>
      </c>
      <c r="AK78" s="15">
        <v>11723</v>
      </c>
      <c r="AL78" s="15">
        <v>11721</v>
      </c>
      <c r="AM78" s="15">
        <v>11723</v>
      </c>
      <c r="AN78" s="15">
        <v>11732</v>
      </c>
      <c r="AO78" s="15">
        <v>11734</v>
      </c>
      <c r="AP78" s="15">
        <v>11721</v>
      </c>
      <c r="AQ78" s="15">
        <v>11735</v>
      </c>
      <c r="AR78" s="15">
        <v>11742</v>
      </c>
      <c r="AS78" s="16">
        <v>5.63</v>
      </c>
      <c r="AT78" s="16">
        <v>6.04</v>
      </c>
      <c r="AU78" s="16">
        <v>5.55</v>
      </c>
      <c r="AV78" s="16">
        <v>5.6</v>
      </c>
      <c r="AW78" s="16">
        <v>6.19</v>
      </c>
      <c r="AX78" s="16">
        <v>6.25</v>
      </c>
      <c r="AY78" s="16">
        <v>5.75</v>
      </c>
      <c r="AZ78" s="16">
        <v>5.53</v>
      </c>
      <c r="BA78" s="16">
        <v>5.55</v>
      </c>
      <c r="BB78" s="16">
        <v>5.54</v>
      </c>
      <c r="BC78" s="16">
        <v>5.96</v>
      </c>
      <c r="BD78" s="16">
        <v>5.74</v>
      </c>
      <c r="BE78" s="16">
        <v>5.4</v>
      </c>
      <c r="BF78" s="16">
        <v>5.5</v>
      </c>
      <c r="BG78" s="16">
        <v>5.41</v>
      </c>
      <c r="BH78" s="16">
        <v>5.42</v>
      </c>
      <c r="BI78" s="16">
        <v>5.86</v>
      </c>
      <c r="BJ78" s="16">
        <v>6.15</v>
      </c>
      <c r="BK78" s="16">
        <v>6.47</v>
      </c>
      <c r="BL78" s="16">
        <v>6.22</v>
      </c>
      <c r="BM78" s="16">
        <v>5.08</v>
      </c>
      <c r="BN78" s="16">
        <v>6.26</v>
      </c>
      <c r="BO78" s="16">
        <v>5.87</v>
      </c>
      <c r="BP78" s="16">
        <v>5.93</v>
      </c>
      <c r="BQ78" s="16">
        <v>5.43</v>
      </c>
      <c r="BR78" s="16">
        <v>5.57</v>
      </c>
      <c r="BS78" s="16">
        <v>5.63</v>
      </c>
      <c r="BT78" s="16">
        <v>0</v>
      </c>
      <c r="BU78" s="16">
        <v>5.51</v>
      </c>
      <c r="BV78" s="16">
        <v>0</v>
      </c>
      <c r="BW78" s="16">
        <v>5.16</v>
      </c>
      <c r="BX78" s="16">
        <v>5.35</v>
      </c>
      <c r="BY78" s="16">
        <v>5.38</v>
      </c>
      <c r="BZ78" s="16">
        <v>5.49</v>
      </c>
      <c r="CA78" s="16">
        <v>5.43</v>
      </c>
      <c r="CB78" s="16">
        <v>5.44</v>
      </c>
      <c r="CC78" s="16">
        <v>5.45</v>
      </c>
      <c r="CD78" s="16">
        <v>5.52</v>
      </c>
      <c r="CE78" s="16">
        <v>5.36</v>
      </c>
      <c r="CF78" s="17">
        <f>SUM(Input_Raw[[#This Row],[G01]:[G40]])</f>
        <v>554892</v>
      </c>
      <c r="CG78" s="18">
        <f>IFERROR(AVERAGE(Input_Raw[[#This Row],[WS_G01]:[WS_G40]]),"")</f>
        <v>5.3748717948717948</v>
      </c>
      <c r="CH78" s="19"/>
      <c r="CI78" s="19"/>
      <c r="CJ78" s="15">
        <v>242550</v>
      </c>
      <c r="CK78" s="15">
        <v>2190</v>
      </c>
      <c r="CL78" s="15">
        <v>282231</v>
      </c>
      <c r="CM78" s="15">
        <v>2217</v>
      </c>
      <c r="CN78" s="15">
        <v>259051</v>
      </c>
      <c r="CO78" s="15">
        <v>1824</v>
      </c>
      <c r="CP78" s="15">
        <v>295270</v>
      </c>
      <c r="CQ78" s="15">
        <v>1870</v>
      </c>
      <c r="CR78" s="148">
        <f>IF(((Input_Raw[[#This Row],[33 kV_Wind_F1_Export reading]]-CJ77)*1200)&gt;0,(Input_Raw[[#This Row],[33 kV_Wind_F1_Export reading]]-CJ77)*1200,0)</f>
        <v>117600</v>
      </c>
      <c r="CS78" s="148">
        <f>IF(((Input_Raw[[#This Row],[33 kV_Wind_F1_Import reading]]-CK77)*1200)&gt;0,(Input_Raw[[#This Row],[33 kV_Wind_F1_Import reading]]-CK77)*1200,0)</f>
        <v>0</v>
      </c>
      <c r="CT78" s="148">
        <f>IF(((Input_Raw[[#This Row],[33 kV_Wind_F2_Export_reading]]-CL77)*1200)&gt;0,(Input_Raw[[#This Row],[33 kV_Wind_F2_Export_reading]]-CL77)*1200,0)</f>
        <v>100800</v>
      </c>
      <c r="CU78" s="148">
        <f>IF(((Input_Raw[[#This Row],[33 kV_Wind_F2_Import_reading]]-CM77)*1200)&gt;0,(Input_Raw[[#This Row],[33 kV_Wind_F2_Import_reading]]-CM77)*1200,0)</f>
        <v>1200</v>
      </c>
      <c r="CV78" s="148">
        <f>IF(((Input_Raw[[#This Row],[33 kV_Wind_F3_Export_Reading]]-CN77)*1200)&gt;0,(Input_Raw[[#This Row],[33 kV_Wind_F3_Export_Reading]]-CN77)*1200,0)</f>
        <v>118800</v>
      </c>
      <c r="CW78" s="148">
        <f>IF(((Input_Raw[[#This Row],[33 kV_Wind_F3_Import_Reading]]-CO77)*1200)&gt;0,(Input_Raw[[#This Row],[33 kV_Wind_F3_Import_Reading]]-CO77)*1200,0)</f>
        <v>0</v>
      </c>
      <c r="CX78" s="148">
        <f>IF(((Input_Raw[[#This Row],[33 kV_Wind_F4_Export Reading]]-CP77)*1200)&gt;0,(Input_Raw[[#This Row],[33 kV_Wind_F4_Export Reading]]-CP77)*1200,0)</f>
        <v>214800</v>
      </c>
      <c r="CY78" s="148">
        <f>IF(((Input_Raw[[#This Row],[33 kV_Wind_F4_Import Reading]]-CQ77)*1200)&gt;0,(Input_Raw[[#This Row],[33 kV_Wind_F4_Import Reading]]-CQ77)*1200,0)</f>
        <v>1200</v>
      </c>
      <c r="CZ78" s="148">
        <f>Input_Raw[[#This Row],[33 kV_F1_Total_Export (KWh)]]+Input_Raw[[#This Row],[33 kV_F2_Total_Export (KWh)2]]+Input_Raw[[#This Row],[33 kV_Wind_F3_Export (KWh)]]+Input_Raw[[#This Row],[33 kV_Wind_F4_Export (KWh)]]</f>
        <v>552000</v>
      </c>
      <c r="DA78" s="148">
        <f>Input_Raw[[#This Row],[33 kV_Wind_F1_Import (KWh)]]+Input_Raw[[#This Row],[33 kV_Wind_F2_Import (KWh)]]+Input_Raw[[#This Row],[33 kV_Wind_F3_Import (KWh)2]]+Input_Raw[[#This Row],[33 kV_Wind_F4_Import (KWh)2]]</f>
        <v>2400</v>
      </c>
      <c r="DB78" s="21">
        <f>IFERROR(1-Input_Raw[[#This Row],[33 kV_Wind_Total_Export (KWh)]]/Input_Raw[[#This Row],[WTG Total Gneration (KWh)]],0)</f>
        <v>5.211825003784476E-3</v>
      </c>
      <c r="DC78" s="161">
        <v>96</v>
      </c>
      <c r="DD78" s="161">
        <v>137294</v>
      </c>
      <c r="DE78" s="163">
        <v>554.89</v>
      </c>
      <c r="DF78" s="160"/>
      <c r="DG78" s="162">
        <v>78</v>
      </c>
      <c r="DH78" s="281" t="s">
        <v>381</v>
      </c>
    </row>
    <row r="79" spans="1:112">
      <c r="A79" s="20">
        <f t="shared" si="6"/>
        <v>45819</v>
      </c>
      <c r="B79" s="12">
        <f>YEAR(Input_Raw[[#This Row],[Date]])+IF(MONTH(Input_Raw[[#This Row],[Date]])&gt;=4,1,0)</f>
        <v>2026</v>
      </c>
      <c r="C79" s="13">
        <f>YEAR(Input_Raw[[#This Row],[Date]])</f>
        <v>2025</v>
      </c>
      <c r="D79" s="14">
        <f t="shared" si="5"/>
        <v>45809</v>
      </c>
      <c r="E79" s="13">
        <f>DAY(EOMONTH(Input_Raw[[#This Row],[Date]],0))</f>
        <v>30</v>
      </c>
      <c r="F79" s="15">
        <v>17911</v>
      </c>
      <c r="G79" s="15">
        <v>17915</v>
      </c>
      <c r="H79" s="15">
        <v>17919</v>
      </c>
      <c r="I79" s="15">
        <v>17913</v>
      </c>
      <c r="J79" s="15">
        <v>14410</v>
      </c>
      <c r="K79" s="15">
        <v>17917</v>
      </c>
      <c r="L79" s="15">
        <v>15631</v>
      </c>
      <c r="M79" s="15">
        <v>17921</v>
      </c>
      <c r="N79" s="15">
        <v>9561</v>
      </c>
      <c r="O79" s="15">
        <v>17934</v>
      </c>
      <c r="P79" s="15">
        <v>17938</v>
      </c>
      <c r="Q79" s="15">
        <v>9565</v>
      </c>
      <c r="R79" s="15">
        <v>9566</v>
      </c>
      <c r="S79" s="15">
        <v>9568</v>
      </c>
      <c r="T79" s="15">
        <v>9572</v>
      </c>
      <c r="U79" s="15">
        <v>9522</v>
      </c>
      <c r="V79" s="15">
        <v>9539</v>
      </c>
      <c r="W79" s="15">
        <v>9542</v>
      </c>
      <c r="X79" s="15">
        <v>9578</v>
      </c>
      <c r="Y79" s="15">
        <v>9582</v>
      </c>
      <c r="Z79" s="15">
        <v>14472</v>
      </c>
      <c r="AA79" s="15">
        <v>14474</v>
      </c>
      <c r="AB79" s="15">
        <v>14458</v>
      </c>
      <c r="AC79" s="15">
        <v>14462</v>
      </c>
      <c r="AD79" s="15">
        <v>12111</v>
      </c>
      <c r="AE79" s="15">
        <v>14457</v>
      </c>
      <c r="AF79" s="15">
        <v>14454</v>
      </c>
      <c r="AG79" s="15">
        <v>0</v>
      </c>
      <c r="AH79" s="15">
        <v>14468</v>
      </c>
      <c r="AI79" s="15">
        <v>0</v>
      </c>
      <c r="AJ79" s="15">
        <v>11598</v>
      </c>
      <c r="AK79" s="15">
        <v>12132</v>
      </c>
      <c r="AL79" s="15">
        <v>12135</v>
      </c>
      <c r="AM79" s="15">
        <v>12142</v>
      </c>
      <c r="AN79" s="15">
        <v>12148</v>
      </c>
      <c r="AO79" s="15">
        <v>12145</v>
      </c>
      <c r="AP79" s="15">
        <v>12139</v>
      </c>
      <c r="AQ79" s="15">
        <v>12152</v>
      </c>
      <c r="AR79" s="15">
        <v>12156</v>
      </c>
      <c r="AS79" s="16">
        <v>4.8499999999999996</v>
      </c>
      <c r="AT79" s="16">
        <v>5.37</v>
      </c>
      <c r="AU79" s="16">
        <v>4.76</v>
      </c>
      <c r="AV79" s="16">
        <v>4.7699999999999996</v>
      </c>
      <c r="AW79" s="16">
        <v>5.09</v>
      </c>
      <c r="AX79" s="16">
        <v>5.19</v>
      </c>
      <c r="AY79" s="16">
        <v>4.8</v>
      </c>
      <c r="AZ79" s="16">
        <v>4.87</v>
      </c>
      <c r="BA79" s="16">
        <v>5.25</v>
      </c>
      <c r="BB79" s="16">
        <v>4.9800000000000004</v>
      </c>
      <c r="BC79" s="16">
        <v>5.45</v>
      </c>
      <c r="BD79" s="16">
        <v>5.28</v>
      </c>
      <c r="BE79" s="16">
        <v>5.32</v>
      </c>
      <c r="BF79" s="16">
        <v>5.14</v>
      </c>
      <c r="BG79" s="16">
        <v>5.09</v>
      </c>
      <c r="BH79" s="16">
        <v>5.27</v>
      </c>
      <c r="BI79" s="16">
        <v>5.07</v>
      </c>
      <c r="BJ79" s="16">
        <v>5.36</v>
      </c>
      <c r="BK79" s="16">
        <v>6.59</v>
      </c>
      <c r="BL79" s="16">
        <v>5.63</v>
      </c>
      <c r="BM79" s="16">
        <v>5.4</v>
      </c>
      <c r="BN79" s="16">
        <v>5.44</v>
      </c>
      <c r="BO79" s="16">
        <v>4.66</v>
      </c>
      <c r="BP79" s="16">
        <v>4.9800000000000004</v>
      </c>
      <c r="BQ79" s="16">
        <v>4.95</v>
      </c>
      <c r="BR79" s="16">
        <v>4.71</v>
      </c>
      <c r="BS79" s="16">
        <v>4.88</v>
      </c>
      <c r="BT79" s="16">
        <v>0</v>
      </c>
      <c r="BU79" s="16">
        <v>4.8600000000000003</v>
      </c>
      <c r="BV79" s="16">
        <v>0</v>
      </c>
      <c r="BW79" s="16">
        <v>4.59</v>
      </c>
      <c r="BX79" s="16">
        <v>4.7300000000000004</v>
      </c>
      <c r="BY79" s="16">
        <v>4.88</v>
      </c>
      <c r="BZ79" s="16">
        <v>4.88</v>
      </c>
      <c r="CA79" s="16">
        <v>5.07</v>
      </c>
      <c r="CB79" s="16">
        <v>5.05</v>
      </c>
      <c r="CC79" s="16">
        <v>4.83</v>
      </c>
      <c r="CD79" s="16">
        <v>4.74</v>
      </c>
      <c r="CE79" s="16">
        <v>5.01</v>
      </c>
      <c r="CF79" s="17">
        <f>SUM(Input_Raw[[#This Row],[G01]:[G40]])</f>
        <v>491107</v>
      </c>
      <c r="CG79" s="18">
        <f>IFERROR(AVERAGE(Input_Raw[[#This Row],[WS_G01]:[WS_G40]]),"")</f>
        <v>4.8151282051282047</v>
      </c>
      <c r="CH79" s="19"/>
      <c r="CI79" s="19"/>
      <c r="CJ79" s="15">
        <v>242649</v>
      </c>
      <c r="CK79" s="15">
        <v>2190</v>
      </c>
      <c r="CL79" s="15">
        <v>282326</v>
      </c>
      <c r="CM79" s="15">
        <v>2217</v>
      </c>
      <c r="CN79" s="15">
        <v>259182</v>
      </c>
      <c r="CO79" s="15">
        <v>1824</v>
      </c>
      <c r="CP79" s="15">
        <v>295349</v>
      </c>
      <c r="CQ79" s="15">
        <v>1870</v>
      </c>
      <c r="CR79" s="148">
        <f>IF(((Input_Raw[[#This Row],[33 kV_Wind_F1_Export reading]]-CJ78)*1200)&gt;0,(Input_Raw[[#This Row],[33 kV_Wind_F1_Export reading]]-CJ78)*1200,0)</f>
        <v>118800</v>
      </c>
      <c r="CS79" s="148">
        <f>IF(((Input_Raw[[#This Row],[33 kV_Wind_F1_Import reading]]-CK78)*1200)&gt;0,(Input_Raw[[#This Row],[33 kV_Wind_F1_Import reading]]-CK78)*1200,0)</f>
        <v>0</v>
      </c>
      <c r="CT79" s="148">
        <f>IF(((Input_Raw[[#This Row],[33 kV_Wind_F2_Export_reading]]-CL78)*1200)&gt;0,(Input_Raw[[#This Row],[33 kV_Wind_F2_Export_reading]]-CL78)*1200,0)</f>
        <v>114000</v>
      </c>
      <c r="CU79" s="148">
        <f>IF(((Input_Raw[[#This Row],[33 kV_Wind_F2_Import_reading]]-CM78)*1200)&gt;0,(Input_Raw[[#This Row],[33 kV_Wind_F2_Import_reading]]-CM78)*1200,0)</f>
        <v>0</v>
      </c>
      <c r="CV79" s="148">
        <f>IF(((Input_Raw[[#This Row],[33 kV_Wind_F3_Export_Reading]]-CN78)*1200)&gt;0,(Input_Raw[[#This Row],[33 kV_Wind_F3_Export_Reading]]-CN78)*1200,0)</f>
        <v>157200</v>
      </c>
      <c r="CW79" s="148">
        <f>IF(((Input_Raw[[#This Row],[33 kV_Wind_F3_Import_Reading]]-CO78)*1200)&gt;0,(Input_Raw[[#This Row],[33 kV_Wind_F3_Import_Reading]]-CO78)*1200,0)</f>
        <v>0</v>
      </c>
      <c r="CX79" s="148">
        <f>IF(((Input_Raw[[#This Row],[33 kV_Wind_F4_Export Reading]]-CP78)*1200)&gt;0,(Input_Raw[[#This Row],[33 kV_Wind_F4_Export Reading]]-CP78)*1200,0)</f>
        <v>94800</v>
      </c>
      <c r="CY79" s="148">
        <f>IF(((Input_Raw[[#This Row],[33 kV_Wind_F4_Import Reading]]-CQ78)*1200)&gt;0,(Input_Raw[[#This Row],[33 kV_Wind_F4_Import Reading]]-CQ78)*1200,0)</f>
        <v>0</v>
      </c>
      <c r="CZ79" s="148">
        <f>Input_Raw[[#This Row],[33 kV_F1_Total_Export (KWh)]]+Input_Raw[[#This Row],[33 kV_F2_Total_Export (KWh)2]]+Input_Raw[[#This Row],[33 kV_Wind_F3_Export (KWh)]]+Input_Raw[[#This Row],[33 kV_Wind_F4_Export (KWh)]]</f>
        <v>484800</v>
      </c>
      <c r="DA79" s="148">
        <f>Input_Raw[[#This Row],[33 kV_Wind_F1_Import (KWh)]]+Input_Raw[[#This Row],[33 kV_Wind_F2_Import (KWh)]]+Input_Raw[[#This Row],[33 kV_Wind_F3_Import (KWh)2]]+Input_Raw[[#This Row],[33 kV_Wind_F4_Import (KWh)2]]</f>
        <v>0</v>
      </c>
      <c r="DB79" s="21">
        <f>IFERROR(1-Input_Raw[[#This Row],[33 kV_Wind_Total_Export (KWh)]]/Input_Raw[[#This Row],[WTG Total Gneration (KWh)]],0)</f>
        <v>1.2842415196688273E-2</v>
      </c>
      <c r="DC79" s="161">
        <v>96</v>
      </c>
      <c r="DD79" s="161">
        <v>100851</v>
      </c>
      <c r="DE79" s="163">
        <v>491.1</v>
      </c>
      <c r="DF79" s="160"/>
      <c r="DG79" s="162">
        <v>78</v>
      </c>
      <c r="DH79" s="281" t="s">
        <v>381</v>
      </c>
    </row>
    <row r="80" spans="1:112">
      <c r="A80" s="20">
        <f t="shared" si="6"/>
        <v>45820</v>
      </c>
      <c r="B80" s="12">
        <f>YEAR(Input_Raw[[#This Row],[Date]])+IF(MONTH(Input_Raw[[#This Row],[Date]])&gt;=4,1,0)</f>
        <v>2026</v>
      </c>
      <c r="C80" s="13">
        <f>YEAR(Input_Raw[[#This Row],[Date]])</f>
        <v>2025</v>
      </c>
      <c r="D80" s="14">
        <f t="shared" si="5"/>
        <v>45809</v>
      </c>
      <c r="E80" s="13">
        <f>DAY(EOMONTH(Input_Raw[[#This Row],[Date]],0))</f>
        <v>30</v>
      </c>
      <c r="F80" s="15">
        <v>12983</v>
      </c>
      <c r="G80" s="15">
        <v>14968</v>
      </c>
      <c r="H80" s="15">
        <v>14951</v>
      </c>
      <c r="I80" s="15">
        <v>14966</v>
      </c>
      <c r="J80" s="15">
        <v>9811</v>
      </c>
      <c r="K80" s="15">
        <v>14959</v>
      </c>
      <c r="L80" s="15">
        <v>14931</v>
      </c>
      <c r="M80" s="15">
        <v>14967</v>
      </c>
      <c r="N80" s="15">
        <v>12731</v>
      </c>
      <c r="O80" s="15">
        <v>14972</v>
      </c>
      <c r="P80" s="15">
        <v>14981</v>
      </c>
      <c r="Q80" s="15">
        <v>12735</v>
      </c>
      <c r="R80" s="15">
        <v>12738</v>
      </c>
      <c r="S80" s="15">
        <v>12741</v>
      </c>
      <c r="T80" s="15">
        <v>12762</v>
      </c>
      <c r="U80" s="15">
        <v>12758</v>
      </c>
      <c r="V80" s="15">
        <v>12764</v>
      </c>
      <c r="W80" s="15">
        <v>12760</v>
      </c>
      <c r="X80" s="15">
        <v>12772</v>
      </c>
      <c r="Y80" s="15">
        <v>12775</v>
      </c>
      <c r="Z80" s="15">
        <v>9837</v>
      </c>
      <c r="AA80" s="15">
        <v>9831</v>
      </c>
      <c r="AB80" s="15">
        <v>9828</v>
      </c>
      <c r="AC80" s="15">
        <v>9855</v>
      </c>
      <c r="AD80" s="15">
        <v>8970</v>
      </c>
      <c r="AE80" s="15">
        <v>9850</v>
      </c>
      <c r="AF80" s="15">
        <v>9862</v>
      </c>
      <c r="AG80" s="15">
        <v>0</v>
      </c>
      <c r="AH80" s="15">
        <v>9868</v>
      </c>
      <c r="AI80" s="15">
        <v>0</v>
      </c>
      <c r="AJ80" s="15">
        <v>8985</v>
      </c>
      <c r="AK80" s="15">
        <v>8957</v>
      </c>
      <c r="AL80" s="15">
        <v>8958</v>
      </c>
      <c r="AM80" s="15">
        <v>8951</v>
      </c>
      <c r="AN80" s="15">
        <v>8962</v>
      </c>
      <c r="AO80" s="15">
        <v>8959</v>
      </c>
      <c r="AP80" s="15">
        <v>8948</v>
      </c>
      <c r="AQ80" s="15">
        <v>8964</v>
      </c>
      <c r="AR80" s="15">
        <v>8969</v>
      </c>
      <c r="AS80" s="16">
        <v>4.8499999999999996</v>
      </c>
      <c r="AT80" s="16">
        <v>5.26</v>
      </c>
      <c r="AU80" s="16">
        <v>4.68</v>
      </c>
      <c r="AV80" s="16">
        <v>5.05</v>
      </c>
      <c r="AW80" s="16">
        <v>5</v>
      </c>
      <c r="AX80" s="16">
        <v>5.1100000000000003</v>
      </c>
      <c r="AY80" s="16">
        <v>4.84</v>
      </c>
      <c r="AZ80" s="16">
        <v>4.4800000000000004</v>
      </c>
      <c r="BA80" s="16">
        <v>5.09</v>
      </c>
      <c r="BB80" s="16">
        <v>4.83</v>
      </c>
      <c r="BC80" s="16">
        <v>5.29</v>
      </c>
      <c r="BD80" s="16">
        <v>5.04</v>
      </c>
      <c r="BE80" s="16">
        <v>5.15</v>
      </c>
      <c r="BF80" s="16">
        <v>5.24</v>
      </c>
      <c r="BG80" s="16">
        <v>4.99</v>
      </c>
      <c r="BH80" s="16">
        <v>5.44</v>
      </c>
      <c r="BI80" s="16">
        <v>4.96</v>
      </c>
      <c r="BJ80" s="16">
        <v>5.48</v>
      </c>
      <c r="BK80" s="16">
        <v>5.43</v>
      </c>
      <c r="BL80" s="16">
        <v>5.67</v>
      </c>
      <c r="BM80" s="16">
        <v>0</v>
      </c>
      <c r="BN80" s="16">
        <v>5.29</v>
      </c>
      <c r="BO80" s="16">
        <v>4.82</v>
      </c>
      <c r="BP80" s="16">
        <v>5.04</v>
      </c>
      <c r="BQ80" s="16">
        <v>5.32</v>
      </c>
      <c r="BR80" s="16">
        <v>5.01</v>
      </c>
      <c r="BS80" s="16">
        <v>5.03</v>
      </c>
      <c r="BT80" s="16">
        <v>0</v>
      </c>
      <c r="BU80" s="16">
        <v>4.8099999999999996</v>
      </c>
      <c r="BV80" s="16">
        <v>0</v>
      </c>
      <c r="BW80" s="16">
        <v>4.95</v>
      </c>
      <c r="BX80" s="16">
        <v>5.01</v>
      </c>
      <c r="BY80" s="16">
        <v>4.99</v>
      </c>
      <c r="BZ80" s="16">
        <v>5.16</v>
      </c>
      <c r="CA80" s="16">
        <v>5.21</v>
      </c>
      <c r="CB80" s="16">
        <v>4.87</v>
      </c>
      <c r="CC80" s="16">
        <v>5.18</v>
      </c>
      <c r="CD80" s="16">
        <v>4.8499999999999996</v>
      </c>
      <c r="CE80" s="16">
        <v>5.19</v>
      </c>
      <c r="CF80" s="17">
        <f>SUM(Input_Raw[[#This Row],[G01]:[G40]])</f>
        <v>428579</v>
      </c>
      <c r="CG80" s="18">
        <f>IFERROR(AVERAGE(Input_Raw[[#This Row],[WS_G01]:[WS_G40]]),"")</f>
        <v>4.6823076923076918</v>
      </c>
      <c r="CH80" s="19"/>
      <c r="CI80" s="19"/>
      <c r="CJ80" s="15">
        <v>242722</v>
      </c>
      <c r="CK80" s="15">
        <v>2191</v>
      </c>
      <c r="CL80" s="15">
        <v>282390</v>
      </c>
      <c r="CM80" s="15">
        <v>2217</v>
      </c>
      <c r="CN80" s="15">
        <v>259292</v>
      </c>
      <c r="CO80" s="15">
        <v>1825</v>
      </c>
      <c r="CP80" s="15">
        <v>295454</v>
      </c>
      <c r="CQ80" s="15">
        <v>1870</v>
      </c>
      <c r="CR80" s="148">
        <f>IF(((Input_Raw[[#This Row],[33 kV_Wind_F1_Export reading]]-CJ79)*1200)&gt;0,(Input_Raw[[#This Row],[33 kV_Wind_F1_Export reading]]-CJ79)*1200,0)</f>
        <v>87600</v>
      </c>
      <c r="CS80" s="148">
        <f>IF(((Input_Raw[[#This Row],[33 kV_Wind_F1_Import reading]]-CK79)*1200)&gt;0,(Input_Raw[[#This Row],[33 kV_Wind_F1_Import reading]]-CK79)*1200,0)</f>
        <v>1200</v>
      </c>
      <c r="CT80" s="148">
        <f>IF(((Input_Raw[[#This Row],[33 kV_Wind_F2_Export_reading]]-CL79)*1200)&gt;0,(Input_Raw[[#This Row],[33 kV_Wind_F2_Export_reading]]-CL79)*1200,0)</f>
        <v>76800</v>
      </c>
      <c r="CU80" s="148">
        <f>IF(((Input_Raw[[#This Row],[33 kV_Wind_F2_Import_reading]]-CM79)*1200)&gt;0,(Input_Raw[[#This Row],[33 kV_Wind_F2_Import_reading]]-CM79)*1200,0)</f>
        <v>0</v>
      </c>
      <c r="CV80" s="148">
        <f>IF(((Input_Raw[[#This Row],[33 kV_Wind_F3_Export_Reading]]-CN79)*1200)&gt;0,(Input_Raw[[#This Row],[33 kV_Wind_F3_Export_Reading]]-CN79)*1200,0)</f>
        <v>132000</v>
      </c>
      <c r="CW80" s="148">
        <f>IF(((Input_Raw[[#This Row],[33 kV_Wind_F3_Import_Reading]]-CO79)*1200)&gt;0,(Input_Raw[[#This Row],[33 kV_Wind_F3_Import_Reading]]-CO79)*1200,0)</f>
        <v>1200</v>
      </c>
      <c r="CX80" s="148">
        <f>IF(((Input_Raw[[#This Row],[33 kV_Wind_F4_Export Reading]]-CP79)*1200)&gt;0,(Input_Raw[[#This Row],[33 kV_Wind_F4_Export Reading]]-CP79)*1200,0)</f>
        <v>126000</v>
      </c>
      <c r="CY80" s="148">
        <f>IF(((Input_Raw[[#This Row],[33 kV_Wind_F4_Import Reading]]-CQ79)*1200)&gt;0,(Input_Raw[[#This Row],[33 kV_Wind_F4_Import Reading]]-CQ79)*1200,0)</f>
        <v>0</v>
      </c>
      <c r="CZ80" s="148">
        <f>Input_Raw[[#This Row],[33 kV_F1_Total_Export (KWh)]]+Input_Raw[[#This Row],[33 kV_F2_Total_Export (KWh)2]]+Input_Raw[[#This Row],[33 kV_Wind_F3_Export (KWh)]]+Input_Raw[[#This Row],[33 kV_Wind_F4_Export (KWh)]]</f>
        <v>422400</v>
      </c>
      <c r="DA80" s="148">
        <f>Input_Raw[[#This Row],[33 kV_Wind_F1_Import (KWh)]]+Input_Raw[[#This Row],[33 kV_Wind_F2_Import (KWh)]]+Input_Raw[[#This Row],[33 kV_Wind_F3_Import (KWh)2]]+Input_Raw[[#This Row],[33 kV_Wind_F4_Import (KWh)2]]</f>
        <v>2400</v>
      </c>
      <c r="DB80" s="21">
        <f>IFERROR(1-Input_Raw[[#This Row],[33 kV_Wind_Total_Export (KWh)]]/Input_Raw[[#This Row],[WTG Total Gneration (KWh)]],0)</f>
        <v>1.4417411959055437E-2</v>
      </c>
      <c r="DC80" s="161">
        <v>70</v>
      </c>
      <c r="DD80" s="161">
        <v>115200</v>
      </c>
      <c r="DE80" s="163">
        <v>428.57</v>
      </c>
      <c r="DF80" s="160"/>
      <c r="DG80" s="162">
        <v>78</v>
      </c>
      <c r="DH80" s="281" t="s">
        <v>381</v>
      </c>
    </row>
    <row r="81" spans="1:112">
      <c r="A81" s="20">
        <f t="shared" si="6"/>
        <v>45821</v>
      </c>
      <c r="B81" s="12">
        <f>YEAR(Input_Raw[[#This Row],[Date]])+IF(MONTH(Input_Raw[[#This Row],[Date]])&gt;=4,1,0)</f>
        <v>2026</v>
      </c>
      <c r="C81" s="13">
        <f>YEAR(Input_Raw[[#This Row],[Date]])</f>
        <v>2025</v>
      </c>
      <c r="D81" s="14">
        <f t="shared" si="5"/>
        <v>45809</v>
      </c>
      <c r="E81" s="13">
        <f>DAY(EOMONTH(Input_Raw[[#This Row],[Date]],0))</f>
        <v>30</v>
      </c>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7">
        <f>SUM(Input_Raw[[#This Row],[G01]:[G40]])</f>
        <v>0</v>
      </c>
      <c r="CG81" s="18" t="str">
        <f>IFERROR(AVERAGE(Input_Raw[[#This Row],[WS_G01]:[WS_G40]]),"")</f>
        <v/>
      </c>
      <c r="CH81" s="19"/>
      <c r="CI81" s="19"/>
      <c r="CJ81" s="15"/>
      <c r="CK81" s="15"/>
      <c r="CL81" s="15"/>
      <c r="CM81" s="15"/>
      <c r="CN81" s="15"/>
      <c r="CO81" s="15"/>
      <c r="CP81" s="15"/>
      <c r="CQ81" s="15"/>
      <c r="CR81" s="148">
        <f>IF(((Input_Raw[[#This Row],[33 kV_Wind_F1_Export reading]]-CJ80)*1200)&gt;0,(Input_Raw[[#This Row],[33 kV_Wind_F1_Export reading]]-CJ80)*1200,0)</f>
        <v>0</v>
      </c>
      <c r="CS81" s="148">
        <f>IF(((Input_Raw[[#This Row],[33 kV_Wind_F1_Import reading]]-CK80)*1200)&gt;0,(Input_Raw[[#This Row],[33 kV_Wind_F1_Import reading]]-CK80)*1200,0)</f>
        <v>0</v>
      </c>
      <c r="CT81" s="148">
        <f>IF(((Input_Raw[[#This Row],[33 kV_Wind_F2_Export_reading]]-CL80)*1200)&gt;0,(Input_Raw[[#This Row],[33 kV_Wind_F2_Export_reading]]-CL80)*1200,0)</f>
        <v>0</v>
      </c>
      <c r="CU81" s="148">
        <f>IF(((Input_Raw[[#This Row],[33 kV_Wind_F2_Import_reading]]-CM80)*1200)&gt;0,(Input_Raw[[#This Row],[33 kV_Wind_F2_Import_reading]]-CM80)*1200,0)</f>
        <v>0</v>
      </c>
      <c r="CV81" s="148">
        <f>IF(((Input_Raw[[#This Row],[33 kV_Wind_F3_Export_Reading]]-CN80)*1200)&gt;0,(Input_Raw[[#This Row],[33 kV_Wind_F3_Export_Reading]]-CN80)*1200,0)</f>
        <v>0</v>
      </c>
      <c r="CW81" s="148">
        <f>IF(((Input_Raw[[#This Row],[33 kV_Wind_F3_Import_Reading]]-CO80)*1200)&gt;0,(Input_Raw[[#This Row],[33 kV_Wind_F3_Import_Reading]]-CO80)*1200,0)</f>
        <v>0</v>
      </c>
      <c r="CX81" s="148">
        <f>IF(((Input_Raw[[#This Row],[33 kV_Wind_F4_Export Reading]]-CP80)*1200)&gt;0,(Input_Raw[[#This Row],[33 kV_Wind_F4_Export Reading]]-CP80)*1200,0)</f>
        <v>0</v>
      </c>
      <c r="CY81" s="148">
        <f>IF(((Input_Raw[[#This Row],[33 kV_Wind_F4_Import Reading]]-CQ80)*1200)&gt;0,(Input_Raw[[#This Row],[33 kV_Wind_F4_Import Reading]]-CQ80)*1200,0)</f>
        <v>0</v>
      </c>
      <c r="CZ81" s="148">
        <f>Input_Raw[[#This Row],[33 kV_F1_Total_Export (KWh)]]+Input_Raw[[#This Row],[33 kV_F2_Total_Export (KWh)2]]+Input_Raw[[#This Row],[33 kV_Wind_F3_Export (KWh)]]+Input_Raw[[#This Row],[33 kV_Wind_F4_Export (KWh)]]</f>
        <v>0</v>
      </c>
      <c r="DA81" s="148">
        <f>Input_Raw[[#This Row],[33 kV_Wind_F1_Import (KWh)]]+Input_Raw[[#This Row],[33 kV_Wind_F2_Import (KWh)]]+Input_Raw[[#This Row],[33 kV_Wind_F3_Import (KWh)2]]+Input_Raw[[#This Row],[33 kV_Wind_F4_Import (KWh)2]]</f>
        <v>0</v>
      </c>
      <c r="DB81" s="21">
        <f>IFERROR(1-Input_Raw[[#This Row],[33 kV_Wind_Total_Export (KWh)]]/Input_Raw[[#This Row],[WTG Total Gneration (KWh)]],0)</f>
        <v>0</v>
      </c>
      <c r="DC81" s="161"/>
      <c r="DD81" s="287"/>
      <c r="DE81" s="163"/>
      <c r="DF81" s="160"/>
      <c r="DG81" s="162"/>
      <c r="DH81" s="160"/>
    </row>
    <row r="82" spans="1:112">
      <c r="A82" s="20">
        <f t="shared" si="6"/>
        <v>45822</v>
      </c>
      <c r="B82" s="12">
        <f>YEAR(Input_Raw[[#This Row],[Date]])+IF(MONTH(Input_Raw[[#This Row],[Date]])&gt;=4,1,0)</f>
        <v>2026</v>
      </c>
      <c r="C82" s="13">
        <f>YEAR(Input_Raw[[#This Row],[Date]])</f>
        <v>2025</v>
      </c>
      <c r="D82" s="14">
        <f t="shared" si="5"/>
        <v>45809</v>
      </c>
      <c r="E82" s="13">
        <f>DAY(EOMONTH(Input_Raw[[#This Row],[Date]],0))</f>
        <v>30</v>
      </c>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7">
        <f>SUM(Input_Raw[[#This Row],[G01]:[G40]])</f>
        <v>0</v>
      </c>
      <c r="CG82" s="18" t="str">
        <f>IFERROR(AVERAGE(Input_Raw[[#This Row],[WS_G01]:[WS_G40]]),"")</f>
        <v/>
      </c>
      <c r="CH82" s="19"/>
      <c r="CI82" s="19"/>
      <c r="CJ82" s="15"/>
      <c r="CK82" s="15"/>
      <c r="CL82" s="15"/>
      <c r="CM82" s="15"/>
      <c r="CN82" s="15"/>
      <c r="CO82" s="15"/>
      <c r="CP82" s="15"/>
      <c r="CQ82" s="15"/>
      <c r="CR82" s="148">
        <f>IF(((Input_Raw[[#This Row],[33 kV_Wind_F1_Export reading]]-CJ81)*1200)&gt;0,(Input_Raw[[#This Row],[33 kV_Wind_F1_Export reading]]-CJ81)*1200,0)</f>
        <v>0</v>
      </c>
      <c r="CS82" s="148">
        <f>IF(((Input_Raw[[#This Row],[33 kV_Wind_F1_Import reading]]-CK81)*1200)&gt;0,(Input_Raw[[#This Row],[33 kV_Wind_F1_Import reading]]-CK81)*1200,0)</f>
        <v>0</v>
      </c>
      <c r="CT82" s="148">
        <f>IF(((Input_Raw[[#This Row],[33 kV_Wind_F2_Export_reading]]-CL81)*1200)&gt;0,(Input_Raw[[#This Row],[33 kV_Wind_F2_Export_reading]]-CL81)*1200,0)</f>
        <v>0</v>
      </c>
      <c r="CU82" s="148">
        <f>IF(((Input_Raw[[#This Row],[33 kV_Wind_F2_Import_reading]]-CM81)*1200)&gt;0,(Input_Raw[[#This Row],[33 kV_Wind_F2_Import_reading]]-CM81)*1200,0)</f>
        <v>0</v>
      </c>
      <c r="CV82" s="148">
        <f>IF(((Input_Raw[[#This Row],[33 kV_Wind_F3_Export_Reading]]-CN81)*1200)&gt;0,(Input_Raw[[#This Row],[33 kV_Wind_F3_Export_Reading]]-CN81)*1200,0)</f>
        <v>0</v>
      </c>
      <c r="CW82" s="148">
        <f>IF(((Input_Raw[[#This Row],[33 kV_Wind_F3_Import_Reading]]-CO81)*1200)&gt;0,(Input_Raw[[#This Row],[33 kV_Wind_F3_Import_Reading]]-CO81)*1200,0)</f>
        <v>0</v>
      </c>
      <c r="CX82" s="148">
        <f>IF(((Input_Raw[[#This Row],[33 kV_Wind_F4_Export Reading]]-CP81)*1200)&gt;0,(Input_Raw[[#This Row],[33 kV_Wind_F4_Export Reading]]-CP81)*1200,0)</f>
        <v>0</v>
      </c>
      <c r="CY82" s="148">
        <f>IF(((Input_Raw[[#This Row],[33 kV_Wind_F4_Import Reading]]-CQ81)*1200)&gt;0,(Input_Raw[[#This Row],[33 kV_Wind_F4_Import Reading]]-CQ81)*1200,0)</f>
        <v>0</v>
      </c>
      <c r="CZ82" s="148">
        <f>Input_Raw[[#This Row],[33 kV_F1_Total_Export (KWh)]]+Input_Raw[[#This Row],[33 kV_F2_Total_Export (KWh)2]]+Input_Raw[[#This Row],[33 kV_Wind_F3_Export (KWh)]]+Input_Raw[[#This Row],[33 kV_Wind_F4_Export (KWh)]]</f>
        <v>0</v>
      </c>
      <c r="DA82" s="148">
        <f>Input_Raw[[#This Row],[33 kV_Wind_F1_Import (KWh)]]+Input_Raw[[#This Row],[33 kV_Wind_F2_Import (KWh)]]+Input_Raw[[#This Row],[33 kV_Wind_F3_Import (KWh)2]]+Input_Raw[[#This Row],[33 kV_Wind_F4_Import (KWh)2]]</f>
        <v>0</v>
      </c>
      <c r="DB82" s="21">
        <f>IFERROR(1-Input_Raw[[#This Row],[33 kV_Wind_Total_Export (KWh)]]/Input_Raw[[#This Row],[WTG Total Gneration (KWh)]],0)</f>
        <v>0</v>
      </c>
      <c r="DC82" s="161"/>
      <c r="DD82" s="287"/>
      <c r="DE82" s="163"/>
      <c r="DF82" s="160"/>
      <c r="DG82" s="162"/>
      <c r="DH82" s="160"/>
    </row>
    <row r="83" spans="1:112">
      <c r="A83" s="20">
        <f t="shared" si="6"/>
        <v>45823</v>
      </c>
      <c r="B83" s="12">
        <f>YEAR(Input_Raw[[#This Row],[Date]])+IF(MONTH(Input_Raw[[#This Row],[Date]])&gt;=4,1,0)</f>
        <v>2026</v>
      </c>
      <c r="C83" s="13">
        <f>YEAR(Input_Raw[[#This Row],[Date]])</f>
        <v>2025</v>
      </c>
      <c r="D83" s="14">
        <f t="shared" si="5"/>
        <v>45809</v>
      </c>
      <c r="E83" s="13">
        <f>DAY(EOMONTH(Input_Raw[[#This Row],[Date]],0))</f>
        <v>30</v>
      </c>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7">
        <f>SUM(Input_Raw[[#This Row],[G01]:[G40]])</f>
        <v>0</v>
      </c>
      <c r="CG83" s="18" t="str">
        <f>IFERROR(AVERAGE(Input_Raw[[#This Row],[WS_G01]:[WS_G40]]),"")</f>
        <v/>
      </c>
      <c r="CH83" s="19"/>
      <c r="CI83" s="19"/>
      <c r="CJ83" s="15"/>
      <c r="CK83" s="15"/>
      <c r="CL83" s="15"/>
      <c r="CM83" s="15"/>
      <c r="CN83" s="15"/>
      <c r="CO83" s="15"/>
      <c r="CP83" s="15"/>
      <c r="CQ83" s="15"/>
      <c r="CR83" s="148">
        <f>IF(((Input_Raw[[#This Row],[33 kV_Wind_F1_Export reading]]-CJ82)*1200)&gt;0,(Input_Raw[[#This Row],[33 kV_Wind_F1_Export reading]]-CJ82)*1200,0)</f>
        <v>0</v>
      </c>
      <c r="CS83" s="148">
        <f>IF(((Input_Raw[[#This Row],[33 kV_Wind_F1_Import reading]]-CK82)*1200)&gt;0,(Input_Raw[[#This Row],[33 kV_Wind_F1_Import reading]]-CK82)*1200,0)</f>
        <v>0</v>
      </c>
      <c r="CT83" s="148">
        <f>IF(((Input_Raw[[#This Row],[33 kV_Wind_F2_Export_reading]]-CL82)*1200)&gt;0,(Input_Raw[[#This Row],[33 kV_Wind_F2_Export_reading]]-CL82)*1200,0)</f>
        <v>0</v>
      </c>
      <c r="CU83" s="148">
        <f>IF(((Input_Raw[[#This Row],[33 kV_Wind_F2_Import_reading]]-CM82)*1200)&gt;0,(Input_Raw[[#This Row],[33 kV_Wind_F2_Import_reading]]-CM82)*1200,0)</f>
        <v>0</v>
      </c>
      <c r="CV83" s="148">
        <f>IF(((Input_Raw[[#This Row],[33 kV_Wind_F3_Export_Reading]]-CN82)*1200)&gt;0,(Input_Raw[[#This Row],[33 kV_Wind_F3_Export_Reading]]-CN82)*1200,0)</f>
        <v>0</v>
      </c>
      <c r="CW83" s="148">
        <f>IF(((Input_Raw[[#This Row],[33 kV_Wind_F3_Import_Reading]]-CO82)*1200)&gt;0,(Input_Raw[[#This Row],[33 kV_Wind_F3_Import_Reading]]-CO82)*1200,0)</f>
        <v>0</v>
      </c>
      <c r="CX83" s="148">
        <f>IF(((Input_Raw[[#This Row],[33 kV_Wind_F4_Export Reading]]-CP82)*1200)&gt;0,(Input_Raw[[#This Row],[33 kV_Wind_F4_Export Reading]]-CP82)*1200,0)</f>
        <v>0</v>
      </c>
      <c r="CY83" s="148">
        <f>IF(((Input_Raw[[#This Row],[33 kV_Wind_F4_Import Reading]]-CQ82)*1200)&gt;0,(Input_Raw[[#This Row],[33 kV_Wind_F4_Import Reading]]-CQ82)*1200,0)</f>
        <v>0</v>
      </c>
      <c r="CZ83" s="148">
        <f>Input_Raw[[#This Row],[33 kV_F1_Total_Export (KWh)]]+Input_Raw[[#This Row],[33 kV_F2_Total_Export (KWh)2]]+Input_Raw[[#This Row],[33 kV_Wind_F3_Export (KWh)]]+Input_Raw[[#This Row],[33 kV_Wind_F4_Export (KWh)]]</f>
        <v>0</v>
      </c>
      <c r="DA83" s="148">
        <f>Input_Raw[[#This Row],[33 kV_Wind_F1_Import (KWh)]]+Input_Raw[[#This Row],[33 kV_Wind_F2_Import (KWh)]]+Input_Raw[[#This Row],[33 kV_Wind_F3_Import (KWh)2]]+Input_Raw[[#This Row],[33 kV_Wind_F4_Import (KWh)2]]</f>
        <v>0</v>
      </c>
      <c r="DB83" s="21">
        <f>IFERROR(1-Input_Raw[[#This Row],[33 kV_Wind_Total_Export (KWh)]]/Input_Raw[[#This Row],[WTG Total Gneration (KWh)]],0)</f>
        <v>0</v>
      </c>
      <c r="DC83" s="161"/>
      <c r="DD83" s="287"/>
      <c r="DE83" s="163"/>
      <c r="DF83" s="160"/>
      <c r="DG83" s="162"/>
      <c r="DH83" s="160"/>
    </row>
    <row r="84" spans="1:112">
      <c r="A84" s="20">
        <f t="shared" si="6"/>
        <v>45824</v>
      </c>
      <c r="B84" s="12">
        <f>YEAR(Input_Raw[[#This Row],[Date]])+IF(MONTH(Input_Raw[[#This Row],[Date]])&gt;=4,1,0)</f>
        <v>2026</v>
      </c>
      <c r="C84" s="13">
        <f>YEAR(Input_Raw[[#This Row],[Date]])</f>
        <v>2025</v>
      </c>
      <c r="D84" s="14">
        <f t="shared" si="5"/>
        <v>45809</v>
      </c>
      <c r="E84" s="13">
        <f>DAY(EOMONTH(Input_Raw[[#This Row],[Date]],0))</f>
        <v>30</v>
      </c>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7">
        <f>SUM(Input_Raw[[#This Row],[G01]:[G40]])</f>
        <v>0</v>
      </c>
      <c r="CG84" s="18" t="str">
        <f>IFERROR(AVERAGE(Input_Raw[[#This Row],[WS_G01]:[WS_G40]]),"")</f>
        <v/>
      </c>
      <c r="CH84" s="19"/>
      <c r="CI84" s="19"/>
      <c r="CJ84" s="15"/>
      <c r="CK84" s="15"/>
      <c r="CL84" s="15"/>
      <c r="CM84" s="15"/>
      <c r="CN84" s="15"/>
      <c r="CO84" s="15"/>
      <c r="CP84" s="15"/>
      <c r="CQ84" s="15"/>
      <c r="CR84" s="288">
        <f>(Input_Raw[[#This Row],[33 kV_Wind_F1_Export reading]]-CJ83)*1200</f>
        <v>0</v>
      </c>
      <c r="CS84" s="288"/>
      <c r="CT84" s="288"/>
      <c r="CU84" s="288"/>
      <c r="CV84" s="288"/>
      <c r="CW84" s="288"/>
      <c r="CX84" s="288"/>
      <c r="CY84" s="288"/>
      <c r="CZ84" s="288">
        <f>Input_Raw[[#This Row],[33 kV_F1_Total_Export (KWh)]]+Input_Raw[[#This Row],[33 kV_F2_Total_Export (KWh)2]]+Input_Raw[[#This Row],[33 kV_Wind_F3_Export (KWh)]]+Input_Raw[[#This Row],[33 kV_Wind_F4_Export (KWh)]]</f>
        <v>0</v>
      </c>
      <c r="DA84" s="288">
        <f>Input_Raw[[#This Row],[33 kV_Wind_F1_Import (KWh)]]+Input_Raw[[#This Row],[33 kV_Wind_F2_Import (KWh)]]+Input_Raw[[#This Row],[33 kV_Wind_F3_Import (KWh)2]]+Input_Raw[[#This Row],[33 kV_Wind_F4_Import (KWh)2]]</f>
        <v>0</v>
      </c>
      <c r="DB84" s="289" t="str">
        <f>IFERROR(#REF!/Input_Raw[[#This Row],[WTG Total Gneration (KWh)]]-1,"")</f>
        <v/>
      </c>
      <c r="DC84" s="161"/>
      <c r="DD84" s="290"/>
      <c r="DE84" s="163"/>
      <c r="DF84" s="160"/>
      <c r="DG84" s="162"/>
      <c r="DH84" s="160"/>
    </row>
    <row r="85" spans="1:112">
      <c r="A85" s="20">
        <f t="shared" si="6"/>
        <v>45825</v>
      </c>
      <c r="B85" s="12">
        <f>YEAR(Input_Raw[[#This Row],[Date]])+IF(MONTH(Input_Raw[[#This Row],[Date]])&gt;=4,1,0)</f>
        <v>2026</v>
      </c>
      <c r="C85" s="13">
        <f>YEAR(Input_Raw[[#This Row],[Date]])</f>
        <v>2025</v>
      </c>
      <c r="D85" s="14">
        <f t="shared" si="5"/>
        <v>45809</v>
      </c>
      <c r="E85" s="13">
        <f>DAY(EOMONTH(Input_Raw[[#This Row],[Date]],0))</f>
        <v>30</v>
      </c>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7">
        <f>SUM(Input_Raw[[#This Row],[G01]:[G40]])</f>
        <v>0</v>
      </c>
      <c r="CG85" s="18" t="str">
        <f>IFERROR(AVERAGE(Input_Raw[[#This Row],[WS_G01]:[WS_G40]]),"")</f>
        <v/>
      </c>
      <c r="CH85" s="19"/>
      <c r="CI85" s="19"/>
      <c r="CJ85" s="15"/>
      <c r="CK85" s="15"/>
      <c r="CL85" s="15"/>
      <c r="CM85" s="15"/>
      <c r="CN85" s="15"/>
      <c r="CO85" s="15"/>
      <c r="CP85" s="15"/>
      <c r="CQ85" s="15"/>
      <c r="CR85" s="288">
        <f>(Input_Raw[[#This Row],[33 kV_Wind_F1_Export reading]]-CJ84)*1200</f>
        <v>0</v>
      </c>
      <c r="CS85" s="288"/>
      <c r="CT85" s="288"/>
      <c r="CU85" s="288"/>
      <c r="CV85" s="288"/>
      <c r="CW85" s="288"/>
      <c r="CX85" s="288"/>
      <c r="CY85" s="288"/>
      <c r="CZ85" s="288">
        <f>Input_Raw[[#This Row],[33 kV_F1_Total_Export (KWh)]]+Input_Raw[[#This Row],[33 kV_F2_Total_Export (KWh)2]]+Input_Raw[[#This Row],[33 kV_Wind_F3_Export (KWh)]]+Input_Raw[[#This Row],[33 kV_Wind_F4_Export (KWh)]]</f>
        <v>0</v>
      </c>
      <c r="DA85" s="288">
        <f>Input_Raw[[#This Row],[33 kV_Wind_F1_Import (KWh)]]+Input_Raw[[#This Row],[33 kV_Wind_F2_Import (KWh)]]+Input_Raw[[#This Row],[33 kV_Wind_F3_Import (KWh)2]]+Input_Raw[[#This Row],[33 kV_Wind_F4_Import (KWh)2]]</f>
        <v>0</v>
      </c>
      <c r="DB85" s="289" t="str">
        <f>IFERROR(#REF!/Input_Raw[[#This Row],[WTG Total Gneration (KWh)]]-1,"")</f>
        <v/>
      </c>
      <c r="DC85" s="161"/>
      <c r="DD85" s="290"/>
      <c r="DE85" s="163"/>
      <c r="DF85" s="160"/>
      <c r="DG85" s="162"/>
      <c r="DH85" s="160"/>
    </row>
    <row r="86" spans="1:112">
      <c r="A86" s="20">
        <f t="shared" si="6"/>
        <v>45826</v>
      </c>
      <c r="B86" s="12">
        <f>YEAR(Input_Raw[[#This Row],[Date]])+IF(MONTH(Input_Raw[[#This Row],[Date]])&gt;=4,1,0)</f>
        <v>2026</v>
      </c>
      <c r="C86" s="13">
        <f>YEAR(Input_Raw[[#This Row],[Date]])</f>
        <v>2025</v>
      </c>
      <c r="D86" s="14">
        <f t="shared" si="5"/>
        <v>45809</v>
      </c>
      <c r="E86" s="13">
        <f>DAY(EOMONTH(Input_Raw[[#This Row],[Date]],0))</f>
        <v>30</v>
      </c>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7">
        <f>SUM(Input_Raw[[#This Row],[G01]:[G40]])</f>
        <v>0</v>
      </c>
      <c r="CG86" s="18" t="str">
        <f>IFERROR(AVERAGE(Input_Raw[[#This Row],[WS_G01]:[WS_G40]]),"")</f>
        <v/>
      </c>
      <c r="CH86" s="19"/>
      <c r="CI86" s="19"/>
      <c r="CJ86" s="15"/>
      <c r="CK86" s="15"/>
      <c r="CL86" s="15"/>
      <c r="CM86" s="15"/>
      <c r="CN86" s="15"/>
      <c r="CO86" s="15"/>
      <c r="CP86" s="15"/>
      <c r="CQ86" s="15"/>
      <c r="CR86" s="288">
        <f>(Input_Raw[[#This Row],[33 kV_Wind_F1_Export reading]]-CJ85)*1200</f>
        <v>0</v>
      </c>
      <c r="CS86" s="288"/>
      <c r="CT86" s="288"/>
      <c r="CU86" s="288"/>
      <c r="CV86" s="288"/>
      <c r="CW86" s="288"/>
      <c r="CX86" s="288"/>
      <c r="CY86" s="288"/>
      <c r="CZ86" s="288">
        <f>Input_Raw[[#This Row],[33 kV_F1_Total_Export (KWh)]]+Input_Raw[[#This Row],[33 kV_F2_Total_Export (KWh)2]]+Input_Raw[[#This Row],[33 kV_Wind_F3_Export (KWh)]]+Input_Raw[[#This Row],[33 kV_Wind_F4_Export (KWh)]]</f>
        <v>0</v>
      </c>
      <c r="DA86" s="288">
        <f>Input_Raw[[#This Row],[33 kV_Wind_F1_Import (KWh)]]+Input_Raw[[#This Row],[33 kV_Wind_F2_Import (KWh)]]+Input_Raw[[#This Row],[33 kV_Wind_F3_Import (KWh)2]]+Input_Raw[[#This Row],[33 kV_Wind_F4_Import (KWh)2]]</f>
        <v>0</v>
      </c>
      <c r="DB86" s="289" t="str">
        <f>IFERROR(#REF!/Input_Raw[[#This Row],[WTG Total Gneration (KWh)]]-1,"")</f>
        <v/>
      </c>
      <c r="DC86" s="161"/>
      <c r="DD86" s="290"/>
      <c r="DE86" s="163"/>
      <c r="DF86" s="160"/>
      <c r="DG86" s="162"/>
      <c r="DH86" s="160"/>
    </row>
    <row r="87" spans="1:112">
      <c r="A87" s="20">
        <f t="shared" si="6"/>
        <v>45827</v>
      </c>
      <c r="B87" s="12">
        <f>YEAR(Input_Raw[[#This Row],[Date]])+IF(MONTH(Input_Raw[[#This Row],[Date]])&gt;=4,1,0)</f>
        <v>2026</v>
      </c>
      <c r="C87" s="13">
        <f>YEAR(Input_Raw[[#This Row],[Date]])</f>
        <v>2025</v>
      </c>
      <c r="D87" s="14">
        <f t="shared" si="5"/>
        <v>45809</v>
      </c>
      <c r="E87" s="13">
        <f>DAY(EOMONTH(Input_Raw[[#This Row],[Date]],0))</f>
        <v>30</v>
      </c>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7">
        <f>SUM(Input_Raw[[#This Row],[G01]:[G40]])</f>
        <v>0</v>
      </c>
      <c r="CG87" s="18" t="str">
        <f>IFERROR(AVERAGE(Input_Raw[[#This Row],[WS_G01]:[WS_G40]]),"")</f>
        <v/>
      </c>
      <c r="CH87" s="19"/>
      <c r="CI87" s="19"/>
      <c r="CJ87" s="15"/>
      <c r="CK87" s="15"/>
      <c r="CL87" s="15"/>
      <c r="CM87" s="15"/>
      <c r="CN87" s="15"/>
      <c r="CO87" s="15"/>
      <c r="CP87" s="15"/>
      <c r="CQ87" s="15"/>
      <c r="CR87" s="288">
        <f>(Input_Raw[[#This Row],[33 kV_Wind_F1_Export reading]]-CJ86)*1200</f>
        <v>0</v>
      </c>
      <c r="CS87" s="288"/>
      <c r="CT87" s="288"/>
      <c r="CU87" s="288"/>
      <c r="CV87" s="288"/>
      <c r="CW87" s="288"/>
      <c r="CX87" s="288"/>
      <c r="CY87" s="288"/>
      <c r="CZ87" s="288">
        <f>Input_Raw[[#This Row],[33 kV_F1_Total_Export (KWh)]]+Input_Raw[[#This Row],[33 kV_F2_Total_Export (KWh)2]]+Input_Raw[[#This Row],[33 kV_Wind_F3_Export (KWh)]]+Input_Raw[[#This Row],[33 kV_Wind_F4_Export (KWh)]]</f>
        <v>0</v>
      </c>
      <c r="DA87" s="288">
        <f>Input_Raw[[#This Row],[33 kV_Wind_F1_Import (KWh)]]+Input_Raw[[#This Row],[33 kV_Wind_F2_Import (KWh)]]+Input_Raw[[#This Row],[33 kV_Wind_F3_Import (KWh)2]]+Input_Raw[[#This Row],[33 kV_Wind_F4_Import (KWh)2]]</f>
        <v>0</v>
      </c>
      <c r="DB87" s="289" t="str">
        <f>IFERROR(#REF!/Input_Raw[[#This Row],[WTG Total Gneration (KWh)]]-1,"")</f>
        <v/>
      </c>
      <c r="DC87" s="161"/>
      <c r="DD87" s="290"/>
      <c r="DE87" s="163"/>
      <c r="DF87" s="160"/>
      <c r="DG87" s="162"/>
      <c r="DH87" s="160"/>
    </row>
    <row r="88" spans="1:112">
      <c r="A88" s="20">
        <f t="shared" si="6"/>
        <v>45828</v>
      </c>
      <c r="B88" s="12">
        <f>YEAR(Input_Raw[[#This Row],[Date]])+IF(MONTH(Input_Raw[[#This Row],[Date]])&gt;=4,1,0)</f>
        <v>2026</v>
      </c>
      <c r="C88" s="13">
        <f>YEAR(Input_Raw[[#This Row],[Date]])</f>
        <v>2025</v>
      </c>
      <c r="D88" s="14">
        <f t="shared" si="5"/>
        <v>45809</v>
      </c>
      <c r="E88" s="13">
        <f>DAY(EOMONTH(Input_Raw[[#This Row],[Date]],0))</f>
        <v>30</v>
      </c>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7">
        <f>SUM(Input_Raw[[#This Row],[G01]:[G40]])</f>
        <v>0</v>
      </c>
      <c r="CG88" s="18" t="str">
        <f>IFERROR(AVERAGE(Input_Raw[[#This Row],[WS_G01]:[WS_G40]]),"")</f>
        <v/>
      </c>
      <c r="CH88" s="19"/>
      <c r="CI88" s="19"/>
      <c r="CJ88" s="15"/>
      <c r="CK88" s="15"/>
      <c r="CL88" s="15"/>
      <c r="CM88" s="15"/>
      <c r="CN88" s="15"/>
      <c r="CO88" s="15"/>
      <c r="CP88" s="15"/>
      <c r="CQ88" s="15"/>
      <c r="CR88" s="288">
        <f>(Input_Raw[[#This Row],[33 kV_Wind_F1_Export reading]]-CJ87)*1200</f>
        <v>0</v>
      </c>
      <c r="CS88" s="288"/>
      <c r="CT88" s="288"/>
      <c r="CU88" s="288"/>
      <c r="CV88" s="288"/>
      <c r="CW88" s="288"/>
      <c r="CX88" s="288"/>
      <c r="CY88" s="288"/>
      <c r="CZ88" s="288">
        <f>Input_Raw[[#This Row],[33 kV_F1_Total_Export (KWh)]]+Input_Raw[[#This Row],[33 kV_F2_Total_Export (KWh)2]]+Input_Raw[[#This Row],[33 kV_Wind_F3_Export (KWh)]]+Input_Raw[[#This Row],[33 kV_Wind_F4_Export (KWh)]]</f>
        <v>0</v>
      </c>
      <c r="DA88" s="288">
        <f>Input_Raw[[#This Row],[33 kV_Wind_F1_Import (KWh)]]+Input_Raw[[#This Row],[33 kV_Wind_F2_Import (KWh)]]+Input_Raw[[#This Row],[33 kV_Wind_F3_Import (KWh)2]]+Input_Raw[[#This Row],[33 kV_Wind_F4_Import (KWh)2]]</f>
        <v>0</v>
      </c>
      <c r="DB88" s="289" t="str">
        <f>IFERROR(#REF!/Input_Raw[[#This Row],[WTG Total Gneration (KWh)]]-1,"")</f>
        <v/>
      </c>
      <c r="DC88" s="161"/>
      <c r="DD88" s="290"/>
      <c r="DE88" s="163"/>
      <c r="DF88" s="160"/>
      <c r="DG88" s="162"/>
      <c r="DH88" s="160"/>
    </row>
    <row r="89" spans="1:112">
      <c r="A89" s="20">
        <f t="shared" si="6"/>
        <v>45829</v>
      </c>
      <c r="B89" s="12">
        <f>YEAR(Input_Raw[[#This Row],[Date]])+IF(MONTH(Input_Raw[[#This Row],[Date]])&gt;=4,1,0)</f>
        <v>2026</v>
      </c>
      <c r="C89" s="13">
        <f>YEAR(Input_Raw[[#This Row],[Date]])</f>
        <v>2025</v>
      </c>
      <c r="D89" s="14">
        <f t="shared" si="5"/>
        <v>45809</v>
      </c>
      <c r="E89" s="13">
        <f>DAY(EOMONTH(Input_Raw[[#This Row],[Date]],0))</f>
        <v>30</v>
      </c>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7">
        <f>SUM(Input_Raw[[#This Row],[G01]:[G40]])</f>
        <v>0</v>
      </c>
      <c r="CG89" s="18" t="str">
        <f>IFERROR(AVERAGE(Input_Raw[[#This Row],[WS_G01]:[WS_G40]]),"")</f>
        <v/>
      </c>
      <c r="CH89" s="19"/>
      <c r="CI89" s="19"/>
      <c r="CJ89" s="15"/>
      <c r="CK89" s="15"/>
      <c r="CL89" s="15"/>
      <c r="CM89" s="15"/>
      <c r="CN89" s="15"/>
      <c r="CO89" s="15"/>
      <c r="CP89" s="15"/>
      <c r="CQ89" s="15"/>
      <c r="CR89" s="288">
        <f>(Input_Raw[[#This Row],[33 kV_Wind_F1_Export reading]]-CJ88)*1200</f>
        <v>0</v>
      </c>
      <c r="CS89" s="288"/>
      <c r="CT89" s="288"/>
      <c r="CU89" s="288"/>
      <c r="CV89" s="288"/>
      <c r="CW89" s="288"/>
      <c r="CX89" s="288"/>
      <c r="CY89" s="288"/>
      <c r="CZ89" s="288">
        <f>Input_Raw[[#This Row],[33 kV_F1_Total_Export (KWh)]]+Input_Raw[[#This Row],[33 kV_F2_Total_Export (KWh)2]]+Input_Raw[[#This Row],[33 kV_Wind_F3_Export (KWh)]]+Input_Raw[[#This Row],[33 kV_Wind_F4_Export (KWh)]]</f>
        <v>0</v>
      </c>
      <c r="DA89" s="288">
        <f>Input_Raw[[#This Row],[33 kV_Wind_F1_Import (KWh)]]+Input_Raw[[#This Row],[33 kV_Wind_F2_Import (KWh)]]+Input_Raw[[#This Row],[33 kV_Wind_F3_Import (KWh)2]]+Input_Raw[[#This Row],[33 kV_Wind_F4_Import (KWh)2]]</f>
        <v>0</v>
      </c>
      <c r="DB89" s="289" t="str">
        <f>IFERROR(#REF!/Input_Raw[[#This Row],[WTG Total Gneration (KWh)]]-1,"")</f>
        <v/>
      </c>
      <c r="DC89" s="161"/>
      <c r="DD89" s="290"/>
      <c r="DE89" s="160"/>
      <c r="DF89" s="160"/>
      <c r="DG89" s="162"/>
      <c r="DH89" s="160"/>
    </row>
    <row r="90" spans="1:112">
      <c r="A90" s="20">
        <f t="shared" si="6"/>
        <v>45830</v>
      </c>
      <c r="B90" s="12">
        <f>YEAR(Input_Raw[[#This Row],[Date]])+IF(MONTH(Input_Raw[[#This Row],[Date]])&gt;=4,1,0)</f>
        <v>2026</v>
      </c>
      <c r="C90" s="13">
        <f>YEAR(Input_Raw[[#This Row],[Date]])</f>
        <v>2025</v>
      </c>
      <c r="D90" s="14">
        <f t="shared" si="5"/>
        <v>45809</v>
      </c>
      <c r="E90" s="13">
        <f>DAY(EOMONTH(Input_Raw[[#This Row],[Date]],0))</f>
        <v>30</v>
      </c>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7">
        <f>SUM(Input_Raw[[#This Row],[G01]:[G40]])</f>
        <v>0</v>
      </c>
      <c r="CG90" s="18" t="str">
        <f>IFERROR(AVERAGE(Input_Raw[[#This Row],[WS_G01]:[WS_G40]]),"")</f>
        <v/>
      </c>
      <c r="CH90" s="19"/>
      <c r="CI90" s="19"/>
      <c r="CJ90" s="15"/>
      <c r="CK90" s="15"/>
      <c r="CL90" s="15"/>
      <c r="CM90" s="15"/>
      <c r="CN90" s="15"/>
      <c r="CO90" s="15"/>
      <c r="CP90" s="15"/>
      <c r="CQ90" s="15"/>
      <c r="CR90" s="288">
        <f>(Input_Raw[[#This Row],[33 kV_Wind_F1_Export reading]]-CJ89)*1200</f>
        <v>0</v>
      </c>
      <c r="CS90" s="288"/>
      <c r="CT90" s="288"/>
      <c r="CU90" s="288"/>
      <c r="CV90" s="288"/>
      <c r="CW90" s="288"/>
      <c r="CX90" s="288"/>
      <c r="CY90" s="288"/>
      <c r="CZ90" s="288">
        <f>Input_Raw[[#This Row],[33 kV_F1_Total_Export (KWh)]]+Input_Raw[[#This Row],[33 kV_F2_Total_Export (KWh)2]]+Input_Raw[[#This Row],[33 kV_Wind_F3_Export (KWh)]]+Input_Raw[[#This Row],[33 kV_Wind_F4_Export (KWh)]]</f>
        <v>0</v>
      </c>
      <c r="DA90" s="288">
        <f>Input_Raw[[#This Row],[33 kV_Wind_F1_Import (KWh)]]+Input_Raw[[#This Row],[33 kV_Wind_F2_Import (KWh)]]+Input_Raw[[#This Row],[33 kV_Wind_F3_Import (KWh)2]]+Input_Raw[[#This Row],[33 kV_Wind_F4_Import (KWh)2]]</f>
        <v>0</v>
      </c>
      <c r="DB90" s="289" t="str">
        <f>IFERROR(#REF!/Input_Raw[[#This Row],[WTG Total Gneration (KWh)]]-1,"")</f>
        <v/>
      </c>
      <c r="DC90" s="161"/>
      <c r="DD90" s="290"/>
      <c r="DE90" s="160"/>
      <c r="DF90" s="160"/>
      <c r="DG90" s="162"/>
      <c r="DH90" s="160"/>
    </row>
    <row r="91" spans="1:112">
      <c r="A91" s="20">
        <f t="shared" si="6"/>
        <v>45831</v>
      </c>
      <c r="B91" s="12">
        <f>YEAR(Input_Raw[[#This Row],[Date]])+IF(MONTH(Input_Raw[[#This Row],[Date]])&gt;=4,1,0)</f>
        <v>2026</v>
      </c>
      <c r="C91" s="13">
        <f>YEAR(Input_Raw[[#This Row],[Date]])</f>
        <v>2025</v>
      </c>
      <c r="D91" s="14">
        <f t="shared" si="5"/>
        <v>45809</v>
      </c>
      <c r="E91" s="13">
        <f>DAY(EOMONTH(Input_Raw[[#This Row],[Date]],0))</f>
        <v>30</v>
      </c>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7">
        <f>SUM(Input_Raw[[#This Row],[G01]:[G40]])</f>
        <v>0</v>
      </c>
      <c r="CG91" s="18" t="str">
        <f>IFERROR(AVERAGE(Input_Raw[[#This Row],[WS_G01]:[WS_G40]]),"")</f>
        <v/>
      </c>
      <c r="CH91" s="19"/>
      <c r="CI91" s="19"/>
      <c r="CJ91" s="15"/>
      <c r="CK91" s="15"/>
      <c r="CL91" s="15"/>
      <c r="CM91" s="15"/>
      <c r="CN91" s="15"/>
      <c r="CO91" s="15"/>
      <c r="CP91" s="15"/>
      <c r="CQ91" s="15"/>
      <c r="CR91" s="288">
        <f>(Input_Raw[[#This Row],[33 kV_Wind_F1_Export reading]]-CJ90)*1200</f>
        <v>0</v>
      </c>
      <c r="CS91" s="288"/>
      <c r="CT91" s="288"/>
      <c r="CU91" s="288"/>
      <c r="CV91" s="288"/>
      <c r="CW91" s="288"/>
      <c r="CX91" s="288"/>
      <c r="CY91" s="288"/>
      <c r="CZ91" s="288">
        <f>Input_Raw[[#This Row],[33 kV_F1_Total_Export (KWh)]]+Input_Raw[[#This Row],[33 kV_F2_Total_Export (KWh)2]]+Input_Raw[[#This Row],[33 kV_Wind_F3_Export (KWh)]]+Input_Raw[[#This Row],[33 kV_Wind_F4_Export (KWh)]]</f>
        <v>0</v>
      </c>
      <c r="DA91" s="288">
        <f>Input_Raw[[#This Row],[33 kV_Wind_F1_Import (KWh)]]+Input_Raw[[#This Row],[33 kV_Wind_F2_Import (KWh)]]+Input_Raw[[#This Row],[33 kV_Wind_F3_Import (KWh)2]]+Input_Raw[[#This Row],[33 kV_Wind_F4_Import (KWh)2]]</f>
        <v>0</v>
      </c>
      <c r="DB91" s="289" t="str">
        <f>IFERROR(#REF!/Input_Raw[[#This Row],[WTG Total Gneration (KWh)]]-1,"")</f>
        <v/>
      </c>
      <c r="DC91" s="161"/>
      <c r="DD91" s="290"/>
      <c r="DE91" s="160"/>
      <c r="DF91" s="160"/>
      <c r="DG91" s="162"/>
      <c r="DH91" s="160"/>
    </row>
    <row r="92" spans="1:112">
      <c r="A92" s="20">
        <f t="shared" si="6"/>
        <v>45832</v>
      </c>
      <c r="B92" s="12">
        <f>YEAR(Input_Raw[[#This Row],[Date]])+IF(MONTH(Input_Raw[[#This Row],[Date]])&gt;=4,1,0)</f>
        <v>2026</v>
      </c>
      <c r="C92" s="13">
        <f>YEAR(Input_Raw[[#This Row],[Date]])</f>
        <v>2025</v>
      </c>
      <c r="D92" s="14">
        <f t="shared" si="5"/>
        <v>45809</v>
      </c>
      <c r="E92" s="13">
        <f>DAY(EOMONTH(Input_Raw[[#This Row],[Date]],0))</f>
        <v>30</v>
      </c>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7">
        <f>SUM(Input_Raw[[#This Row],[G01]:[G40]])</f>
        <v>0</v>
      </c>
      <c r="CG92" s="18" t="str">
        <f>IFERROR(AVERAGE(Input_Raw[[#This Row],[WS_G01]:[WS_G40]]),"")</f>
        <v/>
      </c>
      <c r="CH92" s="19"/>
      <c r="CI92" s="19"/>
      <c r="CJ92" s="15"/>
      <c r="CK92" s="15"/>
      <c r="CL92" s="15"/>
      <c r="CM92" s="15"/>
      <c r="CN92" s="15"/>
      <c r="CO92" s="15"/>
      <c r="CP92" s="15"/>
      <c r="CQ92" s="15"/>
      <c r="CR92" s="288">
        <f>(Input_Raw[[#This Row],[33 kV_Wind_F1_Export reading]]-CJ91)*1200</f>
        <v>0</v>
      </c>
      <c r="CS92" s="288"/>
      <c r="CT92" s="288"/>
      <c r="CU92" s="288"/>
      <c r="CV92" s="288"/>
      <c r="CW92" s="288"/>
      <c r="CX92" s="288"/>
      <c r="CY92" s="288"/>
      <c r="CZ92" s="288">
        <f>Input_Raw[[#This Row],[33 kV_F1_Total_Export (KWh)]]+Input_Raw[[#This Row],[33 kV_F2_Total_Export (KWh)2]]+Input_Raw[[#This Row],[33 kV_Wind_F3_Export (KWh)]]+Input_Raw[[#This Row],[33 kV_Wind_F4_Export (KWh)]]</f>
        <v>0</v>
      </c>
      <c r="DA92" s="288">
        <f>Input_Raw[[#This Row],[33 kV_Wind_F1_Import (KWh)]]+Input_Raw[[#This Row],[33 kV_Wind_F2_Import (KWh)]]+Input_Raw[[#This Row],[33 kV_Wind_F3_Import (KWh)2]]+Input_Raw[[#This Row],[33 kV_Wind_F4_Import (KWh)2]]</f>
        <v>0</v>
      </c>
      <c r="DB92" s="289" t="str">
        <f>IFERROR(#REF!/Input_Raw[[#This Row],[WTG Total Gneration (KWh)]]-1,"")</f>
        <v/>
      </c>
      <c r="DC92" s="161"/>
      <c r="DD92" s="290"/>
      <c r="DE92" s="160"/>
      <c r="DF92" s="160"/>
      <c r="DG92" s="162"/>
      <c r="DH92" s="160"/>
    </row>
    <row r="93" spans="1:112">
      <c r="A93" s="20">
        <f t="shared" si="6"/>
        <v>45833</v>
      </c>
      <c r="B93" s="12">
        <f>YEAR(Input_Raw[[#This Row],[Date]])+IF(MONTH(Input_Raw[[#This Row],[Date]])&gt;=4,1,0)</f>
        <v>2026</v>
      </c>
      <c r="C93" s="13">
        <f>YEAR(Input_Raw[[#This Row],[Date]])</f>
        <v>2025</v>
      </c>
      <c r="D93" s="14">
        <f t="shared" si="5"/>
        <v>45809</v>
      </c>
      <c r="E93" s="13">
        <f>DAY(EOMONTH(Input_Raw[[#This Row],[Date]],0))</f>
        <v>30</v>
      </c>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7">
        <f>SUM(Input_Raw[[#This Row],[G01]:[G40]])</f>
        <v>0</v>
      </c>
      <c r="CG93" s="18" t="str">
        <f>IFERROR(AVERAGE(Input_Raw[[#This Row],[WS_G01]:[WS_G40]]),"")</f>
        <v/>
      </c>
      <c r="CH93" s="19"/>
      <c r="CI93" s="19"/>
      <c r="CJ93" s="15"/>
      <c r="CK93" s="15"/>
      <c r="CL93" s="15"/>
      <c r="CM93" s="15"/>
      <c r="CN93" s="15"/>
      <c r="CO93" s="15"/>
      <c r="CP93" s="15"/>
      <c r="CQ93" s="15"/>
      <c r="CR93" s="288">
        <f>(Input_Raw[[#This Row],[33 kV_Wind_F1_Export reading]]-CJ92)*1200</f>
        <v>0</v>
      </c>
      <c r="CS93" s="288"/>
      <c r="CT93" s="288"/>
      <c r="CU93" s="288"/>
      <c r="CV93" s="288"/>
      <c r="CW93" s="288"/>
      <c r="CX93" s="288"/>
      <c r="CY93" s="288"/>
      <c r="CZ93" s="288">
        <f>Input_Raw[[#This Row],[33 kV_F1_Total_Export (KWh)]]+Input_Raw[[#This Row],[33 kV_F2_Total_Export (KWh)2]]+Input_Raw[[#This Row],[33 kV_Wind_F3_Export (KWh)]]+Input_Raw[[#This Row],[33 kV_Wind_F4_Export (KWh)]]</f>
        <v>0</v>
      </c>
      <c r="DA93" s="288">
        <f>Input_Raw[[#This Row],[33 kV_Wind_F1_Import (KWh)]]+Input_Raw[[#This Row],[33 kV_Wind_F2_Import (KWh)]]+Input_Raw[[#This Row],[33 kV_Wind_F3_Import (KWh)2]]+Input_Raw[[#This Row],[33 kV_Wind_F4_Import (KWh)2]]</f>
        <v>0</v>
      </c>
      <c r="DB93" s="289" t="str">
        <f>IFERROR(#REF!/Input_Raw[[#This Row],[WTG Total Gneration (KWh)]]-1,"")</f>
        <v/>
      </c>
      <c r="DC93" s="161"/>
      <c r="DD93" s="290"/>
      <c r="DE93" s="160"/>
      <c r="DF93" s="160"/>
      <c r="DG93" s="162"/>
      <c r="DH93" s="160"/>
    </row>
    <row r="94" spans="1:112">
      <c r="A94" s="20">
        <f t="shared" si="6"/>
        <v>45834</v>
      </c>
      <c r="B94" s="12">
        <f>YEAR(Input_Raw[[#This Row],[Date]])+IF(MONTH(Input_Raw[[#This Row],[Date]])&gt;=4,1,0)</f>
        <v>2026</v>
      </c>
      <c r="C94" s="13">
        <f>YEAR(Input_Raw[[#This Row],[Date]])</f>
        <v>2025</v>
      </c>
      <c r="D94" s="14">
        <f t="shared" si="5"/>
        <v>45809</v>
      </c>
      <c r="E94" s="13">
        <f>DAY(EOMONTH(Input_Raw[[#This Row],[Date]],0))</f>
        <v>30</v>
      </c>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7">
        <f>SUM(Input_Raw[[#This Row],[G01]:[G40]])</f>
        <v>0</v>
      </c>
      <c r="CG94" s="18" t="str">
        <f>IFERROR(AVERAGE(Input_Raw[[#This Row],[WS_G01]:[WS_G40]]),"")</f>
        <v/>
      </c>
      <c r="CH94" s="19"/>
      <c r="CI94" s="19"/>
      <c r="CJ94" s="15"/>
      <c r="CK94" s="15"/>
      <c r="CL94" s="15"/>
      <c r="CM94" s="15"/>
      <c r="CN94" s="15"/>
      <c r="CO94" s="15"/>
      <c r="CP94" s="15"/>
      <c r="CQ94" s="15"/>
      <c r="CR94" s="288">
        <f>(Input_Raw[[#This Row],[33 kV_Wind_F1_Export reading]]-CJ93)*1200</f>
        <v>0</v>
      </c>
      <c r="CS94" s="288"/>
      <c r="CT94" s="288"/>
      <c r="CU94" s="288"/>
      <c r="CV94" s="288"/>
      <c r="CW94" s="288"/>
      <c r="CX94" s="288"/>
      <c r="CY94" s="288"/>
      <c r="CZ94" s="288">
        <f>Input_Raw[[#This Row],[33 kV_F1_Total_Export (KWh)]]+Input_Raw[[#This Row],[33 kV_F2_Total_Export (KWh)2]]+Input_Raw[[#This Row],[33 kV_Wind_F3_Export (KWh)]]+Input_Raw[[#This Row],[33 kV_Wind_F4_Export (KWh)]]</f>
        <v>0</v>
      </c>
      <c r="DA94" s="288">
        <f>Input_Raw[[#This Row],[33 kV_Wind_F1_Import (KWh)]]+Input_Raw[[#This Row],[33 kV_Wind_F2_Import (KWh)]]+Input_Raw[[#This Row],[33 kV_Wind_F3_Import (KWh)2]]+Input_Raw[[#This Row],[33 kV_Wind_F4_Import (KWh)2]]</f>
        <v>0</v>
      </c>
      <c r="DB94" s="289" t="str">
        <f>IFERROR(#REF!/Input_Raw[[#This Row],[WTG Total Gneration (KWh)]]-1,"")</f>
        <v/>
      </c>
      <c r="DC94" s="161"/>
      <c r="DD94" s="290"/>
      <c r="DE94" s="160"/>
      <c r="DF94" s="160"/>
      <c r="DG94" s="162"/>
      <c r="DH94" s="160"/>
    </row>
    <row r="95" spans="1:112">
      <c r="A95" s="20">
        <f t="shared" si="6"/>
        <v>45835</v>
      </c>
      <c r="B95" s="12">
        <f>YEAR(Input_Raw[[#This Row],[Date]])+IF(MONTH(Input_Raw[[#This Row],[Date]])&gt;=4,1,0)</f>
        <v>2026</v>
      </c>
      <c r="C95" s="13">
        <f>YEAR(Input_Raw[[#This Row],[Date]])</f>
        <v>2025</v>
      </c>
      <c r="D95" s="14">
        <f t="shared" si="5"/>
        <v>45809</v>
      </c>
      <c r="E95" s="13">
        <f>DAY(EOMONTH(Input_Raw[[#This Row],[Date]],0))</f>
        <v>30</v>
      </c>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7">
        <f>SUM(Input_Raw[[#This Row],[G01]:[G40]])</f>
        <v>0</v>
      </c>
      <c r="CG95" s="18" t="str">
        <f>IFERROR(AVERAGE(Input_Raw[[#This Row],[WS_G01]:[WS_G40]]),"")</f>
        <v/>
      </c>
      <c r="CH95" s="19"/>
      <c r="CI95" s="19"/>
      <c r="CJ95" s="15"/>
      <c r="CK95" s="15"/>
      <c r="CL95" s="15"/>
      <c r="CM95" s="15"/>
      <c r="CN95" s="15"/>
      <c r="CO95" s="15"/>
      <c r="CP95" s="15"/>
      <c r="CQ95" s="15"/>
      <c r="CR95" s="288">
        <f>(Input_Raw[[#This Row],[33 kV_Wind_F1_Export reading]]-CJ94)*1200</f>
        <v>0</v>
      </c>
      <c r="CS95" s="288"/>
      <c r="CT95" s="288"/>
      <c r="CU95" s="288"/>
      <c r="CV95" s="288"/>
      <c r="CW95" s="288"/>
      <c r="CX95" s="288"/>
      <c r="CY95" s="288"/>
      <c r="CZ95" s="288">
        <f>Input_Raw[[#This Row],[33 kV_F1_Total_Export (KWh)]]+Input_Raw[[#This Row],[33 kV_F2_Total_Export (KWh)2]]+Input_Raw[[#This Row],[33 kV_Wind_F3_Export (KWh)]]+Input_Raw[[#This Row],[33 kV_Wind_F4_Export (KWh)]]</f>
        <v>0</v>
      </c>
      <c r="DA95" s="288">
        <f>Input_Raw[[#This Row],[33 kV_Wind_F1_Import (KWh)]]+Input_Raw[[#This Row],[33 kV_Wind_F2_Import (KWh)]]+Input_Raw[[#This Row],[33 kV_Wind_F3_Import (KWh)2]]+Input_Raw[[#This Row],[33 kV_Wind_F4_Import (KWh)2]]</f>
        <v>0</v>
      </c>
      <c r="DB95" s="289" t="str">
        <f>IFERROR(#REF!/Input_Raw[[#This Row],[WTG Total Gneration (KWh)]]-1,"")</f>
        <v/>
      </c>
      <c r="DC95" s="161"/>
      <c r="DD95" s="290"/>
      <c r="DE95" s="160"/>
      <c r="DF95" s="160"/>
      <c r="DG95" s="162"/>
      <c r="DH95" s="160"/>
    </row>
    <row r="96" spans="1:112">
      <c r="A96" s="20">
        <f t="shared" si="6"/>
        <v>45836</v>
      </c>
      <c r="B96" s="12">
        <f>YEAR(Input_Raw[[#This Row],[Date]])+IF(MONTH(Input_Raw[[#This Row],[Date]])&gt;=4,1,0)</f>
        <v>2026</v>
      </c>
      <c r="C96" s="13">
        <f>YEAR(Input_Raw[[#This Row],[Date]])</f>
        <v>2025</v>
      </c>
      <c r="D96" s="14">
        <f t="shared" si="5"/>
        <v>45809</v>
      </c>
      <c r="E96" s="13">
        <f>DAY(EOMONTH(Input_Raw[[#This Row],[Date]],0))</f>
        <v>30</v>
      </c>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7">
        <f>SUM(Input_Raw[[#This Row],[G01]:[G40]])</f>
        <v>0</v>
      </c>
      <c r="CG96" s="18" t="str">
        <f>IFERROR(AVERAGE(Input_Raw[[#This Row],[WS_G01]:[WS_G40]]),"")</f>
        <v/>
      </c>
      <c r="CH96" s="19"/>
      <c r="CI96" s="19"/>
      <c r="CJ96" s="15"/>
      <c r="CK96" s="15"/>
      <c r="CL96" s="15"/>
      <c r="CM96" s="15"/>
      <c r="CN96" s="15"/>
      <c r="CO96" s="15"/>
      <c r="CP96" s="15"/>
      <c r="CQ96" s="15"/>
      <c r="CR96" s="288">
        <f>(Input_Raw[[#This Row],[33 kV_Wind_F1_Export reading]]-CJ95)*1200</f>
        <v>0</v>
      </c>
      <c r="CS96" s="288"/>
      <c r="CT96" s="288"/>
      <c r="CU96" s="288"/>
      <c r="CV96" s="288"/>
      <c r="CW96" s="288"/>
      <c r="CX96" s="288"/>
      <c r="CY96" s="288"/>
      <c r="CZ96" s="288">
        <f>Input_Raw[[#This Row],[33 kV_F1_Total_Export (KWh)]]+Input_Raw[[#This Row],[33 kV_F2_Total_Export (KWh)2]]+Input_Raw[[#This Row],[33 kV_Wind_F3_Export (KWh)]]+Input_Raw[[#This Row],[33 kV_Wind_F4_Export (KWh)]]</f>
        <v>0</v>
      </c>
      <c r="DA96" s="288">
        <f>Input_Raw[[#This Row],[33 kV_Wind_F1_Import (KWh)]]+Input_Raw[[#This Row],[33 kV_Wind_F2_Import (KWh)]]+Input_Raw[[#This Row],[33 kV_Wind_F3_Import (KWh)2]]+Input_Raw[[#This Row],[33 kV_Wind_F4_Import (KWh)2]]</f>
        <v>0</v>
      </c>
      <c r="DB96" s="289" t="str">
        <f>IFERROR(#REF!/Input_Raw[[#This Row],[WTG Total Gneration (KWh)]]-1,"")</f>
        <v/>
      </c>
      <c r="DC96" s="161"/>
      <c r="DD96" s="290"/>
      <c r="DE96" s="160"/>
      <c r="DF96" s="160"/>
      <c r="DG96" s="162"/>
      <c r="DH96" s="160"/>
    </row>
    <row r="97" spans="1:112">
      <c r="A97" s="20">
        <f t="shared" si="6"/>
        <v>45837</v>
      </c>
      <c r="B97" s="12">
        <f>YEAR(Input_Raw[[#This Row],[Date]])+IF(MONTH(Input_Raw[[#This Row],[Date]])&gt;=4,1,0)</f>
        <v>2026</v>
      </c>
      <c r="C97" s="13">
        <f>YEAR(Input_Raw[[#This Row],[Date]])</f>
        <v>2025</v>
      </c>
      <c r="D97" s="14">
        <f t="shared" si="5"/>
        <v>45809</v>
      </c>
      <c r="E97" s="13">
        <f>DAY(EOMONTH(Input_Raw[[#This Row],[Date]],0))</f>
        <v>30</v>
      </c>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7">
        <f>SUM(Input_Raw[[#This Row],[G01]:[G40]])</f>
        <v>0</v>
      </c>
      <c r="CG97" s="18" t="str">
        <f>IFERROR(AVERAGE(Input_Raw[[#This Row],[WS_G01]:[WS_G40]]),"")</f>
        <v/>
      </c>
      <c r="CH97" s="19"/>
      <c r="CI97" s="19"/>
      <c r="CJ97" s="15"/>
      <c r="CK97" s="15"/>
      <c r="CL97" s="15"/>
      <c r="CM97" s="15"/>
      <c r="CN97" s="15"/>
      <c r="CO97" s="15"/>
      <c r="CP97" s="15"/>
      <c r="CQ97" s="15"/>
      <c r="CR97" s="288">
        <f>(Input_Raw[[#This Row],[33 kV_Wind_F1_Export reading]]-CJ96)*1200</f>
        <v>0</v>
      </c>
      <c r="CS97" s="288"/>
      <c r="CT97" s="288"/>
      <c r="CU97" s="288"/>
      <c r="CV97" s="288"/>
      <c r="CW97" s="288"/>
      <c r="CX97" s="288"/>
      <c r="CY97" s="288"/>
      <c r="CZ97" s="288">
        <f>Input_Raw[[#This Row],[33 kV_F1_Total_Export (KWh)]]+Input_Raw[[#This Row],[33 kV_F2_Total_Export (KWh)2]]+Input_Raw[[#This Row],[33 kV_Wind_F3_Export (KWh)]]+Input_Raw[[#This Row],[33 kV_Wind_F4_Export (KWh)]]</f>
        <v>0</v>
      </c>
      <c r="DA97" s="288">
        <f>Input_Raw[[#This Row],[33 kV_Wind_F1_Import (KWh)]]+Input_Raw[[#This Row],[33 kV_Wind_F2_Import (KWh)]]+Input_Raw[[#This Row],[33 kV_Wind_F3_Import (KWh)2]]+Input_Raw[[#This Row],[33 kV_Wind_F4_Import (KWh)2]]</f>
        <v>0</v>
      </c>
      <c r="DB97" s="289" t="str">
        <f>IFERROR(#REF!/Input_Raw[[#This Row],[WTG Total Gneration (KWh)]]-1,"")</f>
        <v/>
      </c>
      <c r="DC97" s="161"/>
      <c r="DD97" s="290"/>
      <c r="DE97" s="160"/>
      <c r="DF97" s="160"/>
      <c r="DG97" s="162"/>
      <c r="DH97" s="160"/>
    </row>
    <row r="98" spans="1:112">
      <c r="A98" s="20">
        <f t="shared" si="6"/>
        <v>45838</v>
      </c>
      <c r="B98" s="12">
        <f>YEAR(Input_Raw[[#This Row],[Date]])+IF(MONTH(Input_Raw[[#This Row],[Date]])&gt;=4,1,0)</f>
        <v>2026</v>
      </c>
      <c r="C98" s="13">
        <f>YEAR(Input_Raw[[#This Row],[Date]])</f>
        <v>2025</v>
      </c>
      <c r="D98" s="14">
        <f t="shared" si="5"/>
        <v>45809</v>
      </c>
      <c r="E98" s="13">
        <f>DAY(EOMONTH(Input_Raw[[#This Row],[Date]],0))</f>
        <v>30</v>
      </c>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7">
        <f>SUM(Input_Raw[[#This Row],[G01]:[G40]])</f>
        <v>0</v>
      </c>
      <c r="CG98" s="18" t="str">
        <f>IFERROR(AVERAGE(Input_Raw[[#This Row],[WS_G01]:[WS_G40]]),"")</f>
        <v/>
      </c>
      <c r="CH98" s="19"/>
      <c r="CI98" s="19"/>
      <c r="CJ98" s="15"/>
      <c r="CK98" s="15"/>
      <c r="CL98" s="15"/>
      <c r="CM98" s="15"/>
      <c r="CN98" s="15"/>
      <c r="CO98" s="15"/>
      <c r="CP98" s="15"/>
      <c r="CQ98" s="15"/>
      <c r="CR98" s="288">
        <f>(Input_Raw[[#This Row],[33 kV_Wind_F1_Export reading]]-CJ97)*1200</f>
        <v>0</v>
      </c>
      <c r="CS98" s="288"/>
      <c r="CT98" s="288"/>
      <c r="CU98" s="288"/>
      <c r="CV98" s="288"/>
      <c r="CW98" s="288"/>
      <c r="CX98" s="288"/>
      <c r="CY98" s="288"/>
      <c r="CZ98" s="288">
        <f>Input_Raw[[#This Row],[33 kV_F1_Total_Export (KWh)]]+Input_Raw[[#This Row],[33 kV_F2_Total_Export (KWh)2]]+Input_Raw[[#This Row],[33 kV_Wind_F3_Export (KWh)]]+Input_Raw[[#This Row],[33 kV_Wind_F4_Export (KWh)]]</f>
        <v>0</v>
      </c>
      <c r="DA98" s="288">
        <f>Input_Raw[[#This Row],[33 kV_Wind_F1_Import (KWh)]]+Input_Raw[[#This Row],[33 kV_Wind_F2_Import (KWh)]]+Input_Raw[[#This Row],[33 kV_Wind_F3_Import (KWh)2]]+Input_Raw[[#This Row],[33 kV_Wind_F4_Import (KWh)2]]</f>
        <v>0</v>
      </c>
      <c r="DB98" s="289" t="str">
        <f>IFERROR(#REF!/Input_Raw[[#This Row],[WTG Total Gneration (KWh)]]-1,"")</f>
        <v/>
      </c>
      <c r="DC98" s="161"/>
      <c r="DD98" s="290"/>
      <c r="DE98" s="160"/>
      <c r="DF98" s="160"/>
      <c r="DG98" s="162"/>
      <c r="DH98" s="160"/>
    </row>
    <row r="99" spans="1:112">
      <c r="A99" s="20">
        <f t="shared" si="6"/>
        <v>45839</v>
      </c>
      <c r="B99" s="12">
        <f>YEAR(Input_Raw[[#This Row],[Date]])+IF(MONTH(Input_Raw[[#This Row],[Date]])&gt;=4,1,0)</f>
        <v>2026</v>
      </c>
      <c r="C99" s="13">
        <f>YEAR(Input_Raw[[#This Row],[Date]])</f>
        <v>2025</v>
      </c>
      <c r="D99" s="14">
        <f t="shared" si="5"/>
        <v>45839</v>
      </c>
      <c r="E99" s="13">
        <f>DAY(EOMONTH(Input_Raw[[#This Row],[Date]],0))</f>
        <v>31</v>
      </c>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7">
        <f>SUM(Input_Raw[[#This Row],[G01]:[G40]])</f>
        <v>0</v>
      </c>
      <c r="CG99" s="18" t="str">
        <f>IFERROR(AVERAGE(Input_Raw[[#This Row],[WS_G01]:[WS_G40]]),"")</f>
        <v/>
      </c>
      <c r="CH99" s="19"/>
      <c r="CI99" s="19"/>
      <c r="CJ99" s="15"/>
      <c r="CK99" s="15"/>
      <c r="CL99" s="15"/>
      <c r="CM99" s="15"/>
      <c r="CN99" s="15"/>
      <c r="CO99" s="15"/>
      <c r="CP99" s="15"/>
      <c r="CQ99" s="15"/>
      <c r="CR99" s="288">
        <f>(Input_Raw[[#This Row],[33 kV_Wind_F1_Export reading]]-CJ98)*1200</f>
        <v>0</v>
      </c>
      <c r="CS99" s="288"/>
      <c r="CT99" s="288"/>
      <c r="CU99" s="288"/>
      <c r="CV99" s="288"/>
      <c r="CW99" s="288"/>
      <c r="CX99" s="288"/>
      <c r="CY99" s="288"/>
      <c r="CZ99" s="288">
        <f>Input_Raw[[#This Row],[33 kV_F1_Total_Export (KWh)]]+Input_Raw[[#This Row],[33 kV_F2_Total_Export (KWh)2]]+Input_Raw[[#This Row],[33 kV_Wind_F3_Export (KWh)]]+Input_Raw[[#This Row],[33 kV_Wind_F4_Export (KWh)]]</f>
        <v>0</v>
      </c>
      <c r="DA99" s="288">
        <f>Input_Raw[[#This Row],[33 kV_Wind_F1_Import (KWh)]]+Input_Raw[[#This Row],[33 kV_Wind_F2_Import (KWh)]]+Input_Raw[[#This Row],[33 kV_Wind_F3_Import (KWh)2]]+Input_Raw[[#This Row],[33 kV_Wind_F4_Import (KWh)2]]</f>
        <v>0</v>
      </c>
      <c r="DB99" s="289" t="str">
        <f>IFERROR(#REF!/Input_Raw[[#This Row],[WTG Total Gneration (KWh)]]-1,"")</f>
        <v/>
      </c>
      <c r="DC99" s="161"/>
      <c r="DD99" s="290"/>
      <c r="DE99" s="160"/>
      <c r="DF99" s="160"/>
      <c r="DG99" s="162"/>
      <c r="DH99" s="160"/>
    </row>
    <row r="100" spans="1:112">
      <c r="A100" s="20">
        <f t="shared" si="6"/>
        <v>45840</v>
      </c>
      <c r="B100" s="12">
        <f>YEAR(Input_Raw[[#This Row],[Date]])+IF(MONTH(Input_Raw[[#This Row],[Date]])&gt;=4,1,0)</f>
        <v>2026</v>
      </c>
      <c r="C100" s="13">
        <f>YEAR(Input_Raw[[#This Row],[Date]])</f>
        <v>2025</v>
      </c>
      <c r="D100" s="14">
        <f t="shared" si="5"/>
        <v>45839</v>
      </c>
      <c r="E100" s="13">
        <f>DAY(EOMONTH(Input_Raw[[#This Row],[Date]],0))</f>
        <v>31</v>
      </c>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7">
        <f>SUM(Input_Raw[[#This Row],[G01]:[G40]])</f>
        <v>0</v>
      </c>
      <c r="CG100" s="18" t="str">
        <f>IFERROR(AVERAGE(Input_Raw[[#This Row],[WS_G01]:[WS_G40]]),"")</f>
        <v/>
      </c>
      <c r="CH100" s="19"/>
      <c r="CI100" s="19"/>
      <c r="CJ100" s="15"/>
      <c r="CK100" s="15"/>
      <c r="CL100" s="15"/>
      <c r="CM100" s="15"/>
      <c r="CN100" s="15"/>
      <c r="CO100" s="15"/>
      <c r="CP100" s="15"/>
      <c r="CQ100" s="15"/>
      <c r="CR100" s="288">
        <f>(Input_Raw[[#This Row],[33 kV_Wind_F1_Export reading]]-CJ99)*1200</f>
        <v>0</v>
      </c>
      <c r="CS100" s="288"/>
      <c r="CT100" s="288"/>
      <c r="CU100" s="288"/>
      <c r="CV100" s="288"/>
      <c r="CW100" s="288"/>
      <c r="CX100" s="288"/>
      <c r="CY100" s="288"/>
      <c r="CZ100" s="288">
        <f>Input_Raw[[#This Row],[33 kV_F1_Total_Export (KWh)]]+Input_Raw[[#This Row],[33 kV_F2_Total_Export (KWh)2]]+Input_Raw[[#This Row],[33 kV_Wind_F3_Export (KWh)]]+Input_Raw[[#This Row],[33 kV_Wind_F4_Export (KWh)]]</f>
        <v>0</v>
      </c>
      <c r="DA100" s="288">
        <f>Input_Raw[[#This Row],[33 kV_Wind_F1_Import (KWh)]]+Input_Raw[[#This Row],[33 kV_Wind_F2_Import (KWh)]]+Input_Raw[[#This Row],[33 kV_Wind_F3_Import (KWh)2]]+Input_Raw[[#This Row],[33 kV_Wind_F4_Import (KWh)2]]</f>
        <v>0</v>
      </c>
      <c r="DB100" s="289" t="str">
        <f>IFERROR(#REF!/Input_Raw[[#This Row],[WTG Total Gneration (KWh)]]-1,"")</f>
        <v/>
      </c>
      <c r="DC100" s="161"/>
      <c r="DD100" s="290"/>
      <c r="DE100" s="160"/>
      <c r="DF100" s="160"/>
      <c r="DG100" s="162"/>
      <c r="DH100" s="160"/>
    </row>
    <row r="101" spans="1:112">
      <c r="A101" s="20">
        <f t="shared" si="6"/>
        <v>45841</v>
      </c>
      <c r="B101" s="12">
        <f>YEAR(Input_Raw[[#This Row],[Date]])+IF(MONTH(Input_Raw[[#This Row],[Date]])&gt;=4,1,0)</f>
        <v>2026</v>
      </c>
      <c r="C101" s="13">
        <f>YEAR(Input_Raw[[#This Row],[Date]])</f>
        <v>2025</v>
      </c>
      <c r="D101" s="14">
        <f t="shared" si="5"/>
        <v>45839</v>
      </c>
      <c r="E101" s="13">
        <f>DAY(EOMONTH(Input_Raw[[#This Row],[Date]],0))</f>
        <v>31</v>
      </c>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7">
        <f>SUM(Input_Raw[[#This Row],[G01]:[G40]])</f>
        <v>0</v>
      </c>
      <c r="CG101" s="18" t="str">
        <f>IFERROR(AVERAGE(Input_Raw[[#This Row],[WS_G01]:[WS_G40]]),"")</f>
        <v/>
      </c>
      <c r="CH101" s="19"/>
      <c r="CI101" s="19"/>
      <c r="CJ101" s="15"/>
      <c r="CK101" s="15"/>
      <c r="CL101" s="15"/>
      <c r="CM101" s="15"/>
      <c r="CN101" s="15"/>
      <c r="CO101" s="15"/>
      <c r="CP101" s="15"/>
      <c r="CQ101" s="15"/>
      <c r="CR101" s="288">
        <f>(Input_Raw[[#This Row],[33 kV_Wind_F1_Export reading]]-CJ100)*1200</f>
        <v>0</v>
      </c>
      <c r="CS101" s="288"/>
      <c r="CT101" s="288"/>
      <c r="CU101" s="288"/>
      <c r="CV101" s="288"/>
      <c r="CW101" s="288"/>
      <c r="CX101" s="288"/>
      <c r="CY101" s="288"/>
      <c r="CZ101" s="288">
        <f>Input_Raw[[#This Row],[33 kV_F1_Total_Export (KWh)]]+Input_Raw[[#This Row],[33 kV_F2_Total_Export (KWh)2]]+Input_Raw[[#This Row],[33 kV_Wind_F3_Export (KWh)]]+Input_Raw[[#This Row],[33 kV_Wind_F4_Export (KWh)]]</f>
        <v>0</v>
      </c>
      <c r="DA101" s="288">
        <f>Input_Raw[[#This Row],[33 kV_Wind_F1_Import (KWh)]]+Input_Raw[[#This Row],[33 kV_Wind_F2_Import (KWh)]]+Input_Raw[[#This Row],[33 kV_Wind_F3_Import (KWh)2]]+Input_Raw[[#This Row],[33 kV_Wind_F4_Import (KWh)2]]</f>
        <v>0</v>
      </c>
      <c r="DB101" s="289" t="str">
        <f>IFERROR(#REF!/Input_Raw[[#This Row],[WTG Total Gneration (KWh)]]-1,"")</f>
        <v/>
      </c>
      <c r="DC101" s="161"/>
      <c r="DD101" s="290"/>
      <c r="DE101" s="160"/>
      <c r="DF101" s="160"/>
      <c r="DG101" s="162"/>
      <c r="DH101" s="160"/>
    </row>
    <row r="102" spans="1:112">
      <c r="A102" s="20">
        <f t="shared" si="6"/>
        <v>45842</v>
      </c>
      <c r="B102" s="12">
        <f>YEAR(Input_Raw[[#This Row],[Date]])+IF(MONTH(Input_Raw[[#This Row],[Date]])&gt;=4,1,0)</f>
        <v>2026</v>
      </c>
      <c r="C102" s="13">
        <f>YEAR(Input_Raw[[#This Row],[Date]])</f>
        <v>2025</v>
      </c>
      <c r="D102" s="14">
        <f t="shared" si="5"/>
        <v>45839</v>
      </c>
      <c r="E102" s="13">
        <f>DAY(EOMONTH(Input_Raw[[#This Row],[Date]],0))</f>
        <v>31</v>
      </c>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7">
        <f>SUM(Input_Raw[[#This Row],[G01]:[G40]])</f>
        <v>0</v>
      </c>
      <c r="CG102" s="18" t="str">
        <f>IFERROR(AVERAGE(Input_Raw[[#This Row],[WS_G01]:[WS_G40]]),"")</f>
        <v/>
      </c>
      <c r="CH102" s="19"/>
      <c r="CI102" s="19"/>
      <c r="CJ102" s="15"/>
      <c r="CK102" s="15"/>
      <c r="CL102" s="15"/>
      <c r="CM102" s="15"/>
      <c r="CN102" s="15"/>
      <c r="CO102" s="15"/>
      <c r="CP102" s="15"/>
      <c r="CQ102" s="15"/>
      <c r="CR102" s="288">
        <f>(Input_Raw[[#This Row],[33 kV_Wind_F1_Export reading]]-CJ101)*1200</f>
        <v>0</v>
      </c>
      <c r="CS102" s="288"/>
      <c r="CT102" s="288"/>
      <c r="CU102" s="288"/>
      <c r="CV102" s="288"/>
      <c r="CW102" s="288"/>
      <c r="CX102" s="288"/>
      <c r="CY102" s="288"/>
      <c r="CZ102" s="288">
        <f>Input_Raw[[#This Row],[33 kV_F1_Total_Export (KWh)]]+Input_Raw[[#This Row],[33 kV_F2_Total_Export (KWh)2]]+Input_Raw[[#This Row],[33 kV_Wind_F3_Export (KWh)]]+Input_Raw[[#This Row],[33 kV_Wind_F4_Export (KWh)]]</f>
        <v>0</v>
      </c>
      <c r="DA102" s="288">
        <f>Input_Raw[[#This Row],[33 kV_Wind_F1_Import (KWh)]]+Input_Raw[[#This Row],[33 kV_Wind_F2_Import (KWh)]]+Input_Raw[[#This Row],[33 kV_Wind_F3_Import (KWh)2]]+Input_Raw[[#This Row],[33 kV_Wind_F4_Import (KWh)2]]</f>
        <v>0</v>
      </c>
      <c r="DB102" s="289" t="str">
        <f>IFERROR(#REF!/Input_Raw[[#This Row],[WTG Total Gneration (KWh)]]-1,"")</f>
        <v/>
      </c>
      <c r="DC102" s="161"/>
      <c r="DD102" s="290"/>
      <c r="DE102" s="160"/>
      <c r="DF102" s="160"/>
      <c r="DG102" s="162"/>
      <c r="DH102" s="160"/>
    </row>
    <row r="103" spans="1:112">
      <c r="A103" s="20">
        <f t="shared" si="6"/>
        <v>45843</v>
      </c>
      <c r="B103" s="12">
        <f>YEAR(Input_Raw[[#This Row],[Date]])+IF(MONTH(Input_Raw[[#This Row],[Date]])&gt;=4,1,0)</f>
        <v>2026</v>
      </c>
      <c r="C103" s="13">
        <f>YEAR(Input_Raw[[#This Row],[Date]])</f>
        <v>2025</v>
      </c>
      <c r="D103" s="14">
        <f t="shared" si="5"/>
        <v>45839</v>
      </c>
      <c r="E103" s="13">
        <f>DAY(EOMONTH(Input_Raw[[#This Row],[Date]],0))</f>
        <v>31</v>
      </c>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7">
        <f>SUM(Input_Raw[[#This Row],[G01]:[G40]])</f>
        <v>0</v>
      </c>
      <c r="CG103" s="18" t="str">
        <f>IFERROR(AVERAGE(Input_Raw[[#This Row],[WS_G01]:[WS_G40]]),"")</f>
        <v/>
      </c>
      <c r="CH103" s="19"/>
      <c r="CI103" s="19"/>
      <c r="CJ103" s="15"/>
      <c r="CK103" s="15"/>
      <c r="CL103" s="15"/>
      <c r="CM103" s="15"/>
      <c r="CN103" s="15"/>
      <c r="CO103" s="15"/>
      <c r="CP103" s="15"/>
      <c r="CQ103" s="15"/>
      <c r="CR103" s="288">
        <f>(Input_Raw[[#This Row],[33 kV_Wind_F1_Export reading]]-CJ102)*1200</f>
        <v>0</v>
      </c>
      <c r="CS103" s="288"/>
      <c r="CT103" s="288"/>
      <c r="CU103" s="288"/>
      <c r="CV103" s="288"/>
      <c r="CW103" s="288"/>
      <c r="CX103" s="288"/>
      <c r="CY103" s="288"/>
      <c r="CZ103" s="288">
        <f>Input_Raw[[#This Row],[33 kV_F1_Total_Export (KWh)]]+Input_Raw[[#This Row],[33 kV_F2_Total_Export (KWh)2]]+Input_Raw[[#This Row],[33 kV_Wind_F3_Export (KWh)]]+Input_Raw[[#This Row],[33 kV_Wind_F4_Export (KWh)]]</f>
        <v>0</v>
      </c>
      <c r="DA103" s="288">
        <f>Input_Raw[[#This Row],[33 kV_Wind_F1_Import (KWh)]]+Input_Raw[[#This Row],[33 kV_Wind_F2_Import (KWh)]]+Input_Raw[[#This Row],[33 kV_Wind_F3_Import (KWh)2]]+Input_Raw[[#This Row],[33 kV_Wind_F4_Import (KWh)2]]</f>
        <v>0</v>
      </c>
      <c r="DB103" s="289" t="str">
        <f>IFERROR(#REF!/Input_Raw[[#This Row],[WTG Total Gneration (KWh)]]-1,"")</f>
        <v/>
      </c>
      <c r="DC103" s="161"/>
      <c r="DD103" s="290"/>
      <c r="DE103" s="160"/>
      <c r="DF103" s="160"/>
      <c r="DG103" s="162"/>
      <c r="DH103" s="160"/>
    </row>
    <row r="104" spans="1:112">
      <c r="A104" s="20">
        <f t="shared" si="6"/>
        <v>45844</v>
      </c>
      <c r="B104" s="12">
        <f>YEAR(Input_Raw[[#This Row],[Date]])+IF(MONTH(Input_Raw[[#This Row],[Date]])&gt;=4,1,0)</f>
        <v>2026</v>
      </c>
      <c r="C104" s="13">
        <f>YEAR(Input_Raw[[#This Row],[Date]])</f>
        <v>2025</v>
      </c>
      <c r="D104" s="14">
        <f t="shared" si="5"/>
        <v>45839</v>
      </c>
      <c r="E104" s="13">
        <f>DAY(EOMONTH(Input_Raw[[#This Row],[Date]],0))</f>
        <v>31</v>
      </c>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7">
        <f>SUM(Input_Raw[[#This Row],[G01]:[G40]])</f>
        <v>0</v>
      </c>
      <c r="CG104" s="18" t="str">
        <f>IFERROR(AVERAGE(Input_Raw[[#This Row],[WS_G01]:[WS_G40]]),"")</f>
        <v/>
      </c>
      <c r="CH104" s="19"/>
      <c r="CI104" s="19"/>
      <c r="CJ104" s="15"/>
      <c r="CK104" s="15"/>
      <c r="CL104" s="15"/>
      <c r="CM104" s="15"/>
      <c r="CN104" s="15"/>
      <c r="CO104" s="15"/>
      <c r="CP104" s="15"/>
      <c r="CQ104" s="15"/>
      <c r="CR104" s="288">
        <f>(Input_Raw[[#This Row],[33 kV_Wind_F1_Export reading]]-CJ103)*1200</f>
        <v>0</v>
      </c>
      <c r="CS104" s="288"/>
      <c r="CT104" s="288"/>
      <c r="CU104" s="288"/>
      <c r="CV104" s="288"/>
      <c r="CW104" s="288"/>
      <c r="CX104" s="288"/>
      <c r="CY104" s="288"/>
      <c r="CZ104" s="288">
        <f>Input_Raw[[#This Row],[33 kV_F1_Total_Export (KWh)]]+Input_Raw[[#This Row],[33 kV_F2_Total_Export (KWh)2]]+Input_Raw[[#This Row],[33 kV_Wind_F3_Export (KWh)]]+Input_Raw[[#This Row],[33 kV_Wind_F4_Export (KWh)]]</f>
        <v>0</v>
      </c>
      <c r="DA104" s="288">
        <f>Input_Raw[[#This Row],[33 kV_Wind_F1_Import (KWh)]]+Input_Raw[[#This Row],[33 kV_Wind_F2_Import (KWh)]]+Input_Raw[[#This Row],[33 kV_Wind_F3_Import (KWh)2]]+Input_Raw[[#This Row],[33 kV_Wind_F4_Import (KWh)2]]</f>
        <v>0</v>
      </c>
      <c r="DB104" s="289" t="str">
        <f>IFERROR(#REF!/Input_Raw[[#This Row],[WTG Total Gneration (KWh)]]-1,"")</f>
        <v/>
      </c>
      <c r="DC104" s="161"/>
      <c r="DD104" s="290"/>
      <c r="DE104" s="160"/>
      <c r="DF104" s="160"/>
      <c r="DG104" s="162"/>
      <c r="DH104" s="160"/>
    </row>
    <row r="105" spans="1:112">
      <c r="A105" s="20">
        <f t="shared" si="6"/>
        <v>45845</v>
      </c>
      <c r="B105" s="12">
        <f>YEAR(Input_Raw[[#This Row],[Date]])+IF(MONTH(Input_Raw[[#This Row],[Date]])&gt;=4,1,0)</f>
        <v>2026</v>
      </c>
      <c r="C105" s="13">
        <f>YEAR(Input_Raw[[#This Row],[Date]])</f>
        <v>2025</v>
      </c>
      <c r="D105" s="14">
        <f t="shared" si="5"/>
        <v>45839</v>
      </c>
      <c r="E105" s="13">
        <f>DAY(EOMONTH(Input_Raw[[#This Row],[Date]],0))</f>
        <v>31</v>
      </c>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7">
        <f>SUM(Input_Raw[[#This Row],[G01]:[G40]])</f>
        <v>0</v>
      </c>
      <c r="CG105" s="18" t="str">
        <f>IFERROR(AVERAGE(Input_Raw[[#This Row],[WS_G01]:[WS_G40]]),"")</f>
        <v/>
      </c>
      <c r="CH105" s="19"/>
      <c r="CI105" s="19"/>
      <c r="CJ105" s="15"/>
      <c r="CK105" s="15"/>
      <c r="CL105" s="15"/>
      <c r="CM105" s="15"/>
      <c r="CN105" s="15"/>
      <c r="CO105" s="15"/>
      <c r="CP105" s="15"/>
      <c r="CQ105" s="15"/>
      <c r="CR105" s="288">
        <f>(Input_Raw[[#This Row],[33 kV_Wind_F1_Export reading]]-CJ104)*1200</f>
        <v>0</v>
      </c>
      <c r="CS105" s="288"/>
      <c r="CT105" s="288"/>
      <c r="CU105" s="288"/>
      <c r="CV105" s="288"/>
      <c r="CW105" s="288"/>
      <c r="CX105" s="288"/>
      <c r="CY105" s="288"/>
      <c r="CZ105" s="288">
        <f>Input_Raw[[#This Row],[33 kV_F1_Total_Export (KWh)]]+Input_Raw[[#This Row],[33 kV_F2_Total_Export (KWh)2]]+Input_Raw[[#This Row],[33 kV_Wind_F3_Export (KWh)]]+Input_Raw[[#This Row],[33 kV_Wind_F4_Export (KWh)]]</f>
        <v>0</v>
      </c>
      <c r="DA105" s="288">
        <f>Input_Raw[[#This Row],[33 kV_Wind_F1_Import (KWh)]]+Input_Raw[[#This Row],[33 kV_Wind_F2_Import (KWh)]]+Input_Raw[[#This Row],[33 kV_Wind_F3_Import (KWh)2]]+Input_Raw[[#This Row],[33 kV_Wind_F4_Import (KWh)2]]</f>
        <v>0</v>
      </c>
      <c r="DB105" s="289" t="str">
        <f>IFERROR(#REF!/Input_Raw[[#This Row],[WTG Total Gneration (KWh)]]-1,"")</f>
        <v/>
      </c>
      <c r="DC105" s="161"/>
      <c r="DD105" s="290"/>
      <c r="DE105" s="160"/>
      <c r="DF105" s="160"/>
      <c r="DG105" s="162"/>
      <c r="DH105" s="160"/>
    </row>
    <row r="106" spans="1:112">
      <c r="A106" s="20">
        <f t="shared" si="6"/>
        <v>45846</v>
      </c>
      <c r="B106" s="12">
        <f>YEAR(Input_Raw[[#This Row],[Date]])+IF(MONTH(Input_Raw[[#This Row],[Date]])&gt;=4,1,0)</f>
        <v>2026</v>
      </c>
      <c r="C106" s="13">
        <f>YEAR(Input_Raw[[#This Row],[Date]])</f>
        <v>2025</v>
      </c>
      <c r="D106" s="14">
        <f t="shared" si="5"/>
        <v>45839</v>
      </c>
      <c r="E106" s="13">
        <f>DAY(EOMONTH(Input_Raw[[#This Row],[Date]],0))</f>
        <v>31</v>
      </c>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7">
        <f>SUM(Input_Raw[[#This Row],[G01]:[G40]])</f>
        <v>0</v>
      </c>
      <c r="CG106" s="18" t="str">
        <f>IFERROR(AVERAGE(Input_Raw[[#This Row],[WS_G01]:[WS_G40]]),"")</f>
        <v/>
      </c>
      <c r="CH106" s="19"/>
      <c r="CI106" s="19"/>
      <c r="CJ106" s="15"/>
      <c r="CK106" s="15"/>
      <c r="CL106" s="15"/>
      <c r="CM106" s="15"/>
      <c r="CN106" s="15"/>
      <c r="CO106" s="15"/>
      <c r="CP106" s="15"/>
      <c r="CQ106" s="15"/>
      <c r="CR106" s="288">
        <f>(Input_Raw[[#This Row],[33 kV_Wind_F1_Export reading]]-CJ105)*1200</f>
        <v>0</v>
      </c>
      <c r="CS106" s="288"/>
      <c r="CT106" s="288"/>
      <c r="CU106" s="288"/>
      <c r="CV106" s="288"/>
      <c r="CW106" s="288"/>
      <c r="CX106" s="288"/>
      <c r="CY106" s="288"/>
      <c r="CZ106" s="288">
        <f>Input_Raw[[#This Row],[33 kV_F1_Total_Export (KWh)]]+Input_Raw[[#This Row],[33 kV_F2_Total_Export (KWh)2]]+Input_Raw[[#This Row],[33 kV_Wind_F3_Export (KWh)]]+Input_Raw[[#This Row],[33 kV_Wind_F4_Export (KWh)]]</f>
        <v>0</v>
      </c>
      <c r="DA106" s="288">
        <f>Input_Raw[[#This Row],[33 kV_Wind_F1_Import (KWh)]]+Input_Raw[[#This Row],[33 kV_Wind_F2_Import (KWh)]]+Input_Raw[[#This Row],[33 kV_Wind_F3_Import (KWh)2]]+Input_Raw[[#This Row],[33 kV_Wind_F4_Import (KWh)2]]</f>
        <v>0</v>
      </c>
      <c r="DB106" s="289" t="str">
        <f>IFERROR(#REF!/Input_Raw[[#This Row],[WTG Total Gneration (KWh)]]-1,"")</f>
        <v/>
      </c>
      <c r="DC106" s="161"/>
      <c r="DD106" s="290"/>
      <c r="DE106" s="160"/>
      <c r="DF106" s="160"/>
      <c r="DG106" s="162"/>
      <c r="DH106" s="160"/>
    </row>
    <row r="107" spans="1:112">
      <c r="A107" s="20">
        <f t="shared" si="6"/>
        <v>45847</v>
      </c>
      <c r="B107" s="12">
        <f>YEAR(Input_Raw[[#This Row],[Date]])+IF(MONTH(Input_Raw[[#This Row],[Date]])&gt;=4,1,0)</f>
        <v>2026</v>
      </c>
      <c r="C107" s="13">
        <f>YEAR(Input_Raw[[#This Row],[Date]])</f>
        <v>2025</v>
      </c>
      <c r="D107" s="14">
        <f t="shared" si="5"/>
        <v>45839</v>
      </c>
      <c r="E107" s="13">
        <f>DAY(EOMONTH(Input_Raw[[#This Row],[Date]],0))</f>
        <v>31</v>
      </c>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7">
        <f>SUM(Input_Raw[[#This Row],[G01]:[G40]])</f>
        <v>0</v>
      </c>
      <c r="CG107" s="18" t="str">
        <f>IFERROR(AVERAGE(Input_Raw[[#This Row],[WS_G01]:[WS_G40]]),"")</f>
        <v/>
      </c>
      <c r="CH107" s="19"/>
      <c r="CI107" s="19"/>
      <c r="CJ107" s="15"/>
      <c r="CK107" s="15"/>
      <c r="CL107" s="15"/>
      <c r="CM107" s="15"/>
      <c r="CN107" s="15"/>
      <c r="CO107" s="15"/>
      <c r="CP107" s="15"/>
      <c r="CQ107" s="15"/>
      <c r="CR107" s="288">
        <f>(Input_Raw[[#This Row],[33 kV_Wind_F1_Export reading]]-CJ106)*1200</f>
        <v>0</v>
      </c>
      <c r="CS107" s="288"/>
      <c r="CT107" s="288"/>
      <c r="CU107" s="288"/>
      <c r="CV107" s="288"/>
      <c r="CW107" s="288"/>
      <c r="CX107" s="288"/>
      <c r="CY107" s="288"/>
      <c r="CZ107" s="288">
        <f>Input_Raw[[#This Row],[33 kV_F1_Total_Export (KWh)]]+Input_Raw[[#This Row],[33 kV_F2_Total_Export (KWh)2]]+Input_Raw[[#This Row],[33 kV_Wind_F3_Export (KWh)]]+Input_Raw[[#This Row],[33 kV_Wind_F4_Export (KWh)]]</f>
        <v>0</v>
      </c>
      <c r="DA107" s="288">
        <f>Input_Raw[[#This Row],[33 kV_Wind_F1_Import (KWh)]]+Input_Raw[[#This Row],[33 kV_Wind_F2_Import (KWh)]]+Input_Raw[[#This Row],[33 kV_Wind_F3_Import (KWh)2]]+Input_Raw[[#This Row],[33 kV_Wind_F4_Import (KWh)2]]</f>
        <v>0</v>
      </c>
      <c r="DB107" s="289" t="str">
        <f>IFERROR(#REF!/Input_Raw[[#This Row],[WTG Total Gneration (KWh)]]-1,"")</f>
        <v/>
      </c>
      <c r="DC107" s="161"/>
      <c r="DD107" s="290"/>
      <c r="DE107" s="160"/>
      <c r="DF107" s="160"/>
      <c r="DG107" s="162"/>
      <c r="DH107" s="160"/>
    </row>
    <row r="108" spans="1:112">
      <c r="A108" s="20">
        <f t="shared" ref="A108:A144" si="7">A107+1</f>
        <v>45848</v>
      </c>
      <c r="B108" s="12">
        <f>YEAR(Input_Raw[[#This Row],[Date]])+IF(MONTH(Input_Raw[[#This Row],[Date]])&gt;=4,1,0)</f>
        <v>2026</v>
      </c>
      <c r="C108" s="13">
        <f>YEAR(Input_Raw[[#This Row],[Date]])</f>
        <v>2025</v>
      </c>
      <c r="D108" s="14">
        <f t="shared" ref="D108:D144" si="8">A108-DAY(A108)+1</f>
        <v>45839</v>
      </c>
      <c r="E108" s="13">
        <f>DAY(EOMONTH(Input_Raw[[#This Row],[Date]],0))</f>
        <v>31</v>
      </c>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7">
        <f>SUM(Input_Raw[[#This Row],[G01]:[G40]])</f>
        <v>0</v>
      </c>
      <c r="CG108" s="18" t="str">
        <f>IFERROR(AVERAGE(Input_Raw[[#This Row],[WS_G01]:[WS_G40]]),"")</f>
        <v/>
      </c>
      <c r="CH108" s="19"/>
      <c r="CI108" s="19"/>
      <c r="CJ108" s="15"/>
      <c r="CK108" s="15"/>
      <c r="CL108" s="15"/>
      <c r="CM108" s="15"/>
      <c r="CN108" s="15"/>
      <c r="CO108" s="15"/>
      <c r="CP108" s="15"/>
      <c r="CQ108" s="15"/>
      <c r="CR108" s="288">
        <f>(Input_Raw[[#This Row],[33 kV_Wind_F1_Export reading]]-CJ107)*1200</f>
        <v>0</v>
      </c>
      <c r="CS108" s="288"/>
      <c r="CT108" s="288"/>
      <c r="CU108" s="288"/>
      <c r="CV108" s="288"/>
      <c r="CW108" s="288"/>
      <c r="CX108" s="288"/>
      <c r="CY108" s="288"/>
      <c r="CZ108" s="288">
        <f>Input_Raw[[#This Row],[33 kV_F1_Total_Export (KWh)]]+Input_Raw[[#This Row],[33 kV_F2_Total_Export (KWh)2]]+Input_Raw[[#This Row],[33 kV_Wind_F3_Export (KWh)]]+Input_Raw[[#This Row],[33 kV_Wind_F4_Export (KWh)]]</f>
        <v>0</v>
      </c>
      <c r="DA108" s="288">
        <f>Input_Raw[[#This Row],[33 kV_Wind_F1_Import (KWh)]]+Input_Raw[[#This Row],[33 kV_Wind_F2_Import (KWh)]]+Input_Raw[[#This Row],[33 kV_Wind_F3_Import (KWh)2]]+Input_Raw[[#This Row],[33 kV_Wind_F4_Import (KWh)2]]</f>
        <v>0</v>
      </c>
      <c r="DB108" s="289" t="str">
        <f>IFERROR(#REF!/Input_Raw[[#This Row],[WTG Total Gneration (KWh)]]-1,"")</f>
        <v/>
      </c>
      <c r="DC108" s="161"/>
      <c r="DD108" s="290"/>
      <c r="DE108" s="160"/>
      <c r="DF108" s="160"/>
      <c r="DG108" s="162"/>
      <c r="DH108" s="160"/>
    </row>
    <row r="109" spans="1:112">
      <c r="A109" s="20">
        <f t="shared" si="7"/>
        <v>45849</v>
      </c>
      <c r="B109" s="12">
        <f>YEAR(Input_Raw[[#This Row],[Date]])+IF(MONTH(Input_Raw[[#This Row],[Date]])&gt;=4,1,0)</f>
        <v>2026</v>
      </c>
      <c r="C109" s="13">
        <f>YEAR(Input_Raw[[#This Row],[Date]])</f>
        <v>2025</v>
      </c>
      <c r="D109" s="14">
        <f t="shared" si="8"/>
        <v>45839</v>
      </c>
      <c r="E109" s="13">
        <f>DAY(EOMONTH(Input_Raw[[#This Row],[Date]],0))</f>
        <v>31</v>
      </c>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7">
        <f>SUM(Input_Raw[[#This Row],[G01]:[G40]])</f>
        <v>0</v>
      </c>
      <c r="CG109" s="18" t="str">
        <f>IFERROR(AVERAGE(Input_Raw[[#This Row],[WS_G01]:[WS_G40]]),"")</f>
        <v/>
      </c>
      <c r="CH109" s="19"/>
      <c r="CI109" s="19"/>
      <c r="CJ109" s="15"/>
      <c r="CK109" s="15"/>
      <c r="CL109" s="15"/>
      <c r="CM109" s="15"/>
      <c r="CN109" s="15"/>
      <c r="CO109" s="15"/>
      <c r="CP109" s="15"/>
      <c r="CQ109" s="15"/>
      <c r="CR109" s="288">
        <f>(Input_Raw[[#This Row],[33 kV_Wind_F1_Export reading]]-CJ108)*1200</f>
        <v>0</v>
      </c>
      <c r="CS109" s="288"/>
      <c r="CT109" s="288"/>
      <c r="CU109" s="288"/>
      <c r="CV109" s="288"/>
      <c r="CW109" s="288"/>
      <c r="CX109" s="288"/>
      <c r="CY109" s="288"/>
      <c r="CZ109" s="288">
        <f>Input_Raw[[#This Row],[33 kV_F1_Total_Export (KWh)]]+Input_Raw[[#This Row],[33 kV_F2_Total_Export (KWh)2]]+Input_Raw[[#This Row],[33 kV_Wind_F3_Export (KWh)]]+Input_Raw[[#This Row],[33 kV_Wind_F4_Export (KWh)]]</f>
        <v>0</v>
      </c>
      <c r="DA109" s="288">
        <f>Input_Raw[[#This Row],[33 kV_Wind_F1_Import (KWh)]]+Input_Raw[[#This Row],[33 kV_Wind_F2_Import (KWh)]]+Input_Raw[[#This Row],[33 kV_Wind_F3_Import (KWh)2]]+Input_Raw[[#This Row],[33 kV_Wind_F4_Import (KWh)2]]</f>
        <v>0</v>
      </c>
      <c r="DB109" s="289" t="str">
        <f>IFERROR(#REF!/Input_Raw[[#This Row],[WTG Total Gneration (KWh)]]-1,"")</f>
        <v/>
      </c>
      <c r="DC109" s="161"/>
      <c r="DD109" s="290"/>
      <c r="DE109" s="160"/>
      <c r="DF109" s="160"/>
      <c r="DG109" s="162"/>
      <c r="DH109" s="160"/>
    </row>
    <row r="110" spans="1:112">
      <c r="A110" s="20">
        <f t="shared" si="7"/>
        <v>45850</v>
      </c>
      <c r="B110" s="12">
        <f>YEAR(Input_Raw[[#This Row],[Date]])+IF(MONTH(Input_Raw[[#This Row],[Date]])&gt;=4,1,0)</f>
        <v>2026</v>
      </c>
      <c r="C110" s="13">
        <f>YEAR(Input_Raw[[#This Row],[Date]])</f>
        <v>2025</v>
      </c>
      <c r="D110" s="14">
        <f t="shared" si="8"/>
        <v>45839</v>
      </c>
      <c r="E110" s="13">
        <f>DAY(EOMONTH(Input_Raw[[#This Row],[Date]],0))</f>
        <v>31</v>
      </c>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7">
        <f>SUM(Input_Raw[[#This Row],[G01]:[G40]])</f>
        <v>0</v>
      </c>
      <c r="CG110" s="18" t="str">
        <f>IFERROR(AVERAGE(Input_Raw[[#This Row],[WS_G01]:[WS_G40]]),"")</f>
        <v/>
      </c>
      <c r="CH110" s="19"/>
      <c r="CI110" s="19"/>
      <c r="CJ110" s="15"/>
      <c r="CK110" s="15"/>
      <c r="CL110" s="15"/>
      <c r="CM110" s="15"/>
      <c r="CN110" s="15"/>
      <c r="CO110" s="15"/>
      <c r="CP110" s="15"/>
      <c r="CQ110" s="15"/>
      <c r="CR110" s="288">
        <f>(Input_Raw[[#This Row],[33 kV_Wind_F1_Export reading]]-CJ109)*1200</f>
        <v>0</v>
      </c>
      <c r="CS110" s="288"/>
      <c r="CT110" s="288"/>
      <c r="CU110" s="288"/>
      <c r="CV110" s="288"/>
      <c r="CW110" s="288"/>
      <c r="CX110" s="288"/>
      <c r="CY110" s="288"/>
      <c r="CZ110" s="288">
        <f>Input_Raw[[#This Row],[33 kV_F1_Total_Export (KWh)]]+Input_Raw[[#This Row],[33 kV_F2_Total_Export (KWh)2]]+Input_Raw[[#This Row],[33 kV_Wind_F3_Export (KWh)]]+Input_Raw[[#This Row],[33 kV_Wind_F4_Export (KWh)]]</f>
        <v>0</v>
      </c>
      <c r="DA110" s="288">
        <f>Input_Raw[[#This Row],[33 kV_Wind_F1_Import (KWh)]]+Input_Raw[[#This Row],[33 kV_Wind_F2_Import (KWh)]]+Input_Raw[[#This Row],[33 kV_Wind_F3_Import (KWh)2]]+Input_Raw[[#This Row],[33 kV_Wind_F4_Import (KWh)2]]</f>
        <v>0</v>
      </c>
      <c r="DB110" s="289" t="str">
        <f>IFERROR(#REF!/Input_Raw[[#This Row],[WTG Total Gneration (KWh)]]-1,"")</f>
        <v/>
      </c>
      <c r="DC110" s="161"/>
      <c r="DD110" s="290"/>
      <c r="DE110" s="160"/>
      <c r="DF110" s="160"/>
      <c r="DG110" s="162"/>
      <c r="DH110" s="160"/>
    </row>
    <row r="111" spans="1:112">
      <c r="A111" s="20">
        <f t="shared" si="7"/>
        <v>45851</v>
      </c>
      <c r="B111" s="12">
        <f>YEAR(Input_Raw[[#This Row],[Date]])+IF(MONTH(Input_Raw[[#This Row],[Date]])&gt;=4,1,0)</f>
        <v>2026</v>
      </c>
      <c r="C111" s="13">
        <f>YEAR(Input_Raw[[#This Row],[Date]])</f>
        <v>2025</v>
      </c>
      <c r="D111" s="14">
        <f t="shared" si="8"/>
        <v>45839</v>
      </c>
      <c r="E111" s="13">
        <f>DAY(EOMONTH(Input_Raw[[#This Row],[Date]],0))</f>
        <v>31</v>
      </c>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7">
        <f>SUM(Input_Raw[[#This Row],[G01]:[G40]])</f>
        <v>0</v>
      </c>
      <c r="CG111" s="18" t="str">
        <f>IFERROR(AVERAGE(Input_Raw[[#This Row],[WS_G01]:[WS_G40]]),"")</f>
        <v/>
      </c>
      <c r="CH111" s="19"/>
      <c r="CI111" s="19"/>
      <c r="CJ111" s="15"/>
      <c r="CK111" s="15"/>
      <c r="CL111" s="15"/>
      <c r="CM111" s="15"/>
      <c r="CN111" s="15"/>
      <c r="CO111" s="15"/>
      <c r="CP111" s="15"/>
      <c r="CQ111" s="15"/>
      <c r="CR111" s="288">
        <f>(Input_Raw[[#This Row],[33 kV_Wind_F1_Export reading]]-CJ110)*1200</f>
        <v>0</v>
      </c>
      <c r="CS111" s="288"/>
      <c r="CT111" s="288"/>
      <c r="CU111" s="288"/>
      <c r="CV111" s="288"/>
      <c r="CW111" s="288"/>
      <c r="CX111" s="288"/>
      <c r="CY111" s="288"/>
      <c r="CZ111" s="288">
        <f>Input_Raw[[#This Row],[33 kV_F1_Total_Export (KWh)]]+Input_Raw[[#This Row],[33 kV_F2_Total_Export (KWh)2]]+Input_Raw[[#This Row],[33 kV_Wind_F3_Export (KWh)]]+Input_Raw[[#This Row],[33 kV_Wind_F4_Export (KWh)]]</f>
        <v>0</v>
      </c>
      <c r="DA111" s="288">
        <f>Input_Raw[[#This Row],[33 kV_Wind_F1_Import (KWh)]]+Input_Raw[[#This Row],[33 kV_Wind_F2_Import (KWh)]]+Input_Raw[[#This Row],[33 kV_Wind_F3_Import (KWh)2]]+Input_Raw[[#This Row],[33 kV_Wind_F4_Import (KWh)2]]</f>
        <v>0</v>
      </c>
      <c r="DB111" s="289" t="str">
        <f>IFERROR(#REF!/Input_Raw[[#This Row],[WTG Total Gneration (KWh)]]-1,"")</f>
        <v/>
      </c>
      <c r="DC111" s="161"/>
      <c r="DD111" s="290"/>
      <c r="DE111" s="160"/>
      <c r="DF111" s="160"/>
      <c r="DG111" s="162"/>
      <c r="DH111" s="160"/>
    </row>
    <row r="112" spans="1:112">
      <c r="A112" s="20">
        <f t="shared" si="7"/>
        <v>45852</v>
      </c>
      <c r="B112" s="12">
        <f>YEAR(Input_Raw[[#This Row],[Date]])+IF(MONTH(Input_Raw[[#This Row],[Date]])&gt;=4,1,0)</f>
        <v>2026</v>
      </c>
      <c r="C112" s="13">
        <f>YEAR(Input_Raw[[#This Row],[Date]])</f>
        <v>2025</v>
      </c>
      <c r="D112" s="14">
        <f t="shared" si="8"/>
        <v>45839</v>
      </c>
      <c r="E112" s="13">
        <f>DAY(EOMONTH(Input_Raw[[#This Row],[Date]],0))</f>
        <v>31</v>
      </c>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7">
        <f>SUM(Input_Raw[[#This Row],[G01]:[G40]])</f>
        <v>0</v>
      </c>
      <c r="CG112" s="18" t="str">
        <f>IFERROR(AVERAGE(Input_Raw[[#This Row],[WS_G01]:[WS_G40]]),"")</f>
        <v/>
      </c>
      <c r="CH112" s="19"/>
      <c r="CI112" s="19"/>
      <c r="CJ112" s="15"/>
      <c r="CK112" s="15"/>
      <c r="CL112" s="15"/>
      <c r="CM112" s="15"/>
      <c r="CN112" s="15"/>
      <c r="CO112" s="15"/>
      <c r="CP112" s="15"/>
      <c r="CQ112" s="15"/>
      <c r="CR112" s="288">
        <f>(Input_Raw[[#This Row],[33 kV_Wind_F1_Export reading]]-CJ111)*1200</f>
        <v>0</v>
      </c>
      <c r="CS112" s="288"/>
      <c r="CT112" s="288"/>
      <c r="CU112" s="288"/>
      <c r="CV112" s="288"/>
      <c r="CW112" s="288"/>
      <c r="CX112" s="288"/>
      <c r="CY112" s="288"/>
      <c r="CZ112" s="288">
        <f>Input_Raw[[#This Row],[33 kV_F1_Total_Export (KWh)]]+Input_Raw[[#This Row],[33 kV_F2_Total_Export (KWh)2]]+Input_Raw[[#This Row],[33 kV_Wind_F3_Export (KWh)]]+Input_Raw[[#This Row],[33 kV_Wind_F4_Export (KWh)]]</f>
        <v>0</v>
      </c>
      <c r="DA112" s="288">
        <f>Input_Raw[[#This Row],[33 kV_Wind_F1_Import (KWh)]]+Input_Raw[[#This Row],[33 kV_Wind_F2_Import (KWh)]]+Input_Raw[[#This Row],[33 kV_Wind_F3_Import (KWh)2]]+Input_Raw[[#This Row],[33 kV_Wind_F4_Import (KWh)2]]</f>
        <v>0</v>
      </c>
      <c r="DB112" s="289" t="str">
        <f>IFERROR(#REF!/Input_Raw[[#This Row],[WTG Total Gneration (KWh)]]-1,"")</f>
        <v/>
      </c>
      <c r="DC112" s="161"/>
      <c r="DD112" s="290"/>
      <c r="DE112" s="160"/>
      <c r="DF112" s="160"/>
      <c r="DG112" s="162"/>
      <c r="DH112" s="160"/>
    </row>
    <row r="113" spans="1:112">
      <c r="A113" s="20">
        <f t="shared" si="7"/>
        <v>45853</v>
      </c>
      <c r="B113" s="12">
        <f>YEAR(Input_Raw[[#This Row],[Date]])+IF(MONTH(Input_Raw[[#This Row],[Date]])&gt;=4,1,0)</f>
        <v>2026</v>
      </c>
      <c r="C113" s="13">
        <f>YEAR(Input_Raw[[#This Row],[Date]])</f>
        <v>2025</v>
      </c>
      <c r="D113" s="14">
        <f t="shared" si="8"/>
        <v>45839</v>
      </c>
      <c r="E113" s="13">
        <f>DAY(EOMONTH(Input_Raw[[#This Row],[Date]],0))</f>
        <v>31</v>
      </c>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7">
        <f>SUM(Input_Raw[[#This Row],[G01]:[G40]])</f>
        <v>0</v>
      </c>
      <c r="CG113" s="18" t="str">
        <f>IFERROR(AVERAGE(Input_Raw[[#This Row],[WS_G01]:[WS_G40]]),"")</f>
        <v/>
      </c>
      <c r="CH113" s="19"/>
      <c r="CI113" s="19"/>
      <c r="CJ113" s="15"/>
      <c r="CK113" s="15"/>
      <c r="CL113" s="15"/>
      <c r="CM113" s="15"/>
      <c r="CN113" s="15"/>
      <c r="CO113" s="15"/>
      <c r="CP113" s="15"/>
      <c r="CQ113" s="15"/>
      <c r="CR113" s="288">
        <f>(Input_Raw[[#This Row],[33 kV_Wind_F1_Export reading]]-CJ112)*1200</f>
        <v>0</v>
      </c>
      <c r="CS113" s="288"/>
      <c r="CT113" s="288"/>
      <c r="CU113" s="288"/>
      <c r="CV113" s="288"/>
      <c r="CW113" s="288"/>
      <c r="CX113" s="288"/>
      <c r="CY113" s="288"/>
      <c r="CZ113" s="288">
        <f>Input_Raw[[#This Row],[33 kV_F1_Total_Export (KWh)]]+Input_Raw[[#This Row],[33 kV_F2_Total_Export (KWh)2]]+Input_Raw[[#This Row],[33 kV_Wind_F3_Export (KWh)]]+Input_Raw[[#This Row],[33 kV_Wind_F4_Export (KWh)]]</f>
        <v>0</v>
      </c>
      <c r="DA113" s="288">
        <f>Input_Raw[[#This Row],[33 kV_Wind_F1_Import (KWh)]]+Input_Raw[[#This Row],[33 kV_Wind_F2_Import (KWh)]]+Input_Raw[[#This Row],[33 kV_Wind_F3_Import (KWh)2]]+Input_Raw[[#This Row],[33 kV_Wind_F4_Import (KWh)2]]</f>
        <v>0</v>
      </c>
      <c r="DB113" s="289" t="str">
        <f>IFERROR(#REF!/Input_Raw[[#This Row],[WTG Total Gneration (KWh)]]-1,"")</f>
        <v/>
      </c>
      <c r="DC113" s="161"/>
      <c r="DD113" s="290"/>
      <c r="DE113" s="160"/>
      <c r="DF113" s="160"/>
      <c r="DG113" s="162"/>
      <c r="DH113" s="160"/>
    </row>
    <row r="114" spans="1:112">
      <c r="A114" s="20">
        <f t="shared" si="7"/>
        <v>45854</v>
      </c>
      <c r="B114" s="12">
        <f>YEAR(Input_Raw[[#This Row],[Date]])+IF(MONTH(Input_Raw[[#This Row],[Date]])&gt;=4,1,0)</f>
        <v>2026</v>
      </c>
      <c r="C114" s="13">
        <f>YEAR(Input_Raw[[#This Row],[Date]])</f>
        <v>2025</v>
      </c>
      <c r="D114" s="14">
        <f t="shared" si="8"/>
        <v>45839</v>
      </c>
      <c r="E114" s="13">
        <f>DAY(EOMONTH(Input_Raw[[#This Row],[Date]],0))</f>
        <v>31</v>
      </c>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7">
        <f>SUM(Input_Raw[[#This Row],[G01]:[G40]])</f>
        <v>0</v>
      </c>
      <c r="CG114" s="18" t="str">
        <f>IFERROR(AVERAGE(Input_Raw[[#This Row],[WS_G01]:[WS_G40]]),"")</f>
        <v/>
      </c>
      <c r="CH114" s="19"/>
      <c r="CI114" s="19"/>
      <c r="CJ114" s="15"/>
      <c r="CK114" s="15"/>
      <c r="CL114" s="15"/>
      <c r="CM114" s="15"/>
      <c r="CN114" s="15"/>
      <c r="CO114" s="15"/>
      <c r="CP114" s="15"/>
      <c r="CQ114" s="15"/>
      <c r="CR114" s="288">
        <f>(Input_Raw[[#This Row],[33 kV_Wind_F1_Export reading]]-CJ113)*1200</f>
        <v>0</v>
      </c>
      <c r="CS114" s="288"/>
      <c r="CT114" s="288"/>
      <c r="CU114" s="288"/>
      <c r="CV114" s="288"/>
      <c r="CW114" s="288"/>
      <c r="CX114" s="288"/>
      <c r="CY114" s="288"/>
      <c r="CZ114" s="288">
        <f>Input_Raw[[#This Row],[33 kV_F1_Total_Export (KWh)]]+Input_Raw[[#This Row],[33 kV_F2_Total_Export (KWh)2]]+Input_Raw[[#This Row],[33 kV_Wind_F3_Export (KWh)]]+Input_Raw[[#This Row],[33 kV_Wind_F4_Export (KWh)]]</f>
        <v>0</v>
      </c>
      <c r="DA114" s="288">
        <f>Input_Raw[[#This Row],[33 kV_Wind_F1_Import (KWh)]]+Input_Raw[[#This Row],[33 kV_Wind_F2_Import (KWh)]]+Input_Raw[[#This Row],[33 kV_Wind_F3_Import (KWh)2]]+Input_Raw[[#This Row],[33 kV_Wind_F4_Import (KWh)2]]</f>
        <v>0</v>
      </c>
      <c r="DB114" s="289" t="str">
        <f>IFERROR(#REF!/Input_Raw[[#This Row],[WTG Total Gneration (KWh)]]-1,"")</f>
        <v/>
      </c>
      <c r="DC114" s="161"/>
      <c r="DD114" s="290"/>
      <c r="DE114" s="160"/>
      <c r="DF114" s="160"/>
      <c r="DG114" s="162"/>
      <c r="DH114" s="160"/>
    </row>
    <row r="115" spans="1:112">
      <c r="A115" s="20">
        <f t="shared" si="7"/>
        <v>45855</v>
      </c>
      <c r="B115" s="12">
        <f>YEAR(Input_Raw[[#This Row],[Date]])+IF(MONTH(Input_Raw[[#This Row],[Date]])&gt;=4,1,0)</f>
        <v>2026</v>
      </c>
      <c r="C115" s="13">
        <f>YEAR(Input_Raw[[#This Row],[Date]])</f>
        <v>2025</v>
      </c>
      <c r="D115" s="14">
        <f t="shared" si="8"/>
        <v>45839</v>
      </c>
      <c r="E115" s="13">
        <f>DAY(EOMONTH(Input_Raw[[#This Row],[Date]],0))</f>
        <v>31</v>
      </c>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7">
        <f>SUM(Input_Raw[[#This Row],[G01]:[G40]])</f>
        <v>0</v>
      </c>
      <c r="CG115" s="18" t="str">
        <f>IFERROR(AVERAGE(Input_Raw[[#This Row],[WS_G01]:[WS_G40]]),"")</f>
        <v/>
      </c>
      <c r="CH115" s="19"/>
      <c r="CI115" s="19"/>
      <c r="CJ115" s="15"/>
      <c r="CK115" s="15"/>
      <c r="CL115" s="15"/>
      <c r="CM115" s="15"/>
      <c r="CN115" s="15"/>
      <c r="CO115" s="15"/>
      <c r="CP115" s="15"/>
      <c r="CQ115" s="15"/>
      <c r="CR115" s="288">
        <f>(Input_Raw[[#This Row],[33 kV_Wind_F1_Export reading]]-CJ114)*1200</f>
        <v>0</v>
      </c>
      <c r="CS115" s="288"/>
      <c r="CT115" s="288"/>
      <c r="CU115" s="288"/>
      <c r="CV115" s="288"/>
      <c r="CW115" s="288"/>
      <c r="CX115" s="288"/>
      <c r="CY115" s="288"/>
      <c r="CZ115" s="288">
        <f>Input_Raw[[#This Row],[33 kV_F1_Total_Export (KWh)]]+Input_Raw[[#This Row],[33 kV_F2_Total_Export (KWh)2]]+Input_Raw[[#This Row],[33 kV_Wind_F3_Export (KWh)]]+Input_Raw[[#This Row],[33 kV_Wind_F4_Export (KWh)]]</f>
        <v>0</v>
      </c>
      <c r="DA115" s="288">
        <f>Input_Raw[[#This Row],[33 kV_Wind_F1_Import (KWh)]]+Input_Raw[[#This Row],[33 kV_Wind_F2_Import (KWh)]]+Input_Raw[[#This Row],[33 kV_Wind_F3_Import (KWh)2]]+Input_Raw[[#This Row],[33 kV_Wind_F4_Import (KWh)2]]</f>
        <v>0</v>
      </c>
      <c r="DB115" s="289" t="str">
        <f>IFERROR(#REF!/Input_Raw[[#This Row],[WTG Total Gneration (KWh)]]-1,"")</f>
        <v/>
      </c>
      <c r="DC115" s="161"/>
      <c r="DD115" s="290"/>
      <c r="DE115" s="160"/>
      <c r="DF115" s="160"/>
      <c r="DG115" s="162"/>
      <c r="DH115" s="160"/>
    </row>
    <row r="116" spans="1:112">
      <c r="A116" s="20">
        <f t="shared" si="7"/>
        <v>45856</v>
      </c>
      <c r="B116" s="12">
        <f>YEAR(Input_Raw[[#This Row],[Date]])+IF(MONTH(Input_Raw[[#This Row],[Date]])&gt;=4,1,0)</f>
        <v>2026</v>
      </c>
      <c r="C116" s="13">
        <f>YEAR(Input_Raw[[#This Row],[Date]])</f>
        <v>2025</v>
      </c>
      <c r="D116" s="14">
        <f t="shared" si="8"/>
        <v>45839</v>
      </c>
      <c r="E116" s="13">
        <f>DAY(EOMONTH(Input_Raw[[#This Row],[Date]],0))</f>
        <v>31</v>
      </c>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7">
        <f>SUM(Input_Raw[[#This Row],[G01]:[G40]])</f>
        <v>0</v>
      </c>
      <c r="CG116" s="18" t="str">
        <f>IFERROR(AVERAGE(Input_Raw[[#This Row],[WS_G01]:[WS_G40]]),"")</f>
        <v/>
      </c>
      <c r="CH116" s="19"/>
      <c r="CI116" s="19"/>
      <c r="CJ116" s="15"/>
      <c r="CK116" s="15"/>
      <c r="CL116" s="15"/>
      <c r="CM116" s="15"/>
      <c r="CN116" s="15"/>
      <c r="CO116" s="15"/>
      <c r="CP116" s="15"/>
      <c r="CQ116" s="15"/>
      <c r="CR116" s="288">
        <f>(Input_Raw[[#This Row],[33 kV_Wind_F1_Export reading]]-CJ115)*1200</f>
        <v>0</v>
      </c>
      <c r="CS116" s="288"/>
      <c r="CT116" s="288"/>
      <c r="CU116" s="288"/>
      <c r="CV116" s="288"/>
      <c r="CW116" s="288"/>
      <c r="CX116" s="288"/>
      <c r="CY116" s="288"/>
      <c r="CZ116" s="288">
        <f>Input_Raw[[#This Row],[33 kV_F1_Total_Export (KWh)]]+Input_Raw[[#This Row],[33 kV_F2_Total_Export (KWh)2]]+Input_Raw[[#This Row],[33 kV_Wind_F3_Export (KWh)]]+Input_Raw[[#This Row],[33 kV_Wind_F4_Export (KWh)]]</f>
        <v>0</v>
      </c>
      <c r="DA116" s="288">
        <f>Input_Raw[[#This Row],[33 kV_Wind_F1_Import (KWh)]]+Input_Raw[[#This Row],[33 kV_Wind_F2_Import (KWh)]]+Input_Raw[[#This Row],[33 kV_Wind_F3_Import (KWh)2]]+Input_Raw[[#This Row],[33 kV_Wind_F4_Import (KWh)2]]</f>
        <v>0</v>
      </c>
      <c r="DB116" s="289" t="str">
        <f>IFERROR(#REF!/Input_Raw[[#This Row],[WTG Total Gneration (KWh)]]-1,"")</f>
        <v/>
      </c>
      <c r="DC116" s="161"/>
      <c r="DD116" s="290"/>
      <c r="DE116" s="160"/>
      <c r="DF116" s="160"/>
      <c r="DG116" s="162"/>
      <c r="DH116" s="160"/>
    </row>
    <row r="117" spans="1:112">
      <c r="A117" s="20">
        <f t="shared" si="7"/>
        <v>45857</v>
      </c>
      <c r="B117" s="12">
        <f>YEAR(Input_Raw[[#This Row],[Date]])+IF(MONTH(Input_Raw[[#This Row],[Date]])&gt;=4,1,0)</f>
        <v>2026</v>
      </c>
      <c r="C117" s="13">
        <f>YEAR(Input_Raw[[#This Row],[Date]])</f>
        <v>2025</v>
      </c>
      <c r="D117" s="14">
        <f t="shared" si="8"/>
        <v>45839</v>
      </c>
      <c r="E117" s="13">
        <f>DAY(EOMONTH(Input_Raw[[#This Row],[Date]],0))</f>
        <v>31</v>
      </c>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7">
        <f>SUM(Input_Raw[[#This Row],[G01]:[G40]])</f>
        <v>0</v>
      </c>
      <c r="CG117" s="18" t="str">
        <f>IFERROR(AVERAGE(Input_Raw[[#This Row],[WS_G01]:[WS_G40]]),"")</f>
        <v/>
      </c>
      <c r="CH117" s="19"/>
      <c r="CI117" s="19"/>
      <c r="CJ117" s="15"/>
      <c r="CK117" s="15"/>
      <c r="CL117" s="15"/>
      <c r="CM117" s="15"/>
      <c r="CN117" s="15"/>
      <c r="CO117" s="15"/>
      <c r="CP117" s="15"/>
      <c r="CQ117" s="15"/>
      <c r="CR117" s="288">
        <f>(Input_Raw[[#This Row],[33 kV_Wind_F1_Export reading]]-CJ116)*1200</f>
        <v>0</v>
      </c>
      <c r="CS117" s="288"/>
      <c r="CT117" s="288"/>
      <c r="CU117" s="288"/>
      <c r="CV117" s="288"/>
      <c r="CW117" s="288"/>
      <c r="CX117" s="288"/>
      <c r="CY117" s="288"/>
      <c r="CZ117" s="288">
        <f>Input_Raw[[#This Row],[33 kV_F1_Total_Export (KWh)]]+Input_Raw[[#This Row],[33 kV_F2_Total_Export (KWh)2]]+Input_Raw[[#This Row],[33 kV_Wind_F3_Export (KWh)]]+Input_Raw[[#This Row],[33 kV_Wind_F4_Export (KWh)]]</f>
        <v>0</v>
      </c>
      <c r="DA117" s="288">
        <f>Input_Raw[[#This Row],[33 kV_Wind_F1_Import (KWh)]]+Input_Raw[[#This Row],[33 kV_Wind_F2_Import (KWh)]]+Input_Raw[[#This Row],[33 kV_Wind_F3_Import (KWh)2]]+Input_Raw[[#This Row],[33 kV_Wind_F4_Import (KWh)2]]</f>
        <v>0</v>
      </c>
      <c r="DB117" s="289" t="str">
        <f>IFERROR(#REF!/Input_Raw[[#This Row],[WTG Total Gneration (KWh)]]-1,"")</f>
        <v/>
      </c>
      <c r="DC117" s="161"/>
      <c r="DD117" s="290"/>
      <c r="DE117" s="160"/>
      <c r="DF117" s="160"/>
      <c r="DG117" s="162"/>
      <c r="DH117" s="160"/>
    </row>
    <row r="118" spans="1:112">
      <c r="A118" s="20">
        <f t="shared" si="7"/>
        <v>45858</v>
      </c>
      <c r="B118" s="12">
        <f>YEAR(Input_Raw[[#This Row],[Date]])+IF(MONTH(Input_Raw[[#This Row],[Date]])&gt;=4,1,0)</f>
        <v>2026</v>
      </c>
      <c r="C118" s="13">
        <f>YEAR(Input_Raw[[#This Row],[Date]])</f>
        <v>2025</v>
      </c>
      <c r="D118" s="14">
        <f t="shared" si="8"/>
        <v>45839</v>
      </c>
      <c r="E118" s="13">
        <f>DAY(EOMONTH(Input_Raw[[#This Row],[Date]],0))</f>
        <v>31</v>
      </c>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7">
        <f>SUM(Input_Raw[[#This Row],[G01]:[G40]])</f>
        <v>0</v>
      </c>
      <c r="CG118" s="18" t="str">
        <f>IFERROR(AVERAGE(Input_Raw[[#This Row],[WS_G01]:[WS_G40]]),"")</f>
        <v/>
      </c>
      <c r="CH118" s="19"/>
      <c r="CI118" s="19"/>
      <c r="CJ118" s="15"/>
      <c r="CK118" s="15"/>
      <c r="CL118" s="15"/>
      <c r="CM118" s="15"/>
      <c r="CN118" s="15"/>
      <c r="CO118" s="15"/>
      <c r="CP118" s="15"/>
      <c r="CQ118" s="15"/>
      <c r="CR118" s="288">
        <f>(Input_Raw[[#This Row],[33 kV_Wind_F1_Export reading]]-CJ117)*1200</f>
        <v>0</v>
      </c>
      <c r="CS118" s="288"/>
      <c r="CT118" s="288"/>
      <c r="CU118" s="288"/>
      <c r="CV118" s="288"/>
      <c r="CW118" s="288"/>
      <c r="CX118" s="288"/>
      <c r="CY118" s="288"/>
      <c r="CZ118" s="288">
        <f>Input_Raw[[#This Row],[33 kV_F1_Total_Export (KWh)]]+Input_Raw[[#This Row],[33 kV_F2_Total_Export (KWh)2]]+Input_Raw[[#This Row],[33 kV_Wind_F3_Export (KWh)]]+Input_Raw[[#This Row],[33 kV_Wind_F4_Export (KWh)]]</f>
        <v>0</v>
      </c>
      <c r="DA118" s="288">
        <f>Input_Raw[[#This Row],[33 kV_Wind_F1_Import (KWh)]]+Input_Raw[[#This Row],[33 kV_Wind_F2_Import (KWh)]]+Input_Raw[[#This Row],[33 kV_Wind_F3_Import (KWh)2]]+Input_Raw[[#This Row],[33 kV_Wind_F4_Import (KWh)2]]</f>
        <v>0</v>
      </c>
      <c r="DB118" s="289" t="str">
        <f>IFERROR(#REF!/Input_Raw[[#This Row],[WTG Total Gneration (KWh)]]-1,"")</f>
        <v/>
      </c>
      <c r="DC118" s="161"/>
      <c r="DD118" s="290"/>
      <c r="DE118" s="160"/>
      <c r="DF118" s="160"/>
      <c r="DG118" s="162"/>
      <c r="DH118" s="160"/>
    </row>
    <row r="119" spans="1:112">
      <c r="A119" s="20">
        <f t="shared" si="7"/>
        <v>45859</v>
      </c>
      <c r="B119" s="12">
        <f>YEAR(Input_Raw[[#This Row],[Date]])+IF(MONTH(Input_Raw[[#This Row],[Date]])&gt;=4,1,0)</f>
        <v>2026</v>
      </c>
      <c r="C119" s="13">
        <f>YEAR(Input_Raw[[#This Row],[Date]])</f>
        <v>2025</v>
      </c>
      <c r="D119" s="14">
        <f t="shared" si="8"/>
        <v>45839</v>
      </c>
      <c r="E119" s="13">
        <f>DAY(EOMONTH(Input_Raw[[#This Row],[Date]],0))</f>
        <v>31</v>
      </c>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7">
        <f>SUM(Input_Raw[[#This Row],[G01]:[G40]])</f>
        <v>0</v>
      </c>
      <c r="CG119" s="18" t="str">
        <f>IFERROR(AVERAGE(Input_Raw[[#This Row],[WS_G01]:[WS_G40]]),"")</f>
        <v/>
      </c>
      <c r="CH119" s="19"/>
      <c r="CI119" s="19"/>
      <c r="CJ119" s="15"/>
      <c r="CK119" s="15"/>
      <c r="CL119" s="15"/>
      <c r="CM119" s="15"/>
      <c r="CN119" s="15"/>
      <c r="CO119" s="15"/>
      <c r="CP119" s="15"/>
      <c r="CQ119" s="15"/>
      <c r="CR119" s="288">
        <f>(Input_Raw[[#This Row],[33 kV_Wind_F1_Export reading]]-CJ118)*1200</f>
        <v>0</v>
      </c>
      <c r="CS119" s="288"/>
      <c r="CT119" s="288"/>
      <c r="CU119" s="288"/>
      <c r="CV119" s="288"/>
      <c r="CW119" s="288"/>
      <c r="CX119" s="288"/>
      <c r="CY119" s="288"/>
      <c r="CZ119" s="288">
        <f>Input_Raw[[#This Row],[33 kV_F1_Total_Export (KWh)]]+Input_Raw[[#This Row],[33 kV_F2_Total_Export (KWh)2]]+Input_Raw[[#This Row],[33 kV_Wind_F3_Export (KWh)]]+Input_Raw[[#This Row],[33 kV_Wind_F4_Export (KWh)]]</f>
        <v>0</v>
      </c>
      <c r="DA119" s="288">
        <f>Input_Raw[[#This Row],[33 kV_Wind_F1_Import (KWh)]]+Input_Raw[[#This Row],[33 kV_Wind_F2_Import (KWh)]]+Input_Raw[[#This Row],[33 kV_Wind_F3_Import (KWh)2]]+Input_Raw[[#This Row],[33 kV_Wind_F4_Import (KWh)2]]</f>
        <v>0</v>
      </c>
      <c r="DB119" s="289" t="str">
        <f>IFERROR(#REF!/Input_Raw[[#This Row],[WTG Total Gneration (KWh)]]-1,"")</f>
        <v/>
      </c>
      <c r="DC119" s="161"/>
      <c r="DD119" s="290"/>
      <c r="DE119" s="160"/>
      <c r="DF119" s="160"/>
      <c r="DG119" s="162"/>
      <c r="DH119" s="160"/>
    </row>
    <row r="120" spans="1:112">
      <c r="A120" s="20">
        <f t="shared" si="7"/>
        <v>45860</v>
      </c>
      <c r="B120" s="12">
        <f>YEAR(Input_Raw[[#This Row],[Date]])+IF(MONTH(Input_Raw[[#This Row],[Date]])&gt;=4,1,0)</f>
        <v>2026</v>
      </c>
      <c r="C120" s="13">
        <f>YEAR(Input_Raw[[#This Row],[Date]])</f>
        <v>2025</v>
      </c>
      <c r="D120" s="14">
        <f t="shared" si="8"/>
        <v>45839</v>
      </c>
      <c r="E120" s="13">
        <f>DAY(EOMONTH(Input_Raw[[#This Row],[Date]],0))</f>
        <v>31</v>
      </c>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7">
        <f>SUM(Input_Raw[[#This Row],[G01]:[G40]])</f>
        <v>0</v>
      </c>
      <c r="CG120" s="18" t="str">
        <f>IFERROR(AVERAGE(Input_Raw[[#This Row],[WS_G01]:[WS_G40]]),"")</f>
        <v/>
      </c>
      <c r="CH120" s="19"/>
      <c r="CI120" s="19"/>
      <c r="CJ120" s="15"/>
      <c r="CK120" s="15"/>
      <c r="CL120" s="15"/>
      <c r="CM120" s="15"/>
      <c r="CN120" s="15"/>
      <c r="CO120" s="15"/>
      <c r="CP120" s="15"/>
      <c r="CQ120" s="15"/>
      <c r="CR120" s="288">
        <f>(Input_Raw[[#This Row],[33 kV_Wind_F1_Export reading]]-CJ119)*1200</f>
        <v>0</v>
      </c>
      <c r="CS120" s="288"/>
      <c r="CT120" s="288"/>
      <c r="CU120" s="288"/>
      <c r="CV120" s="288"/>
      <c r="CW120" s="288"/>
      <c r="CX120" s="288"/>
      <c r="CY120" s="288"/>
      <c r="CZ120" s="288">
        <f>Input_Raw[[#This Row],[33 kV_F1_Total_Export (KWh)]]+Input_Raw[[#This Row],[33 kV_F2_Total_Export (KWh)2]]+Input_Raw[[#This Row],[33 kV_Wind_F3_Export (KWh)]]+Input_Raw[[#This Row],[33 kV_Wind_F4_Export (KWh)]]</f>
        <v>0</v>
      </c>
      <c r="DA120" s="288">
        <f>Input_Raw[[#This Row],[33 kV_Wind_F1_Import (KWh)]]+Input_Raw[[#This Row],[33 kV_Wind_F2_Import (KWh)]]+Input_Raw[[#This Row],[33 kV_Wind_F3_Import (KWh)2]]+Input_Raw[[#This Row],[33 kV_Wind_F4_Import (KWh)2]]</f>
        <v>0</v>
      </c>
      <c r="DB120" s="289" t="str">
        <f>IFERROR(#REF!/Input_Raw[[#This Row],[WTG Total Gneration (KWh)]]-1,"")</f>
        <v/>
      </c>
      <c r="DC120" s="161"/>
      <c r="DD120" s="290"/>
      <c r="DE120" s="160"/>
      <c r="DF120" s="160"/>
      <c r="DG120" s="162"/>
      <c r="DH120" s="160"/>
    </row>
    <row r="121" spans="1:112">
      <c r="A121" s="20">
        <f t="shared" si="7"/>
        <v>45861</v>
      </c>
      <c r="B121" s="12">
        <f>YEAR(Input_Raw[[#This Row],[Date]])+IF(MONTH(Input_Raw[[#This Row],[Date]])&gt;=4,1,0)</f>
        <v>2026</v>
      </c>
      <c r="C121" s="13">
        <f>YEAR(Input_Raw[[#This Row],[Date]])</f>
        <v>2025</v>
      </c>
      <c r="D121" s="14">
        <f t="shared" si="8"/>
        <v>45839</v>
      </c>
      <c r="E121" s="13">
        <f>DAY(EOMONTH(Input_Raw[[#This Row],[Date]],0))</f>
        <v>31</v>
      </c>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7">
        <f>SUM(Input_Raw[[#This Row],[G01]:[G40]])</f>
        <v>0</v>
      </c>
      <c r="CG121" s="18" t="str">
        <f>IFERROR(AVERAGE(Input_Raw[[#This Row],[WS_G01]:[WS_G40]]),"")</f>
        <v/>
      </c>
      <c r="CH121" s="19"/>
      <c r="CI121" s="19"/>
      <c r="CJ121" s="15"/>
      <c r="CK121" s="15"/>
      <c r="CL121" s="15"/>
      <c r="CM121" s="15"/>
      <c r="CN121" s="15"/>
      <c r="CO121" s="15"/>
      <c r="CP121" s="15"/>
      <c r="CQ121" s="15"/>
      <c r="CR121" s="288">
        <f>(Input_Raw[[#This Row],[33 kV_Wind_F1_Export reading]]-CJ120)*1200</f>
        <v>0</v>
      </c>
      <c r="CS121" s="288"/>
      <c r="CT121" s="288"/>
      <c r="CU121" s="288"/>
      <c r="CV121" s="288"/>
      <c r="CW121" s="288"/>
      <c r="CX121" s="288"/>
      <c r="CY121" s="288"/>
      <c r="CZ121" s="288">
        <f>Input_Raw[[#This Row],[33 kV_F1_Total_Export (KWh)]]+Input_Raw[[#This Row],[33 kV_F2_Total_Export (KWh)2]]+Input_Raw[[#This Row],[33 kV_Wind_F3_Export (KWh)]]+Input_Raw[[#This Row],[33 kV_Wind_F4_Export (KWh)]]</f>
        <v>0</v>
      </c>
      <c r="DA121" s="288">
        <f>Input_Raw[[#This Row],[33 kV_Wind_F1_Import (KWh)]]+Input_Raw[[#This Row],[33 kV_Wind_F2_Import (KWh)]]+Input_Raw[[#This Row],[33 kV_Wind_F3_Import (KWh)2]]+Input_Raw[[#This Row],[33 kV_Wind_F4_Import (KWh)2]]</f>
        <v>0</v>
      </c>
      <c r="DB121" s="289" t="str">
        <f>IFERROR(#REF!/Input_Raw[[#This Row],[WTG Total Gneration (KWh)]]-1,"")</f>
        <v/>
      </c>
      <c r="DC121" s="161"/>
      <c r="DD121" s="290"/>
      <c r="DE121" s="160"/>
      <c r="DF121" s="160"/>
      <c r="DG121" s="162"/>
      <c r="DH121" s="160"/>
    </row>
    <row r="122" spans="1:112">
      <c r="A122" s="20">
        <f t="shared" si="7"/>
        <v>45862</v>
      </c>
      <c r="B122" s="12">
        <f>YEAR(Input_Raw[[#This Row],[Date]])+IF(MONTH(Input_Raw[[#This Row],[Date]])&gt;=4,1,0)</f>
        <v>2026</v>
      </c>
      <c r="C122" s="13">
        <f>YEAR(Input_Raw[[#This Row],[Date]])</f>
        <v>2025</v>
      </c>
      <c r="D122" s="14">
        <f t="shared" si="8"/>
        <v>45839</v>
      </c>
      <c r="E122" s="13">
        <f>DAY(EOMONTH(Input_Raw[[#This Row],[Date]],0))</f>
        <v>31</v>
      </c>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7">
        <f>SUM(Input_Raw[[#This Row],[G01]:[G40]])</f>
        <v>0</v>
      </c>
      <c r="CG122" s="18" t="str">
        <f>IFERROR(AVERAGE(Input_Raw[[#This Row],[WS_G01]:[WS_G40]]),"")</f>
        <v/>
      </c>
      <c r="CH122" s="19"/>
      <c r="CI122" s="19"/>
      <c r="CJ122" s="15"/>
      <c r="CK122" s="15"/>
      <c r="CL122" s="15"/>
      <c r="CM122" s="15"/>
      <c r="CN122" s="15"/>
      <c r="CO122" s="15"/>
      <c r="CP122" s="15"/>
      <c r="CQ122" s="15"/>
      <c r="CR122" s="288">
        <f>(Input_Raw[[#This Row],[33 kV_Wind_F1_Export reading]]-CJ121)*1200</f>
        <v>0</v>
      </c>
      <c r="CS122" s="288"/>
      <c r="CT122" s="288"/>
      <c r="CU122" s="288"/>
      <c r="CV122" s="288"/>
      <c r="CW122" s="288"/>
      <c r="CX122" s="288"/>
      <c r="CY122" s="288"/>
      <c r="CZ122" s="288">
        <f>Input_Raw[[#This Row],[33 kV_F1_Total_Export (KWh)]]+Input_Raw[[#This Row],[33 kV_F2_Total_Export (KWh)2]]+Input_Raw[[#This Row],[33 kV_Wind_F3_Export (KWh)]]+Input_Raw[[#This Row],[33 kV_Wind_F4_Export (KWh)]]</f>
        <v>0</v>
      </c>
      <c r="DA122" s="288">
        <f>Input_Raw[[#This Row],[33 kV_Wind_F1_Import (KWh)]]+Input_Raw[[#This Row],[33 kV_Wind_F2_Import (KWh)]]+Input_Raw[[#This Row],[33 kV_Wind_F3_Import (KWh)2]]+Input_Raw[[#This Row],[33 kV_Wind_F4_Import (KWh)2]]</f>
        <v>0</v>
      </c>
      <c r="DB122" s="289" t="str">
        <f>IFERROR(#REF!/Input_Raw[[#This Row],[WTG Total Gneration (KWh)]]-1,"")</f>
        <v/>
      </c>
      <c r="DC122" s="161"/>
      <c r="DD122" s="290"/>
      <c r="DE122" s="160"/>
      <c r="DF122" s="160"/>
      <c r="DG122" s="162"/>
      <c r="DH122" s="160"/>
    </row>
    <row r="123" spans="1:112">
      <c r="A123" s="20">
        <f t="shared" si="7"/>
        <v>45863</v>
      </c>
      <c r="B123" s="12">
        <f>YEAR(Input_Raw[[#This Row],[Date]])+IF(MONTH(Input_Raw[[#This Row],[Date]])&gt;=4,1,0)</f>
        <v>2026</v>
      </c>
      <c r="C123" s="13">
        <f>YEAR(Input_Raw[[#This Row],[Date]])</f>
        <v>2025</v>
      </c>
      <c r="D123" s="14">
        <f t="shared" si="8"/>
        <v>45839</v>
      </c>
      <c r="E123" s="13">
        <f>DAY(EOMONTH(Input_Raw[[#This Row],[Date]],0))</f>
        <v>31</v>
      </c>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7">
        <f>SUM(Input_Raw[[#This Row],[G01]:[G40]])</f>
        <v>0</v>
      </c>
      <c r="CG123" s="18" t="str">
        <f>IFERROR(AVERAGE(Input_Raw[[#This Row],[WS_G01]:[WS_G40]]),"")</f>
        <v/>
      </c>
      <c r="CH123" s="19"/>
      <c r="CI123" s="19"/>
      <c r="CJ123" s="15"/>
      <c r="CK123" s="15"/>
      <c r="CL123" s="15"/>
      <c r="CM123" s="15"/>
      <c r="CN123" s="15"/>
      <c r="CO123" s="15"/>
      <c r="CP123" s="15"/>
      <c r="CQ123" s="15"/>
      <c r="CR123" s="288">
        <f>(Input_Raw[[#This Row],[33 kV_Wind_F1_Export reading]]-CJ122)*1200</f>
        <v>0</v>
      </c>
      <c r="CS123" s="288"/>
      <c r="CT123" s="288"/>
      <c r="CU123" s="288"/>
      <c r="CV123" s="288"/>
      <c r="CW123" s="288"/>
      <c r="CX123" s="288"/>
      <c r="CY123" s="288"/>
      <c r="CZ123" s="288">
        <f>Input_Raw[[#This Row],[33 kV_F1_Total_Export (KWh)]]+Input_Raw[[#This Row],[33 kV_F2_Total_Export (KWh)2]]+Input_Raw[[#This Row],[33 kV_Wind_F3_Export (KWh)]]+Input_Raw[[#This Row],[33 kV_Wind_F4_Export (KWh)]]</f>
        <v>0</v>
      </c>
      <c r="DA123" s="288">
        <f>Input_Raw[[#This Row],[33 kV_Wind_F1_Import (KWh)]]+Input_Raw[[#This Row],[33 kV_Wind_F2_Import (KWh)]]+Input_Raw[[#This Row],[33 kV_Wind_F3_Import (KWh)2]]+Input_Raw[[#This Row],[33 kV_Wind_F4_Import (KWh)2]]</f>
        <v>0</v>
      </c>
      <c r="DB123" s="289" t="str">
        <f>IFERROR(#REF!/Input_Raw[[#This Row],[WTG Total Gneration (KWh)]]-1,"")</f>
        <v/>
      </c>
      <c r="DC123" s="161"/>
      <c r="DD123" s="290"/>
      <c r="DE123" s="160"/>
      <c r="DF123" s="160"/>
      <c r="DG123" s="162"/>
      <c r="DH123" s="160"/>
    </row>
    <row r="124" spans="1:112">
      <c r="A124" s="20">
        <f t="shared" si="7"/>
        <v>45864</v>
      </c>
      <c r="B124" s="12">
        <f>YEAR(Input_Raw[[#This Row],[Date]])+IF(MONTH(Input_Raw[[#This Row],[Date]])&gt;=4,1,0)</f>
        <v>2026</v>
      </c>
      <c r="C124" s="13">
        <f>YEAR(Input_Raw[[#This Row],[Date]])</f>
        <v>2025</v>
      </c>
      <c r="D124" s="14">
        <f t="shared" si="8"/>
        <v>45839</v>
      </c>
      <c r="E124" s="13">
        <f>DAY(EOMONTH(Input_Raw[[#This Row],[Date]],0))</f>
        <v>31</v>
      </c>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7">
        <f>SUM(Input_Raw[[#This Row],[G01]:[G40]])</f>
        <v>0</v>
      </c>
      <c r="CG124" s="18" t="str">
        <f>IFERROR(AVERAGE(Input_Raw[[#This Row],[WS_G01]:[WS_G40]]),"")</f>
        <v/>
      </c>
      <c r="CH124" s="19"/>
      <c r="CI124" s="19"/>
      <c r="CJ124" s="15"/>
      <c r="CK124" s="15"/>
      <c r="CL124" s="15"/>
      <c r="CM124" s="15"/>
      <c r="CN124" s="15"/>
      <c r="CO124" s="15"/>
      <c r="CP124" s="15"/>
      <c r="CQ124" s="15"/>
      <c r="CR124" s="288">
        <f>(Input_Raw[[#This Row],[33 kV_Wind_F1_Export reading]]-CJ123)*1200</f>
        <v>0</v>
      </c>
      <c r="CS124" s="288"/>
      <c r="CT124" s="288"/>
      <c r="CU124" s="288"/>
      <c r="CV124" s="288"/>
      <c r="CW124" s="288"/>
      <c r="CX124" s="288"/>
      <c r="CY124" s="288"/>
      <c r="CZ124" s="288">
        <f>Input_Raw[[#This Row],[33 kV_F1_Total_Export (KWh)]]+Input_Raw[[#This Row],[33 kV_F2_Total_Export (KWh)2]]+Input_Raw[[#This Row],[33 kV_Wind_F3_Export (KWh)]]+Input_Raw[[#This Row],[33 kV_Wind_F4_Export (KWh)]]</f>
        <v>0</v>
      </c>
      <c r="DA124" s="288">
        <f>Input_Raw[[#This Row],[33 kV_Wind_F1_Import (KWh)]]+Input_Raw[[#This Row],[33 kV_Wind_F2_Import (KWh)]]+Input_Raw[[#This Row],[33 kV_Wind_F3_Import (KWh)2]]+Input_Raw[[#This Row],[33 kV_Wind_F4_Import (KWh)2]]</f>
        <v>0</v>
      </c>
      <c r="DB124" s="289" t="str">
        <f>IFERROR(#REF!/Input_Raw[[#This Row],[WTG Total Gneration (KWh)]]-1,"")</f>
        <v/>
      </c>
      <c r="DC124" s="161"/>
      <c r="DD124" s="290"/>
      <c r="DE124" s="160"/>
      <c r="DF124" s="160"/>
      <c r="DG124" s="162"/>
      <c r="DH124" s="160"/>
    </row>
    <row r="125" spans="1:112">
      <c r="A125" s="20">
        <f t="shared" si="7"/>
        <v>45865</v>
      </c>
      <c r="B125" s="12">
        <f>YEAR(Input_Raw[[#This Row],[Date]])+IF(MONTH(Input_Raw[[#This Row],[Date]])&gt;=4,1,0)</f>
        <v>2026</v>
      </c>
      <c r="C125" s="13">
        <f>YEAR(Input_Raw[[#This Row],[Date]])</f>
        <v>2025</v>
      </c>
      <c r="D125" s="14">
        <f t="shared" si="8"/>
        <v>45839</v>
      </c>
      <c r="E125" s="13">
        <f>DAY(EOMONTH(Input_Raw[[#This Row],[Date]],0))</f>
        <v>31</v>
      </c>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7">
        <f>SUM(Input_Raw[[#This Row],[G01]:[G40]])</f>
        <v>0</v>
      </c>
      <c r="CG125" s="18" t="str">
        <f>IFERROR(AVERAGE(Input_Raw[[#This Row],[WS_G01]:[WS_G40]]),"")</f>
        <v/>
      </c>
      <c r="CH125" s="19"/>
      <c r="CI125" s="19"/>
      <c r="CJ125" s="15"/>
      <c r="CK125" s="15"/>
      <c r="CL125" s="15"/>
      <c r="CM125" s="15"/>
      <c r="CN125" s="15"/>
      <c r="CO125" s="15"/>
      <c r="CP125" s="15"/>
      <c r="CQ125" s="15"/>
      <c r="CR125" s="288">
        <f>(Input_Raw[[#This Row],[33 kV_Wind_F1_Export reading]]-CJ124)*1200</f>
        <v>0</v>
      </c>
      <c r="CS125" s="288"/>
      <c r="CT125" s="288"/>
      <c r="CU125" s="288"/>
      <c r="CV125" s="288"/>
      <c r="CW125" s="288"/>
      <c r="CX125" s="288"/>
      <c r="CY125" s="288"/>
      <c r="CZ125" s="288">
        <f>Input_Raw[[#This Row],[33 kV_F1_Total_Export (KWh)]]+Input_Raw[[#This Row],[33 kV_F2_Total_Export (KWh)2]]+Input_Raw[[#This Row],[33 kV_Wind_F3_Export (KWh)]]+Input_Raw[[#This Row],[33 kV_Wind_F4_Export (KWh)]]</f>
        <v>0</v>
      </c>
      <c r="DA125" s="288">
        <f>Input_Raw[[#This Row],[33 kV_Wind_F1_Import (KWh)]]+Input_Raw[[#This Row],[33 kV_Wind_F2_Import (KWh)]]+Input_Raw[[#This Row],[33 kV_Wind_F3_Import (KWh)2]]+Input_Raw[[#This Row],[33 kV_Wind_F4_Import (KWh)2]]</f>
        <v>0</v>
      </c>
      <c r="DB125" s="289" t="str">
        <f>IFERROR(#REF!/Input_Raw[[#This Row],[WTG Total Gneration (KWh)]]-1,"")</f>
        <v/>
      </c>
      <c r="DC125" s="161"/>
      <c r="DD125" s="290"/>
      <c r="DE125" s="160"/>
      <c r="DF125" s="160"/>
      <c r="DG125" s="162"/>
      <c r="DH125" s="160"/>
    </row>
    <row r="126" spans="1:112">
      <c r="A126" s="20">
        <f t="shared" si="7"/>
        <v>45866</v>
      </c>
      <c r="B126" s="12">
        <f>YEAR(Input_Raw[[#This Row],[Date]])+IF(MONTH(Input_Raw[[#This Row],[Date]])&gt;=4,1,0)</f>
        <v>2026</v>
      </c>
      <c r="C126" s="13">
        <f>YEAR(Input_Raw[[#This Row],[Date]])</f>
        <v>2025</v>
      </c>
      <c r="D126" s="14">
        <f t="shared" si="8"/>
        <v>45839</v>
      </c>
      <c r="E126" s="13">
        <f>DAY(EOMONTH(Input_Raw[[#This Row],[Date]],0))</f>
        <v>31</v>
      </c>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7">
        <f>SUM(Input_Raw[[#This Row],[G01]:[G40]])</f>
        <v>0</v>
      </c>
      <c r="CG126" s="18" t="str">
        <f>IFERROR(AVERAGE(Input_Raw[[#This Row],[WS_G01]:[WS_G40]]),"")</f>
        <v/>
      </c>
      <c r="CH126" s="19"/>
      <c r="CI126" s="19"/>
      <c r="CJ126" s="15"/>
      <c r="CK126" s="15"/>
      <c r="CL126" s="15"/>
      <c r="CM126" s="15"/>
      <c r="CN126" s="15"/>
      <c r="CO126" s="15"/>
      <c r="CP126" s="15"/>
      <c r="CQ126" s="15"/>
      <c r="CR126" s="288">
        <f>(Input_Raw[[#This Row],[33 kV_Wind_F1_Export reading]]-CJ125)*1200</f>
        <v>0</v>
      </c>
      <c r="CS126" s="288"/>
      <c r="CT126" s="288"/>
      <c r="CU126" s="288"/>
      <c r="CV126" s="288"/>
      <c r="CW126" s="288"/>
      <c r="CX126" s="288"/>
      <c r="CY126" s="288"/>
      <c r="CZ126" s="288">
        <f>Input_Raw[[#This Row],[33 kV_F1_Total_Export (KWh)]]+Input_Raw[[#This Row],[33 kV_F2_Total_Export (KWh)2]]+Input_Raw[[#This Row],[33 kV_Wind_F3_Export (KWh)]]+Input_Raw[[#This Row],[33 kV_Wind_F4_Export (KWh)]]</f>
        <v>0</v>
      </c>
      <c r="DA126" s="288">
        <f>Input_Raw[[#This Row],[33 kV_Wind_F1_Import (KWh)]]+Input_Raw[[#This Row],[33 kV_Wind_F2_Import (KWh)]]+Input_Raw[[#This Row],[33 kV_Wind_F3_Import (KWh)2]]+Input_Raw[[#This Row],[33 kV_Wind_F4_Import (KWh)2]]</f>
        <v>0</v>
      </c>
      <c r="DB126" s="289" t="str">
        <f>IFERROR(#REF!/Input_Raw[[#This Row],[WTG Total Gneration (KWh)]]-1,"")</f>
        <v/>
      </c>
      <c r="DC126" s="161"/>
      <c r="DD126" s="290"/>
      <c r="DE126" s="160"/>
      <c r="DF126" s="160"/>
      <c r="DG126" s="162"/>
      <c r="DH126" s="160"/>
    </row>
    <row r="127" spans="1:112">
      <c r="A127" s="20">
        <f t="shared" si="7"/>
        <v>45867</v>
      </c>
      <c r="B127" s="12">
        <f>YEAR(Input_Raw[[#This Row],[Date]])+IF(MONTH(Input_Raw[[#This Row],[Date]])&gt;=4,1,0)</f>
        <v>2026</v>
      </c>
      <c r="C127" s="13">
        <f>YEAR(Input_Raw[[#This Row],[Date]])</f>
        <v>2025</v>
      </c>
      <c r="D127" s="14">
        <f t="shared" si="8"/>
        <v>45839</v>
      </c>
      <c r="E127" s="13">
        <f>DAY(EOMONTH(Input_Raw[[#This Row],[Date]],0))</f>
        <v>31</v>
      </c>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7">
        <f>SUM(Input_Raw[[#This Row],[G01]:[G40]])</f>
        <v>0</v>
      </c>
      <c r="CG127" s="18" t="str">
        <f>IFERROR(AVERAGE(Input_Raw[[#This Row],[WS_G01]:[WS_G40]]),"")</f>
        <v/>
      </c>
      <c r="CH127" s="19"/>
      <c r="CI127" s="19"/>
      <c r="CJ127" s="15"/>
      <c r="CK127" s="15"/>
      <c r="CL127" s="15"/>
      <c r="CM127" s="15"/>
      <c r="CN127" s="15"/>
      <c r="CO127" s="15"/>
      <c r="CP127" s="15"/>
      <c r="CQ127" s="15"/>
      <c r="CR127" s="288">
        <f>(Input_Raw[[#This Row],[33 kV_Wind_F1_Export reading]]-CJ126)*1200</f>
        <v>0</v>
      </c>
      <c r="CS127" s="288"/>
      <c r="CT127" s="288"/>
      <c r="CU127" s="288"/>
      <c r="CV127" s="288"/>
      <c r="CW127" s="288"/>
      <c r="CX127" s="288"/>
      <c r="CY127" s="288"/>
      <c r="CZ127" s="288">
        <f>Input_Raw[[#This Row],[33 kV_F1_Total_Export (KWh)]]+Input_Raw[[#This Row],[33 kV_F2_Total_Export (KWh)2]]+Input_Raw[[#This Row],[33 kV_Wind_F3_Export (KWh)]]+Input_Raw[[#This Row],[33 kV_Wind_F4_Export (KWh)]]</f>
        <v>0</v>
      </c>
      <c r="DA127" s="288">
        <f>Input_Raw[[#This Row],[33 kV_Wind_F1_Import (KWh)]]+Input_Raw[[#This Row],[33 kV_Wind_F2_Import (KWh)]]+Input_Raw[[#This Row],[33 kV_Wind_F3_Import (KWh)2]]+Input_Raw[[#This Row],[33 kV_Wind_F4_Import (KWh)2]]</f>
        <v>0</v>
      </c>
      <c r="DB127" s="289" t="str">
        <f>IFERROR(#REF!/Input_Raw[[#This Row],[WTG Total Gneration (KWh)]]-1,"")</f>
        <v/>
      </c>
      <c r="DC127" s="161"/>
      <c r="DD127" s="290"/>
      <c r="DE127" s="160"/>
      <c r="DF127" s="160"/>
      <c r="DG127" s="162"/>
      <c r="DH127" s="160"/>
    </row>
    <row r="128" spans="1:112">
      <c r="A128" s="20">
        <f t="shared" si="7"/>
        <v>45868</v>
      </c>
      <c r="B128" s="12">
        <f>YEAR(Input_Raw[[#This Row],[Date]])+IF(MONTH(Input_Raw[[#This Row],[Date]])&gt;=4,1,0)</f>
        <v>2026</v>
      </c>
      <c r="C128" s="13">
        <f>YEAR(Input_Raw[[#This Row],[Date]])</f>
        <v>2025</v>
      </c>
      <c r="D128" s="14">
        <f t="shared" si="8"/>
        <v>45839</v>
      </c>
      <c r="E128" s="13">
        <f>DAY(EOMONTH(Input_Raw[[#This Row],[Date]],0))</f>
        <v>31</v>
      </c>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7">
        <f>SUM(Input_Raw[[#This Row],[G01]:[G40]])</f>
        <v>0</v>
      </c>
      <c r="CG128" s="18" t="str">
        <f>IFERROR(AVERAGE(Input_Raw[[#This Row],[WS_G01]:[WS_G40]]),"")</f>
        <v/>
      </c>
      <c r="CH128" s="19"/>
      <c r="CI128" s="19"/>
      <c r="CJ128" s="15"/>
      <c r="CK128" s="15"/>
      <c r="CL128" s="15"/>
      <c r="CM128" s="15"/>
      <c r="CN128" s="15"/>
      <c r="CO128" s="15"/>
      <c r="CP128" s="15"/>
      <c r="CQ128" s="15"/>
      <c r="CR128" s="288">
        <f>(Input_Raw[[#This Row],[33 kV_Wind_F1_Export reading]]-CJ127)*1200</f>
        <v>0</v>
      </c>
      <c r="CS128" s="288"/>
      <c r="CT128" s="288"/>
      <c r="CU128" s="288"/>
      <c r="CV128" s="288"/>
      <c r="CW128" s="288"/>
      <c r="CX128" s="288"/>
      <c r="CY128" s="288"/>
      <c r="CZ128" s="288">
        <f>Input_Raw[[#This Row],[33 kV_F1_Total_Export (KWh)]]+Input_Raw[[#This Row],[33 kV_F2_Total_Export (KWh)2]]+Input_Raw[[#This Row],[33 kV_Wind_F3_Export (KWh)]]+Input_Raw[[#This Row],[33 kV_Wind_F4_Export (KWh)]]</f>
        <v>0</v>
      </c>
      <c r="DA128" s="288">
        <f>Input_Raw[[#This Row],[33 kV_Wind_F1_Import (KWh)]]+Input_Raw[[#This Row],[33 kV_Wind_F2_Import (KWh)]]+Input_Raw[[#This Row],[33 kV_Wind_F3_Import (KWh)2]]+Input_Raw[[#This Row],[33 kV_Wind_F4_Import (KWh)2]]</f>
        <v>0</v>
      </c>
      <c r="DB128" s="289" t="str">
        <f>IFERROR(#REF!/Input_Raw[[#This Row],[WTG Total Gneration (KWh)]]-1,"")</f>
        <v/>
      </c>
      <c r="DC128" s="161"/>
      <c r="DD128" s="290"/>
      <c r="DE128" s="160"/>
      <c r="DF128" s="160"/>
      <c r="DG128" s="162"/>
      <c r="DH128" s="160"/>
    </row>
    <row r="129" spans="1:112">
      <c r="A129" s="20">
        <f t="shared" si="7"/>
        <v>45869</v>
      </c>
      <c r="B129" s="12">
        <f>YEAR(Input_Raw[[#This Row],[Date]])+IF(MONTH(Input_Raw[[#This Row],[Date]])&gt;=4,1,0)</f>
        <v>2026</v>
      </c>
      <c r="C129" s="13">
        <f>YEAR(Input_Raw[[#This Row],[Date]])</f>
        <v>2025</v>
      </c>
      <c r="D129" s="14">
        <f t="shared" si="8"/>
        <v>45839</v>
      </c>
      <c r="E129" s="13">
        <f>DAY(EOMONTH(Input_Raw[[#This Row],[Date]],0))</f>
        <v>31</v>
      </c>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7">
        <f>SUM(Input_Raw[[#This Row],[G01]:[G40]])</f>
        <v>0</v>
      </c>
      <c r="CG129" s="18" t="str">
        <f>IFERROR(AVERAGE(Input_Raw[[#This Row],[WS_G01]:[WS_G40]]),"")</f>
        <v/>
      </c>
      <c r="CH129" s="19"/>
      <c r="CI129" s="19"/>
      <c r="CJ129" s="15"/>
      <c r="CK129" s="15"/>
      <c r="CL129" s="15"/>
      <c r="CM129" s="15"/>
      <c r="CN129" s="15"/>
      <c r="CO129" s="15"/>
      <c r="CP129" s="15"/>
      <c r="CQ129" s="15"/>
      <c r="CR129" s="288">
        <f>(Input_Raw[[#This Row],[33 kV_Wind_F1_Export reading]]-CJ128)*1200</f>
        <v>0</v>
      </c>
      <c r="CS129" s="288"/>
      <c r="CT129" s="288"/>
      <c r="CU129" s="288"/>
      <c r="CV129" s="288"/>
      <c r="CW129" s="288"/>
      <c r="CX129" s="288"/>
      <c r="CY129" s="288"/>
      <c r="CZ129" s="288">
        <f>Input_Raw[[#This Row],[33 kV_F1_Total_Export (KWh)]]+Input_Raw[[#This Row],[33 kV_F2_Total_Export (KWh)2]]+Input_Raw[[#This Row],[33 kV_Wind_F3_Export (KWh)]]+Input_Raw[[#This Row],[33 kV_Wind_F4_Export (KWh)]]</f>
        <v>0</v>
      </c>
      <c r="DA129" s="288">
        <f>Input_Raw[[#This Row],[33 kV_Wind_F1_Import (KWh)]]+Input_Raw[[#This Row],[33 kV_Wind_F2_Import (KWh)]]+Input_Raw[[#This Row],[33 kV_Wind_F3_Import (KWh)2]]+Input_Raw[[#This Row],[33 kV_Wind_F4_Import (KWh)2]]</f>
        <v>0</v>
      </c>
      <c r="DB129" s="289" t="str">
        <f>IFERROR(#REF!/Input_Raw[[#This Row],[WTG Total Gneration (KWh)]]-1,"")</f>
        <v/>
      </c>
      <c r="DC129" s="161"/>
      <c r="DD129" s="290"/>
      <c r="DE129" s="160"/>
      <c r="DF129" s="160"/>
      <c r="DG129" s="162"/>
      <c r="DH129" s="160"/>
    </row>
    <row r="130" spans="1:112">
      <c r="A130" s="20">
        <f t="shared" si="7"/>
        <v>45870</v>
      </c>
      <c r="B130" s="12">
        <f>YEAR(Input_Raw[[#This Row],[Date]])+IF(MONTH(Input_Raw[[#This Row],[Date]])&gt;=4,1,0)</f>
        <v>2026</v>
      </c>
      <c r="C130" s="13">
        <f>YEAR(Input_Raw[[#This Row],[Date]])</f>
        <v>2025</v>
      </c>
      <c r="D130" s="14">
        <f t="shared" si="8"/>
        <v>45870</v>
      </c>
      <c r="E130" s="13">
        <f>DAY(EOMONTH(Input_Raw[[#This Row],[Date]],0))</f>
        <v>31</v>
      </c>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7">
        <f>SUM(Input_Raw[[#This Row],[G01]:[G40]])</f>
        <v>0</v>
      </c>
      <c r="CG130" s="18" t="str">
        <f>IFERROR(AVERAGE(Input_Raw[[#This Row],[WS_G01]:[WS_G40]]),"")</f>
        <v/>
      </c>
      <c r="CH130" s="19"/>
      <c r="CI130" s="19"/>
      <c r="CJ130" s="15"/>
      <c r="CK130" s="15"/>
      <c r="CL130" s="15"/>
      <c r="CM130" s="15"/>
      <c r="CN130" s="15"/>
      <c r="CO130" s="15"/>
      <c r="CP130" s="15"/>
      <c r="CQ130" s="15"/>
      <c r="CR130" s="288">
        <f>(Input_Raw[[#This Row],[33 kV_Wind_F1_Export reading]]-CJ129)*1200</f>
        <v>0</v>
      </c>
      <c r="CS130" s="288"/>
      <c r="CT130" s="288"/>
      <c r="CU130" s="288"/>
      <c r="CV130" s="288"/>
      <c r="CW130" s="288"/>
      <c r="CX130" s="288"/>
      <c r="CY130" s="288"/>
      <c r="CZ130" s="288">
        <f>Input_Raw[[#This Row],[33 kV_F1_Total_Export (KWh)]]+Input_Raw[[#This Row],[33 kV_F2_Total_Export (KWh)2]]+Input_Raw[[#This Row],[33 kV_Wind_F3_Export (KWh)]]+Input_Raw[[#This Row],[33 kV_Wind_F4_Export (KWh)]]</f>
        <v>0</v>
      </c>
      <c r="DA130" s="288">
        <f>Input_Raw[[#This Row],[33 kV_Wind_F1_Import (KWh)]]+Input_Raw[[#This Row],[33 kV_Wind_F2_Import (KWh)]]+Input_Raw[[#This Row],[33 kV_Wind_F3_Import (KWh)2]]+Input_Raw[[#This Row],[33 kV_Wind_F4_Import (KWh)2]]</f>
        <v>0</v>
      </c>
      <c r="DB130" s="289" t="str">
        <f>IFERROR(#REF!/Input_Raw[[#This Row],[WTG Total Gneration (KWh)]]-1,"")</f>
        <v/>
      </c>
      <c r="DC130" s="161"/>
      <c r="DD130" s="290"/>
      <c r="DE130" s="160"/>
      <c r="DF130" s="160"/>
      <c r="DG130" s="162"/>
      <c r="DH130" s="160"/>
    </row>
    <row r="131" spans="1:112">
      <c r="A131" s="20">
        <f t="shared" si="7"/>
        <v>45871</v>
      </c>
      <c r="B131" s="12">
        <f>YEAR(Input_Raw[[#This Row],[Date]])+IF(MONTH(Input_Raw[[#This Row],[Date]])&gt;=4,1,0)</f>
        <v>2026</v>
      </c>
      <c r="C131" s="13">
        <f>YEAR(Input_Raw[[#This Row],[Date]])</f>
        <v>2025</v>
      </c>
      <c r="D131" s="14">
        <f t="shared" si="8"/>
        <v>45870</v>
      </c>
      <c r="E131" s="13">
        <f>DAY(EOMONTH(Input_Raw[[#This Row],[Date]],0))</f>
        <v>31</v>
      </c>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7">
        <f>SUM(Input_Raw[[#This Row],[G01]:[G40]])</f>
        <v>0</v>
      </c>
      <c r="CG131" s="18" t="str">
        <f>IFERROR(AVERAGE(Input_Raw[[#This Row],[WS_G01]:[WS_G40]]),"")</f>
        <v/>
      </c>
      <c r="CH131" s="19"/>
      <c r="CI131" s="19"/>
      <c r="CJ131" s="15"/>
      <c r="CK131" s="15"/>
      <c r="CL131" s="15"/>
      <c r="CM131" s="15"/>
      <c r="CN131" s="15"/>
      <c r="CO131" s="15"/>
      <c r="CP131" s="15"/>
      <c r="CQ131" s="15"/>
      <c r="CR131" s="288">
        <f>(Input_Raw[[#This Row],[33 kV_Wind_F1_Export reading]]-CJ130)*1200</f>
        <v>0</v>
      </c>
      <c r="CS131" s="288"/>
      <c r="CT131" s="288"/>
      <c r="CU131" s="288"/>
      <c r="CV131" s="288"/>
      <c r="CW131" s="288"/>
      <c r="CX131" s="288"/>
      <c r="CY131" s="288"/>
      <c r="CZ131" s="288">
        <f>Input_Raw[[#This Row],[33 kV_F1_Total_Export (KWh)]]+Input_Raw[[#This Row],[33 kV_F2_Total_Export (KWh)2]]+Input_Raw[[#This Row],[33 kV_Wind_F3_Export (KWh)]]+Input_Raw[[#This Row],[33 kV_Wind_F4_Export (KWh)]]</f>
        <v>0</v>
      </c>
      <c r="DA131" s="288">
        <f>Input_Raw[[#This Row],[33 kV_Wind_F1_Import (KWh)]]+Input_Raw[[#This Row],[33 kV_Wind_F2_Import (KWh)]]+Input_Raw[[#This Row],[33 kV_Wind_F3_Import (KWh)2]]+Input_Raw[[#This Row],[33 kV_Wind_F4_Import (KWh)2]]</f>
        <v>0</v>
      </c>
      <c r="DB131" s="289" t="str">
        <f>IFERROR(#REF!/Input_Raw[[#This Row],[WTG Total Gneration (KWh)]]-1,"")</f>
        <v/>
      </c>
      <c r="DC131" s="161"/>
      <c r="DD131" s="290"/>
      <c r="DE131" s="160"/>
      <c r="DF131" s="160"/>
      <c r="DG131" s="162"/>
      <c r="DH131" s="160"/>
    </row>
    <row r="132" spans="1:112">
      <c r="A132" s="20">
        <f t="shared" si="7"/>
        <v>45872</v>
      </c>
      <c r="B132" s="12">
        <f>YEAR(Input_Raw[[#This Row],[Date]])+IF(MONTH(Input_Raw[[#This Row],[Date]])&gt;=4,1,0)</f>
        <v>2026</v>
      </c>
      <c r="C132" s="13">
        <f>YEAR(Input_Raw[[#This Row],[Date]])</f>
        <v>2025</v>
      </c>
      <c r="D132" s="14">
        <f t="shared" si="8"/>
        <v>45870</v>
      </c>
      <c r="E132" s="13">
        <f>DAY(EOMONTH(Input_Raw[[#This Row],[Date]],0))</f>
        <v>31</v>
      </c>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7">
        <f>SUM(Input_Raw[[#This Row],[G01]:[G40]])</f>
        <v>0</v>
      </c>
      <c r="CG132" s="18" t="str">
        <f>IFERROR(AVERAGE(Input_Raw[[#This Row],[WS_G01]:[WS_G40]]),"")</f>
        <v/>
      </c>
      <c r="CH132" s="19"/>
      <c r="CI132" s="19"/>
      <c r="CJ132" s="15"/>
      <c r="CK132" s="15"/>
      <c r="CL132" s="15"/>
      <c r="CM132" s="15"/>
      <c r="CN132" s="15"/>
      <c r="CO132" s="15"/>
      <c r="CP132" s="15"/>
      <c r="CQ132" s="15"/>
      <c r="CR132" s="288">
        <f>(Input_Raw[[#This Row],[33 kV_Wind_F1_Export reading]]-CJ131)*1200</f>
        <v>0</v>
      </c>
      <c r="CS132" s="288"/>
      <c r="CT132" s="288"/>
      <c r="CU132" s="288"/>
      <c r="CV132" s="288"/>
      <c r="CW132" s="288"/>
      <c r="CX132" s="288"/>
      <c r="CY132" s="288"/>
      <c r="CZ132" s="288">
        <f>Input_Raw[[#This Row],[33 kV_F1_Total_Export (KWh)]]+Input_Raw[[#This Row],[33 kV_F2_Total_Export (KWh)2]]+Input_Raw[[#This Row],[33 kV_Wind_F3_Export (KWh)]]+Input_Raw[[#This Row],[33 kV_Wind_F4_Export (KWh)]]</f>
        <v>0</v>
      </c>
      <c r="DA132" s="288">
        <f>Input_Raw[[#This Row],[33 kV_Wind_F1_Import (KWh)]]+Input_Raw[[#This Row],[33 kV_Wind_F2_Import (KWh)]]+Input_Raw[[#This Row],[33 kV_Wind_F3_Import (KWh)2]]+Input_Raw[[#This Row],[33 kV_Wind_F4_Import (KWh)2]]</f>
        <v>0</v>
      </c>
      <c r="DB132" s="289" t="str">
        <f>IFERROR(#REF!/Input_Raw[[#This Row],[WTG Total Gneration (KWh)]]-1,"")</f>
        <v/>
      </c>
      <c r="DC132" s="161"/>
      <c r="DD132" s="290"/>
      <c r="DE132" s="160"/>
      <c r="DF132" s="160"/>
      <c r="DG132" s="162"/>
      <c r="DH132" s="160"/>
    </row>
    <row r="133" spans="1:112">
      <c r="A133" s="20">
        <f t="shared" si="7"/>
        <v>45873</v>
      </c>
      <c r="B133" s="12">
        <f>YEAR(Input_Raw[[#This Row],[Date]])+IF(MONTH(Input_Raw[[#This Row],[Date]])&gt;=4,1,0)</f>
        <v>2026</v>
      </c>
      <c r="C133" s="13">
        <f>YEAR(Input_Raw[[#This Row],[Date]])</f>
        <v>2025</v>
      </c>
      <c r="D133" s="14">
        <f t="shared" si="8"/>
        <v>45870</v>
      </c>
      <c r="E133" s="13">
        <f>DAY(EOMONTH(Input_Raw[[#This Row],[Date]],0))</f>
        <v>31</v>
      </c>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7">
        <f>SUM(Input_Raw[[#This Row],[G01]:[G40]])</f>
        <v>0</v>
      </c>
      <c r="CG133" s="18" t="str">
        <f>IFERROR(AVERAGE(Input_Raw[[#This Row],[WS_G01]:[WS_G40]]),"")</f>
        <v/>
      </c>
      <c r="CH133" s="19"/>
      <c r="CI133" s="19"/>
      <c r="CJ133" s="15"/>
      <c r="CK133" s="15"/>
      <c r="CL133" s="15"/>
      <c r="CM133" s="15"/>
      <c r="CN133" s="15"/>
      <c r="CO133" s="15"/>
      <c r="CP133" s="15"/>
      <c r="CQ133" s="15"/>
      <c r="CR133" s="288">
        <f>(Input_Raw[[#This Row],[33 kV_Wind_F1_Export reading]]-CJ132)*1200</f>
        <v>0</v>
      </c>
      <c r="CS133" s="288"/>
      <c r="CT133" s="288"/>
      <c r="CU133" s="288"/>
      <c r="CV133" s="288"/>
      <c r="CW133" s="288"/>
      <c r="CX133" s="288"/>
      <c r="CY133" s="288"/>
      <c r="CZ133" s="288">
        <f>Input_Raw[[#This Row],[33 kV_F1_Total_Export (KWh)]]+Input_Raw[[#This Row],[33 kV_F2_Total_Export (KWh)2]]+Input_Raw[[#This Row],[33 kV_Wind_F3_Export (KWh)]]+Input_Raw[[#This Row],[33 kV_Wind_F4_Export (KWh)]]</f>
        <v>0</v>
      </c>
      <c r="DA133" s="288">
        <f>Input_Raw[[#This Row],[33 kV_Wind_F1_Import (KWh)]]+Input_Raw[[#This Row],[33 kV_Wind_F2_Import (KWh)]]+Input_Raw[[#This Row],[33 kV_Wind_F3_Import (KWh)2]]+Input_Raw[[#This Row],[33 kV_Wind_F4_Import (KWh)2]]</f>
        <v>0</v>
      </c>
      <c r="DB133" s="289" t="str">
        <f>IFERROR(#REF!/Input_Raw[[#This Row],[WTG Total Gneration (KWh)]]-1,"")</f>
        <v/>
      </c>
      <c r="DC133" s="161"/>
      <c r="DD133" s="290"/>
      <c r="DE133" s="160"/>
      <c r="DF133" s="160"/>
      <c r="DG133" s="162"/>
      <c r="DH133" s="160"/>
    </row>
    <row r="134" spans="1:112">
      <c r="A134" s="20">
        <f t="shared" si="7"/>
        <v>45874</v>
      </c>
      <c r="B134" s="12">
        <f>YEAR(Input_Raw[[#This Row],[Date]])+IF(MONTH(Input_Raw[[#This Row],[Date]])&gt;=4,1,0)</f>
        <v>2026</v>
      </c>
      <c r="C134" s="13">
        <f>YEAR(Input_Raw[[#This Row],[Date]])</f>
        <v>2025</v>
      </c>
      <c r="D134" s="14">
        <f t="shared" si="8"/>
        <v>45870</v>
      </c>
      <c r="E134" s="13">
        <f>DAY(EOMONTH(Input_Raw[[#This Row],[Date]],0))</f>
        <v>31</v>
      </c>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7">
        <f>SUM(Input_Raw[[#This Row],[G01]:[G40]])</f>
        <v>0</v>
      </c>
      <c r="CG134" s="18" t="str">
        <f>IFERROR(AVERAGE(Input_Raw[[#This Row],[WS_G01]:[WS_G40]]),"")</f>
        <v/>
      </c>
      <c r="CH134" s="19"/>
      <c r="CI134" s="19"/>
      <c r="CJ134" s="15"/>
      <c r="CK134" s="15"/>
      <c r="CL134" s="15"/>
      <c r="CM134" s="15"/>
      <c r="CN134" s="15"/>
      <c r="CO134" s="15"/>
      <c r="CP134" s="15"/>
      <c r="CQ134" s="15"/>
      <c r="CR134" s="288">
        <f>(Input_Raw[[#This Row],[33 kV_Wind_F1_Export reading]]-CJ133)*1200</f>
        <v>0</v>
      </c>
      <c r="CS134" s="288"/>
      <c r="CT134" s="288"/>
      <c r="CU134" s="288"/>
      <c r="CV134" s="288"/>
      <c r="CW134" s="288"/>
      <c r="CX134" s="288"/>
      <c r="CY134" s="288"/>
      <c r="CZ134" s="288">
        <f>Input_Raw[[#This Row],[33 kV_F1_Total_Export (KWh)]]+Input_Raw[[#This Row],[33 kV_F2_Total_Export (KWh)2]]+Input_Raw[[#This Row],[33 kV_Wind_F3_Export (KWh)]]+Input_Raw[[#This Row],[33 kV_Wind_F4_Export (KWh)]]</f>
        <v>0</v>
      </c>
      <c r="DA134" s="288">
        <f>Input_Raw[[#This Row],[33 kV_Wind_F1_Import (KWh)]]+Input_Raw[[#This Row],[33 kV_Wind_F2_Import (KWh)]]+Input_Raw[[#This Row],[33 kV_Wind_F3_Import (KWh)2]]+Input_Raw[[#This Row],[33 kV_Wind_F4_Import (KWh)2]]</f>
        <v>0</v>
      </c>
      <c r="DB134" s="289" t="str">
        <f>IFERROR(#REF!/Input_Raw[[#This Row],[WTG Total Gneration (KWh)]]-1,"")</f>
        <v/>
      </c>
      <c r="DC134" s="161"/>
      <c r="DD134" s="290"/>
      <c r="DE134" s="160"/>
      <c r="DF134" s="160"/>
      <c r="DG134" s="162"/>
      <c r="DH134" s="160"/>
    </row>
    <row r="135" spans="1:112">
      <c r="A135" s="20">
        <f t="shared" si="7"/>
        <v>45875</v>
      </c>
      <c r="B135" s="12">
        <f>YEAR(Input_Raw[[#This Row],[Date]])+IF(MONTH(Input_Raw[[#This Row],[Date]])&gt;=4,1,0)</f>
        <v>2026</v>
      </c>
      <c r="C135" s="13">
        <f>YEAR(Input_Raw[[#This Row],[Date]])</f>
        <v>2025</v>
      </c>
      <c r="D135" s="14">
        <f t="shared" si="8"/>
        <v>45870</v>
      </c>
      <c r="E135" s="13">
        <f>DAY(EOMONTH(Input_Raw[[#This Row],[Date]],0))</f>
        <v>31</v>
      </c>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7">
        <f>SUM(Input_Raw[[#This Row],[G01]:[G40]])</f>
        <v>0</v>
      </c>
      <c r="CG135" s="18" t="str">
        <f>IFERROR(AVERAGE(Input_Raw[[#This Row],[WS_G01]:[WS_G40]]),"")</f>
        <v/>
      </c>
      <c r="CH135" s="19"/>
      <c r="CI135" s="19"/>
      <c r="CJ135" s="15"/>
      <c r="CK135" s="15"/>
      <c r="CL135" s="15"/>
      <c r="CM135" s="15"/>
      <c r="CN135" s="15"/>
      <c r="CO135" s="15"/>
      <c r="CP135" s="15"/>
      <c r="CQ135" s="15"/>
      <c r="CR135" s="288">
        <f>(Input_Raw[[#This Row],[33 kV_Wind_F1_Export reading]]-CJ134)*1200</f>
        <v>0</v>
      </c>
      <c r="CS135" s="288"/>
      <c r="CT135" s="288"/>
      <c r="CU135" s="288"/>
      <c r="CV135" s="288"/>
      <c r="CW135" s="288"/>
      <c r="CX135" s="288"/>
      <c r="CY135" s="288"/>
      <c r="CZ135" s="288">
        <f>Input_Raw[[#This Row],[33 kV_F1_Total_Export (KWh)]]+Input_Raw[[#This Row],[33 kV_F2_Total_Export (KWh)2]]+Input_Raw[[#This Row],[33 kV_Wind_F3_Export (KWh)]]+Input_Raw[[#This Row],[33 kV_Wind_F4_Export (KWh)]]</f>
        <v>0</v>
      </c>
      <c r="DA135" s="288">
        <f>Input_Raw[[#This Row],[33 kV_Wind_F1_Import (KWh)]]+Input_Raw[[#This Row],[33 kV_Wind_F2_Import (KWh)]]+Input_Raw[[#This Row],[33 kV_Wind_F3_Import (KWh)2]]+Input_Raw[[#This Row],[33 kV_Wind_F4_Import (KWh)2]]</f>
        <v>0</v>
      </c>
      <c r="DB135" s="289" t="str">
        <f>IFERROR(#REF!/Input_Raw[[#This Row],[WTG Total Gneration (KWh)]]-1,"")</f>
        <v/>
      </c>
      <c r="DC135" s="161"/>
      <c r="DD135" s="290"/>
      <c r="DE135" s="160"/>
      <c r="DF135" s="160"/>
      <c r="DG135" s="162"/>
      <c r="DH135" s="160"/>
    </row>
    <row r="136" spans="1:112">
      <c r="A136" s="20">
        <f t="shared" si="7"/>
        <v>45876</v>
      </c>
      <c r="B136" s="12">
        <f>YEAR(Input_Raw[[#This Row],[Date]])+IF(MONTH(Input_Raw[[#This Row],[Date]])&gt;=4,1,0)</f>
        <v>2026</v>
      </c>
      <c r="C136" s="13">
        <f>YEAR(Input_Raw[[#This Row],[Date]])</f>
        <v>2025</v>
      </c>
      <c r="D136" s="14">
        <f t="shared" si="8"/>
        <v>45870</v>
      </c>
      <c r="E136" s="13">
        <f>DAY(EOMONTH(Input_Raw[[#This Row],[Date]],0))</f>
        <v>31</v>
      </c>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7">
        <f>SUM(Input_Raw[[#This Row],[G01]:[G40]])</f>
        <v>0</v>
      </c>
      <c r="CG136" s="18" t="str">
        <f>IFERROR(AVERAGE(Input_Raw[[#This Row],[WS_G01]:[WS_G40]]),"")</f>
        <v/>
      </c>
      <c r="CH136" s="19"/>
      <c r="CI136" s="19"/>
      <c r="CJ136" s="15"/>
      <c r="CK136" s="15"/>
      <c r="CL136" s="15"/>
      <c r="CM136" s="15"/>
      <c r="CN136" s="15"/>
      <c r="CO136" s="15"/>
      <c r="CP136" s="15"/>
      <c r="CQ136" s="15"/>
      <c r="CR136" s="288">
        <f>(Input_Raw[[#This Row],[33 kV_Wind_F1_Export reading]]-CJ135)*1200</f>
        <v>0</v>
      </c>
      <c r="CS136" s="288"/>
      <c r="CT136" s="288"/>
      <c r="CU136" s="288"/>
      <c r="CV136" s="288"/>
      <c r="CW136" s="288"/>
      <c r="CX136" s="288"/>
      <c r="CY136" s="288"/>
      <c r="CZ136" s="288">
        <f>Input_Raw[[#This Row],[33 kV_F1_Total_Export (KWh)]]+Input_Raw[[#This Row],[33 kV_F2_Total_Export (KWh)2]]+Input_Raw[[#This Row],[33 kV_Wind_F3_Export (KWh)]]+Input_Raw[[#This Row],[33 kV_Wind_F4_Export (KWh)]]</f>
        <v>0</v>
      </c>
      <c r="DA136" s="288">
        <f>Input_Raw[[#This Row],[33 kV_Wind_F1_Import (KWh)]]+Input_Raw[[#This Row],[33 kV_Wind_F2_Import (KWh)]]+Input_Raw[[#This Row],[33 kV_Wind_F3_Import (KWh)2]]+Input_Raw[[#This Row],[33 kV_Wind_F4_Import (KWh)2]]</f>
        <v>0</v>
      </c>
      <c r="DB136" s="289" t="str">
        <f>IFERROR(#REF!/Input_Raw[[#This Row],[WTG Total Gneration (KWh)]]-1,"")</f>
        <v/>
      </c>
      <c r="DC136" s="161"/>
      <c r="DD136" s="290"/>
      <c r="DE136" s="160"/>
      <c r="DF136" s="160"/>
      <c r="DG136" s="162"/>
      <c r="DH136" s="160"/>
    </row>
    <row r="137" spans="1:112">
      <c r="A137" s="20">
        <f t="shared" si="7"/>
        <v>45877</v>
      </c>
      <c r="B137" s="12">
        <f>YEAR(Input_Raw[[#This Row],[Date]])+IF(MONTH(Input_Raw[[#This Row],[Date]])&gt;=4,1,0)</f>
        <v>2026</v>
      </c>
      <c r="C137" s="13">
        <f>YEAR(Input_Raw[[#This Row],[Date]])</f>
        <v>2025</v>
      </c>
      <c r="D137" s="14">
        <f t="shared" si="8"/>
        <v>45870</v>
      </c>
      <c r="E137" s="13">
        <f>DAY(EOMONTH(Input_Raw[[#This Row],[Date]],0))</f>
        <v>31</v>
      </c>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7">
        <f>SUM(Input_Raw[[#This Row],[G01]:[G40]])</f>
        <v>0</v>
      </c>
      <c r="CG137" s="18" t="str">
        <f>IFERROR(AVERAGE(Input_Raw[[#This Row],[WS_G01]:[WS_G40]]),"")</f>
        <v/>
      </c>
      <c r="CH137" s="19"/>
      <c r="CI137" s="19"/>
      <c r="CJ137" s="15"/>
      <c r="CK137" s="15"/>
      <c r="CL137" s="15"/>
      <c r="CM137" s="15"/>
      <c r="CN137" s="15"/>
      <c r="CO137" s="15"/>
      <c r="CP137" s="15"/>
      <c r="CQ137" s="15"/>
      <c r="CR137" s="288">
        <f>(Input_Raw[[#This Row],[33 kV_Wind_F1_Export reading]]-CJ136)*1200</f>
        <v>0</v>
      </c>
      <c r="CS137" s="288"/>
      <c r="CT137" s="288"/>
      <c r="CU137" s="288"/>
      <c r="CV137" s="288"/>
      <c r="CW137" s="288"/>
      <c r="CX137" s="288"/>
      <c r="CY137" s="288"/>
      <c r="CZ137" s="288">
        <f>Input_Raw[[#This Row],[33 kV_F1_Total_Export (KWh)]]+Input_Raw[[#This Row],[33 kV_F2_Total_Export (KWh)2]]+Input_Raw[[#This Row],[33 kV_Wind_F3_Export (KWh)]]+Input_Raw[[#This Row],[33 kV_Wind_F4_Export (KWh)]]</f>
        <v>0</v>
      </c>
      <c r="DA137" s="288">
        <f>Input_Raw[[#This Row],[33 kV_Wind_F1_Import (KWh)]]+Input_Raw[[#This Row],[33 kV_Wind_F2_Import (KWh)]]+Input_Raw[[#This Row],[33 kV_Wind_F3_Import (KWh)2]]+Input_Raw[[#This Row],[33 kV_Wind_F4_Import (KWh)2]]</f>
        <v>0</v>
      </c>
      <c r="DB137" s="289" t="str">
        <f>IFERROR(#REF!/Input_Raw[[#This Row],[WTG Total Gneration (KWh)]]-1,"")</f>
        <v/>
      </c>
      <c r="DC137" s="161"/>
      <c r="DD137" s="290"/>
      <c r="DE137" s="160"/>
      <c r="DF137" s="160"/>
      <c r="DG137" s="162"/>
      <c r="DH137" s="160"/>
    </row>
    <row r="138" spans="1:112">
      <c r="A138" s="20">
        <f t="shared" si="7"/>
        <v>45878</v>
      </c>
      <c r="B138" s="12">
        <f>YEAR(Input_Raw[[#This Row],[Date]])+IF(MONTH(Input_Raw[[#This Row],[Date]])&gt;=4,1,0)</f>
        <v>2026</v>
      </c>
      <c r="C138" s="13">
        <f>YEAR(Input_Raw[[#This Row],[Date]])</f>
        <v>2025</v>
      </c>
      <c r="D138" s="14">
        <f t="shared" si="8"/>
        <v>45870</v>
      </c>
      <c r="E138" s="13">
        <f>DAY(EOMONTH(Input_Raw[[#This Row],[Date]],0))</f>
        <v>31</v>
      </c>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7">
        <f>SUM(Input_Raw[[#This Row],[G01]:[G40]])</f>
        <v>0</v>
      </c>
      <c r="CG138" s="18" t="str">
        <f>IFERROR(AVERAGE(Input_Raw[[#This Row],[WS_G01]:[WS_G40]]),"")</f>
        <v/>
      </c>
      <c r="CH138" s="19"/>
      <c r="CI138" s="19"/>
      <c r="CJ138" s="15"/>
      <c r="CK138" s="15"/>
      <c r="CL138" s="15"/>
      <c r="CM138" s="15"/>
      <c r="CN138" s="15"/>
      <c r="CO138" s="15"/>
      <c r="CP138" s="15"/>
      <c r="CQ138" s="15"/>
      <c r="CR138" s="288">
        <f>(Input_Raw[[#This Row],[33 kV_Wind_F1_Export reading]]-CJ137)*1200</f>
        <v>0</v>
      </c>
      <c r="CS138" s="288"/>
      <c r="CT138" s="288"/>
      <c r="CU138" s="288"/>
      <c r="CV138" s="288"/>
      <c r="CW138" s="288"/>
      <c r="CX138" s="288"/>
      <c r="CY138" s="288"/>
      <c r="CZ138" s="288">
        <f>Input_Raw[[#This Row],[33 kV_F1_Total_Export (KWh)]]+Input_Raw[[#This Row],[33 kV_F2_Total_Export (KWh)2]]+Input_Raw[[#This Row],[33 kV_Wind_F3_Export (KWh)]]+Input_Raw[[#This Row],[33 kV_Wind_F4_Export (KWh)]]</f>
        <v>0</v>
      </c>
      <c r="DA138" s="288">
        <f>Input_Raw[[#This Row],[33 kV_Wind_F1_Import (KWh)]]+Input_Raw[[#This Row],[33 kV_Wind_F2_Import (KWh)]]+Input_Raw[[#This Row],[33 kV_Wind_F3_Import (KWh)2]]+Input_Raw[[#This Row],[33 kV_Wind_F4_Import (KWh)2]]</f>
        <v>0</v>
      </c>
      <c r="DB138" s="289" t="str">
        <f>IFERROR(#REF!/Input_Raw[[#This Row],[WTG Total Gneration (KWh)]]-1,"")</f>
        <v/>
      </c>
      <c r="DC138" s="161"/>
      <c r="DD138" s="290"/>
      <c r="DE138" s="160"/>
      <c r="DF138" s="160"/>
      <c r="DG138" s="162"/>
      <c r="DH138" s="160"/>
    </row>
    <row r="139" spans="1:112">
      <c r="A139" s="20">
        <f t="shared" si="7"/>
        <v>45879</v>
      </c>
      <c r="B139" s="12">
        <f>YEAR(Input_Raw[[#This Row],[Date]])+IF(MONTH(Input_Raw[[#This Row],[Date]])&gt;=4,1,0)</f>
        <v>2026</v>
      </c>
      <c r="C139" s="13">
        <f>YEAR(Input_Raw[[#This Row],[Date]])</f>
        <v>2025</v>
      </c>
      <c r="D139" s="14">
        <f t="shared" si="8"/>
        <v>45870</v>
      </c>
      <c r="E139" s="13">
        <f>DAY(EOMONTH(Input_Raw[[#This Row],[Date]],0))</f>
        <v>31</v>
      </c>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7">
        <f>SUM(Input_Raw[[#This Row],[G01]:[G40]])</f>
        <v>0</v>
      </c>
      <c r="CG139" s="18" t="str">
        <f>IFERROR(AVERAGE(Input_Raw[[#This Row],[WS_G01]:[WS_G40]]),"")</f>
        <v/>
      </c>
      <c r="CH139" s="19"/>
      <c r="CI139" s="19"/>
      <c r="CJ139" s="15"/>
      <c r="CK139" s="15"/>
      <c r="CL139" s="15"/>
      <c r="CM139" s="15"/>
      <c r="CN139" s="15"/>
      <c r="CO139" s="15"/>
      <c r="CP139" s="15"/>
      <c r="CQ139" s="15"/>
      <c r="CR139" s="288">
        <f>(Input_Raw[[#This Row],[33 kV_Wind_F1_Export reading]]-CJ138)*1200</f>
        <v>0</v>
      </c>
      <c r="CS139" s="288"/>
      <c r="CT139" s="288"/>
      <c r="CU139" s="288"/>
      <c r="CV139" s="288"/>
      <c r="CW139" s="288"/>
      <c r="CX139" s="288"/>
      <c r="CY139" s="288"/>
      <c r="CZ139" s="288">
        <f>Input_Raw[[#This Row],[33 kV_F1_Total_Export (KWh)]]+Input_Raw[[#This Row],[33 kV_F2_Total_Export (KWh)2]]+Input_Raw[[#This Row],[33 kV_Wind_F3_Export (KWh)]]+Input_Raw[[#This Row],[33 kV_Wind_F4_Export (KWh)]]</f>
        <v>0</v>
      </c>
      <c r="DA139" s="288">
        <f>Input_Raw[[#This Row],[33 kV_Wind_F1_Import (KWh)]]+Input_Raw[[#This Row],[33 kV_Wind_F2_Import (KWh)]]+Input_Raw[[#This Row],[33 kV_Wind_F3_Import (KWh)2]]+Input_Raw[[#This Row],[33 kV_Wind_F4_Import (KWh)2]]</f>
        <v>0</v>
      </c>
      <c r="DB139" s="289" t="str">
        <f>IFERROR(#REF!/Input_Raw[[#This Row],[WTG Total Gneration (KWh)]]-1,"")</f>
        <v/>
      </c>
      <c r="DC139" s="161"/>
      <c r="DD139" s="290"/>
      <c r="DE139" s="160"/>
      <c r="DF139" s="160"/>
      <c r="DG139" s="162"/>
      <c r="DH139" s="160"/>
    </row>
    <row r="140" spans="1:112">
      <c r="A140" s="20">
        <f t="shared" si="7"/>
        <v>45880</v>
      </c>
      <c r="B140" s="12">
        <f>YEAR(Input_Raw[[#This Row],[Date]])+IF(MONTH(Input_Raw[[#This Row],[Date]])&gt;=4,1,0)</f>
        <v>2026</v>
      </c>
      <c r="C140" s="13">
        <f>YEAR(Input_Raw[[#This Row],[Date]])</f>
        <v>2025</v>
      </c>
      <c r="D140" s="14">
        <f t="shared" si="8"/>
        <v>45870</v>
      </c>
      <c r="E140" s="13">
        <f>DAY(EOMONTH(Input_Raw[[#This Row],[Date]],0))</f>
        <v>31</v>
      </c>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7">
        <f>SUM(Input_Raw[[#This Row],[G01]:[G40]])</f>
        <v>0</v>
      </c>
      <c r="CG140" s="18" t="str">
        <f>IFERROR(AVERAGE(Input_Raw[[#This Row],[WS_G01]:[WS_G40]]),"")</f>
        <v/>
      </c>
      <c r="CH140" s="19"/>
      <c r="CI140" s="19"/>
      <c r="CJ140" s="15"/>
      <c r="CK140" s="15"/>
      <c r="CL140" s="15"/>
      <c r="CM140" s="15"/>
      <c r="CN140" s="15"/>
      <c r="CO140" s="15"/>
      <c r="CP140" s="15"/>
      <c r="CQ140" s="15"/>
      <c r="CR140" s="288">
        <f>(Input_Raw[[#This Row],[33 kV_Wind_F1_Export reading]]-CJ139)*1200</f>
        <v>0</v>
      </c>
      <c r="CS140" s="288"/>
      <c r="CT140" s="288"/>
      <c r="CU140" s="288"/>
      <c r="CV140" s="288"/>
      <c r="CW140" s="288"/>
      <c r="CX140" s="288"/>
      <c r="CY140" s="288"/>
      <c r="CZ140" s="288">
        <f>Input_Raw[[#This Row],[33 kV_F1_Total_Export (KWh)]]+Input_Raw[[#This Row],[33 kV_F2_Total_Export (KWh)2]]+Input_Raw[[#This Row],[33 kV_Wind_F3_Export (KWh)]]+Input_Raw[[#This Row],[33 kV_Wind_F4_Export (KWh)]]</f>
        <v>0</v>
      </c>
      <c r="DA140" s="288">
        <f>Input_Raw[[#This Row],[33 kV_Wind_F1_Import (KWh)]]+Input_Raw[[#This Row],[33 kV_Wind_F2_Import (KWh)]]+Input_Raw[[#This Row],[33 kV_Wind_F3_Import (KWh)2]]+Input_Raw[[#This Row],[33 kV_Wind_F4_Import (KWh)2]]</f>
        <v>0</v>
      </c>
      <c r="DB140" s="289" t="str">
        <f>IFERROR(#REF!/Input_Raw[[#This Row],[WTG Total Gneration (KWh)]]-1,"")</f>
        <v/>
      </c>
      <c r="DC140" s="161"/>
      <c r="DD140" s="290"/>
      <c r="DE140" s="160"/>
      <c r="DF140" s="160"/>
      <c r="DG140" s="162"/>
      <c r="DH140" s="160"/>
    </row>
    <row r="141" spans="1:112">
      <c r="A141" s="20">
        <f t="shared" si="7"/>
        <v>45881</v>
      </c>
      <c r="B141" s="12">
        <f>YEAR(Input_Raw[[#This Row],[Date]])+IF(MONTH(Input_Raw[[#This Row],[Date]])&gt;=4,1,0)</f>
        <v>2026</v>
      </c>
      <c r="C141" s="13">
        <f>YEAR(Input_Raw[[#This Row],[Date]])</f>
        <v>2025</v>
      </c>
      <c r="D141" s="14">
        <f t="shared" si="8"/>
        <v>45870</v>
      </c>
      <c r="E141" s="13">
        <f>DAY(EOMONTH(Input_Raw[[#This Row],[Date]],0))</f>
        <v>31</v>
      </c>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7">
        <f>SUM(Input_Raw[[#This Row],[G01]:[G40]])</f>
        <v>0</v>
      </c>
      <c r="CG141" s="18" t="str">
        <f>IFERROR(AVERAGE(Input_Raw[[#This Row],[WS_G01]:[WS_G40]]),"")</f>
        <v/>
      </c>
      <c r="CH141" s="19"/>
      <c r="CI141" s="19"/>
      <c r="CJ141" s="15"/>
      <c r="CK141" s="15"/>
      <c r="CL141" s="15"/>
      <c r="CM141" s="15"/>
      <c r="CN141" s="15"/>
      <c r="CO141" s="15"/>
      <c r="CP141" s="15"/>
      <c r="CQ141" s="15"/>
      <c r="CR141" s="288">
        <f>(Input_Raw[[#This Row],[33 kV_Wind_F1_Export reading]]-CJ140)*1200</f>
        <v>0</v>
      </c>
      <c r="CS141" s="288"/>
      <c r="CT141" s="288"/>
      <c r="CU141" s="288"/>
      <c r="CV141" s="288"/>
      <c r="CW141" s="288"/>
      <c r="CX141" s="288"/>
      <c r="CY141" s="288"/>
      <c r="CZ141" s="288">
        <f>Input_Raw[[#This Row],[33 kV_F1_Total_Export (KWh)]]+Input_Raw[[#This Row],[33 kV_F2_Total_Export (KWh)2]]+Input_Raw[[#This Row],[33 kV_Wind_F3_Export (KWh)]]+Input_Raw[[#This Row],[33 kV_Wind_F4_Export (KWh)]]</f>
        <v>0</v>
      </c>
      <c r="DA141" s="288">
        <f>Input_Raw[[#This Row],[33 kV_Wind_F1_Import (KWh)]]+Input_Raw[[#This Row],[33 kV_Wind_F2_Import (KWh)]]+Input_Raw[[#This Row],[33 kV_Wind_F3_Import (KWh)2]]+Input_Raw[[#This Row],[33 kV_Wind_F4_Import (KWh)2]]</f>
        <v>0</v>
      </c>
      <c r="DB141" s="289" t="str">
        <f>IFERROR(#REF!/Input_Raw[[#This Row],[WTG Total Gneration (KWh)]]-1,"")</f>
        <v/>
      </c>
      <c r="DC141" s="161"/>
      <c r="DD141" s="290"/>
      <c r="DE141" s="160"/>
      <c r="DF141" s="160"/>
      <c r="DG141" s="162"/>
      <c r="DH141" s="160"/>
    </row>
    <row r="142" spans="1:112">
      <c r="A142" s="20">
        <f t="shared" si="7"/>
        <v>45882</v>
      </c>
      <c r="B142" s="12">
        <f>YEAR(Input_Raw[[#This Row],[Date]])+IF(MONTH(Input_Raw[[#This Row],[Date]])&gt;=4,1,0)</f>
        <v>2026</v>
      </c>
      <c r="C142" s="13">
        <f>YEAR(Input_Raw[[#This Row],[Date]])</f>
        <v>2025</v>
      </c>
      <c r="D142" s="14">
        <f t="shared" si="8"/>
        <v>45870</v>
      </c>
      <c r="E142" s="13">
        <f>DAY(EOMONTH(Input_Raw[[#This Row],[Date]],0))</f>
        <v>31</v>
      </c>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7">
        <f>SUM(Input_Raw[[#This Row],[G01]:[G40]])</f>
        <v>0</v>
      </c>
      <c r="CG142" s="18" t="str">
        <f>IFERROR(AVERAGE(Input_Raw[[#This Row],[WS_G01]:[WS_G40]]),"")</f>
        <v/>
      </c>
      <c r="CH142" s="19"/>
      <c r="CI142" s="19"/>
      <c r="CJ142" s="15"/>
      <c r="CK142" s="15"/>
      <c r="CL142" s="15"/>
      <c r="CM142" s="15"/>
      <c r="CN142" s="15"/>
      <c r="CO142" s="15"/>
      <c r="CP142" s="15"/>
      <c r="CQ142" s="15"/>
      <c r="CR142" s="288">
        <f>(Input_Raw[[#This Row],[33 kV_Wind_F1_Export reading]]-CJ141)*1200</f>
        <v>0</v>
      </c>
      <c r="CS142" s="288"/>
      <c r="CT142" s="288"/>
      <c r="CU142" s="288"/>
      <c r="CV142" s="288"/>
      <c r="CW142" s="288"/>
      <c r="CX142" s="288"/>
      <c r="CY142" s="288"/>
      <c r="CZ142" s="288">
        <f>Input_Raw[[#This Row],[33 kV_F1_Total_Export (KWh)]]+Input_Raw[[#This Row],[33 kV_F2_Total_Export (KWh)2]]+Input_Raw[[#This Row],[33 kV_Wind_F3_Export (KWh)]]+Input_Raw[[#This Row],[33 kV_Wind_F4_Export (KWh)]]</f>
        <v>0</v>
      </c>
      <c r="DA142" s="288">
        <f>Input_Raw[[#This Row],[33 kV_Wind_F1_Import (KWh)]]+Input_Raw[[#This Row],[33 kV_Wind_F2_Import (KWh)]]+Input_Raw[[#This Row],[33 kV_Wind_F3_Import (KWh)2]]+Input_Raw[[#This Row],[33 kV_Wind_F4_Import (KWh)2]]</f>
        <v>0</v>
      </c>
      <c r="DB142" s="289" t="str">
        <f>IFERROR(#REF!/Input_Raw[[#This Row],[WTG Total Gneration (KWh)]]-1,"")</f>
        <v/>
      </c>
      <c r="DC142" s="161"/>
      <c r="DD142" s="290"/>
      <c r="DE142" s="160"/>
      <c r="DF142" s="160"/>
      <c r="DG142" s="162"/>
      <c r="DH142" s="160"/>
    </row>
    <row r="143" spans="1:112">
      <c r="A143" s="20">
        <f t="shared" si="7"/>
        <v>45883</v>
      </c>
      <c r="B143" s="12">
        <f>YEAR(Input_Raw[[#This Row],[Date]])+IF(MONTH(Input_Raw[[#This Row],[Date]])&gt;=4,1,0)</f>
        <v>2026</v>
      </c>
      <c r="C143" s="13">
        <f>YEAR(Input_Raw[[#This Row],[Date]])</f>
        <v>2025</v>
      </c>
      <c r="D143" s="14">
        <f t="shared" si="8"/>
        <v>45870</v>
      </c>
      <c r="E143" s="13">
        <f>DAY(EOMONTH(Input_Raw[[#This Row],[Date]],0))</f>
        <v>31</v>
      </c>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7">
        <f>SUM(Input_Raw[[#This Row],[G01]:[G40]])</f>
        <v>0</v>
      </c>
      <c r="CG143" s="18" t="str">
        <f>IFERROR(AVERAGE(Input_Raw[[#This Row],[WS_G01]:[WS_G40]]),"")</f>
        <v/>
      </c>
      <c r="CH143" s="19"/>
      <c r="CI143" s="19"/>
      <c r="CJ143" s="15"/>
      <c r="CK143" s="15"/>
      <c r="CL143" s="15"/>
      <c r="CM143" s="15"/>
      <c r="CN143" s="15"/>
      <c r="CO143" s="15"/>
      <c r="CP143" s="15"/>
      <c r="CQ143" s="15"/>
      <c r="CR143" s="288">
        <f>(Input_Raw[[#This Row],[33 kV_Wind_F1_Export reading]]-CJ142)*1200</f>
        <v>0</v>
      </c>
      <c r="CS143" s="288"/>
      <c r="CT143" s="288"/>
      <c r="CU143" s="288"/>
      <c r="CV143" s="288"/>
      <c r="CW143" s="288"/>
      <c r="CX143" s="288"/>
      <c r="CY143" s="288"/>
      <c r="CZ143" s="288">
        <f>Input_Raw[[#This Row],[33 kV_F1_Total_Export (KWh)]]+Input_Raw[[#This Row],[33 kV_F2_Total_Export (KWh)2]]+Input_Raw[[#This Row],[33 kV_Wind_F3_Export (KWh)]]+Input_Raw[[#This Row],[33 kV_Wind_F4_Export (KWh)]]</f>
        <v>0</v>
      </c>
      <c r="DA143" s="288">
        <f>Input_Raw[[#This Row],[33 kV_Wind_F1_Import (KWh)]]+Input_Raw[[#This Row],[33 kV_Wind_F2_Import (KWh)]]+Input_Raw[[#This Row],[33 kV_Wind_F3_Import (KWh)2]]+Input_Raw[[#This Row],[33 kV_Wind_F4_Import (KWh)2]]</f>
        <v>0</v>
      </c>
      <c r="DB143" s="289" t="str">
        <f>IFERROR(#REF!/Input_Raw[[#This Row],[WTG Total Gneration (KWh)]]-1,"")</f>
        <v/>
      </c>
      <c r="DC143" s="161"/>
      <c r="DD143" s="290"/>
      <c r="DE143" s="160"/>
      <c r="DF143" s="160"/>
      <c r="DG143" s="162"/>
      <c r="DH143" s="160"/>
    </row>
    <row r="144" spans="1:112">
      <c r="A144" s="20">
        <f t="shared" si="7"/>
        <v>45884</v>
      </c>
      <c r="B144" s="12">
        <f>YEAR(Input_Raw[[#This Row],[Date]])+IF(MONTH(Input_Raw[[#This Row],[Date]])&gt;=4,1,0)</f>
        <v>2026</v>
      </c>
      <c r="C144" s="13">
        <f>YEAR(Input_Raw[[#This Row],[Date]])</f>
        <v>2025</v>
      </c>
      <c r="D144" s="14">
        <f t="shared" si="8"/>
        <v>45870</v>
      </c>
      <c r="E144" s="13">
        <f>DAY(EOMONTH(Input_Raw[[#This Row],[Date]],0))</f>
        <v>31</v>
      </c>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7">
        <f>SUM(Input_Raw[[#This Row],[G01]:[G40]])</f>
        <v>0</v>
      </c>
      <c r="CG144" s="18" t="str">
        <f>IFERROR(AVERAGE(Input_Raw[[#This Row],[WS_G01]:[WS_G40]]),"")</f>
        <v/>
      </c>
      <c r="CH144" s="19"/>
      <c r="CI144" s="19"/>
      <c r="CJ144" s="15"/>
      <c r="CK144" s="15"/>
      <c r="CL144" s="15"/>
      <c r="CM144" s="15"/>
      <c r="CN144" s="15"/>
      <c r="CO144" s="15"/>
      <c r="CP144" s="15"/>
      <c r="CQ144" s="15"/>
      <c r="CR144" s="288">
        <f>(Input_Raw[[#This Row],[33 kV_Wind_F1_Export reading]]-CJ143)*1200</f>
        <v>0</v>
      </c>
      <c r="CS144" s="288"/>
      <c r="CT144" s="288"/>
      <c r="CU144" s="288"/>
      <c r="CV144" s="288"/>
      <c r="CW144" s="288"/>
      <c r="CX144" s="288"/>
      <c r="CY144" s="288"/>
      <c r="CZ144" s="288">
        <f>Input_Raw[[#This Row],[33 kV_F1_Total_Export (KWh)]]+Input_Raw[[#This Row],[33 kV_F2_Total_Export (KWh)2]]+Input_Raw[[#This Row],[33 kV_Wind_F3_Export (KWh)]]+Input_Raw[[#This Row],[33 kV_Wind_F4_Export (KWh)]]</f>
        <v>0</v>
      </c>
      <c r="DA144" s="288">
        <f>Input_Raw[[#This Row],[33 kV_Wind_F1_Import (KWh)]]+Input_Raw[[#This Row],[33 kV_Wind_F2_Import (KWh)]]+Input_Raw[[#This Row],[33 kV_Wind_F3_Import (KWh)2]]+Input_Raw[[#This Row],[33 kV_Wind_F4_Import (KWh)2]]</f>
        <v>0</v>
      </c>
      <c r="DB144" s="289" t="str">
        <f>IFERROR(#REF!/Input_Raw[[#This Row],[WTG Total Gneration (KWh)]]-1,"")</f>
        <v/>
      </c>
      <c r="DC144" s="161"/>
      <c r="DD144" s="290"/>
      <c r="DE144" s="160"/>
      <c r="DF144" s="160"/>
      <c r="DG144" s="162"/>
      <c r="DH144" s="160"/>
    </row>
    <row r="145" spans="109:109">
      <c r="DE145" s="156"/>
    </row>
    <row r="146" spans="109:109">
      <c r="DE146" s="156"/>
    </row>
    <row r="147" spans="109:109">
      <c r="DE147" s="156"/>
    </row>
    <row r="148" spans="109:109">
      <c r="DE148" s="156"/>
    </row>
    <row r="149" spans="109:109">
      <c r="DE149" s="156"/>
    </row>
    <row r="150" spans="109:109">
      <c r="DE150" s="156"/>
    </row>
    <row r="151" spans="109:109">
      <c r="DE151" s="156"/>
    </row>
    <row r="152" spans="109:109">
      <c r="DE152" s="156"/>
    </row>
    <row r="153" spans="109:109">
      <c r="DE153" s="156"/>
    </row>
    <row r="154" spans="109:109">
      <c r="DE154" s="156"/>
    </row>
    <row r="155" spans="109:109">
      <c r="DE155" s="156"/>
    </row>
    <row r="156" spans="109:109">
      <c r="DE156" s="156"/>
    </row>
    <row r="157" spans="109:109">
      <c r="DE157" s="156"/>
    </row>
    <row r="158" spans="109:109">
      <c r="DE158" s="156"/>
    </row>
    <row r="159" spans="109:109">
      <c r="DE159" s="156"/>
    </row>
    <row r="160" spans="109:109">
      <c r="DE160" s="156"/>
    </row>
    <row r="161" spans="109:109">
      <c r="DE161" s="156"/>
    </row>
    <row r="162" spans="109:109">
      <c r="DE162" s="156"/>
    </row>
    <row r="163" spans="109:109">
      <c r="DE163" s="156"/>
    </row>
    <row r="164" spans="109:109">
      <c r="DE164" s="156"/>
    </row>
    <row r="165" spans="109:109">
      <c r="DE165" s="156"/>
    </row>
    <row r="166" spans="109:109">
      <c r="DE166" s="156"/>
    </row>
    <row r="167" spans="109:109">
      <c r="DE167" s="156"/>
    </row>
    <row r="168" spans="109:109">
      <c r="DE168" s="156"/>
    </row>
    <row r="169" spans="109:109">
      <c r="DE169" s="156"/>
    </row>
    <row r="170" spans="109:109">
      <c r="DE170" s="156"/>
    </row>
    <row r="171" spans="109:109">
      <c r="DE171" s="156"/>
    </row>
    <row r="172" spans="109:109">
      <c r="DE172" s="156"/>
    </row>
    <row r="173" spans="109:109">
      <c r="DE173" s="156"/>
    </row>
    <row r="174" spans="109:109">
      <c r="DE174" s="156"/>
    </row>
    <row r="175" spans="109:109">
      <c r="DE175" s="156"/>
    </row>
    <row r="176" spans="109:109">
      <c r="DE176" s="156"/>
    </row>
    <row r="177" spans="109:109">
      <c r="DE177" s="156"/>
    </row>
    <row r="178" spans="109:109">
      <c r="DE178" s="156"/>
    </row>
    <row r="179" spans="109:109">
      <c r="DE179" s="156"/>
    </row>
    <row r="180" spans="109:109">
      <c r="DE180" s="156"/>
    </row>
    <row r="181" spans="109:109">
      <c r="DE181" s="156"/>
    </row>
    <row r="182" spans="109:109">
      <c r="DE182" s="156"/>
    </row>
    <row r="183" spans="109:109">
      <c r="DE183" s="156"/>
    </row>
    <row r="184" spans="109:109">
      <c r="DE184" s="156"/>
    </row>
    <row r="185" spans="109:109">
      <c r="DE185" s="156"/>
    </row>
    <row r="186" spans="109:109">
      <c r="DE186" s="156"/>
    </row>
    <row r="187" spans="109:109">
      <c r="DE187" s="156"/>
    </row>
    <row r="188" spans="109:109">
      <c r="DE188" s="156"/>
    </row>
    <row r="189" spans="109:109">
      <c r="DE189" s="156"/>
    </row>
    <row r="190" spans="109:109">
      <c r="DE190" s="156"/>
    </row>
    <row r="191" spans="109:109">
      <c r="DE191" s="156"/>
    </row>
    <row r="192" spans="109:109">
      <c r="DE192" s="156"/>
    </row>
    <row r="193" spans="109:109">
      <c r="DE193" s="156"/>
    </row>
    <row r="194" spans="109:109">
      <c r="DE194" s="156"/>
    </row>
    <row r="195" spans="109:109">
      <c r="DE195" s="156"/>
    </row>
    <row r="196" spans="109:109">
      <c r="DE196" s="156"/>
    </row>
    <row r="197" spans="109:109">
      <c r="DE197" s="156"/>
    </row>
  </sheetData>
  <phoneticPr fontId="9"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24A75-7217-415B-A631-97F0B6117394}">
  <dimension ref="A1:AQ61"/>
  <sheetViews>
    <sheetView workbookViewId="0">
      <pane xSplit="4" ySplit="1" topLeftCell="E47" activePane="bottomRight" state="frozen"/>
      <selection pane="bottomRight" activeCell="Z51" sqref="Z51"/>
      <selection pane="bottomLeft" activeCell="C1" sqref="C1"/>
      <selection pane="topRight" activeCell="C1" sqref="C1"/>
    </sheetView>
  </sheetViews>
  <sheetFormatPr defaultColWidth="8.7109375" defaultRowHeight="15"/>
  <cols>
    <col min="1" max="1" width="8.7109375" style="167"/>
    <col min="2" max="2" width="9.85546875" style="167" bestFit="1" customWidth="1"/>
    <col min="3" max="3" width="15.85546875" style="167" customWidth="1"/>
    <col min="4" max="6" width="8.7109375" style="167"/>
    <col min="7" max="7" width="20.5703125" style="167" customWidth="1"/>
    <col min="8" max="8" width="8.7109375" style="167"/>
    <col min="9" max="9" width="9.42578125" style="167" bestFit="1" customWidth="1"/>
    <col min="10" max="14" width="8.7109375" style="167"/>
    <col min="15" max="15" width="9.85546875" style="167" bestFit="1" customWidth="1"/>
    <col min="16" max="16" width="11" style="167" customWidth="1"/>
    <col min="17" max="17" width="15.28515625" style="167" customWidth="1"/>
    <col min="18" max="19" width="10.85546875" style="167" customWidth="1"/>
    <col min="20" max="20" width="13" style="167" customWidth="1"/>
    <col min="21" max="25" width="12.85546875" style="167" customWidth="1"/>
    <col min="26" max="27" width="14.5703125" style="167" customWidth="1"/>
    <col min="28" max="29" width="15.5703125" style="167" customWidth="1"/>
    <col min="30" max="38" width="9.85546875" style="167" customWidth="1"/>
    <col min="39" max="39" width="12" style="167" bestFit="1" customWidth="1"/>
    <col min="40" max="41" width="12" style="167" customWidth="1"/>
    <col min="42" max="42" width="27.5703125" style="167" bestFit="1" customWidth="1"/>
    <col min="43" max="16384" width="8.7109375" style="167"/>
  </cols>
  <sheetData>
    <row r="1" spans="1:43" ht="45">
      <c r="A1" s="191" t="s">
        <v>7</v>
      </c>
      <c r="B1" s="191" t="s">
        <v>383</v>
      </c>
      <c r="C1" s="191" t="s">
        <v>384</v>
      </c>
      <c r="D1" s="191" t="s">
        <v>385</v>
      </c>
      <c r="E1" s="191" t="s">
        <v>386</v>
      </c>
      <c r="F1" s="191" t="s">
        <v>387</v>
      </c>
      <c r="G1" s="191" t="s">
        <v>388</v>
      </c>
      <c r="H1" s="191" t="s">
        <v>389</v>
      </c>
      <c r="I1" s="191" t="s">
        <v>390</v>
      </c>
      <c r="J1" s="191" t="s">
        <v>391</v>
      </c>
      <c r="K1" s="191" t="s">
        <v>392</v>
      </c>
      <c r="L1" s="191" t="s">
        <v>393</v>
      </c>
      <c r="M1" s="191" t="s">
        <v>394</v>
      </c>
      <c r="N1" s="191" t="s">
        <v>395</v>
      </c>
      <c r="O1" s="191" t="s">
        <v>396</v>
      </c>
      <c r="P1" s="191" t="s">
        <v>397</v>
      </c>
      <c r="Q1" s="191" t="s">
        <v>398</v>
      </c>
      <c r="R1" s="191" t="s">
        <v>399</v>
      </c>
      <c r="S1" s="191" t="s">
        <v>400</v>
      </c>
      <c r="T1" s="191" t="s">
        <v>401</v>
      </c>
      <c r="U1" s="191" t="s">
        <v>402</v>
      </c>
      <c r="V1" s="191" t="s">
        <v>403</v>
      </c>
      <c r="W1" s="191" t="s">
        <v>404</v>
      </c>
      <c r="X1" s="191" t="s">
        <v>405</v>
      </c>
      <c r="Y1" s="191" t="s">
        <v>406</v>
      </c>
      <c r="Z1" s="191" t="s">
        <v>407</v>
      </c>
      <c r="AA1" s="191" t="s">
        <v>408</v>
      </c>
      <c r="AB1" s="191" t="s">
        <v>409</v>
      </c>
      <c r="AC1" s="191" t="s">
        <v>410</v>
      </c>
      <c r="AD1" s="191" t="s">
        <v>411</v>
      </c>
      <c r="AE1" s="191" t="s">
        <v>412</v>
      </c>
      <c r="AF1" s="191" t="s">
        <v>413</v>
      </c>
      <c r="AG1" s="191" t="s">
        <v>414</v>
      </c>
      <c r="AH1" s="191" t="s">
        <v>415</v>
      </c>
      <c r="AI1" s="191" t="s">
        <v>416</v>
      </c>
      <c r="AJ1" s="191" t="s">
        <v>417</v>
      </c>
      <c r="AK1" s="191" t="s">
        <v>418</v>
      </c>
      <c r="AL1" s="191" t="s">
        <v>419</v>
      </c>
      <c r="AM1" s="191" t="s">
        <v>112</v>
      </c>
      <c r="AN1" s="191" t="s">
        <v>113</v>
      </c>
      <c r="AP1" s="167" t="s">
        <v>420</v>
      </c>
      <c r="AQ1" s="192">
        <v>78</v>
      </c>
    </row>
    <row r="2" spans="1:43">
      <c r="A2" s="193">
        <v>1</v>
      </c>
      <c r="B2" s="194" t="s">
        <v>421</v>
      </c>
      <c r="C2" s="195">
        <v>4</v>
      </c>
      <c r="D2" s="194">
        <v>44287</v>
      </c>
      <c r="E2" s="174">
        <f>YEAR(D2)</f>
        <v>2021</v>
      </c>
      <c r="F2" s="174" t="s">
        <v>422</v>
      </c>
      <c r="G2" s="193">
        <f>DAY(EOMONTH(D2,0))</f>
        <v>30</v>
      </c>
      <c r="H2" s="196"/>
      <c r="I2" s="196"/>
      <c r="J2" s="197">
        <v>5.6333333333333329</v>
      </c>
      <c r="K2" s="196"/>
      <c r="L2" s="193"/>
      <c r="M2" s="198">
        <v>11863.843200000001</v>
      </c>
      <c r="N2" s="198">
        <v>80</v>
      </c>
      <c r="O2" s="175"/>
      <c r="P2" s="197"/>
      <c r="Q2" s="193">
        <f>COUNTIFS('Daily KPI'!$D:$D,D2,'Daily KPI'!$M:$M,"&gt;0")</f>
        <v>0</v>
      </c>
      <c r="R2" s="198"/>
      <c r="S2" s="198"/>
      <c r="T2" s="197">
        <f t="shared" ref="T2:T39" si="0">M2/G2</f>
        <v>395.46144000000004</v>
      </c>
      <c r="U2" s="198">
        <f t="shared" ref="U2:U39" si="1">M2/G2*Q2</f>
        <v>0</v>
      </c>
      <c r="V2" s="198">
        <f>SUMIF($F$2:F2,F2,$U$2:U2)</f>
        <v>0</v>
      </c>
      <c r="W2" s="175">
        <f t="shared" ref="W2:W33" si="2">IFERROR(T2/(24*N2),"")</f>
        <v>0.20596950000000003</v>
      </c>
      <c r="X2" s="175" t="str">
        <f t="shared" ref="X2:X33" si="3">IFERROR(U2/(24*N2*Q2),"")</f>
        <v/>
      </c>
      <c r="Y2" s="175" t="str">
        <f t="shared" ref="Y2:Y33" si="4">IFERROR(V2/(24*N2*SUMIFS($Q:$Q,$F:$F,$F2,$D:$D,"&lt;="&amp;D2)),"")</f>
        <v/>
      </c>
      <c r="Z2" s="197" t="str">
        <f>IFERROR(AVERAGEIF('Daily KPI'!D:D,Table14[[#This Row],[Month]],'Daily KPI'!AB:AB),"")</f>
        <v/>
      </c>
      <c r="AA2" s="196" t="str">
        <f>IFERROR(AVERAGEIF($F$2:F2,F2,$Z$2:Z2),"")</f>
        <v/>
      </c>
      <c r="AB2" s="198"/>
      <c r="AC2" s="197">
        <v>6.4041034581308942</v>
      </c>
      <c r="AD2" s="197">
        <f>AVERAGEIF($F$2:F2,F2,$AC$2:AC2)</f>
        <v>6.4041034581308942</v>
      </c>
      <c r="AE2" s="175">
        <f t="shared" ref="AE2:AE33" si="5">IFERROR(AH2*AI2,"")</f>
        <v>0.96029999999999993</v>
      </c>
      <c r="AF2" s="175">
        <v>0.995</v>
      </c>
      <c r="AG2" s="175"/>
      <c r="AH2" s="175">
        <v>0.97</v>
      </c>
      <c r="AI2" s="175">
        <v>0.99</v>
      </c>
      <c r="AJ2" s="175">
        <v>0.95</v>
      </c>
      <c r="AK2" s="175">
        <v>0.05</v>
      </c>
      <c r="AL2" s="175">
        <v>0.05</v>
      </c>
      <c r="AM2" s="222"/>
      <c r="AN2" s="222"/>
      <c r="AP2" s="203" t="s">
        <v>423</v>
      </c>
      <c r="AQ2" s="167">
        <f>AQ1*5%</f>
        <v>3.9000000000000004</v>
      </c>
    </row>
    <row r="3" spans="1:43">
      <c r="A3" s="195">
        <f>A2+1</f>
        <v>2</v>
      </c>
      <c r="B3" s="194" t="s">
        <v>424</v>
      </c>
      <c r="C3" s="195">
        <v>5</v>
      </c>
      <c r="D3" s="194">
        <v>44317</v>
      </c>
      <c r="E3" s="172">
        <f>YEAR(D3)</f>
        <v>2021</v>
      </c>
      <c r="F3" s="174" t="s">
        <v>422</v>
      </c>
      <c r="G3" s="195">
        <f>DAY(EOMONTH(D3,0))</f>
        <v>31</v>
      </c>
      <c r="H3" s="199"/>
      <c r="I3" s="199"/>
      <c r="J3" s="200">
        <v>6.5666666666666664</v>
      </c>
      <c r="K3" s="199"/>
      <c r="L3" s="195"/>
      <c r="M3" s="201">
        <v>20092.21632</v>
      </c>
      <c r="N3" s="201">
        <v>80</v>
      </c>
      <c r="O3" s="173"/>
      <c r="P3" s="200"/>
      <c r="Q3" s="195">
        <f>COUNTIFS('Daily KPI'!$D:$D,D3,'Daily KPI'!$M:$M,"&gt;0")</f>
        <v>0</v>
      </c>
      <c r="R3" s="201"/>
      <c r="S3" s="201"/>
      <c r="T3" s="200">
        <f t="shared" si="0"/>
        <v>648.13601032258066</v>
      </c>
      <c r="U3" s="201">
        <f t="shared" si="1"/>
        <v>0</v>
      </c>
      <c r="V3" s="201">
        <f>SUMIF($F$2:F3,F3,$U$2:U3)</f>
        <v>0</v>
      </c>
      <c r="W3" s="173">
        <f t="shared" si="2"/>
        <v>0.33757083870967741</v>
      </c>
      <c r="X3" s="173" t="str">
        <f t="shared" si="3"/>
        <v/>
      </c>
      <c r="Y3" s="173" t="str">
        <f t="shared" si="4"/>
        <v/>
      </c>
      <c r="Z3" s="200" t="str">
        <f>IFERROR(AVERAGEIF('Daily KPI'!D:D,Table14[[#This Row],[Month]],'Daily KPI'!AB:AB),"")</f>
        <v/>
      </c>
      <c r="AA3" s="196" t="str">
        <f>IFERROR(AVERAGEIF($F$2:F3,F3,$Z$2:Z3),"")</f>
        <v/>
      </c>
      <c r="AB3" s="201"/>
      <c r="AC3" s="200">
        <v>5.9681800514432695</v>
      </c>
      <c r="AD3" s="200">
        <f>AVERAGEIF($F$2:F3,F3,$AC$2:AC3)</f>
        <v>6.1861417547870818</v>
      </c>
      <c r="AE3" s="173">
        <f t="shared" si="5"/>
        <v>0.96029999999999993</v>
      </c>
      <c r="AF3" s="173">
        <v>0.995</v>
      </c>
      <c r="AG3" s="173"/>
      <c r="AH3" s="173">
        <v>0.97</v>
      </c>
      <c r="AI3" s="173">
        <v>0.99</v>
      </c>
      <c r="AJ3" s="173">
        <v>0.95</v>
      </c>
      <c r="AK3" s="173">
        <v>0.05</v>
      </c>
      <c r="AL3" s="173">
        <v>0.05</v>
      </c>
      <c r="AM3" s="221"/>
      <c r="AN3" s="221"/>
      <c r="AP3" s="203" t="s">
        <v>425</v>
      </c>
      <c r="AQ3" s="167">
        <f>AQ2*24</f>
        <v>93.600000000000009</v>
      </c>
    </row>
    <row r="4" spans="1:43">
      <c r="A4" s="195">
        <f t="shared" ref="A4:A61" si="6">A3+1</f>
        <v>3</v>
      </c>
      <c r="B4" s="194" t="s">
        <v>426</v>
      </c>
      <c r="C4" s="195">
        <v>6</v>
      </c>
      <c r="D4" s="194">
        <v>44348</v>
      </c>
      <c r="E4" s="174">
        <f t="shared" ref="E4:E23" si="7">YEAR(D4)</f>
        <v>2021</v>
      </c>
      <c r="F4" s="174" t="s">
        <v>422</v>
      </c>
      <c r="G4" s="193">
        <f t="shared" ref="G4:G23" si="8">DAY(EOMONTH(D4,0))</f>
        <v>30</v>
      </c>
      <c r="H4" s="196"/>
      <c r="I4" s="196"/>
      <c r="J4" s="197">
        <v>6.5666666666666664</v>
      </c>
      <c r="K4" s="196"/>
      <c r="L4" s="193"/>
      <c r="M4" s="198">
        <v>17455.80672</v>
      </c>
      <c r="N4" s="198">
        <v>80</v>
      </c>
      <c r="O4" s="175"/>
      <c r="P4" s="197"/>
      <c r="Q4" s="193">
        <f>COUNTIFS('Daily KPI'!$D:$D,D4,'Daily KPI'!$M:$M,"&gt;0")</f>
        <v>0</v>
      </c>
      <c r="R4" s="198"/>
      <c r="S4" s="198"/>
      <c r="T4" s="197">
        <f t="shared" si="0"/>
        <v>581.86022400000002</v>
      </c>
      <c r="U4" s="198">
        <f t="shared" si="1"/>
        <v>0</v>
      </c>
      <c r="V4" s="198">
        <f>SUMIF($F$2:F4,F4,$U$2:U4)</f>
        <v>0</v>
      </c>
      <c r="W4" s="175">
        <f t="shared" si="2"/>
        <v>0.30305219999999999</v>
      </c>
      <c r="X4" s="175" t="str">
        <f t="shared" si="3"/>
        <v/>
      </c>
      <c r="Y4" s="175" t="str">
        <f t="shared" si="4"/>
        <v/>
      </c>
      <c r="Z4" s="197" t="str">
        <f>IFERROR(AVERAGEIF('Daily KPI'!D:D,Table14[[#This Row],[Month]],'Daily KPI'!AB:AB),"")</f>
        <v/>
      </c>
      <c r="AA4" s="196" t="str">
        <f>IFERROR(AVERAGEIF($F$2:F4,F4,$Z$2:Z4),"")</f>
        <v/>
      </c>
      <c r="AB4" s="198"/>
      <c r="AC4" s="197">
        <v>5.6310997427836513</v>
      </c>
      <c r="AD4" s="197">
        <f>AVERAGEIF($F$2:F4,F4,$AC$2:AC4)</f>
        <v>6.0011277507859377</v>
      </c>
      <c r="AE4" s="175">
        <f t="shared" si="5"/>
        <v>0.96029999999999993</v>
      </c>
      <c r="AF4" s="175">
        <v>0.995</v>
      </c>
      <c r="AG4" s="175"/>
      <c r="AH4" s="175">
        <v>0.97</v>
      </c>
      <c r="AI4" s="175">
        <v>0.99</v>
      </c>
      <c r="AJ4" s="175">
        <v>0.95</v>
      </c>
      <c r="AK4" s="175">
        <v>0.05</v>
      </c>
      <c r="AL4" s="175">
        <v>0.05</v>
      </c>
      <c r="AM4" s="221"/>
      <c r="AN4" s="221"/>
    </row>
    <row r="5" spans="1:43">
      <c r="A5" s="195">
        <f t="shared" si="6"/>
        <v>4</v>
      </c>
      <c r="B5" s="194" t="s">
        <v>427</v>
      </c>
      <c r="C5" s="195">
        <v>7</v>
      </c>
      <c r="D5" s="194">
        <v>44378</v>
      </c>
      <c r="E5" s="172">
        <f t="shared" si="7"/>
        <v>2021</v>
      </c>
      <c r="F5" s="174" t="s">
        <v>422</v>
      </c>
      <c r="G5" s="195">
        <f t="shared" si="8"/>
        <v>31</v>
      </c>
      <c r="H5" s="199"/>
      <c r="I5" s="199"/>
      <c r="J5" s="200">
        <v>7.6000000000000005</v>
      </c>
      <c r="K5" s="199"/>
      <c r="L5" s="195"/>
      <c r="M5" s="201">
        <v>21077.400960000003</v>
      </c>
      <c r="N5" s="201">
        <v>80</v>
      </c>
      <c r="O5" s="173"/>
      <c r="P5" s="200"/>
      <c r="Q5" s="195">
        <f>COUNTIFS('Daily KPI'!$D:$D,D5,'Daily KPI'!$M:$M,"&gt;0")</f>
        <v>0</v>
      </c>
      <c r="R5" s="201"/>
      <c r="S5" s="201"/>
      <c r="T5" s="200">
        <f t="shared" si="0"/>
        <v>679.9161600000001</v>
      </c>
      <c r="U5" s="201">
        <f t="shared" si="1"/>
        <v>0</v>
      </c>
      <c r="V5" s="201">
        <f>SUMIF($F$2:F5,F5,$U$2:U5)</f>
        <v>0</v>
      </c>
      <c r="W5" s="173">
        <f t="shared" si="2"/>
        <v>0.35412300000000008</v>
      </c>
      <c r="X5" s="173" t="str">
        <f t="shared" si="3"/>
        <v/>
      </c>
      <c r="Y5" s="173" t="str">
        <f t="shared" si="4"/>
        <v/>
      </c>
      <c r="Z5" s="200" t="str">
        <f>IFERROR(AVERAGEIF('Daily KPI'!D:D,Table14[[#This Row],[Month]],'Daily KPI'!AB:AB),"")</f>
        <v/>
      </c>
      <c r="AA5" s="196" t="str">
        <f>IFERROR(AVERAGEIF($F$2:F5,F5,$Z$2:Z5),"")</f>
        <v/>
      </c>
      <c r="AB5" s="201"/>
      <c r="AC5" s="200">
        <v>7.1310648756787653</v>
      </c>
      <c r="AD5" s="200">
        <f>AVERAGEIF($F$2:F5,F5,$AC$2:AC5)</f>
        <v>6.2836120320091453</v>
      </c>
      <c r="AE5" s="173">
        <f t="shared" si="5"/>
        <v>0.96029999999999993</v>
      </c>
      <c r="AF5" s="173">
        <v>0.995</v>
      </c>
      <c r="AG5" s="173"/>
      <c r="AH5" s="173">
        <v>0.97</v>
      </c>
      <c r="AI5" s="173">
        <v>0.99</v>
      </c>
      <c r="AJ5" s="173">
        <v>0.95</v>
      </c>
      <c r="AK5" s="173">
        <v>0.05</v>
      </c>
      <c r="AL5" s="173">
        <v>0.05</v>
      </c>
      <c r="AM5" s="221"/>
      <c r="AN5" s="221"/>
    </row>
    <row r="6" spans="1:43">
      <c r="A6" s="195">
        <f t="shared" si="6"/>
        <v>5</v>
      </c>
      <c r="B6" s="194" t="s">
        <v>428</v>
      </c>
      <c r="C6" s="195">
        <v>8</v>
      </c>
      <c r="D6" s="194">
        <v>44409</v>
      </c>
      <c r="E6" s="174">
        <f t="shared" si="7"/>
        <v>2021</v>
      </c>
      <c r="F6" s="174" t="s">
        <v>422</v>
      </c>
      <c r="G6" s="193">
        <f t="shared" si="8"/>
        <v>31</v>
      </c>
      <c r="H6" s="196"/>
      <c r="I6" s="196"/>
      <c r="J6" s="197">
        <v>6.8666666666666671</v>
      </c>
      <c r="K6" s="196"/>
      <c r="L6" s="193"/>
      <c r="M6" s="198">
        <v>22159.716479999999</v>
      </c>
      <c r="N6" s="198">
        <v>80</v>
      </c>
      <c r="O6" s="175"/>
      <c r="P6" s="197"/>
      <c r="Q6" s="193">
        <f>COUNTIFS('Daily KPI'!$D:$D,D6,'Daily KPI'!$M:$M,"&gt;0")</f>
        <v>0</v>
      </c>
      <c r="R6" s="198"/>
      <c r="S6" s="198"/>
      <c r="T6" s="197">
        <f t="shared" si="0"/>
        <v>714.82956387096772</v>
      </c>
      <c r="U6" s="198">
        <f t="shared" si="1"/>
        <v>0</v>
      </c>
      <c r="V6" s="198">
        <f>SUMIF($F$2:F6,F6,$U$2:U6)</f>
        <v>0</v>
      </c>
      <c r="W6" s="175">
        <f t="shared" si="2"/>
        <v>0.37230706451612899</v>
      </c>
      <c r="X6" s="175" t="str">
        <f t="shared" si="3"/>
        <v/>
      </c>
      <c r="Y6" s="175" t="str">
        <f t="shared" si="4"/>
        <v/>
      </c>
      <c r="Z6" s="197" t="str">
        <f>IFERROR(AVERAGEIF('Daily KPI'!D:D,Table14[[#This Row],[Month]],'Daily KPI'!AB:AB),"")</f>
        <v/>
      </c>
      <c r="AA6" s="196" t="str">
        <f>IFERROR(AVERAGEIF($F$2:F6,F6,$Z$2:Z6),"")</f>
        <v/>
      </c>
      <c r="AB6" s="198"/>
      <c r="AC6" s="197">
        <v>9.4530328665332952</v>
      </c>
      <c r="AD6" s="197">
        <f>AVERAGEIF($F$2:F6,F6,$AC$2:AC6)</f>
        <v>6.9174961989139749</v>
      </c>
      <c r="AE6" s="175">
        <f t="shared" si="5"/>
        <v>0.96029999999999993</v>
      </c>
      <c r="AF6" s="175">
        <v>0.995</v>
      </c>
      <c r="AG6" s="175"/>
      <c r="AH6" s="175">
        <v>0.97</v>
      </c>
      <c r="AI6" s="175">
        <v>0.99</v>
      </c>
      <c r="AJ6" s="175">
        <v>0.95</v>
      </c>
      <c r="AK6" s="175">
        <v>0.05</v>
      </c>
      <c r="AL6" s="175">
        <v>0.05</v>
      </c>
      <c r="AM6" s="221"/>
      <c r="AN6" s="221"/>
      <c r="AQ6" s="202"/>
    </row>
    <row r="7" spans="1:43">
      <c r="A7" s="195">
        <f t="shared" si="6"/>
        <v>6</v>
      </c>
      <c r="B7" s="194" t="s">
        <v>429</v>
      </c>
      <c r="C7" s="195">
        <v>9</v>
      </c>
      <c r="D7" s="194">
        <v>44440</v>
      </c>
      <c r="E7" s="172">
        <f t="shared" si="7"/>
        <v>2021</v>
      </c>
      <c r="F7" s="174" t="s">
        <v>422</v>
      </c>
      <c r="G7" s="195">
        <f t="shared" si="8"/>
        <v>30</v>
      </c>
      <c r="H7" s="199"/>
      <c r="I7" s="199"/>
      <c r="J7" s="200">
        <v>5.0333333333333332</v>
      </c>
      <c r="K7" s="199"/>
      <c r="L7" s="195"/>
      <c r="M7" s="201">
        <v>9726.9638400000003</v>
      </c>
      <c r="N7" s="201">
        <v>80</v>
      </c>
      <c r="O7" s="173"/>
      <c r="P7" s="200"/>
      <c r="Q7" s="195">
        <f>COUNTIFS('Daily KPI'!$D:$D,D7,'Daily KPI'!$M:$M,"&gt;0")</f>
        <v>0</v>
      </c>
      <c r="R7" s="201"/>
      <c r="S7" s="201"/>
      <c r="T7" s="200">
        <f t="shared" si="0"/>
        <v>324.23212799999999</v>
      </c>
      <c r="U7" s="201">
        <f t="shared" si="1"/>
        <v>0</v>
      </c>
      <c r="V7" s="201">
        <f>SUMIF($F$2:F7,F7,$U$2:U7)</f>
        <v>0</v>
      </c>
      <c r="W7" s="173">
        <f t="shared" si="2"/>
        <v>0.16887089999999999</v>
      </c>
      <c r="X7" s="173" t="str">
        <f t="shared" si="3"/>
        <v/>
      </c>
      <c r="Y7" s="173" t="str">
        <f t="shared" si="4"/>
        <v/>
      </c>
      <c r="Z7" s="200" t="str">
        <f>IFERROR(AVERAGEIF('Daily KPI'!D:D,Table14[[#This Row],[Month]],'Daily KPI'!AB:AB),"")</f>
        <v/>
      </c>
      <c r="AA7" s="196" t="str">
        <f>IFERROR(AVERAGEIF($F$2:F7,F7,$Z$2:Z7),"")</f>
        <v/>
      </c>
      <c r="AB7" s="201"/>
      <c r="AC7" s="200">
        <v>10.303759359817088</v>
      </c>
      <c r="AD7" s="200">
        <f>AVERAGEIF($F$2:F7,F7,$AC$2:AC7)</f>
        <v>7.4818733923978264</v>
      </c>
      <c r="AE7" s="173">
        <f t="shared" si="5"/>
        <v>0.96029999999999993</v>
      </c>
      <c r="AF7" s="173">
        <v>0.995</v>
      </c>
      <c r="AG7" s="173"/>
      <c r="AH7" s="173">
        <v>0.97</v>
      </c>
      <c r="AI7" s="173">
        <v>0.99</v>
      </c>
      <c r="AJ7" s="173">
        <v>0.95</v>
      </c>
      <c r="AK7" s="173">
        <v>0.05</v>
      </c>
      <c r="AL7" s="173">
        <v>0.05</v>
      </c>
      <c r="AM7" s="221"/>
      <c r="AN7" s="221"/>
    </row>
    <row r="8" spans="1:43">
      <c r="A8" s="195">
        <f t="shared" si="6"/>
        <v>7</v>
      </c>
      <c r="B8" s="194" t="s">
        <v>430</v>
      </c>
      <c r="C8" s="195">
        <v>10</v>
      </c>
      <c r="D8" s="194">
        <v>44470</v>
      </c>
      <c r="E8" s="174">
        <f t="shared" si="7"/>
        <v>2021</v>
      </c>
      <c r="F8" s="174" t="s">
        <v>422</v>
      </c>
      <c r="G8" s="193">
        <f t="shared" si="8"/>
        <v>31</v>
      </c>
      <c r="H8" s="196"/>
      <c r="I8" s="196"/>
      <c r="J8" s="197">
        <v>3.9666666666666668</v>
      </c>
      <c r="K8" s="196"/>
      <c r="L8" s="193"/>
      <c r="M8" s="198">
        <v>5924.9836800000003</v>
      </c>
      <c r="N8" s="198">
        <v>80</v>
      </c>
      <c r="O8" s="175"/>
      <c r="P8" s="197"/>
      <c r="Q8" s="193">
        <f>COUNTIFS('Daily KPI'!$D:$D,D8,'Daily KPI'!$M:$M,"&gt;0")</f>
        <v>0</v>
      </c>
      <c r="R8" s="198"/>
      <c r="S8" s="198"/>
      <c r="T8" s="197">
        <f t="shared" si="0"/>
        <v>191.12850580645161</v>
      </c>
      <c r="U8" s="198">
        <f t="shared" si="1"/>
        <v>0</v>
      </c>
      <c r="V8" s="198">
        <f>SUMIF($F$2:F8,F8,$U$2:U8)</f>
        <v>0</v>
      </c>
      <c r="W8" s="175">
        <f t="shared" si="2"/>
        <v>9.9546096774193543E-2</v>
      </c>
      <c r="X8" s="175" t="str">
        <f t="shared" si="3"/>
        <v/>
      </c>
      <c r="Y8" s="175" t="str">
        <f t="shared" si="4"/>
        <v/>
      </c>
      <c r="Z8" s="197" t="str">
        <f>IFERROR(AVERAGEIF('Daily KPI'!D:D,Table14[[#This Row],[Month]],'Daily KPI'!AB:AB),"")</f>
        <v/>
      </c>
      <c r="AA8" s="196" t="str">
        <f>IFERROR(AVERAGEIF($F$2:F8,F8,$Z$2:Z8),"")</f>
        <v/>
      </c>
      <c r="AB8" s="198"/>
      <c r="AC8" s="197">
        <v>8.5195147184909956</v>
      </c>
      <c r="AD8" s="197">
        <f>AVERAGEIF($F$2:F8,F8,$AC$2:AC8)</f>
        <v>7.6301078675539937</v>
      </c>
      <c r="AE8" s="175">
        <f t="shared" si="5"/>
        <v>0.96029999999999993</v>
      </c>
      <c r="AF8" s="175">
        <v>0.995</v>
      </c>
      <c r="AG8" s="175"/>
      <c r="AH8" s="175">
        <v>0.97</v>
      </c>
      <c r="AI8" s="175">
        <v>0.99</v>
      </c>
      <c r="AJ8" s="175">
        <v>0.95</v>
      </c>
      <c r="AK8" s="175">
        <v>0.05</v>
      </c>
      <c r="AL8" s="175">
        <v>0.05</v>
      </c>
      <c r="AM8" s="221"/>
      <c r="AN8" s="221"/>
    </row>
    <row r="9" spans="1:43">
      <c r="A9" s="195">
        <f t="shared" si="6"/>
        <v>8</v>
      </c>
      <c r="B9" s="194" t="s">
        <v>431</v>
      </c>
      <c r="C9" s="195">
        <v>11</v>
      </c>
      <c r="D9" s="194">
        <v>44501</v>
      </c>
      <c r="E9" s="172">
        <f t="shared" si="7"/>
        <v>2021</v>
      </c>
      <c r="F9" s="174" t="s">
        <v>422</v>
      </c>
      <c r="G9" s="195">
        <f t="shared" si="8"/>
        <v>30</v>
      </c>
      <c r="H9" s="199"/>
      <c r="I9" s="199"/>
      <c r="J9" s="200">
        <v>4.0333333333333332</v>
      </c>
      <c r="K9" s="199"/>
      <c r="L9" s="195"/>
      <c r="M9" s="201">
        <v>5661.3427200000006</v>
      </c>
      <c r="N9" s="201">
        <v>80</v>
      </c>
      <c r="O9" s="173"/>
      <c r="P9" s="200"/>
      <c r="Q9" s="195">
        <f>COUNTIFS('Daily KPI'!$D:$D,D9,'Daily KPI'!$M:$M,"&gt;0")</f>
        <v>0</v>
      </c>
      <c r="R9" s="201"/>
      <c r="S9" s="201"/>
      <c r="T9" s="200">
        <f t="shared" si="0"/>
        <v>188.71142400000002</v>
      </c>
      <c r="U9" s="201">
        <f t="shared" si="1"/>
        <v>0</v>
      </c>
      <c r="V9" s="201">
        <f>SUMIF($F$2:F9,F9,$U$2:U9)</f>
        <v>0</v>
      </c>
      <c r="W9" s="173">
        <f t="shared" si="2"/>
        <v>9.8287200000000005E-2</v>
      </c>
      <c r="X9" s="173" t="str">
        <f t="shared" si="3"/>
        <v/>
      </c>
      <c r="Y9" s="173" t="str">
        <f t="shared" si="4"/>
        <v/>
      </c>
      <c r="Z9" s="200" t="str">
        <f>IFERROR(AVERAGEIF('Daily KPI'!D:D,Table14[[#This Row],[Month]],'Daily KPI'!AB:AB),"")</f>
        <v/>
      </c>
      <c r="AA9" s="196" t="str">
        <f>IFERROR(AVERAGEIF($F$2:F9,F9,$Z$2:Z9),"")</f>
        <v/>
      </c>
      <c r="AB9" s="201"/>
      <c r="AC9" s="200">
        <v>7.2366664761360369</v>
      </c>
      <c r="AD9" s="200">
        <f>AVERAGEIF($F$2:F9,F9,$AC$2:AC9)</f>
        <v>7.5809276936267489</v>
      </c>
      <c r="AE9" s="173">
        <f t="shared" si="5"/>
        <v>0.96029999999999993</v>
      </c>
      <c r="AF9" s="173">
        <v>0.995</v>
      </c>
      <c r="AG9" s="173"/>
      <c r="AH9" s="173">
        <v>0.97</v>
      </c>
      <c r="AI9" s="173">
        <v>0.99</v>
      </c>
      <c r="AJ9" s="173">
        <v>0.95</v>
      </c>
      <c r="AK9" s="173">
        <v>0.05</v>
      </c>
      <c r="AL9" s="173">
        <v>0.05</v>
      </c>
      <c r="AM9" s="221"/>
      <c r="AN9" s="221"/>
    </row>
    <row r="10" spans="1:43">
      <c r="A10" s="195">
        <f t="shared" si="6"/>
        <v>9</v>
      </c>
      <c r="B10" s="194" t="s">
        <v>432</v>
      </c>
      <c r="C10" s="195">
        <v>12</v>
      </c>
      <c r="D10" s="194">
        <v>44531</v>
      </c>
      <c r="E10" s="174">
        <f t="shared" si="7"/>
        <v>2021</v>
      </c>
      <c r="F10" s="174" t="s">
        <v>422</v>
      </c>
      <c r="G10" s="193">
        <f t="shared" si="8"/>
        <v>31</v>
      </c>
      <c r="H10" s="196"/>
      <c r="I10" s="196"/>
      <c r="J10" s="197">
        <v>4.4333333333333336</v>
      </c>
      <c r="K10" s="196"/>
      <c r="L10" s="193"/>
      <c r="M10" s="198">
        <v>6618.7756799999997</v>
      </c>
      <c r="N10" s="198">
        <v>80</v>
      </c>
      <c r="O10" s="175"/>
      <c r="P10" s="197"/>
      <c r="Q10" s="193">
        <f>COUNTIFS('Daily KPI'!$D:$D,D10,'Daily KPI'!$M:$M,"&gt;0")</f>
        <v>0</v>
      </c>
      <c r="R10" s="198"/>
      <c r="S10" s="198"/>
      <c r="T10" s="197">
        <f t="shared" si="0"/>
        <v>213.50889290322579</v>
      </c>
      <c r="U10" s="198">
        <f t="shared" si="1"/>
        <v>0</v>
      </c>
      <c r="V10" s="198">
        <f>SUMIF($F$2:F10,F10,$U$2:U10)</f>
        <v>0</v>
      </c>
      <c r="W10" s="175">
        <f t="shared" si="2"/>
        <v>0.11120254838709677</v>
      </c>
      <c r="X10" s="175" t="str">
        <f t="shared" si="3"/>
        <v/>
      </c>
      <c r="Y10" s="175" t="str">
        <f t="shared" si="4"/>
        <v/>
      </c>
      <c r="Z10" s="197" t="str">
        <f>IFERROR(AVERAGEIF('Daily KPI'!D:D,Table14[[#This Row],[Month]],'Daily KPI'!AB:AB),"")</f>
        <v/>
      </c>
      <c r="AA10" s="196" t="str">
        <f>IFERROR(AVERAGEIF($F$2:F10,F10,$Z$2:Z10),"")</f>
        <v/>
      </c>
      <c r="AB10" s="198"/>
      <c r="AC10" s="197">
        <v>6.0015501571877659</v>
      </c>
      <c r="AD10" s="197">
        <f>AVERAGEIF($F$2:F10,F10,$AC$2:AC10)</f>
        <v>7.4054413006890849</v>
      </c>
      <c r="AE10" s="175">
        <f t="shared" si="5"/>
        <v>0.96029999999999993</v>
      </c>
      <c r="AF10" s="175">
        <v>0.995</v>
      </c>
      <c r="AG10" s="175"/>
      <c r="AH10" s="175">
        <v>0.97</v>
      </c>
      <c r="AI10" s="175">
        <v>0.99</v>
      </c>
      <c r="AJ10" s="175">
        <v>0.95</v>
      </c>
      <c r="AK10" s="175">
        <v>0.05</v>
      </c>
      <c r="AL10" s="175">
        <v>0.05</v>
      </c>
      <c r="AM10" s="221"/>
      <c r="AN10" s="221"/>
    </row>
    <row r="11" spans="1:43">
      <c r="A11" s="195">
        <f t="shared" si="6"/>
        <v>10</v>
      </c>
      <c r="B11" s="194" t="s">
        <v>433</v>
      </c>
      <c r="C11" s="195">
        <v>1</v>
      </c>
      <c r="D11" s="194">
        <v>44562</v>
      </c>
      <c r="E11" s="172">
        <f t="shared" si="7"/>
        <v>2022</v>
      </c>
      <c r="F11" s="174" t="s">
        <v>422</v>
      </c>
      <c r="G11" s="195">
        <f t="shared" si="8"/>
        <v>31</v>
      </c>
      <c r="H11" s="199"/>
      <c r="I11" s="199"/>
      <c r="J11" s="200">
        <v>3.8</v>
      </c>
      <c r="K11" s="199"/>
      <c r="L11" s="195"/>
      <c r="M11" s="201">
        <v>4606.7788799999998</v>
      </c>
      <c r="N11" s="201">
        <v>80</v>
      </c>
      <c r="O11" s="173"/>
      <c r="P11" s="200"/>
      <c r="Q11" s="195">
        <f>COUNTIFS('Daily KPI'!$D:$D,D11,'Daily KPI'!$M:$M,"&gt;0")</f>
        <v>0</v>
      </c>
      <c r="R11" s="201"/>
      <c r="S11" s="201"/>
      <c r="T11" s="200">
        <f t="shared" si="0"/>
        <v>148.60577032258064</v>
      </c>
      <c r="U11" s="201">
        <f t="shared" si="1"/>
        <v>0</v>
      </c>
      <c r="V11" s="201">
        <f>SUMIF($F$2:F11,F11,$U$2:U11)</f>
        <v>0</v>
      </c>
      <c r="W11" s="173">
        <f t="shared" si="2"/>
        <v>7.7398838709677412E-2</v>
      </c>
      <c r="X11" s="173" t="str">
        <f t="shared" si="3"/>
        <v/>
      </c>
      <c r="Y11" s="173" t="str">
        <f t="shared" si="4"/>
        <v/>
      </c>
      <c r="Z11" s="200" t="str">
        <f>IFERROR(AVERAGEIF('Daily KPI'!D:D,Table14[[#This Row],[Month]],'Daily KPI'!AB:AB),"")</f>
        <v/>
      </c>
      <c r="AA11" s="196" t="str">
        <f>IFERROR(AVERAGEIF($F$2:F11,F11,$Z$2:Z11),"")</f>
        <v/>
      </c>
      <c r="AB11" s="201"/>
      <c r="AC11" s="200">
        <v>6.7073912546441834</v>
      </c>
      <c r="AD11" s="200">
        <f>AVERAGEIF($F$2:F11,F11,$AC$2:AC11)</f>
        <v>7.3356362960845942</v>
      </c>
      <c r="AE11" s="173">
        <f t="shared" si="5"/>
        <v>0.96029999999999993</v>
      </c>
      <c r="AF11" s="173">
        <v>0.995</v>
      </c>
      <c r="AG11" s="173"/>
      <c r="AH11" s="173">
        <v>0.97</v>
      </c>
      <c r="AI11" s="173">
        <v>0.99</v>
      </c>
      <c r="AJ11" s="173">
        <v>0.95</v>
      </c>
      <c r="AK11" s="173">
        <v>0.05</v>
      </c>
      <c r="AL11" s="173">
        <v>0.05</v>
      </c>
      <c r="AM11" s="221"/>
      <c r="AN11" s="221"/>
    </row>
    <row r="12" spans="1:43">
      <c r="A12" s="195">
        <f t="shared" si="6"/>
        <v>11</v>
      </c>
      <c r="B12" s="194" t="s">
        <v>434</v>
      </c>
      <c r="C12" s="195">
        <v>2</v>
      </c>
      <c r="D12" s="194">
        <v>44593</v>
      </c>
      <c r="E12" s="174">
        <f t="shared" si="7"/>
        <v>2022</v>
      </c>
      <c r="F12" s="174" t="s">
        <v>422</v>
      </c>
      <c r="G12" s="193">
        <f t="shared" si="8"/>
        <v>28</v>
      </c>
      <c r="H12" s="196"/>
      <c r="I12" s="196"/>
      <c r="J12" s="197">
        <v>4.3</v>
      </c>
      <c r="K12" s="196"/>
      <c r="L12" s="193"/>
      <c r="M12" s="198">
        <v>5619.7152000000006</v>
      </c>
      <c r="N12" s="198">
        <v>80</v>
      </c>
      <c r="O12" s="175"/>
      <c r="P12" s="197"/>
      <c r="Q12" s="193">
        <f>COUNTIFS('Daily KPI'!$D:$D,D12,'Daily KPI'!$M:$M,"&gt;0")</f>
        <v>0</v>
      </c>
      <c r="R12" s="198"/>
      <c r="S12" s="198"/>
      <c r="T12" s="197">
        <f t="shared" si="0"/>
        <v>200.7041142857143</v>
      </c>
      <c r="U12" s="198">
        <f t="shared" si="1"/>
        <v>0</v>
      </c>
      <c r="V12" s="198">
        <f>SUMIF($F$2:F12,F12,$U$2:U12)</f>
        <v>0</v>
      </c>
      <c r="W12" s="175">
        <f t="shared" si="2"/>
        <v>0.10453339285714286</v>
      </c>
      <c r="X12" s="175" t="str">
        <f t="shared" si="3"/>
        <v/>
      </c>
      <c r="Y12" s="175" t="str">
        <f t="shared" si="4"/>
        <v/>
      </c>
      <c r="Z12" s="197" t="str">
        <f>IFERROR(AVERAGEIF('Daily KPI'!D:D,Table14[[#This Row],[Month]],'Daily KPI'!AB:AB),"")</f>
        <v/>
      </c>
      <c r="AA12" s="196" t="str">
        <f>IFERROR(AVERAGEIF($F$2:F12,F12,$Z$2:Z12),"")</f>
        <v/>
      </c>
      <c r="AB12" s="198"/>
      <c r="AC12" s="197">
        <v>7.0533420977422105</v>
      </c>
      <c r="AD12" s="197">
        <f>AVERAGEIF($F$2:F12,F12,$AC$2:AC12)</f>
        <v>7.3099731871443785</v>
      </c>
      <c r="AE12" s="175">
        <f t="shared" si="5"/>
        <v>0.96029999999999993</v>
      </c>
      <c r="AF12" s="175">
        <v>0.995</v>
      </c>
      <c r="AG12" s="175"/>
      <c r="AH12" s="175">
        <v>0.97</v>
      </c>
      <c r="AI12" s="175">
        <v>0.99</v>
      </c>
      <c r="AJ12" s="175">
        <v>0.95</v>
      </c>
      <c r="AK12" s="175">
        <v>0.05</v>
      </c>
      <c r="AL12" s="175">
        <v>0.05</v>
      </c>
      <c r="AM12" s="221"/>
      <c r="AN12" s="221"/>
    </row>
    <row r="13" spans="1:43">
      <c r="A13" s="195">
        <f t="shared" si="6"/>
        <v>12</v>
      </c>
      <c r="B13" s="194" t="s">
        <v>435</v>
      </c>
      <c r="C13" s="195">
        <v>3</v>
      </c>
      <c r="D13" s="194">
        <v>44621</v>
      </c>
      <c r="E13" s="172">
        <f t="shared" si="7"/>
        <v>2022</v>
      </c>
      <c r="F13" s="174" t="s">
        <v>422</v>
      </c>
      <c r="G13" s="195">
        <f t="shared" si="8"/>
        <v>31</v>
      </c>
      <c r="H13" s="199"/>
      <c r="I13" s="199"/>
      <c r="J13" s="200">
        <v>4.5999999999999996</v>
      </c>
      <c r="K13" s="199"/>
      <c r="L13" s="195"/>
      <c r="M13" s="201">
        <v>7950.856319999999</v>
      </c>
      <c r="N13" s="201">
        <v>80</v>
      </c>
      <c r="O13" s="173"/>
      <c r="P13" s="200"/>
      <c r="Q13" s="195">
        <f>COUNTIFS('Daily KPI'!$D:$D,D13,'Daily KPI'!$M:$M,"&gt;0")</f>
        <v>0</v>
      </c>
      <c r="R13" s="201"/>
      <c r="S13" s="201"/>
      <c r="T13" s="200">
        <f t="shared" si="0"/>
        <v>256.47923612903224</v>
      </c>
      <c r="U13" s="201">
        <f t="shared" si="1"/>
        <v>0</v>
      </c>
      <c r="V13" s="201">
        <f>SUMIF($F$2:F13,F13,$U$2:U13)</f>
        <v>0</v>
      </c>
      <c r="W13" s="173">
        <f t="shared" si="2"/>
        <v>0.13358293548387096</v>
      </c>
      <c r="X13" s="173" t="str">
        <f t="shared" si="3"/>
        <v/>
      </c>
      <c r="Y13" s="173" t="str">
        <f t="shared" si="4"/>
        <v/>
      </c>
      <c r="Z13" s="200" t="str">
        <f>IFERROR(AVERAGEIF('Daily KPI'!D:D,Table14[[#This Row],[Month]],'Daily KPI'!AB:AB),"")</f>
        <v/>
      </c>
      <c r="AA13" s="196" t="str">
        <f>IFERROR(AVERAGEIF($F$2:F13,F13,$Z$2:Z13),"")</f>
        <v/>
      </c>
      <c r="AB13" s="201"/>
      <c r="AC13" s="200">
        <v>7.411120320091455</v>
      </c>
      <c r="AD13" s="200">
        <f>AVERAGEIF($F$2:F13,F13,$AC$2:AC13)</f>
        <v>7.3184021148899676</v>
      </c>
      <c r="AE13" s="173">
        <f t="shared" si="5"/>
        <v>0.96029999999999993</v>
      </c>
      <c r="AF13" s="173">
        <v>0.995</v>
      </c>
      <c r="AG13" s="173"/>
      <c r="AH13" s="173">
        <v>0.97</v>
      </c>
      <c r="AI13" s="173">
        <v>0.99</v>
      </c>
      <c r="AJ13" s="173">
        <v>0.95</v>
      </c>
      <c r="AK13" s="173">
        <v>0.05</v>
      </c>
      <c r="AL13" s="173">
        <v>0.05</v>
      </c>
      <c r="AM13" s="221"/>
      <c r="AN13" s="221"/>
    </row>
    <row r="14" spans="1:43">
      <c r="A14" s="195">
        <f t="shared" si="6"/>
        <v>13</v>
      </c>
      <c r="B14" s="194" t="str">
        <f>B2</f>
        <v>April</v>
      </c>
      <c r="C14" s="195">
        <f>C2</f>
        <v>4</v>
      </c>
      <c r="D14" s="194">
        <v>44652</v>
      </c>
      <c r="E14" s="174">
        <f t="shared" si="7"/>
        <v>2022</v>
      </c>
      <c r="F14" s="174" t="s">
        <v>436</v>
      </c>
      <c r="G14" s="193">
        <f t="shared" si="8"/>
        <v>30</v>
      </c>
      <c r="H14" s="196"/>
      <c r="I14" s="196"/>
      <c r="J14" s="197">
        <f>J2</f>
        <v>5.6333333333333329</v>
      </c>
      <c r="K14" s="196"/>
      <c r="L14" s="193"/>
      <c r="M14" s="198">
        <v>11863.843200000001</v>
      </c>
      <c r="N14" s="198">
        <v>80</v>
      </c>
      <c r="O14" s="175"/>
      <c r="P14" s="197"/>
      <c r="Q14" s="193">
        <f>COUNTIFS('Daily KPI'!$D:$D,D14,'Daily KPI'!$M:$M,"&gt;0")</f>
        <v>0</v>
      </c>
      <c r="R14" s="198"/>
      <c r="S14" s="198"/>
      <c r="T14" s="197">
        <f t="shared" si="0"/>
        <v>395.46144000000004</v>
      </c>
      <c r="U14" s="198">
        <f t="shared" si="1"/>
        <v>0</v>
      </c>
      <c r="V14" s="198">
        <f>SUMIF($F$2:F14,F14,$U$2:U14)</f>
        <v>0</v>
      </c>
      <c r="W14" s="175">
        <f t="shared" si="2"/>
        <v>0.20596950000000003</v>
      </c>
      <c r="X14" s="175" t="str">
        <f t="shared" si="3"/>
        <v/>
      </c>
      <c r="Y14" s="175" t="str">
        <f t="shared" si="4"/>
        <v/>
      </c>
      <c r="Z14" s="197" t="str">
        <f>IFERROR(AVERAGEIF('Daily KPI'!D:D,Table14[[#This Row],[Month]],'Daily KPI'!AB:AB),"")</f>
        <v/>
      </c>
      <c r="AA14" s="196" t="str">
        <f>IFERROR(AVERAGEIF($F$2:F14,F14,$Z$2:Z14),"")</f>
        <v/>
      </c>
      <c r="AB14" s="198"/>
      <c r="AC14" s="197">
        <v>6.4041034581308942</v>
      </c>
      <c r="AD14" s="197">
        <f>AVERAGEIF($F$2:F14,F14,$AC$2:AC14)</f>
        <v>6.4041034581308942</v>
      </c>
      <c r="AE14" s="175">
        <f t="shared" si="5"/>
        <v>0.96029999999999993</v>
      </c>
      <c r="AF14" s="175">
        <v>0.995</v>
      </c>
      <c r="AG14" s="175"/>
      <c r="AH14" s="175">
        <v>0.97</v>
      </c>
      <c r="AI14" s="175">
        <v>0.99</v>
      </c>
      <c r="AJ14" s="175">
        <v>0.95</v>
      </c>
      <c r="AK14" s="175">
        <v>0.05</v>
      </c>
      <c r="AL14" s="175">
        <v>0.05</v>
      </c>
      <c r="AM14" s="221"/>
      <c r="AN14" s="221"/>
    </row>
    <row r="15" spans="1:43">
      <c r="A15" s="195">
        <f t="shared" si="6"/>
        <v>14</v>
      </c>
      <c r="B15" s="194" t="str">
        <f t="shared" ref="B15:C39" si="9">B3</f>
        <v>May</v>
      </c>
      <c r="C15" s="195">
        <f t="shared" si="9"/>
        <v>5</v>
      </c>
      <c r="D15" s="194">
        <v>44682</v>
      </c>
      <c r="E15" s="172">
        <f t="shared" si="7"/>
        <v>2022</v>
      </c>
      <c r="F15" s="174" t="s">
        <v>436</v>
      </c>
      <c r="G15" s="195">
        <f t="shared" si="8"/>
        <v>31</v>
      </c>
      <c r="H15" s="199"/>
      <c r="I15" s="199"/>
      <c r="J15" s="197">
        <f t="shared" ref="J15:J61" si="10">J3</f>
        <v>6.5666666666666664</v>
      </c>
      <c r="K15" s="199"/>
      <c r="L15" s="195"/>
      <c r="M15" s="201">
        <v>20092.21632</v>
      </c>
      <c r="N15" s="201">
        <v>80</v>
      </c>
      <c r="O15" s="173"/>
      <c r="P15" s="200"/>
      <c r="Q15" s="195">
        <f>COUNTIFS('Daily KPI'!$D:$D,D15,'Daily KPI'!$M:$M,"&gt;0")</f>
        <v>0</v>
      </c>
      <c r="R15" s="201"/>
      <c r="S15" s="201"/>
      <c r="T15" s="200">
        <f t="shared" si="0"/>
        <v>648.13601032258066</v>
      </c>
      <c r="U15" s="201">
        <f t="shared" si="1"/>
        <v>0</v>
      </c>
      <c r="V15" s="201">
        <f>SUMIF($F$2:F15,F15,$U$2:U15)</f>
        <v>0</v>
      </c>
      <c r="W15" s="173">
        <f t="shared" si="2"/>
        <v>0.33757083870967741</v>
      </c>
      <c r="X15" s="173" t="str">
        <f t="shared" si="3"/>
        <v/>
      </c>
      <c r="Y15" s="173" t="str">
        <f t="shared" si="4"/>
        <v/>
      </c>
      <c r="Z15" s="200" t="str">
        <f>IFERROR(AVERAGEIF('Daily KPI'!D:D,Table14[[#This Row],[Month]],'Daily KPI'!AB:AB),"")</f>
        <v/>
      </c>
      <c r="AA15" s="196" t="str">
        <f>IFERROR(AVERAGEIF($F$2:F15,F15,$Z$2:Z15),"")</f>
        <v/>
      </c>
      <c r="AB15" s="201"/>
      <c r="AC15" s="200">
        <v>5.9681800514432695</v>
      </c>
      <c r="AD15" s="200">
        <f>AVERAGEIF($F$2:F15,F15,$AC$2:AC15)</f>
        <v>6.1861417547870818</v>
      </c>
      <c r="AE15" s="173">
        <f t="shared" si="5"/>
        <v>0.96029999999999993</v>
      </c>
      <c r="AF15" s="173">
        <v>0.995</v>
      </c>
      <c r="AG15" s="173"/>
      <c r="AH15" s="173">
        <v>0.97</v>
      </c>
      <c r="AI15" s="173">
        <v>0.99</v>
      </c>
      <c r="AJ15" s="173">
        <v>0.95</v>
      </c>
      <c r="AK15" s="173">
        <v>0.05</v>
      </c>
      <c r="AL15" s="173">
        <v>0.05</v>
      </c>
      <c r="AM15" s="221"/>
      <c r="AN15" s="221"/>
    </row>
    <row r="16" spans="1:43">
      <c r="A16" s="195">
        <f t="shared" si="6"/>
        <v>15</v>
      </c>
      <c r="B16" s="194" t="str">
        <f t="shared" si="9"/>
        <v>June</v>
      </c>
      <c r="C16" s="195">
        <f t="shared" si="9"/>
        <v>6</v>
      </c>
      <c r="D16" s="194">
        <v>44713</v>
      </c>
      <c r="E16" s="174">
        <f t="shared" si="7"/>
        <v>2022</v>
      </c>
      <c r="F16" s="174" t="s">
        <v>436</v>
      </c>
      <c r="G16" s="193">
        <f t="shared" si="8"/>
        <v>30</v>
      </c>
      <c r="H16" s="196"/>
      <c r="I16" s="196"/>
      <c r="J16" s="197">
        <f t="shared" si="10"/>
        <v>6.5666666666666664</v>
      </c>
      <c r="K16" s="196"/>
      <c r="L16" s="193"/>
      <c r="M16" s="198">
        <v>17455.80672</v>
      </c>
      <c r="N16" s="198">
        <v>80</v>
      </c>
      <c r="O16" s="175"/>
      <c r="P16" s="197"/>
      <c r="Q16" s="193">
        <f>COUNTIFS('Daily KPI'!$D:$D,D16,'Daily KPI'!$M:$M,"&gt;0")</f>
        <v>0</v>
      </c>
      <c r="R16" s="198"/>
      <c r="S16" s="198"/>
      <c r="T16" s="197">
        <f t="shared" si="0"/>
        <v>581.86022400000002</v>
      </c>
      <c r="U16" s="198">
        <f t="shared" si="1"/>
        <v>0</v>
      </c>
      <c r="V16" s="198">
        <f>SUMIF($F$2:F16,F16,$U$2:U16)</f>
        <v>0</v>
      </c>
      <c r="W16" s="175">
        <f t="shared" si="2"/>
        <v>0.30305219999999999</v>
      </c>
      <c r="X16" s="175" t="str">
        <f t="shared" si="3"/>
        <v/>
      </c>
      <c r="Y16" s="175" t="str">
        <f t="shared" si="4"/>
        <v/>
      </c>
      <c r="Z16" s="197" t="str">
        <f>IFERROR(AVERAGEIF('Daily KPI'!D:D,Table14[[#This Row],[Month]],'Daily KPI'!AB:AB),"")</f>
        <v/>
      </c>
      <c r="AA16" s="196" t="str">
        <f>IFERROR(AVERAGEIF($F$2:F16,F16,$Z$2:Z16),"")</f>
        <v/>
      </c>
      <c r="AB16" s="198"/>
      <c r="AC16" s="197">
        <v>5.6310997427836513</v>
      </c>
      <c r="AD16" s="197">
        <f>AVERAGEIF($F$2:F16,F16,$AC$2:AC16)</f>
        <v>6.0011277507859377</v>
      </c>
      <c r="AE16" s="175">
        <f t="shared" si="5"/>
        <v>0.96029999999999993</v>
      </c>
      <c r="AF16" s="175">
        <v>0.995</v>
      </c>
      <c r="AG16" s="175"/>
      <c r="AH16" s="175">
        <v>0.97</v>
      </c>
      <c r="AI16" s="175">
        <v>0.99</v>
      </c>
      <c r="AJ16" s="175">
        <v>0.95</v>
      </c>
      <c r="AK16" s="175">
        <v>0.05</v>
      </c>
      <c r="AL16" s="175">
        <v>0.05</v>
      </c>
      <c r="AM16" s="221"/>
      <c r="AN16" s="221"/>
    </row>
    <row r="17" spans="1:40">
      <c r="A17" s="195">
        <f t="shared" si="6"/>
        <v>16</v>
      </c>
      <c r="B17" s="194" t="str">
        <f t="shared" si="9"/>
        <v>July</v>
      </c>
      <c r="C17" s="195">
        <f t="shared" si="9"/>
        <v>7</v>
      </c>
      <c r="D17" s="194">
        <v>44743</v>
      </c>
      <c r="E17" s="172">
        <f t="shared" si="7"/>
        <v>2022</v>
      </c>
      <c r="F17" s="174" t="s">
        <v>436</v>
      </c>
      <c r="G17" s="195">
        <f t="shared" si="8"/>
        <v>31</v>
      </c>
      <c r="H17" s="199"/>
      <c r="I17" s="199"/>
      <c r="J17" s="197">
        <f t="shared" si="10"/>
        <v>7.6000000000000005</v>
      </c>
      <c r="K17" s="199"/>
      <c r="L17" s="195"/>
      <c r="M17" s="201">
        <v>21077.400960000003</v>
      </c>
      <c r="N17" s="201">
        <v>80</v>
      </c>
      <c r="O17" s="173"/>
      <c r="P17" s="200"/>
      <c r="Q17" s="195">
        <f>COUNTIFS('Daily KPI'!$D:$D,D17,'Daily KPI'!$M:$M,"&gt;0")</f>
        <v>0</v>
      </c>
      <c r="R17" s="201"/>
      <c r="S17" s="201"/>
      <c r="T17" s="200">
        <f t="shared" si="0"/>
        <v>679.9161600000001</v>
      </c>
      <c r="U17" s="201">
        <f t="shared" si="1"/>
        <v>0</v>
      </c>
      <c r="V17" s="201">
        <f>SUMIF($F$2:F17,F17,$U$2:U17)</f>
        <v>0</v>
      </c>
      <c r="W17" s="173">
        <f t="shared" si="2"/>
        <v>0.35412300000000008</v>
      </c>
      <c r="X17" s="173" t="str">
        <f t="shared" si="3"/>
        <v/>
      </c>
      <c r="Y17" s="173" t="str">
        <f t="shared" si="4"/>
        <v/>
      </c>
      <c r="Z17" s="200" t="str">
        <f>IFERROR(AVERAGEIF('Daily KPI'!D:D,Table14[[#This Row],[Month]],'Daily KPI'!AB:AB),"")</f>
        <v/>
      </c>
      <c r="AA17" s="196" t="str">
        <f>IFERROR(AVERAGEIF($F$2:F17,F17,$Z$2:Z17),"")</f>
        <v/>
      </c>
      <c r="AB17" s="201"/>
      <c r="AC17" s="200">
        <v>7.1310648756787653</v>
      </c>
      <c r="AD17" s="200">
        <f>AVERAGEIF($F$2:F17,F17,$AC$2:AC17)</f>
        <v>6.2836120320091453</v>
      </c>
      <c r="AE17" s="173">
        <f t="shared" si="5"/>
        <v>0.96029999999999993</v>
      </c>
      <c r="AF17" s="173">
        <v>0.995</v>
      </c>
      <c r="AG17" s="173"/>
      <c r="AH17" s="173">
        <v>0.97</v>
      </c>
      <c r="AI17" s="173">
        <v>0.99</v>
      </c>
      <c r="AJ17" s="173">
        <v>0.95</v>
      </c>
      <c r="AK17" s="173">
        <v>0.05</v>
      </c>
      <c r="AL17" s="173">
        <v>0.05</v>
      </c>
      <c r="AM17" s="221"/>
      <c r="AN17" s="221"/>
    </row>
    <row r="18" spans="1:40">
      <c r="A18" s="195">
        <f t="shared" si="6"/>
        <v>17</v>
      </c>
      <c r="B18" s="194" t="str">
        <f t="shared" si="9"/>
        <v>August</v>
      </c>
      <c r="C18" s="195">
        <f t="shared" si="9"/>
        <v>8</v>
      </c>
      <c r="D18" s="194">
        <v>44774</v>
      </c>
      <c r="E18" s="174">
        <f t="shared" si="7"/>
        <v>2022</v>
      </c>
      <c r="F18" s="174" t="s">
        <v>436</v>
      </c>
      <c r="G18" s="193">
        <f t="shared" si="8"/>
        <v>31</v>
      </c>
      <c r="H18" s="196"/>
      <c r="I18" s="196"/>
      <c r="J18" s="197">
        <f t="shared" si="10"/>
        <v>6.8666666666666671</v>
      </c>
      <c r="K18" s="196"/>
      <c r="L18" s="193"/>
      <c r="M18" s="198">
        <v>22159.716479999999</v>
      </c>
      <c r="N18" s="198">
        <v>80</v>
      </c>
      <c r="O18" s="175"/>
      <c r="P18" s="197"/>
      <c r="Q18" s="193">
        <f>COUNTIFS('Daily KPI'!$D:$D,D18,'Daily KPI'!$M:$M,"&gt;0")</f>
        <v>0</v>
      </c>
      <c r="R18" s="198"/>
      <c r="S18" s="198"/>
      <c r="T18" s="197">
        <f t="shared" si="0"/>
        <v>714.82956387096772</v>
      </c>
      <c r="U18" s="198">
        <f t="shared" si="1"/>
        <v>0</v>
      </c>
      <c r="V18" s="198">
        <f>SUMIF($F$2:F18,F18,$U$2:U18)</f>
        <v>0</v>
      </c>
      <c r="W18" s="175">
        <f t="shared" si="2"/>
        <v>0.37230706451612899</v>
      </c>
      <c r="X18" s="175" t="str">
        <f t="shared" si="3"/>
        <v/>
      </c>
      <c r="Y18" s="175" t="str">
        <f t="shared" si="4"/>
        <v/>
      </c>
      <c r="Z18" s="197" t="str">
        <f>IFERROR(AVERAGEIF('Daily KPI'!D:D,Table14[[#This Row],[Month]],'Daily KPI'!AB:AB),"")</f>
        <v/>
      </c>
      <c r="AA18" s="196" t="str">
        <f>IFERROR(AVERAGEIF($F$2:F18,F18,$Z$2:Z18),"")</f>
        <v/>
      </c>
      <c r="AB18" s="198"/>
      <c r="AC18" s="197">
        <v>9.4530328665332952</v>
      </c>
      <c r="AD18" s="197">
        <f>AVERAGEIF($F$2:F18,F18,$AC$2:AC18)</f>
        <v>6.9174961989139749</v>
      </c>
      <c r="AE18" s="175">
        <f t="shared" si="5"/>
        <v>0.96029999999999993</v>
      </c>
      <c r="AF18" s="175">
        <v>0.995</v>
      </c>
      <c r="AG18" s="175"/>
      <c r="AH18" s="175">
        <v>0.97</v>
      </c>
      <c r="AI18" s="175">
        <v>0.99</v>
      </c>
      <c r="AJ18" s="175">
        <v>0.95</v>
      </c>
      <c r="AK18" s="175">
        <v>0.05</v>
      </c>
      <c r="AL18" s="175">
        <v>0.05</v>
      </c>
      <c r="AM18" s="221"/>
      <c r="AN18" s="221"/>
    </row>
    <row r="19" spans="1:40">
      <c r="A19" s="195">
        <f t="shared" si="6"/>
        <v>18</v>
      </c>
      <c r="B19" s="194" t="str">
        <f t="shared" si="9"/>
        <v>September</v>
      </c>
      <c r="C19" s="195">
        <f t="shared" si="9"/>
        <v>9</v>
      </c>
      <c r="D19" s="194">
        <v>44805</v>
      </c>
      <c r="E19" s="172">
        <f t="shared" si="7"/>
        <v>2022</v>
      </c>
      <c r="F19" s="174" t="s">
        <v>436</v>
      </c>
      <c r="G19" s="195">
        <f t="shared" si="8"/>
        <v>30</v>
      </c>
      <c r="H19" s="199"/>
      <c r="I19" s="199"/>
      <c r="J19" s="197">
        <f t="shared" si="10"/>
        <v>5.0333333333333332</v>
      </c>
      <c r="K19" s="199"/>
      <c r="L19" s="195"/>
      <c r="M19" s="201">
        <v>9726.9638400000003</v>
      </c>
      <c r="N19" s="201">
        <v>80</v>
      </c>
      <c r="O19" s="173"/>
      <c r="P19" s="200"/>
      <c r="Q19" s="195">
        <f>COUNTIFS('Daily KPI'!$D:$D,D19,'Daily KPI'!$M:$M,"&gt;0")</f>
        <v>0</v>
      </c>
      <c r="R19" s="201"/>
      <c r="S19" s="201"/>
      <c r="T19" s="200">
        <f t="shared" si="0"/>
        <v>324.23212799999999</v>
      </c>
      <c r="U19" s="201">
        <f t="shared" si="1"/>
        <v>0</v>
      </c>
      <c r="V19" s="201">
        <f>SUMIF($F$2:F19,F19,$U$2:U19)</f>
        <v>0</v>
      </c>
      <c r="W19" s="173">
        <f t="shared" si="2"/>
        <v>0.16887089999999999</v>
      </c>
      <c r="X19" s="173" t="str">
        <f t="shared" si="3"/>
        <v/>
      </c>
      <c r="Y19" s="173" t="str">
        <f t="shared" si="4"/>
        <v/>
      </c>
      <c r="Z19" s="200" t="str">
        <f>IFERROR(AVERAGEIF('Daily KPI'!D:D,Table14[[#This Row],[Month]],'Daily KPI'!AB:AB),"")</f>
        <v/>
      </c>
      <c r="AA19" s="196" t="str">
        <f>IFERROR(AVERAGEIF($F$2:F19,F19,$Z$2:Z19),"")</f>
        <v/>
      </c>
      <c r="AB19" s="201"/>
      <c r="AC19" s="200">
        <v>10.303759359817088</v>
      </c>
      <c r="AD19" s="200">
        <f>AVERAGEIF($F$2:F19,F19,$AC$2:AC19)</f>
        <v>7.4818733923978264</v>
      </c>
      <c r="AE19" s="173">
        <f t="shared" si="5"/>
        <v>0.96029999999999993</v>
      </c>
      <c r="AF19" s="173">
        <v>0.995</v>
      </c>
      <c r="AG19" s="173"/>
      <c r="AH19" s="173">
        <v>0.97</v>
      </c>
      <c r="AI19" s="173">
        <v>0.99</v>
      </c>
      <c r="AJ19" s="173">
        <v>0.95</v>
      </c>
      <c r="AK19" s="173">
        <v>0.05</v>
      </c>
      <c r="AL19" s="173">
        <v>0.05</v>
      </c>
      <c r="AM19" s="221"/>
      <c r="AN19" s="221"/>
    </row>
    <row r="20" spans="1:40">
      <c r="A20" s="195">
        <f t="shared" si="6"/>
        <v>19</v>
      </c>
      <c r="B20" s="194" t="str">
        <f t="shared" si="9"/>
        <v>October</v>
      </c>
      <c r="C20" s="195">
        <f t="shared" si="9"/>
        <v>10</v>
      </c>
      <c r="D20" s="194">
        <v>44835</v>
      </c>
      <c r="E20" s="174">
        <f t="shared" si="7"/>
        <v>2022</v>
      </c>
      <c r="F20" s="174" t="s">
        <v>436</v>
      </c>
      <c r="G20" s="193">
        <f t="shared" si="8"/>
        <v>31</v>
      </c>
      <c r="H20" s="196"/>
      <c r="I20" s="196"/>
      <c r="J20" s="197">
        <f t="shared" si="10"/>
        <v>3.9666666666666668</v>
      </c>
      <c r="K20" s="196"/>
      <c r="L20" s="193"/>
      <c r="M20" s="198">
        <v>5924.9836800000003</v>
      </c>
      <c r="N20" s="198">
        <v>80</v>
      </c>
      <c r="O20" s="175"/>
      <c r="P20" s="197"/>
      <c r="Q20" s="193">
        <f>COUNTIFS('Daily KPI'!$D:$D,D20,'Daily KPI'!$M:$M,"&gt;0")</f>
        <v>0</v>
      </c>
      <c r="R20" s="198"/>
      <c r="S20" s="198"/>
      <c r="T20" s="197">
        <f t="shared" si="0"/>
        <v>191.12850580645161</v>
      </c>
      <c r="U20" s="198">
        <f t="shared" si="1"/>
        <v>0</v>
      </c>
      <c r="V20" s="198">
        <f>SUMIF($F$2:F20,F20,$U$2:U20)</f>
        <v>0</v>
      </c>
      <c r="W20" s="175">
        <f t="shared" si="2"/>
        <v>9.9546096774193543E-2</v>
      </c>
      <c r="X20" s="175" t="str">
        <f t="shared" si="3"/>
        <v/>
      </c>
      <c r="Y20" s="175" t="str">
        <f t="shared" si="4"/>
        <v/>
      </c>
      <c r="Z20" s="197" t="str">
        <f>IFERROR(AVERAGEIF('Daily KPI'!D:D,Table14[[#This Row],[Month]],'Daily KPI'!AB:AB),"")</f>
        <v/>
      </c>
      <c r="AA20" s="196" t="str">
        <f>IFERROR(AVERAGEIF($F$2:F20,F20,$Z$2:Z20),"")</f>
        <v/>
      </c>
      <c r="AB20" s="198"/>
      <c r="AC20" s="197">
        <v>8.5195147184909956</v>
      </c>
      <c r="AD20" s="197">
        <f>AVERAGEIF($F$2:F20,F20,$AC$2:AC20)</f>
        <v>7.6301078675539937</v>
      </c>
      <c r="AE20" s="175">
        <f t="shared" si="5"/>
        <v>0.96029999999999993</v>
      </c>
      <c r="AF20" s="175">
        <v>0.995</v>
      </c>
      <c r="AG20" s="175"/>
      <c r="AH20" s="175">
        <v>0.97</v>
      </c>
      <c r="AI20" s="175">
        <v>0.99</v>
      </c>
      <c r="AJ20" s="175">
        <v>0.95</v>
      </c>
      <c r="AK20" s="175">
        <v>0.05</v>
      </c>
      <c r="AL20" s="175">
        <v>0.05</v>
      </c>
      <c r="AM20" s="221"/>
      <c r="AN20" s="221"/>
    </row>
    <row r="21" spans="1:40">
      <c r="A21" s="195">
        <f t="shared" si="6"/>
        <v>20</v>
      </c>
      <c r="B21" s="194" t="str">
        <f t="shared" si="9"/>
        <v>November</v>
      </c>
      <c r="C21" s="195">
        <f t="shared" si="9"/>
        <v>11</v>
      </c>
      <c r="D21" s="194">
        <v>44866</v>
      </c>
      <c r="E21" s="172">
        <f t="shared" si="7"/>
        <v>2022</v>
      </c>
      <c r="F21" s="174" t="s">
        <v>436</v>
      </c>
      <c r="G21" s="195">
        <f t="shared" si="8"/>
        <v>30</v>
      </c>
      <c r="H21" s="199"/>
      <c r="I21" s="199"/>
      <c r="J21" s="197">
        <f t="shared" si="10"/>
        <v>4.0333333333333332</v>
      </c>
      <c r="K21" s="199"/>
      <c r="L21" s="195"/>
      <c r="M21" s="201">
        <v>5661.3427200000006</v>
      </c>
      <c r="N21" s="201">
        <v>80</v>
      </c>
      <c r="O21" s="173"/>
      <c r="P21" s="200"/>
      <c r="Q21" s="195">
        <f>COUNTIFS('Daily KPI'!$D:$D,D21,'Daily KPI'!$M:$M,"&gt;0")</f>
        <v>0</v>
      </c>
      <c r="R21" s="201"/>
      <c r="S21" s="201"/>
      <c r="T21" s="200">
        <f t="shared" si="0"/>
        <v>188.71142400000002</v>
      </c>
      <c r="U21" s="201">
        <f t="shared" si="1"/>
        <v>0</v>
      </c>
      <c r="V21" s="201">
        <f>SUMIF($F$2:F21,F21,$U$2:U21)</f>
        <v>0</v>
      </c>
      <c r="W21" s="173">
        <f t="shared" si="2"/>
        <v>9.8287200000000005E-2</v>
      </c>
      <c r="X21" s="173" t="str">
        <f t="shared" si="3"/>
        <v/>
      </c>
      <c r="Y21" s="173" t="str">
        <f t="shared" si="4"/>
        <v/>
      </c>
      <c r="Z21" s="200" t="str">
        <f>IFERROR(AVERAGEIF('Daily KPI'!D:D,Table14[[#This Row],[Month]],'Daily KPI'!AB:AB),"")</f>
        <v/>
      </c>
      <c r="AA21" s="196" t="str">
        <f>IFERROR(AVERAGEIF($F$2:F21,F21,$Z$2:Z21),"")</f>
        <v/>
      </c>
      <c r="AB21" s="201"/>
      <c r="AC21" s="200">
        <v>7.2366664761360369</v>
      </c>
      <c r="AD21" s="200">
        <f>AVERAGEIF($F$2:F21,F21,$AC$2:AC21)</f>
        <v>7.5809276936267489</v>
      </c>
      <c r="AE21" s="173">
        <f t="shared" si="5"/>
        <v>0.96029999999999993</v>
      </c>
      <c r="AF21" s="173">
        <v>0.995</v>
      </c>
      <c r="AG21" s="173"/>
      <c r="AH21" s="173">
        <v>0.97</v>
      </c>
      <c r="AI21" s="173">
        <v>0.99</v>
      </c>
      <c r="AJ21" s="173">
        <v>0.95</v>
      </c>
      <c r="AK21" s="173">
        <v>0.05</v>
      </c>
      <c r="AL21" s="173">
        <v>0.05</v>
      </c>
      <c r="AM21" s="221"/>
      <c r="AN21" s="221"/>
    </row>
    <row r="22" spans="1:40">
      <c r="A22" s="195">
        <f t="shared" si="6"/>
        <v>21</v>
      </c>
      <c r="B22" s="194" t="str">
        <f t="shared" si="9"/>
        <v>December</v>
      </c>
      <c r="C22" s="195">
        <f t="shared" si="9"/>
        <v>12</v>
      </c>
      <c r="D22" s="194">
        <v>44896</v>
      </c>
      <c r="E22" s="174">
        <f t="shared" si="7"/>
        <v>2022</v>
      </c>
      <c r="F22" s="174" t="s">
        <v>436</v>
      </c>
      <c r="G22" s="193">
        <f t="shared" si="8"/>
        <v>31</v>
      </c>
      <c r="H22" s="196"/>
      <c r="I22" s="196"/>
      <c r="J22" s="197">
        <f t="shared" si="10"/>
        <v>4.4333333333333336</v>
      </c>
      <c r="K22" s="196"/>
      <c r="L22" s="193"/>
      <c r="M22" s="198">
        <v>6618.7756799999997</v>
      </c>
      <c r="N22" s="198">
        <v>80</v>
      </c>
      <c r="O22" s="175"/>
      <c r="P22" s="197"/>
      <c r="Q22" s="193">
        <f>COUNTIFS('Daily KPI'!$D:$D,D22,'Daily KPI'!$M:$M,"&gt;0")</f>
        <v>0</v>
      </c>
      <c r="R22" s="198"/>
      <c r="S22" s="198"/>
      <c r="T22" s="197">
        <f t="shared" si="0"/>
        <v>213.50889290322579</v>
      </c>
      <c r="U22" s="198">
        <f t="shared" si="1"/>
        <v>0</v>
      </c>
      <c r="V22" s="198">
        <f>SUMIF($F$2:F22,F22,$U$2:U22)</f>
        <v>0</v>
      </c>
      <c r="W22" s="175">
        <f t="shared" si="2"/>
        <v>0.11120254838709677</v>
      </c>
      <c r="X22" s="175" t="str">
        <f t="shared" si="3"/>
        <v/>
      </c>
      <c r="Y22" s="175" t="str">
        <f t="shared" si="4"/>
        <v/>
      </c>
      <c r="Z22" s="197" t="str">
        <f>IFERROR(AVERAGEIF('Daily KPI'!D:D,Table14[[#This Row],[Month]],'Daily KPI'!AB:AB),"")</f>
        <v/>
      </c>
      <c r="AA22" s="196" t="str">
        <f>IFERROR(AVERAGEIF($F$2:F22,F22,$Z$2:Z22),"")</f>
        <v/>
      </c>
      <c r="AB22" s="198"/>
      <c r="AC22" s="197">
        <v>6.0015501571877659</v>
      </c>
      <c r="AD22" s="197">
        <f>AVERAGEIF($F$2:F22,F22,$AC$2:AC22)</f>
        <v>7.4054413006890849</v>
      </c>
      <c r="AE22" s="175">
        <f t="shared" si="5"/>
        <v>0.96029999999999993</v>
      </c>
      <c r="AF22" s="175">
        <v>0.995</v>
      </c>
      <c r="AG22" s="175"/>
      <c r="AH22" s="175">
        <v>0.97</v>
      </c>
      <c r="AI22" s="175">
        <v>0.99</v>
      </c>
      <c r="AJ22" s="175">
        <v>0.95</v>
      </c>
      <c r="AK22" s="175">
        <v>0.05</v>
      </c>
      <c r="AL22" s="175">
        <v>0.05</v>
      </c>
      <c r="AM22" s="221"/>
      <c r="AN22" s="221"/>
    </row>
    <row r="23" spans="1:40">
      <c r="A23" s="195">
        <f t="shared" si="6"/>
        <v>22</v>
      </c>
      <c r="B23" s="194" t="str">
        <f t="shared" si="9"/>
        <v>January</v>
      </c>
      <c r="C23" s="195">
        <f t="shared" si="9"/>
        <v>1</v>
      </c>
      <c r="D23" s="194">
        <v>44927</v>
      </c>
      <c r="E23" s="172">
        <f t="shared" si="7"/>
        <v>2023</v>
      </c>
      <c r="F23" s="174" t="s">
        <v>436</v>
      </c>
      <c r="G23" s="195">
        <f t="shared" si="8"/>
        <v>31</v>
      </c>
      <c r="H23" s="199"/>
      <c r="I23" s="199"/>
      <c r="J23" s="197">
        <f t="shared" si="10"/>
        <v>3.8</v>
      </c>
      <c r="K23" s="199"/>
      <c r="L23" s="195"/>
      <c r="M23" s="201">
        <v>4606.7788799999998</v>
      </c>
      <c r="N23" s="201">
        <v>80</v>
      </c>
      <c r="O23" s="173"/>
      <c r="P23" s="200"/>
      <c r="Q23" s="195">
        <f>COUNTIFS('Daily KPI'!$D:$D,D23,'Daily KPI'!$M:$M,"&gt;0")</f>
        <v>0</v>
      </c>
      <c r="R23" s="201"/>
      <c r="S23" s="201"/>
      <c r="T23" s="200">
        <f t="shared" si="0"/>
        <v>148.60577032258064</v>
      </c>
      <c r="U23" s="201">
        <f t="shared" si="1"/>
        <v>0</v>
      </c>
      <c r="V23" s="201">
        <f>SUMIF($F$2:F23,F23,$U$2:U23)</f>
        <v>0</v>
      </c>
      <c r="W23" s="173">
        <f t="shared" si="2"/>
        <v>7.7398838709677412E-2</v>
      </c>
      <c r="X23" s="173" t="str">
        <f t="shared" si="3"/>
        <v/>
      </c>
      <c r="Y23" s="173" t="str">
        <f t="shared" si="4"/>
        <v/>
      </c>
      <c r="Z23" s="200" t="str">
        <f>IFERROR(AVERAGEIF('Daily KPI'!D:D,Table14[[#This Row],[Month]],'Daily KPI'!AB:AB),"")</f>
        <v/>
      </c>
      <c r="AA23" s="196" t="str">
        <f>IFERROR(AVERAGEIF($F$2:F23,F23,$Z$2:Z23),"")</f>
        <v/>
      </c>
      <c r="AB23" s="201"/>
      <c r="AC23" s="200">
        <v>6.7073912546441834</v>
      </c>
      <c r="AD23" s="200">
        <f>AVERAGEIF($F$2:F23,F23,$AC$2:AC23)</f>
        <v>7.3356362960845942</v>
      </c>
      <c r="AE23" s="173">
        <f t="shared" si="5"/>
        <v>0.96029999999999993</v>
      </c>
      <c r="AF23" s="173">
        <v>0.995</v>
      </c>
      <c r="AG23" s="173"/>
      <c r="AH23" s="173">
        <v>0.97</v>
      </c>
      <c r="AI23" s="173">
        <v>0.99</v>
      </c>
      <c r="AJ23" s="173">
        <v>0.95</v>
      </c>
      <c r="AK23" s="173">
        <v>0.05</v>
      </c>
      <c r="AL23" s="173">
        <v>0.05</v>
      </c>
      <c r="AM23" s="221"/>
      <c r="AN23" s="221"/>
    </row>
    <row r="24" spans="1:40">
      <c r="A24" s="195">
        <f t="shared" si="6"/>
        <v>23</v>
      </c>
      <c r="B24" s="194" t="str">
        <f t="shared" si="9"/>
        <v>February</v>
      </c>
      <c r="C24" s="195">
        <f t="shared" si="9"/>
        <v>2</v>
      </c>
      <c r="D24" s="194">
        <v>44958</v>
      </c>
      <c r="E24" s="174">
        <f>YEAR(D24)</f>
        <v>2023</v>
      </c>
      <c r="F24" s="174" t="s">
        <v>436</v>
      </c>
      <c r="G24" s="193">
        <f>DAY(EOMONTH(D24,0))</f>
        <v>28</v>
      </c>
      <c r="H24" s="196"/>
      <c r="I24" s="196"/>
      <c r="J24" s="197">
        <f t="shared" si="10"/>
        <v>4.3</v>
      </c>
      <c r="K24" s="196"/>
      <c r="L24" s="193"/>
      <c r="M24" s="198">
        <v>5619.7152000000006</v>
      </c>
      <c r="N24" s="198">
        <v>80</v>
      </c>
      <c r="O24" s="175"/>
      <c r="P24" s="197"/>
      <c r="Q24" s="193">
        <f>COUNTIFS('Daily KPI'!$D:$D,D24,'Daily KPI'!$M:$M,"&gt;0")</f>
        <v>0</v>
      </c>
      <c r="R24" s="198"/>
      <c r="S24" s="198"/>
      <c r="T24" s="197">
        <f t="shared" si="0"/>
        <v>200.7041142857143</v>
      </c>
      <c r="U24" s="198">
        <f t="shared" si="1"/>
        <v>0</v>
      </c>
      <c r="V24" s="198">
        <f>SUMIF($F$2:F24,F24,$U$2:U24)</f>
        <v>0</v>
      </c>
      <c r="W24" s="175">
        <f t="shared" si="2"/>
        <v>0.10453339285714286</v>
      </c>
      <c r="X24" s="175" t="str">
        <f t="shared" si="3"/>
        <v/>
      </c>
      <c r="Y24" s="175" t="str">
        <f t="shared" si="4"/>
        <v/>
      </c>
      <c r="Z24" s="197" t="str">
        <f>IFERROR(AVERAGEIF('Daily KPI'!D:D,Table14[[#This Row],[Month]],'Daily KPI'!AB:AB),"")</f>
        <v/>
      </c>
      <c r="AA24" s="196" t="str">
        <f>IFERROR(AVERAGEIF($F$2:F24,F24,$Z$2:Z24),"")</f>
        <v/>
      </c>
      <c r="AB24" s="198"/>
      <c r="AC24" s="197">
        <v>7.0533420977422105</v>
      </c>
      <c r="AD24" s="197">
        <f>AVERAGEIF($F$2:F24,F24,$AC$2:AC24)</f>
        <v>7.3099731871443785</v>
      </c>
      <c r="AE24" s="175">
        <f t="shared" si="5"/>
        <v>0.96029999999999993</v>
      </c>
      <c r="AF24" s="175">
        <v>0.995</v>
      </c>
      <c r="AG24" s="175"/>
      <c r="AH24" s="175">
        <v>0.97</v>
      </c>
      <c r="AI24" s="175">
        <v>0.99</v>
      </c>
      <c r="AJ24" s="175">
        <v>0.95</v>
      </c>
      <c r="AK24" s="175">
        <v>0.05</v>
      </c>
      <c r="AL24" s="175">
        <v>0.05</v>
      </c>
      <c r="AM24" s="221"/>
      <c r="AN24" s="221"/>
    </row>
    <row r="25" spans="1:40">
      <c r="A25" s="195">
        <f t="shared" si="6"/>
        <v>24</v>
      </c>
      <c r="B25" s="194" t="str">
        <f t="shared" si="9"/>
        <v>March</v>
      </c>
      <c r="C25" s="195">
        <f t="shared" si="9"/>
        <v>3</v>
      </c>
      <c r="D25" s="194">
        <v>44986</v>
      </c>
      <c r="E25" s="172">
        <f>YEAR(D25)</f>
        <v>2023</v>
      </c>
      <c r="F25" s="174" t="s">
        <v>436</v>
      </c>
      <c r="G25" s="195">
        <f>DAY(EOMONTH(D25,0))</f>
        <v>31</v>
      </c>
      <c r="H25" s="199"/>
      <c r="I25" s="199"/>
      <c r="J25" s="197">
        <f t="shared" si="10"/>
        <v>4.5999999999999996</v>
      </c>
      <c r="K25" s="199"/>
      <c r="L25" s="195"/>
      <c r="M25" s="201">
        <v>7950.856319999999</v>
      </c>
      <c r="N25" s="201">
        <v>80</v>
      </c>
      <c r="O25" s="173"/>
      <c r="P25" s="200"/>
      <c r="Q25" s="195">
        <f>COUNTIFS('Daily KPI'!$D:$D,D25,'Daily KPI'!$M:$M,"&gt;0")</f>
        <v>0</v>
      </c>
      <c r="R25" s="201"/>
      <c r="S25" s="201"/>
      <c r="T25" s="200">
        <f t="shared" si="0"/>
        <v>256.47923612903224</v>
      </c>
      <c r="U25" s="201">
        <f t="shared" si="1"/>
        <v>0</v>
      </c>
      <c r="V25" s="201">
        <f>SUMIF($F$2:F25,F25,$U$2:U25)</f>
        <v>0</v>
      </c>
      <c r="W25" s="173">
        <f t="shared" si="2"/>
        <v>0.13358293548387096</v>
      </c>
      <c r="X25" s="173" t="str">
        <f t="shared" si="3"/>
        <v/>
      </c>
      <c r="Y25" s="173" t="str">
        <f t="shared" si="4"/>
        <v/>
      </c>
      <c r="Z25" s="200" t="str">
        <f>IFERROR(AVERAGEIF('Daily KPI'!D:D,Table14[[#This Row],[Month]],'Daily KPI'!AB:AB),"")</f>
        <v/>
      </c>
      <c r="AA25" s="196" t="str">
        <f>IFERROR(AVERAGEIF($F$2:F25,F25,$Z$2:Z25),"")</f>
        <v/>
      </c>
      <c r="AB25" s="201"/>
      <c r="AC25" s="200">
        <v>7.411120320091455</v>
      </c>
      <c r="AD25" s="200">
        <f>AVERAGEIF($F$2:F25,F25,$AC$2:AC25)</f>
        <v>7.3184021148899676</v>
      </c>
      <c r="AE25" s="173">
        <f t="shared" si="5"/>
        <v>0.96029999999999993</v>
      </c>
      <c r="AF25" s="173">
        <v>0.995</v>
      </c>
      <c r="AG25" s="173"/>
      <c r="AH25" s="173">
        <v>0.97</v>
      </c>
      <c r="AI25" s="173">
        <v>0.99</v>
      </c>
      <c r="AJ25" s="173">
        <v>0.95</v>
      </c>
      <c r="AK25" s="173">
        <v>0.05</v>
      </c>
      <c r="AL25" s="173">
        <v>0.05</v>
      </c>
      <c r="AM25" s="221"/>
      <c r="AN25" s="221"/>
    </row>
    <row r="26" spans="1:40">
      <c r="A26" s="195">
        <f t="shared" si="6"/>
        <v>25</v>
      </c>
      <c r="B26" s="194" t="str">
        <f t="shared" si="9"/>
        <v>April</v>
      </c>
      <c r="C26" s="195">
        <f t="shared" si="9"/>
        <v>4</v>
      </c>
      <c r="D26" s="194">
        <v>45017</v>
      </c>
      <c r="E26" s="172">
        <f t="shared" ref="E26:E39" si="11">YEAR(D26)</f>
        <v>2023</v>
      </c>
      <c r="F26" s="174" t="s">
        <v>437</v>
      </c>
      <c r="G26" s="195">
        <f t="shared" ref="G26:G39" si="12">DAY(EOMONTH(D26,0))</f>
        <v>30</v>
      </c>
      <c r="H26" s="199"/>
      <c r="I26" s="199"/>
      <c r="J26" s="197">
        <f t="shared" si="10"/>
        <v>5.6333333333333329</v>
      </c>
      <c r="K26" s="199"/>
      <c r="L26" s="195"/>
      <c r="M26" s="201">
        <v>11000</v>
      </c>
      <c r="N26" s="201">
        <v>80</v>
      </c>
      <c r="O26" s="173"/>
      <c r="P26" s="200"/>
      <c r="Q26" s="195">
        <f>COUNTIFS('Daily KPI'!$D:$D,D26,'Daily KPI'!$M:$M,"&gt;0")</f>
        <v>0</v>
      </c>
      <c r="R26" s="201"/>
      <c r="S26" s="201"/>
      <c r="T26" s="200">
        <f t="shared" si="0"/>
        <v>366.66666666666669</v>
      </c>
      <c r="U26" s="201">
        <f t="shared" si="1"/>
        <v>0</v>
      </c>
      <c r="V26" s="201">
        <f>SUMIF($F$2:F61,F26,$U$2:U61)</f>
        <v>0</v>
      </c>
      <c r="W26" s="173">
        <f t="shared" si="2"/>
        <v>0.19097222222222224</v>
      </c>
      <c r="X26" s="173" t="str">
        <f t="shared" si="3"/>
        <v/>
      </c>
      <c r="Y26" s="173" t="str">
        <f t="shared" si="4"/>
        <v/>
      </c>
      <c r="Z26" s="200" t="str">
        <f>IFERROR(AVERAGEIF('Daily KPI'!D:D,Table14[[#This Row],[Month]],'Daily KPI'!AB:AB),"")</f>
        <v/>
      </c>
      <c r="AA26" s="196" t="str">
        <f>IFERROR(AVERAGEIF($F$2:F26,F26,$Z$2:Z26),"")</f>
        <v/>
      </c>
      <c r="AB26" s="201"/>
      <c r="AC26" s="200">
        <v>6.4041034581308942</v>
      </c>
      <c r="AD26" s="200">
        <f>AVERAGEIF($F$2:F26,F26,$AC$2:AC26)</f>
        <v>6.4041034581308942</v>
      </c>
      <c r="AE26" s="173">
        <f t="shared" si="5"/>
        <v>0.96029999999999993</v>
      </c>
      <c r="AF26" s="173">
        <v>0.995</v>
      </c>
      <c r="AG26" s="173"/>
      <c r="AH26" s="173">
        <v>0.97</v>
      </c>
      <c r="AI26" s="173">
        <v>0.99</v>
      </c>
      <c r="AJ26" s="173">
        <v>0.95</v>
      </c>
      <c r="AK26" s="173">
        <v>0.05</v>
      </c>
      <c r="AL26" s="173">
        <v>0.05</v>
      </c>
      <c r="AM26" s="221"/>
      <c r="AN26" s="221"/>
    </row>
    <row r="27" spans="1:40">
      <c r="A27" s="195">
        <f t="shared" si="6"/>
        <v>26</v>
      </c>
      <c r="B27" s="194" t="str">
        <f t="shared" si="9"/>
        <v>May</v>
      </c>
      <c r="C27" s="195">
        <f t="shared" si="9"/>
        <v>5</v>
      </c>
      <c r="D27" s="194">
        <v>45047</v>
      </c>
      <c r="E27" s="172">
        <f t="shared" si="11"/>
        <v>2023</v>
      </c>
      <c r="F27" s="174" t="s">
        <v>437</v>
      </c>
      <c r="G27" s="195">
        <f t="shared" si="12"/>
        <v>31</v>
      </c>
      <c r="H27" s="199"/>
      <c r="I27" s="199"/>
      <c r="J27" s="197">
        <f t="shared" si="10"/>
        <v>6.5666666666666664</v>
      </c>
      <c r="K27" s="199"/>
      <c r="L27" s="195"/>
      <c r="M27" s="201">
        <v>19240</v>
      </c>
      <c r="N27" s="201">
        <v>80</v>
      </c>
      <c r="O27" s="173"/>
      <c r="P27" s="200"/>
      <c r="Q27" s="195">
        <f>COUNTIFS('Daily KPI'!$D:$D,D27,'Daily KPI'!$M:$M,"&gt;0")</f>
        <v>0</v>
      </c>
      <c r="R27" s="201"/>
      <c r="S27" s="201"/>
      <c r="T27" s="200">
        <f t="shared" si="0"/>
        <v>620.64516129032256</v>
      </c>
      <c r="U27" s="201">
        <f t="shared" si="1"/>
        <v>0</v>
      </c>
      <c r="V27" s="201">
        <f>SUMIF($F$2:F61,F27,$U$2:U61)</f>
        <v>0</v>
      </c>
      <c r="W27" s="173">
        <f t="shared" si="2"/>
        <v>0.323252688172043</v>
      </c>
      <c r="X27" s="173" t="str">
        <f t="shared" si="3"/>
        <v/>
      </c>
      <c r="Y27" s="173" t="str">
        <f t="shared" si="4"/>
        <v/>
      </c>
      <c r="Z27" s="200" t="str">
        <f>IFERROR(AVERAGEIF('Daily KPI'!D:D,Table14[[#This Row],[Month]],'Daily KPI'!AB:AB),"")</f>
        <v/>
      </c>
      <c r="AA27" s="196" t="str">
        <f>IFERROR(AVERAGEIF($F$2:F27,F27,$Z$2:Z27),"")</f>
        <v/>
      </c>
      <c r="AB27" s="201"/>
      <c r="AC27" s="200">
        <v>5.9681800514432695</v>
      </c>
      <c r="AD27" s="200">
        <f>AVERAGEIF($F$2:F61,F27,$AC$2:AC61)</f>
        <v>7.3184021148899676</v>
      </c>
      <c r="AE27" s="173">
        <f t="shared" si="5"/>
        <v>0.96029999999999993</v>
      </c>
      <c r="AF27" s="173">
        <v>0.995</v>
      </c>
      <c r="AG27" s="173"/>
      <c r="AH27" s="173">
        <v>0.97</v>
      </c>
      <c r="AI27" s="173">
        <v>0.99</v>
      </c>
      <c r="AJ27" s="173">
        <v>0.95</v>
      </c>
      <c r="AK27" s="173">
        <v>0.05</v>
      </c>
      <c r="AL27" s="173">
        <v>0.05</v>
      </c>
      <c r="AM27" s="221"/>
      <c r="AN27" s="221"/>
    </row>
    <row r="28" spans="1:40">
      <c r="A28" s="195">
        <f t="shared" si="6"/>
        <v>27</v>
      </c>
      <c r="B28" s="194" t="str">
        <f t="shared" si="9"/>
        <v>June</v>
      </c>
      <c r="C28" s="195">
        <f t="shared" si="9"/>
        <v>6</v>
      </c>
      <c r="D28" s="194">
        <v>45078</v>
      </c>
      <c r="E28" s="172">
        <f t="shared" si="11"/>
        <v>2023</v>
      </c>
      <c r="F28" s="174" t="s">
        <v>437</v>
      </c>
      <c r="G28" s="195">
        <f t="shared" si="12"/>
        <v>30</v>
      </c>
      <c r="H28" s="199"/>
      <c r="I28" s="199"/>
      <c r="J28" s="197">
        <f t="shared" si="10"/>
        <v>6.5666666666666664</v>
      </c>
      <c r="K28" s="199"/>
      <c r="L28" s="195"/>
      <c r="M28" s="201">
        <v>16180</v>
      </c>
      <c r="N28" s="201">
        <v>80</v>
      </c>
      <c r="O28" s="173"/>
      <c r="P28" s="200"/>
      <c r="Q28" s="195">
        <f>COUNTIFS('Daily KPI'!$D:$D,D28,'Daily KPI'!$M:$M,"&gt;0")</f>
        <v>0</v>
      </c>
      <c r="R28" s="201"/>
      <c r="S28" s="201"/>
      <c r="T28" s="200">
        <f t="shared" si="0"/>
        <v>539.33333333333337</v>
      </c>
      <c r="U28" s="201">
        <f t="shared" si="1"/>
        <v>0</v>
      </c>
      <c r="V28" s="201">
        <f>SUMIF($F$2:F28,F28,$U$2:U28)</f>
        <v>0</v>
      </c>
      <c r="W28" s="173">
        <f t="shared" si="2"/>
        <v>0.28090277777777778</v>
      </c>
      <c r="X28" s="173" t="str">
        <f t="shared" si="3"/>
        <v/>
      </c>
      <c r="Y28" s="173" t="str">
        <f t="shared" si="4"/>
        <v/>
      </c>
      <c r="Z28" s="200" t="str">
        <f>IFERROR(AVERAGEIF('Daily KPI'!D:D,Table14[[#This Row],[Month]],'Daily KPI'!AB:AB),"")</f>
        <v/>
      </c>
      <c r="AA28" s="196" t="str">
        <f>IFERROR(AVERAGEIF($F$2:F28,F28,$Z$2:Z28),"")</f>
        <v/>
      </c>
      <c r="AB28" s="201"/>
      <c r="AC28" s="200">
        <f>AC16</f>
        <v>5.6310997427836513</v>
      </c>
      <c r="AD28" s="200">
        <f>AVERAGEIF($F$2:F28,F28,$AC$2:AC28)</f>
        <v>6.0011277507859377</v>
      </c>
      <c r="AE28" s="173">
        <f t="shared" si="5"/>
        <v>0.96029999999999993</v>
      </c>
      <c r="AF28" s="173">
        <v>0.995</v>
      </c>
      <c r="AG28" s="173"/>
      <c r="AH28" s="173">
        <v>0.97</v>
      </c>
      <c r="AI28" s="173">
        <v>0.99</v>
      </c>
      <c r="AJ28" s="173">
        <v>0.95</v>
      </c>
      <c r="AK28" s="173">
        <v>0.05</v>
      </c>
      <c r="AL28" s="173">
        <v>0.05</v>
      </c>
      <c r="AM28" s="221"/>
      <c r="AN28" s="221"/>
    </row>
    <row r="29" spans="1:40">
      <c r="A29" s="195">
        <f t="shared" si="6"/>
        <v>28</v>
      </c>
      <c r="B29" s="194" t="str">
        <f t="shared" si="9"/>
        <v>July</v>
      </c>
      <c r="C29" s="195">
        <f t="shared" si="9"/>
        <v>7</v>
      </c>
      <c r="D29" s="194">
        <v>45108</v>
      </c>
      <c r="E29" s="172">
        <f t="shared" si="11"/>
        <v>2023</v>
      </c>
      <c r="F29" s="174" t="s">
        <v>437</v>
      </c>
      <c r="G29" s="195">
        <f t="shared" si="12"/>
        <v>31</v>
      </c>
      <c r="H29" s="199"/>
      <c r="I29" s="199"/>
      <c r="J29" s="197">
        <f t="shared" si="10"/>
        <v>7.6000000000000005</v>
      </c>
      <c r="K29" s="199"/>
      <c r="L29" s="195"/>
      <c r="M29" s="201">
        <v>20190</v>
      </c>
      <c r="N29" s="201">
        <v>80</v>
      </c>
      <c r="O29" s="173"/>
      <c r="P29" s="200"/>
      <c r="Q29" s="195">
        <f>COUNTIFS('Daily KPI'!$D:$D,D29,'Daily KPI'!$M:$M,"&gt;0")</f>
        <v>0</v>
      </c>
      <c r="R29" s="201"/>
      <c r="S29" s="201"/>
      <c r="T29" s="200">
        <f t="shared" si="0"/>
        <v>651.29032258064512</v>
      </c>
      <c r="U29" s="201">
        <f t="shared" si="1"/>
        <v>0</v>
      </c>
      <c r="V29" s="201">
        <f>SUMIF($F$2:F29,F29,$U$2:U29)</f>
        <v>0</v>
      </c>
      <c r="W29" s="173">
        <f t="shared" si="2"/>
        <v>0.33921370967741932</v>
      </c>
      <c r="X29" s="173" t="str">
        <f t="shared" si="3"/>
        <v/>
      </c>
      <c r="Y29" s="173" t="str">
        <f t="shared" si="4"/>
        <v/>
      </c>
      <c r="Z29" s="200" t="str">
        <f>IFERROR(AVERAGEIF('Daily KPI'!D:D,Table14[[#This Row],[Month]],'Daily KPI'!AB:AB),"")</f>
        <v/>
      </c>
      <c r="AA29" s="196" t="str">
        <f>IFERROR(AVERAGEIF($F$2:F29,F29,$Z$2:Z29),"")</f>
        <v/>
      </c>
      <c r="AB29" s="201"/>
      <c r="AC29" s="200">
        <f t="shared" ref="AC29:AC38" si="13">AC17</f>
        <v>7.1310648756787653</v>
      </c>
      <c r="AD29" s="200">
        <f>AVERAGEIF($F$2:F29,F29,$AC$2:AC29)</f>
        <v>6.2836120320091453</v>
      </c>
      <c r="AE29" s="173">
        <f t="shared" si="5"/>
        <v>0.96029999999999993</v>
      </c>
      <c r="AF29" s="173">
        <v>0.995</v>
      </c>
      <c r="AG29" s="173"/>
      <c r="AH29" s="173">
        <v>0.97</v>
      </c>
      <c r="AI29" s="173">
        <v>0.99</v>
      </c>
      <c r="AJ29" s="173">
        <v>0.95</v>
      </c>
      <c r="AK29" s="173">
        <v>0.05</v>
      </c>
      <c r="AL29" s="173">
        <v>0.05</v>
      </c>
      <c r="AM29" s="221"/>
      <c r="AN29" s="221"/>
    </row>
    <row r="30" spans="1:40">
      <c r="A30" s="195">
        <f t="shared" si="6"/>
        <v>29</v>
      </c>
      <c r="B30" s="194" t="str">
        <f t="shared" si="9"/>
        <v>August</v>
      </c>
      <c r="C30" s="195">
        <f t="shared" si="9"/>
        <v>8</v>
      </c>
      <c r="D30" s="194">
        <v>45139</v>
      </c>
      <c r="E30" s="172">
        <f t="shared" si="11"/>
        <v>2023</v>
      </c>
      <c r="F30" s="174" t="s">
        <v>437</v>
      </c>
      <c r="G30" s="195">
        <f t="shared" si="12"/>
        <v>31</v>
      </c>
      <c r="H30" s="199"/>
      <c r="I30" s="199"/>
      <c r="J30" s="197">
        <f t="shared" si="10"/>
        <v>6.8666666666666671</v>
      </c>
      <c r="K30" s="199"/>
      <c r="L30" s="195"/>
      <c r="M30" s="201">
        <v>21230</v>
      </c>
      <c r="N30" s="201">
        <v>80</v>
      </c>
      <c r="O30" s="173"/>
      <c r="P30" s="200"/>
      <c r="Q30" s="195">
        <f>COUNTIFS('Daily KPI'!$D:$D,D30,'Daily KPI'!$M:$M,"&gt;0")</f>
        <v>0</v>
      </c>
      <c r="R30" s="201"/>
      <c r="S30" s="201"/>
      <c r="T30" s="200">
        <f t="shared" si="0"/>
        <v>684.83870967741939</v>
      </c>
      <c r="U30" s="201">
        <f t="shared" si="1"/>
        <v>0</v>
      </c>
      <c r="V30" s="201">
        <f>SUMIF($F$2:F30,F30,$U$2:U30)</f>
        <v>0</v>
      </c>
      <c r="W30" s="173">
        <f t="shared" si="2"/>
        <v>0.35668682795698925</v>
      </c>
      <c r="X30" s="173" t="str">
        <f t="shared" si="3"/>
        <v/>
      </c>
      <c r="Y30" s="173" t="str">
        <f t="shared" si="4"/>
        <v/>
      </c>
      <c r="Z30" s="200" t="str">
        <f>IFERROR(AVERAGEIF('Daily KPI'!D:D,Table14[[#This Row],[Month]],'Daily KPI'!AB:AB),"")</f>
        <v/>
      </c>
      <c r="AA30" s="196" t="str">
        <f>IFERROR(AVERAGEIF($F$2:F30,F30,$Z$2:Z30),"")</f>
        <v/>
      </c>
      <c r="AB30" s="201"/>
      <c r="AC30" s="200">
        <f t="shared" si="13"/>
        <v>9.4530328665332952</v>
      </c>
      <c r="AD30" s="200">
        <f>AVERAGEIF($F$2:F30,F30,$AC$2:AC30)</f>
        <v>6.9174961989139749</v>
      </c>
      <c r="AE30" s="173">
        <f t="shared" si="5"/>
        <v>0.96029999999999993</v>
      </c>
      <c r="AF30" s="173">
        <v>0.995</v>
      </c>
      <c r="AG30" s="173"/>
      <c r="AH30" s="173">
        <v>0.97</v>
      </c>
      <c r="AI30" s="173">
        <v>0.99</v>
      </c>
      <c r="AJ30" s="173">
        <v>0.95</v>
      </c>
      <c r="AK30" s="173">
        <v>0.05</v>
      </c>
      <c r="AL30" s="173">
        <v>0.05</v>
      </c>
      <c r="AM30" s="221"/>
      <c r="AN30" s="221"/>
    </row>
    <row r="31" spans="1:40">
      <c r="A31" s="195">
        <f t="shared" si="6"/>
        <v>30</v>
      </c>
      <c r="B31" s="194" t="str">
        <f t="shared" si="9"/>
        <v>September</v>
      </c>
      <c r="C31" s="195">
        <f t="shared" si="9"/>
        <v>9</v>
      </c>
      <c r="D31" s="194">
        <v>45170</v>
      </c>
      <c r="E31" s="172">
        <f t="shared" si="11"/>
        <v>2023</v>
      </c>
      <c r="F31" s="174" t="s">
        <v>437</v>
      </c>
      <c r="G31" s="195">
        <f t="shared" si="12"/>
        <v>30</v>
      </c>
      <c r="H31" s="199"/>
      <c r="I31" s="199"/>
      <c r="J31" s="197">
        <f t="shared" si="10"/>
        <v>5.0333333333333332</v>
      </c>
      <c r="K31" s="199"/>
      <c r="L31" s="195"/>
      <c r="M31" s="201">
        <v>9020</v>
      </c>
      <c r="N31" s="201">
        <v>80</v>
      </c>
      <c r="O31" s="173"/>
      <c r="P31" s="200"/>
      <c r="Q31" s="195">
        <f>COUNTIFS('Daily KPI'!$D:$D,D31,'Daily KPI'!$M:$M,"&gt;0")</f>
        <v>0</v>
      </c>
      <c r="R31" s="201"/>
      <c r="S31" s="201"/>
      <c r="T31" s="200">
        <f t="shared" si="0"/>
        <v>300.66666666666669</v>
      </c>
      <c r="U31" s="201">
        <f t="shared" si="1"/>
        <v>0</v>
      </c>
      <c r="V31" s="201">
        <f>SUMIF($F$2:F31,F31,$U$2:U31)</f>
        <v>0</v>
      </c>
      <c r="W31" s="173">
        <f t="shared" si="2"/>
        <v>0.15659722222222222</v>
      </c>
      <c r="X31" s="173" t="str">
        <f t="shared" si="3"/>
        <v/>
      </c>
      <c r="Y31" s="173" t="str">
        <f t="shared" si="4"/>
        <v/>
      </c>
      <c r="Z31" s="200" t="str">
        <f>IFERROR(AVERAGEIF('Daily KPI'!D:D,Table14[[#This Row],[Month]],'Daily KPI'!AB:AB),"")</f>
        <v/>
      </c>
      <c r="AA31" s="196" t="str">
        <f>IFERROR(AVERAGEIF($F$2:F31,F31,$Z$2:Z31),"")</f>
        <v/>
      </c>
      <c r="AB31" s="201"/>
      <c r="AC31" s="200">
        <f t="shared" si="13"/>
        <v>10.303759359817088</v>
      </c>
      <c r="AD31" s="200">
        <f>AVERAGEIF($F$2:F31,F31,$AC$2:AC31)</f>
        <v>7.4818733923978264</v>
      </c>
      <c r="AE31" s="173">
        <f t="shared" si="5"/>
        <v>0.96029999999999993</v>
      </c>
      <c r="AF31" s="173">
        <v>0.995</v>
      </c>
      <c r="AG31" s="173"/>
      <c r="AH31" s="173">
        <v>0.97</v>
      </c>
      <c r="AI31" s="173">
        <v>0.99</v>
      </c>
      <c r="AJ31" s="173">
        <v>0.95</v>
      </c>
      <c r="AK31" s="173">
        <v>0.05</v>
      </c>
      <c r="AL31" s="173">
        <v>0.05</v>
      </c>
      <c r="AM31" s="221"/>
      <c r="AN31" s="221"/>
    </row>
    <row r="32" spans="1:40">
      <c r="A32" s="195">
        <f t="shared" si="6"/>
        <v>31</v>
      </c>
      <c r="B32" s="194" t="str">
        <f t="shared" si="9"/>
        <v>October</v>
      </c>
      <c r="C32" s="195">
        <f t="shared" si="9"/>
        <v>10</v>
      </c>
      <c r="D32" s="194">
        <v>45200</v>
      </c>
      <c r="E32" s="172">
        <f t="shared" si="11"/>
        <v>2023</v>
      </c>
      <c r="F32" s="174" t="s">
        <v>437</v>
      </c>
      <c r="G32" s="195">
        <f t="shared" si="12"/>
        <v>31</v>
      </c>
      <c r="H32" s="199"/>
      <c r="I32" s="199"/>
      <c r="J32" s="197">
        <f t="shared" si="10"/>
        <v>3.9666666666666668</v>
      </c>
      <c r="K32" s="199"/>
      <c r="L32" s="195"/>
      <c r="M32" s="201">
        <v>6030</v>
      </c>
      <c r="N32" s="201">
        <v>80</v>
      </c>
      <c r="O32" s="173"/>
      <c r="P32" s="200"/>
      <c r="Q32" s="195">
        <f>COUNTIFS('Daily KPI'!$D:$D,D32,'Daily KPI'!$M:$M,"&gt;0")</f>
        <v>0</v>
      </c>
      <c r="R32" s="201"/>
      <c r="S32" s="201"/>
      <c r="T32" s="200">
        <f t="shared" si="0"/>
        <v>194.51612903225808</v>
      </c>
      <c r="U32" s="201">
        <f t="shared" si="1"/>
        <v>0</v>
      </c>
      <c r="V32" s="201">
        <f>SUMIF($F$2:F32,F32,$U$2:U32)</f>
        <v>0</v>
      </c>
      <c r="W32" s="173">
        <f t="shared" si="2"/>
        <v>0.10131048387096775</v>
      </c>
      <c r="X32" s="173" t="str">
        <f t="shared" si="3"/>
        <v/>
      </c>
      <c r="Y32" s="173" t="str">
        <f t="shared" si="4"/>
        <v/>
      </c>
      <c r="Z32" s="200" t="str">
        <f>IFERROR(AVERAGEIF('Daily KPI'!D:D,Table14[[#This Row],[Month]],'Daily KPI'!AB:AB),"")</f>
        <v/>
      </c>
      <c r="AA32" s="196" t="str">
        <f>IFERROR(AVERAGEIF($F$2:F32,F32,$Z$2:Z32),"")</f>
        <v/>
      </c>
      <c r="AB32" s="201"/>
      <c r="AC32" s="200">
        <f t="shared" si="13"/>
        <v>8.5195147184909956</v>
      </c>
      <c r="AD32" s="200">
        <f>AVERAGEIF($F$2:F32,F32,$AC$2:AC32)</f>
        <v>7.6301078675539937</v>
      </c>
      <c r="AE32" s="173">
        <f t="shared" si="5"/>
        <v>0.96029999999999993</v>
      </c>
      <c r="AF32" s="173">
        <v>0.995</v>
      </c>
      <c r="AG32" s="173"/>
      <c r="AH32" s="173">
        <v>0.97</v>
      </c>
      <c r="AI32" s="173">
        <v>0.99</v>
      </c>
      <c r="AJ32" s="173">
        <v>0.95</v>
      </c>
      <c r="AK32" s="173">
        <v>0.05</v>
      </c>
      <c r="AL32" s="173">
        <v>0.05</v>
      </c>
      <c r="AM32" s="221"/>
      <c r="AN32" s="221"/>
    </row>
    <row r="33" spans="1:40">
      <c r="A33" s="195">
        <f t="shared" si="6"/>
        <v>32</v>
      </c>
      <c r="B33" s="194" t="str">
        <f t="shared" si="9"/>
        <v>November</v>
      </c>
      <c r="C33" s="195">
        <f t="shared" si="9"/>
        <v>11</v>
      </c>
      <c r="D33" s="194">
        <v>45231</v>
      </c>
      <c r="E33" s="172">
        <f t="shared" si="11"/>
        <v>2023</v>
      </c>
      <c r="F33" s="174" t="s">
        <v>437</v>
      </c>
      <c r="G33" s="195">
        <f t="shared" si="12"/>
        <v>30</v>
      </c>
      <c r="H33" s="199"/>
      <c r="I33" s="199"/>
      <c r="J33" s="197">
        <f t="shared" si="10"/>
        <v>4.0333333333333332</v>
      </c>
      <c r="K33" s="199"/>
      <c r="L33" s="195"/>
      <c r="M33" s="201">
        <v>5580</v>
      </c>
      <c r="N33" s="201">
        <v>80</v>
      </c>
      <c r="O33" s="173"/>
      <c r="P33" s="200"/>
      <c r="Q33" s="195">
        <f>COUNTIFS('Daily KPI'!$D:$D,D33,'Daily KPI'!$M:$M,"&gt;0")</f>
        <v>0</v>
      </c>
      <c r="R33" s="201"/>
      <c r="S33" s="201"/>
      <c r="T33" s="200">
        <f t="shared" si="0"/>
        <v>186</v>
      </c>
      <c r="U33" s="201">
        <f t="shared" si="1"/>
        <v>0</v>
      </c>
      <c r="V33" s="201">
        <f>SUMIF($F$2:F33,F33,$U$2:U33)</f>
        <v>0</v>
      </c>
      <c r="W33" s="173">
        <f t="shared" si="2"/>
        <v>9.6875000000000003E-2</v>
      </c>
      <c r="X33" s="173" t="str">
        <f t="shared" si="3"/>
        <v/>
      </c>
      <c r="Y33" s="173" t="str">
        <f t="shared" si="4"/>
        <v/>
      </c>
      <c r="Z33" s="200" t="str">
        <f>IFERROR(AVERAGEIF('Daily KPI'!D:D,Table14[[#This Row],[Month]],'Daily KPI'!AB:AB),"")</f>
        <v/>
      </c>
      <c r="AA33" s="196" t="str">
        <f>IFERROR(AVERAGEIF($F$2:F33,F33,$Z$2:Z33),"")</f>
        <v/>
      </c>
      <c r="AB33" s="201"/>
      <c r="AC33" s="200">
        <f t="shared" si="13"/>
        <v>7.2366664761360369</v>
      </c>
      <c r="AD33" s="200">
        <f>AVERAGEIF($F$2:F33,F33,$AC$2:AC33)</f>
        <v>7.5809276936267489</v>
      </c>
      <c r="AE33" s="173">
        <f t="shared" si="5"/>
        <v>0.96029999999999993</v>
      </c>
      <c r="AF33" s="173">
        <v>0.995</v>
      </c>
      <c r="AG33" s="173"/>
      <c r="AH33" s="173">
        <v>0.97</v>
      </c>
      <c r="AI33" s="173">
        <v>0.99</v>
      </c>
      <c r="AJ33" s="173">
        <v>0.95</v>
      </c>
      <c r="AK33" s="173">
        <v>0.05</v>
      </c>
      <c r="AL33" s="173">
        <v>0.05</v>
      </c>
      <c r="AM33" s="221"/>
      <c r="AN33" s="221"/>
    </row>
    <row r="34" spans="1:40">
      <c r="A34" s="195">
        <f t="shared" si="6"/>
        <v>33</v>
      </c>
      <c r="B34" s="194" t="str">
        <f t="shared" si="9"/>
        <v>December</v>
      </c>
      <c r="C34" s="195">
        <f t="shared" si="9"/>
        <v>12</v>
      </c>
      <c r="D34" s="194">
        <v>45261</v>
      </c>
      <c r="E34" s="172">
        <f t="shared" si="11"/>
        <v>2023</v>
      </c>
      <c r="F34" s="174" t="s">
        <v>437</v>
      </c>
      <c r="G34" s="195">
        <f t="shared" si="12"/>
        <v>31</v>
      </c>
      <c r="H34" s="199"/>
      <c r="I34" s="199"/>
      <c r="J34" s="197">
        <f t="shared" si="10"/>
        <v>4.4333333333333336</v>
      </c>
      <c r="K34" s="199"/>
      <c r="L34" s="195"/>
      <c r="M34" s="201">
        <v>6740</v>
      </c>
      <c r="N34" s="201">
        <v>80</v>
      </c>
      <c r="O34" s="173"/>
      <c r="P34" s="200"/>
      <c r="Q34" s="195">
        <f>COUNTIFS('Daily KPI'!$D:$D,D34,'Daily KPI'!$M:$M,"&gt;0")</f>
        <v>0</v>
      </c>
      <c r="R34" s="201"/>
      <c r="S34" s="201"/>
      <c r="T34" s="200">
        <f t="shared" si="0"/>
        <v>217.41935483870967</v>
      </c>
      <c r="U34" s="201">
        <f t="shared" si="1"/>
        <v>0</v>
      </c>
      <c r="V34" s="201">
        <f>SUMIF($F$2:F34,F34,$U$2:U34)</f>
        <v>0</v>
      </c>
      <c r="W34" s="173">
        <f t="shared" ref="W34:W61" si="14">IFERROR(T34/(24*N34),"")</f>
        <v>0.11323924731182795</v>
      </c>
      <c r="X34" s="173" t="str">
        <f t="shared" ref="X34:X61" si="15">IFERROR(U34/(24*N34*Q34),"")</f>
        <v/>
      </c>
      <c r="Y34" s="173" t="str">
        <f t="shared" ref="Y34:Y61" si="16">IFERROR(V34/(24*N34*SUMIFS($Q:$Q,$F:$F,$F34,$D:$D,"&lt;="&amp;D34)),"")</f>
        <v/>
      </c>
      <c r="Z34" s="200" t="str">
        <f>IFERROR(AVERAGEIF('Daily KPI'!D:D,Table14[[#This Row],[Month]],'Daily KPI'!AB:AB),"")</f>
        <v/>
      </c>
      <c r="AA34" s="196" t="str">
        <f>IFERROR(AVERAGEIF($F$2:F34,F34,$Z$2:Z34),"")</f>
        <v/>
      </c>
      <c r="AB34" s="201"/>
      <c r="AC34" s="200">
        <f t="shared" si="13"/>
        <v>6.0015501571877659</v>
      </c>
      <c r="AD34" s="200">
        <f>AVERAGEIF($F$2:F34,F34,$AC$2:AC34)</f>
        <v>7.4054413006890849</v>
      </c>
      <c r="AE34" s="173">
        <f t="shared" ref="AE34:AE61" si="17">IFERROR(AH34*AI34,"")</f>
        <v>0.96029999999999993</v>
      </c>
      <c r="AF34" s="173">
        <v>0.995</v>
      </c>
      <c r="AG34" s="173"/>
      <c r="AH34" s="173">
        <v>0.97</v>
      </c>
      <c r="AI34" s="173">
        <v>0.99</v>
      </c>
      <c r="AJ34" s="173">
        <v>0.95</v>
      </c>
      <c r="AK34" s="173">
        <v>0.05</v>
      </c>
      <c r="AL34" s="173">
        <v>0.05</v>
      </c>
      <c r="AM34" s="221"/>
      <c r="AN34" s="221"/>
    </row>
    <row r="35" spans="1:40">
      <c r="A35" s="195">
        <f t="shared" si="6"/>
        <v>34</v>
      </c>
      <c r="B35" s="194" t="str">
        <f t="shared" si="9"/>
        <v>January</v>
      </c>
      <c r="C35" s="195">
        <f t="shared" si="9"/>
        <v>1</v>
      </c>
      <c r="D35" s="194">
        <v>45292</v>
      </c>
      <c r="E35" s="172">
        <f t="shared" si="11"/>
        <v>2024</v>
      </c>
      <c r="F35" s="174" t="s">
        <v>437</v>
      </c>
      <c r="G35" s="195">
        <f t="shared" si="12"/>
        <v>31</v>
      </c>
      <c r="H35" s="199"/>
      <c r="I35" s="199"/>
      <c r="J35" s="197">
        <f t="shared" si="10"/>
        <v>3.8</v>
      </c>
      <c r="K35" s="199"/>
      <c r="L35" s="195"/>
      <c r="M35" s="201">
        <v>4700</v>
      </c>
      <c r="N35" s="201">
        <v>80</v>
      </c>
      <c r="O35" s="173"/>
      <c r="P35" s="200"/>
      <c r="Q35" s="195">
        <f>COUNTIFS('Daily KPI'!$D:$D,D35,'Daily KPI'!$M:$M,"&gt;0")</f>
        <v>0</v>
      </c>
      <c r="R35" s="201"/>
      <c r="S35" s="201"/>
      <c r="T35" s="200">
        <f t="shared" si="0"/>
        <v>151.61290322580646</v>
      </c>
      <c r="U35" s="201">
        <f t="shared" si="1"/>
        <v>0</v>
      </c>
      <c r="V35" s="201">
        <f>SUMIF($F$2:F35,F35,$U$2:U35)</f>
        <v>0</v>
      </c>
      <c r="W35" s="173">
        <f t="shared" si="14"/>
        <v>7.8965053763440859E-2</v>
      </c>
      <c r="X35" s="173" t="str">
        <f t="shared" si="15"/>
        <v/>
      </c>
      <c r="Y35" s="173" t="str">
        <f t="shared" si="16"/>
        <v/>
      </c>
      <c r="Z35" s="200" t="str">
        <f>IFERROR(AVERAGEIF('Daily KPI'!D:D,Table14[[#This Row],[Month]],'Daily KPI'!AB:AB),"")</f>
        <v/>
      </c>
      <c r="AA35" s="196" t="str">
        <f>IFERROR(AVERAGEIF($F$2:F35,F35,$Z$2:Z35),"")</f>
        <v/>
      </c>
      <c r="AB35" s="201"/>
      <c r="AC35" s="200">
        <f t="shared" si="13"/>
        <v>6.7073912546441834</v>
      </c>
      <c r="AD35" s="200">
        <f>AVERAGEIF($F$2:F35,F35,$AC$2:AC35)</f>
        <v>7.3356362960845942</v>
      </c>
      <c r="AE35" s="173">
        <f t="shared" si="17"/>
        <v>0.96029999999999993</v>
      </c>
      <c r="AF35" s="173">
        <v>0.995</v>
      </c>
      <c r="AG35" s="173"/>
      <c r="AH35" s="173">
        <v>0.97</v>
      </c>
      <c r="AI35" s="173">
        <v>0.99</v>
      </c>
      <c r="AJ35" s="173">
        <v>0.95</v>
      </c>
      <c r="AK35" s="173">
        <v>0.05</v>
      </c>
      <c r="AL35" s="173">
        <v>0.05</v>
      </c>
      <c r="AM35" s="221"/>
      <c r="AN35" s="221"/>
    </row>
    <row r="36" spans="1:40">
      <c r="A36" s="195">
        <f t="shared" si="6"/>
        <v>35</v>
      </c>
      <c r="B36" s="194" t="str">
        <f t="shared" si="9"/>
        <v>February</v>
      </c>
      <c r="C36" s="195">
        <f t="shared" si="9"/>
        <v>2</v>
      </c>
      <c r="D36" s="194">
        <v>45323</v>
      </c>
      <c r="E36" s="172">
        <f t="shared" si="11"/>
        <v>2024</v>
      </c>
      <c r="F36" s="174" t="s">
        <v>437</v>
      </c>
      <c r="G36" s="195">
        <f t="shared" si="12"/>
        <v>29</v>
      </c>
      <c r="H36" s="199"/>
      <c r="I36" s="199"/>
      <c r="J36" s="197">
        <f t="shared" si="10"/>
        <v>4.3</v>
      </c>
      <c r="K36" s="199"/>
      <c r="L36" s="195"/>
      <c r="M36" s="201">
        <v>5360</v>
      </c>
      <c r="N36" s="201">
        <v>80</v>
      </c>
      <c r="O36" s="173"/>
      <c r="P36" s="200"/>
      <c r="Q36" s="195">
        <f>COUNTIFS('Daily KPI'!$D:$D,D36,'Daily KPI'!$M:$M,"&gt;0")</f>
        <v>0</v>
      </c>
      <c r="R36" s="201"/>
      <c r="S36" s="201"/>
      <c r="T36" s="200">
        <f t="shared" si="0"/>
        <v>184.82758620689654</v>
      </c>
      <c r="U36" s="201">
        <f t="shared" si="1"/>
        <v>0</v>
      </c>
      <c r="V36" s="201">
        <f>SUMIF($F$2:F36,F36,$U$2:U36)</f>
        <v>0</v>
      </c>
      <c r="W36" s="173">
        <f t="shared" si="14"/>
        <v>9.6264367816091947E-2</v>
      </c>
      <c r="X36" s="173" t="str">
        <f t="shared" si="15"/>
        <v/>
      </c>
      <c r="Y36" s="173" t="str">
        <f t="shared" si="16"/>
        <v/>
      </c>
      <c r="Z36" s="200" t="str">
        <f>IFERROR(AVERAGEIF('Daily KPI'!D:D,Table14[[#This Row],[Month]],'Daily KPI'!AB:AB),"")</f>
        <v/>
      </c>
      <c r="AA36" s="196" t="str">
        <f>IFERROR(AVERAGEIF($F$2:F36,F36,$Z$2:Z36),"")</f>
        <v/>
      </c>
      <c r="AB36" s="201"/>
      <c r="AC36" s="200">
        <f t="shared" si="13"/>
        <v>7.0533420977422105</v>
      </c>
      <c r="AD36" s="200">
        <f>AVERAGEIF($F$2:F36,F36,$AC$2:AC36)</f>
        <v>7.3099731871443785</v>
      </c>
      <c r="AE36" s="173">
        <f t="shared" si="17"/>
        <v>0.96029999999999993</v>
      </c>
      <c r="AF36" s="173">
        <v>0.995</v>
      </c>
      <c r="AG36" s="173"/>
      <c r="AH36" s="173">
        <v>0.97</v>
      </c>
      <c r="AI36" s="173">
        <v>0.99</v>
      </c>
      <c r="AJ36" s="173">
        <v>0.95</v>
      </c>
      <c r="AK36" s="173">
        <v>0.05</v>
      </c>
      <c r="AL36" s="173">
        <v>0.05</v>
      </c>
      <c r="AM36" s="221"/>
      <c r="AN36" s="221"/>
    </row>
    <row r="37" spans="1:40">
      <c r="A37" s="195">
        <f t="shared" si="6"/>
        <v>36</v>
      </c>
      <c r="B37" s="194" t="str">
        <f t="shared" si="9"/>
        <v>March</v>
      </c>
      <c r="C37" s="195">
        <f t="shared" si="9"/>
        <v>3</v>
      </c>
      <c r="D37" s="194">
        <v>45352</v>
      </c>
      <c r="E37" s="172">
        <f t="shared" si="11"/>
        <v>2024</v>
      </c>
      <c r="F37" s="174" t="s">
        <v>437</v>
      </c>
      <c r="G37" s="195">
        <f t="shared" si="12"/>
        <v>31</v>
      </c>
      <c r="H37" s="199"/>
      <c r="I37" s="199"/>
      <c r="J37" s="197">
        <f t="shared" si="10"/>
        <v>4.5999999999999996</v>
      </c>
      <c r="K37" s="199"/>
      <c r="L37" s="195"/>
      <c r="M37" s="201">
        <v>8109.9999999999991</v>
      </c>
      <c r="N37" s="201">
        <v>80</v>
      </c>
      <c r="O37" s="173"/>
      <c r="P37" s="200"/>
      <c r="Q37" s="195">
        <f>COUNTIFS('Daily KPI'!$D:$D,D37,'Daily KPI'!$M:$M,"&gt;0")</f>
        <v>0</v>
      </c>
      <c r="R37" s="201"/>
      <c r="S37" s="201"/>
      <c r="T37" s="200">
        <f t="shared" si="0"/>
        <v>261.61290322580641</v>
      </c>
      <c r="U37" s="201">
        <f t="shared" si="1"/>
        <v>0</v>
      </c>
      <c r="V37" s="201">
        <f>SUMIF($F$2:F37,F37,$U$2:U37)</f>
        <v>0</v>
      </c>
      <c r="W37" s="173">
        <f t="shared" si="14"/>
        <v>0.1362567204301075</v>
      </c>
      <c r="X37" s="173" t="str">
        <f t="shared" si="15"/>
        <v/>
      </c>
      <c r="Y37" s="173" t="str">
        <f t="shared" si="16"/>
        <v/>
      </c>
      <c r="Z37" s="200" t="str">
        <f>IFERROR(AVERAGEIF('Daily KPI'!D:D,Table14[[#This Row],[Month]],'Daily KPI'!AB:AB),"")</f>
        <v/>
      </c>
      <c r="AA37" s="196" t="str">
        <f>IFERROR(AVERAGEIF($F$2:F37,F37,$Z$2:Z37),"")</f>
        <v/>
      </c>
      <c r="AB37" s="201"/>
      <c r="AC37" s="200">
        <f t="shared" si="13"/>
        <v>7.411120320091455</v>
      </c>
      <c r="AD37" s="200">
        <f>AVERAGEIF($F$2:F37,F37,$AC$2:AC37)</f>
        <v>7.3184021148899676</v>
      </c>
      <c r="AE37" s="173">
        <f t="shared" si="17"/>
        <v>0.96029999999999993</v>
      </c>
      <c r="AF37" s="173">
        <v>0.995</v>
      </c>
      <c r="AG37" s="173"/>
      <c r="AH37" s="173">
        <v>0.97</v>
      </c>
      <c r="AI37" s="173">
        <v>0.99</v>
      </c>
      <c r="AJ37" s="173">
        <v>0.95</v>
      </c>
      <c r="AK37" s="173">
        <v>0.05</v>
      </c>
      <c r="AL37" s="173">
        <v>0.05</v>
      </c>
      <c r="AM37" s="221"/>
      <c r="AN37" s="221"/>
    </row>
    <row r="38" spans="1:40">
      <c r="A38" s="195">
        <f t="shared" si="6"/>
        <v>37</v>
      </c>
      <c r="B38" s="194" t="str">
        <f t="shared" si="9"/>
        <v>April</v>
      </c>
      <c r="C38" s="195">
        <f t="shared" si="9"/>
        <v>4</v>
      </c>
      <c r="D38" s="194">
        <v>45383</v>
      </c>
      <c r="E38" s="172">
        <f t="shared" si="11"/>
        <v>2024</v>
      </c>
      <c r="F38" s="174" t="s">
        <v>438</v>
      </c>
      <c r="G38" s="195">
        <f t="shared" si="12"/>
        <v>30</v>
      </c>
      <c r="H38" s="199"/>
      <c r="I38" s="199"/>
      <c r="J38" s="197">
        <f t="shared" si="10"/>
        <v>5.6333333333333329</v>
      </c>
      <c r="K38" s="199"/>
      <c r="L38" s="195"/>
      <c r="M38" s="201">
        <v>11919.2</v>
      </c>
      <c r="N38" s="201">
        <v>80</v>
      </c>
      <c r="O38" s="173"/>
      <c r="P38" s="200"/>
      <c r="Q38" s="195">
        <f>COUNTIFS('Daily KPI'!$D:$D,D38,'Daily KPI'!$M:$M,"&gt;0")</f>
        <v>0</v>
      </c>
      <c r="R38" s="201"/>
      <c r="S38" s="201"/>
      <c r="T38" s="200">
        <f t="shared" si="0"/>
        <v>397.30666666666667</v>
      </c>
      <c r="U38" s="201">
        <f t="shared" si="1"/>
        <v>0</v>
      </c>
      <c r="V38" s="201">
        <f>SUMIF($F$2:F38,F38,$U$2:U38)</f>
        <v>0</v>
      </c>
      <c r="W38" s="173">
        <f t="shared" si="14"/>
        <v>0.20693055555555556</v>
      </c>
      <c r="X38" s="173" t="str">
        <f t="shared" si="15"/>
        <v/>
      </c>
      <c r="Y38" s="173" t="str">
        <f t="shared" si="16"/>
        <v/>
      </c>
      <c r="Z38" s="200" t="str">
        <f>IFERROR(AVERAGEIF('Daily KPI'!D:D,Table14[[#This Row],[Month]],'Daily KPI'!AB:AB),"")</f>
        <v/>
      </c>
      <c r="AA38" s="196" t="str">
        <f>IFERROR(AVERAGEIF($F$2:F38,F38,$Z$2:Z38),"")</f>
        <v/>
      </c>
      <c r="AB38" s="201"/>
      <c r="AC38" s="200">
        <f t="shared" si="13"/>
        <v>6.4041034581308942</v>
      </c>
      <c r="AD38" s="200">
        <f>AVERAGEIF($F$2:F38,F38,$AC$2:AC38)</f>
        <v>6.4041034581308942</v>
      </c>
      <c r="AE38" s="173">
        <f t="shared" si="17"/>
        <v>0.96029999999999993</v>
      </c>
      <c r="AF38" s="173">
        <v>0.995</v>
      </c>
      <c r="AG38" s="173"/>
      <c r="AH38" s="173">
        <v>0.97</v>
      </c>
      <c r="AI38" s="173">
        <v>0.99</v>
      </c>
      <c r="AJ38" s="173">
        <v>0.95</v>
      </c>
      <c r="AK38" s="173">
        <v>0.05</v>
      </c>
      <c r="AL38" s="173">
        <v>0.05</v>
      </c>
      <c r="AM38" s="221"/>
      <c r="AN38" s="221"/>
    </row>
    <row r="39" spans="1:40">
      <c r="A39" s="195">
        <f t="shared" si="6"/>
        <v>38</v>
      </c>
      <c r="B39" s="194" t="str">
        <f t="shared" si="9"/>
        <v>May</v>
      </c>
      <c r="C39" s="195">
        <f t="shared" si="9"/>
        <v>5</v>
      </c>
      <c r="D39" s="194">
        <v>45413</v>
      </c>
      <c r="E39" s="172">
        <f t="shared" si="11"/>
        <v>2024</v>
      </c>
      <c r="F39" s="174" t="s">
        <v>438</v>
      </c>
      <c r="G39" s="195">
        <f t="shared" si="12"/>
        <v>31</v>
      </c>
      <c r="H39" s="199"/>
      <c r="I39" s="199"/>
      <c r="J39" s="197">
        <f t="shared" si="10"/>
        <v>6.5666666666666664</v>
      </c>
      <c r="K39" s="199"/>
      <c r="L39" s="195"/>
      <c r="M39" s="201">
        <v>20174.900000000001</v>
      </c>
      <c r="N39" s="201">
        <v>80</v>
      </c>
      <c r="O39" s="173"/>
      <c r="P39" s="200"/>
      <c r="Q39" s="195">
        <f>COUNTIFS('Daily KPI'!$D:$D,D39,'Daily KPI'!$M:$M,"&gt;0")</f>
        <v>0</v>
      </c>
      <c r="R39" s="201"/>
      <c r="S39" s="201"/>
      <c r="T39" s="200">
        <f t="shared" si="0"/>
        <v>650.80322580645168</v>
      </c>
      <c r="U39" s="201">
        <f t="shared" si="1"/>
        <v>0</v>
      </c>
      <c r="V39" s="201">
        <f>SUMIF($F$2:F61,F39,$U$2:U61)</f>
        <v>773.27419354838707</v>
      </c>
      <c r="W39" s="173">
        <f t="shared" si="14"/>
        <v>0.33896001344086024</v>
      </c>
      <c r="X39" s="173" t="str">
        <f t="shared" si="15"/>
        <v/>
      </c>
      <c r="Y39" s="173" t="str">
        <f t="shared" si="16"/>
        <v/>
      </c>
      <c r="Z39" s="200" t="str">
        <f>IFERROR(AVERAGEIF('Daily KPI'!D:D,Table14[[#This Row],[Month]],'Daily KPI'!AB:AB),"")</f>
        <v/>
      </c>
      <c r="AA39" s="196" t="str">
        <f>IFERROR(AVERAGEIF($F$2:F39,F39,$Z$2:Z39),"")</f>
        <v/>
      </c>
      <c r="AB39" s="201"/>
      <c r="AC39" s="200">
        <f>AC27</f>
        <v>5.9681800514432695</v>
      </c>
      <c r="AD39" s="200">
        <f>AVERAGEIF($F$2:F61,F39,$AC$2:AC61)</f>
        <v>7.3184021148899676</v>
      </c>
      <c r="AE39" s="173">
        <f t="shared" si="17"/>
        <v>0.96029999999999993</v>
      </c>
      <c r="AF39" s="173">
        <v>0.995</v>
      </c>
      <c r="AG39" s="173"/>
      <c r="AH39" s="173">
        <v>0.97</v>
      </c>
      <c r="AI39" s="173">
        <v>0.99</v>
      </c>
      <c r="AJ39" s="173">
        <v>0.95</v>
      </c>
      <c r="AK39" s="173">
        <v>0.05</v>
      </c>
      <c r="AL39" s="173">
        <v>0.05</v>
      </c>
      <c r="AM39" s="221"/>
      <c r="AN39" s="221"/>
    </row>
    <row r="40" spans="1:40">
      <c r="A40" s="195">
        <f t="shared" si="6"/>
        <v>39</v>
      </c>
      <c r="B40" s="194" t="str">
        <f t="shared" ref="B40:C40" si="18">B28</f>
        <v>June</v>
      </c>
      <c r="C40" s="195">
        <f t="shared" si="18"/>
        <v>6</v>
      </c>
      <c r="D40" s="194">
        <v>45444</v>
      </c>
      <c r="E40" s="172">
        <f t="shared" ref="E40:E61" si="19">YEAR(D40)</f>
        <v>2024</v>
      </c>
      <c r="F40" s="174" t="s">
        <v>438</v>
      </c>
      <c r="G40" s="195">
        <f t="shared" ref="G40:G61" si="20">DAY(EOMONTH(D40,0))</f>
        <v>30</v>
      </c>
      <c r="H40" s="199"/>
      <c r="I40" s="199"/>
      <c r="J40" s="197">
        <f t="shared" si="10"/>
        <v>6.5666666666666664</v>
      </c>
      <c r="K40" s="199"/>
      <c r="L40" s="195"/>
      <c r="M40" s="201">
        <v>17527.099999999999</v>
      </c>
      <c r="N40" s="201">
        <v>80</v>
      </c>
      <c r="O40" s="173"/>
      <c r="P40" s="200"/>
      <c r="Q40" s="195">
        <f>COUNTIFS('Daily KPI'!$D:$D,D40,'Daily KPI'!$M:$M,"&gt;0")</f>
        <v>0</v>
      </c>
      <c r="R40" s="201"/>
      <c r="S40" s="201"/>
      <c r="T40" s="200">
        <f t="shared" ref="T40:T61" si="21">M40/G40</f>
        <v>584.23666666666657</v>
      </c>
      <c r="U40" s="201">
        <f t="shared" ref="U40:U61" si="22">M40/G40*Q40</f>
        <v>0</v>
      </c>
      <c r="V40" s="201">
        <f>SUMIF($F$2:F40,F40,$U$2:U40)</f>
        <v>0</v>
      </c>
      <c r="W40" s="173">
        <f t="shared" si="14"/>
        <v>0.30428993055555548</v>
      </c>
      <c r="X40" s="173" t="str">
        <f t="shared" si="15"/>
        <v/>
      </c>
      <c r="Y40" s="173" t="str">
        <f t="shared" si="16"/>
        <v/>
      </c>
      <c r="Z40" s="200" t="str">
        <f>IFERROR(AVERAGEIF('Daily KPI'!D:D,Table14[[#This Row],[Month]],'Daily KPI'!AB:AB),"")</f>
        <v/>
      </c>
      <c r="AA40" s="196" t="str">
        <f>IFERROR(AVERAGEIF($F$2:F40,F40,$Z$2:Z40),"")</f>
        <v/>
      </c>
      <c r="AB40" s="201"/>
      <c r="AC40" s="200">
        <f t="shared" ref="AC40:AC61" si="23">AC28</f>
        <v>5.6310997427836513</v>
      </c>
      <c r="AD40" s="200">
        <f>AVERAGEIF($F$2:F40,F40,$AC$2:AC40)</f>
        <v>6.0011277507859377</v>
      </c>
      <c r="AE40" s="173">
        <f t="shared" si="17"/>
        <v>0.96029999999999993</v>
      </c>
      <c r="AF40" s="173">
        <v>0.995</v>
      </c>
      <c r="AG40" s="173"/>
      <c r="AH40" s="173">
        <v>0.97</v>
      </c>
      <c r="AI40" s="173">
        <v>0.99</v>
      </c>
      <c r="AJ40" s="173">
        <v>0.95</v>
      </c>
      <c r="AK40" s="173">
        <v>0.05</v>
      </c>
      <c r="AL40" s="173">
        <v>0.05</v>
      </c>
      <c r="AM40" s="221"/>
      <c r="AN40" s="221"/>
    </row>
    <row r="41" spans="1:40">
      <c r="A41" s="195">
        <f t="shared" si="6"/>
        <v>40</v>
      </c>
      <c r="B41" s="194" t="str">
        <f t="shared" ref="B41:C41" si="24">B29</f>
        <v>July</v>
      </c>
      <c r="C41" s="195">
        <f t="shared" si="24"/>
        <v>7</v>
      </c>
      <c r="D41" s="194">
        <v>45474</v>
      </c>
      <c r="E41" s="172">
        <f t="shared" si="19"/>
        <v>2024</v>
      </c>
      <c r="F41" s="174" t="s">
        <v>438</v>
      </c>
      <c r="G41" s="195">
        <f t="shared" si="20"/>
        <v>31</v>
      </c>
      <c r="H41" s="199"/>
      <c r="I41" s="199"/>
      <c r="J41" s="197">
        <f t="shared" si="10"/>
        <v>7.6000000000000005</v>
      </c>
      <c r="K41" s="199"/>
      <c r="L41" s="195"/>
      <c r="M41" s="201">
        <v>21165.200000000001</v>
      </c>
      <c r="N41" s="201">
        <v>80</v>
      </c>
      <c r="O41" s="173"/>
      <c r="P41" s="200"/>
      <c r="Q41" s="195">
        <f>COUNTIFS('Daily KPI'!$D:$D,D41,'Daily KPI'!$M:$M,"&gt;0")</f>
        <v>0</v>
      </c>
      <c r="R41" s="201"/>
      <c r="S41" s="201"/>
      <c r="T41" s="200">
        <f t="shared" si="21"/>
        <v>682.7483870967742</v>
      </c>
      <c r="U41" s="201">
        <f t="shared" si="22"/>
        <v>0</v>
      </c>
      <c r="V41" s="201">
        <f>SUMIF($F$2:F41,F41,$U$2:U41)</f>
        <v>0</v>
      </c>
      <c r="W41" s="173">
        <f t="shared" si="14"/>
        <v>0.35559811827956989</v>
      </c>
      <c r="X41" s="173" t="str">
        <f t="shared" si="15"/>
        <v/>
      </c>
      <c r="Y41" s="173" t="str">
        <f t="shared" si="16"/>
        <v/>
      </c>
      <c r="Z41" s="200" t="str">
        <f>IFERROR(AVERAGEIF('Daily KPI'!D:D,Table14[[#This Row],[Month]],'Daily KPI'!AB:AB),"")</f>
        <v/>
      </c>
      <c r="AA41" s="196" t="str">
        <f>IFERROR(AVERAGEIF($F$2:F41,F41,$Z$2:Z41),"")</f>
        <v/>
      </c>
      <c r="AB41" s="201"/>
      <c r="AC41" s="200">
        <f t="shared" si="23"/>
        <v>7.1310648756787653</v>
      </c>
      <c r="AD41" s="200">
        <f>AVERAGEIF($F$2:F41,F41,$AC$2:AC41)</f>
        <v>6.2836120320091453</v>
      </c>
      <c r="AE41" s="173">
        <f t="shared" si="17"/>
        <v>0.96029999999999993</v>
      </c>
      <c r="AF41" s="173">
        <v>0.995</v>
      </c>
      <c r="AG41" s="173"/>
      <c r="AH41" s="173">
        <v>0.97</v>
      </c>
      <c r="AI41" s="173">
        <v>0.99</v>
      </c>
      <c r="AJ41" s="173">
        <v>0.95</v>
      </c>
      <c r="AK41" s="173">
        <v>0.05</v>
      </c>
      <c r="AL41" s="173">
        <v>0.05</v>
      </c>
      <c r="AM41" s="221"/>
      <c r="AN41" s="221"/>
    </row>
    <row r="42" spans="1:40">
      <c r="A42" s="195">
        <f t="shared" si="6"/>
        <v>41</v>
      </c>
      <c r="B42" s="194" t="str">
        <f t="shared" ref="B42:C42" si="25">B30</f>
        <v>August</v>
      </c>
      <c r="C42" s="195">
        <f t="shared" si="25"/>
        <v>8</v>
      </c>
      <c r="D42" s="194">
        <v>45505</v>
      </c>
      <c r="E42" s="172">
        <f t="shared" si="19"/>
        <v>2024</v>
      </c>
      <c r="F42" s="174" t="s">
        <v>438</v>
      </c>
      <c r="G42" s="195">
        <f t="shared" si="20"/>
        <v>31</v>
      </c>
      <c r="H42" s="199"/>
      <c r="I42" s="199"/>
      <c r="J42" s="197">
        <f t="shared" si="10"/>
        <v>6.8666666666666671</v>
      </c>
      <c r="K42" s="199"/>
      <c r="L42" s="195"/>
      <c r="M42" s="201">
        <v>22256.9</v>
      </c>
      <c r="N42" s="201">
        <v>80</v>
      </c>
      <c r="O42" s="173"/>
      <c r="P42" s="200"/>
      <c r="Q42" s="195">
        <f>COUNTIFS('Daily KPI'!$D:$D,D42,'Daily KPI'!$M:$M,"&gt;0")</f>
        <v>0</v>
      </c>
      <c r="R42" s="201"/>
      <c r="S42" s="201"/>
      <c r="T42" s="200">
        <f t="shared" si="21"/>
        <v>717.96451612903229</v>
      </c>
      <c r="U42" s="201">
        <f t="shared" si="22"/>
        <v>0</v>
      </c>
      <c r="V42" s="201">
        <f>SUMIF($F$2:F42,F42,$U$2:U42)</f>
        <v>0</v>
      </c>
      <c r="W42" s="173">
        <f t="shared" si="14"/>
        <v>0.37393985215053765</v>
      </c>
      <c r="X42" s="173" t="str">
        <f t="shared" si="15"/>
        <v/>
      </c>
      <c r="Y42" s="173" t="str">
        <f t="shared" si="16"/>
        <v/>
      </c>
      <c r="Z42" s="200" t="str">
        <f>IFERROR(AVERAGEIF('Daily KPI'!D:D,Table14[[#This Row],[Month]],'Daily KPI'!AB:AB),"")</f>
        <v/>
      </c>
      <c r="AA42" s="196" t="str">
        <f>IFERROR(AVERAGEIF($F$2:F42,F42,$Z$2:Z42),"")</f>
        <v/>
      </c>
      <c r="AB42" s="201"/>
      <c r="AC42" s="200">
        <f t="shared" si="23"/>
        <v>9.4530328665332952</v>
      </c>
      <c r="AD42" s="200">
        <f>AVERAGEIF($F$2:F42,F42,$AC$2:AC42)</f>
        <v>6.9174961989139749</v>
      </c>
      <c r="AE42" s="173">
        <f t="shared" si="17"/>
        <v>0.96029999999999993</v>
      </c>
      <c r="AF42" s="173">
        <v>0.995</v>
      </c>
      <c r="AG42" s="173"/>
      <c r="AH42" s="173">
        <v>0.97</v>
      </c>
      <c r="AI42" s="173">
        <v>0.99</v>
      </c>
      <c r="AJ42" s="173">
        <v>0.95</v>
      </c>
      <c r="AK42" s="173">
        <v>0.05</v>
      </c>
      <c r="AL42" s="173">
        <v>0.05</v>
      </c>
      <c r="AM42" s="221"/>
      <c r="AN42" s="221"/>
    </row>
    <row r="43" spans="1:40">
      <c r="A43" s="195">
        <f t="shared" si="6"/>
        <v>42</v>
      </c>
      <c r="B43" s="194" t="str">
        <f t="shared" ref="B43:C43" si="26">B31</f>
        <v>September</v>
      </c>
      <c r="C43" s="195">
        <f t="shared" si="26"/>
        <v>9</v>
      </c>
      <c r="D43" s="194">
        <v>45536</v>
      </c>
      <c r="E43" s="172">
        <f t="shared" si="19"/>
        <v>2024</v>
      </c>
      <c r="F43" s="174" t="s">
        <v>438</v>
      </c>
      <c r="G43" s="195">
        <f t="shared" si="20"/>
        <v>30</v>
      </c>
      <c r="H43" s="199"/>
      <c r="I43" s="199"/>
      <c r="J43" s="197">
        <f t="shared" si="10"/>
        <v>5.0333333333333332</v>
      </c>
      <c r="K43" s="199"/>
      <c r="L43" s="195"/>
      <c r="M43" s="201">
        <v>9773.7999999999993</v>
      </c>
      <c r="N43" s="201">
        <v>80</v>
      </c>
      <c r="O43" s="173"/>
      <c r="P43" s="200"/>
      <c r="Q43" s="195">
        <f>COUNTIFS('Daily KPI'!$D:$D,D43,'Daily KPI'!$M:$M,"&gt;0")</f>
        <v>0</v>
      </c>
      <c r="R43" s="201"/>
      <c r="S43" s="201"/>
      <c r="T43" s="200">
        <f t="shared" si="21"/>
        <v>325.79333333333329</v>
      </c>
      <c r="U43" s="201">
        <f t="shared" si="22"/>
        <v>0</v>
      </c>
      <c r="V43" s="201">
        <f>SUMIF($F$2:F43,F43,$U$2:U43)</f>
        <v>0</v>
      </c>
      <c r="W43" s="173">
        <f t="shared" si="14"/>
        <v>0.16968402777777775</v>
      </c>
      <c r="X43" s="173" t="str">
        <f t="shared" si="15"/>
        <v/>
      </c>
      <c r="Y43" s="173" t="str">
        <f t="shared" si="16"/>
        <v/>
      </c>
      <c r="Z43" s="200" t="str">
        <f>IFERROR(AVERAGEIF('Daily KPI'!D:D,Table14[[#This Row],[Month]],'Daily KPI'!AB:AB),"")</f>
        <v/>
      </c>
      <c r="AA43" s="196" t="str">
        <f>IFERROR(AVERAGEIF($F$2:F43,F43,$Z$2:Z43),"")</f>
        <v/>
      </c>
      <c r="AB43" s="201"/>
      <c r="AC43" s="200">
        <f t="shared" si="23"/>
        <v>10.303759359817088</v>
      </c>
      <c r="AD43" s="200">
        <f>AVERAGEIF($F$2:F43,F43,$AC$2:AC43)</f>
        <v>7.4818733923978264</v>
      </c>
      <c r="AE43" s="173">
        <f t="shared" si="17"/>
        <v>0.96029999999999993</v>
      </c>
      <c r="AF43" s="173">
        <v>0.995</v>
      </c>
      <c r="AG43" s="173"/>
      <c r="AH43" s="173">
        <v>0.97</v>
      </c>
      <c r="AI43" s="173">
        <v>0.99</v>
      </c>
      <c r="AJ43" s="173">
        <v>0.95</v>
      </c>
      <c r="AK43" s="173">
        <v>0.05</v>
      </c>
      <c r="AL43" s="173">
        <v>0.05</v>
      </c>
      <c r="AM43" s="221"/>
      <c r="AN43" s="221"/>
    </row>
    <row r="44" spans="1:40">
      <c r="A44" s="195">
        <f t="shared" si="6"/>
        <v>43</v>
      </c>
      <c r="B44" s="194" t="str">
        <f t="shared" ref="B44:C44" si="27">B32</f>
        <v>October</v>
      </c>
      <c r="C44" s="195">
        <f t="shared" si="27"/>
        <v>10</v>
      </c>
      <c r="D44" s="194">
        <v>45566</v>
      </c>
      <c r="E44" s="172">
        <f t="shared" si="19"/>
        <v>2024</v>
      </c>
      <c r="F44" s="174" t="s">
        <v>438</v>
      </c>
      <c r="G44" s="195">
        <f t="shared" si="20"/>
        <v>31</v>
      </c>
      <c r="H44" s="199"/>
      <c r="I44" s="199"/>
      <c r="J44" s="197">
        <f t="shared" si="10"/>
        <v>3.9666666666666668</v>
      </c>
      <c r="K44" s="199"/>
      <c r="L44" s="195"/>
      <c r="M44" s="201">
        <v>5947</v>
      </c>
      <c r="N44" s="201">
        <v>80</v>
      </c>
      <c r="O44" s="173"/>
      <c r="P44" s="200"/>
      <c r="Q44" s="195">
        <f>COUNTIFS('Daily KPI'!$D:$D,D44,'Daily KPI'!$M:$M,"&gt;0")</f>
        <v>0</v>
      </c>
      <c r="R44" s="201"/>
      <c r="S44" s="201"/>
      <c r="T44" s="200">
        <f t="shared" si="21"/>
        <v>191.83870967741936</v>
      </c>
      <c r="U44" s="201">
        <f t="shared" si="22"/>
        <v>0</v>
      </c>
      <c r="V44" s="201">
        <f>SUMIF($F$2:F44,F44,$U$2:U44)</f>
        <v>0</v>
      </c>
      <c r="W44" s="173">
        <f t="shared" si="14"/>
        <v>9.9915994623655913E-2</v>
      </c>
      <c r="X44" s="173" t="str">
        <f t="shared" si="15"/>
        <v/>
      </c>
      <c r="Y44" s="173" t="str">
        <f t="shared" si="16"/>
        <v/>
      </c>
      <c r="Z44" s="200" t="str">
        <f>IFERROR(AVERAGEIF('Daily KPI'!D:D,Table14[[#This Row],[Month]],'Daily KPI'!AB:AB),"")</f>
        <v/>
      </c>
      <c r="AA44" s="196" t="str">
        <f>IFERROR(AVERAGEIF($F$2:F44,F44,$Z$2:Z44),"")</f>
        <v/>
      </c>
      <c r="AB44" s="201"/>
      <c r="AC44" s="200">
        <f t="shared" si="23"/>
        <v>8.5195147184909956</v>
      </c>
      <c r="AD44" s="200">
        <f>AVERAGEIF($F$2:F44,F44,$AC$2:AC44)</f>
        <v>7.6301078675539937</v>
      </c>
      <c r="AE44" s="173">
        <f t="shared" si="17"/>
        <v>0.96029999999999993</v>
      </c>
      <c r="AF44" s="173">
        <v>0.995</v>
      </c>
      <c r="AG44" s="173"/>
      <c r="AH44" s="173">
        <v>0.97</v>
      </c>
      <c r="AI44" s="173">
        <v>0.99</v>
      </c>
      <c r="AJ44" s="173">
        <v>0.95</v>
      </c>
      <c r="AK44" s="173">
        <v>0.05</v>
      </c>
      <c r="AL44" s="173">
        <v>0.05</v>
      </c>
      <c r="AM44" s="221"/>
      <c r="AN44" s="221"/>
    </row>
    <row r="45" spans="1:40">
      <c r="A45" s="195">
        <f t="shared" si="6"/>
        <v>44</v>
      </c>
      <c r="B45" s="194" t="str">
        <f t="shared" ref="B45:C45" si="28">B33</f>
        <v>November</v>
      </c>
      <c r="C45" s="195">
        <f t="shared" si="28"/>
        <v>11</v>
      </c>
      <c r="D45" s="194">
        <v>45597</v>
      </c>
      <c r="E45" s="172">
        <f t="shared" si="19"/>
        <v>2024</v>
      </c>
      <c r="F45" s="174" t="s">
        <v>438</v>
      </c>
      <c r="G45" s="195">
        <f t="shared" si="20"/>
        <v>30</v>
      </c>
      <c r="H45" s="199"/>
      <c r="I45" s="199"/>
      <c r="J45" s="197">
        <f t="shared" si="10"/>
        <v>4.0333333333333332</v>
      </c>
      <c r="K45" s="199"/>
      <c r="L45" s="195"/>
      <c r="M45" s="201">
        <v>5683.6</v>
      </c>
      <c r="N45" s="201">
        <v>80</v>
      </c>
      <c r="O45" s="173"/>
      <c r="P45" s="200"/>
      <c r="Q45" s="195">
        <f>COUNTIFS('Daily KPI'!$D:$D,D45,'Daily KPI'!$M:$M,"&gt;0")</f>
        <v>0</v>
      </c>
      <c r="R45" s="201"/>
      <c r="S45" s="201"/>
      <c r="T45" s="200">
        <f t="shared" si="21"/>
        <v>189.45333333333335</v>
      </c>
      <c r="U45" s="201">
        <f t="shared" si="22"/>
        <v>0</v>
      </c>
      <c r="V45" s="201">
        <f>SUMIF($F$2:F45,F45,$U$2:U45)</f>
        <v>0</v>
      </c>
      <c r="W45" s="173">
        <f t="shared" si="14"/>
        <v>9.8673611111111115E-2</v>
      </c>
      <c r="X45" s="173" t="str">
        <f t="shared" si="15"/>
        <v/>
      </c>
      <c r="Y45" s="173" t="str">
        <f t="shared" si="16"/>
        <v/>
      </c>
      <c r="Z45" s="200" t="str">
        <f>IFERROR(AVERAGEIF('Daily KPI'!D:D,Table14[[#This Row],[Month]],'Daily KPI'!AB:AB),"")</f>
        <v/>
      </c>
      <c r="AA45" s="196" t="str">
        <f>IFERROR(AVERAGEIF($F$2:F45,F45,$Z$2:Z45),"")</f>
        <v/>
      </c>
      <c r="AB45" s="201"/>
      <c r="AC45" s="200">
        <f t="shared" si="23"/>
        <v>7.2366664761360369</v>
      </c>
      <c r="AD45" s="200">
        <f>AVERAGEIF($F$2:F45,F45,$AC$2:AC45)</f>
        <v>7.5809276936267489</v>
      </c>
      <c r="AE45" s="173">
        <f t="shared" si="17"/>
        <v>0.96029999999999993</v>
      </c>
      <c r="AF45" s="173">
        <v>0.995</v>
      </c>
      <c r="AG45" s="173"/>
      <c r="AH45" s="173">
        <v>0.97</v>
      </c>
      <c r="AI45" s="173">
        <v>0.99</v>
      </c>
      <c r="AJ45" s="173">
        <v>0.95</v>
      </c>
      <c r="AK45" s="173">
        <v>0.05</v>
      </c>
      <c r="AL45" s="173">
        <v>0.05</v>
      </c>
      <c r="AM45" s="221"/>
      <c r="AN45" s="221"/>
    </row>
    <row r="46" spans="1:40">
      <c r="A46" s="195">
        <f t="shared" si="6"/>
        <v>45</v>
      </c>
      <c r="B46" s="194" t="str">
        <f t="shared" ref="B46:C46" si="29">B34</f>
        <v>December</v>
      </c>
      <c r="C46" s="195">
        <f t="shared" si="29"/>
        <v>12</v>
      </c>
      <c r="D46" s="194">
        <v>45627</v>
      </c>
      <c r="E46" s="172">
        <f t="shared" si="19"/>
        <v>2024</v>
      </c>
      <c r="F46" s="174" t="s">
        <v>438</v>
      </c>
      <c r="G46" s="195">
        <f t="shared" si="20"/>
        <v>31</v>
      </c>
      <c r="H46" s="199"/>
      <c r="I46" s="199"/>
      <c r="J46" s="197">
        <f t="shared" si="10"/>
        <v>4.4333333333333336</v>
      </c>
      <c r="K46" s="199"/>
      <c r="L46" s="195"/>
      <c r="M46" s="201">
        <v>6645.2</v>
      </c>
      <c r="N46" s="201">
        <v>80</v>
      </c>
      <c r="O46" s="173"/>
      <c r="P46" s="200"/>
      <c r="Q46" s="195">
        <f>COUNTIFS('Daily KPI'!$D:$D,D46,'Daily KPI'!$M:$M,"&gt;0")</f>
        <v>0</v>
      </c>
      <c r="R46" s="201"/>
      <c r="S46" s="201"/>
      <c r="T46" s="200">
        <f t="shared" si="21"/>
        <v>214.36129032258063</v>
      </c>
      <c r="U46" s="201">
        <f t="shared" si="22"/>
        <v>0</v>
      </c>
      <c r="V46" s="201">
        <f>SUMIF($F$2:F46,F46,$U$2:U46)</f>
        <v>0</v>
      </c>
      <c r="W46" s="173">
        <f t="shared" si="14"/>
        <v>0.11164650537634407</v>
      </c>
      <c r="X46" s="173" t="str">
        <f t="shared" si="15"/>
        <v/>
      </c>
      <c r="Y46" s="173" t="str">
        <f t="shared" si="16"/>
        <v/>
      </c>
      <c r="Z46" s="200" t="str">
        <f>IFERROR(AVERAGEIF('Daily KPI'!D:D,Table14[[#This Row],[Month]],'Daily KPI'!AB:AB),"")</f>
        <v/>
      </c>
      <c r="AA46" s="196" t="str">
        <f>IFERROR(AVERAGEIF($F$2:F46,F46,$Z$2:Z46),"")</f>
        <v/>
      </c>
      <c r="AB46" s="201"/>
      <c r="AC46" s="200">
        <f t="shared" si="23"/>
        <v>6.0015501571877659</v>
      </c>
      <c r="AD46" s="200">
        <f>AVERAGEIF($F$2:F46,F46,$AC$2:AC46)</f>
        <v>7.4054413006890849</v>
      </c>
      <c r="AE46" s="173">
        <f t="shared" si="17"/>
        <v>0.96029999999999993</v>
      </c>
      <c r="AF46" s="173">
        <v>0.995</v>
      </c>
      <c r="AG46" s="173"/>
      <c r="AH46" s="173">
        <v>0.97</v>
      </c>
      <c r="AI46" s="173">
        <v>0.99</v>
      </c>
      <c r="AJ46" s="173">
        <v>0.95</v>
      </c>
      <c r="AK46" s="173">
        <v>0.05</v>
      </c>
      <c r="AL46" s="173">
        <v>0.05</v>
      </c>
      <c r="AM46" s="221"/>
      <c r="AN46" s="221"/>
    </row>
    <row r="47" spans="1:40">
      <c r="A47" s="195">
        <f t="shared" si="6"/>
        <v>46</v>
      </c>
      <c r="B47" s="194" t="str">
        <f t="shared" ref="B47:C47" si="30">B35</f>
        <v>January</v>
      </c>
      <c r="C47" s="195">
        <f t="shared" si="30"/>
        <v>1</v>
      </c>
      <c r="D47" s="194">
        <v>45658</v>
      </c>
      <c r="E47" s="172">
        <f t="shared" si="19"/>
        <v>2025</v>
      </c>
      <c r="F47" s="174" t="s">
        <v>438</v>
      </c>
      <c r="G47" s="195">
        <f t="shared" si="20"/>
        <v>31</v>
      </c>
      <c r="H47" s="199"/>
      <c r="I47" s="199"/>
      <c r="J47" s="197">
        <f t="shared" si="10"/>
        <v>3.8</v>
      </c>
      <c r="K47" s="199"/>
      <c r="L47" s="195"/>
      <c r="M47" s="201">
        <v>4628.1000000000004</v>
      </c>
      <c r="N47" s="201">
        <v>80</v>
      </c>
      <c r="O47" s="173"/>
      <c r="P47" s="200"/>
      <c r="Q47" s="195">
        <f>COUNTIFS('Daily KPI'!$D:$D,D47,'Daily KPI'!$M:$M,"&gt;0")</f>
        <v>0</v>
      </c>
      <c r="R47" s="201"/>
      <c r="S47" s="201"/>
      <c r="T47" s="200">
        <f t="shared" si="21"/>
        <v>149.29354838709679</v>
      </c>
      <c r="U47" s="201">
        <f t="shared" si="22"/>
        <v>0</v>
      </c>
      <c r="V47" s="201">
        <f>SUMIF($F$2:F47,F47,$U$2:U47)</f>
        <v>0</v>
      </c>
      <c r="W47" s="173">
        <f t="shared" si="14"/>
        <v>7.7757056451612919E-2</v>
      </c>
      <c r="X47" s="173" t="str">
        <f t="shared" si="15"/>
        <v/>
      </c>
      <c r="Y47" s="173" t="str">
        <f t="shared" si="16"/>
        <v/>
      </c>
      <c r="Z47" s="200" t="str">
        <f>IFERROR(AVERAGEIF('Daily KPI'!D:D,Table14[[#This Row],[Month]],'Daily KPI'!AB:AB),"")</f>
        <v/>
      </c>
      <c r="AA47" s="196" t="str">
        <f>IFERROR(AVERAGEIF($F$2:F47,F47,$Z$2:Z47),"")</f>
        <v/>
      </c>
      <c r="AB47" s="201"/>
      <c r="AC47" s="200">
        <f t="shared" si="23"/>
        <v>6.7073912546441834</v>
      </c>
      <c r="AD47" s="200">
        <f>AVERAGEIF($F$2:F47,F47,$AC$2:AC47)</f>
        <v>7.3356362960845942</v>
      </c>
      <c r="AE47" s="173">
        <f t="shared" si="17"/>
        <v>0.96029999999999993</v>
      </c>
      <c r="AF47" s="173">
        <v>0.995</v>
      </c>
      <c r="AG47" s="173"/>
      <c r="AH47" s="173">
        <v>0.97</v>
      </c>
      <c r="AI47" s="173">
        <v>0.99</v>
      </c>
      <c r="AJ47" s="173">
        <v>0.95</v>
      </c>
      <c r="AK47" s="173">
        <v>0.05</v>
      </c>
      <c r="AL47" s="173">
        <v>0.05</v>
      </c>
      <c r="AM47" s="221"/>
      <c r="AN47" s="221"/>
    </row>
    <row r="48" spans="1:40">
      <c r="A48" s="195">
        <f t="shared" si="6"/>
        <v>47</v>
      </c>
      <c r="B48" s="194" t="str">
        <f t="shared" ref="B48:C48" si="31">B36</f>
        <v>February</v>
      </c>
      <c r="C48" s="195">
        <f t="shared" si="31"/>
        <v>2</v>
      </c>
      <c r="D48" s="194">
        <v>45689</v>
      </c>
      <c r="E48" s="172">
        <f t="shared" si="19"/>
        <v>2025</v>
      </c>
      <c r="F48" s="174" t="s">
        <v>438</v>
      </c>
      <c r="G48" s="195">
        <f t="shared" si="20"/>
        <v>28</v>
      </c>
      <c r="H48" s="199"/>
      <c r="I48" s="199"/>
      <c r="J48" s="197">
        <f t="shared" si="10"/>
        <v>4.3</v>
      </c>
      <c r="K48" s="199"/>
      <c r="L48" s="195"/>
      <c r="M48" s="201">
        <v>5610.2</v>
      </c>
      <c r="N48" s="201">
        <v>80</v>
      </c>
      <c r="O48" s="173"/>
      <c r="P48" s="200"/>
      <c r="Q48" s="195">
        <f>COUNTIFS('Daily KPI'!$D:$D,D48,'Daily KPI'!$M:$M,"&gt;0")</f>
        <v>0</v>
      </c>
      <c r="R48" s="201"/>
      <c r="S48" s="201"/>
      <c r="T48" s="200">
        <f t="shared" si="21"/>
        <v>200.3642857142857</v>
      </c>
      <c r="U48" s="201">
        <f t="shared" si="22"/>
        <v>0</v>
      </c>
      <c r="V48" s="201">
        <f>SUMIF($F$2:F48,F48,$U$2:U48)</f>
        <v>0</v>
      </c>
      <c r="W48" s="173">
        <f t="shared" si="14"/>
        <v>0.1043563988095238</v>
      </c>
      <c r="X48" s="173" t="str">
        <f t="shared" si="15"/>
        <v/>
      </c>
      <c r="Y48" s="173" t="str">
        <f t="shared" si="16"/>
        <v/>
      </c>
      <c r="Z48" s="200" t="str">
        <f>IFERROR(AVERAGEIF('Daily KPI'!D:D,Table14[[#This Row],[Month]],'Daily KPI'!AB:AB),"")</f>
        <v/>
      </c>
      <c r="AA48" s="196" t="str">
        <f>IFERROR(AVERAGEIF($F$2:F48,F48,$Z$2:Z48),"")</f>
        <v/>
      </c>
      <c r="AB48" s="201"/>
      <c r="AC48" s="200">
        <f t="shared" si="23"/>
        <v>7.0533420977422105</v>
      </c>
      <c r="AD48" s="200">
        <f>AVERAGEIF($F$2:F48,F48,$AC$2:AC48)</f>
        <v>7.3099731871443785</v>
      </c>
      <c r="AE48" s="173">
        <f t="shared" si="17"/>
        <v>0.96029999999999993</v>
      </c>
      <c r="AF48" s="173">
        <v>0.995</v>
      </c>
      <c r="AG48" s="173"/>
      <c r="AH48" s="173">
        <v>0.97</v>
      </c>
      <c r="AI48" s="173">
        <v>0.99</v>
      </c>
      <c r="AJ48" s="173">
        <v>0.95</v>
      </c>
      <c r="AK48" s="173">
        <v>0.05</v>
      </c>
      <c r="AL48" s="173">
        <v>0.05</v>
      </c>
      <c r="AM48" s="221"/>
      <c r="AN48" s="221"/>
    </row>
    <row r="49" spans="1:40">
      <c r="A49" s="195">
        <f t="shared" si="6"/>
        <v>48</v>
      </c>
      <c r="B49" s="194" t="str">
        <f t="shared" ref="B49:C49" si="32">B37</f>
        <v>March</v>
      </c>
      <c r="C49" s="195">
        <f t="shared" si="32"/>
        <v>3</v>
      </c>
      <c r="D49" s="194">
        <v>45717</v>
      </c>
      <c r="E49" s="172">
        <f t="shared" si="19"/>
        <v>2025</v>
      </c>
      <c r="F49" s="174" t="s">
        <v>438</v>
      </c>
      <c r="G49" s="195">
        <f t="shared" si="20"/>
        <v>31</v>
      </c>
      <c r="H49" s="199"/>
      <c r="I49" s="199"/>
      <c r="J49" s="197">
        <f t="shared" si="10"/>
        <v>4.5999999999999996</v>
      </c>
      <c r="K49" s="199"/>
      <c r="L49" s="195"/>
      <c r="M49" s="201">
        <v>7990.5</v>
      </c>
      <c r="N49" s="201">
        <v>80</v>
      </c>
      <c r="O49" s="173"/>
      <c r="P49" s="200"/>
      <c r="Q49" s="195">
        <f>COUNTIFS('Daily KPI'!$D:$D,D49,'Daily KPI'!$M:$M,"&gt;0")</f>
        <v>3</v>
      </c>
      <c r="R49" s="201"/>
      <c r="S49" s="201"/>
      <c r="T49" s="200">
        <f t="shared" si="21"/>
        <v>257.75806451612902</v>
      </c>
      <c r="U49" s="201">
        <f t="shared" si="22"/>
        <v>773.27419354838707</v>
      </c>
      <c r="V49" s="201">
        <f>SUMIF($F$2:F49,F49,$U$2:U49)</f>
        <v>773.27419354838707</v>
      </c>
      <c r="W49" s="173">
        <f t="shared" si="14"/>
        <v>0.13424899193548387</v>
      </c>
      <c r="X49" s="173">
        <f t="shared" si="15"/>
        <v>0.13424899193548387</v>
      </c>
      <c r="Y49" s="173">
        <f t="shared" si="16"/>
        <v>0.13424899193548387</v>
      </c>
      <c r="Z49" s="200">
        <f>IFERROR(AVERAGEIF('Daily KPI'!D:D,Table14[[#This Row],[Month]],'Daily KPI'!AB:AB),"")</f>
        <v>80</v>
      </c>
      <c r="AA49" s="196">
        <f>IFERROR(AVERAGEIF($F$2:F49,F49,$Z$2:Z49),"")</f>
        <v>80</v>
      </c>
      <c r="AB49" s="201"/>
      <c r="AC49" s="200">
        <f t="shared" si="23"/>
        <v>7.411120320091455</v>
      </c>
      <c r="AD49" s="200">
        <f>AVERAGEIF($F$2:F49,F49,$AC$2:AC49)</f>
        <v>7.3184021148899676</v>
      </c>
      <c r="AE49" s="173">
        <f t="shared" si="17"/>
        <v>0.96029999999999993</v>
      </c>
      <c r="AF49" s="173">
        <v>0.995</v>
      </c>
      <c r="AG49" s="173"/>
      <c r="AH49" s="173">
        <v>0.97</v>
      </c>
      <c r="AI49" s="173">
        <v>0.99</v>
      </c>
      <c r="AJ49" s="173">
        <v>0.95</v>
      </c>
      <c r="AK49" s="173">
        <v>0.05</v>
      </c>
      <c r="AL49" s="173">
        <v>0.05</v>
      </c>
      <c r="AM49" s="221"/>
      <c r="AN49" s="221"/>
    </row>
    <row r="50" spans="1:40">
      <c r="A50" s="195">
        <f t="shared" si="6"/>
        <v>49</v>
      </c>
      <c r="B50" s="194" t="str">
        <f t="shared" ref="B50:C50" si="33">B38</f>
        <v>April</v>
      </c>
      <c r="C50" s="195">
        <f t="shared" si="33"/>
        <v>4</v>
      </c>
      <c r="D50" s="194">
        <v>45748</v>
      </c>
      <c r="E50" s="172">
        <f t="shared" si="19"/>
        <v>2025</v>
      </c>
      <c r="F50" s="174" t="s">
        <v>439</v>
      </c>
      <c r="G50" s="195">
        <f t="shared" si="20"/>
        <v>30</v>
      </c>
      <c r="H50" s="199"/>
      <c r="I50" s="199"/>
      <c r="J50" s="197">
        <f t="shared" si="10"/>
        <v>5.6333333333333329</v>
      </c>
      <c r="K50" s="199"/>
      <c r="L50" s="195"/>
      <c r="M50" s="201">
        <v>10226.654178101568</v>
      </c>
      <c r="N50" s="201">
        <v>78</v>
      </c>
      <c r="O50" s="173"/>
      <c r="P50" s="200"/>
      <c r="Q50" s="195">
        <f>COUNTIFS('Daily KPI'!$D:$D,D50,'Daily KPI'!$M:$M,"&gt;0")</f>
        <v>30</v>
      </c>
      <c r="R50" s="201"/>
      <c r="S50" s="201"/>
      <c r="T50" s="200">
        <f t="shared" si="21"/>
        <v>340.88847260338559</v>
      </c>
      <c r="U50" s="201">
        <f t="shared" si="22"/>
        <v>10226.654178101568</v>
      </c>
      <c r="V50" s="201">
        <f>SUMIF($F$2:F50,F50,$U$2:U50)</f>
        <v>10226.654178101568</v>
      </c>
      <c r="W50" s="173">
        <f t="shared" si="14"/>
        <v>0.18209854305736409</v>
      </c>
      <c r="X50" s="173">
        <f t="shared" si="15"/>
        <v>0.18209854305736409</v>
      </c>
      <c r="Y50" s="173">
        <f t="shared" si="16"/>
        <v>0.18209854305736409</v>
      </c>
      <c r="Z50" s="200">
        <f>IFERROR(AVERAGEIF('Daily KPI'!D:D,Table14[[#This Row],[Month]],'Daily KPI'!AB:AB),"")</f>
        <v>78</v>
      </c>
      <c r="AA50" s="196">
        <f>IFERROR(AVERAGEIF($F$2:F50,F50,$Z$2:Z50),"")</f>
        <v>78</v>
      </c>
      <c r="AB50" s="201"/>
      <c r="AC50" s="200">
        <f t="shared" si="23"/>
        <v>6.4041034581308942</v>
      </c>
      <c r="AD50" s="200">
        <f>AVERAGEIF($F$2:F50,F50,$AC$2:AC50)</f>
        <v>6.4041034581308942</v>
      </c>
      <c r="AE50" s="173">
        <f t="shared" si="17"/>
        <v>0.96029999999999993</v>
      </c>
      <c r="AF50" s="173">
        <v>0.995</v>
      </c>
      <c r="AG50" s="173"/>
      <c r="AH50" s="173">
        <v>0.97</v>
      </c>
      <c r="AI50" s="173">
        <v>0.99</v>
      </c>
      <c r="AJ50" s="173">
        <v>0.95</v>
      </c>
      <c r="AK50" s="173">
        <v>0.05</v>
      </c>
      <c r="AL50" s="173">
        <v>0.05</v>
      </c>
      <c r="AM50" s="221"/>
      <c r="AN50" s="221"/>
    </row>
    <row r="51" spans="1:40">
      <c r="A51" s="195">
        <f t="shared" si="6"/>
        <v>50</v>
      </c>
      <c r="B51" s="194" t="str">
        <f t="shared" ref="B51:C51" si="34">B39</f>
        <v>May</v>
      </c>
      <c r="C51" s="195">
        <f t="shared" si="34"/>
        <v>5</v>
      </c>
      <c r="D51" s="194">
        <v>45778</v>
      </c>
      <c r="E51" s="172">
        <f t="shared" si="19"/>
        <v>2025</v>
      </c>
      <c r="F51" s="174" t="s">
        <v>439</v>
      </c>
      <c r="G51" s="195">
        <f t="shared" si="20"/>
        <v>31</v>
      </c>
      <c r="H51" s="199"/>
      <c r="I51" s="199"/>
      <c r="J51" s="197">
        <f t="shared" si="10"/>
        <v>6.5666666666666664</v>
      </c>
      <c r="K51" s="199"/>
      <c r="L51" s="195"/>
      <c r="M51" s="201">
        <v>17310.04017244092</v>
      </c>
      <c r="N51" s="201">
        <v>78</v>
      </c>
      <c r="O51" s="173"/>
      <c r="P51" s="200"/>
      <c r="Q51" s="195">
        <f>COUNTIFS('Daily KPI'!$D:$D,D51,'Daily KPI'!$M:$M,"&gt;0")</f>
        <v>31</v>
      </c>
      <c r="R51" s="201"/>
      <c r="S51" s="201"/>
      <c r="T51" s="200">
        <f t="shared" si="21"/>
        <v>558.38839265938452</v>
      </c>
      <c r="U51" s="201">
        <f t="shared" si="22"/>
        <v>17310.04017244092</v>
      </c>
      <c r="V51" s="201">
        <f>SUMIF($F$2:F51,F51,$U$2:U51)</f>
        <v>27536.694350542486</v>
      </c>
      <c r="W51" s="173">
        <f t="shared" si="14"/>
        <v>0.29828439778813276</v>
      </c>
      <c r="X51" s="173">
        <f t="shared" si="15"/>
        <v>0.29828439778813276</v>
      </c>
      <c r="Y51" s="173">
        <f t="shared" si="16"/>
        <v>0.24114381349431208</v>
      </c>
      <c r="Z51" s="200">
        <f>IFERROR(AVERAGEIF('Daily KPI'!D:D,Table14[[#This Row],[Month]],'Daily KPI'!AB:AB),"")</f>
        <v>78</v>
      </c>
      <c r="AA51" s="196">
        <f>IFERROR(AVERAGEIF($F$2:F51,F51,$Z$2:Z51),"")</f>
        <v>78</v>
      </c>
      <c r="AB51" s="201"/>
      <c r="AC51" s="200">
        <f t="shared" si="23"/>
        <v>5.9681800514432695</v>
      </c>
      <c r="AD51" s="200">
        <f>AVERAGEIF($F$2:F51,F51,$AC$2:AC51)</f>
        <v>6.1861417547870818</v>
      </c>
      <c r="AE51" s="173">
        <f t="shared" si="17"/>
        <v>0.96029999999999993</v>
      </c>
      <c r="AF51" s="173">
        <v>0.995</v>
      </c>
      <c r="AG51" s="173"/>
      <c r="AH51" s="173">
        <v>0.97</v>
      </c>
      <c r="AI51" s="173">
        <v>0.99</v>
      </c>
      <c r="AJ51" s="173">
        <v>0.95</v>
      </c>
      <c r="AK51" s="173">
        <v>0.05</v>
      </c>
      <c r="AL51" s="173">
        <v>0.05</v>
      </c>
      <c r="AM51" s="221"/>
      <c r="AN51" s="221"/>
    </row>
    <row r="52" spans="1:40">
      <c r="A52" s="195">
        <f t="shared" si="6"/>
        <v>51</v>
      </c>
      <c r="B52" s="194" t="str">
        <f t="shared" ref="B52:C52" si="35">B40</f>
        <v>June</v>
      </c>
      <c r="C52" s="195">
        <f t="shared" si="35"/>
        <v>6</v>
      </c>
      <c r="D52" s="194">
        <v>45809</v>
      </c>
      <c r="E52" s="172">
        <f t="shared" si="19"/>
        <v>2025</v>
      </c>
      <c r="F52" s="174" t="s">
        <v>439</v>
      </c>
      <c r="G52" s="195">
        <f t="shared" si="20"/>
        <v>30</v>
      </c>
      <c r="H52" s="199"/>
      <c r="I52" s="199"/>
      <c r="J52" s="197">
        <f t="shared" si="10"/>
        <v>6.5666666666666664</v>
      </c>
      <c r="K52" s="199"/>
      <c r="L52" s="195"/>
      <c r="M52" s="201">
        <v>15038.260263404412</v>
      </c>
      <c r="N52" s="201">
        <v>78</v>
      </c>
      <c r="O52" s="173"/>
      <c r="P52" s="200"/>
      <c r="Q52" s="195">
        <f>COUNTIFS('Daily KPI'!$D:$D,D52,'Daily KPI'!$M:$M,"&gt;0")</f>
        <v>12</v>
      </c>
      <c r="R52" s="201"/>
      <c r="S52" s="201"/>
      <c r="T52" s="200">
        <f t="shared" si="21"/>
        <v>501.27534211348041</v>
      </c>
      <c r="U52" s="201">
        <f t="shared" si="22"/>
        <v>6015.3041053617653</v>
      </c>
      <c r="V52" s="201">
        <f>SUMIF($F$2:F52,F52,$U$2:U52)</f>
        <v>33551.99845590425</v>
      </c>
      <c r="W52" s="173">
        <f t="shared" si="14"/>
        <v>0.26777528959053443</v>
      </c>
      <c r="X52" s="173">
        <f t="shared" si="15"/>
        <v>0.26777528959053443</v>
      </c>
      <c r="Y52" s="173">
        <f t="shared" si="16"/>
        <v>0.24552159038684176</v>
      </c>
      <c r="Z52" s="200">
        <f>IFERROR(AVERAGEIF('Daily KPI'!D:D,Table14[[#This Row],[Month]],'Daily KPI'!AB:AB),"")</f>
        <v>31.2</v>
      </c>
      <c r="AA52" s="196">
        <f>IFERROR(AVERAGEIF($F$2:F52,F52,$Z$2:Z52),"")</f>
        <v>62.4</v>
      </c>
      <c r="AB52" s="201"/>
      <c r="AC52" s="200">
        <f t="shared" si="23"/>
        <v>5.6310997427836513</v>
      </c>
      <c r="AD52" s="200">
        <f>AVERAGEIF($F$2:F52,F52,$AC$2:AC52)</f>
        <v>6.0011277507859377</v>
      </c>
      <c r="AE52" s="173">
        <f t="shared" si="17"/>
        <v>0.96029999999999993</v>
      </c>
      <c r="AF52" s="173">
        <v>0.995</v>
      </c>
      <c r="AG52" s="173"/>
      <c r="AH52" s="173">
        <v>0.97</v>
      </c>
      <c r="AI52" s="173">
        <v>0.99</v>
      </c>
      <c r="AJ52" s="173">
        <v>0.95</v>
      </c>
      <c r="AK52" s="173">
        <v>0.05</v>
      </c>
      <c r="AL52" s="173">
        <v>0.05</v>
      </c>
      <c r="AM52" s="221"/>
      <c r="AN52" s="221"/>
    </row>
    <row r="53" spans="1:40">
      <c r="A53" s="195">
        <f t="shared" si="6"/>
        <v>52</v>
      </c>
      <c r="B53" s="194" t="str">
        <f t="shared" ref="B53:C53" si="36">B41</f>
        <v>July</v>
      </c>
      <c r="C53" s="195">
        <f t="shared" si="36"/>
        <v>7</v>
      </c>
      <c r="D53" s="194">
        <v>45839</v>
      </c>
      <c r="E53" s="172">
        <f t="shared" si="19"/>
        <v>2025</v>
      </c>
      <c r="F53" s="174" t="s">
        <v>439</v>
      </c>
      <c r="G53" s="195">
        <f t="shared" si="20"/>
        <v>31</v>
      </c>
      <c r="H53" s="199"/>
      <c r="I53" s="199"/>
      <c r="J53" s="197">
        <f t="shared" si="10"/>
        <v>7.6000000000000005</v>
      </c>
      <c r="K53" s="199"/>
      <c r="L53" s="195"/>
      <c r="M53" s="201">
        <v>18159.732401608842</v>
      </c>
      <c r="N53" s="201">
        <v>78</v>
      </c>
      <c r="O53" s="173"/>
      <c r="P53" s="200"/>
      <c r="Q53" s="195">
        <f>COUNTIFS('Daily KPI'!$D:$D,D53,'Daily KPI'!$M:$M,"&gt;0")</f>
        <v>0</v>
      </c>
      <c r="R53" s="201"/>
      <c r="S53" s="201"/>
      <c r="T53" s="200">
        <f t="shared" si="21"/>
        <v>585.79781940673683</v>
      </c>
      <c r="U53" s="201">
        <f t="shared" si="22"/>
        <v>0</v>
      </c>
      <c r="V53" s="201">
        <f>SUMIF($F$2:F53,F53,$U$2:U53)</f>
        <v>33551.99845590425</v>
      </c>
      <c r="W53" s="173">
        <f t="shared" si="14"/>
        <v>0.31292618558052182</v>
      </c>
      <c r="X53" s="173" t="str">
        <f t="shared" si="15"/>
        <v/>
      </c>
      <c r="Y53" s="173">
        <f t="shared" si="16"/>
        <v>0.24552159038684176</v>
      </c>
      <c r="Z53" s="200">
        <f>IFERROR(AVERAGEIF('Daily KPI'!D:D,Table14[[#This Row],[Month]],'Daily KPI'!AB:AB),"")</f>
        <v>0</v>
      </c>
      <c r="AA53" s="196">
        <f>IFERROR(AVERAGEIF($F$2:F53,F53,$Z$2:Z53),"")</f>
        <v>46.8</v>
      </c>
      <c r="AB53" s="201"/>
      <c r="AC53" s="200">
        <f t="shared" si="23"/>
        <v>7.1310648756787653</v>
      </c>
      <c r="AD53" s="200">
        <f>AVERAGEIF($F$2:F53,F53,$AC$2:AC53)</f>
        <v>6.2836120320091453</v>
      </c>
      <c r="AE53" s="173">
        <f t="shared" si="17"/>
        <v>0.96029999999999993</v>
      </c>
      <c r="AF53" s="173">
        <v>0.995</v>
      </c>
      <c r="AG53" s="173"/>
      <c r="AH53" s="173">
        <v>0.97</v>
      </c>
      <c r="AI53" s="173">
        <v>0.99</v>
      </c>
      <c r="AJ53" s="173">
        <v>0.95</v>
      </c>
      <c r="AK53" s="173">
        <v>0.05</v>
      </c>
      <c r="AL53" s="173">
        <v>0.05</v>
      </c>
      <c r="AM53" s="221"/>
      <c r="AN53" s="221"/>
    </row>
    <row r="54" spans="1:40">
      <c r="A54" s="195">
        <f t="shared" si="6"/>
        <v>53</v>
      </c>
      <c r="B54" s="194" t="str">
        <f t="shared" ref="B54:C54" si="37">B42</f>
        <v>August</v>
      </c>
      <c r="C54" s="195">
        <f t="shared" si="37"/>
        <v>8</v>
      </c>
      <c r="D54" s="194">
        <v>45870</v>
      </c>
      <c r="E54" s="172">
        <f t="shared" si="19"/>
        <v>2025</v>
      </c>
      <c r="F54" s="174" t="s">
        <v>439</v>
      </c>
      <c r="G54" s="195">
        <f t="shared" si="20"/>
        <v>31</v>
      </c>
      <c r="H54" s="199"/>
      <c r="I54" s="199"/>
      <c r="J54" s="197">
        <f t="shared" si="10"/>
        <v>6.8666666666666671</v>
      </c>
      <c r="K54" s="199"/>
      <c r="L54" s="195"/>
      <c r="M54" s="201">
        <v>19096.422637323503</v>
      </c>
      <c r="N54" s="201">
        <v>78</v>
      </c>
      <c r="O54" s="173"/>
      <c r="P54" s="200"/>
      <c r="Q54" s="195">
        <f>COUNTIFS('Daily KPI'!$D:$D,D54,'Daily KPI'!$M:$M,"&gt;0")</f>
        <v>0</v>
      </c>
      <c r="R54" s="201"/>
      <c r="S54" s="201"/>
      <c r="T54" s="200">
        <f t="shared" si="21"/>
        <v>616.01363346204846</v>
      </c>
      <c r="U54" s="201">
        <f t="shared" si="22"/>
        <v>0</v>
      </c>
      <c r="V54" s="201">
        <f>SUMIF($F$2:F54,F54,$U$2:U54)</f>
        <v>33551.99845590425</v>
      </c>
      <c r="W54" s="173">
        <f t="shared" si="14"/>
        <v>0.3290671118921199</v>
      </c>
      <c r="X54" s="173" t="str">
        <f t="shared" si="15"/>
        <v/>
      </c>
      <c r="Y54" s="173">
        <f t="shared" si="16"/>
        <v>0.24552159038684176</v>
      </c>
      <c r="Z54" s="200">
        <f>IFERROR(AVERAGEIF('Daily KPI'!D:D,Table14[[#This Row],[Month]],'Daily KPI'!AB:AB),"")</f>
        <v>0</v>
      </c>
      <c r="AA54" s="196">
        <f>IFERROR(AVERAGEIF($F$2:F54,F54,$Z$2:Z54),"")</f>
        <v>37.44</v>
      </c>
      <c r="AB54" s="201"/>
      <c r="AC54" s="200">
        <f t="shared" si="23"/>
        <v>9.4530328665332952</v>
      </c>
      <c r="AD54" s="200">
        <f>AVERAGEIF($F$2:F54,F54,$AC$2:AC54)</f>
        <v>6.9174961989139749</v>
      </c>
      <c r="AE54" s="173">
        <f t="shared" si="17"/>
        <v>0.96029999999999993</v>
      </c>
      <c r="AF54" s="173">
        <v>0.995</v>
      </c>
      <c r="AG54" s="173"/>
      <c r="AH54" s="173">
        <v>0.97</v>
      </c>
      <c r="AI54" s="173">
        <v>0.99</v>
      </c>
      <c r="AJ54" s="173">
        <v>0.95</v>
      </c>
      <c r="AK54" s="173">
        <v>0.05</v>
      </c>
      <c r="AL54" s="173">
        <v>0.05</v>
      </c>
      <c r="AM54" s="221"/>
      <c r="AN54" s="221"/>
    </row>
    <row r="55" spans="1:40">
      <c r="A55" s="195">
        <f t="shared" si="6"/>
        <v>54</v>
      </c>
      <c r="B55" s="194" t="str">
        <f t="shared" ref="B55:C55" si="38">B43</f>
        <v>September</v>
      </c>
      <c r="C55" s="195">
        <f t="shared" si="38"/>
        <v>9</v>
      </c>
      <c r="D55" s="194">
        <v>45901</v>
      </c>
      <c r="E55" s="172">
        <f t="shared" si="19"/>
        <v>2025</v>
      </c>
      <c r="F55" s="174" t="s">
        <v>439</v>
      </c>
      <c r="G55" s="195">
        <f t="shared" si="20"/>
        <v>30</v>
      </c>
      <c r="H55" s="199"/>
      <c r="I55" s="199"/>
      <c r="J55" s="197">
        <f t="shared" si="10"/>
        <v>5.0333333333333332</v>
      </c>
      <c r="K55" s="199"/>
      <c r="L55" s="195"/>
      <c r="M55" s="201">
        <v>8385.892011959113</v>
      </c>
      <c r="N55" s="201">
        <v>78</v>
      </c>
      <c r="O55" s="173"/>
      <c r="P55" s="200"/>
      <c r="Q55" s="195">
        <f>COUNTIFS('Daily KPI'!$D:$D,D55,'Daily KPI'!$M:$M,"&gt;0")</f>
        <v>0</v>
      </c>
      <c r="R55" s="201"/>
      <c r="S55" s="201"/>
      <c r="T55" s="200">
        <f t="shared" si="21"/>
        <v>279.52973373197045</v>
      </c>
      <c r="U55" s="201">
        <f t="shared" si="22"/>
        <v>0</v>
      </c>
      <c r="V55" s="201">
        <f>SUMIF($F$2:F55,F55,$U$2:U55)</f>
        <v>33551.99845590425</v>
      </c>
      <c r="W55" s="173">
        <f t="shared" si="14"/>
        <v>0.14932143895938593</v>
      </c>
      <c r="X55" s="173" t="str">
        <f t="shared" si="15"/>
        <v/>
      </c>
      <c r="Y55" s="173">
        <f t="shared" si="16"/>
        <v>0.24552159038684176</v>
      </c>
      <c r="Z55" s="200" t="str">
        <f>IFERROR(AVERAGEIF('Daily KPI'!D:D,Table14[[#This Row],[Month]],'Daily KPI'!AB:AB),"")</f>
        <v/>
      </c>
      <c r="AA55" s="196">
        <f>IFERROR(AVERAGEIF($F$2:F55,F55,$Z$2:Z55),"")</f>
        <v>37.44</v>
      </c>
      <c r="AB55" s="201"/>
      <c r="AC55" s="200">
        <f t="shared" si="23"/>
        <v>10.303759359817088</v>
      </c>
      <c r="AD55" s="200">
        <f>AVERAGEIF($F$2:F55,F55,$AC$2:AC55)</f>
        <v>7.4818733923978264</v>
      </c>
      <c r="AE55" s="173">
        <f t="shared" si="17"/>
        <v>0.96029999999999993</v>
      </c>
      <c r="AF55" s="173">
        <v>0.995</v>
      </c>
      <c r="AG55" s="173"/>
      <c r="AH55" s="173">
        <v>0.97</v>
      </c>
      <c r="AI55" s="173">
        <v>0.99</v>
      </c>
      <c r="AJ55" s="173">
        <v>0.95</v>
      </c>
      <c r="AK55" s="173">
        <v>0.05</v>
      </c>
      <c r="AL55" s="173">
        <v>0.05</v>
      </c>
      <c r="AM55" s="221"/>
      <c r="AN55" s="221"/>
    </row>
    <row r="56" spans="1:40">
      <c r="A56" s="195">
        <f t="shared" si="6"/>
        <v>55</v>
      </c>
      <c r="B56" s="194" t="str">
        <f t="shared" ref="B56:C56" si="39">B44</f>
        <v>October</v>
      </c>
      <c r="C56" s="195">
        <f t="shared" si="39"/>
        <v>10</v>
      </c>
      <c r="D56" s="194">
        <v>45931</v>
      </c>
      <c r="E56" s="172">
        <f t="shared" si="19"/>
        <v>2025</v>
      </c>
      <c r="F56" s="174" t="s">
        <v>439</v>
      </c>
      <c r="G56" s="195">
        <f t="shared" si="20"/>
        <v>31</v>
      </c>
      <c r="H56" s="199"/>
      <c r="I56" s="199"/>
      <c r="J56" s="197">
        <f t="shared" si="10"/>
        <v>3.9666666666666668</v>
      </c>
      <c r="K56" s="199"/>
      <c r="L56" s="195"/>
      <c r="M56" s="201">
        <v>5102.5336704925885</v>
      </c>
      <c r="N56" s="201">
        <v>78</v>
      </c>
      <c r="O56" s="173"/>
      <c r="P56" s="200"/>
      <c r="Q56" s="195">
        <f>COUNTIFS('Daily KPI'!$D:$D,D56,'Daily KPI'!$M:$M,"&gt;0")</f>
        <v>0</v>
      </c>
      <c r="R56" s="201"/>
      <c r="S56" s="201"/>
      <c r="T56" s="200">
        <f t="shared" si="21"/>
        <v>164.59786033847061</v>
      </c>
      <c r="U56" s="201">
        <f t="shared" si="22"/>
        <v>0</v>
      </c>
      <c r="V56" s="201">
        <f>SUMIF($F$2:F56,F56,$U$2:U56)</f>
        <v>33551.99845590425</v>
      </c>
      <c r="W56" s="173">
        <f t="shared" si="14"/>
        <v>8.792620744576421E-2</v>
      </c>
      <c r="X56" s="173" t="str">
        <f t="shared" si="15"/>
        <v/>
      </c>
      <c r="Y56" s="173">
        <f t="shared" si="16"/>
        <v>0.24552159038684176</v>
      </c>
      <c r="Z56" s="200" t="str">
        <f>IFERROR(AVERAGEIF('Daily KPI'!D:D,Table14[[#This Row],[Month]],'Daily KPI'!AB:AB),"")</f>
        <v/>
      </c>
      <c r="AA56" s="196">
        <f>IFERROR(AVERAGEIF($F$2:F56,F56,$Z$2:Z56),"")</f>
        <v>37.44</v>
      </c>
      <c r="AB56" s="201"/>
      <c r="AC56" s="200">
        <f t="shared" si="23"/>
        <v>8.5195147184909956</v>
      </c>
      <c r="AD56" s="200">
        <f>AVERAGEIF($F$2:F56,F56,$AC$2:AC56)</f>
        <v>7.6301078675539937</v>
      </c>
      <c r="AE56" s="173">
        <f t="shared" si="17"/>
        <v>0.96029999999999993</v>
      </c>
      <c r="AF56" s="173">
        <v>0.995</v>
      </c>
      <c r="AG56" s="173"/>
      <c r="AH56" s="173">
        <v>0.97</v>
      </c>
      <c r="AI56" s="173">
        <v>0.99</v>
      </c>
      <c r="AJ56" s="173">
        <v>0.95</v>
      </c>
      <c r="AK56" s="173">
        <v>0.05</v>
      </c>
      <c r="AL56" s="173">
        <v>0.05</v>
      </c>
      <c r="AM56" s="221"/>
      <c r="AN56" s="221"/>
    </row>
    <row r="57" spans="1:40">
      <c r="A57" s="195">
        <f t="shared" si="6"/>
        <v>56</v>
      </c>
      <c r="B57" s="194" t="str">
        <f t="shared" ref="B57:C57" si="40">B45</f>
        <v>November</v>
      </c>
      <c r="C57" s="195">
        <f t="shared" si="40"/>
        <v>11</v>
      </c>
      <c r="D57" s="194">
        <v>45962</v>
      </c>
      <c r="E57" s="172">
        <f t="shared" si="19"/>
        <v>2025</v>
      </c>
      <c r="F57" s="174" t="s">
        <v>439</v>
      </c>
      <c r="G57" s="195">
        <f t="shared" si="20"/>
        <v>30</v>
      </c>
      <c r="H57" s="199"/>
      <c r="I57" s="199"/>
      <c r="J57" s="197">
        <f t="shared" si="10"/>
        <v>4.0333333333333332</v>
      </c>
      <c r="K57" s="199"/>
      <c r="L57" s="195"/>
      <c r="M57" s="201">
        <v>4876.513893138198</v>
      </c>
      <c r="N57" s="201">
        <v>78</v>
      </c>
      <c r="O57" s="173"/>
      <c r="P57" s="200"/>
      <c r="Q57" s="195">
        <f>COUNTIFS('Daily KPI'!$D:$D,D57,'Daily KPI'!$M:$M,"&gt;0")</f>
        <v>0</v>
      </c>
      <c r="R57" s="201"/>
      <c r="S57" s="201"/>
      <c r="T57" s="200">
        <f t="shared" si="21"/>
        <v>162.55046310460659</v>
      </c>
      <c r="U57" s="201">
        <f t="shared" si="22"/>
        <v>0</v>
      </c>
      <c r="V57" s="201">
        <f>SUMIF($F$2:F57,F57,$U$2:U57)</f>
        <v>33551.99845590425</v>
      </c>
      <c r="W57" s="173">
        <f t="shared" si="14"/>
        <v>8.6832512342204377E-2</v>
      </c>
      <c r="X57" s="173" t="str">
        <f t="shared" si="15"/>
        <v/>
      </c>
      <c r="Y57" s="173">
        <f t="shared" si="16"/>
        <v>0.24552159038684176</v>
      </c>
      <c r="Z57" s="200" t="str">
        <f>IFERROR(AVERAGEIF('Daily KPI'!D:D,Table14[[#This Row],[Month]],'Daily KPI'!AB:AB),"")</f>
        <v/>
      </c>
      <c r="AA57" s="196">
        <f>IFERROR(AVERAGEIF($F$2:F57,F57,$Z$2:Z57),"")</f>
        <v>37.44</v>
      </c>
      <c r="AB57" s="201"/>
      <c r="AC57" s="200">
        <f t="shared" si="23"/>
        <v>7.2366664761360369</v>
      </c>
      <c r="AD57" s="200">
        <f>AVERAGEIF($F$2:F57,F57,$AC$2:AC57)</f>
        <v>7.5809276936267489</v>
      </c>
      <c r="AE57" s="173">
        <f t="shared" si="17"/>
        <v>0.96029999999999993</v>
      </c>
      <c r="AF57" s="173">
        <v>0.995</v>
      </c>
      <c r="AG57" s="173"/>
      <c r="AH57" s="173">
        <v>0.97</v>
      </c>
      <c r="AI57" s="173">
        <v>0.99</v>
      </c>
      <c r="AJ57" s="173">
        <v>0.95</v>
      </c>
      <c r="AK57" s="173">
        <v>0.05</v>
      </c>
      <c r="AL57" s="173">
        <v>0.05</v>
      </c>
      <c r="AM57" s="221"/>
      <c r="AN57" s="221"/>
    </row>
    <row r="58" spans="1:40">
      <c r="A58" s="195">
        <f t="shared" si="6"/>
        <v>57</v>
      </c>
      <c r="B58" s="194" t="str">
        <f t="shared" ref="B58:C58" si="41">B46</f>
        <v>December</v>
      </c>
      <c r="C58" s="195">
        <f t="shared" si="41"/>
        <v>12</v>
      </c>
      <c r="D58" s="194">
        <v>45992</v>
      </c>
      <c r="E58" s="172">
        <f t="shared" si="19"/>
        <v>2025</v>
      </c>
      <c r="F58" s="174" t="s">
        <v>439</v>
      </c>
      <c r="G58" s="195">
        <f t="shared" si="20"/>
        <v>31</v>
      </c>
      <c r="H58" s="199"/>
      <c r="I58" s="199"/>
      <c r="J58" s="197">
        <f t="shared" si="10"/>
        <v>4.4333333333333336</v>
      </c>
      <c r="K58" s="199"/>
      <c r="L58" s="195"/>
      <c r="M58" s="201">
        <v>5701.5948437287434</v>
      </c>
      <c r="N58" s="201">
        <v>78</v>
      </c>
      <c r="O58" s="173"/>
      <c r="P58" s="200"/>
      <c r="Q58" s="195">
        <f>COUNTIFS('Daily KPI'!$D:$D,D58,'Daily KPI'!$M:$M,"&gt;0")</f>
        <v>0</v>
      </c>
      <c r="R58" s="201"/>
      <c r="S58" s="201"/>
      <c r="T58" s="200">
        <f t="shared" si="21"/>
        <v>183.92241431383044</v>
      </c>
      <c r="U58" s="201">
        <f t="shared" si="22"/>
        <v>0</v>
      </c>
      <c r="V58" s="201">
        <f>SUMIF($F$2:F58,F58,$U$2:U58)</f>
        <v>33551.99845590425</v>
      </c>
      <c r="W58" s="173">
        <f t="shared" si="14"/>
        <v>9.8249152945422247E-2</v>
      </c>
      <c r="X58" s="173" t="str">
        <f t="shared" si="15"/>
        <v/>
      </c>
      <c r="Y58" s="173">
        <f t="shared" si="16"/>
        <v>0.24552159038684176</v>
      </c>
      <c r="Z58" s="200" t="str">
        <f>IFERROR(AVERAGEIF('Daily KPI'!D:D,Table14[[#This Row],[Month]],'Daily KPI'!AB:AB),"")</f>
        <v/>
      </c>
      <c r="AA58" s="196">
        <f>IFERROR(AVERAGEIF($F$2:F58,F58,$Z$2:Z58),"")</f>
        <v>37.44</v>
      </c>
      <c r="AB58" s="201"/>
      <c r="AC58" s="200">
        <f t="shared" si="23"/>
        <v>6.0015501571877659</v>
      </c>
      <c r="AD58" s="200">
        <f>AVERAGEIF($F$2:F58,F58,$AC$2:AC58)</f>
        <v>7.4054413006890849</v>
      </c>
      <c r="AE58" s="173">
        <f t="shared" si="17"/>
        <v>0.96029999999999993</v>
      </c>
      <c r="AF58" s="173">
        <v>0.995</v>
      </c>
      <c r="AG58" s="173"/>
      <c r="AH58" s="173">
        <v>0.97</v>
      </c>
      <c r="AI58" s="173">
        <v>0.99</v>
      </c>
      <c r="AJ58" s="173">
        <v>0.95</v>
      </c>
      <c r="AK58" s="173">
        <v>0.05</v>
      </c>
      <c r="AL58" s="173">
        <v>0.05</v>
      </c>
      <c r="AM58" s="221"/>
      <c r="AN58" s="221"/>
    </row>
    <row r="59" spans="1:40">
      <c r="A59" s="195">
        <f t="shared" si="6"/>
        <v>58</v>
      </c>
      <c r="B59" s="194" t="str">
        <f t="shared" ref="B59:C59" si="42">B47</f>
        <v>January</v>
      </c>
      <c r="C59" s="195">
        <f t="shared" si="42"/>
        <v>1</v>
      </c>
      <c r="D59" s="194">
        <v>46023</v>
      </c>
      <c r="E59" s="172">
        <f t="shared" si="19"/>
        <v>2026</v>
      </c>
      <c r="F59" s="174" t="s">
        <v>439</v>
      </c>
      <c r="G59" s="195">
        <f t="shared" si="20"/>
        <v>31</v>
      </c>
      <c r="H59" s="199"/>
      <c r="I59" s="199"/>
      <c r="J59" s="197">
        <f t="shared" si="10"/>
        <v>3.8</v>
      </c>
      <c r="K59" s="199"/>
      <c r="L59" s="195"/>
      <c r="M59" s="201">
        <v>3970.895275880705</v>
      </c>
      <c r="N59" s="201">
        <v>78</v>
      </c>
      <c r="O59" s="173"/>
      <c r="P59" s="200"/>
      <c r="Q59" s="195">
        <f>COUNTIFS('Daily KPI'!$D:$D,D59,'Daily KPI'!$M:$M,"&gt;0")</f>
        <v>0</v>
      </c>
      <c r="R59" s="201"/>
      <c r="S59" s="201"/>
      <c r="T59" s="200">
        <f t="shared" si="21"/>
        <v>128.09339599615177</v>
      </c>
      <c r="U59" s="201">
        <f t="shared" si="22"/>
        <v>0</v>
      </c>
      <c r="V59" s="201">
        <f>SUMIF($F$2:F59,F59,$U$2:U59)</f>
        <v>33551.99845590425</v>
      </c>
      <c r="W59" s="173">
        <f t="shared" si="14"/>
        <v>6.8425959399653721E-2</v>
      </c>
      <c r="X59" s="173" t="str">
        <f t="shared" si="15"/>
        <v/>
      </c>
      <c r="Y59" s="173">
        <f t="shared" si="16"/>
        <v>0.24552159038684176</v>
      </c>
      <c r="Z59" s="200" t="str">
        <f>IFERROR(AVERAGEIF('Daily KPI'!D:D,Table14[[#This Row],[Month]],'Daily KPI'!AB:AB),"")</f>
        <v/>
      </c>
      <c r="AA59" s="196">
        <f>IFERROR(AVERAGEIF($F$2:F59,F59,$Z$2:Z59),"")</f>
        <v>37.44</v>
      </c>
      <c r="AB59" s="201"/>
      <c r="AC59" s="200">
        <f t="shared" si="23"/>
        <v>6.7073912546441834</v>
      </c>
      <c r="AD59" s="200">
        <f>AVERAGEIF($F$2:F59,F59,$AC$2:AC59)</f>
        <v>7.3356362960845942</v>
      </c>
      <c r="AE59" s="173">
        <f t="shared" si="17"/>
        <v>0.96029999999999993</v>
      </c>
      <c r="AF59" s="173">
        <v>0.995</v>
      </c>
      <c r="AG59" s="173"/>
      <c r="AH59" s="173">
        <v>0.97</v>
      </c>
      <c r="AI59" s="173">
        <v>0.99</v>
      </c>
      <c r="AJ59" s="173">
        <v>0.95</v>
      </c>
      <c r="AK59" s="173">
        <v>0.05</v>
      </c>
      <c r="AL59" s="173">
        <v>0.05</v>
      </c>
      <c r="AM59" s="221"/>
      <c r="AN59" s="221"/>
    </row>
    <row r="60" spans="1:40">
      <c r="A60" s="195">
        <f t="shared" si="6"/>
        <v>59</v>
      </c>
      <c r="B60" s="194" t="str">
        <f t="shared" ref="B60:C60" si="43">B48</f>
        <v>February</v>
      </c>
      <c r="C60" s="195">
        <f t="shared" si="43"/>
        <v>2</v>
      </c>
      <c r="D60" s="194">
        <v>46054</v>
      </c>
      <c r="E60" s="172">
        <f t="shared" si="19"/>
        <v>2026</v>
      </c>
      <c r="F60" s="174" t="s">
        <v>439</v>
      </c>
      <c r="G60" s="195">
        <f t="shared" si="20"/>
        <v>28</v>
      </c>
      <c r="H60" s="199"/>
      <c r="I60" s="199"/>
      <c r="J60" s="197">
        <f t="shared" si="10"/>
        <v>4.3</v>
      </c>
      <c r="K60" s="199"/>
      <c r="L60" s="195"/>
      <c r="M60" s="201">
        <v>4813.5808225669043</v>
      </c>
      <c r="N60" s="201">
        <v>78</v>
      </c>
      <c r="O60" s="173"/>
      <c r="P60" s="200"/>
      <c r="Q60" s="195">
        <f>COUNTIFS('Daily KPI'!$D:$D,D60,'Daily KPI'!$M:$M,"&gt;0")</f>
        <v>0</v>
      </c>
      <c r="R60" s="201"/>
      <c r="S60" s="201"/>
      <c r="T60" s="200">
        <f t="shared" si="21"/>
        <v>171.91360080596087</v>
      </c>
      <c r="U60" s="201">
        <f t="shared" si="22"/>
        <v>0</v>
      </c>
      <c r="V60" s="201">
        <f>SUMIF($F$2:F60,F60,$U$2:U60)</f>
        <v>33551.99845590425</v>
      </c>
      <c r="W60" s="173">
        <f t="shared" si="14"/>
        <v>9.1834188464722688E-2</v>
      </c>
      <c r="X60" s="173" t="str">
        <f t="shared" si="15"/>
        <v/>
      </c>
      <c r="Y60" s="173">
        <f t="shared" si="16"/>
        <v>0.24552159038684176</v>
      </c>
      <c r="Z60" s="200" t="str">
        <f>IFERROR(AVERAGEIF('Daily KPI'!D:D,Table14[[#This Row],[Month]],'Daily KPI'!AB:AB),"")</f>
        <v/>
      </c>
      <c r="AA60" s="196">
        <f>IFERROR(AVERAGEIF($F$2:F60,F60,$Z$2:Z60),"")</f>
        <v>37.44</v>
      </c>
      <c r="AB60" s="201"/>
      <c r="AC60" s="200">
        <f t="shared" si="23"/>
        <v>7.0533420977422105</v>
      </c>
      <c r="AD60" s="200">
        <f>AVERAGEIF($F$2:F60,F60,$AC$2:AC60)</f>
        <v>7.3099731871443785</v>
      </c>
      <c r="AE60" s="173">
        <f t="shared" si="17"/>
        <v>0.96029999999999993</v>
      </c>
      <c r="AF60" s="173">
        <v>0.995</v>
      </c>
      <c r="AG60" s="173"/>
      <c r="AH60" s="173">
        <v>0.97</v>
      </c>
      <c r="AI60" s="173">
        <v>0.99</v>
      </c>
      <c r="AJ60" s="173">
        <v>0.95</v>
      </c>
      <c r="AK60" s="173">
        <v>0.05</v>
      </c>
      <c r="AL60" s="173">
        <v>0.05</v>
      </c>
      <c r="AM60" s="221"/>
      <c r="AN60" s="221"/>
    </row>
    <row r="61" spans="1:40">
      <c r="A61" s="195">
        <f t="shared" si="6"/>
        <v>60</v>
      </c>
      <c r="B61" s="194" t="str">
        <f t="shared" ref="B61:C61" si="44">B49</f>
        <v>March</v>
      </c>
      <c r="C61" s="195">
        <f t="shared" si="44"/>
        <v>3</v>
      </c>
      <c r="D61" s="194">
        <v>46082</v>
      </c>
      <c r="E61" s="172">
        <f t="shared" si="19"/>
        <v>2026</v>
      </c>
      <c r="F61" s="174" t="s">
        <v>439</v>
      </c>
      <c r="G61" s="195">
        <f t="shared" si="20"/>
        <v>31</v>
      </c>
      <c r="H61" s="199"/>
      <c r="I61" s="199"/>
      <c r="J61" s="197">
        <f t="shared" si="10"/>
        <v>4.5999999999999996</v>
      </c>
      <c r="K61" s="199"/>
      <c r="L61" s="195"/>
      <c r="M61" s="201">
        <v>6855.8431753831883</v>
      </c>
      <c r="N61" s="201">
        <v>78</v>
      </c>
      <c r="O61" s="173"/>
      <c r="P61" s="200"/>
      <c r="Q61" s="195">
        <f>COUNTIFS('Daily KPI'!$D:$D,D61,'Daily KPI'!$M:$M,"&gt;0")</f>
        <v>0</v>
      </c>
      <c r="R61" s="201"/>
      <c r="S61" s="201"/>
      <c r="T61" s="200">
        <f t="shared" si="21"/>
        <v>221.15623146397382</v>
      </c>
      <c r="U61" s="201">
        <f t="shared" si="22"/>
        <v>0</v>
      </c>
      <c r="V61" s="201">
        <f>SUMIF($F$2:F61,F61,$U$2:U61)</f>
        <v>33551.99845590425</v>
      </c>
      <c r="W61" s="173">
        <f t="shared" si="14"/>
        <v>0.11813901253417405</v>
      </c>
      <c r="X61" s="173" t="str">
        <f t="shared" si="15"/>
        <v/>
      </c>
      <c r="Y61" s="173">
        <f t="shared" si="16"/>
        <v>0.24552159038684176</v>
      </c>
      <c r="Z61" s="200" t="str">
        <f>IFERROR(AVERAGEIF('Daily KPI'!D:D,Table14[[#This Row],[Month]],'Daily KPI'!AB:AB),"")</f>
        <v/>
      </c>
      <c r="AA61" s="196">
        <f>IFERROR(AVERAGEIF($F$2:F61,F61,$Z$2:Z61),"")</f>
        <v>37.44</v>
      </c>
      <c r="AB61" s="201"/>
      <c r="AC61" s="200">
        <f t="shared" si="23"/>
        <v>7.411120320091455</v>
      </c>
      <c r="AD61" s="200">
        <f>AVERAGEIF($F$2:F61,F61,$AC$2:AC61)</f>
        <v>7.3184021148899676</v>
      </c>
      <c r="AE61" s="173">
        <f t="shared" si="17"/>
        <v>0.96029999999999993</v>
      </c>
      <c r="AF61" s="173">
        <v>0.995</v>
      </c>
      <c r="AG61" s="173"/>
      <c r="AH61" s="173">
        <v>0.97</v>
      </c>
      <c r="AI61" s="173">
        <v>0.99</v>
      </c>
      <c r="AJ61" s="173">
        <v>0.95</v>
      </c>
      <c r="AK61" s="173">
        <v>0.05</v>
      </c>
      <c r="AL61" s="173">
        <v>0.05</v>
      </c>
      <c r="AM61" s="223"/>
      <c r="AN61" s="223"/>
    </row>
  </sheetData>
  <phoneticPr fontId="9" type="noConversion"/>
  <pageMargins left="0.7" right="0.7" top="0.75" bottom="0.75" header="0.3" footer="0.3"/>
  <ignoredErrors>
    <ignoredError sqref="AA2" calculatedColumn="1"/>
  </ignoredErrors>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92D050"/>
  </sheetPr>
  <dimension ref="A1:BE1739"/>
  <sheetViews>
    <sheetView showGridLines="0" zoomScale="90" zoomScaleNormal="90" workbookViewId="0">
      <pane xSplit="7" ySplit="1" topLeftCell="M754" activePane="bottomRight" state="frozen"/>
      <selection pane="bottomRight" activeCell="A767" sqref="A767"/>
      <selection pane="bottomLeft" activeCell="A2" sqref="A2"/>
      <selection pane="topRight" activeCell="H1" sqref="H1"/>
    </sheetView>
  </sheetViews>
  <sheetFormatPr defaultColWidth="8.85546875" defaultRowHeight="15"/>
  <cols>
    <col min="1" max="1" width="6.85546875" customWidth="1"/>
    <col min="2" max="2" width="12.85546875" customWidth="1"/>
    <col min="3" max="3" width="8.85546875" customWidth="1"/>
    <col min="4" max="4" width="9.42578125" customWidth="1"/>
    <col min="5" max="5" width="7.7109375" bestFit="1" customWidth="1"/>
    <col min="6" max="6" width="9.7109375" customWidth="1"/>
    <col min="7" max="7" width="5.42578125" customWidth="1"/>
    <col min="8" max="8" width="9.42578125" style="1" customWidth="1"/>
    <col min="9" max="9" width="9.7109375" style="1" customWidth="1"/>
    <col min="10" max="10" width="7.28515625" customWidth="1"/>
    <col min="11" max="11" width="11.42578125" customWidth="1"/>
    <col min="12" max="12" width="70.7109375" customWidth="1"/>
    <col min="13" max="13" width="17.42578125" bestFit="1" customWidth="1"/>
    <col min="14" max="14" width="7.140625" customWidth="1"/>
    <col min="15" max="15" width="7.85546875" customWidth="1"/>
    <col min="16" max="16" width="7.28515625" customWidth="1"/>
    <col min="17" max="17" width="7.7109375" customWidth="1"/>
    <col min="18" max="19" width="8.42578125" bestFit="1" customWidth="1"/>
    <col min="20" max="20" width="59" customWidth="1"/>
    <col min="21" max="21" width="9.42578125" customWidth="1"/>
    <col min="22" max="22" width="15.140625" customWidth="1"/>
    <col min="23" max="23" width="7.28515625" customWidth="1"/>
    <col min="24" max="24" width="20.140625" customWidth="1"/>
    <col min="25" max="25" width="16" customWidth="1"/>
    <col min="26" max="26" width="29.7109375" customWidth="1"/>
    <col min="27" max="27" width="14" customWidth="1"/>
    <col min="28" max="28" width="15" customWidth="1"/>
    <col min="31" max="31" width="13.28515625" customWidth="1"/>
    <col min="32" max="32" width="8.85546875" hidden="1" customWidth="1"/>
    <col min="34" max="34" width="11.5703125" bestFit="1" customWidth="1"/>
    <col min="39" max="39" width="4.7109375" bestFit="1" customWidth="1"/>
    <col min="40" max="56" width="11.5703125" bestFit="1" customWidth="1"/>
    <col min="57" max="57" width="30.5703125" bestFit="1" customWidth="1"/>
    <col min="58" max="160" width="11.5703125" bestFit="1" customWidth="1"/>
  </cols>
  <sheetData>
    <row r="1" spans="1:57" ht="42" customHeight="1">
      <c r="A1" s="237" t="s">
        <v>7</v>
      </c>
      <c r="B1" s="238" t="s">
        <v>73</v>
      </c>
      <c r="C1" s="239" t="s">
        <v>174</v>
      </c>
      <c r="D1" s="239" t="s">
        <v>312</v>
      </c>
      <c r="E1" s="239" t="s">
        <v>385</v>
      </c>
      <c r="F1" s="239" t="s">
        <v>440</v>
      </c>
      <c r="G1" s="239" t="s">
        <v>441</v>
      </c>
      <c r="H1" s="239" t="s">
        <v>442</v>
      </c>
      <c r="I1" s="239" t="s">
        <v>443</v>
      </c>
      <c r="J1" s="239" t="s">
        <v>444</v>
      </c>
      <c r="K1" s="239" t="s">
        <v>445</v>
      </c>
      <c r="L1" s="239" t="s">
        <v>446</v>
      </c>
      <c r="M1" s="239" t="s">
        <v>447</v>
      </c>
      <c r="N1" s="239" t="s">
        <v>448</v>
      </c>
      <c r="O1" s="239" t="s">
        <v>449</v>
      </c>
      <c r="P1" s="239" t="s">
        <v>450</v>
      </c>
      <c r="Q1" s="239" t="s">
        <v>451</v>
      </c>
      <c r="R1" s="239" t="s">
        <v>452</v>
      </c>
      <c r="S1" s="239" t="s">
        <v>453</v>
      </c>
      <c r="T1" s="239" t="s">
        <v>454</v>
      </c>
      <c r="U1" s="239" t="s">
        <v>455</v>
      </c>
      <c r="V1" s="239" t="s">
        <v>456</v>
      </c>
      <c r="W1" s="239" t="s">
        <v>457</v>
      </c>
      <c r="X1" s="239" t="s">
        <v>458</v>
      </c>
      <c r="Y1" s="240" t="s">
        <v>459</v>
      </c>
      <c r="Z1" s="239" t="s">
        <v>460</v>
      </c>
      <c r="AA1" s="240" t="s">
        <v>461</v>
      </c>
      <c r="AB1" s="274" t="s">
        <v>462</v>
      </c>
      <c r="AC1" s="240" t="s">
        <v>463</v>
      </c>
      <c r="AD1" s="282" t="s">
        <v>464</v>
      </c>
      <c r="BE1" s="117" t="s">
        <v>460</v>
      </c>
    </row>
    <row r="2" spans="1:57">
      <c r="A2" s="241">
        <v>1</v>
      </c>
      <c r="B2" s="255">
        <v>45745</v>
      </c>
      <c r="C2" s="252">
        <v>2025</v>
      </c>
      <c r="D2" s="252">
        <f>YEAR(WTG_BD[[#This Row],[Date]])</f>
        <v>2025</v>
      </c>
      <c r="E2" s="251">
        <f t="shared" ref="E2:E35" si="0">B2-DAY(B2)+1</f>
        <v>45717</v>
      </c>
      <c r="F2" s="252" t="s">
        <v>465</v>
      </c>
      <c r="G2" s="248" t="s">
        <v>144</v>
      </c>
      <c r="H2" s="242" t="str">
        <f>IFERROR(VLOOKUP(WTG_BD[[#This Row],[Affected WTG]],'Basic Data'!$A$3:$E$56,2,0),"")</f>
        <v>PWEGPL</v>
      </c>
      <c r="I2" s="242" t="str">
        <f>IFERROR(VLOOKUP(WTG_BD[[#This Row],[Affected WTG]],'Basic Data'!$A$3:$E$56,3,0),"")</f>
        <v>MSEDCL</v>
      </c>
      <c r="J2" s="243">
        <f>IFERROR(VLOOKUP(WTG_BD[[#This Row],[Affected WTG]],'Basic Data'!$A$3:$E$56,5,0),"")</f>
        <v>2.564102564102564E-2</v>
      </c>
      <c r="K2" s="158" t="s">
        <v>466</v>
      </c>
      <c r="L2" s="247" t="str">
        <f>VLOOKUP(K2,'Basic Data'!T:U,2,0)</f>
        <v>Manual Stop - Safety Related</v>
      </c>
      <c r="M2" s="135" t="s">
        <v>467</v>
      </c>
      <c r="N2" s="256">
        <v>0</v>
      </c>
      <c r="O2" s="256">
        <v>0.99930555555555556</v>
      </c>
      <c r="P2" s="256">
        <v>0.99930555555555556</v>
      </c>
      <c r="Q2" s="253">
        <f>IF(WTG_BD[[#This Row],[Work Start TimeStamp]]="","",(WTG_BD[[#This Row],[Work Start TimeStamp]]-WTG_BD[[#This Row],[Fault Start TimeStamp]])*24)</f>
        <v>23.983333333333334</v>
      </c>
      <c r="R2" s="253">
        <f>(WTG_BD[[#This Row],[Fault Clearance time]]-WTG_BD[[#This Row],[Work Start TimeStamp]])*24</f>
        <v>0</v>
      </c>
      <c r="S2" s="253">
        <f>(WTG_BD[[#This Row],[Fault Clearance time]]-WTG_BD[[#This Row],[Fault Start TimeStamp]])*24</f>
        <v>23.983333333333334</v>
      </c>
      <c r="T2" s="135" t="s">
        <v>468</v>
      </c>
      <c r="U2" s="244" t="s">
        <v>469</v>
      </c>
      <c r="V2" s="246">
        <f>WTG_BD[[#This Row],[Breakdown Time]]*(1/39)</f>
        <v>0.61495726495726499</v>
      </c>
      <c r="W2" s="244" t="s">
        <v>141</v>
      </c>
      <c r="X2" s="250">
        <v>2418.3194444444443</v>
      </c>
      <c r="Y2" s="135" t="s">
        <v>470</v>
      </c>
      <c r="Z2" s="135" t="s">
        <v>471</v>
      </c>
      <c r="AA2" s="135">
        <v>2420</v>
      </c>
      <c r="AB2" s="249">
        <v>2418.3194444444443</v>
      </c>
      <c r="AC2" s="135"/>
      <c r="AD2" s="245"/>
      <c r="AE2" s="3"/>
    </row>
    <row r="3" spans="1:57">
      <c r="A3" s="241">
        <f t="shared" ref="A3:A66" si="1">A2+1</f>
        <v>2</v>
      </c>
      <c r="B3" s="255">
        <v>45745</v>
      </c>
      <c r="C3" s="252">
        <v>2025</v>
      </c>
      <c r="D3" s="252">
        <f>YEAR(WTG_BD[[#This Row],[Date]])</f>
        <v>2025</v>
      </c>
      <c r="E3" s="251">
        <f t="shared" si="0"/>
        <v>45717</v>
      </c>
      <c r="F3" s="252" t="s">
        <v>465</v>
      </c>
      <c r="G3" s="248" t="s">
        <v>142</v>
      </c>
      <c r="H3" s="242" t="str">
        <f>IFERROR(VLOOKUP(WTG_BD[[#This Row],[Affected WTG]],'Basic Data'!$A$3:$E$56,2,0),"")</f>
        <v>PWEGPL</v>
      </c>
      <c r="I3" s="242" t="str">
        <f>IFERROR(VLOOKUP(WTG_BD[[#This Row],[Affected WTG]],'Basic Data'!$A$3:$E$56,3,0),"")</f>
        <v>MSEDCL</v>
      </c>
      <c r="J3" s="243">
        <f>IFERROR(VLOOKUP(WTG_BD[[#This Row],[Affected WTG]],'Basic Data'!$A$3:$E$56,5,0),"")</f>
        <v>2.564102564102564E-2</v>
      </c>
      <c r="K3" s="158" t="s">
        <v>466</v>
      </c>
      <c r="L3" s="247" t="str">
        <f>VLOOKUP(K3,'Basic Data'!T:U,2,0)</f>
        <v>Manual Stop - Safety Related</v>
      </c>
      <c r="M3" s="135" t="s">
        <v>467</v>
      </c>
      <c r="N3" s="256">
        <v>0</v>
      </c>
      <c r="O3" s="256">
        <v>0.99930555555555556</v>
      </c>
      <c r="P3" s="256">
        <v>0.99930555555555556</v>
      </c>
      <c r="Q3" s="253">
        <f>IF(WTG_BD[[#This Row],[Work Start TimeStamp]]="","",(WTG_BD[[#This Row],[Work Start TimeStamp]]-WTG_BD[[#This Row],[Fault Start TimeStamp]])*24)</f>
        <v>23.983333333333334</v>
      </c>
      <c r="R3" s="253">
        <f>(WTG_BD[[#This Row],[Fault Clearance time]]-WTG_BD[[#This Row],[Work Start TimeStamp]])*24</f>
        <v>0</v>
      </c>
      <c r="S3" s="253">
        <f>(WTG_BD[[#This Row],[Fault Clearance time]]-WTG_BD[[#This Row],[Fault Start TimeStamp]])*24</f>
        <v>23.983333333333334</v>
      </c>
      <c r="T3" s="135" t="s">
        <v>468</v>
      </c>
      <c r="U3" s="244" t="s">
        <v>469</v>
      </c>
      <c r="V3" s="246">
        <f>WTG_BD[[#This Row],[Breakdown Time]]*(1/39)</f>
        <v>0.61495726495726499</v>
      </c>
      <c r="W3" s="244" t="s">
        <v>141</v>
      </c>
      <c r="X3" s="250">
        <v>2418.3194444444443</v>
      </c>
      <c r="Y3" s="135" t="s">
        <v>470</v>
      </c>
      <c r="Z3" s="135" t="s">
        <v>471</v>
      </c>
      <c r="AA3" s="135">
        <v>2420</v>
      </c>
      <c r="AB3" s="249">
        <v>2418.3194444444443</v>
      </c>
      <c r="AC3" s="135"/>
      <c r="AD3" s="245"/>
      <c r="AE3" s="3"/>
    </row>
    <row r="4" spans="1:57">
      <c r="A4" s="241">
        <f t="shared" si="1"/>
        <v>3</v>
      </c>
      <c r="B4" s="255">
        <v>45745</v>
      </c>
      <c r="C4" s="252">
        <v>2025</v>
      </c>
      <c r="D4" s="252">
        <f>YEAR(WTG_BD[[#This Row],[Date]])</f>
        <v>2025</v>
      </c>
      <c r="E4" s="251">
        <f t="shared" si="0"/>
        <v>45717</v>
      </c>
      <c r="F4" s="252" t="s">
        <v>465</v>
      </c>
      <c r="G4" s="248" t="s">
        <v>118</v>
      </c>
      <c r="H4" s="242" t="str">
        <f>IFERROR(VLOOKUP(WTG_BD[[#This Row],[Affected WTG]],'Basic Data'!$A$3:$E$56,2,0),"")</f>
        <v>PWEGPL</v>
      </c>
      <c r="I4" s="242" t="str">
        <f>IFERROR(VLOOKUP(WTG_BD[[#This Row],[Affected WTG]],'Basic Data'!$A$3:$E$56,3,0),"")</f>
        <v>MSEDCL</v>
      </c>
      <c r="J4" s="243">
        <f>IFERROR(VLOOKUP(WTG_BD[[#This Row],[Affected WTG]],'Basic Data'!$A$3:$E$56,5,0),"")</f>
        <v>2.564102564102564E-2</v>
      </c>
      <c r="K4" s="158">
        <v>5200</v>
      </c>
      <c r="L4" s="247" t="str">
        <f>VLOOKUP(K4,'Basic Data'!T:U,2,0)</f>
        <v>Magnetothermic Trigger Of The Line Protection</v>
      </c>
      <c r="M4" s="135" t="s">
        <v>472</v>
      </c>
      <c r="N4" s="256">
        <v>0.67013888888888884</v>
      </c>
      <c r="O4" s="256">
        <v>0.67013888888888884</v>
      </c>
      <c r="P4" s="256">
        <v>0.67986111111111114</v>
      </c>
      <c r="Q4" s="253">
        <f>IF(WTG_BD[[#This Row],[Work Start TimeStamp]]="","",(WTG_BD[[#This Row],[Work Start TimeStamp]]-WTG_BD[[#This Row],[Fault Start TimeStamp]])*24)</f>
        <v>0</v>
      </c>
      <c r="R4" s="253">
        <f>(WTG_BD[[#This Row],[Fault Clearance time]]-WTG_BD[[#This Row],[Work Start TimeStamp]])*24</f>
        <v>0.23333333333333517</v>
      </c>
      <c r="S4" s="253">
        <f>(WTG_BD[[#This Row],[Fault Clearance time]]-WTG_BD[[#This Row],[Fault Start TimeStamp]])*24</f>
        <v>0.23333333333333517</v>
      </c>
      <c r="T4" s="135" t="s">
        <v>473</v>
      </c>
      <c r="U4" s="244" t="s">
        <v>474</v>
      </c>
      <c r="V4" s="246">
        <f>WTG_BD[[#This Row],[Breakdown Time]]*(1/39)</f>
        <v>5.9829059829060302E-3</v>
      </c>
      <c r="W4" s="244" t="s">
        <v>117</v>
      </c>
      <c r="X4" s="250">
        <v>32.822222222222479</v>
      </c>
      <c r="Y4" s="135" t="s">
        <v>470</v>
      </c>
      <c r="Z4" s="135" t="s">
        <v>475</v>
      </c>
      <c r="AA4" s="135">
        <v>3376</v>
      </c>
      <c r="AB4" s="249">
        <v>32.822222222222479</v>
      </c>
      <c r="AC4" s="135"/>
      <c r="AD4" s="245"/>
      <c r="AE4" s="3"/>
    </row>
    <row r="5" spans="1:57">
      <c r="A5" s="241">
        <f t="shared" si="1"/>
        <v>4</v>
      </c>
      <c r="B5" s="255">
        <v>45745</v>
      </c>
      <c r="C5" s="252">
        <v>2025</v>
      </c>
      <c r="D5" s="252">
        <f>YEAR(WTG_BD[[#This Row],[Date]])</f>
        <v>2025</v>
      </c>
      <c r="E5" s="251">
        <f t="shared" si="0"/>
        <v>45717</v>
      </c>
      <c r="F5" s="252" t="s">
        <v>465</v>
      </c>
      <c r="G5" s="248" t="s">
        <v>118</v>
      </c>
      <c r="H5" s="242" t="str">
        <f>IFERROR(VLOOKUP(WTG_BD[[#This Row],[Affected WTG]],'Basic Data'!$A$3:$E$56,2,0),"")</f>
        <v>PWEGPL</v>
      </c>
      <c r="I5" s="242" t="str">
        <f>IFERROR(VLOOKUP(WTG_BD[[#This Row],[Affected WTG]],'Basic Data'!$A$3:$E$56,3,0),"")</f>
        <v>MSEDCL</v>
      </c>
      <c r="J5" s="243">
        <f>IFERROR(VLOOKUP(WTG_BD[[#This Row],[Affected WTG]],'Basic Data'!$A$3:$E$56,5,0),"")</f>
        <v>2.564102564102564E-2</v>
      </c>
      <c r="K5" s="158">
        <v>5200</v>
      </c>
      <c r="L5" s="247" t="str">
        <f>VLOOKUP(K5,'Basic Data'!T:U,2,0)</f>
        <v>Magnetothermic Trigger Of The Line Protection</v>
      </c>
      <c r="M5" s="135" t="s">
        <v>472</v>
      </c>
      <c r="N5" s="256">
        <v>0.84791666666666665</v>
      </c>
      <c r="O5" s="256">
        <v>0.84791666666666665</v>
      </c>
      <c r="P5" s="256">
        <v>0.85138888888888886</v>
      </c>
      <c r="Q5" s="253">
        <f>IF(WTG_BD[[#This Row],[Work Start TimeStamp]]="","",(WTG_BD[[#This Row],[Work Start TimeStamp]]-WTG_BD[[#This Row],[Fault Start TimeStamp]])*24)</f>
        <v>0</v>
      </c>
      <c r="R5" s="253">
        <f>(WTG_BD[[#This Row],[Fault Clearance time]]-WTG_BD[[#This Row],[Work Start TimeStamp]])*24</f>
        <v>8.3333333333333037E-2</v>
      </c>
      <c r="S5" s="253">
        <f>(WTG_BD[[#This Row],[Fault Clearance time]]-WTG_BD[[#This Row],[Fault Start TimeStamp]])*24</f>
        <v>8.3333333333333037E-2</v>
      </c>
      <c r="T5" s="135" t="s">
        <v>476</v>
      </c>
      <c r="U5" s="244" t="s">
        <v>474</v>
      </c>
      <c r="V5" s="246">
        <f>WTG_BD[[#This Row],[Breakdown Time]]*(1/39)</f>
        <v>2.1367521367521292E-3</v>
      </c>
      <c r="W5" s="244" t="s">
        <v>117</v>
      </c>
      <c r="X5" s="250">
        <v>11.722222222222181</v>
      </c>
      <c r="Y5" s="135" t="s">
        <v>470</v>
      </c>
      <c r="Z5" s="135" t="s">
        <v>475</v>
      </c>
      <c r="AA5" s="135">
        <v>3376</v>
      </c>
      <c r="AB5" s="249">
        <v>11.722222222222181</v>
      </c>
      <c r="AC5" s="135"/>
      <c r="AD5" s="245"/>
      <c r="AE5" s="3"/>
    </row>
    <row r="6" spans="1:57">
      <c r="A6" s="241">
        <f t="shared" si="1"/>
        <v>5</v>
      </c>
      <c r="B6" s="255">
        <v>45745</v>
      </c>
      <c r="C6" s="252">
        <v>2025</v>
      </c>
      <c r="D6" s="252">
        <f>YEAR(WTG_BD[[#This Row],[Date]])</f>
        <v>2025</v>
      </c>
      <c r="E6" s="251">
        <f t="shared" si="0"/>
        <v>45717</v>
      </c>
      <c r="F6" s="252" t="s">
        <v>465</v>
      </c>
      <c r="G6" s="248" t="s">
        <v>119</v>
      </c>
      <c r="H6" s="242" t="str">
        <f>IFERROR(VLOOKUP(WTG_BD[[#This Row],[Affected WTG]],'Basic Data'!$A$3:$E$56,2,0),"")</f>
        <v>PWEGPL</v>
      </c>
      <c r="I6" s="242" t="str">
        <f>IFERROR(VLOOKUP(WTG_BD[[#This Row],[Affected WTG]],'Basic Data'!$A$3:$E$56,3,0),"")</f>
        <v>MSEDCL</v>
      </c>
      <c r="J6" s="243">
        <f>IFERROR(VLOOKUP(WTG_BD[[#This Row],[Affected WTG]],'Basic Data'!$A$3:$E$56,5,0),"")</f>
        <v>2.564102564102564E-2</v>
      </c>
      <c r="K6" s="158">
        <v>5204</v>
      </c>
      <c r="L6" s="247" t="str">
        <f>VLOOKUP(K6,'Basic Data'!T:U,2,0)</f>
        <v>Emergency Series Not OK</v>
      </c>
      <c r="M6" s="135" t="s">
        <v>472</v>
      </c>
      <c r="N6" s="256">
        <v>0.84444444444444444</v>
      </c>
      <c r="O6" s="256">
        <v>0.84444444444444444</v>
      </c>
      <c r="P6" s="256">
        <v>0.84791666666666665</v>
      </c>
      <c r="Q6" s="253">
        <f>IF(WTG_BD[[#This Row],[Work Start TimeStamp]]="","",(WTG_BD[[#This Row],[Work Start TimeStamp]]-WTG_BD[[#This Row],[Fault Start TimeStamp]])*24)</f>
        <v>0</v>
      </c>
      <c r="R6" s="253">
        <f>(WTG_BD[[#This Row],[Fault Clearance time]]-WTG_BD[[#This Row],[Work Start TimeStamp]])*24</f>
        <v>8.3333333333333037E-2</v>
      </c>
      <c r="S6" s="253">
        <f>(WTG_BD[[#This Row],[Fault Clearance time]]-WTG_BD[[#This Row],[Fault Start TimeStamp]])*24</f>
        <v>8.3333333333333037E-2</v>
      </c>
      <c r="T6" s="135" t="s">
        <v>476</v>
      </c>
      <c r="U6" s="244" t="s">
        <v>474</v>
      </c>
      <c r="V6" s="246">
        <f>WTG_BD[[#This Row],[Breakdown Time]]*(1/39)</f>
        <v>2.1367521367521292E-3</v>
      </c>
      <c r="W6" s="244" t="s">
        <v>136</v>
      </c>
      <c r="X6" s="250">
        <v>9.652777777777743</v>
      </c>
      <c r="Y6" s="135" t="s">
        <v>470</v>
      </c>
      <c r="Z6" s="135" t="s">
        <v>475</v>
      </c>
      <c r="AA6" s="135">
        <v>2780</v>
      </c>
      <c r="AB6" s="249">
        <v>9.652777777777743</v>
      </c>
      <c r="AC6" s="135"/>
      <c r="AD6" s="245"/>
      <c r="AE6" s="3"/>
    </row>
    <row r="7" spans="1:57">
      <c r="A7" s="241">
        <f t="shared" si="1"/>
        <v>6</v>
      </c>
      <c r="B7" s="255">
        <v>45745</v>
      </c>
      <c r="C7" s="252">
        <v>2025</v>
      </c>
      <c r="D7" s="252">
        <f>YEAR(WTG_BD[[#This Row],[Date]])</f>
        <v>2025</v>
      </c>
      <c r="E7" s="251">
        <f t="shared" si="0"/>
        <v>45717</v>
      </c>
      <c r="F7" s="252" t="s">
        <v>465</v>
      </c>
      <c r="G7" s="248" t="s">
        <v>120</v>
      </c>
      <c r="H7" s="242" t="str">
        <f>IFERROR(VLOOKUP(WTG_BD[[#This Row],[Affected WTG]],'Basic Data'!$A$3:$E$56,2,0),"")</f>
        <v>PWEGPL</v>
      </c>
      <c r="I7" s="242" t="str">
        <f>IFERROR(VLOOKUP(WTG_BD[[#This Row],[Affected WTG]],'Basic Data'!$A$3:$E$56,3,0),"")</f>
        <v>MSEDCL</v>
      </c>
      <c r="J7" s="243">
        <f>IFERROR(VLOOKUP(WTG_BD[[#This Row],[Affected WTG]],'Basic Data'!$A$3:$E$56,5,0),"")</f>
        <v>2.564102564102564E-2</v>
      </c>
      <c r="K7" s="158">
        <v>700</v>
      </c>
      <c r="L7" s="247" t="str">
        <f>VLOOKUP(K7,'Basic Data'!T:U,2,0)</f>
        <v>PLC-Converter Communication Error</v>
      </c>
      <c r="M7" s="135" t="s">
        <v>472</v>
      </c>
      <c r="N7" s="256">
        <v>0.4513888888888889</v>
      </c>
      <c r="O7" s="256">
        <v>0.4861111111111111</v>
      </c>
      <c r="P7" s="256">
        <v>0.52013888888888893</v>
      </c>
      <c r="Q7" s="253">
        <f>IF(WTG_BD[[#This Row],[Work Start TimeStamp]]="","",(WTG_BD[[#This Row],[Work Start TimeStamp]]-WTG_BD[[#This Row],[Fault Start TimeStamp]])*24)</f>
        <v>0.83333333333333304</v>
      </c>
      <c r="R7" s="253">
        <f>(WTG_BD[[#This Row],[Fault Clearance time]]-WTG_BD[[#This Row],[Work Start TimeStamp]])*24</f>
        <v>0.81666666666666776</v>
      </c>
      <c r="S7" s="253">
        <f>(WTG_BD[[#This Row],[Fault Clearance time]]-WTG_BD[[#This Row],[Fault Start TimeStamp]])*24</f>
        <v>1.6500000000000008</v>
      </c>
      <c r="T7" s="135" t="s">
        <v>477</v>
      </c>
      <c r="U7" s="244" t="s">
        <v>474</v>
      </c>
      <c r="V7" s="246">
        <f>WTG_BD[[#This Row],[Breakdown Time]]*(1/39)</f>
        <v>4.2307692307692324E-2</v>
      </c>
      <c r="W7" s="244" t="s">
        <v>117</v>
      </c>
      <c r="X7" s="250">
        <v>232.10000000000011</v>
      </c>
      <c r="Y7" s="135" t="s">
        <v>470</v>
      </c>
      <c r="Z7" s="135" t="s">
        <v>475</v>
      </c>
      <c r="AA7" s="135">
        <v>3376</v>
      </c>
      <c r="AB7" s="249">
        <v>232.10000000000011</v>
      </c>
      <c r="AC7" s="135"/>
      <c r="AD7" s="245"/>
      <c r="AE7" s="3"/>
    </row>
    <row r="8" spans="1:57">
      <c r="A8" s="241">
        <f t="shared" si="1"/>
        <v>7</v>
      </c>
      <c r="B8" s="255">
        <v>45745</v>
      </c>
      <c r="C8" s="252">
        <v>2025</v>
      </c>
      <c r="D8" s="252">
        <f>YEAR(WTG_BD[[#This Row],[Date]])</f>
        <v>2025</v>
      </c>
      <c r="E8" s="251">
        <f t="shared" si="0"/>
        <v>45717</v>
      </c>
      <c r="F8" s="252" t="s">
        <v>465</v>
      </c>
      <c r="G8" s="248" t="s">
        <v>135</v>
      </c>
      <c r="H8" s="242" t="str">
        <f>IFERROR(VLOOKUP(WTG_BD[[#This Row],[Affected WTG]],'Basic Data'!$A$3:$E$56,2,0),"")</f>
        <v>PWEGPL</v>
      </c>
      <c r="I8" s="242" t="str">
        <f>IFERROR(VLOOKUP(WTG_BD[[#This Row],[Affected WTG]],'Basic Data'!$A$3:$E$56,3,0),"")</f>
        <v>MSEDCL</v>
      </c>
      <c r="J8" s="243">
        <f>IFERROR(VLOOKUP(WTG_BD[[#This Row],[Affected WTG]],'Basic Data'!$A$3:$E$56,5,0),"")</f>
        <v>2.564102564102564E-2</v>
      </c>
      <c r="K8" s="158">
        <v>202</v>
      </c>
      <c r="L8" s="247" t="str">
        <f>VLOOKUP(K8,'Basic Data'!T:U,2,0)</f>
        <v>Low Pressure On Brake Circuit</v>
      </c>
      <c r="M8" s="135" t="s">
        <v>472</v>
      </c>
      <c r="N8" s="256">
        <v>0.84513888888888888</v>
      </c>
      <c r="O8" s="256">
        <v>0.84513888888888888</v>
      </c>
      <c r="P8" s="256">
        <v>0.84861111111111109</v>
      </c>
      <c r="Q8" s="253">
        <f>IF(WTG_BD[[#This Row],[Work Start TimeStamp]]="","",(WTG_BD[[#This Row],[Work Start TimeStamp]]-WTG_BD[[#This Row],[Fault Start TimeStamp]])*24)</f>
        <v>0</v>
      </c>
      <c r="R8" s="253">
        <f>(WTG_BD[[#This Row],[Fault Clearance time]]-WTG_BD[[#This Row],[Work Start TimeStamp]])*24</f>
        <v>8.3333333333333037E-2</v>
      </c>
      <c r="S8" s="253">
        <f>(WTG_BD[[#This Row],[Fault Clearance time]]-WTG_BD[[#This Row],[Fault Start TimeStamp]])*24</f>
        <v>8.3333333333333037E-2</v>
      </c>
      <c r="T8" s="135" t="s">
        <v>476</v>
      </c>
      <c r="U8" s="244" t="s">
        <v>474</v>
      </c>
      <c r="V8" s="246">
        <f>WTG_BD[[#This Row],[Breakdown Time]]*(1/39)</f>
        <v>2.1367521367521292E-3</v>
      </c>
      <c r="W8" s="244" t="s">
        <v>136</v>
      </c>
      <c r="X8" s="250">
        <v>9.652777777777743</v>
      </c>
      <c r="Y8" s="135" t="s">
        <v>470</v>
      </c>
      <c r="Z8" s="135" t="s">
        <v>475</v>
      </c>
      <c r="AA8" s="135">
        <v>2780</v>
      </c>
      <c r="AB8" s="249">
        <v>9.652777777777743</v>
      </c>
      <c r="AC8" s="135"/>
      <c r="AD8" s="245"/>
      <c r="AE8" s="3"/>
    </row>
    <row r="9" spans="1:57">
      <c r="A9" s="241">
        <f t="shared" si="1"/>
        <v>8</v>
      </c>
      <c r="B9" s="255">
        <v>45745</v>
      </c>
      <c r="C9" s="252">
        <v>2025</v>
      </c>
      <c r="D9" s="252">
        <f>YEAR(WTG_BD[[#This Row],[Date]])</f>
        <v>2025</v>
      </c>
      <c r="E9" s="251">
        <f t="shared" si="0"/>
        <v>45717</v>
      </c>
      <c r="F9" s="252" t="s">
        <v>465</v>
      </c>
      <c r="G9" s="248" t="s">
        <v>136</v>
      </c>
      <c r="H9" s="242" t="str">
        <f>IFERROR(VLOOKUP(WTG_BD[[#This Row],[Affected WTG]],'Basic Data'!$A$3:$E$56,2,0),"")</f>
        <v>PWEGPL</v>
      </c>
      <c r="I9" s="242" t="str">
        <f>IFERROR(VLOOKUP(WTG_BD[[#This Row],[Affected WTG]],'Basic Data'!$A$3:$E$56,3,0),"")</f>
        <v>MSEDCL</v>
      </c>
      <c r="J9" s="243">
        <f>IFERROR(VLOOKUP(WTG_BD[[#This Row],[Affected WTG]],'Basic Data'!$A$3:$E$56,5,0),"")</f>
        <v>2.564102564102564E-2</v>
      </c>
      <c r="K9" s="158">
        <v>5201</v>
      </c>
      <c r="L9" s="247" t="str">
        <f>VLOOKUP(K9,'Basic Data'!T:U,2,0)</f>
        <v>Magnetothermic Trigger Of The Stator Protection</v>
      </c>
      <c r="M9" s="135" t="s">
        <v>472</v>
      </c>
      <c r="N9" s="256">
        <v>0.84583333333333333</v>
      </c>
      <c r="O9" s="256">
        <v>0.84583333333333333</v>
      </c>
      <c r="P9" s="256">
        <v>0.84930555555555554</v>
      </c>
      <c r="Q9" s="253">
        <f>IF(WTG_BD[[#This Row],[Work Start TimeStamp]]="","",(WTG_BD[[#This Row],[Work Start TimeStamp]]-WTG_BD[[#This Row],[Fault Start TimeStamp]])*24)</f>
        <v>0</v>
      </c>
      <c r="R9" s="253">
        <f>(WTG_BD[[#This Row],[Fault Clearance time]]-WTG_BD[[#This Row],[Work Start TimeStamp]])*24</f>
        <v>8.3333333333333037E-2</v>
      </c>
      <c r="S9" s="253">
        <f>(WTG_BD[[#This Row],[Fault Clearance time]]-WTG_BD[[#This Row],[Fault Start TimeStamp]])*24</f>
        <v>8.3333333333333037E-2</v>
      </c>
      <c r="T9" s="135" t="s">
        <v>476</v>
      </c>
      <c r="U9" s="244" t="s">
        <v>474</v>
      </c>
      <c r="V9" s="246">
        <f>WTG_BD[[#This Row],[Breakdown Time]]*(1/39)</f>
        <v>2.1367521367521292E-3</v>
      </c>
      <c r="W9" s="244" t="s">
        <v>135</v>
      </c>
      <c r="X9" s="250">
        <v>14.638888888888836</v>
      </c>
      <c r="Y9" s="135" t="s">
        <v>470</v>
      </c>
      <c r="Z9" s="135" t="s">
        <v>475</v>
      </c>
      <c r="AA9" s="135">
        <v>4216</v>
      </c>
      <c r="AB9" s="249">
        <v>14.638888888888836</v>
      </c>
      <c r="AC9" s="135"/>
      <c r="AD9" s="245"/>
      <c r="AE9" s="3"/>
    </row>
    <row r="10" spans="1:57">
      <c r="A10" s="241">
        <f t="shared" si="1"/>
        <v>9</v>
      </c>
      <c r="B10" s="255">
        <v>45745</v>
      </c>
      <c r="C10" s="252">
        <v>2025</v>
      </c>
      <c r="D10" s="252">
        <f>YEAR(WTG_BD[[#This Row],[Date]])</f>
        <v>2025</v>
      </c>
      <c r="E10" s="251">
        <f t="shared" si="0"/>
        <v>45717</v>
      </c>
      <c r="F10" s="252" t="s">
        <v>465</v>
      </c>
      <c r="G10" s="248" t="s">
        <v>146</v>
      </c>
      <c r="H10" s="242" t="str">
        <f>IFERROR(VLOOKUP(WTG_BD[[#This Row],[Affected WTG]],'Basic Data'!$A$3:$E$56,2,0),"")</f>
        <v>PWEGPL</v>
      </c>
      <c r="I10" s="242" t="str">
        <f>IFERROR(VLOOKUP(WTG_BD[[#This Row],[Affected WTG]],'Basic Data'!$A$3:$E$56,3,0),"")</f>
        <v>MSEDCL</v>
      </c>
      <c r="J10" s="243">
        <f>IFERROR(VLOOKUP(WTG_BD[[#This Row],[Affected WTG]],'Basic Data'!$A$3:$E$56,5,0),"")</f>
        <v>2.564102564102564E-2</v>
      </c>
      <c r="K10" s="158">
        <v>205</v>
      </c>
      <c r="L10" s="247" t="str">
        <f>VLOOKUP(K10,'Basic Data'!T:U,2,0)</f>
        <v>Low Level Hydraulic Group Refrigeration Oil</v>
      </c>
      <c r="M10" s="135" t="s">
        <v>472</v>
      </c>
      <c r="N10" s="256">
        <v>0.35694444444444445</v>
      </c>
      <c r="O10" s="256">
        <v>0.59305555555555556</v>
      </c>
      <c r="P10" s="256">
        <v>0.71250000000000002</v>
      </c>
      <c r="Q10" s="253">
        <f>IF(WTG_BD[[#This Row],[Work Start TimeStamp]]="","",(WTG_BD[[#This Row],[Work Start TimeStamp]]-WTG_BD[[#This Row],[Fault Start TimeStamp]])*24)</f>
        <v>5.6666666666666661</v>
      </c>
      <c r="R10" s="253">
        <f>(WTG_BD[[#This Row],[Fault Clearance time]]-WTG_BD[[#This Row],[Work Start TimeStamp]])*24</f>
        <v>2.8666666666666671</v>
      </c>
      <c r="S10" s="253">
        <f>(WTG_BD[[#This Row],[Fault Clearance time]]-WTG_BD[[#This Row],[Fault Start TimeStamp]])*24</f>
        <v>8.5333333333333332</v>
      </c>
      <c r="T10" s="135" t="s">
        <v>478</v>
      </c>
      <c r="U10" s="244" t="s">
        <v>474</v>
      </c>
      <c r="V10" s="246">
        <f>WTG_BD[[#This Row],[Breakdown Time]]*(1/39)</f>
        <v>0.2188034188034188</v>
      </c>
      <c r="W10" s="244" t="s">
        <v>147</v>
      </c>
      <c r="X10" s="250">
        <v>955.73333333333335</v>
      </c>
      <c r="Y10" s="135" t="s">
        <v>470</v>
      </c>
      <c r="Z10" s="135" t="s">
        <v>475</v>
      </c>
      <c r="AA10" s="135">
        <v>2688</v>
      </c>
      <c r="AB10" s="249">
        <v>955.73333333333335</v>
      </c>
      <c r="AC10" s="135"/>
      <c r="AD10" s="245"/>
      <c r="AE10" s="3"/>
    </row>
    <row r="11" spans="1:57">
      <c r="A11" s="241">
        <f t="shared" si="1"/>
        <v>10</v>
      </c>
      <c r="B11" s="255">
        <v>45745</v>
      </c>
      <c r="C11" s="252">
        <v>2025</v>
      </c>
      <c r="D11" s="252">
        <f>YEAR(WTG_BD[[#This Row],[Date]])</f>
        <v>2025</v>
      </c>
      <c r="E11" s="251">
        <f t="shared" si="0"/>
        <v>45717</v>
      </c>
      <c r="F11" s="252" t="s">
        <v>465</v>
      </c>
      <c r="G11" s="248" t="s">
        <v>147</v>
      </c>
      <c r="H11" s="242" t="str">
        <f>IFERROR(VLOOKUP(WTG_BD[[#This Row],[Affected WTG]],'Basic Data'!$A$3:$E$56,2,0),"")</f>
        <v>PWEGPL</v>
      </c>
      <c r="I11" s="242" t="str">
        <f>IFERROR(VLOOKUP(WTG_BD[[#This Row],[Affected WTG]],'Basic Data'!$A$3:$E$56,3,0),"")</f>
        <v>MSEDCL</v>
      </c>
      <c r="J11" s="243">
        <f>IFERROR(VLOOKUP(WTG_BD[[#This Row],[Affected WTG]],'Basic Data'!$A$3:$E$56,5,0),"")</f>
        <v>2.564102564102564E-2</v>
      </c>
      <c r="K11" s="158">
        <v>5201</v>
      </c>
      <c r="L11" s="247" t="str">
        <f>VLOOKUP(K11,'Basic Data'!T:U,2,0)</f>
        <v>Magnetothermic Trigger Of The Stator Protection</v>
      </c>
      <c r="M11" s="135" t="s">
        <v>472</v>
      </c>
      <c r="N11" s="256">
        <v>0.37708333333333333</v>
      </c>
      <c r="O11" s="256">
        <v>0.37708333333333333</v>
      </c>
      <c r="P11" s="256">
        <v>0.38055555555555554</v>
      </c>
      <c r="Q11" s="253">
        <f>IF(WTG_BD[[#This Row],[Work Start TimeStamp]]="","",(WTG_BD[[#This Row],[Work Start TimeStamp]]-WTG_BD[[#This Row],[Fault Start TimeStamp]])*24)</f>
        <v>0</v>
      </c>
      <c r="R11" s="253">
        <f>(WTG_BD[[#This Row],[Fault Clearance time]]-WTG_BD[[#This Row],[Work Start TimeStamp]])*24</f>
        <v>8.3333333333333037E-2</v>
      </c>
      <c r="S11" s="253">
        <f>(WTG_BD[[#This Row],[Fault Clearance time]]-WTG_BD[[#This Row],[Fault Start TimeStamp]])*24</f>
        <v>8.3333333333333037E-2</v>
      </c>
      <c r="T11" s="135" t="s">
        <v>476</v>
      </c>
      <c r="U11" s="244" t="s">
        <v>474</v>
      </c>
      <c r="V11" s="246">
        <f>WTG_BD[[#This Row],[Breakdown Time]]*(1/39)</f>
        <v>2.1367521367521292E-3</v>
      </c>
      <c r="W11" s="244" t="s">
        <v>148</v>
      </c>
      <c r="X11" s="250">
        <v>10.333333333333297</v>
      </c>
      <c r="Y11" s="135" t="s">
        <v>470</v>
      </c>
      <c r="Z11" s="135" t="s">
        <v>475</v>
      </c>
      <c r="AA11" s="135">
        <v>2976</v>
      </c>
      <c r="AB11" s="249">
        <v>10.333333333333297</v>
      </c>
      <c r="AC11" s="135"/>
      <c r="AD11" s="245"/>
      <c r="AE11" s="3"/>
    </row>
    <row r="12" spans="1:57">
      <c r="A12" s="241">
        <f t="shared" si="1"/>
        <v>11</v>
      </c>
      <c r="B12" s="255">
        <v>45745</v>
      </c>
      <c r="C12" s="252">
        <v>2025</v>
      </c>
      <c r="D12" s="252">
        <f>YEAR(WTG_BD[[#This Row],[Date]])</f>
        <v>2025</v>
      </c>
      <c r="E12" s="251">
        <f t="shared" si="0"/>
        <v>45717</v>
      </c>
      <c r="F12" s="252" t="s">
        <v>465</v>
      </c>
      <c r="G12" s="248" t="s">
        <v>147</v>
      </c>
      <c r="H12" s="242" t="str">
        <f>IFERROR(VLOOKUP(WTG_BD[[#This Row],[Affected WTG]],'Basic Data'!$A$3:$E$56,2,0),"")</f>
        <v>PWEGPL</v>
      </c>
      <c r="I12" s="242" t="str">
        <f>IFERROR(VLOOKUP(WTG_BD[[#This Row],[Affected WTG]],'Basic Data'!$A$3:$E$56,3,0),"")</f>
        <v>MSEDCL</v>
      </c>
      <c r="J12" s="243">
        <f>IFERROR(VLOOKUP(WTG_BD[[#This Row],[Affected WTG]],'Basic Data'!$A$3:$E$56,5,0),"")</f>
        <v>2.564102564102564E-2</v>
      </c>
      <c r="K12" s="158">
        <v>5200</v>
      </c>
      <c r="L12" s="247" t="str">
        <f>VLOOKUP(K12,'Basic Data'!T:U,2,0)</f>
        <v>Magnetothermic Trigger Of The Line Protection</v>
      </c>
      <c r="M12" s="135" t="s">
        <v>472</v>
      </c>
      <c r="N12" s="256">
        <v>0.72638888888888886</v>
      </c>
      <c r="O12" s="256">
        <v>0.72638888888888886</v>
      </c>
      <c r="P12" s="256">
        <v>0.73263888888888884</v>
      </c>
      <c r="Q12" s="253">
        <f>IF(WTG_BD[[#This Row],[Work Start TimeStamp]]="","",(WTG_BD[[#This Row],[Work Start TimeStamp]]-WTG_BD[[#This Row],[Fault Start TimeStamp]])*24)</f>
        <v>0</v>
      </c>
      <c r="R12" s="253">
        <f>(WTG_BD[[#This Row],[Fault Clearance time]]-WTG_BD[[#This Row],[Work Start TimeStamp]])*24</f>
        <v>0.14999999999999947</v>
      </c>
      <c r="S12" s="253">
        <f>(WTG_BD[[#This Row],[Fault Clearance time]]-WTG_BD[[#This Row],[Fault Start TimeStamp]])*24</f>
        <v>0.14999999999999947</v>
      </c>
      <c r="T12" s="135" t="s">
        <v>473</v>
      </c>
      <c r="U12" s="244" t="s">
        <v>474</v>
      </c>
      <c r="V12" s="246">
        <f>WTG_BD[[#This Row],[Breakdown Time]]*(1/39)</f>
        <v>3.8461538461538325E-3</v>
      </c>
      <c r="W12" s="244" t="s">
        <v>148</v>
      </c>
      <c r="X12" s="250">
        <v>18.599999999999934</v>
      </c>
      <c r="Y12" s="135" t="s">
        <v>470</v>
      </c>
      <c r="Z12" s="135" t="s">
        <v>475</v>
      </c>
      <c r="AA12" s="135">
        <v>2976</v>
      </c>
      <c r="AB12" s="249">
        <v>18.599999999999934</v>
      </c>
      <c r="AC12" s="135"/>
      <c r="AD12" s="245"/>
      <c r="AE12" s="3"/>
    </row>
    <row r="13" spans="1:57">
      <c r="A13" s="241">
        <f t="shared" si="1"/>
        <v>12</v>
      </c>
      <c r="B13" s="255">
        <v>45745</v>
      </c>
      <c r="C13" s="252">
        <v>2025</v>
      </c>
      <c r="D13" s="252">
        <f>YEAR(WTG_BD[[#This Row],[Date]])</f>
        <v>2025</v>
      </c>
      <c r="E13" s="251">
        <f t="shared" si="0"/>
        <v>45717</v>
      </c>
      <c r="F13" s="252" t="s">
        <v>465</v>
      </c>
      <c r="G13" s="248" t="s">
        <v>149</v>
      </c>
      <c r="H13" s="242" t="str">
        <f>IFERROR(VLOOKUP(WTG_BD[[#This Row],[Affected WTG]],'Basic Data'!$A$3:$E$56,2,0),"")</f>
        <v>PWEGPL</v>
      </c>
      <c r="I13" s="242" t="str">
        <f>IFERROR(VLOOKUP(WTG_BD[[#This Row],[Affected WTG]],'Basic Data'!$A$3:$E$56,3,0),"")</f>
        <v>MSEDCL</v>
      </c>
      <c r="J13" s="243">
        <f>IFERROR(VLOOKUP(WTG_BD[[#This Row],[Affected WTG]],'Basic Data'!$A$3:$E$56,5,0),"")</f>
        <v>2.564102564102564E-2</v>
      </c>
      <c r="K13" s="158">
        <v>812</v>
      </c>
      <c r="L13" s="247" t="str">
        <f>VLOOKUP(K13,'Basic Data'!T:U,2,0)</f>
        <v>Blade Position Meas. Error</v>
      </c>
      <c r="M13" s="135" t="s">
        <v>472</v>
      </c>
      <c r="N13" s="256">
        <v>0.38541666666666669</v>
      </c>
      <c r="O13" s="256">
        <v>0.38541666666666669</v>
      </c>
      <c r="P13" s="256">
        <v>0.3888888888888889</v>
      </c>
      <c r="Q13" s="253">
        <f>IF(WTG_BD[[#This Row],[Work Start TimeStamp]]="","",(WTG_BD[[#This Row],[Work Start TimeStamp]]-WTG_BD[[#This Row],[Fault Start TimeStamp]])*24)</f>
        <v>0</v>
      </c>
      <c r="R13" s="253">
        <f>(WTG_BD[[#This Row],[Fault Clearance time]]-WTG_BD[[#This Row],[Work Start TimeStamp]])*24</f>
        <v>8.3333333333333037E-2</v>
      </c>
      <c r="S13" s="253">
        <f>(WTG_BD[[#This Row],[Fault Clearance time]]-WTG_BD[[#This Row],[Fault Start TimeStamp]])*24</f>
        <v>8.3333333333333037E-2</v>
      </c>
      <c r="T13" s="135" t="s">
        <v>476</v>
      </c>
      <c r="U13" s="244" t="s">
        <v>474</v>
      </c>
      <c r="V13" s="246">
        <f>WTG_BD[[#This Row],[Breakdown Time]]*(1/39)</f>
        <v>2.1367521367521292E-3</v>
      </c>
      <c r="W13" s="244" t="s">
        <v>150</v>
      </c>
      <c r="X13" s="250">
        <v>9.7847222222221877</v>
      </c>
      <c r="Y13" s="135" t="s">
        <v>470</v>
      </c>
      <c r="Z13" s="135" t="s">
        <v>475</v>
      </c>
      <c r="AA13" s="135">
        <v>2818</v>
      </c>
      <c r="AB13" s="249">
        <v>9.7847222222221877</v>
      </c>
      <c r="AC13" s="135"/>
      <c r="AD13" s="245"/>
      <c r="AE13" s="3"/>
    </row>
    <row r="14" spans="1:57">
      <c r="A14" s="241">
        <f t="shared" si="1"/>
        <v>13</v>
      </c>
      <c r="B14" s="255">
        <v>45745</v>
      </c>
      <c r="C14" s="252">
        <v>2025</v>
      </c>
      <c r="D14" s="252">
        <f>YEAR(WTG_BD[[#This Row],[Date]])</f>
        <v>2025</v>
      </c>
      <c r="E14" s="251">
        <f t="shared" si="0"/>
        <v>45717</v>
      </c>
      <c r="F14" s="252" t="s">
        <v>465</v>
      </c>
      <c r="G14" s="248" t="s">
        <v>149</v>
      </c>
      <c r="H14" s="242" t="str">
        <f>IFERROR(VLOOKUP(WTG_BD[[#This Row],[Affected WTG]],'Basic Data'!$A$3:$E$56,2,0),"")</f>
        <v>PWEGPL</v>
      </c>
      <c r="I14" s="242" t="str">
        <f>IFERROR(VLOOKUP(WTG_BD[[#This Row],[Affected WTG]],'Basic Data'!$A$3:$E$56,3,0),"")</f>
        <v>MSEDCL</v>
      </c>
      <c r="J14" s="243">
        <f>IFERROR(VLOOKUP(WTG_BD[[#This Row],[Affected WTG]],'Basic Data'!$A$3:$E$56,5,0),"")</f>
        <v>2.564102564102564E-2</v>
      </c>
      <c r="K14" s="158">
        <v>812</v>
      </c>
      <c r="L14" s="247" t="str">
        <f>VLOOKUP(K14,'Basic Data'!T:U,2,0)</f>
        <v>Blade Position Meas. Error</v>
      </c>
      <c r="M14" s="135" t="s">
        <v>472</v>
      </c>
      <c r="N14" s="256">
        <v>0.42777777777777776</v>
      </c>
      <c r="O14" s="256">
        <v>0.42777777777777776</v>
      </c>
      <c r="P14" s="256">
        <v>0.43125000000000002</v>
      </c>
      <c r="Q14" s="253">
        <f>IF(WTG_BD[[#This Row],[Work Start TimeStamp]]="","",(WTG_BD[[#This Row],[Work Start TimeStamp]]-WTG_BD[[#This Row],[Fault Start TimeStamp]])*24)</f>
        <v>0</v>
      </c>
      <c r="R14" s="253">
        <f>(WTG_BD[[#This Row],[Fault Clearance time]]-WTG_BD[[#This Row],[Work Start TimeStamp]])*24</f>
        <v>8.333333333333437E-2</v>
      </c>
      <c r="S14" s="253">
        <f>(WTG_BD[[#This Row],[Fault Clearance time]]-WTG_BD[[#This Row],[Fault Start TimeStamp]])*24</f>
        <v>8.333333333333437E-2</v>
      </c>
      <c r="T14" s="135" t="s">
        <v>476</v>
      </c>
      <c r="U14" s="244" t="s">
        <v>474</v>
      </c>
      <c r="V14" s="246">
        <f>WTG_BD[[#This Row],[Breakdown Time]]*(1/39)</f>
        <v>2.1367521367521634E-3</v>
      </c>
      <c r="W14" s="244" t="s">
        <v>150</v>
      </c>
      <c r="X14" s="250">
        <v>9.784722222222344</v>
      </c>
      <c r="Y14" s="135" t="s">
        <v>470</v>
      </c>
      <c r="Z14" s="135" t="s">
        <v>475</v>
      </c>
      <c r="AA14" s="135">
        <v>2818</v>
      </c>
      <c r="AB14" s="249">
        <v>9.784722222222344</v>
      </c>
      <c r="AC14" s="135"/>
      <c r="AD14" s="245"/>
      <c r="AE14" s="3"/>
    </row>
    <row r="15" spans="1:57">
      <c r="A15" s="241">
        <f t="shared" si="1"/>
        <v>14</v>
      </c>
      <c r="B15" s="255">
        <v>45745</v>
      </c>
      <c r="C15" s="252">
        <v>2025</v>
      </c>
      <c r="D15" s="252">
        <f>YEAR(WTG_BD[[#This Row],[Date]])</f>
        <v>2025</v>
      </c>
      <c r="E15" s="251">
        <f t="shared" si="0"/>
        <v>45717</v>
      </c>
      <c r="F15" s="252" t="s">
        <v>465</v>
      </c>
      <c r="G15" s="248" t="s">
        <v>149</v>
      </c>
      <c r="H15" s="242" t="str">
        <f>IFERROR(VLOOKUP(WTG_BD[[#This Row],[Affected WTG]],'Basic Data'!$A$3:$E$56,2,0),"")</f>
        <v>PWEGPL</v>
      </c>
      <c r="I15" s="242" t="str">
        <f>IFERROR(VLOOKUP(WTG_BD[[#This Row],[Affected WTG]],'Basic Data'!$A$3:$E$56,3,0),"")</f>
        <v>MSEDCL</v>
      </c>
      <c r="J15" s="243">
        <f>IFERROR(VLOOKUP(WTG_BD[[#This Row],[Affected WTG]],'Basic Data'!$A$3:$E$56,5,0),"")</f>
        <v>2.564102564102564E-2</v>
      </c>
      <c r="K15" s="158">
        <v>812</v>
      </c>
      <c r="L15" s="247" t="str">
        <f>VLOOKUP(K15,'Basic Data'!T:U,2,0)</f>
        <v>Blade Position Meas. Error</v>
      </c>
      <c r="M15" s="135" t="s">
        <v>472</v>
      </c>
      <c r="N15" s="256">
        <v>0.45416666666666666</v>
      </c>
      <c r="O15" s="256">
        <v>0.45416666666666666</v>
      </c>
      <c r="P15" s="256">
        <v>0.45763888888888887</v>
      </c>
      <c r="Q15" s="253">
        <f>IF(WTG_BD[[#This Row],[Work Start TimeStamp]]="","",(WTG_BD[[#This Row],[Work Start TimeStamp]]-WTG_BD[[#This Row],[Fault Start TimeStamp]])*24)</f>
        <v>0</v>
      </c>
      <c r="R15" s="253">
        <f>(WTG_BD[[#This Row],[Fault Clearance time]]-WTG_BD[[#This Row],[Work Start TimeStamp]])*24</f>
        <v>8.3333333333333037E-2</v>
      </c>
      <c r="S15" s="253">
        <f>(WTG_BD[[#This Row],[Fault Clearance time]]-WTG_BD[[#This Row],[Fault Start TimeStamp]])*24</f>
        <v>8.3333333333333037E-2</v>
      </c>
      <c r="T15" s="135" t="s">
        <v>476</v>
      </c>
      <c r="U15" s="244" t="s">
        <v>474</v>
      </c>
      <c r="V15" s="246">
        <f>WTG_BD[[#This Row],[Breakdown Time]]*(1/39)</f>
        <v>2.1367521367521292E-3</v>
      </c>
      <c r="W15" s="244" t="s">
        <v>150</v>
      </c>
      <c r="X15" s="250">
        <v>9.7847222222221877</v>
      </c>
      <c r="Y15" s="135" t="s">
        <v>470</v>
      </c>
      <c r="Z15" s="135" t="s">
        <v>475</v>
      </c>
      <c r="AA15" s="135">
        <v>2818</v>
      </c>
      <c r="AB15" s="249">
        <v>9.7847222222221877</v>
      </c>
      <c r="AC15" s="135"/>
      <c r="AD15" s="245"/>
      <c r="AE15" s="3"/>
    </row>
    <row r="16" spans="1:57">
      <c r="A16" s="241">
        <f t="shared" si="1"/>
        <v>15</v>
      </c>
      <c r="B16" s="255">
        <v>45745</v>
      </c>
      <c r="C16" s="252">
        <v>2025</v>
      </c>
      <c r="D16" s="252">
        <f>YEAR(WTG_BD[[#This Row],[Date]])</f>
        <v>2025</v>
      </c>
      <c r="E16" s="251">
        <f t="shared" si="0"/>
        <v>45717</v>
      </c>
      <c r="F16" s="252" t="s">
        <v>465</v>
      </c>
      <c r="G16" s="248" t="s">
        <v>149</v>
      </c>
      <c r="H16" s="242" t="str">
        <f>IFERROR(VLOOKUP(WTG_BD[[#This Row],[Affected WTG]],'Basic Data'!$A$3:$E$56,2,0),"")</f>
        <v>PWEGPL</v>
      </c>
      <c r="I16" s="242" t="str">
        <f>IFERROR(VLOOKUP(WTG_BD[[#This Row],[Affected WTG]],'Basic Data'!$A$3:$E$56,3,0),"")</f>
        <v>MSEDCL</v>
      </c>
      <c r="J16" s="243">
        <f>IFERROR(VLOOKUP(WTG_BD[[#This Row],[Affected WTG]],'Basic Data'!$A$3:$E$56,5,0),"")</f>
        <v>2.564102564102564E-2</v>
      </c>
      <c r="K16" s="158">
        <v>812</v>
      </c>
      <c r="L16" s="247" t="str">
        <f>VLOOKUP(K16,'Basic Data'!T:U,2,0)</f>
        <v>Blade Position Meas. Error</v>
      </c>
      <c r="M16" s="135" t="s">
        <v>472</v>
      </c>
      <c r="N16" s="256">
        <v>0.48888888888888887</v>
      </c>
      <c r="O16" s="256">
        <v>0.48888888888888887</v>
      </c>
      <c r="P16" s="256">
        <v>0.56180555555555556</v>
      </c>
      <c r="Q16" s="253">
        <f>IF(WTG_BD[[#This Row],[Work Start TimeStamp]]="","",(WTG_BD[[#This Row],[Work Start TimeStamp]]-WTG_BD[[#This Row],[Fault Start TimeStamp]])*24)</f>
        <v>0</v>
      </c>
      <c r="R16" s="253">
        <f>(WTG_BD[[#This Row],[Fault Clearance time]]-WTG_BD[[#This Row],[Work Start TimeStamp]])*24</f>
        <v>1.7500000000000004</v>
      </c>
      <c r="S16" s="253">
        <f>(WTG_BD[[#This Row],[Fault Clearance time]]-WTG_BD[[#This Row],[Fault Start TimeStamp]])*24</f>
        <v>1.7500000000000004</v>
      </c>
      <c r="T16" s="135" t="s">
        <v>473</v>
      </c>
      <c r="U16" s="244" t="s">
        <v>474</v>
      </c>
      <c r="V16" s="246">
        <f>WTG_BD[[#This Row],[Breakdown Time]]*(1/39)</f>
        <v>4.4871794871794879E-2</v>
      </c>
      <c r="W16" s="244" t="s">
        <v>150</v>
      </c>
      <c r="X16" s="250">
        <v>205.47916666666671</v>
      </c>
      <c r="Y16" s="135" t="s">
        <v>470</v>
      </c>
      <c r="Z16" s="135" t="s">
        <v>475</v>
      </c>
      <c r="AA16" s="135">
        <v>2818</v>
      </c>
      <c r="AB16" s="249">
        <v>205.47916666666671</v>
      </c>
      <c r="AC16" s="135"/>
      <c r="AD16" s="245"/>
      <c r="AE16" s="3"/>
    </row>
    <row r="17" spans="1:31">
      <c r="A17" s="241">
        <f t="shared" si="1"/>
        <v>16</v>
      </c>
      <c r="B17" s="255">
        <v>45745</v>
      </c>
      <c r="C17" s="252">
        <v>2025</v>
      </c>
      <c r="D17" s="252">
        <f>YEAR(WTG_BD[[#This Row],[Date]])</f>
        <v>2025</v>
      </c>
      <c r="E17" s="251">
        <f t="shared" si="0"/>
        <v>45717</v>
      </c>
      <c r="F17" s="252" t="s">
        <v>465</v>
      </c>
      <c r="G17" s="248" t="s">
        <v>149</v>
      </c>
      <c r="H17" s="242" t="str">
        <f>IFERROR(VLOOKUP(WTG_BD[[#This Row],[Affected WTG]],'Basic Data'!$A$3:$E$56,2,0),"")</f>
        <v>PWEGPL</v>
      </c>
      <c r="I17" s="242" t="str">
        <f>IFERROR(VLOOKUP(WTG_BD[[#This Row],[Affected WTG]],'Basic Data'!$A$3:$E$56,3,0),"")</f>
        <v>MSEDCL</v>
      </c>
      <c r="J17" s="243">
        <f>IFERROR(VLOOKUP(WTG_BD[[#This Row],[Affected WTG]],'Basic Data'!$A$3:$E$56,5,0),"")</f>
        <v>2.564102564102564E-2</v>
      </c>
      <c r="K17" s="158">
        <v>812</v>
      </c>
      <c r="L17" s="247" t="str">
        <f>VLOOKUP(K17,'Basic Data'!T:U,2,0)</f>
        <v>Blade Position Meas. Error</v>
      </c>
      <c r="M17" s="135" t="s">
        <v>472</v>
      </c>
      <c r="N17" s="256">
        <v>0.62777777777777777</v>
      </c>
      <c r="O17" s="256">
        <v>0.64444444444444449</v>
      </c>
      <c r="P17" s="256">
        <v>0.73819444444444449</v>
      </c>
      <c r="Q17" s="253">
        <f>IF(WTG_BD[[#This Row],[Work Start TimeStamp]]="","",(WTG_BD[[#This Row],[Work Start TimeStamp]]-WTG_BD[[#This Row],[Fault Start TimeStamp]])*24)</f>
        <v>0.40000000000000124</v>
      </c>
      <c r="R17" s="253">
        <f>(WTG_BD[[#This Row],[Fault Clearance time]]-WTG_BD[[#This Row],[Work Start TimeStamp]])*24</f>
        <v>2.25</v>
      </c>
      <c r="S17" s="253">
        <f>(WTG_BD[[#This Row],[Fault Clearance time]]-WTG_BD[[#This Row],[Fault Start TimeStamp]])*24</f>
        <v>2.6500000000000012</v>
      </c>
      <c r="T17" s="135" t="s">
        <v>479</v>
      </c>
      <c r="U17" s="244" t="s">
        <v>474</v>
      </c>
      <c r="V17" s="246">
        <f>WTG_BD[[#This Row],[Breakdown Time]]*(1/39)</f>
        <v>6.7948717948717985E-2</v>
      </c>
      <c r="W17" s="244" t="s">
        <v>150</v>
      </c>
      <c r="X17" s="250">
        <v>311.15416666666681</v>
      </c>
      <c r="Y17" s="135" t="s">
        <v>470</v>
      </c>
      <c r="Z17" s="135" t="s">
        <v>475</v>
      </c>
      <c r="AA17" s="135">
        <v>2818</v>
      </c>
      <c r="AB17" s="249">
        <v>311.15416666666681</v>
      </c>
      <c r="AC17" s="135"/>
      <c r="AD17" s="245"/>
      <c r="AE17" s="3"/>
    </row>
    <row r="18" spans="1:31">
      <c r="A18" s="241">
        <f t="shared" si="1"/>
        <v>17</v>
      </c>
      <c r="B18" s="255">
        <v>45746</v>
      </c>
      <c r="C18" s="252">
        <v>2025</v>
      </c>
      <c r="D18" s="252">
        <f>YEAR(WTG_BD[[#This Row],[Date]])</f>
        <v>2025</v>
      </c>
      <c r="E18" s="251">
        <f t="shared" si="0"/>
        <v>45717</v>
      </c>
      <c r="F18" s="252" t="s">
        <v>465</v>
      </c>
      <c r="G18" s="248" t="s">
        <v>144</v>
      </c>
      <c r="H18" s="242" t="str">
        <f>IFERROR(VLOOKUP(WTG_BD[[#This Row],[Affected WTG]],'Basic Data'!$A$3:$E$56,2,0),"")</f>
        <v>PWEGPL</v>
      </c>
      <c r="I18" s="242" t="str">
        <f>IFERROR(VLOOKUP(WTG_BD[[#This Row],[Affected WTG]],'Basic Data'!$A$3:$E$56,3,0),"")</f>
        <v>MSEDCL</v>
      </c>
      <c r="J18" s="243">
        <f>IFERROR(VLOOKUP(WTG_BD[[#This Row],[Affected WTG]],'Basic Data'!$A$3:$E$56,5,0),"")</f>
        <v>2.564102564102564E-2</v>
      </c>
      <c r="K18" s="158" t="s">
        <v>466</v>
      </c>
      <c r="L18" s="247" t="str">
        <f>VLOOKUP(K18,'Basic Data'!T:U,2,0)</f>
        <v>Manual Stop - Safety Related</v>
      </c>
      <c r="M18" s="135" t="s">
        <v>467</v>
      </c>
      <c r="N18" s="256">
        <v>0</v>
      </c>
      <c r="O18" s="256">
        <v>0.99930555555555556</v>
      </c>
      <c r="P18" s="256">
        <v>0.99930555555555556</v>
      </c>
      <c r="Q18" s="253">
        <f>IF(WTG_BD[[#This Row],[Work Start TimeStamp]]="","",(WTG_BD[[#This Row],[Work Start TimeStamp]]-WTG_BD[[#This Row],[Fault Start TimeStamp]])*24)</f>
        <v>23.983333333333334</v>
      </c>
      <c r="R18" s="253">
        <f>(WTG_BD[[#This Row],[Fault Clearance time]]-WTG_BD[[#This Row],[Work Start TimeStamp]])*24</f>
        <v>0</v>
      </c>
      <c r="S18" s="253">
        <f>(WTG_BD[[#This Row],[Fault Clearance time]]-WTG_BD[[#This Row],[Fault Start TimeStamp]])*24</f>
        <v>23.983333333333334</v>
      </c>
      <c r="T18" s="135" t="s">
        <v>468</v>
      </c>
      <c r="U18" s="244" t="s">
        <v>469</v>
      </c>
      <c r="V18" s="246">
        <f>WTG_BD[[#This Row],[Breakdown Time]]*(1/39)</f>
        <v>0.61495726495726499</v>
      </c>
      <c r="W18" s="244" t="s">
        <v>141</v>
      </c>
      <c r="X18" s="250">
        <v>1550.9222222222224</v>
      </c>
      <c r="Y18" s="135" t="s">
        <v>470</v>
      </c>
      <c r="Z18" s="135" t="s">
        <v>471</v>
      </c>
      <c r="AA18" s="135">
        <v>1552</v>
      </c>
      <c r="AB18" s="249">
        <v>1550.9222222222224</v>
      </c>
      <c r="AC18" s="135"/>
      <c r="AD18" s="245"/>
      <c r="AE18" s="3"/>
    </row>
    <row r="19" spans="1:31">
      <c r="A19" s="241">
        <f t="shared" si="1"/>
        <v>18</v>
      </c>
      <c r="B19" s="255">
        <v>45746</v>
      </c>
      <c r="C19" s="252">
        <v>2025</v>
      </c>
      <c r="D19" s="252">
        <f>YEAR(WTG_BD[[#This Row],[Date]])</f>
        <v>2025</v>
      </c>
      <c r="E19" s="251">
        <f t="shared" si="0"/>
        <v>45717</v>
      </c>
      <c r="F19" s="252" t="s">
        <v>465</v>
      </c>
      <c r="G19" s="248" t="s">
        <v>142</v>
      </c>
      <c r="H19" s="242" t="str">
        <f>IFERROR(VLOOKUP(WTG_BD[[#This Row],[Affected WTG]],'Basic Data'!$A$3:$E$56,2,0),"")</f>
        <v>PWEGPL</v>
      </c>
      <c r="I19" s="242" t="str">
        <f>IFERROR(VLOOKUP(WTG_BD[[#This Row],[Affected WTG]],'Basic Data'!$A$3:$E$56,3,0),"")</f>
        <v>MSEDCL</v>
      </c>
      <c r="J19" s="243">
        <f>IFERROR(VLOOKUP(WTG_BD[[#This Row],[Affected WTG]],'Basic Data'!$A$3:$E$56,5,0),"")</f>
        <v>2.564102564102564E-2</v>
      </c>
      <c r="K19" s="158" t="s">
        <v>466</v>
      </c>
      <c r="L19" s="247" t="str">
        <f>VLOOKUP(K19,'Basic Data'!T:U,2,0)</f>
        <v>Manual Stop - Safety Related</v>
      </c>
      <c r="M19" s="135" t="s">
        <v>467</v>
      </c>
      <c r="N19" s="256">
        <v>0</v>
      </c>
      <c r="O19" s="256">
        <v>0.99930555555555556</v>
      </c>
      <c r="P19" s="256">
        <v>0.99930555555555556</v>
      </c>
      <c r="Q19" s="253">
        <f>IF(WTG_BD[[#This Row],[Work Start TimeStamp]]="","",(WTG_BD[[#This Row],[Work Start TimeStamp]]-WTG_BD[[#This Row],[Fault Start TimeStamp]])*24)</f>
        <v>23.983333333333334</v>
      </c>
      <c r="R19" s="253">
        <f>(WTG_BD[[#This Row],[Fault Clearance time]]-WTG_BD[[#This Row],[Work Start TimeStamp]])*24</f>
        <v>0</v>
      </c>
      <c r="S19" s="253">
        <f>(WTG_BD[[#This Row],[Fault Clearance time]]-WTG_BD[[#This Row],[Fault Start TimeStamp]])*24</f>
        <v>23.983333333333334</v>
      </c>
      <c r="T19" s="135" t="s">
        <v>468</v>
      </c>
      <c r="U19" s="244" t="s">
        <v>469</v>
      </c>
      <c r="V19" s="246">
        <f>WTG_BD[[#This Row],[Breakdown Time]]*(1/39)</f>
        <v>0.61495726495726499</v>
      </c>
      <c r="W19" s="244" t="s">
        <v>141</v>
      </c>
      <c r="X19" s="250">
        <v>1550.9222222222224</v>
      </c>
      <c r="Y19" s="135" t="s">
        <v>470</v>
      </c>
      <c r="Z19" s="135" t="s">
        <v>471</v>
      </c>
      <c r="AA19" s="135">
        <v>1552</v>
      </c>
      <c r="AB19" s="249">
        <v>1550.9222222222224</v>
      </c>
      <c r="AC19" s="135"/>
      <c r="AD19" s="245"/>
      <c r="AE19" s="3"/>
    </row>
    <row r="20" spans="1:31">
      <c r="A20" s="241">
        <f t="shared" si="1"/>
        <v>19</v>
      </c>
      <c r="B20" s="255">
        <v>45746</v>
      </c>
      <c r="C20" s="252">
        <v>2025</v>
      </c>
      <c r="D20" s="252">
        <f>YEAR(WTG_BD[[#This Row],[Date]])</f>
        <v>2025</v>
      </c>
      <c r="E20" s="251">
        <f t="shared" si="0"/>
        <v>45717</v>
      </c>
      <c r="F20" s="252" t="s">
        <v>465</v>
      </c>
      <c r="G20" s="248" t="s">
        <v>115</v>
      </c>
      <c r="H20" s="242" t="str">
        <f>IFERROR(VLOOKUP(WTG_BD[[#This Row],[Affected WTG]],'Basic Data'!$A$3:$E$56,2,0),"")</f>
        <v>PWEGPL</v>
      </c>
      <c r="I20" s="242" t="str">
        <f>IFERROR(VLOOKUP(WTG_BD[[#This Row],[Affected WTG]],'Basic Data'!$A$3:$E$56,3,0),"")</f>
        <v>MSEDCL</v>
      </c>
      <c r="J20" s="243">
        <f>IFERROR(VLOOKUP(WTG_BD[[#This Row],[Affected WTG]],'Basic Data'!$A$3:$E$56,5,0),"")</f>
        <v>2.564102564102564E-2</v>
      </c>
      <c r="K20" s="158">
        <v>125</v>
      </c>
      <c r="L20" s="247" t="str">
        <f>VLOOKUP(K20,'Basic Data'!T:U,2,0)</f>
        <v xml:space="preserve">Yaw Motors Over Current Protection </v>
      </c>
      <c r="M20" s="135" t="s">
        <v>472</v>
      </c>
      <c r="N20" s="256">
        <v>0.49027777777777776</v>
      </c>
      <c r="O20" s="256">
        <v>0.58888888888888891</v>
      </c>
      <c r="P20" s="256">
        <v>0.77916666666666667</v>
      </c>
      <c r="Q20" s="253">
        <f>IF(WTG_BD[[#This Row],[Work Start TimeStamp]]="","",(WTG_BD[[#This Row],[Work Start TimeStamp]]-WTG_BD[[#This Row],[Fault Start TimeStamp]])*24)</f>
        <v>2.3666666666666676</v>
      </c>
      <c r="R20" s="253">
        <f>(WTG_BD[[#This Row],[Fault Clearance time]]-WTG_BD[[#This Row],[Work Start TimeStamp]])*24</f>
        <v>4.5666666666666664</v>
      </c>
      <c r="S20" s="253">
        <f>(WTG_BD[[#This Row],[Fault Clearance time]]-WTG_BD[[#This Row],[Fault Start TimeStamp]])*24</f>
        <v>6.9333333333333336</v>
      </c>
      <c r="T20" s="135" t="s">
        <v>480</v>
      </c>
      <c r="U20" s="244" t="s">
        <v>474</v>
      </c>
      <c r="V20" s="246">
        <f>WTG_BD[[#This Row],[Breakdown Time]]*(1/39)</f>
        <v>0.17777777777777778</v>
      </c>
      <c r="W20" s="244" t="s">
        <v>121</v>
      </c>
      <c r="X20" s="250">
        <v>1053</v>
      </c>
      <c r="Y20" s="135" t="s">
        <v>470</v>
      </c>
      <c r="Z20" s="135" t="s">
        <v>475</v>
      </c>
      <c r="AA20" s="135">
        <v>3645</v>
      </c>
      <c r="AB20" s="249">
        <v>1053</v>
      </c>
      <c r="AC20" s="135"/>
      <c r="AD20" s="245"/>
      <c r="AE20" s="3"/>
    </row>
    <row r="21" spans="1:31">
      <c r="A21" s="241">
        <f t="shared" si="1"/>
        <v>20</v>
      </c>
      <c r="B21" s="255">
        <v>45746</v>
      </c>
      <c r="C21" s="252">
        <v>2025</v>
      </c>
      <c r="D21" s="252">
        <f>YEAR(WTG_BD[[#This Row],[Date]])</f>
        <v>2025</v>
      </c>
      <c r="E21" s="251">
        <f t="shared" si="0"/>
        <v>45717</v>
      </c>
      <c r="F21" s="252" t="s">
        <v>465</v>
      </c>
      <c r="G21" s="248" t="s">
        <v>116</v>
      </c>
      <c r="H21" s="242" t="str">
        <f>IFERROR(VLOOKUP(WTG_BD[[#This Row],[Affected WTG]],'Basic Data'!$A$3:$E$56,2,0),"")</f>
        <v>PWEGPL</v>
      </c>
      <c r="I21" s="242" t="str">
        <f>IFERROR(VLOOKUP(WTG_BD[[#This Row],[Affected WTG]],'Basic Data'!$A$3:$E$56,3,0),"")</f>
        <v>MSEDCL</v>
      </c>
      <c r="J21" s="243">
        <f>IFERROR(VLOOKUP(WTG_BD[[#This Row],[Affected WTG]],'Basic Data'!$A$3:$E$56,5,0),"")</f>
        <v>2.564102564102564E-2</v>
      </c>
      <c r="K21" s="158">
        <v>5203</v>
      </c>
      <c r="L21" s="247" t="str">
        <f>VLOOKUP(K21,'Basic Data'!T:U,2,0)</f>
        <v>Heating/Coolant Thermal Magnetic Failure</v>
      </c>
      <c r="M21" s="135" t="s">
        <v>472</v>
      </c>
      <c r="N21" s="256">
        <v>9.583333333333334E-2</v>
      </c>
      <c r="O21" s="256">
        <v>0.12708333333333333</v>
      </c>
      <c r="P21" s="256">
        <v>0.32569444444444445</v>
      </c>
      <c r="Q21" s="253">
        <f>IF(WTG_BD[[#This Row],[Work Start TimeStamp]]="","",(WTG_BD[[#This Row],[Work Start TimeStamp]]-WTG_BD[[#This Row],[Fault Start TimeStamp]])*24)</f>
        <v>0.74999999999999967</v>
      </c>
      <c r="R21" s="253">
        <f>(WTG_BD[[#This Row],[Fault Clearance time]]-WTG_BD[[#This Row],[Work Start TimeStamp]])*24</f>
        <v>4.7666666666666675</v>
      </c>
      <c r="S21" s="253">
        <f>(WTG_BD[[#This Row],[Fault Clearance time]]-WTG_BD[[#This Row],[Fault Start TimeStamp]])*24</f>
        <v>5.5166666666666675</v>
      </c>
      <c r="T21" s="135" t="s">
        <v>481</v>
      </c>
      <c r="U21" s="244" t="s">
        <v>474</v>
      </c>
      <c r="V21" s="246">
        <f>WTG_BD[[#This Row],[Breakdown Time]]*(1/39)</f>
        <v>0.14145299145299148</v>
      </c>
      <c r="W21" s="244" t="s">
        <v>118</v>
      </c>
      <c r="X21" s="250">
        <v>766.81666666666683</v>
      </c>
      <c r="Y21" s="135" t="s">
        <v>470</v>
      </c>
      <c r="Z21" s="135" t="s">
        <v>475</v>
      </c>
      <c r="AA21" s="135">
        <v>3336</v>
      </c>
      <c r="AB21" s="249">
        <v>766.81666666666683</v>
      </c>
      <c r="AC21" s="135"/>
      <c r="AD21" s="245"/>
      <c r="AE21" s="3"/>
    </row>
    <row r="22" spans="1:31">
      <c r="A22" s="241">
        <f t="shared" si="1"/>
        <v>21</v>
      </c>
      <c r="B22" s="255">
        <v>45746</v>
      </c>
      <c r="C22" s="252">
        <v>2025</v>
      </c>
      <c r="D22" s="252">
        <f>YEAR(WTG_BD[[#This Row],[Date]])</f>
        <v>2025</v>
      </c>
      <c r="E22" s="251">
        <f t="shared" si="0"/>
        <v>45717</v>
      </c>
      <c r="F22" s="252" t="s">
        <v>465</v>
      </c>
      <c r="G22" s="248" t="s">
        <v>118</v>
      </c>
      <c r="H22" s="242" t="str">
        <f>IFERROR(VLOOKUP(WTG_BD[[#This Row],[Affected WTG]],'Basic Data'!$A$3:$E$56,2,0),"")</f>
        <v>PWEGPL</v>
      </c>
      <c r="I22" s="242" t="str">
        <f>IFERROR(VLOOKUP(WTG_BD[[#This Row],[Affected WTG]],'Basic Data'!$A$3:$E$56,3,0),"")</f>
        <v>MSEDCL</v>
      </c>
      <c r="J22" s="243">
        <f>IFERROR(VLOOKUP(WTG_BD[[#This Row],[Affected WTG]],'Basic Data'!$A$3:$E$56,5,0),"")</f>
        <v>2.564102564102564E-2</v>
      </c>
      <c r="K22" s="158">
        <v>5200</v>
      </c>
      <c r="L22" s="247" t="str">
        <f>VLOOKUP(K22,'Basic Data'!T:U,2,0)</f>
        <v>Magnetothermic Trigger Of The Line Protection</v>
      </c>
      <c r="M22" s="135" t="s">
        <v>472</v>
      </c>
      <c r="N22" s="256">
        <v>0.61736111111111114</v>
      </c>
      <c r="O22" s="256">
        <v>0.61736111111111114</v>
      </c>
      <c r="P22" s="256">
        <v>0.625</v>
      </c>
      <c r="Q22" s="253">
        <f>IF(WTG_BD[[#This Row],[Work Start TimeStamp]]="","",(WTG_BD[[#This Row],[Work Start TimeStamp]]-WTG_BD[[#This Row],[Fault Start TimeStamp]])*24)</f>
        <v>0</v>
      </c>
      <c r="R22" s="253">
        <f>(WTG_BD[[#This Row],[Fault Clearance time]]-WTG_BD[[#This Row],[Work Start TimeStamp]])*24</f>
        <v>0.18333333333333268</v>
      </c>
      <c r="S22" s="253">
        <f>(WTG_BD[[#This Row],[Fault Clearance time]]-WTG_BD[[#This Row],[Fault Start TimeStamp]])*24</f>
        <v>0.18333333333333268</v>
      </c>
      <c r="T22" s="135" t="s">
        <v>476</v>
      </c>
      <c r="U22" s="244" t="s">
        <v>474</v>
      </c>
      <c r="V22" s="246">
        <f>WTG_BD[[#This Row],[Breakdown Time]]*(1/39)</f>
        <v>4.7008547008546842E-3</v>
      </c>
      <c r="W22" s="244" t="s">
        <v>117</v>
      </c>
      <c r="X22" s="250">
        <v>16.576388888888832</v>
      </c>
      <c r="Y22" s="135" t="s">
        <v>470</v>
      </c>
      <c r="Z22" s="135" t="s">
        <v>475</v>
      </c>
      <c r="AA22" s="135">
        <v>2170</v>
      </c>
      <c r="AB22" s="249">
        <v>16.576388888888832</v>
      </c>
      <c r="AC22" s="135"/>
      <c r="AD22" s="245"/>
      <c r="AE22" s="3"/>
    </row>
    <row r="23" spans="1:31">
      <c r="A23" s="241">
        <f t="shared" si="1"/>
        <v>22</v>
      </c>
      <c r="B23" s="255">
        <v>45746</v>
      </c>
      <c r="C23" s="252">
        <v>2025</v>
      </c>
      <c r="D23" s="252">
        <f>YEAR(WTG_BD[[#This Row],[Date]])</f>
        <v>2025</v>
      </c>
      <c r="E23" s="251">
        <f t="shared" si="0"/>
        <v>45717</v>
      </c>
      <c r="F23" s="252" t="s">
        <v>465</v>
      </c>
      <c r="G23" s="248" t="s">
        <v>118</v>
      </c>
      <c r="H23" s="242" t="str">
        <f>IFERROR(VLOOKUP(WTG_BD[[#This Row],[Affected WTG]],'Basic Data'!$A$3:$E$56,2,0),"")</f>
        <v>PWEGPL</v>
      </c>
      <c r="I23" s="242" t="str">
        <f>IFERROR(VLOOKUP(WTG_BD[[#This Row],[Affected WTG]],'Basic Data'!$A$3:$E$56,3,0),"")</f>
        <v>MSEDCL</v>
      </c>
      <c r="J23" s="243">
        <f>IFERROR(VLOOKUP(WTG_BD[[#This Row],[Affected WTG]],'Basic Data'!$A$3:$E$56,5,0),"")</f>
        <v>2.564102564102564E-2</v>
      </c>
      <c r="K23" s="158">
        <v>5200</v>
      </c>
      <c r="L23" s="247" t="str">
        <f>VLOOKUP(K23,'Basic Data'!T:U,2,0)</f>
        <v>Magnetothermic Trigger Of The Line Protection</v>
      </c>
      <c r="M23" s="135" t="s">
        <v>472</v>
      </c>
      <c r="N23" s="256">
        <v>0.68194444444444446</v>
      </c>
      <c r="O23" s="256">
        <v>0.78888888888888886</v>
      </c>
      <c r="P23" s="256">
        <v>0.79097222222222219</v>
      </c>
      <c r="Q23" s="253">
        <f>IF(WTG_BD[[#This Row],[Work Start TimeStamp]]="","",(WTG_BD[[#This Row],[Work Start TimeStamp]]-WTG_BD[[#This Row],[Fault Start TimeStamp]])*24)</f>
        <v>2.5666666666666655</v>
      </c>
      <c r="R23" s="253">
        <f>(WTG_BD[[#This Row],[Fault Clearance time]]-WTG_BD[[#This Row],[Work Start TimeStamp]])*24</f>
        <v>4.9999999999999822E-2</v>
      </c>
      <c r="S23" s="253">
        <f>(WTG_BD[[#This Row],[Fault Clearance time]]-WTG_BD[[#This Row],[Fault Start TimeStamp]])*24</f>
        <v>2.6166666666666654</v>
      </c>
      <c r="T23" s="135" t="s">
        <v>482</v>
      </c>
      <c r="U23" s="244" t="s">
        <v>474</v>
      </c>
      <c r="V23" s="246">
        <f>WTG_BD[[#This Row],[Breakdown Time]]*(1/39)</f>
        <v>6.7094017094017064E-2</v>
      </c>
      <c r="W23" s="244" t="s">
        <v>117</v>
      </c>
      <c r="X23" s="250">
        <v>236.59027777777769</v>
      </c>
      <c r="Y23" s="135" t="s">
        <v>470</v>
      </c>
      <c r="Z23" s="135" t="s">
        <v>475</v>
      </c>
      <c r="AA23" s="135">
        <v>2170</v>
      </c>
      <c r="AB23" s="249">
        <v>236.59027777777769</v>
      </c>
      <c r="AC23" s="135"/>
      <c r="AD23" s="245"/>
      <c r="AE23" s="3"/>
    </row>
    <row r="24" spans="1:31">
      <c r="A24" s="241">
        <f t="shared" si="1"/>
        <v>23</v>
      </c>
      <c r="B24" s="255">
        <v>45746</v>
      </c>
      <c r="C24" s="252">
        <v>2025</v>
      </c>
      <c r="D24" s="252">
        <f>YEAR(WTG_BD[[#This Row],[Date]])</f>
        <v>2025</v>
      </c>
      <c r="E24" s="251">
        <f t="shared" si="0"/>
        <v>45717</v>
      </c>
      <c r="F24" s="252" t="s">
        <v>465</v>
      </c>
      <c r="G24" s="248" t="s">
        <v>140</v>
      </c>
      <c r="H24" s="242" t="str">
        <f>IFERROR(VLOOKUP(WTG_BD[[#This Row],[Affected WTG]],'Basic Data'!$A$3:$E$56,2,0),"")</f>
        <v>PWEGPL</v>
      </c>
      <c r="I24" s="242" t="str">
        <f>IFERROR(VLOOKUP(WTG_BD[[#This Row],[Affected WTG]],'Basic Data'!$A$3:$E$56,3,0),"")</f>
        <v>MSEDCL</v>
      </c>
      <c r="J24" s="243">
        <f>IFERROR(VLOOKUP(WTG_BD[[#This Row],[Affected WTG]],'Basic Data'!$A$3:$E$56,5,0),"")</f>
        <v>2.564102564102564E-2</v>
      </c>
      <c r="K24" s="158" t="s">
        <v>466</v>
      </c>
      <c r="L24" s="247" t="str">
        <f>VLOOKUP(K24,'Basic Data'!T:U,2,0)</f>
        <v>Manual Stop - Safety Related</v>
      </c>
      <c r="M24" s="135" t="s">
        <v>467</v>
      </c>
      <c r="N24" s="256">
        <v>0.51458333333333328</v>
      </c>
      <c r="O24" s="256">
        <v>0.51458333333333328</v>
      </c>
      <c r="P24" s="256">
        <v>0.71111111111111114</v>
      </c>
      <c r="Q24" s="253">
        <f>IF(WTG_BD[[#This Row],[Work Start TimeStamp]]="","",(WTG_BD[[#This Row],[Work Start TimeStamp]]-WTG_BD[[#This Row],[Fault Start TimeStamp]])*24)</f>
        <v>0</v>
      </c>
      <c r="R24" s="253">
        <f>(WTG_BD[[#This Row],[Fault Clearance time]]-WTG_BD[[#This Row],[Work Start TimeStamp]])*24</f>
        <v>4.7166666666666686</v>
      </c>
      <c r="S24" s="253">
        <f>(WTG_BD[[#This Row],[Fault Clearance time]]-WTG_BD[[#This Row],[Fault Start TimeStamp]])*24</f>
        <v>4.7166666666666686</v>
      </c>
      <c r="T24" s="135" t="s">
        <v>483</v>
      </c>
      <c r="U24" s="244" t="s">
        <v>474</v>
      </c>
      <c r="V24" s="246">
        <f>WTG_BD[[#This Row],[Breakdown Time]]*(1/39)</f>
        <v>0.12094017094017098</v>
      </c>
      <c r="W24" s="244" t="s">
        <v>138</v>
      </c>
      <c r="X24" s="250">
        <v>554.60138888888912</v>
      </c>
      <c r="Y24" s="135" t="s">
        <v>470</v>
      </c>
      <c r="Z24" s="135" t="s">
        <v>471</v>
      </c>
      <c r="AA24" s="135">
        <v>2822</v>
      </c>
      <c r="AB24" s="249">
        <v>554.60138888888912</v>
      </c>
      <c r="AC24" s="135"/>
      <c r="AD24" s="245"/>
      <c r="AE24" s="3"/>
    </row>
    <row r="25" spans="1:31">
      <c r="A25" s="241">
        <f t="shared" si="1"/>
        <v>24</v>
      </c>
      <c r="B25" s="255">
        <v>45746</v>
      </c>
      <c r="C25" s="252">
        <v>2025</v>
      </c>
      <c r="D25" s="252">
        <f>YEAR(WTG_BD[[#This Row],[Date]])</f>
        <v>2025</v>
      </c>
      <c r="E25" s="251">
        <f t="shared" si="0"/>
        <v>45717</v>
      </c>
      <c r="F25" s="252" t="s">
        <v>465</v>
      </c>
      <c r="G25" s="248" t="s">
        <v>141</v>
      </c>
      <c r="H25" s="242" t="str">
        <f>IFERROR(VLOOKUP(WTG_BD[[#This Row],[Affected WTG]],'Basic Data'!$A$3:$E$56,2,0),"")</f>
        <v>PWEGPL</v>
      </c>
      <c r="I25" s="242" t="str">
        <f>IFERROR(VLOOKUP(WTG_BD[[#This Row],[Affected WTG]],'Basic Data'!$A$3:$E$56,3,0),"")</f>
        <v>MSEDCL</v>
      </c>
      <c r="J25" s="243">
        <f>IFERROR(VLOOKUP(WTG_BD[[#This Row],[Affected WTG]],'Basic Data'!$A$3:$E$56,5,0),"")</f>
        <v>2.564102564102564E-2</v>
      </c>
      <c r="K25" s="158">
        <v>524</v>
      </c>
      <c r="L25" s="247" t="str">
        <f>VLOOKUP(K25,'Basic Data'!T:U,2,0)</f>
        <v>High Temperature Of The Control Module</v>
      </c>
      <c r="M25" s="135" t="s">
        <v>472</v>
      </c>
      <c r="N25" s="256">
        <v>3.125E-2</v>
      </c>
      <c r="O25" s="256">
        <v>7.6388888888888895E-2</v>
      </c>
      <c r="P25" s="256">
        <v>8.1944444444444445E-2</v>
      </c>
      <c r="Q25" s="253">
        <f>IF(WTG_BD[[#This Row],[Work Start TimeStamp]]="","",(WTG_BD[[#This Row],[Work Start TimeStamp]]-WTG_BD[[#This Row],[Fault Start TimeStamp]])*24)</f>
        <v>1.0833333333333335</v>
      </c>
      <c r="R25" s="253">
        <f>(WTG_BD[[#This Row],[Fault Clearance time]]-WTG_BD[[#This Row],[Work Start TimeStamp]])*24</f>
        <v>0.13333333333333319</v>
      </c>
      <c r="S25" s="253">
        <f>(WTG_BD[[#This Row],[Fault Clearance time]]-WTG_BD[[#This Row],[Fault Start TimeStamp]])*24</f>
        <v>1.2166666666666668</v>
      </c>
      <c r="T25" s="135" t="s">
        <v>482</v>
      </c>
      <c r="U25" s="244" t="s">
        <v>474</v>
      </c>
      <c r="V25" s="246">
        <f>WTG_BD[[#This Row],[Breakdown Time]]*(1/39)</f>
        <v>3.11965811965812E-2</v>
      </c>
      <c r="W25" s="244" t="s">
        <v>143</v>
      </c>
      <c r="X25" s="250">
        <v>137.48333333333335</v>
      </c>
      <c r="Y25" s="135" t="s">
        <v>470</v>
      </c>
      <c r="Z25" s="135" t="s">
        <v>475</v>
      </c>
      <c r="AA25" s="135">
        <v>2712</v>
      </c>
      <c r="AB25" s="249">
        <v>137.48333333333335</v>
      </c>
      <c r="AC25" s="135"/>
      <c r="AD25" s="245"/>
      <c r="AE25" s="3"/>
    </row>
    <row r="26" spans="1:31">
      <c r="A26" s="241">
        <f t="shared" si="1"/>
        <v>25</v>
      </c>
      <c r="B26" s="255">
        <v>45746</v>
      </c>
      <c r="C26" s="252">
        <v>2025</v>
      </c>
      <c r="D26" s="252">
        <f>YEAR(WTG_BD[[#This Row],[Date]])</f>
        <v>2025</v>
      </c>
      <c r="E26" s="251">
        <f t="shared" si="0"/>
        <v>45717</v>
      </c>
      <c r="F26" s="252" t="s">
        <v>465</v>
      </c>
      <c r="G26" s="248" t="s">
        <v>141</v>
      </c>
      <c r="H26" s="242" t="str">
        <f>IFERROR(VLOOKUP(WTG_BD[[#This Row],[Affected WTG]],'Basic Data'!$A$3:$E$56,2,0),"")</f>
        <v>PWEGPL</v>
      </c>
      <c r="I26" s="242" t="str">
        <f>IFERROR(VLOOKUP(WTG_BD[[#This Row],[Affected WTG]],'Basic Data'!$A$3:$E$56,3,0),"")</f>
        <v>MSEDCL</v>
      </c>
      <c r="J26" s="243">
        <f>IFERROR(VLOOKUP(WTG_BD[[#This Row],[Affected WTG]],'Basic Data'!$A$3:$E$56,5,0),"")</f>
        <v>2.564102564102564E-2</v>
      </c>
      <c r="K26" s="158">
        <v>524</v>
      </c>
      <c r="L26" s="247" t="str">
        <f>VLOOKUP(K26,'Basic Data'!T:U,2,0)</f>
        <v>High Temperature Of The Control Module</v>
      </c>
      <c r="M26" s="135" t="s">
        <v>472</v>
      </c>
      <c r="N26" s="256">
        <v>0.4777777777777778</v>
      </c>
      <c r="O26" s="256">
        <v>0.72499999999999998</v>
      </c>
      <c r="P26" s="256">
        <v>0.73750000000000004</v>
      </c>
      <c r="Q26" s="253">
        <f>IF(WTG_BD[[#This Row],[Work Start TimeStamp]]="","",(WTG_BD[[#This Row],[Work Start TimeStamp]]-WTG_BD[[#This Row],[Fault Start TimeStamp]])*24)</f>
        <v>5.9333333333333318</v>
      </c>
      <c r="R26" s="253">
        <f>(WTG_BD[[#This Row],[Fault Clearance time]]-WTG_BD[[#This Row],[Work Start TimeStamp]])*24</f>
        <v>0.3000000000000016</v>
      </c>
      <c r="S26" s="253">
        <f>(WTG_BD[[#This Row],[Fault Clearance time]]-WTG_BD[[#This Row],[Fault Start TimeStamp]])*24</f>
        <v>6.2333333333333343</v>
      </c>
      <c r="T26" s="135" t="s">
        <v>484</v>
      </c>
      <c r="U26" s="244" t="s">
        <v>474</v>
      </c>
      <c r="V26" s="246">
        <f>WTG_BD[[#This Row],[Breakdown Time]]*(1/39)</f>
        <v>0.15982905982905984</v>
      </c>
      <c r="W26" s="244" t="s">
        <v>143</v>
      </c>
      <c r="X26" s="250">
        <v>704.36666666666679</v>
      </c>
      <c r="Y26" s="135" t="s">
        <v>470</v>
      </c>
      <c r="Z26" s="135" t="s">
        <v>475</v>
      </c>
      <c r="AA26" s="135">
        <v>2712</v>
      </c>
      <c r="AB26" s="249">
        <v>704.36666666666679</v>
      </c>
      <c r="AC26" s="135"/>
      <c r="AD26" s="245"/>
      <c r="AE26" s="3"/>
    </row>
    <row r="27" spans="1:31">
      <c r="A27" s="241">
        <f t="shared" si="1"/>
        <v>26</v>
      </c>
      <c r="B27" s="255">
        <v>45746</v>
      </c>
      <c r="C27" s="252">
        <v>2025</v>
      </c>
      <c r="D27" s="252">
        <f>YEAR(WTG_BD[[#This Row],[Date]])</f>
        <v>2025</v>
      </c>
      <c r="E27" s="251">
        <f t="shared" si="0"/>
        <v>45717</v>
      </c>
      <c r="F27" s="252" t="s">
        <v>465</v>
      </c>
      <c r="G27" s="248" t="s">
        <v>148</v>
      </c>
      <c r="H27" s="242" t="str">
        <f>IFERROR(VLOOKUP(WTG_BD[[#This Row],[Affected WTG]],'Basic Data'!$A$3:$E$56,2,0),"")</f>
        <v>PWEGPL</v>
      </c>
      <c r="I27" s="242" t="str">
        <f>IFERROR(VLOOKUP(WTG_BD[[#This Row],[Affected WTG]],'Basic Data'!$A$3:$E$56,3,0),"")</f>
        <v>MSEDCL</v>
      </c>
      <c r="J27" s="243">
        <f>IFERROR(VLOOKUP(WTG_BD[[#This Row],[Affected WTG]],'Basic Data'!$A$3:$E$56,5,0),"")</f>
        <v>2.564102564102564E-2</v>
      </c>
      <c r="K27" s="158">
        <v>103</v>
      </c>
      <c r="L27" s="247" t="str">
        <f>VLOOKUP(K27,'Basic Data'!T:U,2,0)</f>
        <v>CCW Feedback Failure</v>
      </c>
      <c r="M27" s="135" t="s">
        <v>472</v>
      </c>
      <c r="N27" s="256">
        <v>0.42083333333333334</v>
      </c>
      <c r="O27" s="256">
        <v>0.42083333333333334</v>
      </c>
      <c r="P27" s="256">
        <v>0.42777777777777776</v>
      </c>
      <c r="Q27" s="253">
        <f>IF(WTG_BD[[#This Row],[Work Start TimeStamp]]="","",(WTG_BD[[#This Row],[Work Start TimeStamp]]-WTG_BD[[#This Row],[Fault Start TimeStamp]])*24)</f>
        <v>0</v>
      </c>
      <c r="R27" s="253">
        <f>(WTG_BD[[#This Row],[Fault Clearance time]]-WTG_BD[[#This Row],[Work Start TimeStamp]])*24</f>
        <v>0.16666666666666607</v>
      </c>
      <c r="S27" s="253">
        <f>(WTG_BD[[#This Row],[Fault Clearance time]]-WTG_BD[[#This Row],[Fault Start TimeStamp]])*24</f>
        <v>0.16666666666666607</v>
      </c>
      <c r="T27" s="135" t="s">
        <v>476</v>
      </c>
      <c r="U27" s="244" t="s">
        <v>474</v>
      </c>
      <c r="V27" s="246">
        <f>WTG_BD[[#This Row],[Breakdown Time]]*(1/39)</f>
        <v>4.2735042735042583E-3</v>
      </c>
      <c r="W27" s="244" t="s">
        <v>149</v>
      </c>
      <c r="X27" s="250">
        <v>21.874999999999922</v>
      </c>
      <c r="Y27" s="135" t="s">
        <v>470</v>
      </c>
      <c r="Z27" s="135" t="s">
        <v>475</v>
      </c>
      <c r="AA27" s="135">
        <v>3150</v>
      </c>
      <c r="AB27" s="249">
        <v>21.874999999999922</v>
      </c>
      <c r="AC27" s="135"/>
      <c r="AD27" s="245"/>
      <c r="AE27" s="3"/>
    </row>
    <row r="28" spans="1:31">
      <c r="A28" s="241">
        <f t="shared" si="1"/>
        <v>27</v>
      </c>
      <c r="B28" s="255">
        <v>45746</v>
      </c>
      <c r="C28" s="252">
        <v>2025</v>
      </c>
      <c r="D28" s="252">
        <f>YEAR(WTG_BD[[#This Row],[Date]])</f>
        <v>2025</v>
      </c>
      <c r="E28" s="251">
        <f t="shared" si="0"/>
        <v>45717</v>
      </c>
      <c r="F28" s="252" t="s">
        <v>465</v>
      </c>
      <c r="G28" s="248" t="s">
        <v>148</v>
      </c>
      <c r="H28" s="242" t="str">
        <f>IFERROR(VLOOKUP(WTG_BD[[#This Row],[Affected WTG]],'Basic Data'!$A$3:$E$56,2,0),"")</f>
        <v>PWEGPL</v>
      </c>
      <c r="I28" s="242" t="str">
        <f>IFERROR(VLOOKUP(WTG_BD[[#This Row],[Affected WTG]],'Basic Data'!$A$3:$E$56,3,0),"")</f>
        <v>MSEDCL</v>
      </c>
      <c r="J28" s="243">
        <f>IFERROR(VLOOKUP(WTG_BD[[#This Row],[Affected WTG]],'Basic Data'!$A$3:$E$56,5,0),"")</f>
        <v>2.564102564102564E-2</v>
      </c>
      <c r="K28" s="158">
        <v>103</v>
      </c>
      <c r="L28" s="247" t="str">
        <f>VLOOKUP(K28,'Basic Data'!T:U,2,0)</f>
        <v>CCW Feedback Failure</v>
      </c>
      <c r="M28" s="135" t="s">
        <v>472</v>
      </c>
      <c r="N28" s="256">
        <v>0.43194444444444446</v>
      </c>
      <c r="O28" s="256">
        <v>0.52152777777777781</v>
      </c>
      <c r="P28" s="256">
        <v>0.66666666666666663</v>
      </c>
      <c r="Q28" s="253">
        <f>IF(WTG_BD[[#This Row],[Work Start TimeStamp]]="","",(WTG_BD[[#This Row],[Work Start TimeStamp]]-WTG_BD[[#This Row],[Fault Start TimeStamp]])*24)</f>
        <v>2.1500000000000004</v>
      </c>
      <c r="R28" s="253">
        <f>(WTG_BD[[#This Row],[Fault Clearance time]]-WTG_BD[[#This Row],[Work Start TimeStamp]])*24</f>
        <v>3.4833333333333316</v>
      </c>
      <c r="S28" s="253">
        <f>(WTG_BD[[#This Row],[Fault Clearance time]]-WTG_BD[[#This Row],[Fault Start TimeStamp]])*24</f>
        <v>5.633333333333332</v>
      </c>
      <c r="T28" s="135" t="s">
        <v>485</v>
      </c>
      <c r="U28" s="244" t="s">
        <v>474</v>
      </c>
      <c r="V28" s="246">
        <f>WTG_BD[[#This Row],[Breakdown Time]]*(1/39)</f>
        <v>0.1444444444444444</v>
      </c>
      <c r="W28" s="244" t="s">
        <v>149</v>
      </c>
      <c r="X28" s="250">
        <v>739.37499999999977</v>
      </c>
      <c r="Y28" s="135" t="s">
        <v>470</v>
      </c>
      <c r="Z28" s="135" t="s">
        <v>475</v>
      </c>
      <c r="AA28" s="135">
        <v>3150</v>
      </c>
      <c r="AB28" s="249">
        <v>739.37499999999977</v>
      </c>
      <c r="AC28" s="135"/>
      <c r="AD28" s="245"/>
      <c r="AE28" s="3"/>
    </row>
    <row r="29" spans="1:31">
      <c r="A29" s="241">
        <f t="shared" si="1"/>
        <v>28</v>
      </c>
      <c r="B29" s="255">
        <v>45746</v>
      </c>
      <c r="C29" s="252">
        <v>2025</v>
      </c>
      <c r="D29" s="252">
        <f>YEAR(WTG_BD[[#This Row],[Date]])</f>
        <v>2025</v>
      </c>
      <c r="E29" s="251">
        <f t="shared" si="0"/>
        <v>45717</v>
      </c>
      <c r="F29" s="252" t="s">
        <v>465</v>
      </c>
      <c r="G29" s="248" t="s">
        <v>153</v>
      </c>
      <c r="H29" s="242" t="str">
        <f>IFERROR(VLOOKUP(WTG_BD[[#This Row],[Affected WTG]],'Basic Data'!$A$3:$E$56,2,0),"")</f>
        <v>PWEGPL</v>
      </c>
      <c r="I29" s="242" t="str">
        <f>IFERROR(VLOOKUP(WTG_BD[[#This Row],[Affected WTG]],'Basic Data'!$A$3:$E$56,3,0),"")</f>
        <v>MSEDCL</v>
      </c>
      <c r="J29" s="243">
        <f>IFERROR(VLOOKUP(WTG_BD[[#This Row],[Affected WTG]],'Basic Data'!$A$3:$E$56,5,0),"")</f>
        <v>2.564102564102564E-2</v>
      </c>
      <c r="K29" s="158">
        <v>812</v>
      </c>
      <c r="L29" s="247" t="str">
        <f>VLOOKUP(K29,'Basic Data'!T:U,2,0)</f>
        <v>Blade Position Meas. Error</v>
      </c>
      <c r="M29" s="135" t="s">
        <v>472</v>
      </c>
      <c r="N29" s="256">
        <v>0.51458333333333328</v>
      </c>
      <c r="O29" s="256">
        <v>0.51458333333333328</v>
      </c>
      <c r="P29" s="256">
        <v>0.5180555555555556</v>
      </c>
      <c r="Q29" s="253">
        <f>IF(WTG_BD[[#This Row],[Work Start TimeStamp]]="","",(WTG_BD[[#This Row],[Work Start TimeStamp]]-WTG_BD[[#This Row],[Fault Start TimeStamp]])*24)</f>
        <v>0</v>
      </c>
      <c r="R29" s="253">
        <f>(WTG_BD[[#This Row],[Fault Clearance time]]-WTG_BD[[#This Row],[Work Start TimeStamp]])*24</f>
        <v>8.3333333333335702E-2</v>
      </c>
      <c r="S29" s="253">
        <f>(WTG_BD[[#This Row],[Fault Clearance time]]-WTG_BD[[#This Row],[Fault Start TimeStamp]])*24</f>
        <v>8.3333333333335702E-2</v>
      </c>
      <c r="T29" s="135" t="s">
        <v>476</v>
      </c>
      <c r="U29" s="244" t="s">
        <v>474</v>
      </c>
      <c r="V29" s="246">
        <f>WTG_BD[[#This Row],[Breakdown Time]]*(1/39)</f>
        <v>2.1367521367521972E-3</v>
      </c>
      <c r="W29" s="244" t="s">
        <v>152</v>
      </c>
      <c r="X29" s="250">
        <v>9.402777777778045</v>
      </c>
      <c r="Y29" s="135" t="s">
        <v>470</v>
      </c>
      <c r="Z29" s="135" t="s">
        <v>475</v>
      </c>
      <c r="AA29" s="135">
        <v>2708</v>
      </c>
      <c r="AB29" s="249">
        <v>9.402777777778045</v>
      </c>
      <c r="AC29" s="135"/>
      <c r="AD29" s="245"/>
      <c r="AE29" s="3"/>
    </row>
    <row r="30" spans="1:31">
      <c r="A30" s="241">
        <f t="shared" si="1"/>
        <v>29</v>
      </c>
      <c r="B30" s="255">
        <v>45747</v>
      </c>
      <c r="C30" s="252">
        <v>2025</v>
      </c>
      <c r="D30" s="252">
        <f>YEAR(WTG_BD[[#This Row],[Date]])</f>
        <v>2025</v>
      </c>
      <c r="E30" s="251">
        <f t="shared" si="0"/>
        <v>45717</v>
      </c>
      <c r="F30" s="252" t="s">
        <v>465</v>
      </c>
      <c r="G30" s="248" t="s">
        <v>144</v>
      </c>
      <c r="H30" s="242" t="str">
        <f>IFERROR(VLOOKUP(WTG_BD[[#This Row],[Affected WTG]],'Basic Data'!$A$3:$E$56,2,0),"")</f>
        <v>PWEGPL</v>
      </c>
      <c r="I30" s="242" t="str">
        <f>IFERROR(VLOOKUP(WTG_BD[[#This Row],[Affected WTG]],'Basic Data'!$A$3:$E$56,3,0),"")</f>
        <v>MSEDCL</v>
      </c>
      <c r="J30" s="243">
        <f>IFERROR(VLOOKUP(WTG_BD[[#This Row],[Affected WTG]],'Basic Data'!$A$3:$E$56,5,0),"")</f>
        <v>2.564102564102564E-2</v>
      </c>
      <c r="K30" s="158" t="s">
        <v>466</v>
      </c>
      <c r="L30" s="247" t="str">
        <f>VLOOKUP(K30,'Basic Data'!T:U,2,0)</f>
        <v>Manual Stop - Safety Related</v>
      </c>
      <c r="M30" s="135" t="s">
        <v>467</v>
      </c>
      <c r="N30" s="256">
        <v>0</v>
      </c>
      <c r="O30" s="256">
        <v>0.99930555555555556</v>
      </c>
      <c r="P30" s="256">
        <v>0.99930555555555556</v>
      </c>
      <c r="Q30" s="253">
        <f>IF(WTG_BD[[#This Row],[Work Start TimeStamp]]="","",(WTG_BD[[#This Row],[Work Start TimeStamp]]-WTG_BD[[#This Row],[Fault Start TimeStamp]])*24)</f>
        <v>23.983333333333334</v>
      </c>
      <c r="R30" s="253">
        <f>(WTG_BD[[#This Row],[Fault Clearance time]]-WTG_BD[[#This Row],[Work Start TimeStamp]])*24</f>
        <v>0</v>
      </c>
      <c r="S30" s="253">
        <f>(WTG_BD[[#This Row],[Fault Clearance time]]-WTG_BD[[#This Row],[Fault Start TimeStamp]])*24</f>
        <v>23.983333333333334</v>
      </c>
      <c r="T30" s="135" t="s">
        <v>468</v>
      </c>
      <c r="U30" s="244" t="s">
        <v>469</v>
      </c>
      <c r="V30" s="246">
        <f>WTG_BD[[#This Row],[Breakdown Time]]*(1/39)</f>
        <v>0.61495726495726499</v>
      </c>
      <c r="W30" s="244" t="s">
        <v>141</v>
      </c>
      <c r="X30" s="250">
        <v>6001.8291666666673</v>
      </c>
      <c r="Y30" s="135" t="s">
        <v>470</v>
      </c>
      <c r="Z30" s="135" t="s">
        <v>471</v>
      </c>
      <c r="AA30" s="135">
        <v>6006</v>
      </c>
      <c r="AB30" s="249">
        <v>6001.8291666666673</v>
      </c>
      <c r="AC30" s="135"/>
      <c r="AD30" s="245"/>
      <c r="AE30" s="3"/>
    </row>
    <row r="31" spans="1:31">
      <c r="A31" s="241">
        <f t="shared" si="1"/>
        <v>30</v>
      </c>
      <c r="B31" s="255">
        <v>45747</v>
      </c>
      <c r="C31" s="252">
        <v>2025</v>
      </c>
      <c r="D31" s="252">
        <f>YEAR(WTG_BD[[#This Row],[Date]])</f>
        <v>2025</v>
      </c>
      <c r="E31" s="251">
        <f t="shared" si="0"/>
        <v>45717</v>
      </c>
      <c r="F31" s="252" t="s">
        <v>465</v>
      </c>
      <c r="G31" s="248" t="s">
        <v>142</v>
      </c>
      <c r="H31" s="242" t="str">
        <f>IFERROR(VLOOKUP(WTG_BD[[#This Row],[Affected WTG]],'Basic Data'!$A$3:$E$56,2,0),"")</f>
        <v>PWEGPL</v>
      </c>
      <c r="I31" s="242" t="str">
        <f>IFERROR(VLOOKUP(WTG_BD[[#This Row],[Affected WTG]],'Basic Data'!$A$3:$E$56,3,0),"")</f>
        <v>MSEDCL</v>
      </c>
      <c r="J31" s="243">
        <f>IFERROR(VLOOKUP(WTG_BD[[#This Row],[Affected WTG]],'Basic Data'!$A$3:$E$56,5,0),"")</f>
        <v>2.564102564102564E-2</v>
      </c>
      <c r="K31" s="158" t="s">
        <v>466</v>
      </c>
      <c r="L31" s="247" t="str">
        <f>VLOOKUP(K31,'Basic Data'!T:U,2,0)</f>
        <v>Manual Stop - Safety Related</v>
      </c>
      <c r="M31" s="135" t="s">
        <v>467</v>
      </c>
      <c r="N31" s="256">
        <v>0</v>
      </c>
      <c r="O31" s="256">
        <v>0.99930555555555556</v>
      </c>
      <c r="P31" s="256">
        <v>0.99930555555555556</v>
      </c>
      <c r="Q31" s="253">
        <f>IF(WTG_BD[[#This Row],[Work Start TimeStamp]]="","",(WTG_BD[[#This Row],[Work Start TimeStamp]]-WTG_BD[[#This Row],[Fault Start TimeStamp]])*24)</f>
        <v>23.983333333333334</v>
      </c>
      <c r="R31" s="253">
        <f>(WTG_BD[[#This Row],[Fault Clearance time]]-WTG_BD[[#This Row],[Work Start TimeStamp]])*24</f>
        <v>0</v>
      </c>
      <c r="S31" s="253">
        <f>(WTG_BD[[#This Row],[Fault Clearance time]]-WTG_BD[[#This Row],[Fault Start TimeStamp]])*24</f>
        <v>23.983333333333334</v>
      </c>
      <c r="T31" s="135" t="s">
        <v>468</v>
      </c>
      <c r="U31" s="244" t="s">
        <v>469</v>
      </c>
      <c r="V31" s="246">
        <f>WTG_BD[[#This Row],[Breakdown Time]]*(1/39)</f>
        <v>0.61495726495726499</v>
      </c>
      <c r="W31" s="244" t="s">
        <v>141</v>
      </c>
      <c r="X31" s="250">
        <v>6001.8291666666673</v>
      </c>
      <c r="Y31" s="135" t="s">
        <v>470</v>
      </c>
      <c r="Z31" s="135" t="s">
        <v>471</v>
      </c>
      <c r="AA31" s="135">
        <v>6006</v>
      </c>
      <c r="AB31" s="249">
        <v>6001.8291666666673</v>
      </c>
      <c r="AC31" s="135"/>
      <c r="AD31" s="245"/>
      <c r="AE31" s="3"/>
    </row>
    <row r="32" spans="1:31">
      <c r="A32" s="241">
        <f t="shared" si="1"/>
        <v>31</v>
      </c>
      <c r="B32" s="255">
        <v>45747</v>
      </c>
      <c r="C32" s="252">
        <v>2025</v>
      </c>
      <c r="D32" s="252">
        <f>YEAR(WTG_BD[[#This Row],[Date]])</f>
        <v>2025</v>
      </c>
      <c r="E32" s="251">
        <f t="shared" si="0"/>
        <v>45717</v>
      </c>
      <c r="F32" s="252" t="s">
        <v>465</v>
      </c>
      <c r="G32" s="248" t="s">
        <v>115</v>
      </c>
      <c r="H32" s="242" t="str">
        <f>IFERROR(VLOOKUP(WTG_BD[[#This Row],[Affected WTG]],'Basic Data'!$A$3:$E$56,2,0),"")</f>
        <v>PWEGPL</v>
      </c>
      <c r="I32" s="242" t="str">
        <f>IFERROR(VLOOKUP(WTG_BD[[#This Row],[Affected WTG]],'Basic Data'!$A$3:$E$56,3,0),"")</f>
        <v>MSEDCL</v>
      </c>
      <c r="J32" s="243">
        <f>IFERROR(VLOOKUP(WTG_BD[[#This Row],[Affected WTG]],'Basic Data'!$A$3:$E$56,5,0),"")</f>
        <v>2.564102564102564E-2</v>
      </c>
      <c r="K32" s="158">
        <v>5205</v>
      </c>
      <c r="L32" s="247" t="str">
        <f>VLOOKUP(K32,'Basic Data'!T:U,2,0)</f>
        <v>Magnetothermic Of The Stator Protection Failure Or Door Open</v>
      </c>
      <c r="M32" s="135" t="s">
        <v>472</v>
      </c>
      <c r="N32" s="256">
        <v>0.55069444444444449</v>
      </c>
      <c r="O32" s="256">
        <v>0.55069444444444449</v>
      </c>
      <c r="P32" s="256">
        <v>0.55347222222222225</v>
      </c>
      <c r="Q32" s="253">
        <f>IF(WTG_BD[[#This Row],[Work Start TimeStamp]]="","",(WTG_BD[[#This Row],[Work Start TimeStamp]]-WTG_BD[[#This Row],[Fault Start TimeStamp]])*24)</f>
        <v>0</v>
      </c>
      <c r="R32" s="253">
        <f>(WTG_BD[[#This Row],[Fault Clearance time]]-WTG_BD[[#This Row],[Work Start TimeStamp]])*24</f>
        <v>6.666666666666643E-2</v>
      </c>
      <c r="S32" s="253">
        <f>(WTG_BD[[#This Row],[Fault Clearance time]]-WTG_BD[[#This Row],[Fault Start TimeStamp]])*24</f>
        <v>6.666666666666643E-2</v>
      </c>
      <c r="T32" s="135" t="s">
        <v>476</v>
      </c>
      <c r="U32" s="244" t="s">
        <v>474</v>
      </c>
      <c r="V32" s="246">
        <f>WTG_BD[[#This Row],[Breakdown Time]]*(1/39)</f>
        <v>1.7094017094017033E-3</v>
      </c>
      <c r="W32" s="244" t="s">
        <v>121</v>
      </c>
      <c r="X32" s="250">
        <v>16.777777777777718</v>
      </c>
      <c r="Y32" s="135" t="s">
        <v>470</v>
      </c>
      <c r="Z32" s="135" t="s">
        <v>475</v>
      </c>
      <c r="AA32" s="135">
        <v>6040</v>
      </c>
      <c r="AB32" s="249">
        <v>16.777777777777718</v>
      </c>
      <c r="AC32" s="135"/>
      <c r="AD32" s="245"/>
      <c r="AE32" s="3"/>
    </row>
    <row r="33" spans="1:31">
      <c r="A33" s="241">
        <f t="shared" si="1"/>
        <v>32</v>
      </c>
      <c r="B33" s="255">
        <v>45747</v>
      </c>
      <c r="C33" s="252">
        <v>2025</v>
      </c>
      <c r="D33" s="252">
        <f>YEAR(WTG_BD[[#This Row],[Date]])</f>
        <v>2025</v>
      </c>
      <c r="E33" s="251">
        <f t="shared" si="0"/>
        <v>45717</v>
      </c>
      <c r="F33" s="252" t="s">
        <v>465</v>
      </c>
      <c r="G33" s="248" t="s">
        <v>115</v>
      </c>
      <c r="H33" s="242" t="str">
        <f>IFERROR(VLOOKUP(WTG_BD[[#This Row],[Affected WTG]],'Basic Data'!$A$3:$E$56,2,0),"")</f>
        <v>PWEGPL</v>
      </c>
      <c r="I33" s="242" t="str">
        <f>IFERROR(VLOOKUP(WTG_BD[[#This Row],[Affected WTG]],'Basic Data'!$A$3:$E$56,3,0),"")</f>
        <v>MSEDCL</v>
      </c>
      <c r="J33" s="243">
        <f>IFERROR(VLOOKUP(WTG_BD[[#This Row],[Affected WTG]],'Basic Data'!$A$3:$E$56,5,0),"")</f>
        <v>2.564102564102564E-2</v>
      </c>
      <c r="K33" s="158">
        <v>812</v>
      </c>
      <c r="L33" s="247" t="str">
        <f>VLOOKUP(K33,'Basic Data'!T:U,2,0)</f>
        <v>Blade Position Meas. Error</v>
      </c>
      <c r="M33" s="135" t="s">
        <v>472</v>
      </c>
      <c r="N33" s="256">
        <v>0.56319444444444444</v>
      </c>
      <c r="O33" s="256">
        <v>0.56319444444444444</v>
      </c>
      <c r="P33" s="256">
        <v>0.57013888888888886</v>
      </c>
      <c r="Q33" s="253">
        <f>IF(WTG_BD[[#This Row],[Work Start TimeStamp]]="","",(WTG_BD[[#This Row],[Work Start TimeStamp]]-WTG_BD[[#This Row],[Fault Start TimeStamp]])*24)</f>
        <v>0</v>
      </c>
      <c r="R33" s="253">
        <f>(WTG_BD[[#This Row],[Fault Clearance time]]-WTG_BD[[#This Row],[Work Start TimeStamp]])*24</f>
        <v>0.16666666666666607</v>
      </c>
      <c r="S33" s="253">
        <f>(WTG_BD[[#This Row],[Fault Clearance time]]-WTG_BD[[#This Row],[Fault Start TimeStamp]])*24</f>
        <v>0.16666666666666607</v>
      </c>
      <c r="T33" s="135" t="s">
        <v>476</v>
      </c>
      <c r="U33" s="244" t="s">
        <v>474</v>
      </c>
      <c r="V33" s="246">
        <f>WTG_BD[[#This Row],[Breakdown Time]]*(1/39)</f>
        <v>4.2735042735042583E-3</v>
      </c>
      <c r="W33" s="244" t="s">
        <v>121</v>
      </c>
      <c r="X33" s="250">
        <v>41.944444444444294</v>
      </c>
      <c r="Y33" s="135" t="s">
        <v>470</v>
      </c>
      <c r="Z33" s="135" t="s">
        <v>475</v>
      </c>
      <c r="AA33" s="135">
        <v>6040</v>
      </c>
      <c r="AB33" s="249">
        <v>41.944444444444294</v>
      </c>
      <c r="AC33" s="135"/>
      <c r="AD33" s="245"/>
      <c r="AE33" s="3"/>
    </row>
    <row r="34" spans="1:31">
      <c r="A34" s="241">
        <f t="shared" si="1"/>
        <v>33</v>
      </c>
      <c r="B34" s="255">
        <v>45747</v>
      </c>
      <c r="C34" s="252">
        <v>2025</v>
      </c>
      <c r="D34" s="252">
        <f>YEAR(WTG_BD[[#This Row],[Date]])</f>
        <v>2025</v>
      </c>
      <c r="E34" s="251">
        <f t="shared" si="0"/>
        <v>45717</v>
      </c>
      <c r="F34" s="252" t="s">
        <v>465</v>
      </c>
      <c r="G34" s="248" t="s">
        <v>117</v>
      </c>
      <c r="H34" s="242" t="str">
        <f>IFERROR(VLOOKUP(WTG_BD[[#This Row],[Affected WTG]],'Basic Data'!$A$3:$E$56,2,0),"")</f>
        <v>PWEGPL</v>
      </c>
      <c r="I34" s="242" t="str">
        <f>IFERROR(VLOOKUP(WTG_BD[[#This Row],[Affected WTG]],'Basic Data'!$A$3:$E$56,3,0),"")</f>
        <v>MSEDCL</v>
      </c>
      <c r="J34" s="243">
        <f>IFERROR(VLOOKUP(WTG_BD[[#This Row],[Affected WTG]],'Basic Data'!$A$3:$E$56,5,0),"")</f>
        <v>2.564102564102564E-2</v>
      </c>
      <c r="K34" s="158" t="s">
        <v>466</v>
      </c>
      <c r="L34" s="247" t="str">
        <f>VLOOKUP(K34,'Basic Data'!T:U,2,0)</f>
        <v>Manual Stop - Safety Related</v>
      </c>
      <c r="M34" s="135" t="s">
        <v>467</v>
      </c>
      <c r="N34" s="256">
        <v>0.46527777777777779</v>
      </c>
      <c r="O34" s="256">
        <v>0.46527777777777779</v>
      </c>
      <c r="P34" s="256">
        <v>0.54861111111111116</v>
      </c>
      <c r="Q34" s="253">
        <f>IF(WTG_BD[[#This Row],[Work Start TimeStamp]]="","",(WTG_BD[[#This Row],[Work Start TimeStamp]]-WTG_BD[[#This Row],[Fault Start TimeStamp]])*24)</f>
        <v>0</v>
      </c>
      <c r="R34" s="253">
        <f>(WTG_BD[[#This Row],[Fault Clearance time]]-WTG_BD[[#This Row],[Work Start TimeStamp]])*24</f>
        <v>2.0000000000000009</v>
      </c>
      <c r="S34" s="253">
        <f>(WTG_BD[[#This Row],[Fault Clearance time]]-WTG_BD[[#This Row],[Fault Start TimeStamp]])*24</f>
        <v>2.0000000000000009</v>
      </c>
      <c r="T34" s="135" t="s">
        <v>483</v>
      </c>
      <c r="U34" s="244" t="s">
        <v>474</v>
      </c>
      <c r="V34" s="246">
        <f>WTG_BD[[#This Row],[Breakdown Time]]*(1/39)</f>
        <v>5.1282051282051301E-2</v>
      </c>
      <c r="W34" s="244" t="s">
        <v>118</v>
      </c>
      <c r="X34" s="250">
        <v>666.00000000000034</v>
      </c>
      <c r="Y34" s="135" t="s">
        <v>470</v>
      </c>
      <c r="Z34" s="135" t="s">
        <v>471</v>
      </c>
      <c r="AA34" s="135">
        <v>7992</v>
      </c>
      <c r="AB34" s="249">
        <v>666.00000000000034</v>
      </c>
      <c r="AC34" s="135"/>
      <c r="AD34" s="245"/>
      <c r="AE34" s="3"/>
    </row>
    <row r="35" spans="1:31">
      <c r="A35" s="241">
        <f t="shared" si="1"/>
        <v>34</v>
      </c>
      <c r="B35" s="255">
        <v>45747</v>
      </c>
      <c r="C35" s="252">
        <v>2025</v>
      </c>
      <c r="D35" s="252">
        <f>YEAR(WTG_BD[[#This Row],[Date]])</f>
        <v>2025</v>
      </c>
      <c r="E35" s="251">
        <f t="shared" si="0"/>
        <v>45717</v>
      </c>
      <c r="F35" s="252" t="s">
        <v>465</v>
      </c>
      <c r="G35" s="248" t="s">
        <v>118</v>
      </c>
      <c r="H35" s="242" t="str">
        <f>IFERROR(VLOOKUP(WTG_BD[[#This Row],[Affected WTG]],'Basic Data'!$A$3:$E$56,2,0),"")</f>
        <v>PWEGPL</v>
      </c>
      <c r="I35" s="242" t="str">
        <f>IFERROR(VLOOKUP(WTG_BD[[#This Row],[Affected WTG]],'Basic Data'!$A$3:$E$56,3,0),"")</f>
        <v>MSEDCL</v>
      </c>
      <c r="J35" s="243">
        <f>IFERROR(VLOOKUP(WTG_BD[[#This Row],[Affected WTG]],'Basic Data'!$A$3:$E$56,5,0),"")</f>
        <v>2.564102564102564E-2</v>
      </c>
      <c r="K35" s="158">
        <v>523</v>
      </c>
      <c r="L35" s="247" t="str">
        <f>VLOOKUP(K35,'Basic Data'!T:U,2,0)</f>
        <v>High Temperature Of Coolant In The Input Of The Cooling Circuit</v>
      </c>
      <c r="M35" s="135" t="s">
        <v>472</v>
      </c>
      <c r="N35" s="256">
        <v>0.65694444444444444</v>
      </c>
      <c r="O35" s="256">
        <v>0.65694444444444444</v>
      </c>
      <c r="P35" s="256">
        <v>0.66041666666666665</v>
      </c>
      <c r="Q35" s="253">
        <f>IF(WTG_BD[[#This Row],[Work Start TimeStamp]]="","",(WTG_BD[[#This Row],[Work Start TimeStamp]]-WTG_BD[[#This Row],[Fault Start TimeStamp]])*24)</f>
        <v>0</v>
      </c>
      <c r="R35" s="253">
        <f>(WTG_BD[[#This Row],[Fault Clearance time]]-WTG_BD[[#This Row],[Work Start TimeStamp]])*24</f>
        <v>8.3333333333333037E-2</v>
      </c>
      <c r="S35" s="253">
        <f>(WTG_BD[[#This Row],[Fault Clearance time]]-WTG_BD[[#This Row],[Fault Start TimeStamp]])*24</f>
        <v>8.3333333333333037E-2</v>
      </c>
      <c r="T35" s="135" t="s">
        <v>476</v>
      </c>
      <c r="U35" s="244" t="s">
        <v>474</v>
      </c>
      <c r="V35" s="246">
        <f>WTG_BD[[#This Row],[Breakdown Time]]*(1/39)</f>
        <v>2.1367521367521292E-3</v>
      </c>
      <c r="W35" s="244" t="s">
        <v>117</v>
      </c>
      <c r="X35" s="250">
        <v>31.229166666666554</v>
      </c>
      <c r="Y35" s="135" t="s">
        <v>470</v>
      </c>
      <c r="Z35" s="135" t="s">
        <v>475</v>
      </c>
      <c r="AA35" s="135">
        <v>8994</v>
      </c>
      <c r="AB35" s="249">
        <v>31.229166666666554</v>
      </c>
      <c r="AC35" s="135"/>
      <c r="AD35" s="245"/>
      <c r="AE35" s="3"/>
    </row>
    <row r="36" spans="1:31">
      <c r="A36" s="241">
        <f t="shared" si="1"/>
        <v>35</v>
      </c>
      <c r="B36" s="255">
        <v>45747</v>
      </c>
      <c r="C36" s="252">
        <v>2025</v>
      </c>
      <c r="D36" s="252">
        <f>YEAR(WTG_BD[[#This Row],[Date]])</f>
        <v>2025</v>
      </c>
      <c r="E36" s="251">
        <f t="shared" ref="E36:E98" si="2">B36-DAY(B36)+1</f>
        <v>45717</v>
      </c>
      <c r="F36" s="252" t="s">
        <v>465</v>
      </c>
      <c r="G36" s="248" t="s">
        <v>118</v>
      </c>
      <c r="H36" s="242" t="str">
        <f>IFERROR(VLOOKUP(WTG_BD[[#This Row],[Affected WTG]],'Basic Data'!$A$3:$E$56,2,0),"")</f>
        <v>PWEGPL</v>
      </c>
      <c r="I36" s="242" t="str">
        <f>IFERROR(VLOOKUP(WTG_BD[[#This Row],[Affected WTG]],'Basic Data'!$A$3:$E$56,3,0),"")</f>
        <v>MSEDCL</v>
      </c>
      <c r="J36" s="243">
        <f>IFERROR(VLOOKUP(WTG_BD[[#This Row],[Affected WTG]],'Basic Data'!$A$3:$E$56,5,0),"")</f>
        <v>2.564102564102564E-2</v>
      </c>
      <c r="K36" s="158">
        <v>5200</v>
      </c>
      <c r="L36" s="247" t="str">
        <f>VLOOKUP(K36,'Basic Data'!T:U,2,0)</f>
        <v>Magnetothermic Trigger Of The Line Protection</v>
      </c>
      <c r="M36" s="135" t="s">
        <v>472</v>
      </c>
      <c r="N36" s="256">
        <v>0.67569444444444449</v>
      </c>
      <c r="O36" s="256">
        <v>0.67569444444444449</v>
      </c>
      <c r="P36" s="256">
        <v>0.69097222222222221</v>
      </c>
      <c r="Q36" s="253">
        <f>IF(WTG_BD[[#This Row],[Work Start TimeStamp]]="","",(WTG_BD[[#This Row],[Work Start TimeStamp]]-WTG_BD[[#This Row],[Fault Start TimeStamp]])*24)</f>
        <v>0</v>
      </c>
      <c r="R36" s="253">
        <f>(WTG_BD[[#This Row],[Fault Clearance time]]-WTG_BD[[#This Row],[Work Start TimeStamp]])*24</f>
        <v>0.36666666666666536</v>
      </c>
      <c r="S36" s="253">
        <f>(WTG_BD[[#This Row],[Fault Clearance time]]-WTG_BD[[#This Row],[Fault Start TimeStamp]])*24</f>
        <v>0.36666666666666536</v>
      </c>
      <c r="T36" s="135" t="s">
        <v>476</v>
      </c>
      <c r="U36" s="244" t="s">
        <v>474</v>
      </c>
      <c r="V36" s="246">
        <f>WTG_BD[[#This Row],[Breakdown Time]]*(1/39)</f>
        <v>9.4017094017093683E-3</v>
      </c>
      <c r="W36" s="244" t="s">
        <v>117</v>
      </c>
      <c r="X36" s="250">
        <v>137.40833333333285</v>
      </c>
      <c r="Y36" s="135" t="s">
        <v>470</v>
      </c>
      <c r="Z36" s="135" t="s">
        <v>475</v>
      </c>
      <c r="AA36" s="135">
        <v>8994</v>
      </c>
      <c r="AB36" s="249">
        <v>137.40833333333285</v>
      </c>
      <c r="AC36" s="135"/>
      <c r="AD36" s="245"/>
      <c r="AE36" s="3"/>
    </row>
    <row r="37" spans="1:31">
      <c r="A37" s="241">
        <f t="shared" si="1"/>
        <v>36</v>
      </c>
      <c r="B37" s="255">
        <v>45747</v>
      </c>
      <c r="C37" s="252">
        <v>2025</v>
      </c>
      <c r="D37" s="252">
        <f>YEAR(WTG_BD[[#This Row],[Date]])</f>
        <v>2025</v>
      </c>
      <c r="E37" s="251">
        <f t="shared" si="2"/>
        <v>45717</v>
      </c>
      <c r="F37" s="252" t="s">
        <v>465</v>
      </c>
      <c r="G37" s="248" t="s">
        <v>120</v>
      </c>
      <c r="H37" s="242" t="str">
        <f>IFERROR(VLOOKUP(WTG_BD[[#This Row],[Affected WTG]],'Basic Data'!$A$3:$E$56,2,0),"")</f>
        <v>PWEGPL</v>
      </c>
      <c r="I37" s="242" t="str">
        <f>IFERROR(VLOOKUP(WTG_BD[[#This Row],[Affected WTG]],'Basic Data'!$A$3:$E$56,3,0),"")</f>
        <v>MSEDCL</v>
      </c>
      <c r="J37" s="243">
        <f>IFERROR(VLOOKUP(WTG_BD[[#This Row],[Affected WTG]],'Basic Data'!$A$3:$E$56,5,0),"")</f>
        <v>2.564102564102564E-2</v>
      </c>
      <c r="K37" s="158">
        <v>116</v>
      </c>
      <c r="L37" s="247" t="str">
        <f>VLOOKUP(K37,'Basic Data'!T:U,2,0)</f>
        <v>Orienting and High Yaw Brake Pressure</v>
      </c>
      <c r="M37" s="135" t="s">
        <v>472</v>
      </c>
      <c r="N37" s="256">
        <v>0.68888888888888888</v>
      </c>
      <c r="O37" s="256">
        <v>0.68888888888888888</v>
      </c>
      <c r="P37" s="256">
        <v>0.69236111111111109</v>
      </c>
      <c r="Q37" s="253">
        <f>IF(WTG_BD[[#This Row],[Work Start TimeStamp]]="","",(WTG_BD[[#This Row],[Work Start TimeStamp]]-WTG_BD[[#This Row],[Fault Start TimeStamp]])*24)</f>
        <v>0</v>
      </c>
      <c r="R37" s="253">
        <f>(WTG_BD[[#This Row],[Fault Clearance time]]-WTG_BD[[#This Row],[Work Start TimeStamp]])*24</f>
        <v>8.3333333333333037E-2</v>
      </c>
      <c r="S37" s="253">
        <f>(WTG_BD[[#This Row],[Fault Clearance time]]-WTG_BD[[#This Row],[Fault Start TimeStamp]])*24</f>
        <v>8.3333333333333037E-2</v>
      </c>
      <c r="T37" s="135" t="s">
        <v>476</v>
      </c>
      <c r="U37" s="244" t="s">
        <v>474</v>
      </c>
      <c r="V37" s="246">
        <f>WTG_BD[[#This Row],[Breakdown Time]]*(1/39)</f>
        <v>2.1367521367521292E-3</v>
      </c>
      <c r="W37" s="244" t="s">
        <v>117</v>
      </c>
      <c r="X37" s="250">
        <v>31.229166666666554</v>
      </c>
      <c r="Y37" s="135" t="s">
        <v>470</v>
      </c>
      <c r="Z37" s="135" t="s">
        <v>475</v>
      </c>
      <c r="AA37" s="135">
        <v>8994</v>
      </c>
      <c r="AB37" s="249">
        <v>31.229166666666554</v>
      </c>
      <c r="AC37" s="135"/>
      <c r="AD37" s="245"/>
      <c r="AE37" s="3"/>
    </row>
    <row r="38" spans="1:31">
      <c r="A38" s="241">
        <f t="shared" si="1"/>
        <v>37</v>
      </c>
      <c r="B38" s="255">
        <v>45747</v>
      </c>
      <c r="C38" s="252">
        <v>2025</v>
      </c>
      <c r="D38" s="252">
        <f>YEAR(WTG_BD[[#This Row],[Date]])</f>
        <v>2025</v>
      </c>
      <c r="E38" s="251">
        <f t="shared" si="2"/>
        <v>45717</v>
      </c>
      <c r="F38" s="252" t="s">
        <v>465</v>
      </c>
      <c r="G38" s="248" t="s">
        <v>121</v>
      </c>
      <c r="H38" s="242" t="str">
        <f>IFERROR(VLOOKUP(WTG_BD[[#This Row],[Affected WTG]],'Basic Data'!$A$3:$E$56,2,0),"")</f>
        <v>PWEGPL</v>
      </c>
      <c r="I38" s="242" t="str">
        <f>IFERROR(VLOOKUP(WTG_BD[[#This Row],[Affected WTG]],'Basic Data'!$A$3:$E$56,3,0),"")</f>
        <v>MSEDCL</v>
      </c>
      <c r="J38" s="243">
        <f>IFERROR(VLOOKUP(WTG_BD[[#This Row],[Affected WTG]],'Basic Data'!$A$3:$E$56,5,0),"")</f>
        <v>2.564102564102564E-2</v>
      </c>
      <c r="K38" s="158">
        <v>2102</v>
      </c>
      <c r="L38" s="247" t="str">
        <f>VLOOKUP(K38,'Basic Data'!T:U,2,0)</f>
        <v>PLC Module Failure</v>
      </c>
      <c r="M38" s="135" t="s">
        <v>472</v>
      </c>
      <c r="N38" s="256">
        <v>0.68819444444444444</v>
      </c>
      <c r="O38" s="256">
        <v>0.81111111111111112</v>
      </c>
      <c r="P38" s="256">
        <v>0.81319444444444444</v>
      </c>
      <c r="Q38" s="253">
        <f>IF(WTG_BD[[#This Row],[Work Start TimeStamp]]="","",(WTG_BD[[#This Row],[Work Start TimeStamp]]-WTG_BD[[#This Row],[Fault Start TimeStamp]])*24)</f>
        <v>2.95</v>
      </c>
      <c r="R38" s="253">
        <f>(WTG_BD[[#This Row],[Fault Clearance time]]-WTG_BD[[#This Row],[Work Start TimeStamp]])*24</f>
        <v>4.9999999999999822E-2</v>
      </c>
      <c r="S38" s="253">
        <f>(WTG_BD[[#This Row],[Fault Clearance time]]-WTG_BD[[#This Row],[Fault Start TimeStamp]])*24</f>
        <v>3</v>
      </c>
      <c r="T38" s="135" t="s">
        <v>482</v>
      </c>
      <c r="U38" s="244" t="s">
        <v>474</v>
      </c>
      <c r="V38" s="246">
        <f>WTG_BD[[#This Row],[Breakdown Time]]*(1/39)</f>
        <v>7.6923076923076927E-2</v>
      </c>
      <c r="W38" s="244" t="s">
        <v>115</v>
      </c>
      <c r="X38" s="250">
        <v>1179.5</v>
      </c>
      <c r="Y38" s="135" t="s">
        <v>470</v>
      </c>
      <c r="Z38" s="135" t="s">
        <v>475</v>
      </c>
      <c r="AA38" s="135">
        <v>9436</v>
      </c>
      <c r="AB38" s="249">
        <v>1179.5</v>
      </c>
      <c r="AC38" s="135"/>
      <c r="AD38" s="245"/>
      <c r="AE38" s="3"/>
    </row>
    <row r="39" spans="1:31">
      <c r="A39" s="241">
        <f t="shared" si="1"/>
        <v>38</v>
      </c>
      <c r="B39" s="255">
        <v>45747</v>
      </c>
      <c r="C39" s="252">
        <v>2025</v>
      </c>
      <c r="D39" s="252">
        <f>YEAR(WTG_BD[[#This Row],[Date]])</f>
        <v>2025</v>
      </c>
      <c r="E39" s="251">
        <f t="shared" si="2"/>
        <v>45717</v>
      </c>
      <c r="F39" s="252" t="s">
        <v>465</v>
      </c>
      <c r="G39" s="248" t="s">
        <v>121</v>
      </c>
      <c r="H39" s="242" t="str">
        <f>IFERROR(VLOOKUP(WTG_BD[[#This Row],[Affected WTG]],'Basic Data'!$A$3:$E$56,2,0),"")</f>
        <v>PWEGPL</v>
      </c>
      <c r="I39" s="242" t="str">
        <f>IFERROR(VLOOKUP(WTG_BD[[#This Row],[Affected WTG]],'Basic Data'!$A$3:$E$56,3,0),"")</f>
        <v>MSEDCL</v>
      </c>
      <c r="J39" s="243">
        <f>IFERROR(VLOOKUP(WTG_BD[[#This Row],[Affected WTG]],'Basic Data'!$A$3:$E$56,5,0),"")</f>
        <v>2.564102564102564E-2</v>
      </c>
      <c r="K39" s="158">
        <v>812</v>
      </c>
      <c r="L39" s="247" t="str">
        <f>VLOOKUP(K39,'Basic Data'!T:U,2,0)</f>
        <v>Blade Position Meas. Error</v>
      </c>
      <c r="M39" s="135" t="s">
        <v>472</v>
      </c>
      <c r="N39" s="256">
        <v>0.84583333333333333</v>
      </c>
      <c r="O39" s="256">
        <v>0.84583333333333333</v>
      </c>
      <c r="P39" s="256">
        <v>0.84930555555555554</v>
      </c>
      <c r="Q39" s="253">
        <f>IF(WTG_BD[[#This Row],[Work Start TimeStamp]]="","",(WTG_BD[[#This Row],[Work Start TimeStamp]]-WTG_BD[[#This Row],[Fault Start TimeStamp]])*24)</f>
        <v>0</v>
      </c>
      <c r="R39" s="253">
        <f>(WTG_BD[[#This Row],[Fault Clearance time]]-WTG_BD[[#This Row],[Work Start TimeStamp]])*24</f>
        <v>8.3333333333333037E-2</v>
      </c>
      <c r="S39" s="253">
        <f>(WTG_BD[[#This Row],[Fault Clearance time]]-WTG_BD[[#This Row],[Fault Start TimeStamp]])*24</f>
        <v>8.3333333333333037E-2</v>
      </c>
      <c r="T39" s="135" t="s">
        <v>476</v>
      </c>
      <c r="U39" s="244" t="s">
        <v>474</v>
      </c>
      <c r="V39" s="246">
        <f>WTG_BD[[#This Row],[Breakdown Time]]*(1/39)</f>
        <v>2.1367521367521292E-3</v>
      </c>
      <c r="W39" s="244" t="s">
        <v>115</v>
      </c>
      <c r="X39" s="250">
        <v>32.763888888888772</v>
      </c>
      <c r="Y39" s="135" t="s">
        <v>470</v>
      </c>
      <c r="Z39" s="135" t="s">
        <v>475</v>
      </c>
      <c r="AA39" s="135">
        <v>9436</v>
      </c>
      <c r="AB39" s="249">
        <v>32.763888888888772</v>
      </c>
      <c r="AC39" s="135"/>
      <c r="AD39" s="245"/>
      <c r="AE39" s="3"/>
    </row>
    <row r="40" spans="1:31">
      <c r="A40" s="241">
        <f t="shared" si="1"/>
        <v>39</v>
      </c>
      <c r="B40" s="255">
        <v>45747</v>
      </c>
      <c r="C40" s="252">
        <v>2025</v>
      </c>
      <c r="D40" s="252">
        <f>YEAR(WTG_BD[[#This Row],[Date]])</f>
        <v>2025</v>
      </c>
      <c r="E40" s="251">
        <f t="shared" si="2"/>
        <v>45717</v>
      </c>
      <c r="F40" s="252" t="s">
        <v>465</v>
      </c>
      <c r="G40" s="248" t="s">
        <v>123</v>
      </c>
      <c r="H40" s="242" t="str">
        <f>IFERROR(VLOOKUP(WTG_BD[[#This Row],[Affected WTG]],'Basic Data'!$A$3:$E$56,2,0),"")</f>
        <v>PWEGPL</v>
      </c>
      <c r="I40" s="242" t="str">
        <f>IFERROR(VLOOKUP(WTG_BD[[#This Row],[Affected WTG]],'Basic Data'!$A$3:$E$56,3,0),"")</f>
        <v>MSEDCL</v>
      </c>
      <c r="J40" s="243">
        <f>IFERROR(VLOOKUP(WTG_BD[[#This Row],[Affected WTG]],'Basic Data'!$A$3:$E$56,5,0),"")</f>
        <v>2.564102564102564E-2</v>
      </c>
      <c r="K40" s="158">
        <v>222</v>
      </c>
      <c r="L40" s="247" t="str">
        <f>VLOOKUP(K40,'Basic Data'!T:U,2,0)</f>
        <v>Very Low Pressure On Hydraulic Unit</v>
      </c>
      <c r="M40" s="135" t="s">
        <v>472</v>
      </c>
      <c r="N40" s="256">
        <v>0.80555555555555558</v>
      </c>
      <c r="O40" s="256">
        <v>0.82361111111111107</v>
      </c>
      <c r="P40" s="256">
        <v>0.82361111111111107</v>
      </c>
      <c r="Q40" s="253">
        <f>IF(WTG_BD[[#This Row],[Work Start TimeStamp]]="","",(WTG_BD[[#This Row],[Work Start TimeStamp]]-WTG_BD[[#This Row],[Fault Start TimeStamp]])*24)</f>
        <v>0.43333333333333179</v>
      </c>
      <c r="R40" s="253">
        <f>(WTG_BD[[#This Row],[Fault Clearance time]]-WTG_BD[[#This Row],[Work Start TimeStamp]])*24</f>
        <v>0</v>
      </c>
      <c r="S40" s="253">
        <f>(WTG_BD[[#This Row],[Fault Clearance time]]-WTG_BD[[#This Row],[Fault Start TimeStamp]])*24</f>
        <v>0.43333333333333179</v>
      </c>
      <c r="T40" s="135" t="s">
        <v>473</v>
      </c>
      <c r="U40" s="244" t="s">
        <v>474</v>
      </c>
      <c r="V40" s="246">
        <f>WTG_BD[[#This Row],[Breakdown Time]]*(1/39)</f>
        <v>1.1111111111111072E-2</v>
      </c>
      <c r="W40" s="244" t="s">
        <v>126</v>
      </c>
      <c r="X40" s="250">
        <v>106.22083333333296</v>
      </c>
      <c r="Y40" s="135" t="s">
        <v>470</v>
      </c>
      <c r="Z40" s="135" t="s">
        <v>475</v>
      </c>
      <c r="AA40" s="135">
        <v>5883</v>
      </c>
      <c r="AB40" s="249">
        <v>106.22083333333296</v>
      </c>
      <c r="AC40" s="135"/>
      <c r="AD40" s="245"/>
      <c r="AE40" s="3"/>
    </row>
    <row r="41" spans="1:31">
      <c r="A41" s="241">
        <f t="shared" si="1"/>
        <v>40</v>
      </c>
      <c r="B41" s="255">
        <v>45747</v>
      </c>
      <c r="C41" s="252">
        <v>2025</v>
      </c>
      <c r="D41" s="252">
        <f>YEAR(WTG_BD[[#This Row],[Date]])</f>
        <v>2025</v>
      </c>
      <c r="E41" s="251">
        <f t="shared" si="2"/>
        <v>45717</v>
      </c>
      <c r="F41" s="252" t="s">
        <v>465</v>
      </c>
      <c r="G41" s="248" t="s">
        <v>124</v>
      </c>
      <c r="H41" s="242" t="str">
        <f>IFERROR(VLOOKUP(WTG_BD[[#This Row],[Affected WTG]],'Basic Data'!$A$3:$E$56,2,0),"")</f>
        <v>PWEGPL</v>
      </c>
      <c r="I41" s="242" t="str">
        <f>IFERROR(VLOOKUP(WTG_BD[[#This Row],[Affected WTG]],'Basic Data'!$A$3:$E$56,3,0),"")</f>
        <v>MSEDCL</v>
      </c>
      <c r="J41" s="243">
        <f>IFERROR(VLOOKUP(WTG_BD[[#This Row],[Affected WTG]],'Basic Data'!$A$3:$E$56,5,0),"")</f>
        <v>2.564102564102564E-2</v>
      </c>
      <c r="K41" s="158">
        <v>527</v>
      </c>
      <c r="L41" s="247" t="str">
        <f>VLOOKUP(K41,'Basic Data'!T:U,2,0)</f>
        <v>High Temperature Of Upper Radiator</v>
      </c>
      <c r="M41" s="135" t="s">
        <v>472</v>
      </c>
      <c r="N41" s="256">
        <v>0.69027777777777777</v>
      </c>
      <c r="O41" s="256">
        <v>0.69027777777777777</v>
      </c>
      <c r="P41" s="256">
        <v>0.69374999999999998</v>
      </c>
      <c r="Q41" s="253">
        <f>IF(WTG_BD[[#This Row],[Work Start TimeStamp]]="","",(WTG_BD[[#This Row],[Work Start TimeStamp]]-WTG_BD[[#This Row],[Fault Start TimeStamp]])*24)</f>
        <v>0</v>
      </c>
      <c r="R41" s="253">
        <f>(WTG_BD[[#This Row],[Fault Clearance time]]-WTG_BD[[#This Row],[Work Start TimeStamp]])*24</f>
        <v>8.3333333333333037E-2</v>
      </c>
      <c r="S41" s="253">
        <f>(WTG_BD[[#This Row],[Fault Clearance time]]-WTG_BD[[#This Row],[Fault Start TimeStamp]])*24</f>
        <v>8.3333333333333037E-2</v>
      </c>
      <c r="T41" s="135" t="s">
        <v>476</v>
      </c>
      <c r="U41" s="244" t="s">
        <v>474</v>
      </c>
      <c r="V41" s="246">
        <f>WTG_BD[[#This Row],[Breakdown Time]]*(1/39)</f>
        <v>2.1367521367521292E-3</v>
      </c>
      <c r="W41" s="244" t="s">
        <v>125</v>
      </c>
      <c r="X41" s="250">
        <v>34.291666666666544</v>
      </c>
      <c r="Y41" s="135" t="s">
        <v>470</v>
      </c>
      <c r="Z41" s="135" t="s">
        <v>475</v>
      </c>
      <c r="AA41" s="135">
        <v>9876</v>
      </c>
      <c r="AB41" s="249">
        <v>34.291666666666544</v>
      </c>
      <c r="AC41" s="135"/>
      <c r="AD41" s="245"/>
      <c r="AE41" s="3"/>
    </row>
    <row r="42" spans="1:31">
      <c r="A42" s="241">
        <f t="shared" si="1"/>
        <v>41</v>
      </c>
      <c r="B42" s="255">
        <v>45747</v>
      </c>
      <c r="C42" s="252">
        <v>2025</v>
      </c>
      <c r="D42" s="252">
        <f>YEAR(WTG_BD[[#This Row],[Date]])</f>
        <v>2025</v>
      </c>
      <c r="E42" s="251">
        <f t="shared" si="2"/>
        <v>45717</v>
      </c>
      <c r="F42" s="252" t="s">
        <v>465</v>
      </c>
      <c r="G42" s="248" t="s">
        <v>124</v>
      </c>
      <c r="H42" s="242" t="str">
        <f>IFERROR(VLOOKUP(WTG_BD[[#This Row],[Affected WTG]],'Basic Data'!$A$3:$E$56,2,0),"")</f>
        <v>PWEGPL</v>
      </c>
      <c r="I42" s="242" t="str">
        <f>IFERROR(VLOOKUP(WTG_BD[[#This Row],[Affected WTG]],'Basic Data'!$A$3:$E$56,3,0),"")</f>
        <v>MSEDCL</v>
      </c>
      <c r="J42" s="243">
        <f>IFERROR(VLOOKUP(WTG_BD[[#This Row],[Affected WTG]],'Basic Data'!$A$3:$E$56,5,0),"")</f>
        <v>2.564102564102564E-2</v>
      </c>
      <c r="K42" s="158">
        <v>527</v>
      </c>
      <c r="L42" s="247" t="str">
        <f>VLOOKUP(K42,'Basic Data'!T:U,2,0)</f>
        <v>High Temperature Of Upper Radiator</v>
      </c>
      <c r="M42" s="135" t="s">
        <v>472</v>
      </c>
      <c r="N42" s="256">
        <v>0.71736111111111112</v>
      </c>
      <c r="O42" s="256">
        <v>0.71736111111111112</v>
      </c>
      <c r="P42" s="256">
        <v>0.72083333333333333</v>
      </c>
      <c r="Q42" s="253">
        <f>IF(WTG_BD[[#This Row],[Work Start TimeStamp]]="","",(WTG_BD[[#This Row],[Work Start TimeStamp]]-WTG_BD[[#This Row],[Fault Start TimeStamp]])*24)</f>
        <v>0</v>
      </c>
      <c r="R42" s="253">
        <f>(WTG_BD[[#This Row],[Fault Clearance time]]-WTG_BD[[#This Row],[Work Start TimeStamp]])*24</f>
        <v>8.3333333333333037E-2</v>
      </c>
      <c r="S42" s="253">
        <f>(WTG_BD[[#This Row],[Fault Clearance time]]-WTG_BD[[#This Row],[Fault Start TimeStamp]])*24</f>
        <v>8.3333333333333037E-2</v>
      </c>
      <c r="T42" s="135" t="s">
        <v>476</v>
      </c>
      <c r="U42" s="244" t="s">
        <v>474</v>
      </c>
      <c r="V42" s="246">
        <f>WTG_BD[[#This Row],[Breakdown Time]]*(1/39)</f>
        <v>2.1367521367521292E-3</v>
      </c>
      <c r="W42" s="244" t="s">
        <v>125</v>
      </c>
      <c r="X42" s="250">
        <v>34.291666666666544</v>
      </c>
      <c r="Y42" s="135" t="s">
        <v>470</v>
      </c>
      <c r="Z42" s="135" t="s">
        <v>475</v>
      </c>
      <c r="AA42" s="135">
        <v>9876</v>
      </c>
      <c r="AB42" s="249">
        <v>34.291666666666544</v>
      </c>
      <c r="AC42" s="135"/>
      <c r="AD42" s="245"/>
      <c r="AE42" s="3"/>
    </row>
    <row r="43" spans="1:31">
      <c r="A43" s="241">
        <f t="shared" si="1"/>
        <v>42</v>
      </c>
      <c r="B43" s="255">
        <v>45747</v>
      </c>
      <c r="C43" s="252">
        <v>2025</v>
      </c>
      <c r="D43" s="252">
        <f>YEAR(WTG_BD[[#This Row],[Date]])</f>
        <v>2025</v>
      </c>
      <c r="E43" s="251">
        <f t="shared" si="2"/>
        <v>45717</v>
      </c>
      <c r="F43" s="252" t="s">
        <v>465</v>
      </c>
      <c r="G43" s="248" t="s">
        <v>124</v>
      </c>
      <c r="H43" s="242" t="str">
        <f>IFERROR(VLOOKUP(WTG_BD[[#This Row],[Affected WTG]],'Basic Data'!$A$3:$E$56,2,0),"")</f>
        <v>PWEGPL</v>
      </c>
      <c r="I43" s="242" t="str">
        <f>IFERROR(VLOOKUP(WTG_BD[[#This Row],[Affected WTG]],'Basic Data'!$A$3:$E$56,3,0),"")</f>
        <v>MSEDCL</v>
      </c>
      <c r="J43" s="243">
        <f>IFERROR(VLOOKUP(WTG_BD[[#This Row],[Affected WTG]],'Basic Data'!$A$3:$E$56,5,0),"")</f>
        <v>2.564102564102564E-2</v>
      </c>
      <c r="K43" s="158">
        <v>527</v>
      </c>
      <c r="L43" s="247" t="str">
        <f>VLOOKUP(K43,'Basic Data'!T:U,2,0)</f>
        <v>High Temperature Of Upper Radiator</v>
      </c>
      <c r="M43" s="135" t="s">
        <v>472</v>
      </c>
      <c r="N43" s="256">
        <v>0.72916666666666663</v>
      </c>
      <c r="O43" s="256">
        <v>0.72916666666666663</v>
      </c>
      <c r="P43" s="256">
        <v>0.73263888888888884</v>
      </c>
      <c r="Q43" s="253">
        <f>IF(WTG_BD[[#This Row],[Work Start TimeStamp]]="","",(WTG_BD[[#This Row],[Work Start TimeStamp]]-WTG_BD[[#This Row],[Fault Start TimeStamp]])*24)</f>
        <v>0</v>
      </c>
      <c r="R43" s="253">
        <f>(WTG_BD[[#This Row],[Fault Clearance time]]-WTG_BD[[#This Row],[Work Start TimeStamp]])*24</f>
        <v>8.3333333333333037E-2</v>
      </c>
      <c r="S43" s="253">
        <f>(WTG_BD[[#This Row],[Fault Clearance time]]-WTG_BD[[#This Row],[Fault Start TimeStamp]])*24</f>
        <v>8.3333333333333037E-2</v>
      </c>
      <c r="T43" s="135" t="s">
        <v>476</v>
      </c>
      <c r="U43" s="244" t="s">
        <v>474</v>
      </c>
      <c r="V43" s="246">
        <f>WTG_BD[[#This Row],[Breakdown Time]]*(1/39)</f>
        <v>2.1367521367521292E-3</v>
      </c>
      <c r="W43" s="244" t="s">
        <v>125</v>
      </c>
      <c r="X43" s="250">
        <v>34.291666666666544</v>
      </c>
      <c r="Y43" s="135" t="s">
        <v>470</v>
      </c>
      <c r="Z43" s="135" t="s">
        <v>475</v>
      </c>
      <c r="AA43" s="135">
        <v>9876</v>
      </c>
      <c r="AB43" s="249">
        <v>34.291666666666544</v>
      </c>
      <c r="AC43" s="135"/>
      <c r="AD43" s="245"/>
      <c r="AE43" s="3"/>
    </row>
    <row r="44" spans="1:31">
      <c r="A44" s="241">
        <f t="shared" si="1"/>
        <v>43</v>
      </c>
      <c r="B44" s="255">
        <v>45747</v>
      </c>
      <c r="C44" s="252">
        <v>2025</v>
      </c>
      <c r="D44" s="252">
        <f>YEAR(WTG_BD[[#This Row],[Date]])</f>
        <v>2025</v>
      </c>
      <c r="E44" s="251">
        <f t="shared" si="2"/>
        <v>45717</v>
      </c>
      <c r="F44" s="252" t="s">
        <v>465</v>
      </c>
      <c r="G44" s="248" t="s">
        <v>124</v>
      </c>
      <c r="H44" s="242" t="str">
        <f>IFERROR(VLOOKUP(WTG_BD[[#This Row],[Affected WTG]],'Basic Data'!$A$3:$E$56,2,0),"")</f>
        <v>PWEGPL</v>
      </c>
      <c r="I44" s="242" t="str">
        <f>IFERROR(VLOOKUP(WTG_BD[[#This Row],[Affected WTG]],'Basic Data'!$A$3:$E$56,3,0),"")</f>
        <v>MSEDCL</v>
      </c>
      <c r="J44" s="243">
        <f>IFERROR(VLOOKUP(WTG_BD[[#This Row],[Affected WTG]],'Basic Data'!$A$3:$E$56,5,0),"")</f>
        <v>2.564102564102564E-2</v>
      </c>
      <c r="K44" s="158">
        <v>527</v>
      </c>
      <c r="L44" s="247" t="str">
        <f>VLOOKUP(K44,'Basic Data'!T:U,2,0)</f>
        <v>High Temperature Of Upper Radiator</v>
      </c>
      <c r="M44" s="135" t="s">
        <v>472</v>
      </c>
      <c r="N44" s="256">
        <v>0.78749999999999998</v>
      </c>
      <c r="O44" s="256">
        <v>0.82291666666666663</v>
      </c>
      <c r="P44" s="256">
        <v>0.82291666666666663</v>
      </c>
      <c r="Q44" s="253">
        <f>IF(WTG_BD[[#This Row],[Work Start TimeStamp]]="","",(WTG_BD[[#This Row],[Work Start TimeStamp]]-WTG_BD[[#This Row],[Fault Start TimeStamp]])*24)</f>
        <v>0.84999999999999964</v>
      </c>
      <c r="R44" s="253">
        <f>(WTG_BD[[#This Row],[Fault Clearance time]]-WTG_BD[[#This Row],[Work Start TimeStamp]])*24</f>
        <v>0</v>
      </c>
      <c r="S44" s="253">
        <f>(WTG_BD[[#This Row],[Fault Clearance time]]-WTG_BD[[#This Row],[Fault Start TimeStamp]])*24</f>
        <v>0.84999999999999964</v>
      </c>
      <c r="T44" s="135" t="s">
        <v>473</v>
      </c>
      <c r="U44" s="244" t="s">
        <v>474</v>
      </c>
      <c r="V44" s="246">
        <f>WTG_BD[[#This Row],[Breakdown Time]]*(1/39)</f>
        <v>2.1794871794871783E-2</v>
      </c>
      <c r="W44" s="244" t="s">
        <v>125</v>
      </c>
      <c r="X44" s="250">
        <v>349.77499999999986</v>
      </c>
      <c r="Y44" s="135" t="s">
        <v>470</v>
      </c>
      <c r="Z44" s="135" t="s">
        <v>475</v>
      </c>
      <c r="AA44" s="135">
        <v>9876</v>
      </c>
      <c r="AB44" s="249">
        <v>349.77499999999986</v>
      </c>
      <c r="AC44" s="135"/>
      <c r="AD44" s="245"/>
      <c r="AE44" s="3"/>
    </row>
    <row r="45" spans="1:31">
      <c r="A45" s="241">
        <f t="shared" si="1"/>
        <v>44</v>
      </c>
      <c r="B45" s="255">
        <v>45747</v>
      </c>
      <c r="C45" s="252">
        <v>2025</v>
      </c>
      <c r="D45" s="252">
        <f>YEAR(WTG_BD[[#This Row],[Date]])</f>
        <v>2025</v>
      </c>
      <c r="E45" s="251">
        <f t="shared" si="2"/>
        <v>45717</v>
      </c>
      <c r="F45" s="252" t="s">
        <v>465</v>
      </c>
      <c r="G45" s="248" t="s">
        <v>125</v>
      </c>
      <c r="H45" s="242" t="str">
        <f>IFERROR(VLOOKUP(WTG_BD[[#This Row],[Affected WTG]],'Basic Data'!$A$3:$E$56,2,0),"")</f>
        <v>PWEGPL</v>
      </c>
      <c r="I45" s="242" t="str">
        <f>IFERROR(VLOOKUP(WTG_BD[[#This Row],[Affected WTG]],'Basic Data'!$A$3:$E$56,3,0),"")</f>
        <v>MSEDCL</v>
      </c>
      <c r="J45" s="243">
        <f>IFERROR(VLOOKUP(WTG_BD[[#This Row],[Affected WTG]],'Basic Data'!$A$3:$E$56,5,0),"")</f>
        <v>2.564102564102564E-2</v>
      </c>
      <c r="K45" s="158">
        <v>116</v>
      </c>
      <c r="L45" s="247" t="str">
        <f>VLOOKUP(K45,'Basic Data'!T:U,2,0)</f>
        <v>Orienting and High Yaw Brake Pressure</v>
      </c>
      <c r="M45" s="135" t="s">
        <v>472</v>
      </c>
      <c r="N45" s="256">
        <v>0.69305555555555554</v>
      </c>
      <c r="O45" s="256">
        <v>0.69305555555555554</v>
      </c>
      <c r="P45" s="256">
        <v>0.69652777777777775</v>
      </c>
      <c r="Q45" s="253">
        <f>IF(WTG_BD[[#This Row],[Work Start TimeStamp]]="","",(WTG_BD[[#This Row],[Work Start TimeStamp]]-WTG_BD[[#This Row],[Fault Start TimeStamp]])*24)</f>
        <v>0</v>
      </c>
      <c r="R45" s="253">
        <f>(WTG_BD[[#This Row],[Fault Clearance time]]-WTG_BD[[#This Row],[Work Start TimeStamp]])*24</f>
        <v>8.3333333333333037E-2</v>
      </c>
      <c r="S45" s="253">
        <f>(WTG_BD[[#This Row],[Fault Clearance time]]-WTG_BD[[#This Row],[Fault Start TimeStamp]])*24</f>
        <v>8.3333333333333037E-2</v>
      </c>
      <c r="T45" s="135" t="s">
        <v>476</v>
      </c>
      <c r="U45" s="244" t="s">
        <v>474</v>
      </c>
      <c r="V45" s="246">
        <f>WTG_BD[[#This Row],[Breakdown Time]]*(1/39)</f>
        <v>2.1367521367521292E-3</v>
      </c>
      <c r="W45" s="244" t="s">
        <v>124</v>
      </c>
      <c r="X45" s="250">
        <v>25.6388888888888</v>
      </c>
      <c r="Y45" s="135" t="s">
        <v>470</v>
      </c>
      <c r="Z45" s="135" t="s">
        <v>475</v>
      </c>
      <c r="AA45" s="135">
        <v>7384</v>
      </c>
      <c r="AB45" s="249">
        <v>25.6388888888888</v>
      </c>
      <c r="AC45" s="135"/>
      <c r="AD45" s="245"/>
      <c r="AE45" s="3"/>
    </row>
    <row r="46" spans="1:31">
      <c r="A46" s="241">
        <f t="shared" si="1"/>
        <v>45</v>
      </c>
      <c r="B46" s="255">
        <v>45747</v>
      </c>
      <c r="C46" s="252">
        <v>2025</v>
      </c>
      <c r="D46" s="252">
        <f>YEAR(WTG_BD[[#This Row],[Date]])</f>
        <v>2025</v>
      </c>
      <c r="E46" s="251">
        <f t="shared" si="2"/>
        <v>45717</v>
      </c>
      <c r="F46" s="252" t="s">
        <v>465</v>
      </c>
      <c r="G46" s="248" t="s">
        <v>126</v>
      </c>
      <c r="H46" s="242" t="str">
        <f>IFERROR(VLOOKUP(WTG_BD[[#This Row],[Affected WTG]],'Basic Data'!$A$3:$E$56,2,0),"")</f>
        <v>PWEGPL</v>
      </c>
      <c r="I46" s="242" t="str">
        <f>IFERROR(VLOOKUP(WTG_BD[[#This Row],[Affected WTG]],'Basic Data'!$A$3:$E$56,3,0),"")</f>
        <v>MSEDCL</v>
      </c>
      <c r="J46" s="243">
        <f>IFERROR(VLOOKUP(WTG_BD[[#This Row],[Affected WTG]],'Basic Data'!$A$3:$E$56,5,0),"")</f>
        <v>2.564102564102564E-2</v>
      </c>
      <c r="K46" s="158">
        <v>203</v>
      </c>
      <c r="L46" s="247" t="str">
        <f>VLOOKUP(K46,'Basic Data'!T:U,2,0)</f>
        <v>Low Pressure On Hydraulic Group</v>
      </c>
      <c r="M46" s="135" t="s">
        <v>472</v>
      </c>
      <c r="N46" s="256">
        <v>0.68402777777777779</v>
      </c>
      <c r="O46" s="256">
        <v>0.68402777777777779</v>
      </c>
      <c r="P46" s="256">
        <v>0.68680555555555556</v>
      </c>
      <c r="Q46" s="253">
        <f>IF(WTG_BD[[#This Row],[Work Start TimeStamp]]="","",(WTG_BD[[#This Row],[Work Start TimeStamp]]-WTG_BD[[#This Row],[Fault Start TimeStamp]])*24)</f>
        <v>0</v>
      </c>
      <c r="R46" s="253">
        <f>(WTG_BD[[#This Row],[Fault Clearance time]]-WTG_BD[[#This Row],[Work Start TimeStamp]])*24</f>
        <v>6.666666666666643E-2</v>
      </c>
      <c r="S46" s="253">
        <f>(WTG_BD[[#This Row],[Fault Clearance time]]-WTG_BD[[#This Row],[Fault Start TimeStamp]])*24</f>
        <v>6.666666666666643E-2</v>
      </c>
      <c r="T46" s="135" t="s">
        <v>476</v>
      </c>
      <c r="U46" s="244" t="s">
        <v>474</v>
      </c>
      <c r="V46" s="246">
        <f>WTG_BD[[#This Row],[Breakdown Time]]*(1/39)</f>
        <v>1.7094017094017033E-3</v>
      </c>
      <c r="W46" s="244" t="s">
        <v>127</v>
      </c>
      <c r="X46" s="250">
        <v>21.383333333333258</v>
      </c>
      <c r="Y46" s="135" t="s">
        <v>470</v>
      </c>
      <c r="Z46" s="135" t="s">
        <v>475</v>
      </c>
      <c r="AA46" s="135">
        <v>7698</v>
      </c>
      <c r="AB46" s="249">
        <v>21.383333333333258</v>
      </c>
      <c r="AC46" s="135"/>
      <c r="AD46" s="245"/>
      <c r="AE46" s="3"/>
    </row>
    <row r="47" spans="1:31">
      <c r="A47" s="241">
        <f t="shared" si="1"/>
        <v>46</v>
      </c>
      <c r="B47" s="255">
        <v>45747</v>
      </c>
      <c r="C47" s="252">
        <v>2025</v>
      </c>
      <c r="D47" s="252">
        <f>YEAR(WTG_BD[[#This Row],[Date]])</f>
        <v>2025</v>
      </c>
      <c r="E47" s="251">
        <f t="shared" si="2"/>
        <v>45717</v>
      </c>
      <c r="F47" s="252" t="s">
        <v>465</v>
      </c>
      <c r="G47" s="248" t="s">
        <v>126</v>
      </c>
      <c r="H47" s="242" t="str">
        <f>IFERROR(VLOOKUP(WTG_BD[[#This Row],[Affected WTG]],'Basic Data'!$A$3:$E$56,2,0),"")</f>
        <v>PWEGPL</v>
      </c>
      <c r="I47" s="242" t="str">
        <f>IFERROR(VLOOKUP(WTG_BD[[#This Row],[Affected WTG]],'Basic Data'!$A$3:$E$56,3,0),"")</f>
        <v>MSEDCL</v>
      </c>
      <c r="J47" s="243">
        <f>IFERROR(VLOOKUP(WTG_BD[[#This Row],[Affected WTG]],'Basic Data'!$A$3:$E$56,5,0),"")</f>
        <v>2.564102564102564E-2</v>
      </c>
      <c r="K47" s="158">
        <v>5210</v>
      </c>
      <c r="L47" s="247" t="str">
        <f>VLOOKUP(K47,'Basic Data'!T:U,2,0)</f>
        <v>Failure Of The Contactor's Rotor Power</v>
      </c>
      <c r="M47" s="135" t="s">
        <v>472</v>
      </c>
      <c r="N47" s="256">
        <v>0.68819444444444444</v>
      </c>
      <c r="O47" s="256">
        <v>0.68819444444444444</v>
      </c>
      <c r="P47" s="256">
        <v>0.70138888888888884</v>
      </c>
      <c r="Q47" s="253">
        <f>IF(WTG_BD[[#This Row],[Work Start TimeStamp]]="","",(WTG_BD[[#This Row],[Work Start TimeStamp]]-WTG_BD[[#This Row],[Fault Start TimeStamp]])*24)</f>
        <v>0</v>
      </c>
      <c r="R47" s="253">
        <f>(WTG_BD[[#This Row],[Fault Clearance time]]-WTG_BD[[#This Row],[Work Start TimeStamp]])*24</f>
        <v>0.31666666666666554</v>
      </c>
      <c r="S47" s="253">
        <f>(WTG_BD[[#This Row],[Fault Clearance time]]-WTG_BD[[#This Row],[Fault Start TimeStamp]])*24</f>
        <v>0.31666666666666554</v>
      </c>
      <c r="T47" s="135" t="s">
        <v>473</v>
      </c>
      <c r="U47" s="244" t="s">
        <v>474</v>
      </c>
      <c r="V47" s="246">
        <f>WTG_BD[[#This Row],[Breakdown Time]]*(1/39)</f>
        <v>8.1196581196580908E-3</v>
      </c>
      <c r="W47" s="244" t="s">
        <v>127</v>
      </c>
      <c r="X47" s="250">
        <v>101.57083333333297</v>
      </c>
      <c r="Y47" s="135" t="s">
        <v>470</v>
      </c>
      <c r="Z47" s="135" t="s">
        <v>475</v>
      </c>
      <c r="AA47" s="135">
        <v>7698</v>
      </c>
      <c r="AB47" s="249">
        <v>101.57083333333297</v>
      </c>
      <c r="AC47" s="135"/>
      <c r="AD47" s="245"/>
      <c r="AE47" s="3"/>
    </row>
    <row r="48" spans="1:31">
      <c r="A48" s="241">
        <f t="shared" si="1"/>
        <v>47</v>
      </c>
      <c r="B48" s="255">
        <v>45747</v>
      </c>
      <c r="C48" s="252">
        <v>2025</v>
      </c>
      <c r="D48" s="252">
        <f>YEAR(WTG_BD[[#This Row],[Date]])</f>
        <v>2025</v>
      </c>
      <c r="E48" s="251">
        <f t="shared" si="2"/>
        <v>45717</v>
      </c>
      <c r="F48" s="252" t="s">
        <v>465</v>
      </c>
      <c r="G48" s="248" t="s">
        <v>126</v>
      </c>
      <c r="H48" s="242" t="str">
        <f>IFERROR(VLOOKUP(WTG_BD[[#This Row],[Affected WTG]],'Basic Data'!$A$3:$E$56,2,0),"")</f>
        <v>PWEGPL</v>
      </c>
      <c r="I48" s="242" t="str">
        <f>IFERROR(VLOOKUP(WTG_BD[[#This Row],[Affected WTG]],'Basic Data'!$A$3:$E$56,3,0),"")</f>
        <v>MSEDCL</v>
      </c>
      <c r="J48" s="243">
        <f>IFERROR(VLOOKUP(WTG_BD[[#This Row],[Affected WTG]],'Basic Data'!$A$3:$E$56,5,0),"")</f>
        <v>2.564102564102564E-2</v>
      </c>
      <c r="K48" s="158">
        <v>203</v>
      </c>
      <c r="L48" s="247" t="str">
        <f>VLOOKUP(K48,'Basic Data'!T:U,2,0)</f>
        <v>Low Pressure On Hydraulic Group</v>
      </c>
      <c r="M48" s="135" t="s">
        <v>472</v>
      </c>
      <c r="N48" s="256">
        <v>0.70277777777777772</v>
      </c>
      <c r="O48" s="256">
        <v>0.70277777777777772</v>
      </c>
      <c r="P48" s="256">
        <v>0.75347222222222221</v>
      </c>
      <c r="Q48" s="253">
        <f>IF(WTG_BD[[#This Row],[Work Start TimeStamp]]="","",(WTG_BD[[#This Row],[Work Start TimeStamp]]-WTG_BD[[#This Row],[Fault Start TimeStamp]])*24)</f>
        <v>0</v>
      </c>
      <c r="R48" s="253">
        <f>(WTG_BD[[#This Row],[Fault Clearance time]]-WTG_BD[[#This Row],[Work Start TimeStamp]])*24</f>
        <v>1.2166666666666677</v>
      </c>
      <c r="S48" s="253">
        <f>(WTG_BD[[#This Row],[Fault Clearance time]]-WTG_BD[[#This Row],[Fault Start TimeStamp]])*24</f>
        <v>1.2166666666666677</v>
      </c>
      <c r="T48" s="135" t="s">
        <v>473</v>
      </c>
      <c r="U48" s="244" t="s">
        <v>474</v>
      </c>
      <c r="V48" s="246">
        <f>WTG_BD[[#This Row],[Breakdown Time]]*(1/39)</f>
        <v>3.1196581196581221E-2</v>
      </c>
      <c r="W48" s="244" t="s">
        <v>127</v>
      </c>
      <c r="X48" s="250">
        <v>390.24583333333368</v>
      </c>
      <c r="Y48" s="135" t="s">
        <v>470</v>
      </c>
      <c r="Z48" s="135" t="s">
        <v>475</v>
      </c>
      <c r="AA48" s="135">
        <v>7698</v>
      </c>
      <c r="AB48" s="249">
        <v>390.24583333333368</v>
      </c>
      <c r="AC48" s="135"/>
      <c r="AD48" s="245"/>
      <c r="AE48" s="3"/>
    </row>
    <row r="49" spans="1:31">
      <c r="A49" s="241">
        <f t="shared" si="1"/>
        <v>48</v>
      </c>
      <c r="B49" s="255">
        <v>45747</v>
      </c>
      <c r="C49" s="252">
        <v>2025</v>
      </c>
      <c r="D49" s="252">
        <f>YEAR(WTG_BD[[#This Row],[Date]])</f>
        <v>2025</v>
      </c>
      <c r="E49" s="251">
        <f t="shared" si="2"/>
        <v>45717</v>
      </c>
      <c r="F49" s="252" t="s">
        <v>465</v>
      </c>
      <c r="G49" s="248" t="s">
        <v>126</v>
      </c>
      <c r="H49" s="242" t="str">
        <f>IFERROR(VLOOKUP(WTG_BD[[#This Row],[Affected WTG]],'Basic Data'!$A$3:$E$56,2,0),"")</f>
        <v>PWEGPL</v>
      </c>
      <c r="I49" s="242" t="str">
        <f>IFERROR(VLOOKUP(WTG_BD[[#This Row],[Affected WTG]],'Basic Data'!$A$3:$E$56,3,0),"")</f>
        <v>MSEDCL</v>
      </c>
      <c r="J49" s="243">
        <f>IFERROR(VLOOKUP(WTG_BD[[#This Row],[Affected WTG]],'Basic Data'!$A$3:$E$56,5,0),"")</f>
        <v>2.564102564102564E-2</v>
      </c>
      <c r="K49" s="158">
        <v>812</v>
      </c>
      <c r="L49" s="247" t="str">
        <f>VLOOKUP(K49,'Basic Data'!T:U,2,0)</f>
        <v>Blade Position Meas. Error</v>
      </c>
      <c r="M49" s="135" t="s">
        <v>472</v>
      </c>
      <c r="N49" s="256">
        <v>0.76388888888888884</v>
      </c>
      <c r="O49" s="256">
        <v>0.76388888888888884</v>
      </c>
      <c r="P49" s="256">
        <v>0.77083333333333337</v>
      </c>
      <c r="Q49" s="253">
        <f>IF(WTG_BD[[#This Row],[Work Start TimeStamp]]="","",(WTG_BD[[#This Row],[Work Start TimeStamp]]-WTG_BD[[#This Row],[Fault Start TimeStamp]])*24)</f>
        <v>0</v>
      </c>
      <c r="R49" s="253">
        <f>(WTG_BD[[#This Row],[Fault Clearance time]]-WTG_BD[[#This Row],[Work Start TimeStamp]])*24</f>
        <v>0.16666666666666874</v>
      </c>
      <c r="S49" s="253">
        <f>(WTG_BD[[#This Row],[Fault Clearance time]]-WTG_BD[[#This Row],[Fault Start TimeStamp]])*24</f>
        <v>0.16666666666666874</v>
      </c>
      <c r="T49" s="135" t="s">
        <v>476</v>
      </c>
      <c r="U49" s="244" t="s">
        <v>474</v>
      </c>
      <c r="V49" s="246">
        <f>WTG_BD[[#This Row],[Breakdown Time]]*(1/39)</f>
        <v>4.2735042735043268E-3</v>
      </c>
      <c r="W49" s="244" t="s">
        <v>127</v>
      </c>
      <c r="X49" s="250">
        <v>53.458333333333997</v>
      </c>
      <c r="Y49" s="135" t="s">
        <v>470</v>
      </c>
      <c r="Z49" s="135" t="s">
        <v>475</v>
      </c>
      <c r="AA49" s="135">
        <v>7698</v>
      </c>
      <c r="AB49" s="249">
        <v>53.458333333333997</v>
      </c>
      <c r="AC49" s="135"/>
      <c r="AD49" s="245"/>
      <c r="AE49" s="3"/>
    </row>
    <row r="50" spans="1:31">
      <c r="A50" s="241">
        <f t="shared" si="1"/>
        <v>49</v>
      </c>
      <c r="B50" s="255">
        <v>45747</v>
      </c>
      <c r="C50" s="252">
        <v>2025</v>
      </c>
      <c r="D50" s="252">
        <f>YEAR(WTG_BD[[#This Row],[Date]])</f>
        <v>2025</v>
      </c>
      <c r="E50" s="251">
        <f t="shared" si="2"/>
        <v>45717</v>
      </c>
      <c r="F50" s="252" t="s">
        <v>465</v>
      </c>
      <c r="G50" s="248" t="s">
        <v>126</v>
      </c>
      <c r="H50" s="242" t="str">
        <f>IFERROR(VLOOKUP(WTG_BD[[#This Row],[Affected WTG]],'Basic Data'!$A$3:$E$56,2,0),"")</f>
        <v>PWEGPL</v>
      </c>
      <c r="I50" s="242" t="str">
        <f>IFERROR(VLOOKUP(WTG_BD[[#This Row],[Affected WTG]],'Basic Data'!$A$3:$E$56,3,0),"")</f>
        <v>MSEDCL</v>
      </c>
      <c r="J50" s="243">
        <f>IFERROR(VLOOKUP(WTG_BD[[#This Row],[Affected WTG]],'Basic Data'!$A$3:$E$56,5,0),"")</f>
        <v>2.564102564102564E-2</v>
      </c>
      <c r="K50" s="158">
        <v>203</v>
      </c>
      <c r="L50" s="247" t="str">
        <f>VLOOKUP(K50,'Basic Data'!T:U,2,0)</f>
        <v>Low Pressure On Hydraulic Group</v>
      </c>
      <c r="M50" s="135" t="s">
        <v>472</v>
      </c>
      <c r="N50" s="256">
        <v>0.84513888888888888</v>
      </c>
      <c r="O50" s="256">
        <v>0.9145833333333333</v>
      </c>
      <c r="P50" s="256">
        <v>0.92777777777777781</v>
      </c>
      <c r="Q50" s="253">
        <f>IF(WTG_BD[[#This Row],[Work Start TimeStamp]]="","",(WTG_BD[[#This Row],[Work Start TimeStamp]]-WTG_BD[[#This Row],[Fault Start TimeStamp]])*24)</f>
        <v>1.6666666666666661</v>
      </c>
      <c r="R50" s="253">
        <f>(WTG_BD[[#This Row],[Fault Clearance time]]-WTG_BD[[#This Row],[Work Start TimeStamp]])*24</f>
        <v>0.31666666666666821</v>
      </c>
      <c r="S50" s="253">
        <f>(WTG_BD[[#This Row],[Fault Clearance time]]-WTG_BD[[#This Row],[Fault Start TimeStamp]])*24</f>
        <v>1.9833333333333343</v>
      </c>
      <c r="T50" s="135" t="s">
        <v>482</v>
      </c>
      <c r="U50" s="244" t="s">
        <v>474</v>
      </c>
      <c r="V50" s="246">
        <f>WTG_BD[[#This Row],[Breakdown Time]]*(1/39)</f>
        <v>5.0854700854700875E-2</v>
      </c>
      <c r="W50" s="244" t="s">
        <v>127</v>
      </c>
      <c r="X50" s="250">
        <v>636.15416666666692</v>
      </c>
      <c r="Y50" s="135" t="s">
        <v>470</v>
      </c>
      <c r="Z50" s="135" t="s">
        <v>475</v>
      </c>
      <c r="AA50" s="135">
        <v>7698</v>
      </c>
      <c r="AB50" s="249">
        <v>636.15416666666692</v>
      </c>
      <c r="AC50" s="135"/>
      <c r="AD50" s="245"/>
      <c r="AE50" s="3"/>
    </row>
    <row r="51" spans="1:31">
      <c r="A51" s="241">
        <f t="shared" si="1"/>
        <v>50</v>
      </c>
      <c r="B51" s="255">
        <v>45747</v>
      </c>
      <c r="C51" s="252">
        <v>2025</v>
      </c>
      <c r="D51" s="252">
        <f>YEAR(WTG_BD[[#This Row],[Date]])</f>
        <v>2025</v>
      </c>
      <c r="E51" s="251">
        <f t="shared" si="2"/>
        <v>45717</v>
      </c>
      <c r="F51" s="252" t="s">
        <v>465</v>
      </c>
      <c r="G51" s="248" t="s">
        <v>127</v>
      </c>
      <c r="H51" s="242" t="str">
        <f>IFERROR(VLOOKUP(WTG_BD[[#This Row],[Affected WTG]],'Basic Data'!$A$3:$E$56,2,0),"")</f>
        <v>PWEGPL</v>
      </c>
      <c r="I51" s="242" t="str">
        <f>IFERROR(VLOOKUP(WTG_BD[[#This Row],[Affected WTG]],'Basic Data'!$A$3:$E$56,3,0),"")</f>
        <v>MSEDCL</v>
      </c>
      <c r="J51" s="243">
        <f>IFERROR(VLOOKUP(WTG_BD[[#This Row],[Affected WTG]],'Basic Data'!$A$3:$E$56,5,0),"")</f>
        <v>2.564102564102564E-2</v>
      </c>
      <c r="K51" s="158">
        <v>550</v>
      </c>
      <c r="L51" s="247" t="str">
        <f>VLOOKUP(K51,'Basic Data'!T:U,2,0)</f>
        <v>Generator Fans Thermal Relay Triggered Too Long</v>
      </c>
      <c r="M51" s="135" t="s">
        <v>472</v>
      </c>
      <c r="N51" s="256">
        <v>0.63194444444444442</v>
      </c>
      <c r="O51" s="256">
        <v>0.65972222222222221</v>
      </c>
      <c r="P51" s="256">
        <v>0.66805555555555551</v>
      </c>
      <c r="Q51" s="253">
        <f>IF(WTG_BD[[#This Row],[Work Start TimeStamp]]="","",(WTG_BD[[#This Row],[Work Start TimeStamp]]-WTG_BD[[#This Row],[Fault Start TimeStamp]])*24)</f>
        <v>0.66666666666666696</v>
      </c>
      <c r="R51" s="253">
        <f>(WTG_BD[[#This Row],[Fault Clearance time]]-WTG_BD[[#This Row],[Work Start TimeStamp]])*24</f>
        <v>0.19999999999999929</v>
      </c>
      <c r="S51" s="253">
        <f>(WTG_BD[[#This Row],[Fault Clearance time]]-WTG_BD[[#This Row],[Fault Start TimeStamp]])*24</f>
        <v>0.86666666666666625</v>
      </c>
      <c r="T51" s="135" t="s">
        <v>473</v>
      </c>
      <c r="U51" s="244" t="s">
        <v>474</v>
      </c>
      <c r="V51" s="246">
        <f>WTG_BD[[#This Row],[Breakdown Time]]*(1/39)</f>
        <v>2.2222222222222209E-2</v>
      </c>
      <c r="W51" s="244" t="s">
        <v>128</v>
      </c>
      <c r="X51" s="250">
        <v>267.51111111111101</v>
      </c>
      <c r="Y51" s="135" t="s">
        <v>470</v>
      </c>
      <c r="Z51" s="135" t="s">
        <v>475</v>
      </c>
      <c r="AA51" s="135">
        <v>7408</v>
      </c>
      <c r="AB51" s="249">
        <v>267.51111111111101</v>
      </c>
      <c r="AC51" s="135"/>
      <c r="AD51" s="245"/>
      <c r="AE51" s="3"/>
    </row>
    <row r="52" spans="1:31">
      <c r="A52" s="241">
        <f t="shared" si="1"/>
        <v>51</v>
      </c>
      <c r="B52" s="255">
        <v>45747</v>
      </c>
      <c r="C52" s="252">
        <v>2025</v>
      </c>
      <c r="D52" s="252">
        <f>YEAR(WTG_BD[[#This Row],[Date]])</f>
        <v>2025</v>
      </c>
      <c r="E52" s="251">
        <f t="shared" si="2"/>
        <v>45717</v>
      </c>
      <c r="F52" s="252" t="s">
        <v>465</v>
      </c>
      <c r="G52" s="248" t="s">
        <v>127</v>
      </c>
      <c r="H52" s="242" t="str">
        <f>IFERROR(VLOOKUP(WTG_BD[[#This Row],[Affected WTG]],'Basic Data'!$A$3:$E$56,2,0),"")</f>
        <v>PWEGPL</v>
      </c>
      <c r="I52" s="242" t="str">
        <f>IFERROR(VLOOKUP(WTG_BD[[#This Row],[Affected WTG]],'Basic Data'!$A$3:$E$56,3,0),"")</f>
        <v>MSEDCL</v>
      </c>
      <c r="J52" s="243">
        <f>IFERROR(VLOOKUP(WTG_BD[[#This Row],[Affected WTG]],'Basic Data'!$A$3:$E$56,5,0),"")</f>
        <v>2.564102564102564E-2</v>
      </c>
      <c r="K52" s="158">
        <v>426</v>
      </c>
      <c r="L52" s="247" t="str">
        <f>VLOOKUP(K52,'Basic Data'!T:U,2,0)</f>
        <v>Rotor Speed Reading Failure</v>
      </c>
      <c r="M52" s="135" t="s">
        <v>472</v>
      </c>
      <c r="N52" s="256">
        <v>0.8569444444444444</v>
      </c>
      <c r="O52" s="256">
        <v>0.8569444444444444</v>
      </c>
      <c r="P52" s="256">
        <v>0.86458333333333337</v>
      </c>
      <c r="Q52" s="253">
        <f>IF(WTG_BD[[#This Row],[Work Start TimeStamp]]="","",(WTG_BD[[#This Row],[Work Start TimeStamp]]-WTG_BD[[#This Row],[Fault Start TimeStamp]])*24)</f>
        <v>0</v>
      </c>
      <c r="R52" s="253">
        <f>(WTG_BD[[#This Row],[Fault Clearance time]]-WTG_BD[[#This Row],[Work Start TimeStamp]])*24</f>
        <v>0.18333333333333535</v>
      </c>
      <c r="S52" s="253">
        <f>(WTG_BD[[#This Row],[Fault Clearance time]]-WTG_BD[[#This Row],[Fault Start TimeStamp]])*24</f>
        <v>0.18333333333333535</v>
      </c>
      <c r="T52" s="135" t="s">
        <v>476</v>
      </c>
      <c r="U52" s="244" t="s">
        <v>474</v>
      </c>
      <c r="V52" s="246">
        <f>WTG_BD[[#This Row],[Breakdown Time]]*(1/39)</f>
        <v>4.7008547008547527E-3</v>
      </c>
      <c r="W52" s="244" t="s">
        <v>128</v>
      </c>
      <c r="X52" s="250">
        <v>56.588888888889514</v>
      </c>
      <c r="Y52" s="135" t="s">
        <v>470</v>
      </c>
      <c r="Z52" s="135" t="s">
        <v>475</v>
      </c>
      <c r="AA52" s="135">
        <v>7408</v>
      </c>
      <c r="AB52" s="249">
        <v>56.588888888889514</v>
      </c>
      <c r="AC52" s="135"/>
      <c r="AD52" s="245"/>
      <c r="AE52" s="3"/>
    </row>
    <row r="53" spans="1:31">
      <c r="A53" s="241">
        <f t="shared" si="1"/>
        <v>52</v>
      </c>
      <c r="B53" s="255">
        <v>45747</v>
      </c>
      <c r="C53" s="252">
        <v>2025</v>
      </c>
      <c r="D53" s="252">
        <f>YEAR(WTG_BD[[#This Row],[Date]])</f>
        <v>2025</v>
      </c>
      <c r="E53" s="251">
        <f t="shared" si="2"/>
        <v>45717</v>
      </c>
      <c r="F53" s="252" t="s">
        <v>465</v>
      </c>
      <c r="G53" s="248" t="s">
        <v>128</v>
      </c>
      <c r="H53" s="242" t="str">
        <f>IFERROR(VLOOKUP(WTG_BD[[#This Row],[Affected WTG]],'Basic Data'!$A$3:$E$56,2,0),"")</f>
        <v>PWEGPL</v>
      </c>
      <c r="I53" s="242" t="str">
        <f>IFERROR(VLOOKUP(WTG_BD[[#This Row],[Affected WTG]],'Basic Data'!$A$3:$E$56,3,0),"")</f>
        <v>MSEDCL</v>
      </c>
      <c r="J53" s="243">
        <f>IFERROR(VLOOKUP(WTG_BD[[#This Row],[Affected WTG]],'Basic Data'!$A$3:$E$56,5,0),"")</f>
        <v>2.564102564102564E-2</v>
      </c>
      <c r="K53" s="158">
        <v>205</v>
      </c>
      <c r="L53" s="247" t="str">
        <f>VLOOKUP(K53,'Basic Data'!T:U,2,0)</f>
        <v>Low Level Hydraulic Group Refrigeration Oil</v>
      </c>
      <c r="M53" s="135" t="s">
        <v>472</v>
      </c>
      <c r="N53" s="256">
        <v>0.35416666666666669</v>
      </c>
      <c r="O53" s="256">
        <v>0.46597222222222223</v>
      </c>
      <c r="P53" s="256">
        <v>0.54166666666666663</v>
      </c>
      <c r="Q53" s="253">
        <f>IF(WTG_BD[[#This Row],[Work Start TimeStamp]]="","",(WTG_BD[[#This Row],[Work Start TimeStamp]]-WTG_BD[[#This Row],[Fault Start TimeStamp]])*24)</f>
        <v>2.6833333333333331</v>
      </c>
      <c r="R53" s="253">
        <f>(WTG_BD[[#This Row],[Fault Clearance time]]-WTG_BD[[#This Row],[Work Start TimeStamp]])*24</f>
        <v>1.8166666666666655</v>
      </c>
      <c r="S53" s="253">
        <f>(WTG_BD[[#This Row],[Fault Clearance time]]-WTG_BD[[#This Row],[Fault Start TimeStamp]])*24</f>
        <v>4.4999999999999982</v>
      </c>
      <c r="T53" s="135" t="s">
        <v>484</v>
      </c>
      <c r="U53" s="244" t="s">
        <v>474</v>
      </c>
      <c r="V53" s="246">
        <f>WTG_BD[[#This Row],[Breakdown Time]]*(1/39)</f>
        <v>0.11538461538461534</v>
      </c>
      <c r="W53" s="244" t="s">
        <v>129</v>
      </c>
      <c r="X53" s="250">
        <v>1157.4374999999995</v>
      </c>
      <c r="Y53" s="135" t="s">
        <v>470</v>
      </c>
      <c r="Z53" s="135" t="s">
        <v>475</v>
      </c>
      <c r="AA53" s="135">
        <v>6173</v>
      </c>
      <c r="AB53" s="249">
        <v>1157.4374999999995</v>
      </c>
      <c r="AC53" s="135"/>
      <c r="AD53" s="245"/>
      <c r="AE53" s="3"/>
    </row>
    <row r="54" spans="1:31">
      <c r="A54" s="241">
        <f t="shared" si="1"/>
        <v>53</v>
      </c>
      <c r="B54" s="255">
        <v>45747</v>
      </c>
      <c r="C54" s="252">
        <v>2025</v>
      </c>
      <c r="D54" s="252">
        <f>YEAR(WTG_BD[[#This Row],[Date]])</f>
        <v>2025</v>
      </c>
      <c r="E54" s="251">
        <f t="shared" si="2"/>
        <v>45717</v>
      </c>
      <c r="F54" s="252" t="s">
        <v>465</v>
      </c>
      <c r="G54" s="248" t="s">
        <v>128</v>
      </c>
      <c r="H54" s="242" t="str">
        <f>IFERROR(VLOOKUP(WTG_BD[[#This Row],[Affected WTG]],'Basic Data'!$A$3:$E$56,2,0),"")</f>
        <v>PWEGPL</v>
      </c>
      <c r="I54" s="242" t="str">
        <f>IFERROR(VLOOKUP(WTG_BD[[#This Row],[Affected WTG]],'Basic Data'!$A$3:$E$56,3,0),"")</f>
        <v>MSEDCL</v>
      </c>
      <c r="J54" s="243">
        <f>IFERROR(VLOOKUP(WTG_BD[[#This Row],[Affected WTG]],'Basic Data'!$A$3:$E$56,5,0),"")</f>
        <v>2.564102564102564E-2</v>
      </c>
      <c r="K54" s="158">
        <v>203</v>
      </c>
      <c r="L54" s="247" t="str">
        <f>VLOOKUP(K54,'Basic Data'!T:U,2,0)</f>
        <v>Low Pressure On Hydraulic Group</v>
      </c>
      <c r="M54" s="135" t="s">
        <v>472</v>
      </c>
      <c r="N54" s="256">
        <v>0.68541666666666667</v>
      </c>
      <c r="O54" s="256">
        <v>0.68541666666666667</v>
      </c>
      <c r="P54" s="256">
        <v>0.69236111111111109</v>
      </c>
      <c r="Q54" s="253">
        <f>IF(WTG_BD[[#This Row],[Work Start TimeStamp]]="","",(WTG_BD[[#This Row],[Work Start TimeStamp]]-WTG_BD[[#This Row],[Fault Start TimeStamp]])*24)</f>
        <v>0</v>
      </c>
      <c r="R54" s="253">
        <f>(WTG_BD[[#This Row],[Fault Clearance time]]-WTG_BD[[#This Row],[Work Start TimeStamp]])*24</f>
        <v>0.16666666666666607</v>
      </c>
      <c r="S54" s="253">
        <f>(WTG_BD[[#This Row],[Fault Clearance time]]-WTG_BD[[#This Row],[Fault Start TimeStamp]])*24</f>
        <v>0.16666666666666607</v>
      </c>
      <c r="T54" s="135" t="s">
        <v>476</v>
      </c>
      <c r="U54" s="244" t="s">
        <v>474</v>
      </c>
      <c r="V54" s="246">
        <f>WTG_BD[[#This Row],[Breakdown Time]]*(1/39)</f>
        <v>4.2735042735042583E-3</v>
      </c>
      <c r="W54" s="244" t="s">
        <v>129</v>
      </c>
      <c r="X54" s="250">
        <v>42.868055555555401</v>
      </c>
      <c r="Y54" s="135" t="s">
        <v>470</v>
      </c>
      <c r="Z54" s="135" t="s">
        <v>475</v>
      </c>
      <c r="AA54" s="135">
        <v>6173</v>
      </c>
      <c r="AB54" s="249">
        <v>42.868055555555401</v>
      </c>
      <c r="AC54" s="135"/>
      <c r="AD54" s="245"/>
      <c r="AE54" s="3"/>
    </row>
    <row r="55" spans="1:31">
      <c r="A55" s="241">
        <f t="shared" si="1"/>
        <v>54</v>
      </c>
      <c r="B55" s="255">
        <v>45747</v>
      </c>
      <c r="C55" s="252">
        <v>2025</v>
      </c>
      <c r="D55" s="252">
        <f>YEAR(WTG_BD[[#This Row],[Date]])</f>
        <v>2025</v>
      </c>
      <c r="E55" s="251">
        <f t="shared" si="2"/>
        <v>45717</v>
      </c>
      <c r="F55" s="252" t="s">
        <v>465</v>
      </c>
      <c r="G55" s="248" t="s">
        <v>129</v>
      </c>
      <c r="H55" s="242" t="str">
        <f>IFERROR(VLOOKUP(WTG_BD[[#This Row],[Affected WTG]],'Basic Data'!$A$3:$E$56,2,0),"")</f>
        <v>PWEGPL</v>
      </c>
      <c r="I55" s="242" t="str">
        <f>IFERROR(VLOOKUP(WTG_BD[[#This Row],[Affected WTG]],'Basic Data'!$A$3:$E$56,3,0),"")</f>
        <v>MSEDCL</v>
      </c>
      <c r="J55" s="243">
        <f>IFERROR(VLOOKUP(WTG_BD[[#This Row],[Affected WTG]],'Basic Data'!$A$3:$E$56,5,0),"")</f>
        <v>2.564102564102564E-2</v>
      </c>
      <c r="K55" s="158">
        <v>722</v>
      </c>
      <c r="L55" s="247" t="str">
        <f>VLOOKUP(K55,'Basic Data'!T:U,2,0)</f>
        <v>Wind Vane Failure Alarm</v>
      </c>
      <c r="M55" s="135" t="s">
        <v>472</v>
      </c>
      <c r="N55" s="256">
        <v>0.68333333333333335</v>
      </c>
      <c r="O55" s="256">
        <v>0.74722222222222223</v>
      </c>
      <c r="P55" s="256">
        <v>0.74722222222222223</v>
      </c>
      <c r="Q55" s="253">
        <f>IF(WTG_BD[[#This Row],[Work Start TimeStamp]]="","",(WTG_BD[[#This Row],[Work Start TimeStamp]]-WTG_BD[[#This Row],[Fault Start TimeStamp]])*24)</f>
        <v>1.5333333333333332</v>
      </c>
      <c r="R55" s="253">
        <f>(WTG_BD[[#This Row],[Fault Clearance time]]-WTG_BD[[#This Row],[Work Start TimeStamp]])*24</f>
        <v>0</v>
      </c>
      <c r="S55" s="253">
        <f>(WTG_BD[[#This Row],[Fault Clearance time]]-WTG_BD[[#This Row],[Fault Start TimeStamp]])*24</f>
        <v>1.5333333333333332</v>
      </c>
      <c r="T55" s="135" t="s">
        <v>473</v>
      </c>
      <c r="U55" s="244" t="s">
        <v>474</v>
      </c>
      <c r="V55" s="246">
        <f>WTG_BD[[#This Row],[Breakdown Time]]*(1/39)</f>
        <v>3.9316239316239308E-2</v>
      </c>
      <c r="W55" s="244" t="s">
        <v>128</v>
      </c>
      <c r="X55" s="250">
        <v>473.28888888888889</v>
      </c>
      <c r="Y55" s="135" t="s">
        <v>470</v>
      </c>
      <c r="Z55" s="135" t="s">
        <v>475</v>
      </c>
      <c r="AA55" s="135">
        <v>7408</v>
      </c>
      <c r="AB55" s="249">
        <v>473.28888888888889</v>
      </c>
      <c r="AC55" s="135"/>
      <c r="AD55" s="245"/>
      <c r="AE55" s="3"/>
    </row>
    <row r="56" spans="1:31">
      <c r="A56" s="241">
        <f t="shared" si="1"/>
        <v>55</v>
      </c>
      <c r="B56" s="255">
        <v>45747</v>
      </c>
      <c r="C56" s="252">
        <v>2025</v>
      </c>
      <c r="D56" s="252">
        <f>YEAR(WTG_BD[[#This Row],[Date]])</f>
        <v>2025</v>
      </c>
      <c r="E56" s="251">
        <f t="shared" si="2"/>
        <v>45717</v>
      </c>
      <c r="F56" s="252" t="s">
        <v>465</v>
      </c>
      <c r="G56" s="248" t="s">
        <v>130</v>
      </c>
      <c r="H56" s="242" t="str">
        <f>IFERROR(VLOOKUP(WTG_BD[[#This Row],[Affected WTG]],'Basic Data'!$A$3:$E$56,2,0),"")</f>
        <v>PWEGPL</v>
      </c>
      <c r="I56" s="242" t="str">
        <f>IFERROR(VLOOKUP(WTG_BD[[#This Row],[Affected WTG]],'Basic Data'!$A$3:$E$56,3,0),"")</f>
        <v>MSEDCL</v>
      </c>
      <c r="J56" s="243">
        <f>IFERROR(VLOOKUP(WTG_BD[[#This Row],[Affected WTG]],'Basic Data'!$A$3:$E$56,5,0),"")</f>
        <v>2.564102564102564E-2</v>
      </c>
      <c r="K56" s="158">
        <v>812</v>
      </c>
      <c r="L56" s="247" t="str">
        <f>VLOOKUP(K56,'Basic Data'!T:U,2,0)</f>
        <v>Blade Position Meas. Error</v>
      </c>
      <c r="M56" s="135" t="s">
        <v>472</v>
      </c>
      <c r="N56" s="256">
        <v>0.68819444444444444</v>
      </c>
      <c r="O56" s="256">
        <v>0.68819444444444444</v>
      </c>
      <c r="P56" s="256">
        <v>0.69166666666666665</v>
      </c>
      <c r="Q56" s="253">
        <f>IF(WTG_BD[[#This Row],[Work Start TimeStamp]]="","",(WTG_BD[[#This Row],[Work Start TimeStamp]]-WTG_BD[[#This Row],[Fault Start TimeStamp]])*24)</f>
        <v>0</v>
      </c>
      <c r="R56" s="253">
        <f>(WTG_BD[[#This Row],[Fault Clearance time]]-WTG_BD[[#This Row],[Work Start TimeStamp]])*24</f>
        <v>8.3333333333333037E-2</v>
      </c>
      <c r="S56" s="253">
        <f>(WTG_BD[[#This Row],[Fault Clearance time]]-WTG_BD[[#This Row],[Fault Start TimeStamp]])*24</f>
        <v>8.3333333333333037E-2</v>
      </c>
      <c r="T56" s="135" t="s">
        <v>476</v>
      </c>
      <c r="U56" s="244" t="s">
        <v>474</v>
      </c>
      <c r="V56" s="246">
        <f>WTG_BD[[#This Row],[Breakdown Time]]*(1/39)</f>
        <v>2.1367521367521292E-3</v>
      </c>
      <c r="W56" s="244" t="s">
        <v>131</v>
      </c>
      <c r="X56" s="250">
        <v>27.833333333333236</v>
      </c>
      <c r="Y56" s="135" t="s">
        <v>470</v>
      </c>
      <c r="Z56" s="135" t="s">
        <v>475</v>
      </c>
      <c r="AA56" s="135">
        <v>8016</v>
      </c>
      <c r="AB56" s="249">
        <v>27.833333333333236</v>
      </c>
      <c r="AC56" s="135"/>
      <c r="AD56" s="245"/>
      <c r="AE56" s="3"/>
    </row>
    <row r="57" spans="1:31">
      <c r="A57" s="241">
        <f t="shared" si="1"/>
        <v>56</v>
      </c>
      <c r="B57" s="255">
        <v>45747</v>
      </c>
      <c r="C57" s="252">
        <v>2025</v>
      </c>
      <c r="D57" s="252">
        <f>YEAR(WTG_BD[[#This Row],[Date]])</f>
        <v>2025</v>
      </c>
      <c r="E57" s="251">
        <f t="shared" si="2"/>
        <v>45717</v>
      </c>
      <c r="F57" s="252" t="s">
        <v>465</v>
      </c>
      <c r="G57" s="248" t="s">
        <v>130</v>
      </c>
      <c r="H57" s="242" t="str">
        <f>IFERROR(VLOOKUP(WTG_BD[[#This Row],[Affected WTG]],'Basic Data'!$A$3:$E$56,2,0),"")</f>
        <v>PWEGPL</v>
      </c>
      <c r="I57" s="242" t="str">
        <f>IFERROR(VLOOKUP(WTG_BD[[#This Row],[Affected WTG]],'Basic Data'!$A$3:$E$56,3,0),"")</f>
        <v>MSEDCL</v>
      </c>
      <c r="J57" s="243">
        <f>IFERROR(VLOOKUP(WTG_BD[[#This Row],[Affected WTG]],'Basic Data'!$A$3:$E$56,5,0),"")</f>
        <v>2.564102564102564E-2</v>
      </c>
      <c r="K57" s="158">
        <v>804</v>
      </c>
      <c r="L57" s="247" t="str">
        <f>VLOOKUP(K57,'Basic Data'!T:U,2,0)</f>
        <v>Difference Between 2 Blades Too High</v>
      </c>
      <c r="M57" s="135" t="s">
        <v>472</v>
      </c>
      <c r="N57" s="256">
        <v>0.74652777777777779</v>
      </c>
      <c r="O57" s="256">
        <v>0.74652777777777779</v>
      </c>
      <c r="P57" s="256">
        <v>0.75</v>
      </c>
      <c r="Q57" s="253">
        <f>IF(WTG_BD[[#This Row],[Work Start TimeStamp]]="","",(WTG_BD[[#This Row],[Work Start TimeStamp]]-WTG_BD[[#This Row],[Fault Start TimeStamp]])*24)</f>
        <v>0</v>
      </c>
      <c r="R57" s="253">
        <f>(WTG_BD[[#This Row],[Fault Clearance time]]-WTG_BD[[#This Row],[Work Start TimeStamp]])*24</f>
        <v>8.3333333333333037E-2</v>
      </c>
      <c r="S57" s="253">
        <f>(WTG_BD[[#This Row],[Fault Clearance time]]-WTG_BD[[#This Row],[Fault Start TimeStamp]])*24</f>
        <v>8.3333333333333037E-2</v>
      </c>
      <c r="T57" s="135" t="s">
        <v>476</v>
      </c>
      <c r="U57" s="244" t="s">
        <v>474</v>
      </c>
      <c r="V57" s="246">
        <f>WTG_BD[[#This Row],[Breakdown Time]]*(1/39)</f>
        <v>2.1367521367521292E-3</v>
      </c>
      <c r="W57" s="244" t="s">
        <v>131</v>
      </c>
      <c r="X57" s="250">
        <v>27.833333333333236</v>
      </c>
      <c r="Y57" s="135" t="s">
        <v>470</v>
      </c>
      <c r="Z57" s="135" t="s">
        <v>475</v>
      </c>
      <c r="AA57" s="135">
        <v>8016</v>
      </c>
      <c r="AB57" s="249">
        <v>27.833333333333236</v>
      </c>
      <c r="AC57" s="135"/>
      <c r="AD57" s="245"/>
      <c r="AE57" s="3"/>
    </row>
    <row r="58" spans="1:31">
      <c r="A58" s="241">
        <f t="shared" si="1"/>
        <v>57</v>
      </c>
      <c r="B58" s="255">
        <v>45747</v>
      </c>
      <c r="C58" s="252">
        <v>2025</v>
      </c>
      <c r="D58" s="252">
        <f>YEAR(WTG_BD[[#This Row],[Date]])</f>
        <v>2025</v>
      </c>
      <c r="E58" s="251">
        <f t="shared" si="2"/>
        <v>45717</v>
      </c>
      <c r="F58" s="252" t="s">
        <v>465</v>
      </c>
      <c r="G58" s="248" t="s">
        <v>130</v>
      </c>
      <c r="H58" s="242" t="str">
        <f>IFERROR(VLOOKUP(WTG_BD[[#This Row],[Affected WTG]],'Basic Data'!$A$3:$E$56,2,0),"")</f>
        <v>PWEGPL</v>
      </c>
      <c r="I58" s="242" t="str">
        <f>IFERROR(VLOOKUP(WTG_BD[[#This Row],[Affected WTG]],'Basic Data'!$A$3:$E$56,3,0),"")</f>
        <v>MSEDCL</v>
      </c>
      <c r="J58" s="243">
        <f>IFERROR(VLOOKUP(WTG_BD[[#This Row],[Affected WTG]],'Basic Data'!$A$3:$E$56,5,0),"")</f>
        <v>2.564102564102564E-2</v>
      </c>
      <c r="K58" s="158">
        <v>2118</v>
      </c>
      <c r="L58" s="247" t="str">
        <f>VLOOKUP(K58,'Basic Data'!T:U,2,0)</f>
        <v>Bus Error - Interbus Failure</v>
      </c>
      <c r="M58" s="135" t="s">
        <v>472</v>
      </c>
      <c r="N58" s="256">
        <v>0.7583333333333333</v>
      </c>
      <c r="O58" s="256">
        <v>0.76875000000000004</v>
      </c>
      <c r="P58" s="256">
        <v>0.78125</v>
      </c>
      <c r="Q58" s="253">
        <f>IF(WTG_BD[[#This Row],[Work Start TimeStamp]]="","",(WTG_BD[[#This Row],[Work Start TimeStamp]]-WTG_BD[[#This Row],[Fault Start TimeStamp]])*24)</f>
        <v>0.25000000000000178</v>
      </c>
      <c r="R58" s="253">
        <f>(WTG_BD[[#This Row],[Fault Clearance time]]-WTG_BD[[#This Row],[Work Start TimeStamp]])*24</f>
        <v>0.29999999999999893</v>
      </c>
      <c r="S58" s="253">
        <f>(WTG_BD[[#This Row],[Fault Clearance time]]-WTG_BD[[#This Row],[Fault Start TimeStamp]])*24</f>
        <v>0.55000000000000071</v>
      </c>
      <c r="T58" s="135" t="s">
        <v>476</v>
      </c>
      <c r="U58" s="244" t="s">
        <v>474</v>
      </c>
      <c r="V58" s="246">
        <f>WTG_BD[[#This Row],[Breakdown Time]]*(1/39)</f>
        <v>1.410256410256412E-2</v>
      </c>
      <c r="W58" s="244" t="s">
        <v>131</v>
      </c>
      <c r="X58" s="250">
        <v>183.70000000000024</v>
      </c>
      <c r="Y58" s="135" t="s">
        <v>470</v>
      </c>
      <c r="Z58" s="135" t="s">
        <v>475</v>
      </c>
      <c r="AA58" s="135">
        <v>8016</v>
      </c>
      <c r="AB58" s="249">
        <v>183.70000000000024</v>
      </c>
      <c r="AC58" s="135"/>
      <c r="AD58" s="245"/>
      <c r="AE58" s="3"/>
    </row>
    <row r="59" spans="1:31">
      <c r="A59" s="241">
        <f t="shared" si="1"/>
        <v>58</v>
      </c>
      <c r="B59" s="255">
        <v>45747</v>
      </c>
      <c r="C59" s="252">
        <v>2025</v>
      </c>
      <c r="D59" s="252">
        <f>YEAR(WTG_BD[[#This Row],[Date]])</f>
        <v>2025</v>
      </c>
      <c r="E59" s="251">
        <f t="shared" si="2"/>
        <v>45717</v>
      </c>
      <c r="F59" s="252" t="s">
        <v>465</v>
      </c>
      <c r="G59" s="248" t="s">
        <v>130</v>
      </c>
      <c r="H59" s="242" t="str">
        <f>IFERROR(VLOOKUP(WTG_BD[[#This Row],[Affected WTG]],'Basic Data'!$A$3:$E$56,2,0),"")</f>
        <v>PWEGPL</v>
      </c>
      <c r="I59" s="242" t="str">
        <f>IFERROR(VLOOKUP(WTG_BD[[#This Row],[Affected WTG]],'Basic Data'!$A$3:$E$56,3,0),"")</f>
        <v>MSEDCL</v>
      </c>
      <c r="J59" s="243">
        <f>IFERROR(VLOOKUP(WTG_BD[[#This Row],[Affected WTG]],'Basic Data'!$A$3:$E$56,5,0),"")</f>
        <v>2.564102564102564E-2</v>
      </c>
      <c r="K59" s="158">
        <v>804</v>
      </c>
      <c r="L59" s="247" t="str">
        <f>VLOOKUP(K59,'Basic Data'!T:U,2,0)</f>
        <v>Difference Between 2 Blades Too High</v>
      </c>
      <c r="M59" s="135" t="s">
        <v>472</v>
      </c>
      <c r="N59" s="256">
        <v>0.8618055555555556</v>
      </c>
      <c r="O59" s="256">
        <v>0.8618055555555556</v>
      </c>
      <c r="P59" s="256">
        <v>0.86527777777777781</v>
      </c>
      <c r="Q59" s="253">
        <f>IF(WTG_BD[[#This Row],[Work Start TimeStamp]]="","",(WTG_BD[[#This Row],[Work Start TimeStamp]]-WTG_BD[[#This Row],[Fault Start TimeStamp]])*24)</f>
        <v>0</v>
      </c>
      <c r="R59" s="253">
        <f>(WTG_BD[[#This Row],[Fault Clearance time]]-WTG_BD[[#This Row],[Work Start TimeStamp]])*24</f>
        <v>8.3333333333333037E-2</v>
      </c>
      <c r="S59" s="253">
        <f>(WTG_BD[[#This Row],[Fault Clearance time]]-WTG_BD[[#This Row],[Fault Start TimeStamp]])*24</f>
        <v>8.3333333333333037E-2</v>
      </c>
      <c r="T59" s="135" t="s">
        <v>476</v>
      </c>
      <c r="U59" s="244" t="s">
        <v>474</v>
      </c>
      <c r="V59" s="246">
        <f>WTG_BD[[#This Row],[Breakdown Time]]*(1/39)</f>
        <v>2.1367521367521292E-3</v>
      </c>
      <c r="W59" s="244" t="s">
        <v>131</v>
      </c>
      <c r="X59" s="250">
        <v>27.833333333333236</v>
      </c>
      <c r="Y59" s="135" t="s">
        <v>470</v>
      </c>
      <c r="Z59" s="135" t="s">
        <v>475</v>
      </c>
      <c r="AA59" s="135">
        <v>8016</v>
      </c>
      <c r="AB59" s="249">
        <v>27.833333333333236</v>
      </c>
      <c r="AC59" s="135"/>
      <c r="AD59" s="245"/>
      <c r="AE59" s="3"/>
    </row>
    <row r="60" spans="1:31">
      <c r="A60" s="241">
        <f t="shared" si="1"/>
        <v>59</v>
      </c>
      <c r="B60" s="255">
        <v>45747</v>
      </c>
      <c r="C60" s="252">
        <v>2025</v>
      </c>
      <c r="D60" s="252">
        <f>YEAR(WTG_BD[[#This Row],[Date]])</f>
        <v>2025</v>
      </c>
      <c r="E60" s="251">
        <f t="shared" si="2"/>
        <v>45717</v>
      </c>
      <c r="F60" s="252" t="s">
        <v>465</v>
      </c>
      <c r="G60" s="248" t="s">
        <v>130</v>
      </c>
      <c r="H60" s="242" t="str">
        <f>IFERROR(VLOOKUP(WTG_BD[[#This Row],[Affected WTG]],'Basic Data'!$A$3:$E$56,2,0),"")</f>
        <v>PWEGPL</v>
      </c>
      <c r="I60" s="242" t="str">
        <f>IFERROR(VLOOKUP(WTG_BD[[#This Row],[Affected WTG]],'Basic Data'!$A$3:$E$56,3,0),"")</f>
        <v>MSEDCL</v>
      </c>
      <c r="J60" s="243">
        <f>IFERROR(VLOOKUP(WTG_BD[[#This Row],[Affected WTG]],'Basic Data'!$A$3:$E$56,5,0),"")</f>
        <v>2.564102564102564E-2</v>
      </c>
      <c r="K60" s="158">
        <v>812</v>
      </c>
      <c r="L60" s="247" t="str">
        <f>VLOOKUP(K60,'Basic Data'!T:U,2,0)</f>
        <v>Blade Position Meas. Error</v>
      </c>
      <c r="M60" s="135" t="s">
        <v>472</v>
      </c>
      <c r="N60" s="256">
        <v>0.88958333333333328</v>
      </c>
      <c r="O60" s="256">
        <v>0.89444444444444449</v>
      </c>
      <c r="P60" s="256">
        <v>0.8979166666666667</v>
      </c>
      <c r="Q60" s="253">
        <f>IF(WTG_BD[[#This Row],[Work Start TimeStamp]]="","",(WTG_BD[[#This Row],[Work Start TimeStamp]]-WTG_BD[[#This Row],[Fault Start TimeStamp]])*24)</f>
        <v>0.11666666666666892</v>
      </c>
      <c r="R60" s="253">
        <f>(WTG_BD[[#This Row],[Fault Clearance time]]-WTG_BD[[#This Row],[Work Start TimeStamp]])*24</f>
        <v>8.3333333333333037E-2</v>
      </c>
      <c r="S60" s="253">
        <f>(WTG_BD[[#This Row],[Fault Clearance time]]-WTG_BD[[#This Row],[Fault Start TimeStamp]])*24</f>
        <v>0.20000000000000195</v>
      </c>
      <c r="T60" s="135" t="s">
        <v>476</v>
      </c>
      <c r="U60" s="244" t="s">
        <v>474</v>
      </c>
      <c r="V60" s="246">
        <f>WTG_BD[[#This Row],[Breakdown Time]]*(1/39)</f>
        <v>5.1282051282051785E-3</v>
      </c>
      <c r="W60" s="244" t="s">
        <v>131</v>
      </c>
      <c r="X60" s="250">
        <v>66.800000000000651</v>
      </c>
      <c r="Y60" s="135" t="s">
        <v>470</v>
      </c>
      <c r="Z60" s="135" t="s">
        <v>475</v>
      </c>
      <c r="AA60" s="135">
        <v>8016</v>
      </c>
      <c r="AB60" s="249">
        <v>66.800000000000651</v>
      </c>
      <c r="AC60" s="135"/>
      <c r="AD60" s="245"/>
      <c r="AE60" s="3"/>
    </row>
    <row r="61" spans="1:31">
      <c r="A61" s="241">
        <f t="shared" si="1"/>
        <v>60</v>
      </c>
      <c r="B61" s="255">
        <v>45747</v>
      </c>
      <c r="C61" s="252">
        <v>2025</v>
      </c>
      <c r="D61" s="252">
        <f>YEAR(WTG_BD[[#This Row],[Date]])</f>
        <v>2025</v>
      </c>
      <c r="E61" s="251">
        <f t="shared" si="2"/>
        <v>45717</v>
      </c>
      <c r="F61" s="252" t="s">
        <v>465</v>
      </c>
      <c r="G61" s="248" t="s">
        <v>131</v>
      </c>
      <c r="H61" s="242" t="str">
        <f>IFERROR(VLOOKUP(WTG_BD[[#This Row],[Affected WTG]],'Basic Data'!$A$3:$E$56,2,0),"")</f>
        <v>PWEGPL</v>
      </c>
      <c r="I61" s="242" t="str">
        <f>IFERROR(VLOOKUP(WTG_BD[[#This Row],[Affected WTG]],'Basic Data'!$A$3:$E$56,3,0),"")</f>
        <v>MSEDCL</v>
      </c>
      <c r="J61" s="243">
        <f>IFERROR(VLOOKUP(WTG_BD[[#This Row],[Affected WTG]],'Basic Data'!$A$3:$E$56,5,0),"")</f>
        <v>2.564102564102564E-2</v>
      </c>
      <c r="K61" s="158">
        <v>5201</v>
      </c>
      <c r="L61" s="247" t="str">
        <f>VLOOKUP(K61,'Basic Data'!T:U,2,0)</f>
        <v>Magnetothermic Trigger Of The Stator Protection</v>
      </c>
      <c r="M61" s="135" t="s">
        <v>472</v>
      </c>
      <c r="N61" s="256">
        <v>0.76527777777777772</v>
      </c>
      <c r="O61" s="256">
        <v>0.76527777777777772</v>
      </c>
      <c r="P61" s="256">
        <v>0.77708333333333335</v>
      </c>
      <c r="Q61" s="253">
        <f>IF(WTG_BD[[#This Row],[Work Start TimeStamp]]="","",(WTG_BD[[#This Row],[Work Start TimeStamp]]-WTG_BD[[#This Row],[Fault Start TimeStamp]])*24)</f>
        <v>0</v>
      </c>
      <c r="R61" s="253">
        <f>(WTG_BD[[#This Row],[Fault Clearance time]]-WTG_BD[[#This Row],[Work Start TimeStamp]])*24</f>
        <v>0.28333333333333499</v>
      </c>
      <c r="S61" s="253">
        <f>(WTG_BD[[#This Row],[Fault Clearance time]]-WTG_BD[[#This Row],[Fault Start TimeStamp]])*24</f>
        <v>0.28333333333333499</v>
      </c>
      <c r="T61" s="135" t="s">
        <v>482</v>
      </c>
      <c r="U61" s="244" t="s">
        <v>474</v>
      </c>
      <c r="V61" s="246">
        <f>WTG_BD[[#This Row],[Breakdown Time]]*(1/39)</f>
        <v>7.2649572649573068E-3</v>
      </c>
      <c r="W61" s="244" t="s">
        <v>130</v>
      </c>
      <c r="X61" s="250">
        <v>83.394444444444929</v>
      </c>
      <c r="Y61" s="135" t="s">
        <v>470</v>
      </c>
      <c r="Z61" s="135" t="s">
        <v>475</v>
      </c>
      <c r="AA61" s="135">
        <v>7064</v>
      </c>
      <c r="AB61" s="249">
        <v>83.394444444444929</v>
      </c>
      <c r="AC61" s="135"/>
      <c r="AD61" s="245"/>
      <c r="AE61" s="3"/>
    </row>
    <row r="62" spans="1:31">
      <c r="A62" s="241">
        <f t="shared" si="1"/>
        <v>61</v>
      </c>
      <c r="B62" s="255">
        <v>45747</v>
      </c>
      <c r="C62" s="252">
        <v>2025</v>
      </c>
      <c r="D62" s="252">
        <f>YEAR(WTG_BD[[#This Row],[Date]])</f>
        <v>2025</v>
      </c>
      <c r="E62" s="251">
        <f t="shared" si="2"/>
        <v>45717</v>
      </c>
      <c r="F62" s="252" t="s">
        <v>465</v>
      </c>
      <c r="G62" s="248" t="s">
        <v>132</v>
      </c>
      <c r="H62" s="242" t="str">
        <f>IFERROR(VLOOKUP(WTG_BD[[#This Row],[Affected WTG]],'Basic Data'!$A$3:$E$56,2,0),"")</f>
        <v>PWEGPL</v>
      </c>
      <c r="I62" s="242" t="str">
        <f>IFERROR(VLOOKUP(WTG_BD[[#This Row],[Affected WTG]],'Basic Data'!$A$3:$E$56,3,0),"")</f>
        <v>MSEDCL</v>
      </c>
      <c r="J62" s="243">
        <f>IFERROR(VLOOKUP(WTG_BD[[#This Row],[Affected WTG]],'Basic Data'!$A$3:$E$56,5,0),"")</f>
        <v>2.564102564102564E-2</v>
      </c>
      <c r="K62" s="158">
        <v>812</v>
      </c>
      <c r="L62" s="247" t="str">
        <f>VLOOKUP(K62,'Basic Data'!T:U,2,0)</f>
        <v>Blade Position Meas. Error</v>
      </c>
      <c r="M62" s="135" t="s">
        <v>472</v>
      </c>
      <c r="N62" s="256">
        <v>0.68819444444444444</v>
      </c>
      <c r="O62" s="256">
        <v>0.68819444444444444</v>
      </c>
      <c r="P62" s="256">
        <v>0.69930555555555551</v>
      </c>
      <c r="Q62" s="253">
        <f>IF(WTG_BD[[#This Row],[Work Start TimeStamp]]="","",(WTG_BD[[#This Row],[Work Start TimeStamp]]-WTG_BD[[#This Row],[Fault Start TimeStamp]])*24)</f>
        <v>0</v>
      </c>
      <c r="R62" s="253">
        <f>(WTG_BD[[#This Row],[Fault Clearance time]]-WTG_BD[[#This Row],[Work Start TimeStamp]])*24</f>
        <v>0.26666666666666572</v>
      </c>
      <c r="S62" s="253">
        <f>(WTG_BD[[#This Row],[Fault Clearance time]]-WTG_BD[[#This Row],[Fault Start TimeStamp]])*24</f>
        <v>0.26666666666666572</v>
      </c>
      <c r="T62" s="135" t="s">
        <v>476</v>
      </c>
      <c r="U62" s="244" t="s">
        <v>474</v>
      </c>
      <c r="V62" s="246">
        <f>WTG_BD[[#This Row],[Breakdown Time]]*(1/39)</f>
        <v>6.8376068376068133E-3</v>
      </c>
      <c r="W62" s="244" t="s">
        <v>133</v>
      </c>
      <c r="X62" s="250">
        <v>95.15555555555521</v>
      </c>
      <c r="Y62" s="135" t="s">
        <v>470</v>
      </c>
      <c r="Z62" s="135" t="s">
        <v>475</v>
      </c>
      <c r="AA62" s="135">
        <v>8564</v>
      </c>
      <c r="AB62" s="249">
        <v>95.15555555555521</v>
      </c>
      <c r="AC62" s="135"/>
      <c r="AD62" s="245"/>
      <c r="AE62" s="3"/>
    </row>
    <row r="63" spans="1:31">
      <c r="A63" s="241">
        <f t="shared" si="1"/>
        <v>62</v>
      </c>
      <c r="B63" s="255">
        <v>45747</v>
      </c>
      <c r="C63" s="252">
        <v>2025</v>
      </c>
      <c r="D63" s="252">
        <f>YEAR(WTG_BD[[#This Row],[Date]])</f>
        <v>2025</v>
      </c>
      <c r="E63" s="251">
        <f t="shared" si="2"/>
        <v>45717</v>
      </c>
      <c r="F63" s="252" t="s">
        <v>465</v>
      </c>
      <c r="G63" s="248" t="s">
        <v>132</v>
      </c>
      <c r="H63" s="242" t="str">
        <f>IFERROR(VLOOKUP(WTG_BD[[#This Row],[Affected WTG]],'Basic Data'!$A$3:$E$56,2,0),"")</f>
        <v>PWEGPL</v>
      </c>
      <c r="I63" s="242" t="str">
        <f>IFERROR(VLOOKUP(WTG_BD[[#This Row],[Affected WTG]],'Basic Data'!$A$3:$E$56,3,0),"")</f>
        <v>MSEDCL</v>
      </c>
      <c r="J63" s="243">
        <f>IFERROR(VLOOKUP(WTG_BD[[#This Row],[Affected WTG]],'Basic Data'!$A$3:$E$56,5,0),"")</f>
        <v>2.564102564102564E-2</v>
      </c>
      <c r="K63" s="158">
        <v>812</v>
      </c>
      <c r="L63" s="247" t="str">
        <f>VLOOKUP(K63,'Basic Data'!T:U,2,0)</f>
        <v>Blade Position Meas. Error</v>
      </c>
      <c r="M63" s="135" t="s">
        <v>472</v>
      </c>
      <c r="N63" s="256">
        <v>0.7583333333333333</v>
      </c>
      <c r="O63" s="256">
        <v>0.7583333333333333</v>
      </c>
      <c r="P63" s="256">
        <v>0.77430555555555558</v>
      </c>
      <c r="Q63" s="253">
        <f>IF(WTG_BD[[#This Row],[Work Start TimeStamp]]="","",(WTG_BD[[#This Row],[Work Start TimeStamp]]-WTG_BD[[#This Row],[Fault Start TimeStamp]])*24)</f>
        <v>0</v>
      </c>
      <c r="R63" s="253">
        <f>(WTG_BD[[#This Row],[Fault Clearance time]]-WTG_BD[[#This Row],[Work Start TimeStamp]])*24</f>
        <v>0.38333333333333464</v>
      </c>
      <c r="S63" s="253">
        <f>(WTG_BD[[#This Row],[Fault Clearance time]]-WTG_BD[[#This Row],[Fault Start TimeStamp]])*24</f>
        <v>0.38333333333333464</v>
      </c>
      <c r="T63" s="135" t="s">
        <v>476</v>
      </c>
      <c r="U63" s="244" t="s">
        <v>474</v>
      </c>
      <c r="V63" s="246">
        <f>WTG_BD[[#This Row],[Breakdown Time]]*(1/39)</f>
        <v>9.8290598290598618E-3</v>
      </c>
      <c r="W63" s="244" t="s">
        <v>133</v>
      </c>
      <c r="X63" s="250">
        <v>136.78611111111158</v>
      </c>
      <c r="Y63" s="135" t="s">
        <v>470</v>
      </c>
      <c r="Z63" s="135" t="s">
        <v>475</v>
      </c>
      <c r="AA63" s="135">
        <v>8564</v>
      </c>
      <c r="AB63" s="249">
        <v>136.78611111111158</v>
      </c>
      <c r="AC63" s="135"/>
      <c r="AD63" s="245"/>
      <c r="AE63" s="3"/>
    </row>
    <row r="64" spans="1:31">
      <c r="A64" s="241">
        <f t="shared" si="1"/>
        <v>63</v>
      </c>
      <c r="B64" s="255">
        <v>45747</v>
      </c>
      <c r="C64" s="252">
        <v>2025</v>
      </c>
      <c r="D64" s="252">
        <f>YEAR(WTG_BD[[#This Row],[Date]])</f>
        <v>2025</v>
      </c>
      <c r="E64" s="251">
        <f t="shared" si="2"/>
        <v>45717</v>
      </c>
      <c r="F64" s="252" t="s">
        <v>465</v>
      </c>
      <c r="G64" s="248" t="s">
        <v>132</v>
      </c>
      <c r="H64" s="242" t="str">
        <f>IFERROR(VLOOKUP(WTG_BD[[#This Row],[Affected WTG]],'Basic Data'!$A$3:$E$56,2,0),"")</f>
        <v>PWEGPL</v>
      </c>
      <c r="I64" s="242" t="str">
        <f>IFERROR(VLOOKUP(WTG_BD[[#This Row],[Affected WTG]],'Basic Data'!$A$3:$E$56,3,0),"")</f>
        <v>MSEDCL</v>
      </c>
      <c r="J64" s="243">
        <f>IFERROR(VLOOKUP(WTG_BD[[#This Row],[Affected WTG]],'Basic Data'!$A$3:$E$56,5,0),"")</f>
        <v>2.564102564102564E-2</v>
      </c>
      <c r="K64" s="158">
        <v>812</v>
      </c>
      <c r="L64" s="247" t="str">
        <f>VLOOKUP(K64,'Basic Data'!T:U,2,0)</f>
        <v>Blade Position Meas. Error</v>
      </c>
      <c r="M64" s="135" t="s">
        <v>472</v>
      </c>
      <c r="N64" s="256">
        <v>0.85972222222222228</v>
      </c>
      <c r="O64" s="256">
        <v>0.89513888888888893</v>
      </c>
      <c r="P64" s="256">
        <v>0.89583333333333337</v>
      </c>
      <c r="Q64" s="253">
        <f>IF(WTG_BD[[#This Row],[Work Start TimeStamp]]="","",(WTG_BD[[#This Row],[Work Start TimeStamp]]-WTG_BD[[#This Row],[Fault Start TimeStamp]])*24)</f>
        <v>0.84999999999999964</v>
      </c>
      <c r="R64" s="253">
        <f>(WTG_BD[[#This Row],[Fault Clearance time]]-WTG_BD[[#This Row],[Work Start TimeStamp]])*24</f>
        <v>1.6666666666666607E-2</v>
      </c>
      <c r="S64" s="253">
        <f>(WTG_BD[[#This Row],[Fault Clearance time]]-WTG_BD[[#This Row],[Fault Start TimeStamp]])*24</f>
        <v>0.86666666666666625</v>
      </c>
      <c r="T64" s="135" t="s">
        <v>476</v>
      </c>
      <c r="U64" s="244" t="s">
        <v>474</v>
      </c>
      <c r="V64" s="246">
        <f>WTG_BD[[#This Row],[Breakdown Time]]*(1/39)</f>
        <v>2.2222222222222209E-2</v>
      </c>
      <c r="W64" s="244" t="s">
        <v>133</v>
      </c>
      <c r="X64" s="250">
        <v>309.25555555555542</v>
      </c>
      <c r="Y64" s="135" t="s">
        <v>470</v>
      </c>
      <c r="Z64" s="135" t="s">
        <v>475</v>
      </c>
      <c r="AA64" s="135">
        <v>8564</v>
      </c>
      <c r="AB64" s="249">
        <v>309.25555555555542</v>
      </c>
      <c r="AC64" s="135"/>
      <c r="AD64" s="245"/>
      <c r="AE64" s="3"/>
    </row>
    <row r="65" spans="1:31">
      <c r="A65" s="241">
        <f t="shared" si="1"/>
        <v>64</v>
      </c>
      <c r="B65" s="255">
        <v>45747</v>
      </c>
      <c r="C65" s="252">
        <v>2025</v>
      </c>
      <c r="D65" s="252">
        <f>YEAR(WTG_BD[[#This Row],[Date]])</f>
        <v>2025</v>
      </c>
      <c r="E65" s="251">
        <f t="shared" si="2"/>
        <v>45717</v>
      </c>
      <c r="F65" s="252" t="s">
        <v>465</v>
      </c>
      <c r="G65" s="248" t="s">
        <v>135</v>
      </c>
      <c r="H65" s="242" t="str">
        <f>IFERROR(VLOOKUP(WTG_BD[[#This Row],[Affected WTG]],'Basic Data'!$A$3:$E$56,2,0),"")</f>
        <v>PWEGPL</v>
      </c>
      <c r="I65" s="242" t="str">
        <f>IFERROR(VLOOKUP(WTG_BD[[#This Row],[Affected WTG]],'Basic Data'!$A$3:$E$56,3,0),"")</f>
        <v>MSEDCL</v>
      </c>
      <c r="J65" s="243">
        <f>IFERROR(VLOOKUP(WTG_BD[[#This Row],[Affected WTG]],'Basic Data'!$A$3:$E$56,5,0),"")</f>
        <v>2.564102564102564E-2</v>
      </c>
      <c r="K65" s="158">
        <v>5228</v>
      </c>
      <c r="L65" s="247" t="str">
        <f>VLOOKUP(K65,'Basic Data'!T:U,2,0)</f>
        <v>Preload Failure</v>
      </c>
      <c r="M65" s="135" t="s">
        <v>472</v>
      </c>
      <c r="N65" s="256">
        <v>0.81805555555555554</v>
      </c>
      <c r="O65" s="256">
        <v>0.99305555555555558</v>
      </c>
      <c r="P65" s="256">
        <v>0.99583333333333335</v>
      </c>
      <c r="Q65" s="253">
        <f>IF(WTG_BD[[#This Row],[Work Start TimeStamp]]="","",(WTG_BD[[#This Row],[Work Start TimeStamp]]-WTG_BD[[#This Row],[Fault Start TimeStamp]])*24)</f>
        <v>4.2000000000000011</v>
      </c>
      <c r="R65" s="253">
        <f>(WTG_BD[[#This Row],[Fault Clearance time]]-WTG_BD[[#This Row],[Work Start TimeStamp]])*24</f>
        <v>6.666666666666643E-2</v>
      </c>
      <c r="S65" s="253">
        <f>(WTG_BD[[#This Row],[Fault Clearance time]]-WTG_BD[[#This Row],[Fault Start TimeStamp]])*24</f>
        <v>4.2666666666666675</v>
      </c>
      <c r="T65" s="135" t="s">
        <v>482</v>
      </c>
      <c r="U65" s="244" t="s">
        <v>474</v>
      </c>
      <c r="V65" s="246">
        <f>WTG_BD[[#This Row],[Breakdown Time]]*(1/39)</f>
        <v>0.10940170940170942</v>
      </c>
      <c r="W65" s="244" t="s">
        <v>136</v>
      </c>
      <c r="X65" s="250">
        <v>696.88888888888903</v>
      </c>
      <c r="Y65" s="135" t="s">
        <v>470</v>
      </c>
      <c r="Z65" s="135" t="s">
        <v>475</v>
      </c>
      <c r="AA65" s="135">
        <v>3920</v>
      </c>
      <c r="AB65" s="249">
        <v>696.88888888888903</v>
      </c>
      <c r="AC65" s="135"/>
      <c r="AD65" s="245"/>
      <c r="AE65" s="3"/>
    </row>
    <row r="66" spans="1:31">
      <c r="A66" s="241">
        <f t="shared" si="1"/>
        <v>65</v>
      </c>
      <c r="B66" s="255">
        <v>45747</v>
      </c>
      <c r="C66" s="252">
        <v>2025</v>
      </c>
      <c r="D66" s="252">
        <f>YEAR(WTG_BD[[#This Row],[Date]])</f>
        <v>2025</v>
      </c>
      <c r="E66" s="251">
        <f t="shared" si="2"/>
        <v>45717</v>
      </c>
      <c r="F66" s="252" t="s">
        <v>465</v>
      </c>
      <c r="G66" s="248" t="s">
        <v>136</v>
      </c>
      <c r="H66" s="242" t="str">
        <f>IFERROR(VLOOKUP(WTG_BD[[#This Row],[Affected WTG]],'Basic Data'!$A$3:$E$56,2,0),"")</f>
        <v>PWEGPL</v>
      </c>
      <c r="I66" s="242" t="str">
        <f>IFERROR(VLOOKUP(WTG_BD[[#This Row],[Affected WTG]],'Basic Data'!$A$3:$E$56,3,0),"")</f>
        <v>MSEDCL</v>
      </c>
      <c r="J66" s="243">
        <f>IFERROR(VLOOKUP(WTG_BD[[#This Row],[Affected WTG]],'Basic Data'!$A$3:$E$56,5,0),"")</f>
        <v>2.564102564102564E-2</v>
      </c>
      <c r="K66" s="158">
        <v>402</v>
      </c>
      <c r="L66" s="247" t="str">
        <f>VLOOKUP(K66,'Basic Data'!T:U,2,0)</f>
        <v>Gearbox Oil Level Low</v>
      </c>
      <c r="M66" s="135" t="s">
        <v>472</v>
      </c>
      <c r="N66" s="256">
        <v>0.81736111111111109</v>
      </c>
      <c r="O66" s="256">
        <v>0.98333333333333328</v>
      </c>
      <c r="P66" s="256">
        <v>0.99930555555555556</v>
      </c>
      <c r="Q66" s="253">
        <f>IF(WTG_BD[[#This Row],[Work Start TimeStamp]]="","",(WTG_BD[[#This Row],[Work Start TimeStamp]]-WTG_BD[[#This Row],[Fault Start TimeStamp]])*24)</f>
        <v>3.9833333333333325</v>
      </c>
      <c r="R66" s="253">
        <f>(WTG_BD[[#This Row],[Fault Clearance time]]-WTG_BD[[#This Row],[Work Start TimeStamp]])*24</f>
        <v>0.38333333333333464</v>
      </c>
      <c r="S66" s="253">
        <f>(WTG_BD[[#This Row],[Fault Clearance time]]-WTG_BD[[#This Row],[Fault Start TimeStamp]])*24</f>
        <v>4.3666666666666671</v>
      </c>
      <c r="T66" s="135" t="s">
        <v>486</v>
      </c>
      <c r="U66" s="244" t="s">
        <v>469</v>
      </c>
      <c r="V66" s="246">
        <f>WTG_BD[[#This Row],[Breakdown Time]]*(1/39)</f>
        <v>0.11196581196581197</v>
      </c>
      <c r="W66" s="244" t="s">
        <v>135</v>
      </c>
      <c r="X66" s="250">
        <v>1246.3194444444446</v>
      </c>
      <c r="Y66" s="135" t="s">
        <v>470</v>
      </c>
      <c r="Z66" s="135" t="s">
        <v>475</v>
      </c>
      <c r="AA66" s="135">
        <v>6850</v>
      </c>
      <c r="AB66" s="249">
        <v>1246.3194444444446</v>
      </c>
      <c r="AC66" s="135"/>
      <c r="AD66" s="245"/>
      <c r="AE66" s="3"/>
    </row>
    <row r="67" spans="1:31">
      <c r="A67" s="241">
        <f t="shared" ref="A67:A130" si="3">A66+1</f>
        <v>66</v>
      </c>
      <c r="B67" s="255">
        <v>45747</v>
      </c>
      <c r="C67" s="252">
        <v>2025</v>
      </c>
      <c r="D67" s="252">
        <f>YEAR(WTG_BD[[#This Row],[Date]])</f>
        <v>2025</v>
      </c>
      <c r="E67" s="251">
        <f t="shared" si="2"/>
        <v>45717</v>
      </c>
      <c r="F67" s="252" t="s">
        <v>465</v>
      </c>
      <c r="G67" s="248" t="s">
        <v>137</v>
      </c>
      <c r="H67" s="242" t="str">
        <f>IFERROR(VLOOKUP(WTG_BD[[#This Row],[Affected WTG]],'Basic Data'!$A$3:$E$56,2,0),"")</f>
        <v>PWEGPL</v>
      </c>
      <c r="I67" s="242" t="str">
        <f>IFERROR(VLOOKUP(WTG_BD[[#This Row],[Affected WTG]],'Basic Data'!$A$3:$E$56,3,0),"")</f>
        <v>MSEDCL</v>
      </c>
      <c r="J67" s="243">
        <f>IFERROR(VLOOKUP(WTG_BD[[#This Row],[Affected WTG]],'Basic Data'!$A$3:$E$56,5,0),"")</f>
        <v>2.564102564102564E-2</v>
      </c>
      <c r="K67" s="158">
        <v>2102</v>
      </c>
      <c r="L67" s="247" t="str">
        <f>VLOOKUP(K67,'Basic Data'!T:U,2,0)</f>
        <v>PLC Module Failure</v>
      </c>
      <c r="M67" s="135" t="s">
        <v>472</v>
      </c>
      <c r="N67" s="256">
        <v>0.59097222222222223</v>
      </c>
      <c r="O67" s="256">
        <v>0.61458333333333337</v>
      </c>
      <c r="P67" s="256">
        <v>0.72638888888888886</v>
      </c>
      <c r="Q67" s="253">
        <f>IF(WTG_BD[[#This Row],[Work Start TimeStamp]]="","",(WTG_BD[[#This Row],[Work Start TimeStamp]]-WTG_BD[[#This Row],[Fault Start TimeStamp]])*24)</f>
        <v>0.56666666666666732</v>
      </c>
      <c r="R67" s="253">
        <f>(WTG_BD[[#This Row],[Fault Clearance time]]-WTG_BD[[#This Row],[Work Start TimeStamp]])*24</f>
        <v>2.6833333333333318</v>
      </c>
      <c r="S67" s="253">
        <f>(WTG_BD[[#This Row],[Fault Clearance time]]-WTG_BD[[#This Row],[Fault Start TimeStamp]])*24</f>
        <v>3.2499999999999991</v>
      </c>
      <c r="T67" s="135" t="s">
        <v>487</v>
      </c>
      <c r="U67" s="244" t="s">
        <v>474</v>
      </c>
      <c r="V67" s="246">
        <f>WTG_BD[[#This Row],[Breakdown Time]]*(1/39)</f>
        <v>8.3333333333333301E-2</v>
      </c>
      <c r="W67" s="244" t="s">
        <v>136</v>
      </c>
      <c r="X67" s="250">
        <v>530.83333333333326</v>
      </c>
      <c r="Y67" s="135" t="s">
        <v>470</v>
      </c>
      <c r="Z67" s="135" t="s">
        <v>475</v>
      </c>
      <c r="AA67" s="135">
        <v>3920</v>
      </c>
      <c r="AB67" s="249">
        <v>530.83333333333326</v>
      </c>
      <c r="AC67" s="135"/>
      <c r="AD67" s="245"/>
      <c r="AE67" s="3"/>
    </row>
    <row r="68" spans="1:31">
      <c r="A68" s="241">
        <f t="shared" si="3"/>
        <v>67</v>
      </c>
      <c r="B68" s="255">
        <v>45747</v>
      </c>
      <c r="C68" s="252">
        <v>2025</v>
      </c>
      <c r="D68" s="252">
        <f>YEAR(WTG_BD[[#This Row],[Date]])</f>
        <v>2025</v>
      </c>
      <c r="E68" s="251">
        <f t="shared" si="2"/>
        <v>45717</v>
      </c>
      <c r="F68" s="252" t="s">
        <v>465</v>
      </c>
      <c r="G68" s="248" t="s">
        <v>137</v>
      </c>
      <c r="H68" s="242" t="str">
        <f>IFERROR(VLOOKUP(WTG_BD[[#This Row],[Affected WTG]],'Basic Data'!$A$3:$E$56,2,0),"")</f>
        <v>PWEGPL</v>
      </c>
      <c r="I68" s="242" t="str">
        <f>IFERROR(VLOOKUP(WTG_BD[[#This Row],[Affected WTG]],'Basic Data'!$A$3:$E$56,3,0),"")</f>
        <v>MSEDCL</v>
      </c>
      <c r="J68" s="243">
        <f>IFERROR(VLOOKUP(WTG_BD[[#This Row],[Affected WTG]],'Basic Data'!$A$3:$E$56,5,0),"")</f>
        <v>2.564102564102564E-2</v>
      </c>
      <c r="K68" s="158">
        <v>222</v>
      </c>
      <c r="L68" s="247" t="str">
        <f>VLOOKUP(K68,'Basic Data'!T:U,2,0)</f>
        <v>Very Low Pressure On Hydraulic Unit</v>
      </c>
      <c r="M68" s="135" t="s">
        <v>472</v>
      </c>
      <c r="N68" s="256">
        <v>0.87986111111111109</v>
      </c>
      <c r="O68" s="256">
        <v>0.89444444444444449</v>
      </c>
      <c r="P68" s="256">
        <v>0.89513888888888893</v>
      </c>
      <c r="Q68" s="253">
        <f>IF(WTG_BD[[#This Row],[Work Start TimeStamp]]="","",(WTG_BD[[#This Row],[Work Start TimeStamp]]-WTG_BD[[#This Row],[Fault Start TimeStamp]])*24)</f>
        <v>0.35000000000000142</v>
      </c>
      <c r="R68" s="253">
        <f>(WTG_BD[[#This Row],[Fault Clearance time]]-WTG_BD[[#This Row],[Work Start TimeStamp]])*24</f>
        <v>1.6666666666666607E-2</v>
      </c>
      <c r="S68" s="253">
        <f>(WTG_BD[[#This Row],[Fault Clearance time]]-WTG_BD[[#This Row],[Fault Start TimeStamp]])*24</f>
        <v>0.36666666666666803</v>
      </c>
      <c r="T68" s="135" t="s">
        <v>473</v>
      </c>
      <c r="U68" s="244" t="s">
        <v>474</v>
      </c>
      <c r="V68" s="246">
        <f>WTG_BD[[#This Row],[Breakdown Time]]*(1/39)</f>
        <v>9.401709401709436E-3</v>
      </c>
      <c r="W68" s="244" t="s">
        <v>136</v>
      </c>
      <c r="X68" s="250">
        <v>59.888888888889113</v>
      </c>
      <c r="Y68" s="135" t="s">
        <v>470</v>
      </c>
      <c r="Z68" s="135" t="s">
        <v>475</v>
      </c>
      <c r="AA68" s="135">
        <v>3920</v>
      </c>
      <c r="AB68" s="249">
        <v>59.888888888889113</v>
      </c>
      <c r="AC68" s="135"/>
      <c r="AD68" s="245"/>
      <c r="AE68" s="3"/>
    </row>
    <row r="69" spans="1:31">
      <c r="A69" s="241">
        <f t="shared" si="3"/>
        <v>68</v>
      </c>
      <c r="B69" s="255">
        <v>45747</v>
      </c>
      <c r="C69" s="252">
        <v>2025</v>
      </c>
      <c r="D69" s="252">
        <f>YEAR(WTG_BD[[#This Row],[Date]])</f>
        <v>2025</v>
      </c>
      <c r="E69" s="251">
        <f t="shared" si="2"/>
        <v>45717</v>
      </c>
      <c r="F69" s="252" t="s">
        <v>465</v>
      </c>
      <c r="G69" s="248" t="s">
        <v>139</v>
      </c>
      <c r="H69" s="242" t="str">
        <f>IFERROR(VLOOKUP(WTG_BD[[#This Row],[Affected WTG]],'Basic Data'!$A$3:$E$56,2,0),"")</f>
        <v>PWEGPL</v>
      </c>
      <c r="I69" s="242" t="str">
        <f>IFERROR(VLOOKUP(WTG_BD[[#This Row],[Affected WTG]],'Basic Data'!$A$3:$E$56,3,0),"")</f>
        <v>MSEDCL</v>
      </c>
      <c r="J69" s="243">
        <f>IFERROR(VLOOKUP(WTG_BD[[#This Row],[Affected WTG]],'Basic Data'!$A$3:$E$56,5,0),"")</f>
        <v>2.564102564102564E-2</v>
      </c>
      <c r="K69" s="158">
        <v>205</v>
      </c>
      <c r="L69" s="247" t="str">
        <f>VLOOKUP(K69,'Basic Data'!T:U,2,0)</f>
        <v>Low Level Hydraulic Group Refrigeration Oil</v>
      </c>
      <c r="M69" s="135" t="s">
        <v>472</v>
      </c>
      <c r="N69" s="256">
        <v>0.14374999999999999</v>
      </c>
      <c r="O69" s="256">
        <v>0.14374999999999999</v>
      </c>
      <c r="P69" s="256">
        <v>0.18124999999999999</v>
      </c>
      <c r="Q69" s="253">
        <f>IF(WTG_BD[[#This Row],[Work Start TimeStamp]]="","",(WTG_BD[[#This Row],[Work Start TimeStamp]]-WTG_BD[[#This Row],[Fault Start TimeStamp]])*24)</f>
        <v>0</v>
      </c>
      <c r="R69" s="253">
        <f>(WTG_BD[[#This Row],[Fault Clearance time]]-WTG_BD[[#This Row],[Work Start TimeStamp]])*24</f>
        <v>0.90000000000000013</v>
      </c>
      <c r="S69" s="253">
        <f>(WTG_BD[[#This Row],[Fault Clearance time]]-WTG_BD[[#This Row],[Fault Start TimeStamp]])*24</f>
        <v>0.90000000000000013</v>
      </c>
      <c r="T69" s="135" t="s">
        <v>473</v>
      </c>
      <c r="U69" s="244" t="s">
        <v>474</v>
      </c>
      <c r="V69" s="246">
        <f>WTG_BD[[#This Row],[Breakdown Time]]*(1/39)</f>
        <v>2.3076923076923078E-2</v>
      </c>
      <c r="W69" s="244" t="s">
        <v>145</v>
      </c>
      <c r="X69" s="250">
        <v>190.50000000000003</v>
      </c>
      <c r="Y69" s="135" t="s">
        <v>470</v>
      </c>
      <c r="Z69" s="135" t="s">
        <v>475</v>
      </c>
      <c r="AA69" s="135">
        <v>5080</v>
      </c>
      <c r="AB69" s="249">
        <v>190.50000000000003</v>
      </c>
      <c r="AC69" s="135"/>
      <c r="AD69" s="245"/>
      <c r="AE69" s="3"/>
    </row>
    <row r="70" spans="1:31">
      <c r="A70" s="241">
        <f t="shared" si="3"/>
        <v>69</v>
      </c>
      <c r="B70" s="255">
        <v>45747</v>
      </c>
      <c r="C70" s="252">
        <v>2025</v>
      </c>
      <c r="D70" s="252">
        <f>YEAR(WTG_BD[[#This Row],[Date]])</f>
        <v>2025</v>
      </c>
      <c r="E70" s="251">
        <f t="shared" si="2"/>
        <v>45717</v>
      </c>
      <c r="F70" s="252" t="s">
        <v>465</v>
      </c>
      <c r="G70" s="248" t="s">
        <v>139</v>
      </c>
      <c r="H70" s="242" t="str">
        <f>IFERROR(VLOOKUP(WTG_BD[[#This Row],[Affected WTG]],'Basic Data'!$A$3:$E$56,2,0),"")</f>
        <v>PWEGPL</v>
      </c>
      <c r="I70" s="242" t="str">
        <f>IFERROR(VLOOKUP(WTG_BD[[#This Row],[Affected WTG]],'Basic Data'!$A$3:$E$56,3,0),"")</f>
        <v>MSEDCL</v>
      </c>
      <c r="J70" s="243">
        <f>IFERROR(VLOOKUP(WTG_BD[[#This Row],[Affected WTG]],'Basic Data'!$A$3:$E$56,5,0),"")</f>
        <v>2.564102564102564E-2</v>
      </c>
      <c r="K70" s="158">
        <v>205</v>
      </c>
      <c r="L70" s="247" t="str">
        <f>VLOOKUP(K70,'Basic Data'!T:U,2,0)</f>
        <v>Low Level Hydraulic Group Refrigeration Oil</v>
      </c>
      <c r="M70" s="135" t="s">
        <v>472</v>
      </c>
      <c r="N70" s="256">
        <v>0.38194444444444442</v>
      </c>
      <c r="O70" s="256">
        <v>0.48055555555555557</v>
      </c>
      <c r="P70" s="256">
        <v>0.70347222222222228</v>
      </c>
      <c r="Q70" s="253">
        <f>IF(WTG_BD[[#This Row],[Work Start TimeStamp]]="","",(WTG_BD[[#This Row],[Work Start TimeStamp]]-WTG_BD[[#This Row],[Fault Start TimeStamp]])*24)</f>
        <v>2.3666666666666676</v>
      </c>
      <c r="R70" s="253">
        <f>(WTG_BD[[#This Row],[Fault Clearance time]]-WTG_BD[[#This Row],[Work Start TimeStamp]])*24</f>
        <v>5.3500000000000014</v>
      </c>
      <c r="S70" s="253">
        <f>(WTG_BD[[#This Row],[Fault Clearance time]]-WTG_BD[[#This Row],[Fault Start TimeStamp]])*24</f>
        <v>7.7166666666666686</v>
      </c>
      <c r="T70" s="135" t="s">
        <v>488</v>
      </c>
      <c r="U70" s="244" t="s">
        <v>474</v>
      </c>
      <c r="V70" s="246">
        <f>WTG_BD[[#This Row],[Breakdown Time]]*(1/39)</f>
        <v>0.19786324786324791</v>
      </c>
      <c r="W70" s="244" t="s">
        <v>145</v>
      </c>
      <c r="X70" s="250">
        <v>1633.3611111111115</v>
      </c>
      <c r="Y70" s="135" t="s">
        <v>470</v>
      </c>
      <c r="Z70" s="135" t="s">
        <v>475</v>
      </c>
      <c r="AA70" s="135">
        <v>5080</v>
      </c>
      <c r="AB70" s="249">
        <v>1633.3611111111115</v>
      </c>
      <c r="AC70" s="135"/>
      <c r="AD70" s="245"/>
      <c r="AE70" s="3"/>
    </row>
    <row r="71" spans="1:31">
      <c r="A71" s="241">
        <f t="shared" si="3"/>
        <v>70</v>
      </c>
      <c r="B71" s="255">
        <v>45747</v>
      </c>
      <c r="C71" s="252">
        <v>2025</v>
      </c>
      <c r="D71" s="252">
        <f>YEAR(WTG_BD[[#This Row],[Date]])</f>
        <v>2025</v>
      </c>
      <c r="E71" s="251">
        <f t="shared" si="2"/>
        <v>45717</v>
      </c>
      <c r="F71" s="252" t="s">
        <v>465</v>
      </c>
      <c r="G71" s="248" t="s">
        <v>139</v>
      </c>
      <c r="H71" s="242" t="str">
        <f>IFERROR(VLOOKUP(WTG_BD[[#This Row],[Affected WTG]],'Basic Data'!$A$3:$E$56,2,0),"")</f>
        <v>PWEGPL</v>
      </c>
      <c r="I71" s="242" t="str">
        <f>IFERROR(VLOOKUP(WTG_BD[[#This Row],[Affected WTG]],'Basic Data'!$A$3:$E$56,3,0),"")</f>
        <v>MSEDCL</v>
      </c>
      <c r="J71" s="243">
        <f>IFERROR(VLOOKUP(WTG_BD[[#This Row],[Affected WTG]],'Basic Data'!$A$3:$E$56,5,0),"")</f>
        <v>2.564102564102564E-2</v>
      </c>
      <c r="K71" s="158">
        <v>222</v>
      </c>
      <c r="L71" s="247" t="str">
        <f>VLOOKUP(K71,'Basic Data'!T:U,2,0)</f>
        <v>Very Low Pressure On Hydraulic Unit</v>
      </c>
      <c r="M71" s="135" t="s">
        <v>472</v>
      </c>
      <c r="N71" s="256">
        <v>0.80555555555555558</v>
      </c>
      <c r="O71" s="256">
        <v>0.80555555555555558</v>
      </c>
      <c r="P71" s="256">
        <v>0.82638888888888884</v>
      </c>
      <c r="Q71" s="253">
        <f>IF(WTG_BD[[#This Row],[Work Start TimeStamp]]="","",(WTG_BD[[#This Row],[Work Start TimeStamp]]-WTG_BD[[#This Row],[Fault Start TimeStamp]])*24)</f>
        <v>0</v>
      </c>
      <c r="R71" s="253">
        <f>(WTG_BD[[#This Row],[Fault Clearance time]]-WTG_BD[[#This Row],[Work Start TimeStamp]])*24</f>
        <v>0.49999999999999822</v>
      </c>
      <c r="S71" s="253">
        <f>(WTG_BD[[#This Row],[Fault Clearance time]]-WTG_BD[[#This Row],[Fault Start TimeStamp]])*24</f>
        <v>0.49999999999999822</v>
      </c>
      <c r="T71" s="135" t="s">
        <v>473</v>
      </c>
      <c r="U71" s="244" t="s">
        <v>474</v>
      </c>
      <c r="V71" s="246">
        <f>WTG_BD[[#This Row],[Breakdown Time]]*(1/39)</f>
        <v>1.2820512820512775E-2</v>
      </c>
      <c r="W71" s="244" t="s">
        <v>145</v>
      </c>
      <c r="X71" s="250">
        <v>105.83333333333296</v>
      </c>
      <c r="Y71" s="135" t="s">
        <v>470</v>
      </c>
      <c r="Z71" s="135" t="s">
        <v>475</v>
      </c>
      <c r="AA71" s="135">
        <v>5080</v>
      </c>
      <c r="AB71" s="249">
        <v>105.83333333333296</v>
      </c>
      <c r="AC71" s="135"/>
      <c r="AD71" s="245"/>
      <c r="AE71" s="3"/>
    </row>
    <row r="72" spans="1:31">
      <c r="A72" s="241">
        <f t="shared" si="3"/>
        <v>71</v>
      </c>
      <c r="B72" s="255">
        <v>45747</v>
      </c>
      <c r="C72" s="252">
        <v>2025</v>
      </c>
      <c r="D72" s="252">
        <f>YEAR(WTG_BD[[#This Row],[Date]])</f>
        <v>2025</v>
      </c>
      <c r="E72" s="251">
        <f t="shared" si="2"/>
        <v>45717</v>
      </c>
      <c r="F72" s="252" t="s">
        <v>465</v>
      </c>
      <c r="G72" s="248" t="s">
        <v>140</v>
      </c>
      <c r="H72" s="242" t="str">
        <f>IFERROR(VLOOKUP(WTG_BD[[#This Row],[Affected WTG]],'Basic Data'!$A$3:$E$56,2,0),"")</f>
        <v>PWEGPL</v>
      </c>
      <c r="I72" s="242" t="str">
        <f>IFERROR(VLOOKUP(WTG_BD[[#This Row],[Affected WTG]],'Basic Data'!$A$3:$E$56,3,0),"")</f>
        <v>MSEDCL</v>
      </c>
      <c r="J72" s="243">
        <f>IFERROR(VLOOKUP(WTG_BD[[#This Row],[Affected WTG]],'Basic Data'!$A$3:$E$56,5,0),"")</f>
        <v>2.564102564102564E-2</v>
      </c>
      <c r="K72" s="158">
        <v>426</v>
      </c>
      <c r="L72" s="247" t="str">
        <f>VLOOKUP(K72,'Basic Data'!T:U,2,0)</f>
        <v>Rotor Speed Reading Failure</v>
      </c>
      <c r="M72" s="135" t="s">
        <v>472</v>
      </c>
      <c r="N72" s="256">
        <v>0.87638888888888888</v>
      </c>
      <c r="O72" s="256">
        <v>0.87638888888888888</v>
      </c>
      <c r="P72" s="256">
        <v>0.87986111111111109</v>
      </c>
      <c r="Q72" s="253">
        <f>IF(WTG_BD[[#This Row],[Work Start TimeStamp]]="","",(WTG_BD[[#This Row],[Work Start TimeStamp]]-WTG_BD[[#This Row],[Fault Start TimeStamp]])*24)</f>
        <v>0</v>
      </c>
      <c r="R72" s="253">
        <f>(WTG_BD[[#This Row],[Fault Clearance time]]-WTG_BD[[#This Row],[Work Start TimeStamp]])*24</f>
        <v>8.3333333333333037E-2</v>
      </c>
      <c r="S72" s="253">
        <f>(WTG_BD[[#This Row],[Fault Clearance time]]-WTG_BD[[#This Row],[Fault Start TimeStamp]])*24</f>
        <v>8.3333333333333037E-2</v>
      </c>
      <c r="T72" s="135" t="s">
        <v>476</v>
      </c>
      <c r="U72" s="244" t="s">
        <v>474</v>
      </c>
      <c r="V72" s="246">
        <f>WTG_BD[[#This Row],[Breakdown Time]]*(1/39)</f>
        <v>2.1367521367521292E-3</v>
      </c>
      <c r="W72" s="244" t="s">
        <v>138</v>
      </c>
      <c r="X72" s="250">
        <v>24.59027777777769</v>
      </c>
      <c r="Y72" s="135" t="s">
        <v>470</v>
      </c>
      <c r="Z72" s="135" t="s">
        <v>475</v>
      </c>
      <c r="AA72" s="135">
        <v>7082</v>
      </c>
      <c r="AB72" s="249">
        <v>24.59027777777769</v>
      </c>
      <c r="AC72" s="135"/>
      <c r="AD72" s="245"/>
      <c r="AE72" s="3"/>
    </row>
    <row r="73" spans="1:31">
      <c r="A73" s="241">
        <f t="shared" si="3"/>
        <v>72</v>
      </c>
      <c r="B73" s="255">
        <v>45747</v>
      </c>
      <c r="C73" s="252">
        <v>2025</v>
      </c>
      <c r="D73" s="252">
        <f>YEAR(WTG_BD[[#This Row],[Date]])</f>
        <v>2025</v>
      </c>
      <c r="E73" s="251">
        <f t="shared" si="2"/>
        <v>45717</v>
      </c>
      <c r="F73" s="252" t="s">
        <v>465</v>
      </c>
      <c r="G73" s="248" t="s">
        <v>143</v>
      </c>
      <c r="H73" s="242" t="str">
        <f>IFERROR(VLOOKUP(WTG_BD[[#This Row],[Affected WTG]],'Basic Data'!$A$3:$E$56,2,0),"")</f>
        <v>PWEGPL</v>
      </c>
      <c r="I73" s="242" t="str">
        <f>IFERROR(VLOOKUP(WTG_BD[[#This Row],[Affected WTG]],'Basic Data'!$A$3:$E$56,3,0),"")</f>
        <v>MSEDCL</v>
      </c>
      <c r="J73" s="243">
        <f>IFERROR(VLOOKUP(WTG_BD[[#This Row],[Affected WTG]],'Basic Data'!$A$3:$E$56,5,0),"")</f>
        <v>2.564102564102564E-2</v>
      </c>
      <c r="K73" s="158">
        <v>5216</v>
      </c>
      <c r="L73" s="247" t="str">
        <f>VLOOKUP(K73,'Basic Data'!T:U,2,0)</f>
        <v>Grid Voltage Failure</v>
      </c>
      <c r="M73" s="135" t="s">
        <v>472</v>
      </c>
      <c r="N73" s="256">
        <v>0.81736111111111109</v>
      </c>
      <c r="O73" s="256">
        <v>0.81736111111111109</v>
      </c>
      <c r="P73" s="256">
        <v>0.99930555555555556</v>
      </c>
      <c r="Q73" s="253">
        <f>IF(WTG_BD[[#This Row],[Work Start TimeStamp]]="","",(WTG_BD[[#This Row],[Work Start TimeStamp]]-WTG_BD[[#This Row],[Fault Start TimeStamp]])*24)</f>
        <v>0</v>
      </c>
      <c r="R73" s="253">
        <f>(WTG_BD[[#This Row],[Fault Clearance time]]-WTG_BD[[#This Row],[Work Start TimeStamp]])*24</f>
        <v>4.3666666666666671</v>
      </c>
      <c r="S73" s="253">
        <f>(WTG_BD[[#This Row],[Fault Clearance time]]-WTG_BD[[#This Row],[Fault Start TimeStamp]])*24</f>
        <v>4.3666666666666671</v>
      </c>
      <c r="T73" s="135" t="s">
        <v>486</v>
      </c>
      <c r="U73" s="244" t="s">
        <v>469</v>
      </c>
      <c r="V73" s="246">
        <f>WTG_BD[[#This Row],[Breakdown Time]]*(1/39)</f>
        <v>0.11196581196581197</v>
      </c>
      <c r="W73" s="244" t="s">
        <v>141</v>
      </c>
      <c r="X73" s="250">
        <v>1092.7583333333334</v>
      </c>
      <c r="Y73" s="135" t="s">
        <v>470</v>
      </c>
      <c r="Z73" s="135" t="s">
        <v>475</v>
      </c>
      <c r="AA73" s="135">
        <v>6006</v>
      </c>
      <c r="AB73" s="249">
        <v>1092.7583333333334</v>
      </c>
      <c r="AC73" s="135"/>
      <c r="AD73" s="245"/>
      <c r="AE73" s="3"/>
    </row>
    <row r="74" spans="1:31">
      <c r="A74" s="241">
        <f t="shared" si="3"/>
        <v>73</v>
      </c>
      <c r="B74" s="255">
        <v>45747</v>
      </c>
      <c r="C74" s="252">
        <v>2025</v>
      </c>
      <c r="D74" s="252">
        <f>YEAR(WTG_BD[[#This Row],[Date]])</f>
        <v>2025</v>
      </c>
      <c r="E74" s="251">
        <f t="shared" si="2"/>
        <v>45717</v>
      </c>
      <c r="F74" s="252" t="s">
        <v>465</v>
      </c>
      <c r="G74" s="248" t="s">
        <v>145</v>
      </c>
      <c r="H74" s="242" t="str">
        <f>IFERROR(VLOOKUP(WTG_BD[[#This Row],[Affected WTG]],'Basic Data'!$A$3:$E$56,2,0),"")</f>
        <v>PWEGPL</v>
      </c>
      <c r="I74" s="242" t="str">
        <f>IFERROR(VLOOKUP(WTG_BD[[#This Row],[Affected WTG]],'Basic Data'!$A$3:$E$56,3,0),"")</f>
        <v>MSEDCL</v>
      </c>
      <c r="J74" s="243">
        <f>IFERROR(VLOOKUP(WTG_BD[[#This Row],[Affected WTG]],'Basic Data'!$A$3:$E$56,5,0),"")</f>
        <v>2.564102564102564E-2</v>
      </c>
      <c r="K74" s="158">
        <v>2102</v>
      </c>
      <c r="L74" s="247" t="str">
        <f>VLOOKUP(K74,'Basic Data'!T:U,2,0)</f>
        <v>PLC Module Failure</v>
      </c>
      <c r="M74" s="135" t="s">
        <v>472</v>
      </c>
      <c r="N74" s="256">
        <v>0.74652777777777779</v>
      </c>
      <c r="O74" s="256">
        <v>0.81597222222222221</v>
      </c>
      <c r="P74" s="256">
        <v>0.81874999999999998</v>
      </c>
      <c r="Q74" s="253">
        <f>IF(WTG_BD[[#This Row],[Work Start TimeStamp]]="","",(WTG_BD[[#This Row],[Work Start TimeStamp]]-WTG_BD[[#This Row],[Fault Start TimeStamp]])*24)</f>
        <v>1.6666666666666661</v>
      </c>
      <c r="R74" s="253">
        <f>(WTG_BD[[#This Row],[Fault Clearance time]]-WTG_BD[[#This Row],[Work Start TimeStamp]])*24</f>
        <v>6.666666666666643E-2</v>
      </c>
      <c r="S74" s="253">
        <f>(WTG_BD[[#This Row],[Fault Clearance time]]-WTG_BD[[#This Row],[Fault Start TimeStamp]])*24</f>
        <v>1.7333333333333325</v>
      </c>
      <c r="T74" s="135" t="s">
        <v>482</v>
      </c>
      <c r="U74" s="244" t="s">
        <v>474</v>
      </c>
      <c r="V74" s="246">
        <f>WTG_BD[[#This Row],[Breakdown Time]]*(1/39)</f>
        <v>4.4444444444444418E-2</v>
      </c>
      <c r="W74" s="244" t="s">
        <v>139</v>
      </c>
      <c r="X74" s="250">
        <v>395.7777777777776</v>
      </c>
      <c r="Y74" s="135" t="s">
        <v>470</v>
      </c>
      <c r="Z74" s="135" t="s">
        <v>475</v>
      </c>
      <c r="AA74" s="135">
        <v>5480</v>
      </c>
      <c r="AB74" s="249">
        <v>395.7777777777776</v>
      </c>
      <c r="AC74" s="135"/>
      <c r="AD74" s="245"/>
      <c r="AE74" s="3"/>
    </row>
    <row r="75" spans="1:31">
      <c r="A75" s="241">
        <f t="shared" si="3"/>
        <v>74</v>
      </c>
      <c r="B75" s="255">
        <v>45747</v>
      </c>
      <c r="C75" s="252">
        <v>2025</v>
      </c>
      <c r="D75" s="252">
        <f>YEAR(WTG_BD[[#This Row],[Date]])</f>
        <v>2025</v>
      </c>
      <c r="E75" s="251">
        <f t="shared" si="2"/>
        <v>45717</v>
      </c>
      <c r="F75" s="252" t="s">
        <v>465</v>
      </c>
      <c r="G75" s="248" t="s">
        <v>146</v>
      </c>
      <c r="H75" s="242" t="str">
        <f>IFERROR(VLOOKUP(WTG_BD[[#This Row],[Affected WTG]],'Basic Data'!$A$3:$E$56,2,0),"")</f>
        <v>PWEGPL</v>
      </c>
      <c r="I75" s="242" t="str">
        <f>IFERROR(VLOOKUP(WTG_BD[[#This Row],[Affected WTG]],'Basic Data'!$A$3:$E$56,3,0),"")</f>
        <v>MSEDCL</v>
      </c>
      <c r="J75" s="243">
        <f>IFERROR(VLOOKUP(WTG_BD[[#This Row],[Affected WTG]],'Basic Data'!$A$3:$E$56,5,0),"")</f>
        <v>2.564102564102564E-2</v>
      </c>
      <c r="K75" s="158">
        <v>812</v>
      </c>
      <c r="L75" s="247" t="str">
        <f>VLOOKUP(K75,'Basic Data'!T:U,2,0)</f>
        <v>Blade Position Meas. Error</v>
      </c>
      <c r="M75" s="135" t="s">
        <v>472</v>
      </c>
      <c r="N75" s="256">
        <v>0.84583333333333333</v>
      </c>
      <c r="O75" s="256">
        <v>0.84583333333333333</v>
      </c>
      <c r="P75" s="256">
        <v>0.84930555555555554</v>
      </c>
      <c r="Q75" s="253">
        <f>IF(WTG_BD[[#This Row],[Work Start TimeStamp]]="","",(WTG_BD[[#This Row],[Work Start TimeStamp]]-WTG_BD[[#This Row],[Fault Start TimeStamp]])*24)</f>
        <v>0</v>
      </c>
      <c r="R75" s="253">
        <f>(WTG_BD[[#This Row],[Fault Clearance time]]-WTG_BD[[#This Row],[Work Start TimeStamp]])*24</f>
        <v>8.3333333333333037E-2</v>
      </c>
      <c r="S75" s="253">
        <f>(WTG_BD[[#This Row],[Fault Clearance time]]-WTG_BD[[#This Row],[Fault Start TimeStamp]])*24</f>
        <v>8.3333333333333037E-2</v>
      </c>
      <c r="T75" s="135" t="s">
        <v>476</v>
      </c>
      <c r="U75" s="244" t="s">
        <v>474</v>
      </c>
      <c r="V75" s="246">
        <f>WTG_BD[[#This Row],[Breakdown Time]]*(1/39)</f>
        <v>2.1367521367521292E-3</v>
      </c>
      <c r="W75" s="244" t="s">
        <v>147</v>
      </c>
      <c r="X75" s="250">
        <v>27.763888888888793</v>
      </c>
      <c r="Y75" s="135" t="s">
        <v>470</v>
      </c>
      <c r="Z75" s="135" t="s">
        <v>475</v>
      </c>
      <c r="AA75" s="135">
        <v>7996</v>
      </c>
      <c r="AB75" s="249">
        <v>27.763888888888793</v>
      </c>
      <c r="AC75" s="135"/>
      <c r="AD75" s="245"/>
      <c r="AE75" s="3"/>
    </row>
    <row r="76" spans="1:31">
      <c r="A76" s="241">
        <f t="shared" si="3"/>
        <v>75</v>
      </c>
      <c r="B76" s="255">
        <v>45747</v>
      </c>
      <c r="C76" s="252">
        <v>2025</v>
      </c>
      <c r="D76" s="252">
        <f>YEAR(WTG_BD[[#This Row],[Date]])</f>
        <v>2025</v>
      </c>
      <c r="E76" s="251">
        <f t="shared" si="2"/>
        <v>45717</v>
      </c>
      <c r="F76" s="252" t="s">
        <v>465</v>
      </c>
      <c r="G76" s="248" t="s">
        <v>147</v>
      </c>
      <c r="H76" s="242" t="str">
        <f>IFERROR(VLOOKUP(WTG_BD[[#This Row],[Affected WTG]],'Basic Data'!$A$3:$E$56,2,0),"")</f>
        <v>PWEGPL</v>
      </c>
      <c r="I76" s="242" t="str">
        <f>IFERROR(VLOOKUP(WTG_BD[[#This Row],[Affected WTG]],'Basic Data'!$A$3:$E$56,3,0),"")</f>
        <v>MSEDCL</v>
      </c>
      <c r="J76" s="243">
        <f>IFERROR(VLOOKUP(WTG_BD[[#This Row],[Affected WTG]],'Basic Data'!$A$3:$E$56,5,0),"")</f>
        <v>2.564102564102564E-2</v>
      </c>
      <c r="K76" s="158">
        <v>5200</v>
      </c>
      <c r="L76" s="247" t="str">
        <f>VLOOKUP(K76,'Basic Data'!T:U,2,0)</f>
        <v>Magnetothermic Trigger Of The Line Protection</v>
      </c>
      <c r="M76" s="135" t="s">
        <v>472</v>
      </c>
      <c r="N76" s="256">
        <v>0.74583333333333335</v>
      </c>
      <c r="O76" s="256">
        <v>0.74583333333333335</v>
      </c>
      <c r="P76" s="256">
        <v>0.74930555555555556</v>
      </c>
      <c r="Q76" s="253">
        <f>IF(WTG_BD[[#This Row],[Work Start TimeStamp]]="","",(WTG_BD[[#This Row],[Work Start TimeStamp]]-WTG_BD[[#This Row],[Fault Start TimeStamp]])*24)</f>
        <v>0</v>
      </c>
      <c r="R76" s="253">
        <f>(WTG_BD[[#This Row],[Fault Clearance time]]-WTG_BD[[#This Row],[Work Start TimeStamp]])*24</f>
        <v>8.3333333333333037E-2</v>
      </c>
      <c r="S76" s="253">
        <f>(WTG_BD[[#This Row],[Fault Clearance time]]-WTG_BD[[#This Row],[Fault Start TimeStamp]])*24</f>
        <v>8.3333333333333037E-2</v>
      </c>
      <c r="T76" s="135" t="s">
        <v>476</v>
      </c>
      <c r="U76" s="244" t="s">
        <v>474</v>
      </c>
      <c r="V76" s="246">
        <f>WTG_BD[[#This Row],[Breakdown Time]]*(1/39)</f>
        <v>2.1367521367521292E-3</v>
      </c>
      <c r="W76" s="244" t="s">
        <v>146</v>
      </c>
      <c r="X76" s="250">
        <v>23.274305555555475</v>
      </c>
      <c r="Y76" s="135" t="s">
        <v>470</v>
      </c>
      <c r="Z76" s="135" t="s">
        <v>475</v>
      </c>
      <c r="AA76" s="135">
        <v>6703</v>
      </c>
      <c r="AB76" s="249">
        <v>23.274305555555475</v>
      </c>
      <c r="AC76" s="135"/>
      <c r="AD76" s="245"/>
      <c r="AE76" s="3"/>
    </row>
    <row r="77" spans="1:31">
      <c r="A77" s="241">
        <f t="shared" si="3"/>
        <v>76</v>
      </c>
      <c r="B77" s="255">
        <v>45747</v>
      </c>
      <c r="C77" s="252">
        <v>2025</v>
      </c>
      <c r="D77" s="252">
        <f>YEAR(WTG_BD[[#This Row],[Date]])</f>
        <v>2025</v>
      </c>
      <c r="E77" s="251">
        <f t="shared" si="2"/>
        <v>45717</v>
      </c>
      <c r="F77" s="252" t="s">
        <v>465</v>
      </c>
      <c r="G77" s="248" t="s">
        <v>148</v>
      </c>
      <c r="H77" s="242" t="str">
        <f>IFERROR(VLOOKUP(WTG_BD[[#This Row],[Affected WTG]],'Basic Data'!$A$3:$E$56,2,0),"")</f>
        <v>PWEGPL</v>
      </c>
      <c r="I77" s="242" t="str">
        <f>IFERROR(VLOOKUP(WTG_BD[[#This Row],[Affected WTG]],'Basic Data'!$A$3:$E$56,3,0),"")</f>
        <v>MSEDCL</v>
      </c>
      <c r="J77" s="243">
        <f>IFERROR(VLOOKUP(WTG_BD[[#This Row],[Affected WTG]],'Basic Data'!$A$3:$E$56,5,0),"")</f>
        <v>2.564102564102564E-2</v>
      </c>
      <c r="K77" s="158">
        <v>5201</v>
      </c>
      <c r="L77" s="247" t="str">
        <f>VLOOKUP(K77,'Basic Data'!T:U,2,0)</f>
        <v>Magnetothermic Trigger Of The Stator Protection</v>
      </c>
      <c r="M77" s="135" t="s">
        <v>472</v>
      </c>
      <c r="N77" s="256">
        <v>0.80555555555555558</v>
      </c>
      <c r="O77" s="256">
        <v>0.80555555555555558</v>
      </c>
      <c r="P77" s="256">
        <v>0.99930555555555556</v>
      </c>
      <c r="Q77" s="253">
        <f>IF(WTG_BD[[#This Row],[Work Start TimeStamp]]="","",(WTG_BD[[#This Row],[Work Start TimeStamp]]-WTG_BD[[#This Row],[Fault Start TimeStamp]])*24)</f>
        <v>0</v>
      </c>
      <c r="R77" s="253">
        <f>(WTG_BD[[#This Row],[Fault Clearance time]]-WTG_BD[[#This Row],[Work Start TimeStamp]])*24</f>
        <v>4.6499999999999995</v>
      </c>
      <c r="S77" s="253">
        <f>(WTG_BD[[#This Row],[Fault Clearance time]]-WTG_BD[[#This Row],[Fault Start TimeStamp]])*24</f>
        <v>4.6499999999999995</v>
      </c>
      <c r="T77" s="135" t="s">
        <v>486</v>
      </c>
      <c r="U77" s="244" t="s">
        <v>469</v>
      </c>
      <c r="V77" s="246">
        <f>WTG_BD[[#This Row],[Breakdown Time]]*(1/39)</f>
        <v>0.11923076923076921</v>
      </c>
      <c r="W77" s="244" t="s">
        <v>149</v>
      </c>
      <c r="X77" s="250">
        <v>928.44999999999982</v>
      </c>
      <c r="Y77" s="135" t="s">
        <v>470</v>
      </c>
      <c r="Z77" s="135" t="s">
        <v>475</v>
      </c>
      <c r="AA77" s="135">
        <v>4792</v>
      </c>
      <c r="AB77" s="249">
        <v>928.44999999999982</v>
      </c>
      <c r="AC77" s="135"/>
      <c r="AD77" s="245"/>
      <c r="AE77" s="3"/>
    </row>
    <row r="78" spans="1:31">
      <c r="A78" s="241">
        <f t="shared" si="3"/>
        <v>77</v>
      </c>
      <c r="B78" s="255">
        <v>45747</v>
      </c>
      <c r="C78" s="252">
        <v>2025</v>
      </c>
      <c r="D78" s="252">
        <f>YEAR(WTG_BD[[#This Row],[Date]])</f>
        <v>2025</v>
      </c>
      <c r="E78" s="251">
        <f t="shared" si="2"/>
        <v>45717</v>
      </c>
      <c r="F78" s="252" t="s">
        <v>465</v>
      </c>
      <c r="G78" s="248" t="s">
        <v>149</v>
      </c>
      <c r="H78" s="242" t="str">
        <f>IFERROR(VLOOKUP(WTG_BD[[#This Row],[Affected WTG]],'Basic Data'!$A$3:$E$56,2,0),"")</f>
        <v>PWEGPL</v>
      </c>
      <c r="I78" s="242" t="str">
        <f>IFERROR(VLOOKUP(WTG_BD[[#This Row],[Affected WTG]],'Basic Data'!$A$3:$E$56,3,0),"")</f>
        <v>MSEDCL</v>
      </c>
      <c r="J78" s="243">
        <f>IFERROR(VLOOKUP(WTG_BD[[#This Row],[Affected WTG]],'Basic Data'!$A$3:$E$56,5,0),"")</f>
        <v>2.564102564102564E-2</v>
      </c>
      <c r="K78" s="158">
        <v>812</v>
      </c>
      <c r="L78" s="247" t="str">
        <f>VLOOKUP(K78,'Basic Data'!T:U,2,0)</f>
        <v>Blade Position Meas. Error</v>
      </c>
      <c r="M78" s="135" t="s">
        <v>472</v>
      </c>
      <c r="N78" s="256">
        <v>0.35694444444444445</v>
      </c>
      <c r="O78" s="256">
        <v>0.35694444444444445</v>
      </c>
      <c r="P78" s="256">
        <v>0.36041666666666666</v>
      </c>
      <c r="Q78" s="253">
        <f>IF(WTG_BD[[#This Row],[Work Start TimeStamp]]="","",(WTG_BD[[#This Row],[Work Start TimeStamp]]-WTG_BD[[#This Row],[Fault Start TimeStamp]])*24)</f>
        <v>0</v>
      </c>
      <c r="R78" s="253">
        <f>(WTG_BD[[#This Row],[Fault Clearance time]]-WTG_BD[[#This Row],[Work Start TimeStamp]])*24</f>
        <v>8.3333333333333037E-2</v>
      </c>
      <c r="S78" s="253">
        <f>(WTG_BD[[#This Row],[Fault Clearance time]]-WTG_BD[[#This Row],[Fault Start TimeStamp]])*24</f>
        <v>8.3333333333333037E-2</v>
      </c>
      <c r="T78" s="135" t="s">
        <v>476</v>
      </c>
      <c r="U78" s="244" t="s">
        <v>474</v>
      </c>
      <c r="V78" s="246">
        <f>WTG_BD[[#This Row],[Breakdown Time]]*(1/39)</f>
        <v>2.1367521367521292E-3</v>
      </c>
      <c r="W78" s="244" t="s">
        <v>148</v>
      </c>
      <c r="X78" s="250">
        <v>16.541666666666607</v>
      </c>
      <c r="Y78" s="135" t="s">
        <v>470</v>
      </c>
      <c r="Z78" s="135" t="s">
        <v>475</v>
      </c>
      <c r="AA78" s="135">
        <v>4764</v>
      </c>
      <c r="AB78" s="249">
        <v>16.541666666666607</v>
      </c>
      <c r="AC78" s="135"/>
      <c r="AD78" s="245"/>
      <c r="AE78" s="3"/>
    </row>
    <row r="79" spans="1:31">
      <c r="A79" s="241">
        <f t="shared" si="3"/>
        <v>78</v>
      </c>
      <c r="B79" s="255">
        <v>45747</v>
      </c>
      <c r="C79" s="252">
        <v>2025</v>
      </c>
      <c r="D79" s="252">
        <f>YEAR(WTG_BD[[#This Row],[Date]])</f>
        <v>2025</v>
      </c>
      <c r="E79" s="251">
        <f t="shared" si="2"/>
        <v>45717</v>
      </c>
      <c r="F79" s="252" t="s">
        <v>465</v>
      </c>
      <c r="G79" s="248" t="s">
        <v>149</v>
      </c>
      <c r="H79" s="242" t="str">
        <f>IFERROR(VLOOKUP(WTG_BD[[#This Row],[Affected WTG]],'Basic Data'!$A$3:$E$56,2,0),"")</f>
        <v>PWEGPL</v>
      </c>
      <c r="I79" s="242" t="str">
        <f>IFERROR(VLOOKUP(WTG_BD[[#This Row],[Affected WTG]],'Basic Data'!$A$3:$E$56,3,0),"")</f>
        <v>MSEDCL</v>
      </c>
      <c r="J79" s="243">
        <f>IFERROR(VLOOKUP(WTG_BD[[#This Row],[Affected WTG]],'Basic Data'!$A$3:$E$56,5,0),"")</f>
        <v>2.564102564102564E-2</v>
      </c>
      <c r="K79" s="158">
        <v>426</v>
      </c>
      <c r="L79" s="247" t="str">
        <f>VLOOKUP(K79,'Basic Data'!T:U,2,0)</f>
        <v>Rotor Speed Reading Failure</v>
      </c>
      <c r="M79" s="135" t="s">
        <v>472</v>
      </c>
      <c r="N79" s="256">
        <v>0.38958333333333334</v>
      </c>
      <c r="O79" s="256">
        <v>0.38958333333333334</v>
      </c>
      <c r="P79" s="256">
        <v>0.39305555555555555</v>
      </c>
      <c r="Q79" s="253">
        <f>IF(WTG_BD[[#This Row],[Work Start TimeStamp]]="","",(WTG_BD[[#This Row],[Work Start TimeStamp]]-WTG_BD[[#This Row],[Fault Start TimeStamp]])*24)</f>
        <v>0</v>
      </c>
      <c r="R79" s="253">
        <f>(WTG_BD[[#This Row],[Fault Clearance time]]-WTG_BD[[#This Row],[Work Start TimeStamp]])*24</f>
        <v>8.3333333333333037E-2</v>
      </c>
      <c r="S79" s="253">
        <f>(WTG_BD[[#This Row],[Fault Clearance time]]-WTG_BD[[#This Row],[Fault Start TimeStamp]])*24</f>
        <v>8.3333333333333037E-2</v>
      </c>
      <c r="T79" s="135" t="s">
        <v>476</v>
      </c>
      <c r="U79" s="244" t="s">
        <v>474</v>
      </c>
      <c r="V79" s="246">
        <f>WTG_BD[[#This Row],[Breakdown Time]]*(1/39)</f>
        <v>2.1367521367521292E-3</v>
      </c>
      <c r="W79" s="244" t="s">
        <v>148</v>
      </c>
      <c r="X79" s="250">
        <v>16.541666666666607</v>
      </c>
      <c r="Y79" s="135" t="s">
        <v>470</v>
      </c>
      <c r="Z79" s="135" t="s">
        <v>475</v>
      </c>
      <c r="AA79" s="135">
        <v>4764</v>
      </c>
      <c r="AB79" s="249">
        <v>16.541666666666607</v>
      </c>
      <c r="AC79" s="135"/>
      <c r="AD79" s="245"/>
      <c r="AE79" s="3"/>
    </row>
    <row r="80" spans="1:31">
      <c r="A80" s="241">
        <f t="shared" si="3"/>
        <v>79</v>
      </c>
      <c r="B80" s="255">
        <v>45747</v>
      </c>
      <c r="C80" s="252">
        <v>2025</v>
      </c>
      <c r="D80" s="252">
        <f>YEAR(WTG_BD[[#This Row],[Date]])</f>
        <v>2025</v>
      </c>
      <c r="E80" s="251">
        <f t="shared" si="2"/>
        <v>45717</v>
      </c>
      <c r="F80" s="252" t="s">
        <v>465</v>
      </c>
      <c r="G80" s="248" t="s">
        <v>149</v>
      </c>
      <c r="H80" s="242" t="str">
        <f>IFERROR(VLOOKUP(WTG_BD[[#This Row],[Affected WTG]],'Basic Data'!$A$3:$E$56,2,0),"")</f>
        <v>PWEGPL</v>
      </c>
      <c r="I80" s="242" t="str">
        <f>IFERROR(VLOOKUP(WTG_BD[[#This Row],[Affected WTG]],'Basic Data'!$A$3:$E$56,3,0),"")</f>
        <v>MSEDCL</v>
      </c>
      <c r="J80" s="243">
        <f>IFERROR(VLOOKUP(WTG_BD[[#This Row],[Affected WTG]],'Basic Data'!$A$3:$E$56,5,0),"")</f>
        <v>2.564102564102564E-2</v>
      </c>
      <c r="K80" s="158">
        <v>804</v>
      </c>
      <c r="L80" s="247" t="str">
        <f>VLOOKUP(K80,'Basic Data'!T:U,2,0)</f>
        <v>Difference Between 2 Blades Too High</v>
      </c>
      <c r="M80" s="135" t="s">
        <v>472</v>
      </c>
      <c r="N80" s="256">
        <v>0.4465277777777778</v>
      </c>
      <c r="O80" s="256">
        <v>0.45</v>
      </c>
      <c r="P80" s="256">
        <v>0.45</v>
      </c>
      <c r="Q80" s="253">
        <f>IF(WTG_BD[[#This Row],[Work Start TimeStamp]]="","",(WTG_BD[[#This Row],[Work Start TimeStamp]]-WTG_BD[[#This Row],[Fault Start TimeStamp]])*24)</f>
        <v>8.3333333333333037E-2</v>
      </c>
      <c r="R80" s="253">
        <f>(WTG_BD[[#This Row],[Fault Clearance time]]-WTG_BD[[#This Row],[Work Start TimeStamp]])*24</f>
        <v>0</v>
      </c>
      <c r="S80" s="253">
        <f>(WTG_BD[[#This Row],[Fault Clearance time]]-WTG_BD[[#This Row],[Fault Start TimeStamp]])*24</f>
        <v>8.3333333333333037E-2</v>
      </c>
      <c r="T80" s="135" t="s">
        <v>476</v>
      </c>
      <c r="U80" s="244" t="s">
        <v>474</v>
      </c>
      <c r="V80" s="246">
        <f>WTG_BD[[#This Row],[Breakdown Time]]*(1/39)</f>
        <v>2.1367521367521292E-3</v>
      </c>
      <c r="W80" s="244" t="s">
        <v>148</v>
      </c>
      <c r="X80" s="250">
        <v>16.541666666666607</v>
      </c>
      <c r="Y80" s="135" t="s">
        <v>470</v>
      </c>
      <c r="Z80" s="135" t="s">
        <v>475</v>
      </c>
      <c r="AA80" s="135">
        <v>4764</v>
      </c>
      <c r="AB80" s="249">
        <v>16.541666666666607</v>
      </c>
      <c r="AC80" s="135"/>
      <c r="AD80" s="245"/>
      <c r="AE80" s="3"/>
    </row>
    <row r="81" spans="1:31">
      <c r="A81" s="241">
        <f t="shared" si="3"/>
        <v>80</v>
      </c>
      <c r="B81" s="255">
        <v>45747</v>
      </c>
      <c r="C81" s="252">
        <v>2025</v>
      </c>
      <c r="D81" s="252">
        <f>YEAR(WTG_BD[[#This Row],[Date]])</f>
        <v>2025</v>
      </c>
      <c r="E81" s="251">
        <f t="shared" si="2"/>
        <v>45717</v>
      </c>
      <c r="F81" s="252" t="s">
        <v>465</v>
      </c>
      <c r="G81" s="248" t="s">
        <v>149</v>
      </c>
      <c r="H81" s="242" t="str">
        <f>IFERROR(VLOOKUP(WTG_BD[[#This Row],[Affected WTG]],'Basic Data'!$A$3:$E$56,2,0),"")</f>
        <v>PWEGPL</v>
      </c>
      <c r="I81" s="242" t="str">
        <f>IFERROR(VLOOKUP(WTG_BD[[#This Row],[Affected WTG]],'Basic Data'!$A$3:$E$56,3,0),"")</f>
        <v>MSEDCL</v>
      </c>
      <c r="J81" s="243">
        <f>IFERROR(VLOOKUP(WTG_BD[[#This Row],[Affected WTG]],'Basic Data'!$A$3:$E$56,5,0),"")</f>
        <v>2.564102564102564E-2</v>
      </c>
      <c r="K81" s="158">
        <v>812</v>
      </c>
      <c r="L81" s="247" t="str">
        <f>VLOOKUP(K81,'Basic Data'!T:U,2,0)</f>
        <v>Blade Position Meas. Error</v>
      </c>
      <c r="M81" s="135" t="s">
        <v>472</v>
      </c>
      <c r="N81" s="256">
        <v>0.48055555555555557</v>
      </c>
      <c r="O81" s="256">
        <v>0.48055555555555557</v>
      </c>
      <c r="P81" s="256">
        <v>0.48402777777777778</v>
      </c>
      <c r="Q81" s="253">
        <f>IF(WTG_BD[[#This Row],[Work Start TimeStamp]]="","",(WTG_BD[[#This Row],[Work Start TimeStamp]]-WTG_BD[[#This Row],[Fault Start TimeStamp]])*24)</f>
        <v>0</v>
      </c>
      <c r="R81" s="253">
        <f>(WTG_BD[[#This Row],[Fault Clearance time]]-WTG_BD[[#This Row],[Work Start TimeStamp]])*24</f>
        <v>8.3333333333333037E-2</v>
      </c>
      <c r="S81" s="253">
        <f>(WTG_BD[[#This Row],[Fault Clearance time]]-WTG_BD[[#This Row],[Fault Start TimeStamp]])*24</f>
        <v>8.3333333333333037E-2</v>
      </c>
      <c r="T81" s="135" t="s">
        <v>476</v>
      </c>
      <c r="U81" s="244" t="s">
        <v>474</v>
      </c>
      <c r="V81" s="246">
        <f>WTG_BD[[#This Row],[Breakdown Time]]*(1/39)</f>
        <v>2.1367521367521292E-3</v>
      </c>
      <c r="W81" s="244" t="s">
        <v>148</v>
      </c>
      <c r="X81" s="250">
        <v>16.541666666666607</v>
      </c>
      <c r="Y81" s="135" t="s">
        <v>470</v>
      </c>
      <c r="Z81" s="135" t="s">
        <v>475</v>
      </c>
      <c r="AA81" s="135">
        <v>4764</v>
      </c>
      <c r="AB81" s="249">
        <v>16.541666666666607</v>
      </c>
      <c r="AC81" s="135"/>
      <c r="AD81" s="245"/>
      <c r="AE81" s="3"/>
    </row>
    <row r="82" spans="1:31">
      <c r="A82" s="241">
        <f t="shared" si="3"/>
        <v>81</v>
      </c>
      <c r="B82" s="255">
        <v>45747</v>
      </c>
      <c r="C82" s="252">
        <v>2025</v>
      </c>
      <c r="D82" s="252">
        <f>YEAR(WTG_BD[[#This Row],[Date]])</f>
        <v>2025</v>
      </c>
      <c r="E82" s="251">
        <f t="shared" si="2"/>
        <v>45717</v>
      </c>
      <c r="F82" s="252" t="s">
        <v>465</v>
      </c>
      <c r="G82" s="248" t="s">
        <v>149</v>
      </c>
      <c r="H82" s="242" t="str">
        <f>IFERROR(VLOOKUP(WTG_BD[[#This Row],[Affected WTG]],'Basic Data'!$A$3:$E$56,2,0),"")</f>
        <v>PWEGPL</v>
      </c>
      <c r="I82" s="242" t="str">
        <f>IFERROR(VLOOKUP(WTG_BD[[#This Row],[Affected WTG]],'Basic Data'!$A$3:$E$56,3,0),"")</f>
        <v>MSEDCL</v>
      </c>
      <c r="J82" s="243">
        <f>IFERROR(VLOOKUP(WTG_BD[[#This Row],[Affected WTG]],'Basic Data'!$A$3:$E$56,5,0),"")</f>
        <v>2.564102564102564E-2</v>
      </c>
      <c r="K82" s="158">
        <v>812</v>
      </c>
      <c r="L82" s="247" t="str">
        <f>VLOOKUP(K82,'Basic Data'!T:U,2,0)</f>
        <v>Blade Position Meas. Error</v>
      </c>
      <c r="M82" s="135" t="s">
        <v>472</v>
      </c>
      <c r="N82" s="256">
        <v>0.51041666666666663</v>
      </c>
      <c r="O82" s="256">
        <v>0.51041666666666663</v>
      </c>
      <c r="P82" s="256">
        <v>0.54722222222222228</v>
      </c>
      <c r="Q82" s="253">
        <f>IF(WTG_BD[[#This Row],[Work Start TimeStamp]]="","",(WTG_BD[[#This Row],[Work Start TimeStamp]]-WTG_BD[[#This Row],[Fault Start TimeStamp]])*24)</f>
        <v>0</v>
      </c>
      <c r="R82" s="253">
        <f>(WTG_BD[[#This Row],[Fault Clearance time]]-WTG_BD[[#This Row],[Work Start TimeStamp]])*24</f>
        <v>0.88333333333333552</v>
      </c>
      <c r="S82" s="253">
        <f>(WTG_BD[[#This Row],[Fault Clearance time]]-WTG_BD[[#This Row],[Fault Start TimeStamp]])*24</f>
        <v>0.88333333333333552</v>
      </c>
      <c r="T82" s="135" t="s">
        <v>473</v>
      </c>
      <c r="U82" s="244" t="s">
        <v>474</v>
      </c>
      <c r="V82" s="246">
        <f>WTG_BD[[#This Row],[Breakdown Time]]*(1/39)</f>
        <v>2.2649572649572704E-2</v>
      </c>
      <c r="W82" s="244" t="s">
        <v>148</v>
      </c>
      <c r="X82" s="250">
        <v>175.34166666666709</v>
      </c>
      <c r="Y82" s="135" t="s">
        <v>470</v>
      </c>
      <c r="Z82" s="135" t="s">
        <v>475</v>
      </c>
      <c r="AA82" s="135">
        <v>4764</v>
      </c>
      <c r="AB82" s="249">
        <v>175.34166666666709</v>
      </c>
      <c r="AC82" s="135"/>
      <c r="AD82" s="245"/>
      <c r="AE82" s="3"/>
    </row>
    <row r="83" spans="1:31">
      <c r="A83" s="241">
        <f t="shared" si="3"/>
        <v>82</v>
      </c>
      <c r="B83" s="255">
        <v>45747</v>
      </c>
      <c r="C83" s="252">
        <v>2025</v>
      </c>
      <c r="D83" s="252">
        <f>YEAR(WTG_BD[[#This Row],[Date]])</f>
        <v>2025</v>
      </c>
      <c r="E83" s="251">
        <f t="shared" si="2"/>
        <v>45717</v>
      </c>
      <c r="F83" s="252" t="s">
        <v>465</v>
      </c>
      <c r="G83" s="248" t="s">
        <v>149</v>
      </c>
      <c r="H83" s="242" t="str">
        <f>IFERROR(VLOOKUP(WTG_BD[[#This Row],[Affected WTG]],'Basic Data'!$A$3:$E$56,2,0),"")</f>
        <v>PWEGPL</v>
      </c>
      <c r="I83" s="242" t="str">
        <f>IFERROR(VLOOKUP(WTG_BD[[#This Row],[Affected WTG]],'Basic Data'!$A$3:$E$56,3,0),"")</f>
        <v>MSEDCL</v>
      </c>
      <c r="J83" s="243">
        <f>IFERROR(VLOOKUP(WTG_BD[[#This Row],[Affected WTG]],'Basic Data'!$A$3:$E$56,5,0),"")</f>
        <v>2.564102564102564E-2</v>
      </c>
      <c r="K83" s="158">
        <v>804</v>
      </c>
      <c r="L83" s="247" t="str">
        <f>VLOOKUP(K83,'Basic Data'!T:U,2,0)</f>
        <v>Difference Between 2 Blades Too High</v>
      </c>
      <c r="M83" s="135" t="s">
        <v>472</v>
      </c>
      <c r="N83" s="256">
        <v>0.5708333333333333</v>
      </c>
      <c r="O83" s="256">
        <v>0.5708333333333333</v>
      </c>
      <c r="P83" s="256">
        <v>0.59097222222222223</v>
      </c>
      <c r="Q83" s="253">
        <f>IF(WTG_BD[[#This Row],[Work Start TimeStamp]]="","",(WTG_BD[[#This Row],[Work Start TimeStamp]]-WTG_BD[[#This Row],[Fault Start TimeStamp]])*24)</f>
        <v>0</v>
      </c>
      <c r="R83" s="253">
        <f>(WTG_BD[[#This Row],[Fault Clearance time]]-WTG_BD[[#This Row],[Work Start TimeStamp]])*24</f>
        <v>0.48333333333333428</v>
      </c>
      <c r="S83" s="253">
        <f>(WTG_BD[[#This Row],[Fault Clearance time]]-WTG_BD[[#This Row],[Fault Start TimeStamp]])*24</f>
        <v>0.48333333333333428</v>
      </c>
      <c r="T83" s="135" t="s">
        <v>473</v>
      </c>
      <c r="U83" s="244" t="s">
        <v>474</v>
      </c>
      <c r="V83" s="246">
        <f>WTG_BD[[#This Row],[Breakdown Time]]*(1/39)</f>
        <v>1.2393162393162417E-2</v>
      </c>
      <c r="W83" s="244" t="s">
        <v>148</v>
      </c>
      <c r="X83" s="250">
        <v>95.941666666666862</v>
      </c>
      <c r="Y83" s="135" t="s">
        <v>470</v>
      </c>
      <c r="Z83" s="135" t="s">
        <v>475</v>
      </c>
      <c r="AA83" s="135">
        <v>4764</v>
      </c>
      <c r="AB83" s="249">
        <v>95.941666666666862</v>
      </c>
      <c r="AC83" s="135"/>
      <c r="AD83" s="245"/>
      <c r="AE83" s="3"/>
    </row>
    <row r="84" spans="1:31">
      <c r="A84" s="241">
        <f t="shared" si="3"/>
        <v>83</v>
      </c>
      <c r="B84" s="255">
        <v>45747</v>
      </c>
      <c r="C84" s="252">
        <v>2025</v>
      </c>
      <c r="D84" s="252">
        <f>YEAR(WTG_BD[[#This Row],[Date]])</f>
        <v>2025</v>
      </c>
      <c r="E84" s="251">
        <f t="shared" si="2"/>
        <v>45717</v>
      </c>
      <c r="F84" s="252" t="s">
        <v>465</v>
      </c>
      <c r="G84" s="248" t="s">
        <v>149</v>
      </c>
      <c r="H84" s="242" t="str">
        <f>IFERROR(VLOOKUP(WTG_BD[[#This Row],[Affected WTG]],'Basic Data'!$A$3:$E$56,2,0),"")</f>
        <v>PWEGPL</v>
      </c>
      <c r="I84" s="242" t="str">
        <f>IFERROR(VLOOKUP(WTG_BD[[#This Row],[Affected WTG]],'Basic Data'!$A$3:$E$56,3,0),"")</f>
        <v>MSEDCL</v>
      </c>
      <c r="J84" s="243">
        <f>IFERROR(VLOOKUP(WTG_BD[[#This Row],[Affected WTG]],'Basic Data'!$A$3:$E$56,5,0),"")</f>
        <v>2.564102564102564E-2</v>
      </c>
      <c r="K84" s="158">
        <v>5201</v>
      </c>
      <c r="L84" s="247" t="str">
        <f>VLOOKUP(K84,'Basic Data'!T:U,2,0)</f>
        <v>Magnetothermic Trigger Of The Stator Protection</v>
      </c>
      <c r="M84" s="135" t="s">
        <v>472</v>
      </c>
      <c r="N84" s="256">
        <v>0.80555555555555558</v>
      </c>
      <c r="O84" s="256">
        <v>0.80555555555555558</v>
      </c>
      <c r="P84" s="256">
        <v>0.99930555555555556</v>
      </c>
      <c r="Q84" s="253">
        <f>IF(WTG_BD[[#This Row],[Work Start TimeStamp]]="","",(WTG_BD[[#This Row],[Work Start TimeStamp]]-WTG_BD[[#This Row],[Fault Start TimeStamp]])*24)</f>
        <v>0</v>
      </c>
      <c r="R84" s="253">
        <f>(WTG_BD[[#This Row],[Fault Clearance time]]-WTG_BD[[#This Row],[Work Start TimeStamp]])*24</f>
        <v>4.6499999999999995</v>
      </c>
      <c r="S84" s="253">
        <f>(WTG_BD[[#This Row],[Fault Clearance time]]-WTG_BD[[#This Row],[Fault Start TimeStamp]])*24</f>
        <v>4.6499999999999995</v>
      </c>
      <c r="T84" s="135" t="s">
        <v>486</v>
      </c>
      <c r="U84" s="244" t="s">
        <v>469</v>
      </c>
      <c r="V84" s="246">
        <f>WTG_BD[[#This Row],[Breakdown Time]]*(1/39)</f>
        <v>0.11923076923076921</v>
      </c>
      <c r="W84" s="244" t="s">
        <v>148</v>
      </c>
      <c r="X84" s="250">
        <v>923.02499999999986</v>
      </c>
      <c r="Y84" s="135" t="s">
        <v>470</v>
      </c>
      <c r="Z84" s="135" t="s">
        <v>475</v>
      </c>
      <c r="AA84" s="135">
        <v>4764</v>
      </c>
      <c r="AB84" s="249">
        <v>923.02499999999986</v>
      </c>
      <c r="AC84" s="135"/>
      <c r="AD84" s="245"/>
      <c r="AE84" s="3"/>
    </row>
    <row r="85" spans="1:31">
      <c r="A85" s="241">
        <f t="shared" si="3"/>
        <v>84</v>
      </c>
      <c r="B85" s="255">
        <v>45747</v>
      </c>
      <c r="C85" s="252">
        <v>2025</v>
      </c>
      <c r="D85" s="252">
        <f>YEAR(WTG_BD[[#This Row],[Date]])</f>
        <v>2025</v>
      </c>
      <c r="E85" s="251">
        <f t="shared" si="2"/>
        <v>45717</v>
      </c>
      <c r="F85" s="252" t="s">
        <v>465</v>
      </c>
      <c r="G85" s="248" t="s">
        <v>150</v>
      </c>
      <c r="H85" s="242" t="str">
        <f>IFERROR(VLOOKUP(WTG_BD[[#This Row],[Affected WTG]],'Basic Data'!$A$3:$E$56,2,0),"")</f>
        <v>PWEGPL</v>
      </c>
      <c r="I85" s="242" t="str">
        <f>IFERROR(VLOOKUP(WTG_BD[[#This Row],[Affected WTG]],'Basic Data'!$A$3:$E$56,3,0),"")</f>
        <v>MSEDCL</v>
      </c>
      <c r="J85" s="243">
        <f>IFERROR(VLOOKUP(WTG_BD[[#This Row],[Affected WTG]],'Basic Data'!$A$3:$E$56,5,0),"")</f>
        <v>2.564102564102564E-2</v>
      </c>
      <c r="K85" s="158">
        <v>205</v>
      </c>
      <c r="L85" s="247" t="str">
        <f>VLOOKUP(K85,'Basic Data'!T:U,2,0)</f>
        <v>Low Level Hydraulic Group Refrigeration Oil</v>
      </c>
      <c r="M85" s="135" t="s">
        <v>472</v>
      </c>
      <c r="N85" s="256">
        <v>0.3576388888888889</v>
      </c>
      <c r="O85" s="256">
        <v>0.59027777777777779</v>
      </c>
      <c r="P85" s="256">
        <v>0.79652777777777772</v>
      </c>
      <c r="Q85" s="253">
        <f>IF(WTG_BD[[#This Row],[Work Start TimeStamp]]="","",(WTG_BD[[#This Row],[Work Start TimeStamp]]-WTG_BD[[#This Row],[Fault Start TimeStamp]])*24)</f>
        <v>5.5833333333333339</v>
      </c>
      <c r="R85" s="253">
        <f>(WTG_BD[[#This Row],[Fault Clearance time]]-WTG_BD[[#This Row],[Work Start TimeStamp]])*24</f>
        <v>4.9499999999999984</v>
      </c>
      <c r="S85" s="253">
        <f>(WTG_BD[[#This Row],[Fault Clearance time]]-WTG_BD[[#This Row],[Fault Start TimeStamp]])*24</f>
        <v>10.533333333333331</v>
      </c>
      <c r="T85" s="135" t="s">
        <v>489</v>
      </c>
      <c r="U85" s="244" t="s">
        <v>474</v>
      </c>
      <c r="V85" s="246">
        <f>WTG_BD[[#This Row],[Breakdown Time]]*(1/39)</f>
        <v>0.27008547008547001</v>
      </c>
      <c r="W85" s="244" t="s">
        <v>149</v>
      </c>
      <c r="X85" s="250">
        <v>2103.1555555555551</v>
      </c>
      <c r="Y85" s="135" t="s">
        <v>470</v>
      </c>
      <c r="Z85" s="135" t="s">
        <v>475</v>
      </c>
      <c r="AA85" s="135">
        <v>4792</v>
      </c>
      <c r="AB85" s="249">
        <v>2103.1555555555551</v>
      </c>
      <c r="AC85" s="135"/>
      <c r="AD85" s="245"/>
      <c r="AE85" s="3"/>
    </row>
    <row r="86" spans="1:31">
      <c r="A86" s="241">
        <f t="shared" si="3"/>
        <v>85</v>
      </c>
      <c r="B86" s="255">
        <v>45747</v>
      </c>
      <c r="C86" s="252">
        <v>2025</v>
      </c>
      <c r="D86" s="252">
        <f>YEAR(WTG_BD[[#This Row],[Date]])</f>
        <v>2025</v>
      </c>
      <c r="E86" s="251">
        <f t="shared" si="2"/>
        <v>45717</v>
      </c>
      <c r="F86" s="252" t="s">
        <v>465</v>
      </c>
      <c r="G86" s="248" t="s">
        <v>151</v>
      </c>
      <c r="H86" s="242" t="str">
        <f>IFERROR(VLOOKUP(WTG_BD[[#This Row],[Affected WTG]],'Basic Data'!$A$3:$E$56,2,0),"")</f>
        <v>PWEGPL</v>
      </c>
      <c r="I86" s="242" t="str">
        <f>IFERROR(VLOOKUP(WTG_BD[[#This Row],[Affected WTG]],'Basic Data'!$A$3:$E$56,3,0),"")</f>
        <v>MSEDCL</v>
      </c>
      <c r="J86" s="243">
        <f>IFERROR(VLOOKUP(WTG_BD[[#This Row],[Affected WTG]],'Basic Data'!$A$3:$E$56,5,0),"")</f>
        <v>2.564102564102564E-2</v>
      </c>
      <c r="K86" s="158">
        <v>222</v>
      </c>
      <c r="L86" s="247" t="str">
        <f>VLOOKUP(K86,'Basic Data'!T:U,2,0)</f>
        <v>Very Low Pressure On Hydraulic Unit</v>
      </c>
      <c r="M86" s="135" t="s">
        <v>472</v>
      </c>
      <c r="N86" s="256">
        <v>0.80555555555555558</v>
      </c>
      <c r="O86" s="256">
        <v>0.80555555555555558</v>
      </c>
      <c r="P86" s="256">
        <v>0.82777777777777772</v>
      </c>
      <c r="Q86" s="253">
        <f>IF(WTG_BD[[#This Row],[Work Start TimeStamp]]="","",(WTG_BD[[#This Row],[Work Start TimeStamp]]-WTG_BD[[#This Row],[Fault Start TimeStamp]])*24)</f>
        <v>0</v>
      </c>
      <c r="R86" s="253">
        <f>(WTG_BD[[#This Row],[Fault Clearance time]]-WTG_BD[[#This Row],[Work Start TimeStamp]])*24</f>
        <v>0.53333333333333144</v>
      </c>
      <c r="S86" s="253">
        <f>(WTG_BD[[#This Row],[Fault Clearance time]]-WTG_BD[[#This Row],[Fault Start TimeStamp]])*24</f>
        <v>0.53333333333333144</v>
      </c>
      <c r="T86" s="135" t="s">
        <v>473</v>
      </c>
      <c r="U86" s="244" t="s">
        <v>474</v>
      </c>
      <c r="V86" s="246">
        <f>WTG_BD[[#This Row],[Breakdown Time]]*(1/39)</f>
        <v>1.3675213675213627E-2</v>
      </c>
      <c r="W86" s="244" t="s">
        <v>152</v>
      </c>
      <c r="X86" s="250">
        <v>167.82222222222163</v>
      </c>
      <c r="Y86" s="135" t="s">
        <v>470</v>
      </c>
      <c r="Z86" s="135" t="s">
        <v>475</v>
      </c>
      <c r="AA86" s="135">
        <v>7552</v>
      </c>
      <c r="AB86" s="249">
        <v>167.82222222222163</v>
      </c>
      <c r="AC86" s="135"/>
      <c r="AD86" s="245"/>
      <c r="AE86" s="3"/>
    </row>
    <row r="87" spans="1:31">
      <c r="A87" s="241">
        <f t="shared" si="3"/>
        <v>86</v>
      </c>
      <c r="B87" s="255">
        <v>45747</v>
      </c>
      <c r="C87" s="252">
        <v>2025</v>
      </c>
      <c r="D87" s="252">
        <f>YEAR(WTG_BD[[#This Row],[Date]])</f>
        <v>2025</v>
      </c>
      <c r="E87" s="251">
        <f t="shared" si="2"/>
        <v>45717</v>
      </c>
      <c r="F87" s="252" t="s">
        <v>465</v>
      </c>
      <c r="G87" s="248" t="s">
        <v>152</v>
      </c>
      <c r="H87" s="242" t="str">
        <f>IFERROR(VLOOKUP(WTG_BD[[#This Row],[Affected WTG]],'Basic Data'!$A$3:$E$56,2,0),"")</f>
        <v>PWEGPL</v>
      </c>
      <c r="I87" s="242" t="str">
        <f>IFERROR(VLOOKUP(WTG_BD[[#This Row],[Affected WTG]],'Basic Data'!$A$3:$E$56,3,0),"")</f>
        <v>MSEDCL</v>
      </c>
      <c r="J87" s="243">
        <f>IFERROR(VLOOKUP(WTG_BD[[#This Row],[Affected WTG]],'Basic Data'!$A$3:$E$56,5,0),"")</f>
        <v>2.564102564102564E-2</v>
      </c>
      <c r="K87" s="158">
        <v>222</v>
      </c>
      <c r="L87" s="247" t="str">
        <f>VLOOKUP(K87,'Basic Data'!T:U,2,0)</f>
        <v>Very Low Pressure On Hydraulic Unit</v>
      </c>
      <c r="M87" s="135" t="s">
        <v>472</v>
      </c>
      <c r="N87" s="256">
        <v>0.80555555555555558</v>
      </c>
      <c r="O87" s="256">
        <v>0.80555555555555558</v>
      </c>
      <c r="P87" s="256">
        <v>0.82777777777777772</v>
      </c>
      <c r="Q87" s="253">
        <f>IF(WTG_BD[[#This Row],[Work Start TimeStamp]]="","",(WTG_BD[[#This Row],[Work Start TimeStamp]]-WTG_BD[[#This Row],[Fault Start TimeStamp]])*24)</f>
        <v>0</v>
      </c>
      <c r="R87" s="253">
        <f>(WTG_BD[[#This Row],[Fault Clearance time]]-WTG_BD[[#This Row],[Work Start TimeStamp]])*24</f>
        <v>0.53333333333333144</v>
      </c>
      <c r="S87" s="253">
        <f>(WTG_BD[[#This Row],[Fault Clearance time]]-WTG_BD[[#This Row],[Fault Start TimeStamp]])*24</f>
        <v>0.53333333333333144</v>
      </c>
      <c r="T87" s="135" t="s">
        <v>473</v>
      </c>
      <c r="U87" s="244" t="s">
        <v>474</v>
      </c>
      <c r="V87" s="246">
        <f>WTG_BD[[#This Row],[Breakdown Time]]*(1/39)</f>
        <v>1.3675213675213627E-2</v>
      </c>
      <c r="W87" s="244" t="s">
        <v>151</v>
      </c>
      <c r="X87" s="250">
        <v>148.44444444444392</v>
      </c>
      <c r="Y87" s="135" t="s">
        <v>470</v>
      </c>
      <c r="Z87" s="135" t="s">
        <v>475</v>
      </c>
      <c r="AA87" s="135">
        <v>6680</v>
      </c>
      <c r="AB87" s="249">
        <v>148.44444444444392</v>
      </c>
      <c r="AC87" s="135"/>
      <c r="AD87" s="245"/>
      <c r="AE87" s="3"/>
    </row>
    <row r="88" spans="1:31">
      <c r="A88" s="241">
        <f t="shared" si="3"/>
        <v>87</v>
      </c>
      <c r="B88" s="255">
        <v>45747</v>
      </c>
      <c r="C88" s="252">
        <v>2025</v>
      </c>
      <c r="D88" s="252">
        <f>YEAR(WTG_BD[[#This Row],[Date]])</f>
        <v>2025</v>
      </c>
      <c r="E88" s="251">
        <f t="shared" si="2"/>
        <v>45717</v>
      </c>
      <c r="F88" s="252" t="s">
        <v>465</v>
      </c>
      <c r="G88" s="248" t="s">
        <v>153</v>
      </c>
      <c r="H88" s="242" t="str">
        <f>IFERROR(VLOOKUP(WTG_BD[[#This Row],[Affected WTG]],'Basic Data'!$A$3:$E$56,2,0),"")</f>
        <v>PWEGPL</v>
      </c>
      <c r="I88" s="242" t="str">
        <f>IFERROR(VLOOKUP(WTG_BD[[#This Row],[Affected WTG]],'Basic Data'!$A$3:$E$56,3,0),"")</f>
        <v>MSEDCL</v>
      </c>
      <c r="J88" s="243">
        <f>IFERROR(VLOOKUP(WTG_BD[[#This Row],[Affected WTG]],'Basic Data'!$A$3:$E$56,5,0),"")</f>
        <v>2.564102564102564E-2</v>
      </c>
      <c r="K88" s="158">
        <v>804</v>
      </c>
      <c r="L88" s="247" t="str">
        <f>VLOOKUP(K88,'Basic Data'!T:U,2,0)</f>
        <v>Difference Between 2 Blades Too High</v>
      </c>
      <c r="M88" s="135" t="s">
        <v>472</v>
      </c>
      <c r="N88" s="256">
        <v>0.29583333333333334</v>
      </c>
      <c r="O88" s="256">
        <v>0.29583333333333334</v>
      </c>
      <c r="P88" s="256">
        <v>0.29930555555555555</v>
      </c>
      <c r="Q88" s="253">
        <f>IF(WTG_BD[[#This Row],[Work Start TimeStamp]]="","",(WTG_BD[[#This Row],[Work Start TimeStamp]]-WTG_BD[[#This Row],[Fault Start TimeStamp]])*24)</f>
        <v>0</v>
      </c>
      <c r="R88" s="253">
        <f>(WTG_BD[[#This Row],[Fault Clearance time]]-WTG_BD[[#This Row],[Work Start TimeStamp]])*24</f>
        <v>8.3333333333333037E-2</v>
      </c>
      <c r="S88" s="253">
        <f>(WTG_BD[[#This Row],[Fault Clearance time]]-WTG_BD[[#This Row],[Fault Start TimeStamp]])*24</f>
        <v>8.3333333333333037E-2</v>
      </c>
      <c r="T88" s="135" t="s">
        <v>476</v>
      </c>
      <c r="U88" s="244" t="s">
        <v>474</v>
      </c>
      <c r="V88" s="246">
        <f>WTG_BD[[#This Row],[Breakdown Time]]*(1/39)</f>
        <v>2.1367521367521292E-3</v>
      </c>
      <c r="W88" s="244" t="s">
        <v>152</v>
      </c>
      <c r="X88" s="250">
        <v>26.222222222222129</v>
      </c>
      <c r="Y88" s="135" t="s">
        <v>470</v>
      </c>
      <c r="Z88" s="135" t="s">
        <v>475</v>
      </c>
      <c r="AA88" s="135">
        <v>7552</v>
      </c>
      <c r="AB88" s="249">
        <v>26.222222222222129</v>
      </c>
      <c r="AC88" s="135"/>
      <c r="AD88" s="245"/>
      <c r="AE88" s="3"/>
    </row>
    <row r="89" spans="1:31">
      <c r="A89" s="241">
        <f t="shared" si="3"/>
        <v>88</v>
      </c>
      <c r="B89" s="255">
        <v>45747</v>
      </c>
      <c r="C89" s="252">
        <v>2025</v>
      </c>
      <c r="D89" s="252">
        <f>YEAR(WTG_BD[[#This Row],[Date]])</f>
        <v>2025</v>
      </c>
      <c r="E89" s="251">
        <f t="shared" si="2"/>
        <v>45717</v>
      </c>
      <c r="F89" s="252" t="s">
        <v>465</v>
      </c>
      <c r="G89" s="248" t="s">
        <v>153</v>
      </c>
      <c r="H89" s="242" t="str">
        <f>IFERROR(VLOOKUP(WTG_BD[[#This Row],[Affected WTG]],'Basic Data'!$A$3:$E$56,2,0),"")</f>
        <v>PWEGPL</v>
      </c>
      <c r="I89" s="242" t="str">
        <f>IFERROR(VLOOKUP(WTG_BD[[#This Row],[Affected WTG]],'Basic Data'!$A$3:$E$56,3,0),"")</f>
        <v>MSEDCL</v>
      </c>
      <c r="J89" s="243">
        <f>IFERROR(VLOOKUP(WTG_BD[[#This Row],[Affected WTG]],'Basic Data'!$A$3:$E$56,5,0),"")</f>
        <v>2.564102564102564E-2</v>
      </c>
      <c r="K89" s="158">
        <v>812</v>
      </c>
      <c r="L89" s="247" t="str">
        <f>VLOOKUP(K89,'Basic Data'!T:U,2,0)</f>
        <v>Blade Position Meas. Error</v>
      </c>
      <c r="M89" s="135" t="s">
        <v>472</v>
      </c>
      <c r="N89" s="256">
        <v>0.61458333333333337</v>
      </c>
      <c r="O89" s="256">
        <v>0.61458333333333337</v>
      </c>
      <c r="P89" s="256">
        <v>0.61805555555555558</v>
      </c>
      <c r="Q89" s="253">
        <f>IF(WTG_BD[[#This Row],[Work Start TimeStamp]]="","",(WTG_BD[[#This Row],[Work Start TimeStamp]]-WTG_BD[[#This Row],[Fault Start TimeStamp]])*24)</f>
        <v>0</v>
      </c>
      <c r="R89" s="253">
        <f>(WTG_BD[[#This Row],[Fault Clearance time]]-WTG_BD[[#This Row],[Work Start TimeStamp]])*24</f>
        <v>8.3333333333333037E-2</v>
      </c>
      <c r="S89" s="253">
        <f>(WTG_BD[[#This Row],[Fault Clearance time]]-WTG_BD[[#This Row],[Fault Start TimeStamp]])*24</f>
        <v>8.3333333333333037E-2</v>
      </c>
      <c r="T89" s="135" t="s">
        <v>476</v>
      </c>
      <c r="U89" s="244" t="s">
        <v>474</v>
      </c>
      <c r="V89" s="246">
        <f>WTG_BD[[#This Row],[Breakdown Time]]*(1/39)</f>
        <v>2.1367521367521292E-3</v>
      </c>
      <c r="W89" s="244" t="s">
        <v>152</v>
      </c>
      <c r="X89" s="250">
        <v>26.222222222222129</v>
      </c>
      <c r="Y89" s="135" t="s">
        <v>470</v>
      </c>
      <c r="Z89" s="135" t="s">
        <v>475</v>
      </c>
      <c r="AA89" s="135">
        <v>7552</v>
      </c>
      <c r="AB89" s="249">
        <v>26.222222222222129</v>
      </c>
      <c r="AC89" s="135"/>
      <c r="AD89" s="245"/>
      <c r="AE89" s="3"/>
    </row>
    <row r="90" spans="1:31">
      <c r="A90" s="241">
        <f t="shared" si="3"/>
        <v>89</v>
      </c>
      <c r="B90" s="255">
        <v>45747</v>
      </c>
      <c r="C90" s="252">
        <v>2025</v>
      </c>
      <c r="D90" s="252">
        <f>YEAR(WTG_BD[[#This Row],[Date]])</f>
        <v>2025</v>
      </c>
      <c r="E90" s="251">
        <f t="shared" si="2"/>
        <v>45717</v>
      </c>
      <c r="F90" s="252" t="s">
        <v>465</v>
      </c>
      <c r="G90" s="248" t="s">
        <v>153</v>
      </c>
      <c r="H90" s="242" t="str">
        <f>IFERROR(VLOOKUP(WTG_BD[[#This Row],[Affected WTG]],'Basic Data'!$A$3:$E$56,2,0),"")</f>
        <v>PWEGPL</v>
      </c>
      <c r="I90" s="242" t="str">
        <f>IFERROR(VLOOKUP(WTG_BD[[#This Row],[Affected WTG]],'Basic Data'!$A$3:$E$56,3,0),"")</f>
        <v>MSEDCL</v>
      </c>
      <c r="J90" s="243">
        <f>IFERROR(VLOOKUP(WTG_BD[[#This Row],[Affected WTG]],'Basic Data'!$A$3:$E$56,5,0),"")</f>
        <v>2.564102564102564E-2</v>
      </c>
      <c r="K90" s="158">
        <v>812</v>
      </c>
      <c r="L90" s="247" t="str">
        <f>VLOOKUP(K90,'Basic Data'!T:U,2,0)</f>
        <v>Blade Position Meas. Error</v>
      </c>
      <c r="M90" s="135" t="s">
        <v>472</v>
      </c>
      <c r="N90" s="256">
        <v>0.65277777777777779</v>
      </c>
      <c r="O90" s="256">
        <v>0.65277777777777779</v>
      </c>
      <c r="P90" s="256">
        <v>0.65625</v>
      </c>
      <c r="Q90" s="253">
        <f>IF(WTG_BD[[#This Row],[Work Start TimeStamp]]="","",(WTG_BD[[#This Row],[Work Start TimeStamp]]-WTG_BD[[#This Row],[Fault Start TimeStamp]])*24)</f>
        <v>0</v>
      </c>
      <c r="R90" s="253">
        <f>(WTG_BD[[#This Row],[Fault Clearance time]]-WTG_BD[[#This Row],[Work Start TimeStamp]])*24</f>
        <v>8.3333333333333037E-2</v>
      </c>
      <c r="S90" s="253">
        <f>(WTG_BD[[#This Row],[Fault Clearance time]]-WTG_BD[[#This Row],[Fault Start TimeStamp]])*24</f>
        <v>8.3333333333333037E-2</v>
      </c>
      <c r="T90" s="135" t="s">
        <v>476</v>
      </c>
      <c r="U90" s="244" t="s">
        <v>474</v>
      </c>
      <c r="V90" s="246">
        <f>WTG_BD[[#This Row],[Breakdown Time]]*(1/39)</f>
        <v>2.1367521367521292E-3</v>
      </c>
      <c r="W90" s="244" t="s">
        <v>152</v>
      </c>
      <c r="X90" s="250">
        <v>26.222222222222129</v>
      </c>
      <c r="Y90" s="135" t="s">
        <v>470</v>
      </c>
      <c r="Z90" s="135" t="s">
        <v>475</v>
      </c>
      <c r="AA90" s="135">
        <v>7552</v>
      </c>
      <c r="AB90" s="249">
        <v>26.222222222222129</v>
      </c>
      <c r="AC90" s="135"/>
      <c r="AD90" s="245"/>
      <c r="AE90" s="3"/>
    </row>
    <row r="91" spans="1:31">
      <c r="A91" s="241">
        <f t="shared" si="3"/>
        <v>90</v>
      </c>
      <c r="B91" s="255">
        <v>45747</v>
      </c>
      <c r="C91" s="252">
        <v>2025</v>
      </c>
      <c r="D91" s="252">
        <f>YEAR(WTG_BD[[#This Row],[Date]])</f>
        <v>2025</v>
      </c>
      <c r="E91" s="251">
        <f t="shared" si="2"/>
        <v>45717</v>
      </c>
      <c r="F91" s="252" t="s">
        <v>465</v>
      </c>
      <c r="G91" s="248" t="s">
        <v>153</v>
      </c>
      <c r="H91" s="242" t="str">
        <f>IFERROR(VLOOKUP(WTG_BD[[#This Row],[Affected WTG]],'Basic Data'!$A$3:$E$56,2,0),"")</f>
        <v>PWEGPL</v>
      </c>
      <c r="I91" s="242" t="str">
        <f>IFERROR(VLOOKUP(WTG_BD[[#This Row],[Affected WTG]],'Basic Data'!$A$3:$E$56,3,0),"")</f>
        <v>MSEDCL</v>
      </c>
      <c r="J91" s="243">
        <f>IFERROR(VLOOKUP(WTG_BD[[#This Row],[Affected WTG]],'Basic Data'!$A$3:$E$56,5,0),"")</f>
        <v>2.564102564102564E-2</v>
      </c>
      <c r="K91" s="158">
        <v>812</v>
      </c>
      <c r="L91" s="247" t="str">
        <f>VLOOKUP(K91,'Basic Data'!T:U,2,0)</f>
        <v>Blade Position Meas. Error</v>
      </c>
      <c r="M91" s="135" t="s">
        <v>472</v>
      </c>
      <c r="N91" s="256">
        <v>0.74513888888888891</v>
      </c>
      <c r="O91" s="256">
        <v>0.74513888888888891</v>
      </c>
      <c r="P91" s="256">
        <v>0.74861111111111112</v>
      </c>
      <c r="Q91" s="253">
        <f>IF(WTG_BD[[#This Row],[Work Start TimeStamp]]="","",(WTG_BD[[#This Row],[Work Start TimeStamp]]-WTG_BD[[#This Row],[Fault Start TimeStamp]])*24)</f>
        <v>0</v>
      </c>
      <c r="R91" s="253">
        <f>(WTG_BD[[#This Row],[Fault Clearance time]]-WTG_BD[[#This Row],[Work Start TimeStamp]])*24</f>
        <v>8.3333333333333037E-2</v>
      </c>
      <c r="S91" s="253">
        <f>(WTG_BD[[#This Row],[Fault Clearance time]]-WTG_BD[[#This Row],[Fault Start TimeStamp]])*24</f>
        <v>8.3333333333333037E-2</v>
      </c>
      <c r="T91" s="135" t="s">
        <v>476</v>
      </c>
      <c r="U91" s="244" t="s">
        <v>474</v>
      </c>
      <c r="V91" s="246">
        <f>WTG_BD[[#This Row],[Breakdown Time]]*(1/39)</f>
        <v>2.1367521367521292E-3</v>
      </c>
      <c r="W91" s="244" t="s">
        <v>152</v>
      </c>
      <c r="X91" s="250">
        <v>26.222222222222129</v>
      </c>
      <c r="Y91" s="135" t="s">
        <v>470</v>
      </c>
      <c r="Z91" s="135" t="s">
        <v>475</v>
      </c>
      <c r="AA91" s="135">
        <v>7552</v>
      </c>
      <c r="AB91" s="249">
        <v>26.222222222222129</v>
      </c>
      <c r="AC91" s="135"/>
      <c r="AD91" s="245"/>
      <c r="AE91" s="3"/>
    </row>
    <row r="92" spans="1:31">
      <c r="A92" s="241">
        <f t="shared" si="3"/>
        <v>91</v>
      </c>
      <c r="B92" s="255">
        <v>45747</v>
      </c>
      <c r="C92" s="252">
        <v>2025</v>
      </c>
      <c r="D92" s="252">
        <f>YEAR(WTG_BD[[#This Row],[Date]])</f>
        <v>2025</v>
      </c>
      <c r="E92" s="251">
        <f t="shared" si="2"/>
        <v>45717</v>
      </c>
      <c r="F92" s="252" t="s">
        <v>465</v>
      </c>
      <c r="G92" s="248" t="s">
        <v>153</v>
      </c>
      <c r="H92" s="242" t="str">
        <f>IFERROR(VLOOKUP(WTG_BD[[#This Row],[Affected WTG]],'Basic Data'!$A$3:$E$56,2,0),"")</f>
        <v>PWEGPL</v>
      </c>
      <c r="I92" s="242" t="str">
        <f>IFERROR(VLOOKUP(WTG_BD[[#This Row],[Affected WTG]],'Basic Data'!$A$3:$E$56,3,0),"")</f>
        <v>MSEDCL</v>
      </c>
      <c r="J92" s="243">
        <f>IFERROR(VLOOKUP(WTG_BD[[#This Row],[Affected WTG]],'Basic Data'!$A$3:$E$56,5,0),"")</f>
        <v>2.564102564102564E-2</v>
      </c>
      <c r="K92" s="158">
        <v>804</v>
      </c>
      <c r="L92" s="247" t="str">
        <f>VLOOKUP(K92,'Basic Data'!T:U,2,0)</f>
        <v>Difference Between 2 Blades Too High</v>
      </c>
      <c r="M92" s="135" t="s">
        <v>472</v>
      </c>
      <c r="N92" s="256">
        <v>0.76666666666666672</v>
      </c>
      <c r="O92" s="256">
        <v>0.80486111111111114</v>
      </c>
      <c r="P92" s="256">
        <v>0.81597222222222221</v>
      </c>
      <c r="Q92" s="253">
        <f>IF(WTG_BD[[#This Row],[Work Start TimeStamp]]="","",(WTG_BD[[#This Row],[Work Start TimeStamp]]-WTG_BD[[#This Row],[Fault Start TimeStamp]])*24)</f>
        <v>0.91666666666666607</v>
      </c>
      <c r="R92" s="253">
        <f>(WTG_BD[[#This Row],[Fault Clearance time]]-WTG_BD[[#This Row],[Work Start TimeStamp]])*24</f>
        <v>0.26666666666666572</v>
      </c>
      <c r="S92" s="253">
        <f>(WTG_BD[[#This Row],[Fault Clearance time]]-WTG_BD[[#This Row],[Fault Start TimeStamp]])*24</f>
        <v>1.1833333333333318</v>
      </c>
      <c r="T92" s="135" t="s">
        <v>482</v>
      </c>
      <c r="U92" s="244" t="s">
        <v>474</v>
      </c>
      <c r="V92" s="246">
        <f>WTG_BD[[#This Row],[Breakdown Time]]*(1/39)</f>
        <v>3.03418803418803E-2</v>
      </c>
      <c r="W92" s="244" t="s">
        <v>152</v>
      </c>
      <c r="X92" s="250">
        <v>372.3555555555551</v>
      </c>
      <c r="Y92" s="135" t="s">
        <v>470</v>
      </c>
      <c r="Z92" s="135" t="s">
        <v>475</v>
      </c>
      <c r="AA92" s="135">
        <v>7552</v>
      </c>
      <c r="AB92" s="249">
        <v>372.3555555555551</v>
      </c>
      <c r="AC92" s="135"/>
      <c r="AD92" s="245"/>
      <c r="AE92" s="3"/>
    </row>
    <row r="93" spans="1:31">
      <c r="A93" s="241">
        <f t="shared" si="3"/>
        <v>92</v>
      </c>
      <c r="B93" s="255">
        <v>45747</v>
      </c>
      <c r="C93" s="252">
        <v>2025</v>
      </c>
      <c r="D93" s="252">
        <f>YEAR(WTG_BD[[#This Row],[Date]])</f>
        <v>2025</v>
      </c>
      <c r="E93" s="251">
        <f t="shared" si="2"/>
        <v>45717</v>
      </c>
      <c r="F93" s="252" t="s">
        <v>465</v>
      </c>
      <c r="G93" s="248" t="s">
        <v>153</v>
      </c>
      <c r="H93" s="242" t="str">
        <f>IFERROR(VLOOKUP(WTG_BD[[#This Row],[Affected WTG]],'Basic Data'!$A$3:$E$56,2,0),"")</f>
        <v>PWEGPL</v>
      </c>
      <c r="I93" s="242" t="str">
        <f>IFERROR(VLOOKUP(WTG_BD[[#This Row],[Affected WTG]],'Basic Data'!$A$3:$E$56,3,0),"")</f>
        <v>MSEDCL</v>
      </c>
      <c r="J93" s="243">
        <f>IFERROR(VLOOKUP(WTG_BD[[#This Row],[Affected WTG]],'Basic Data'!$A$3:$E$56,5,0),"")</f>
        <v>2.564102564102564E-2</v>
      </c>
      <c r="K93" s="158">
        <v>812</v>
      </c>
      <c r="L93" s="247" t="str">
        <f>VLOOKUP(K93,'Basic Data'!T:U,2,0)</f>
        <v>Blade Position Meas. Error</v>
      </c>
      <c r="M93" s="135" t="s">
        <v>472</v>
      </c>
      <c r="N93" s="256">
        <v>0.81874999999999998</v>
      </c>
      <c r="O93" s="256">
        <v>0.81874999999999998</v>
      </c>
      <c r="P93" s="256">
        <v>0.99930555555555556</v>
      </c>
      <c r="Q93" s="253">
        <f>IF(WTG_BD[[#This Row],[Work Start TimeStamp]]="","",(WTG_BD[[#This Row],[Work Start TimeStamp]]-WTG_BD[[#This Row],[Fault Start TimeStamp]])*24)</f>
        <v>0</v>
      </c>
      <c r="R93" s="253">
        <f>(WTG_BD[[#This Row],[Fault Clearance time]]-WTG_BD[[#This Row],[Work Start TimeStamp]])*24</f>
        <v>4.3333333333333339</v>
      </c>
      <c r="S93" s="253">
        <f>(WTG_BD[[#This Row],[Fault Clearance time]]-WTG_BD[[#This Row],[Fault Start TimeStamp]])*24</f>
        <v>4.3333333333333339</v>
      </c>
      <c r="T93" s="135" t="s">
        <v>486</v>
      </c>
      <c r="U93" s="244" t="s">
        <v>469</v>
      </c>
      <c r="V93" s="246">
        <f>WTG_BD[[#This Row],[Breakdown Time]]*(1/39)</f>
        <v>0.11111111111111112</v>
      </c>
      <c r="W93" s="244" t="s">
        <v>152</v>
      </c>
      <c r="X93" s="250">
        <v>1363.5555555555559</v>
      </c>
      <c r="Y93" s="135" t="s">
        <v>470</v>
      </c>
      <c r="Z93" s="135" t="s">
        <v>475</v>
      </c>
      <c r="AA93" s="135">
        <v>7552</v>
      </c>
      <c r="AB93" s="249">
        <v>1363.5555555555559</v>
      </c>
      <c r="AC93" s="135"/>
      <c r="AD93" s="245"/>
      <c r="AE93" s="3"/>
    </row>
    <row r="94" spans="1:31">
      <c r="A94" s="241">
        <f t="shared" si="3"/>
        <v>93</v>
      </c>
      <c r="B94" s="255">
        <v>45748</v>
      </c>
      <c r="C94" s="252">
        <v>2025</v>
      </c>
      <c r="D94" s="252">
        <f>YEAR(WTG_BD[[#This Row],[Date]])</f>
        <v>2025</v>
      </c>
      <c r="E94" s="251">
        <f t="shared" si="2"/>
        <v>45748</v>
      </c>
      <c r="F94" s="252" t="s">
        <v>465</v>
      </c>
      <c r="G94" s="248" t="s">
        <v>144</v>
      </c>
      <c r="H94" s="242" t="str">
        <f>IFERROR(VLOOKUP(WTG_BD[[#This Row],[Affected WTG]],'Basic Data'!$A$3:$E$56,2,0),"")</f>
        <v>PWEGPL</v>
      </c>
      <c r="I94" s="242" t="str">
        <f>IFERROR(VLOOKUP(WTG_BD[[#This Row],[Affected WTG]],'Basic Data'!$A$3:$E$56,3,0),"")</f>
        <v>MSEDCL</v>
      </c>
      <c r="J94" s="243">
        <f>IFERROR(VLOOKUP(WTG_BD[[#This Row],[Affected WTG]],'Basic Data'!$A$3:$E$56,5,0),"")</f>
        <v>2.564102564102564E-2</v>
      </c>
      <c r="K94" s="158" t="s">
        <v>466</v>
      </c>
      <c r="L94" s="247" t="str">
        <f>VLOOKUP(K94,'Basic Data'!T:U,2,0)</f>
        <v>Manual Stop - Safety Related</v>
      </c>
      <c r="M94" s="135" t="s">
        <v>467</v>
      </c>
      <c r="N94" s="256">
        <v>0</v>
      </c>
      <c r="O94" s="256">
        <v>0.99930555555555556</v>
      </c>
      <c r="P94" s="256">
        <v>0.99930555555555556</v>
      </c>
      <c r="Q94" s="253">
        <f>IF(WTG_BD[[#This Row],[Work Start TimeStamp]]="","",(WTG_BD[[#This Row],[Work Start TimeStamp]]-WTG_BD[[#This Row],[Fault Start TimeStamp]])*24)</f>
        <v>23.983333333333334</v>
      </c>
      <c r="R94" s="253">
        <f>(WTG_BD[[#This Row],[Fault Clearance time]]-WTG_BD[[#This Row],[Work Start TimeStamp]])*24</f>
        <v>0</v>
      </c>
      <c r="S94" s="253">
        <f>(WTG_BD[[#This Row],[Fault Clearance time]]-WTG_BD[[#This Row],[Fault Start TimeStamp]])*24</f>
        <v>23.983333333333334</v>
      </c>
      <c r="T94" s="135" t="s">
        <v>468</v>
      </c>
      <c r="U94" s="244" t="s">
        <v>469</v>
      </c>
      <c r="V94" s="246">
        <f>WTG_BD[[#This Row],[Breakdown Time]]*(1/39)</f>
        <v>0.61495726495726499</v>
      </c>
      <c r="W94" s="244" t="s">
        <v>141</v>
      </c>
      <c r="X94" s="250">
        <v>6255.6527777777774</v>
      </c>
      <c r="Y94" s="135" t="s">
        <v>470</v>
      </c>
      <c r="Z94" s="135" t="s">
        <v>471</v>
      </c>
      <c r="AA94" s="135">
        <v>6260</v>
      </c>
      <c r="AB94" s="249">
        <f>(WTG_BD[[#This Row],[Paired WTG Generation for loss calculation.]]/24)*WTG_BD[[#This Row],[Breakdown Time]]</f>
        <v>6255.6527777777774</v>
      </c>
      <c r="AC94" s="135"/>
      <c r="AD94" s="245"/>
      <c r="AE94" s="3"/>
    </row>
    <row r="95" spans="1:31">
      <c r="A95" s="241">
        <f t="shared" si="3"/>
        <v>94</v>
      </c>
      <c r="B95" s="255">
        <v>45748</v>
      </c>
      <c r="C95" s="252">
        <v>2025</v>
      </c>
      <c r="D95" s="252">
        <f>YEAR(WTG_BD[[#This Row],[Date]])</f>
        <v>2025</v>
      </c>
      <c r="E95" s="251">
        <f t="shared" si="2"/>
        <v>45748</v>
      </c>
      <c r="F95" s="252" t="s">
        <v>465</v>
      </c>
      <c r="G95" s="248" t="s">
        <v>142</v>
      </c>
      <c r="H95" s="242" t="str">
        <f>IFERROR(VLOOKUP(WTG_BD[[#This Row],[Affected WTG]],'Basic Data'!$A$3:$E$56,2,0),"")</f>
        <v>PWEGPL</v>
      </c>
      <c r="I95" s="242" t="str">
        <f>IFERROR(VLOOKUP(WTG_BD[[#This Row],[Affected WTG]],'Basic Data'!$A$3:$E$56,3,0),"")</f>
        <v>MSEDCL</v>
      </c>
      <c r="J95" s="243">
        <f>IFERROR(VLOOKUP(WTG_BD[[#This Row],[Affected WTG]],'Basic Data'!$A$3:$E$56,5,0),"")</f>
        <v>2.564102564102564E-2</v>
      </c>
      <c r="K95" s="158" t="s">
        <v>466</v>
      </c>
      <c r="L95" s="247" t="str">
        <f>VLOOKUP(K95,'Basic Data'!T:U,2,0)</f>
        <v>Manual Stop - Safety Related</v>
      </c>
      <c r="M95" s="135" t="s">
        <v>467</v>
      </c>
      <c r="N95" s="256">
        <v>0</v>
      </c>
      <c r="O95" s="256">
        <v>0.99930555555555556</v>
      </c>
      <c r="P95" s="256">
        <v>0.99930555555555556</v>
      </c>
      <c r="Q95" s="253">
        <f>IF(WTG_BD[[#This Row],[Work Start TimeStamp]]="","",(WTG_BD[[#This Row],[Work Start TimeStamp]]-WTG_BD[[#This Row],[Fault Start TimeStamp]])*24)</f>
        <v>23.983333333333334</v>
      </c>
      <c r="R95" s="253">
        <f>(WTG_BD[[#This Row],[Fault Clearance time]]-WTG_BD[[#This Row],[Work Start TimeStamp]])*24</f>
        <v>0</v>
      </c>
      <c r="S95" s="253">
        <f>(WTG_BD[[#This Row],[Fault Clearance time]]-WTG_BD[[#This Row],[Fault Start TimeStamp]])*24</f>
        <v>23.983333333333334</v>
      </c>
      <c r="T95" s="135" t="s">
        <v>468</v>
      </c>
      <c r="U95" s="244" t="s">
        <v>469</v>
      </c>
      <c r="V95" s="246">
        <f>WTG_BD[[#This Row],[Breakdown Time]]*(1/39)</f>
        <v>0.61495726495726499</v>
      </c>
      <c r="W95" s="244" t="s">
        <v>141</v>
      </c>
      <c r="X95" s="250">
        <v>6255.6527777777774</v>
      </c>
      <c r="Y95" s="135" t="s">
        <v>470</v>
      </c>
      <c r="Z95" s="135" t="s">
        <v>471</v>
      </c>
      <c r="AA95" s="135">
        <v>6260</v>
      </c>
      <c r="AB95" s="249">
        <f>(WTG_BD[[#This Row],[Paired WTG Generation for loss calculation.]]/24)*WTG_BD[[#This Row],[Breakdown Time]]</f>
        <v>6255.6527777777774</v>
      </c>
      <c r="AC95" s="135"/>
      <c r="AD95" s="245"/>
      <c r="AE95" s="3"/>
    </row>
    <row r="96" spans="1:31">
      <c r="A96" s="241">
        <f t="shared" si="3"/>
        <v>95</v>
      </c>
      <c r="B96" s="255">
        <v>45748</v>
      </c>
      <c r="C96" s="252">
        <v>2025</v>
      </c>
      <c r="D96" s="252">
        <f>YEAR(WTG_BD[[#This Row],[Date]])</f>
        <v>2025</v>
      </c>
      <c r="E96" s="251">
        <f t="shared" si="2"/>
        <v>45748</v>
      </c>
      <c r="F96" s="252" t="s">
        <v>465</v>
      </c>
      <c r="G96" s="248" t="s">
        <v>115</v>
      </c>
      <c r="H96" s="242" t="str">
        <f>IFERROR(VLOOKUP(WTG_BD[[#This Row],[Affected WTG]],'Basic Data'!$A$3:$E$56,2,0),"")</f>
        <v>PWEGPL</v>
      </c>
      <c r="I96" s="242" t="str">
        <f>IFERROR(VLOOKUP(WTG_BD[[#This Row],[Affected WTG]],'Basic Data'!$A$3:$E$56,3,0),"")</f>
        <v>MSEDCL</v>
      </c>
      <c r="J96" s="243">
        <f>IFERROR(VLOOKUP(WTG_BD[[#This Row],[Affected WTG]],'Basic Data'!$A$3:$E$56,5,0),"")</f>
        <v>2.564102564102564E-2</v>
      </c>
      <c r="K96" s="158">
        <v>107</v>
      </c>
      <c r="L96" s="247" t="str">
        <f>VLOOKUP(K96,'Basic Data'!T:U,2,0)</f>
        <v>Yawing Motor Thermal Relays</v>
      </c>
      <c r="M96" s="135" t="s">
        <v>472</v>
      </c>
      <c r="N96" s="256">
        <v>0.39374999999999999</v>
      </c>
      <c r="O96" s="256">
        <v>0.39374999999999999</v>
      </c>
      <c r="P96" s="256">
        <v>0.40902777777777777</v>
      </c>
      <c r="Q96" s="253">
        <f>IF(WTG_BD[[#This Row],[Work Start TimeStamp]]="","",(WTG_BD[[#This Row],[Work Start TimeStamp]]-WTG_BD[[#This Row],[Fault Start TimeStamp]])*24)</f>
        <v>0</v>
      </c>
      <c r="R96" s="253">
        <f>(WTG_BD[[#This Row],[Fault Clearance time]]-WTG_BD[[#This Row],[Work Start TimeStamp]])*24</f>
        <v>0.3666666666666667</v>
      </c>
      <c r="S96" s="253">
        <f>(WTG_BD[[#This Row],[Fault Clearance time]]-WTG_BD[[#This Row],[Fault Start TimeStamp]])*24</f>
        <v>0.3666666666666667</v>
      </c>
      <c r="T96" s="135" t="s">
        <v>476</v>
      </c>
      <c r="U96" s="244" t="s">
        <v>474</v>
      </c>
      <c r="V96" s="246">
        <f>WTG_BD[[#This Row],[Breakdown Time]]*(1/39)</f>
        <v>9.401709401709403E-3</v>
      </c>
      <c r="W96" s="244" t="s">
        <v>121</v>
      </c>
      <c r="X96" s="250">
        <v>106.19583333333334</v>
      </c>
      <c r="Y96" s="135" t="s">
        <v>470</v>
      </c>
      <c r="Z96" s="135" t="s">
        <v>475</v>
      </c>
      <c r="AA96" s="135">
        <v>6951</v>
      </c>
      <c r="AB96" s="249">
        <f>(WTG_BD[[#This Row],[Paired WTG Generation for loss calculation.]]/24)*WTG_BD[[#This Row],[Breakdown Time]]</f>
        <v>106.19583333333334</v>
      </c>
      <c r="AC96" s="135"/>
      <c r="AD96" s="245"/>
      <c r="AE96" s="3"/>
    </row>
    <row r="97" spans="1:31">
      <c r="A97" s="241">
        <f t="shared" si="3"/>
        <v>96</v>
      </c>
      <c r="B97" s="255">
        <v>45748</v>
      </c>
      <c r="C97" s="252">
        <v>2025</v>
      </c>
      <c r="D97" s="252">
        <f>YEAR(WTG_BD[[#This Row],[Date]])</f>
        <v>2025</v>
      </c>
      <c r="E97" s="251">
        <f t="shared" si="2"/>
        <v>45748</v>
      </c>
      <c r="F97" s="252" t="s">
        <v>465</v>
      </c>
      <c r="G97" s="248" t="s">
        <v>115</v>
      </c>
      <c r="H97" s="242" t="str">
        <f>IFERROR(VLOOKUP(WTG_BD[[#This Row],[Affected WTG]],'Basic Data'!$A$3:$E$56,2,0),"")</f>
        <v>PWEGPL</v>
      </c>
      <c r="I97" s="242" t="str">
        <f>IFERROR(VLOOKUP(WTG_BD[[#This Row],[Affected WTG]],'Basic Data'!$A$3:$E$56,3,0),"")</f>
        <v>MSEDCL</v>
      </c>
      <c r="J97" s="243">
        <f>IFERROR(VLOOKUP(WTG_BD[[#This Row],[Affected WTG]],'Basic Data'!$A$3:$E$56,5,0),"")</f>
        <v>2.564102564102564E-2</v>
      </c>
      <c r="K97" s="158">
        <v>125</v>
      </c>
      <c r="L97" s="247" t="str">
        <f>VLOOKUP(K97,'Basic Data'!T:U,2,0)</f>
        <v xml:space="preserve">Yaw Motors Over Current Protection </v>
      </c>
      <c r="M97" s="135" t="s">
        <v>472</v>
      </c>
      <c r="N97" s="256">
        <v>0.47361111111111109</v>
      </c>
      <c r="O97" s="256">
        <v>0.64583333333333337</v>
      </c>
      <c r="P97" s="256">
        <v>0.72013888888888888</v>
      </c>
      <c r="Q97" s="253">
        <f>IF(WTG_BD[[#This Row],[Work Start TimeStamp]]="","",(WTG_BD[[#This Row],[Work Start TimeStamp]]-WTG_BD[[#This Row],[Fault Start TimeStamp]])*24)</f>
        <v>4.1333333333333346</v>
      </c>
      <c r="R97" s="253">
        <f>(WTG_BD[[#This Row],[Fault Clearance time]]-WTG_BD[[#This Row],[Work Start TimeStamp]])*24</f>
        <v>1.7833333333333323</v>
      </c>
      <c r="S97" s="253">
        <f>(WTG_BD[[#This Row],[Fault Clearance time]]-WTG_BD[[#This Row],[Fault Start TimeStamp]])*24</f>
        <v>5.916666666666667</v>
      </c>
      <c r="T97" s="135" t="s">
        <v>490</v>
      </c>
      <c r="U97" s="244" t="s">
        <v>474</v>
      </c>
      <c r="V97" s="246">
        <f>WTG_BD[[#This Row],[Breakdown Time]]*(1/39)</f>
        <v>0.15170940170940173</v>
      </c>
      <c r="W97" s="244" t="s">
        <v>121</v>
      </c>
      <c r="X97" s="250">
        <v>1713.6145833333335</v>
      </c>
      <c r="Y97" s="135" t="s">
        <v>470</v>
      </c>
      <c r="Z97" s="135" t="s">
        <v>475</v>
      </c>
      <c r="AA97" s="135">
        <v>6951</v>
      </c>
      <c r="AB97" s="249">
        <f>(WTG_BD[[#This Row],[Paired WTG Generation for loss calculation.]]/24)*WTG_BD[[#This Row],[Breakdown Time]]</f>
        <v>1713.6145833333335</v>
      </c>
      <c r="AC97" s="135"/>
      <c r="AD97" s="245"/>
      <c r="AE97" s="3"/>
    </row>
    <row r="98" spans="1:31">
      <c r="A98" s="241">
        <f t="shared" si="3"/>
        <v>97</v>
      </c>
      <c r="B98" s="255">
        <v>45748</v>
      </c>
      <c r="C98" s="252">
        <v>2025</v>
      </c>
      <c r="D98" s="252">
        <f>YEAR(WTG_BD[[#This Row],[Date]])</f>
        <v>2025</v>
      </c>
      <c r="E98" s="251">
        <f t="shared" si="2"/>
        <v>45748</v>
      </c>
      <c r="F98" s="252" t="s">
        <v>465</v>
      </c>
      <c r="G98" s="248" t="s">
        <v>115</v>
      </c>
      <c r="H98" s="242" t="str">
        <f>IFERROR(VLOOKUP(WTG_BD[[#This Row],[Affected WTG]],'Basic Data'!$A$3:$E$56,2,0),"")</f>
        <v>PWEGPL</v>
      </c>
      <c r="I98" s="242" t="str">
        <f>IFERROR(VLOOKUP(WTG_BD[[#This Row],[Affected WTG]],'Basic Data'!$A$3:$E$56,3,0),"")</f>
        <v>MSEDCL</v>
      </c>
      <c r="J98" s="243">
        <f>IFERROR(VLOOKUP(WTG_BD[[#This Row],[Affected WTG]],'Basic Data'!$A$3:$E$56,5,0),"")</f>
        <v>2.564102564102564E-2</v>
      </c>
      <c r="K98" s="158">
        <v>804</v>
      </c>
      <c r="L98" s="247" t="str">
        <f>VLOOKUP(K98,'Basic Data'!T:U,2,0)</f>
        <v>Difference Between 2 Blades Too High</v>
      </c>
      <c r="M98" s="135" t="s">
        <v>472</v>
      </c>
      <c r="N98" s="256">
        <v>0.72083333333333333</v>
      </c>
      <c r="O98" s="256">
        <v>0.72083333333333333</v>
      </c>
      <c r="P98" s="256">
        <v>0.84861111111111109</v>
      </c>
      <c r="Q98" s="253">
        <f>IF(WTG_BD[[#This Row],[Work Start TimeStamp]]="","",(WTG_BD[[#This Row],[Work Start TimeStamp]]-WTG_BD[[#This Row],[Fault Start TimeStamp]])*24)</f>
        <v>0</v>
      </c>
      <c r="R98" s="253">
        <f>(WTG_BD[[#This Row],[Fault Clearance time]]-WTG_BD[[#This Row],[Work Start TimeStamp]])*24</f>
        <v>3.0666666666666664</v>
      </c>
      <c r="S98" s="253">
        <f>(WTG_BD[[#This Row],[Fault Clearance time]]-WTG_BD[[#This Row],[Fault Start TimeStamp]])*24</f>
        <v>3.0666666666666664</v>
      </c>
      <c r="T98" s="135" t="s">
        <v>491</v>
      </c>
      <c r="U98" s="244" t="s">
        <v>474</v>
      </c>
      <c r="V98" s="246">
        <f>WTG_BD[[#This Row],[Breakdown Time]]*(1/39)</f>
        <v>7.8632478632478617E-2</v>
      </c>
      <c r="W98" s="244" t="s">
        <v>121</v>
      </c>
      <c r="X98" s="250">
        <v>888.18333333333328</v>
      </c>
      <c r="Y98" s="135" t="s">
        <v>470</v>
      </c>
      <c r="Z98" s="135" t="s">
        <v>475</v>
      </c>
      <c r="AA98" s="135">
        <v>6951</v>
      </c>
      <c r="AB98" s="249">
        <f>(WTG_BD[[#This Row],[Paired WTG Generation for loss calculation.]]/24)*WTG_BD[[#This Row],[Breakdown Time]]</f>
        <v>888.18333333333328</v>
      </c>
      <c r="AC98" s="135"/>
      <c r="AD98" s="245"/>
      <c r="AE98" s="3"/>
    </row>
    <row r="99" spans="1:31">
      <c r="A99" s="241">
        <f t="shared" si="3"/>
        <v>98</v>
      </c>
      <c r="B99" s="255">
        <v>45748</v>
      </c>
      <c r="C99" s="252">
        <v>2025</v>
      </c>
      <c r="D99" s="252">
        <f>YEAR(WTG_BD[[#This Row],[Date]])</f>
        <v>2025</v>
      </c>
      <c r="E99" s="251">
        <f t="shared" ref="E99:E164" si="4">B99-DAY(B99)+1</f>
        <v>45748</v>
      </c>
      <c r="F99" s="252" t="s">
        <v>465</v>
      </c>
      <c r="G99" s="248" t="s">
        <v>118</v>
      </c>
      <c r="H99" s="242" t="str">
        <f>IFERROR(VLOOKUP(WTG_BD[[#This Row],[Affected WTG]],'Basic Data'!$A$3:$E$56,2,0),"")</f>
        <v>PWEGPL</v>
      </c>
      <c r="I99" s="242" t="str">
        <f>IFERROR(VLOOKUP(WTG_BD[[#This Row],[Affected WTG]],'Basic Data'!$A$3:$E$56,3,0),"")</f>
        <v>MSEDCL</v>
      </c>
      <c r="J99" s="243">
        <f>IFERROR(VLOOKUP(WTG_BD[[#This Row],[Affected WTG]],'Basic Data'!$A$3:$E$56,5,0),"")</f>
        <v>2.564102564102564E-2</v>
      </c>
      <c r="K99" s="158">
        <v>5202</v>
      </c>
      <c r="L99" s="247" t="str">
        <f>VLOOKUP(K99,'Basic Data'!T:U,2,0)</f>
        <v>Stator Contactor Failure</v>
      </c>
      <c r="M99" s="135" t="s">
        <v>472</v>
      </c>
      <c r="N99" s="256">
        <v>0.92291666666666672</v>
      </c>
      <c r="O99" s="256">
        <v>0.92291666666666672</v>
      </c>
      <c r="P99" s="256">
        <v>0.92638888888888893</v>
      </c>
      <c r="Q99" s="253">
        <f>IF(WTG_BD[[#This Row],[Work Start TimeStamp]]="","",(WTG_BD[[#This Row],[Work Start TimeStamp]]-WTG_BD[[#This Row],[Fault Start TimeStamp]])*24)</f>
        <v>0</v>
      </c>
      <c r="R99" s="253">
        <f>(WTG_BD[[#This Row],[Fault Clearance time]]-WTG_BD[[#This Row],[Work Start TimeStamp]])*24</f>
        <v>8.3333333333333037E-2</v>
      </c>
      <c r="S99" s="253">
        <f>(WTG_BD[[#This Row],[Fault Clearance time]]-WTG_BD[[#This Row],[Fault Start TimeStamp]])*24</f>
        <v>8.3333333333333037E-2</v>
      </c>
      <c r="T99" s="135" t="s">
        <v>476</v>
      </c>
      <c r="U99" s="244" t="s">
        <v>474</v>
      </c>
      <c r="V99" s="246">
        <f>WTG_BD[[#This Row],[Breakdown Time]]*(1/39)</f>
        <v>2.1367521367521292E-3</v>
      </c>
      <c r="W99" s="244" t="s">
        <v>117</v>
      </c>
      <c r="X99" s="250">
        <v>18.597222222222154</v>
      </c>
      <c r="Y99" s="135" t="s">
        <v>470</v>
      </c>
      <c r="Z99" s="135" t="s">
        <v>475</v>
      </c>
      <c r="AA99" s="135">
        <v>5356</v>
      </c>
      <c r="AB99" s="249">
        <f>(WTG_BD[[#This Row],[Paired WTG Generation for loss calculation.]]/24)*WTG_BD[[#This Row],[Breakdown Time]]</f>
        <v>18.597222222222154</v>
      </c>
      <c r="AC99" s="135"/>
      <c r="AD99" s="245"/>
      <c r="AE99" s="3"/>
    </row>
    <row r="100" spans="1:31">
      <c r="A100" s="241">
        <f t="shared" si="3"/>
        <v>99</v>
      </c>
      <c r="B100" s="255">
        <v>45748</v>
      </c>
      <c r="C100" s="252">
        <v>2025</v>
      </c>
      <c r="D100" s="252">
        <f>YEAR(WTG_BD[[#This Row],[Date]])</f>
        <v>2025</v>
      </c>
      <c r="E100" s="251">
        <f t="shared" si="4"/>
        <v>45748</v>
      </c>
      <c r="F100" s="252" t="s">
        <v>465</v>
      </c>
      <c r="G100" s="248" t="s">
        <v>122</v>
      </c>
      <c r="H100" s="242" t="str">
        <f>IFERROR(VLOOKUP(WTG_BD[[#This Row],[Affected WTG]],'Basic Data'!$A$3:$E$56,2,0),"")</f>
        <v>PWEGPL</v>
      </c>
      <c r="I100" s="242" t="str">
        <f>IFERROR(VLOOKUP(WTG_BD[[#This Row],[Affected WTG]],'Basic Data'!$A$3:$E$56,3,0),"")</f>
        <v>MSEDCL</v>
      </c>
      <c r="J100" s="243">
        <f>IFERROR(VLOOKUP(WTG_BD[[#This Row],[Affected WTG]],'Basic Data'!$A$3:$E$56,5,0),"")</f>
        <v>2.564102564102564E-2</v>
      </c>
      <c r="K100" s="158">
        <v>110</v>
      </c>
      <c r="L100" s="247" t="str">
        <f>VLOOKUP(K100,'Basic Data'!T:U,2,0)</f>
        <v>Yaw Sensor Wiring Error</v>
      </c>
      <c r="M100" s="135" t="s">
        <v>472</v>
      </c>
      <c r="N100" s="256">
        <v>0.19722222222222222</v>
      </c>
      <c r="O100" s="256">
        <v>0.3</v>
      </c>
      <c r="P100" s="256">
        <v>0.31111111111111112</v>
      </c>
      <c r="Q100" s="253">
        <f>IF(WTG_BD[[#This Row],[Work Start TimeStamp]]="","",(WTG_BD[[#This Row],[Work Start TimeStamp]]-WTG_BD[[#This Row],[Fault Start TimeStamp]])*24)</f>
        <v>2.4666666666666668</v>
      </c>
      <c r="R100" s="253">
        <f>(WTG_BD[[#This Row],[Fault Clearance time]]-WTG_BD[[#This Row],[Work Start TimeStamp]])*24</f>
        <v>0.26666666666666705</v>
      </c>
      <c r="S100" s="253">
        <f>(WTG_BD[[#This Row],[Fault Clearance time]]-WTG_BD[[#This Row],[Fault Start TimeStamp]])*24</f>
        <v>2.7333333333333334</v>
      </c>
      <c r="T100" s="135" t="s">
        <v>492</v>
      </c>
      <c r="U100" s="244" t="s">
        <v>474</v>
      </c>
      <c r="V100" s="246">
        <f>WTG_BD[[#This Row],[Breakdown Time]]*(1/39)</f>
        <v>7.0085470085470086E-2</v>
      </c>
      <c r="W100" s="244" t="s">
        <v>122</v>
      </c>
      <c r="X100" s="250">
        <v>712.0333333333333</v>
      </c>
      <c r="Y100" s="135" t="s">
        <v>470</v>
      </c>
      <c r="Z100" s="135" t="s">
        <v>475</v>
      </c>
      <c r="AA100" s="135">
        <v>6252</v>
      </c>
      <c r="AB100" s="249">
        <f>(WTG_BD[[#This Row],[Paired WTG Generation for loss calculation.]]/24)*WTG_BD[[#This Row],[Breakdown Time]]</f>
        <v>712.0333333333333</v>
      </c>
      <c r="AC100" s="135"/>
      <c r="AD100" s="245"/>
      <c r="AE100" s="3"/>
    </row>
    <row r="101" spans="1:31">
      <c r="A101" s="241">
        <f t="shared" si="3"/>
        <v>100</v>
      </c>
      <c r="B101" s="255">
        <v>45748</v>
      </c>
      <c r="C101" s="252">
        <v>2025</v>
      </c>
      <c r="D101" s="252">
        <f>YEAR(WTG_BD[[#This Row],[Date]])</f>
        <v>2025</v>
      </c>
      <c r="E101" s="251">
        <f t="shared" si="4"/>
        <v>45748</v>
      </c>
      <c r="F101" s="252" t="s">
        <v>465</v>
      </c>
      <c r="G101" s="248" t="s">
        <v>126</v>
      </c>
      <c r="H101" s="242" t="str">
        <f>IFERROR(VLOOKUP(WTG_BD[[#This Row],[Affected WTG]],'Basic Data'!$A$3:$E$56,2,0),"")</f>
        <v>PWEGPL</v>
      </c>
      <c r="I101" s="242" t="str">
        <f>IFERROR(VLOOKUP(WTG_BD[[#This Row],[Affected WTG]],'Basic Data'!$A$3:$E$56,3,0),"")</f>
        <v>MSEDCL</v>
      </c>
      <c r="J101" s="243">
        <f>IFERROR(VLOOKUP(WTG_BD[[#This Row],[Affected WTG]],'Basic Data'!$A$3:$E$56,5,0),"")</f>
        <v>2.564102564102564E-2</v>
      </c>
      <c r="K101" s="158">
        <v>5210</v>
      </c>
      <c r="L101" s="247" t="str">
        <f>VLOOKUP(K101,'Basic Data'!T:U,2,0)</f>
        <v>Failure Of The Contactor's Rotor Power</v>
      </c>
      <c r="M101" s="135" t="s">
        <v>472</v>
      </c>
      <c r="N101" s="256">
        <v>0.11388888888888889</v>
      </c>
      <c r="O101" s="256">
        <v>0.11388888888888889</v>
      </c>
      <c r="P101" s="256">
        <v>0.11736111111111111</v>
      </c>
      <c r="Q101" s="253">
        <f>IF(WTG_BD[[#This Row],[Work Start TimeStamp]]="","",(WTG_BD[[#This Row],[Work Start TimeStamp]]-WTG_BD[[#This Row],[Fault Start TimeStamp]])*24)</f>
        <v>0</v>
      </c>
      <c r="R101" s="253">
        <f>(WTG_BD[[#This Row],[Fault Clearance time]]-WTG_BD[[#This Row],[Work Start TimeStamp]])*24</f>
        <v>8.333333333333337E-2</v>
      </c>
      <c r="S101" s="253">
        <f>(WTG_BD[[#This Row],[Fault Clearance time]]-WTG_BD[[#This Row],[Fault Start TimeStamp]])*24</f>
        <v>8.333333333333337E-2</v>
      </c>
      <c r="T101" s="135" t="s">
        <v>476</v>
      </c>
      <c r="U101" s="244" t="s">
        <v>474</v>
      </c>
      <c r="V101" s="246">
        <f>WTG_BD[[#This Row],[Breakdown Time]]*(1/39)</f>
        <v>2.1367521367521378E-3</v>
      </c>
      <c r="W101" s="244" t="s">
        <v>127</v>
      </c>
      <c r="X101" s="250">
        <v>19.743055555555564</v>
      </c>
      <c r="Y101" s="135" t="s">
        <v>470</v>
      </c>
      <c r="Z101" s="135" t="s">
        <v>475</v>
      </c>
      <c r="AA101" s="135">
        <v>5686</v>
      </c>
      <c r="AB101" s="249">
        <f>(WTG_BD[[#This Row],[Paired WTG Generation for loss calculation.]]/24)*WTG_BD[[#This Row],[Breakdown Time]]</f>
        <v>19.743055555555564</v>
      </c>
      <c r="AC101" s="135"/>
      <c r="AD101" s="245"/>
      <c r="AE101" s="3"/>
    </row>
    <row r="102" spans="1:31">
      <c r="A102" s="241">
        <f t="shared" si="3"/>
        <v>101</v>
      </c>
      <c r="B102" s="255">
        <v>45748</v>
      </c>
      <c r="C102" s="252">
        <v>2025</v>
      </c>
      <c r="D102" s="252">
        <f>YEAR(WTG_BD[[#This Row],[Date]])</f>
        <v>2025</v>
      </c>
      <c r="E102" s="251">
        <f t="shared" si="4"/>
        <v>45748</v>
      </c>
      <c r="F102" s="252" t="s">
        <v>465</v>
      </c>
      <c r="G102" s="248" t="s">
        <v>126</v>
      </c>
      <c r="H102" s="242" t="str">
        <f>IFERROR(VLOOKUP(WTG_BD[[#This Row],[Affected WTG]],'Basic Data'!$A$3:$E$56,2,0),"")</f>
        <v>PWEGPL</v>
      </c>
      <c r="I102" s="242" t="str">
        <f>IFERROR(VLOOKUP(WTG_BD[[#This Row],[Affected WTG]],'Basic Data'!$A$3:$E$56,3,0),"")</f>
        <v>MSEDCL</v>
      </c>
      <c r="J102" s="243">
        <f>IFERROR(VLOOKUP(WTG_BD[[#This Row],[Affected WTG]],'Basic Data'!$A$3:$E$56,5,0),"")</f>
        <v>2.564102564102564E-2</v>
      </c>
      <c r="K102" s="158">
        <v>203</v>
      </c>
      <c r="L102" s="247" t="str">
        <f>VLOOKUP(K102,'Basic Data'!T:U,2,0)</f>
        <v>Low Pressure On Hydraulic Group</v>
      </c>
      <c r="M102" s="135" t="s">
        <v>472</v>
      </c>
      <c r="N102" s="256">
        <v>0.53472222222222221</v>
      </c>
      <c r="O102" s="256">
        <v>0.53472222222222221</v>
      </c>
      <c r="P102" s="256">
        <v>0.53819444444444442</v>
      </c>
      <c r="Q102" s="253">
        <f>IF(WTG_BD[[#This Row],[Work Start TimeStamp]]="","",(WTG_BD[[#This Row],[Work Start TimeStamp]]-WTG_BD[[#This Row],[Fault Start TimeStamp]])*24)</f>
        <v>0</v>
      </c>
      <c r="R102" s="253">
        <f>(WTG_BD[[#This Row],[Fault Clearance time]]-WTG_BD[[#This Row],[Work Start TimeStamp]])*24</f>
        <v>8.3333333333333037E-2</v>
      </c>
      <c r="S102" s="253">
        <f>(WTG_BD[[#This Row],[Fault Clearance time]]-WTG_BD[[#This Row],[Fault Start TimeStamp]])*24</f>
        <v>8.3333333333333037E-2</v>
      </c>
      <c r="T102" s="135" t="s">
        <v>476</v>
      </c>
      <c r="U102" s="244" t="s">
        <v>474</v>
      </c>
      <c r="V102" s="246">
        <f>WTG_BD[[#This Row],[Breakdown Time]]*(1/39)</f>
        <v>2.1367521367521292E-3</v>
      </c>
      <c r="W102" s="244" t="s">
        <v>127</v>
      </c>
      <c r="X102" s="250">
        <v>19.743055555555486</v>
      </c>
      <c r="Y102" s="135" t="s">
        <v>470</v>
      </c>
      <c r="Z102" s="135" t="s">
        <v>475</v>
      </c>
      <c r="AA102" s="135">
        <v>5686</v>
      </c>
      <c r="AB102" s="249">
        <f>(WTG_BD[[#This Row],[Paired WTG Generation for loss calculation.]]/24)*WTG_BD[[#This Row],[Breakdown Time]]</f>
        <v>19.743055555555486</v>
      </c>
      <c r="AC102" s="135"/>
      <c r="AD102" s="245"/>
      <c r="AE102" s="3"/>
    </row>
    <row r="103" spans="1:31">
      <c r="A103" s="241">
        <f t="shared" si="3"/>
        <v>102</v>
      </c>
      <c r="B103" s="255">
        <v>45748</v>
      </c>
      <c r="C103" s="252">
        <v>2025</v>
      </c>
      <c r="D103" s="252">
        <f>YEAR(WTG_BD[[#This Row],[Date]])</f>
        <v>2025</v>
      </c>
      <c r="E103" s="251">
        <f t="shared" si="4"/>
        <v>45748</v>
      </c>
      <c r="F103" s="252" t="s">
        <v>465</v>
      </c>
      <c r="G103" s="248" t="s">
        <v>127</v>
      </c>
      <c r="H103" s="242" t="str">
        <f>IFERROR(VLOOKUP(WTG_BD[[#This Row],[Affected WTG]],'Basic Data'!$A$3:$E$56,2,0),"")</f>
        <v>PWEGPL</v>
      </c>
      <c r="I103" s="242" t="str">
        <f>IFERROR(VLOOKUP(WTG_BD[[#This Row],[Affected WTG]],'Basic Data'!$A$3:$E$56,3,0),"")</f>
        <v>MSEDCL</v>
      </c>
      <c r="J103" s="243">
        <f>IFERROR(VLOOKUP(WTG_BD[[#This Row],[Affected WTG]],'Basic Data'!$A$3:$E$56,5,0),"")</f>
        <v>2.564102564102564E-2</v>
      </c>
      <c r="K103" s="158">
        <v>5210</v>
      </c>
      <c r="L103" s="247" t="str">
        <f>VLOOKUP(K103,'Basic Data'!T:U,2,0)</f>
        <v>Failure Of The Contactor's Rotor Power</v>
      </c>
      <c r="M103" s="135" t="s">
        <v>472</v>
      </c>
      <c r="N103" s="256">
        <v>0.94097222222222221</v>
      </c>
      <c r="O103" s="256">
        <v>0.94097222222222221</v>
      </c>
      <c r="P103" s="256">
        <v>0.99930555555555556</v>
      </c>
      <c r="Q103" s="253">
        <f>IF(WTG_BD[[#This Row],[Work Start TimeStamp]]="","",(WTG_BD[[#This Row],[Work Start TimeStamp]]-WTG_BD[[#This Row],[Fault Start TimeStamp]])*24)</f>
        <v>0</v>
      </c>
      <c r="R103" s="253">
        <f>(WTG_BD[[#This Row],[Fault Clearance time]]-WTG_BD[[#This Row],[Work Start TimeStamp]])*24</f>
        <v>1.4000000000000004</v>
      </c>
      <c r="S103" s="253">
        <f>(WTG_BD[[#This Row],[Fault Clearance time]]-WTG_BD[[#This Row],[Fault Start TimeStamp]])*24</f>
        <v>1.4000000000000004</v>
      </c>
      <c r="T103" s="135" t="s">
        <v>486</v>
      </c>
      <c r="U103" s="244" t="s">
        <v>469</v>
      </c>
      <c r="V103" s="246">
        <f>WTG_BD[[#This Row],[Breakdown Time]]*(1/39)</f>
        <v>3.5897435897435909E-2</v>
      </c>
      <c r="W103" s="244" t="s">
        <v>128</v>
      </c>
      <c r="X103" s="250">
        <v>288.28333333333342</v>
      </c>
      <c r="Y103" s="135" t="s">
        <v>470</v>
      </c>
      <c r="Z103" s="135" t="s">
        <v>475</v>
      </c>
      <c r="AA103" s="135">
        <v>4942</v>
      </c>
      <c r="AB103" s="249">
        <f>(WTG_BD[[#This Row],[Paired WTG Generation for loss calculation.]]/24)*WTG_BD[[#This Row],[Breakdown Time]]</f>
        <v>288.28333333333342</v>
      </c>
      <c r="AC103" s="135"/>
      <c r="AD103" s="245"/>
      <c r="AE103" s="3"/>
    </row>
    <row r="104" spans="1:31">
      <c r="A104" s="241">
        <f t="shared" si="3"/>
        <v>103</v>
      </c>
      <c r="B104" s="255">
        <v>45748</v>
      </c>
      <c r="C104" s="252">
        <v>2025</v>
      </c>
      <c r="D104" s="252">
        <f>YEAR(WTG_BD[[#This Row],[Date]])</f>
        <v>2025</v>
      </c>
      <c r="E104" s="251">
        <f t="shared" si="4"/>
        <v>45748</v>
      </c>
      <c r="F104" s="252" t="s">
        <v>465</v>
      </c>
      <c r="G104" s="248" t="s">
        <v>128</v>
      </c>
      <c r="H104" s="242" t="str">
        <f>IFERROR(VLOOKUP(WTG_BD[[#This Row],[Affected WTG]],'Basic Data'!$A$3:$E$56,2,0),"")</f>
        <v>PWEGPL</v>
      </c>
      <c r="I104" s="242" t="str">
        <f>IFERROR(VLOOKUP(WTG_BD[[#This Row],[Affected WTG]],'Basic Data'!$A$3:$E$56,3,0),"")</f>
        <v>MSEDCL</v>
      </c>
      <c r="J104" s="243">
        <f>IFERROR(VLOOKUP(WTG_BD[[#This Row],[Affected WTG]],'Basic Data'!$A$3:$E$56,5,0),"")</f>
        <v>2.564102564102564E-2</v>
      </c>
      <c r="K104" s="158">
        <v>203</v>
      </c>
      <c r="L104" s="247" t="str">
        <f>VLOOKUP(K104,'Basic Data'!T:U,2,0)</f>
        <v>Low Pressure On Hydraulic Group</v>
      </c>
      <c r="M104" s="135" t="s">
        <v>472</v>
      </c>
      <c r="N104" s="256">
        <v>0.92986111111111114</v>
      </c>
      <c r="O104" s="256">
        <v>0.92986111111111114</v>
      </c>
      <c r="P104" s="256">
        <v>0.93333333333333335</v>
      </c>
      <c r="Q104" s="253">
        <f>IF(WTG_BD[[#This Row],[Work Start TimeStamp]]="","",(WTG_BD[[#This Row],[Work Start TimeStamp]]-WTG_BD[[#This Row],[Fault Start TimeStamp]])*24)</f>
        <v>0</v>
      </c>
      <c r="R104" s="253">
        <f>(WTG_BD[[#This Row],[Fault Clearance time]]-WTG_BD[[#This Row],[Work Start TimeStamp]])*24</f>
        <v>8.3333333333333037E-2</v>
      </c>
      <c r="S104" s="253">
        <f>(WTG_BD[[#This Row],[Fault Clearance time]]-WTG_BD[[#This Row],[Fault Start TimeStamp]])*24</f>
        <v>8.3333333333333037E-2</v>
      </c>
      <c r="T104" s="135" t="s">
        <v>476</v>
      </c>
      <c r="U104" s="244" t="s">
        <v>474</v>
      </c>
      <c r="V104" s="246">
        <f>WTG_BD[[#This Row],[Breakdown Time]]*(1/39)</f>
        <v>2.1367521367521292E-3</v>
      </c>
      <c r="W104" s="244" t="s">
        <v>129</v>
      </c>
      <c r="X104" s="250">
        <v>14.024305555555506</v>
      </c>
      <c r="Y104" s="135" t="s">
        <v>470</v>
      </c>
      <c r="Z104" s="135" t="s">
        <v>475</v>
      </c>
      <c r="AA104" s="135">
        <v>4039</v>
      </c>
      <c r="AB104" s="249">
        <f>(WTG_BD[[#This Row],[Paired WTG Generation for loss calculation.]]/24)*WTG_BD[[#This Row],[Breakdown Time]]</f>
        <v>14.024305555555506</v>
      </c>
      <c r="AC104" s="135"/>
      <c r="AD104" s="245"/>
      <c r="AE104" s="3"/>
    </row>
    <row r="105" spans="1:31">
      <c r="A105" s="241">
        <f t="shared" si="3"/>
        <v>104</v>
      </c>
      <c r="B105" s="255">
        <v>45748</v>
      </c>
      <c r="C105" s="252">
        <v>2025</v>
      </c>
      <c r="D105" s="252">
        <f>YEAR(WTG_BD[[#This Row],[Date]])</f>
        <v>2025</v>
      </c>
      <c r="E105" s="251">
        <f t="shared" si="4"/>
        <v>45748</v>
      </c>
      <c r="F105" s="252" t="s">
        <v>465</v>
      </c>
      <c r="G105" s="248" t="s">
        <v>128</v>
      </c>
      <c r="H105" s="242" t="str">
        <f>IFERROR(VLOOKUP(WTG_BD[[#This Row],[Affected WTG]],'Basic Data'!$A$3:$E$56,2,0),"")</f>
        <v>PWEGPL</v>
      </c>
      <c r="I105" s="242" t="str">
        <f>IFERROR(VLOOKUP(WTG_BD[[#This Row],[Affected WTG]],'Basic Data'!$A$3:$E$56,3,0),"")</f>
        <v>MSEDCL</v>
      </c>
      <c r="J105" s="243">
        <f>IFERROR(VLOOKUP(WTG_BD[[#This Row],[Affected WTG]],'Basic Data'!$A$3:$E$56,5,0),"")</f>
        <v>2.564102564102564E-2</v>
      </c>
      <c r="K105" s="158">
        <v>5201</v>
      </c>
      <c r="L105" s="247" t="str">
        <f>VLOOKUP(K105,'Basic Data'!T:U,2,0)</f>
        <v>Magnetothermic Trigger Of The Stator Protection</v>
      </c>
      <c r="M105" s="135" t="s">
        <v>472</v>
      </c>
      <c r="N105" s="256">
        <v>0.9604166666666667</v>
      </c>
      <c r="O105" s="256">
        <v>0.99930555555555556</v>
      </c>
      <c r="P105" s="256">
        <v>0.99930555555555556</v>
      </c>
      <c r="Q105" s="253">
        <f>IF(WTG_BD[[#This Row],[Work Start TimeStamp]]="","",(WTG_BD[[#This Row],[Work Start TimeStamp]]-WTG_BD[[#This Row],[Fault Start TimeStamp]])*24)</f>
        <v>0.93333333333333268</v>
      </c>
      <c r="R105" s="253">
        <f>(WTG_BD[[#This Row],[Fault Clearance time]]-WTG_BD[[#This Row],[Work Start TimeStamp]])*24</f>
        <v>0</v>
      </c>
      <c r="S105" s="253">
        <f>(WTG_BD[[#This Row],[Fault Clearance time]]-WTG_BD[[#This Row],[Fault Start TimeStamp]])*24</f>
        <v>0.93333333333333268</v>
      </c>
      <c r="T105" s="135" t="s">
        <v>486</v>
      </c>
      <c r="U105" s="244" t="s">
        <v>469</v>
      </c>
      <c r="V105" s="246">
        <f>WTG_BD[[#This Row],[Breakdown Time]]*(1/39)</f>
        <v>2.3931623931623913E-2</v>
      </c>
      <c r="W105" s="244" t="s">
        <v>129</v>
      </c>
      <c r="X105" s="250">
        <v>157.07222222222211</v>
      </c>
      <c r="Y105" s="135" t="s">
        <v>470</v>
      </c>
      <c r="Z105" s="135" t="s">
        <v>475</v>
      </c>
      <c r="AA105" s="135">
        <v>4039</v>
      </c>
      <c r="AB105" s="249">
        <f>(WTG_BD[[#This Row],[Paired WTG Generation for loss calculation.]]/24)*WTG_BD[[#This Row],[Breakdown Time]]</f>
        <v>157.07222222222211</v>
      </c>
      <c r="AC105" s="135"/>
      <c r="AD105" s="245"/>
      <c r="AE105" s="3"/>
    </row>
    <row r="106" spans="1:31">
      <c r="A106" s="241">
        <f t="shared" si="3"/>
        <v>105</v>
      </c>
      <c r="B106" s="255">
        <v>45748</v>
      </c>
      <c r="C106" s="252">
        <v>2025</v>
      </c>
      <c r="D106" s="252">
        <f>YEAR(WTG_BD[[#This Row],[Date]])</f>
        <v>2025</v>
      </c>
      <c r="E106" s="251">
        <f t="shared" si="4"/>
        <v>45748</v>
      </c>
      <c r="F106" s="252" t="s">
        <v>465</v>
      </c>
      <c r="G106" s="248" t="s">
        <v>129</v>
      </c>
      <c r="H106" s="242" t="str">
        <f>IFERROR(VLOOKUP(WTG_BD[[#This Row],[Affected WTG]],'Basic Data'!$A$3:$E$56,2,0),"")</f>
        <v>PWEGPL</v>
      </c>
      <c r="I106" s="242" t="str">
        <f>IFERROR(VLOOKUP(WTG_BD[[#This Row],[Affected WTG]],'Basic Data'!$A$3:$E$56,3,0),"")</f>
        <v>MSEDCL</v>
      </c>
      <c r="J106" s="243">
        <f>IFERROR(VLOOKUP(WTG_BD[[#This Row],[Affected WTG]],'Basic Data'!$A$3:$E$56,5,0),"")</f>
        <v>2.564102564102564E-2</v>
      </c>
      <c r="K106" s="158">
        <v>5210</v>
      </c>
      <c r="L106" s="247" t="str">
        <f>VLOOKUP(K106,'Basic Data'!T:U,2,0)</f>
        <v>Failure Of The Contactor's Rotor Power</v>
      </c>
      <c r="M106" s="135" t="s">
        <v>472</v>
      </c>
      <c r="N106" s="256">
        <v>0.94097222222222221</v>
      </c>
      <c r="O106" s="256">
        <v>0.94097222222222221</v>
      </c>
      <c r="P106" s="256">
        <v>0.97083333333333333</v>
      </c>
      <c r="Q106" s="253">
        <f>IF(WTG_BD[[#This Row],[Work Start TimeStamp]]="","",(WTG_BD[[#This Row],[Work Start TimeStamp]]-WTG_BD[[#This Row],[Fault Start TimeStamp]])*24)</f>
        <v>0</v>
      </c>
      <c r="R106" s="253">
        <f>(WTG_BD[[#This Row],[Fault Clearance time]]-WTG_BD[[#This Row],[Work Start TimeStamp]])*24</f>
        <v>0.71666666666666679</v>
      </c>
      <c r="S106" s="253">
        <f>(WTG_BD[[#This Row],[Fault Clearance time]]-WTG_BD[[#This Row],[Fault Start TimeStamp]])*24</f>
        <v>0.71666666666666679</v>
      </c>
      <c r="T106" s="135" t="s">
        <v>476</v>
      </c>
      <c r="U106" s="244" t="s">
        <v>474</v>
      </c>
      <c r="V106" s="246">
        <f>WTG_BD[[#This Row],[Breakdown Time]]*(1/39)</f>
        <v>1.837606837606838E-2</v>
      </c>
      <c r="W106" s="244" t="s">
        <v>130</v>
      </c>
      <c r="X106" s="250">
        <v>158.7416666666667</v>
      </c>
      <c r="Y106" s="135" t="s">
        <v>470</v>
      </c>
      <c r="Z106" s="135" t="s">
        <v>475</v>
      </c>
      <c r="AA106" s="135">
        <v>5316</v>
      </c>
      <c r="AB106" s="249">
        <f>(WTG_BD[[#This Row],[Paired WTG Generation for loss calculation.]]/24)*WTG_BD[[#This Row],[Breakdown Time]]</f>
        <v>158.7416666666667</v>
      </c>
      <c r="AC106" s="135"/>
      <c r="AD106" s="245"/>
      <c r="AE106" s="3"/>
    </row>
    <row r="107" spans="1:31">
      <c r="A107" s="241">
        <f t="shared" si="3"/>
        <v>106</v>
      </c>
      <c r="B107" s="255">
        <v>45748</v>
      </c>
      <c r="C107" s="252">
        <v>2025</v>
      </c>
      <c r="D107" s="252">
        <f>YEAR(WTG_BD[[#This Row],[Date]])</f>
        <v>2025</v>
      </c>
      <c r="E107" s="251">
        <f t="shared" si="4"/>
        <v>45748</v>
      </c>
      <c r="F107" s="252" t="s">
        <v>465</v>
      </c>
      <c r="G107" s="248" t="s">
        <v>130</v>
      </c>
      <c r="H107" s="242" t="str">
        <f>IFERROR(VLOOKUP(WTG_BD[[#This Row],[Affected WTG]],'Basic Data'!$A$3:$E$56,2,0),"")</f>
        <v>PWEGPL</v>
      </c>
      <c r="I107" s="242" t="str">
        <f>IFERROR(VLOOKUP(WTG_BD[[#This Row],[Affected WTG]],'Basic Data'!$A$3:$E$56,3,0),"")</f>
        <v>MSEDCL</v>
      </c>
      <c r="J107" s="243">
        <f>IFERROR(VLOOKUP(WTG_BD[[#This Row],[Affected WTG]],'Basic Data'!$A$3:$E$56,5,0),"")</f>
        <v>2.564102564102564E-2</v>
      </c>
      <c r="K107" s="158">
        <v>812</v>
      </c>
      <c r="L107" s="247" t="str">
        <f>VLOOKUP(K107,'Basic Data'!T:U,2,0)</f>
        <v>Blade Position Meas. Error</v>
      </c>
      <c r="M107" s="135" t="s">
        <v>472</v>
      </c>
      <c r="N107" s="256">
        <v>0.20694444444444443</v>
      </c>
      <c r="O107" s="256">
        <v>0.20694444444444443</v>
      </c>
      <c r="P107" s="256">
        <v>0.21041666666666667</v>
      </c>
      <c r="Q107" s="253">
        <f>IF(WTG_BD[[#This Row],[Work Start TimeStamp]]="","",(WTG_BD[[#This Row],[Work Start TimeStamp]]-WTG_BD[[#This Row],[Fault Start TimeStamp]])*24)</f>
        <v>0</v>
      </c>
      <c r="R107" s="253">
        <f>(WTG_BD[[#This Row],[Fault Clearance time]]-WTG_BD[[#This Row],[Work Start TimeStamp]])*24</f>
        <v>8.3333333333333703E-2</v>
      </c>
      <c r="S107" s="253">
        <f>(WTG_BD[[#This Row],[Fault Clearance time]]-WTG_BD[[#This Row],[Fault Start TimeStamp]])*24</f>
        <v>8.3333333333333703E-2</v>
      </c>
      <c r="T107" s="135" t="s">
        <v>476</v>
      </c>
      <c r="U107" s="244" t="s">
        <v>474</v>
      </c>
      <c r="V107" s="246">
        <f>WTG_BD[[#This Row],[Breakdown Time]]*(1/39)</f>
        <v>2.1367521367521461E-3</v>
      </c>
      <c r="W107" s="244" t="s">
        <v>131</v>
      </c>
      <c r="X107" s="250">
        <v>23.49305555555566</v>
      </c>
      <c r="Y107" s="135" t="s">
        <v>470</v>
      </c>
      <c r="Z107" s="135" t="s">
        <v>475</v>
      </c>
      <c r="AA107" s="135">
        <v>6766</v>
      </c>
      <c r="AB107" s="249">
        <f>(WTG_BD[[#This Row],[Paired WTG Generation for loss calculation.]]/24)*WTG_BD[[#This Row],[Breakdown Time]]</f>
        <v>23.49305555555566</v>
      </c>
      <c r="AC107" s="135"/>
      <c r="AD107" s="245"/>
      <c r="AE107" s="3"/>
    </row>
    <row r="108" spans="1:31">
      <c r="A108" s="241">
        <f t="shared" si="3"/>
        <v>107</v>
      </c>
      <c r="B108" s="255">
        <v>45748</v>
      </c>
      <c r="C108" s="252">
        <v>2025</v>
      </c>
      <c r="D108" s="252">
        <f>YEAR(WTG_BD[[#This Row],[Date]])</f>
        <v>2025</v>
      </c>
      <c r="E108" s="251">
        <f t="shared" si="4"/>
        <v>45748</v>
      </c>
      <c r="F108" s="252" t="s">
        <v>465</v>
      </c>
      <c r="G108" s="248" t="s">
        <v>130</v>
      </c>
      <c r="H108" s="242" t="str">
        <f>IFERROR(VLOOKUP(WTG_BD[[#This Row],[Affected WTG]],'Basic Data'!$A$3:$E$56,2,0),"")</f>
        <v>PWEGPL</v>
      </c>
      <c r="I108" s="242" t="str">
        <f>IFERROR(VLOOKUP(WTG_BD[[#This Row],[Affected WTG]],'Basic Data'!$A$3:$E$56,3,0),"")</f>
        <v>MSEDCL</v>
      </c>
      <c r="J108" s="243">
        <f>IFERROR(VLOOKUP(WTG_BD[[#This Row],[Affected WTG]],'Basic Data'!$A$3:$E$56,5,0),"")</f>
        <v>2.564102564102564E-2</v>
      </c>
      <c r="K108" s="158">
        <v>2118</v>
      </c>
      <c r="L108" s="247" t="str">
        <f>VLOOKUP(K108,'Basic Data'!T:U,2,0)</f>
        <v>Bus Error - Interbus Failure</v>
      </c>
      <c r="M108" s="135" t="s">
        <v>472</v>
      </c>
      <c r="N108" s="256">
        <v>0.9555555555555556</v>
      </c>
      <c r="O108" s="256">
        <v>0.99444444444444446</v>
      </c>
      <c r="P108" s="256">
        <v>0.99930555555555556</v>
      </c>
      <c r="Q108" s="253">
        <f>IF(WTG_BD[[#This Row],[Work Start TimeStamp]]="","",(WTG_BD[[#This Row],[Work Start TimeStamp]]-WTG_BD[[#This Row],[Fault Start TimeStamp]])*24)</f>
        <v>0.93333333333333268</v>
      </c>
      <c r="R108" s="253">
        <f>(WTG_BD[[#This Row],[Fault Clearance time]]-WTG_BD[[#This Row],[Work Start TimeStamp]])*24</f>
        <v>0.11666666666666625</v>
      </c>
      <c r="S108" s="253">
        <f>(WTG_BD[[#This Row],[Fault Clearance time]]-WTG_BD[[#This Row],[Fault Start TimeStamp]])*24</f>
        <v>1.0499999999999989</v>
      </c>
      <c r="T108" s="135" t="s">
        <v>482</v>
      </c>
      <c r="U108" s="244" t="s">
        <v>474</v>
      </c>
      <c r="V108" s="246">
        <f>WTG_BD[[#This Row],[Breakdown Time]]*(1/39)</f>
        <v>2.6923076923076893E-2</v>
      </c>
      <c r="W108" s="244" t="s">
        <v>131</v>
      </c>
      <c r="X108" s="250">
        <v>296.0124999999997</v>
      </c>
      <c r="Y108" s="135" t="s">
        <v>470</v>
      </c>
      <c r="Z108" s="135" t="s">
        <v>475</v>
      </c>
      <c r="AA108" s="135">
        <v>6766</v>
      </c>
      <c r="AB108" s="249">
        <f>(WTG_BD[[#This Row],[Paired WTG Generation for loss calculation.]]/24)*WTG_BD[[#This Row],[Breakdown Time]]</f>
        <v>296.0124999999997</v>
      </c>
      <c r="AC108" s="135"/>
      <c r="AD108" s="245"/>
      <c r="AE108" s="3"/>
    </row>
    <row r="109" spans="1:31">
      <c r="A109" s="241">
        <f t="shared" si="3"/>
        <v>108</v>
      </c>
      <c r="B109" s="255">
        <v>45748</v>
      </c>
      <c r="C109" s="252">
        <v>2025</v>
      </c>
      <c r="D109" s="252">
        <f>YEAR(WTG_BD[[#This Row],[Date]])</f>
        <v>2025</v>
      </c>
      <c r="E109" s="251">
        <f t="shared" si="4"/>
        <v>45748</v>
      </c>
      <c r="F109" s="252" t="s">
        <v>465</v>
      </c>
      <c r="G109" s="248" t="s">
        <v>131</v>
      </c>
      <c r="H109" s="242" t="str">
        <f>IFERROR(VLOOKUP(WTG_BD[[#This Row],[Affected WTG]],'Basic Data'!$A$3:$E$56,2,0),"")</f>
        <v>PWEGPL</v>
      </c>
      <c r="I109" s="242" t="str">
        <f>IFERROR(VLOOKUP(WTG_BD[[#This Row],[Affected WTG]],'Basic Data'!$A$3:$E$56,3,0),"")</f>
        <v>MSEDCL</v>
      </c>
      <c r="J109" s="243">
        <f>IFERROR(VLOOKUP(WTG_BD[[#This Row],[Affected WTG]],'Basic Data'!$A$3:$E$56,5,0),"")</f>
        <v>2.564102564102564E-2</v>
      </c>
      <c r="K109" s="158">
        <v>5201</v>
      </c>
      <c r="L109" s="247" t="str">
        <f>VLOOKUP(K109,'Basic Data'!T:U,2,0)</f>
        <v>Magnetothermic Trigger Of The Stator Protection</v>
      </c>
      <c r="M109" s="135" t="s">
        <v>472</v>
      </c>
      <c r="N109" s="256">
        <v>0.96736111111111112</v>
      </c>
      <c r="O109" s="256">
        <v>0.96736111111111112</v>
      </c>
      <c r="P109" s="256">
        <v>0.99930555555555556</v>
      </c>
      <c r="Q109" s="253">
        <f>IF(WTG_BD[[#This Row],[Work Start TimeStamp]]="","",(WTG_BD[[#This Row],[Work Start TimeStamp]]-WTG_BD[[#This Row],[Fault Start TimeStamp]])*24)</f>
        <v>0</v>
      </c>
      <c r="R109" s="253">
        <f>(WTG_BD[[#This Row],[Fault Clearance time]]-WTG_BD[[#This Row],[Work Start TimeStamp]])*24</f>
        <v>0.76666666666666661</v>
      </c>
      <c r="S109" s="253">
        <f>(WTG_BD[[#This Row],[Fault Clearance time]]-WTG_BD[[#This Row],[Fault Start TimeStamp]])*24</f>
        <v>0.76666666666666661</v>
      </c>
      <c r="T109" s="135" t="s">
        <v>486</v>
      </c>
      <c r="U109" s="244" t="s">
        <v>469</v>
      </c>
      <c r="V109" s="246">
        <f>WTG_BD[[#This Row],[Breakdown Time]]*(1/39)</f>
        <v>1.9658119658119654E-2</v>
      </c>
      <c r="W109" s="244" t="s">
        <v>130</v>
      </c>
      <c r="X109" s="250">
        <v>169.81666666666666</v>
      </c>
      <c r="Y109" s="135" t="s">
        <v>470</v>
      </c>
      <c r="Z109" s="135" t="s">
        <v>475</v>
      </c>
      <c r="AA109" s="135">
        <v>5316</v>
      </c>
      <c r="AB109" s="249">
        <f>(WTG_BD[[#This Row],[Paired WTG Generation for loss calculation.]]/24)*WTG_BD[[#This Row],[Breakdown Time]]</f>
        <v>169.81666666666666</v>
      </c>
      <c r="AC109" s="135"/>
      <c r="AD109" s="245"/>
      <c r="AE109" s="3"/>
    </row>
    <row r="110" spans="1:31">
      <c r="A110" s="241">
        <f t="shared" si="3"/>
        <v>109</v>
      </c>
      <c r="B110" s="255">
        <v>45748</v>
      </c>
      <c r="C110" s="252">
        <v>2025</v>
      </c>
      <c r="D110" s="252">
        <f>YEAR(WTG_BD[[#This Row],[Date]])</f>
        <v>2025</v>
      </c>
      <c r="E110" s="251">
        <f t="shared" si="4"/>
        <v>45748</v>
      </c>
      <c r="F110" s="252" t="s">
        <v>465</v>
      </c>
      <c r="G110" s="248" t="s">
        <v>132</v>
      </c>
      <c r="H110" s="242" t="str">
        <f>IFERROR(VLOOKUP(WTG_BD[[#This Row],[Affected WTG]],'Basic Data'!$A$3:$E$56,2,0),"")</f>
        <v>PWEGPL</v>
      </c>
      <c r="I110" s="242" t="str">
        <f>IFERROR(VLOOKUP(WTG_BD[[#This Row],[Affected WTG]],'Basic Data'!$A$3:$E$56,3,0),"")</f>
        <v>MSEDCL</v>
      </c>
      <c r="J110" s="243">
        <f>IFERROR(VLOOKUP(WTG_BD[[#This Row],[Affected WTG]],'Basic Data'!$A$3:$E$56,5,0),"")</f>
        <v>2.564102564102564E-2</v>
      </c>
      <c r="K110" s="158">
        <v>812</v>
      </c>
      <c r="L110" s="247" t="str">
        <f>VLOOKUP(K110,'Basic Data'!T:U,2,0)</f>
        <v>Blade Position Meas. Error</v>
      </c>
      <c r="M110" s="135" t="s">
        <v>472</v>
      </c>
      <c r="N110" s="256">
        <v>0.93263888888888891</v>
      </c>
      <c r="O110" s="256">
        <v>0.93263888888888891</v>
      </c>
      <c r="P110" s="256">
        <v>0.99930555555555556</v>
      </c>
      <c r="Q110" s="253">
        <f>IF(WTG_BD[[#This Row],[Work Start TimeStamp]]="","",(WTG_BD[[#This Row],[Work Start TimeStamp]]-WTG_BD[[#This Row],[Fault Start TimeStamp]])*24)</f>
        <v>0</v>
      </c>
      <c r="R110" s="253">
        <f>(WTG_BD[[#This Row],[Fault Clearance time]]-WTG_BD[[#This Row],[Work Start TimeStamp]])*24</f>
        <v>1.5999999999999996</v>
      </c>
      <c r="S110" s="253">
        <f>(WTG_BD[[#This Row],[Fault Clearance time]]-WTG_BD[[#This Row],[Fault Start TimeStamp]])*24</f>
        <v>1.5999999999999996</v>
      </c>
      <c r="T110" s="135" t="s">
        <v>476</v>
      </c>
      <c r="U110" s="244" t="s">
        <v>474</v>
      </c>
      <c r="V110" s="246">
        <f>WTG_BD[[#This Row],[Breakdown Time]]*(1/39)</f>
        <v>4.1025641025641012E-2</v>
      </c>
      <c r="W110" s="244" t="s">
        <v>133</v>
      </c>
      <c r="X110" s="250">
        <v>452.53333333333319</v>
      </c>
      <c r="Y110" s="135" t="s">
        <v>470</v>
      </c>
      <c r="Z110" s="135" t="s">
        <v>475</v>
      </c>
      <c r="AA110" s="135">
        <v>6788</v>
      </c>
      <c r="AB110" s="249">
        <f>(WTG_BD[[#This Row],[Paired WTG Generation for loss calculation.]]/24)*WTG_BD[[#This Row],[Breakdown Time]]</f>
        <v>452.53333333333319</v>
      </c>
      <c r="AC110" s="135"/>
      <c r="AD110" s="245"/>
      <c r="AE110" s="3"/>
    </row>
    <row r="111" spans="1:31">
      <c r="A111" s="241">
        <f t="shared" si="3"/>
        <v>110</v>
      </c>
      <c r="B111" s="255">
        <v>45748</v>
      </c>
      <c r="C111" s="252">
        <v>2025</v>
      </c>
      <c r="D111" s="252">
        <f>YEAR(WTG_BD[[#This Row],[Date]])</f>
        <v>2025</v>
      </c>
      <c r="E111" s="251">
        <f t="shared" si="4"/>
        <v>45748</v>
      </c>
      <c r="F111" s="252" t="s">
        <v>465</v>
      </c>
      <c r="G111" s="248" t="s">
        <v>133</v>
      </c>
      <c r="H111" s="242" t="str">
        <f>IFERROR(VLOOKUP(WTG_BD[[#This Row],[Affected WTG]],'Basic Data'!$A$3:$E$56,2,0),"")</f>
        <v>PWEGPL</v>
      </c>
      <c r="I111" s="242" t="str">
        <f>IFERROR(VLOOKUP(WTG_BD[[#This Row],[Affected WTG]],'Basic Data'!$A$3:$E$56,3,0),"")</f>
        <v>MSEDCL</v>
      </c>
      <c r="J111" s="243">
        <f>IFERROR(VLOOKUP(WTG_BD[[#This Row],[Affected WTG]],'Basic Data'!$A$3:$E$56,5,0),"")</f>
        <v>2.564102564102564E-2</v>
      </c>
      <c r="K111" s="158">
        <v>5216</v>
      </c>
      <c r="L111" s="247" t="str">
        <f>VLOOKUP(K111,'Basic Data'!T:U,2,0)</f>
        <v>Grid Voltage Failure</v>
      </c>
      <c r="M111" s="135" t="s">
        <v>472</v>
      </c>
      <c r="N111" s="256">
        <v>0.96597222222222223</v>
      </c>
      <c r="O111" s="256">
        <v>0.96597222222222223</v>
      </c>
      <c r="P111" s="256">
        <v>0.99930555555555556</v>
      </c>
      <c r="Q111" s="253">
        <f>IF(WTG_BD[[#This Row],[Work Start TimeStamp]]="","",(WTG_BD[[#This Row],[Work Start TimeStamp]]-WTG_BD[[#This Row],[Fault Start TimeStamp]])*24)</f>
        <v>0</v>
      </c>
      <c r="R111" s="253">
        <f>(WTG_BD[[#This Row],[Fault Clearance time]]-WTG_BD[[#This Row],[Work Start TimeStamp]])*24</f>
        <v>0.79999999999999982</v>
      </c>
      <c r="S111" s="253">
        <f>(WTG_BD[[#This Row],[Fault Clearance time]]-WTG_BD[[#This Row],[Fault Start TimeStamp]])*24</f>
        <v>0.79999999999999982</v>
      </c>
      <c r="T111" s="135" t="s">
        <v>486</v>
      </c>
      <c r="U111" s="244" t="s">
        <v>469</v>
      </c>
      <c r="V111" s="246">
        <f>WTG_BD[[#This Row],[Breakdown Time]]*(1/39)</f>
        <v>2.0512820512820506E-2</v>
      </c>
      <c r="W111" s="244" t="s">
        <v>132</v>
      </c>
      <c r="X111" s="250">
        <v>219.06666666666661</v>
      </c>
      <c r="Y111" s="135" t="s">
        <v>470</v>
      </c>
      <c r="Z111" s="135" t="s">
        <v>475</v>
      </c>
      <c r="AA111" s="135">
        <v>6572</v>
      </c>
      <c r="AB111" s="249">
        <f>(WTG_BD[[#This Row],[Paired WTG Generation for loss calculation.]]/24)*WTG_BD[[#This Row],[Breakdown Time]]</f>
        <v>219.06666666666661</v>
      </c>
      <c r="AC111" s="135"/>
      <c r="AD111" s="245"/>
      <c r="AE111" s="3"/>
    </row>
    <row r="112" spans="1:31">
      <c r="A112" s="241">
        <f t="shared" si="3"/>
        <v>111</v>
      </c>
      <c r="B112" s="255">
        <v>45748</v>
      </c>
      <c r="C112" s="252">
        <v>2025</v>
      </c>
      <c r="D112" s="252">
        <f>YEAR(WTG_BD[[#This Row],[Date]])</f>
        <v>2025</v>
      </c>
      <c r="E112" s="251">
        <f t="shared" si="4"/>
        <v>45748</v>
      </c>
      <c r="F112" s="252" t="s">
        <v>465</v>
      </c>
      <c r="G112" s="248" t="s">
        <v>134</v>
      </c>
      <c r="H112" s="242" t="str">
        <f>IFERROR(VLOOKUP(WTG_BD[[#This Row],[Affected WTG]],'Basic Data'!$A$3:$E$56,2,0),"")</f>
        <v>PWEGPL</v>
      </c>
      <c r="I112" s="242" t="str">
        <f>IFERROR(VLOOKUP(WTG_BD[[#This Row],[Affected WTG]],'Basic Data'!$A$3:$E$56,3,0),"")</f>
        <v>MSEDCL</v>
      </c>
      <c r="J112" s="243">
        <f>IFERROR(VLOOKUP(WTG_BD[[#This Row],[Affected WTG]],'Basic Data'!$A$3:$E$56,5,0),"")</f>
        <v>2.564102564102564E-2</v>
      </c>
      <c r="K112" s="158">
        <v>5200</v>
      </c>
      <c r="L112" s="247" t="str">
        <f>VLOOKUP(K112,'Basic Data'!T:U,2,0)</f>
        <v>Magnetothermic Trigger Of The Line Protection</v>
      </c>
      <c r="M112" s="135" t="s">
        <v>472</v>
      </c>
      <c r="N112" s="256">
        <v>0.9604166666666667</v>
      </c>
      <c r="O112" s="256">
        <v>0.96875</v>
      </c>
      <c r="P112" s="256">
        <v>0.99930555555555556</v>
      </c>
      <c r="Q112" s="253">
        <f>IF(WTG_BD[[#This Row],[Work Start TimeStamp]]="","",(WTG_BD[[#This Row],[Work Start TimeStamp]]-WTG_BD[[#This Row],[Fault Start TimeStamp]])*24)</f>
        <v>0.19999999999999929</v>
      </c>
      <c r="R112" s="253">
        <f>(WTG_BD[[#This Row],[Fault Clearance time]]-WTG_BD[[#This Row],[Work Start TimeStamp]])*24</f>
        <v>0.73333333333333339</v>
      </c>
      <c r="S112" s="253">
        <f>(WTG_BD[[#This Row],[Fault Clearance time]]-WTG_BD[[#This Row],[Fault Start TimeStamp]])*24</f>
        <v>0.93333333333333268</v>
      </c>
      <c r="T112" s="135" t="s">
        <v>486</v>
      </c>
      <c r="U112" s="244" t="s">
        <v>469</v>
      </c>
      <c r="V112" s="246">
        <f>WTG_BD[[#This Row],[Breakdown Time]]*(1/39)</f>
        <v>2.3931623931623913E-2</v>
      </c>
      <c r="W112" s="244" t="s">
        <v>133</v>
      </c>
      <c r="X112" s="250">
        <v>263.97777777777759</v>
      </c>
      <c r="Y112" s="135" t="s">
        <v>470</v>
      </c>
      <c r="Z112" s="135" t="s">
        <v>475</v>
      </c>
      <c r="AA112" s="135">
        <v>6788</v>
      </c>
      <c r="AB112" s="249">
        <f>(WTG_BD[[#This Row],[Paired WTG Generation for loss calculation.]]/24)*WTG_BD[[#This Row],[Breakdown Time]]</f>
        <v>263.97777777777759</v>
      </c>
      <c r="AC112" s="135"/>
      <c r="AD112" s="245"/>
      <c r="AE112" s="3"/>
    </row>
    <row r="113" spans="1:31">
      <c r="A113" s="241">
        <f t="shared" si="3"/>
        <v>112</v>
      </c>
      <c r="B113" s="255">
        <v>45748</v>
      </c>
      <c r="C113" s="252">
        <v>2025</v>
      </c>
      <c r="D113" s="252">
        <f>YEAR(WTG_BD[[#This Row],[Date]])</f>
        <v>2025</v>
      </c>
      <c r="E113" s="251">
        <f t="shared" si="4"/>
        <v>45748</v>
      </c>
      <c r="F113" s="252" t="s">
        <v>465</v>
      </c>
      <c r="G113" s="248" t="s">
        <v>136</v>
      </c>
      <c r="H113" s="242" t="str">
        <f>IFERROR(VLOOKUP(WTG_BD[[#This Row],[Affected WTG]],'Basic Data'!$A$3:$E$56,2,0),"")</f>
        <v>PWEGPL</v>
      </c>
      <c r="I113" s="242" t="str">
        <f>IFERROR(VLOOKUP(WTG_BD[[#This Row],[Affected WTG]],'Basic Data'!$A$3:$E$56,3,0),"")</f>
        <v>MSEDCL</v>
      </c>
      <c r="J113" s="243">
        <f>IFERROR(VLOOKUP(WTG_BD[[#This Row],[Affected WTG]],'Basic Data'!$A$3:$E$56,5,0),"")</f>
        <v>2.564102564102564E-2</v>
      </c>
      <c r="K113" s="158">
        <v>5210</v>
      </c>
      <c r="L113" s="247" t="str">
        <f>VLOOKUP(K113,'Basic Data'!T:U,2,0)</f>
        <v>Failure Of The Contactor's Rotor Power</v>
      </c>
      <c r="M113" s="135" t="s">
        <v>472</v>
      </c>
      <c r="N113" s="256">
        <v>0.94097222222222221</v>
      </c>
      <c r="O113" s="256">
        <v>0.96597222222222223</v>
      </c>
      <c r="P113" s="256">
        <v>0.99930555555555556</v>
      </c>
      <c r="Q113" s="253">
        <f>IF(WTG_BD[[#This Row],[Work Start TimeStamp]]="","",(WTG_BD[[#This Row],[Work Start TimeStamp]]-WTG_BD[[#This Row],[Fault Start TimeStamp]])*24)</f>
        <v>0.60000000000000053</v>
      </c>
      <c r="R113" s="253">
        <f>(WTG_BD[[#This Row],[Fault Clearance time]]-WTG_BD[[#This Row],[Work Start TimeStamp]])*24</f>
        <v>0.79999999999999982</v>
      </c>
      <c r="S113" s="253">
        <f>(WTG_BD[[#This Row],[Fault Clearance time]]-WTG_BD[[#This Row],[Fault Start TimeStamp]])*24</f>
        <v>1.4000000000000004</v>
      </c>
      <c r="T113" s="135" t="s">
        <v>486</v>
      </c>
      <c r="U113" s="244" t="s">
        <v>474</v>
      </c>
      <c r="V113" s="246">
        <f>WTG_BD[[#This Row],[Breakdown Time]]*(1/39)</f>
        <v>3.5897435897435909E-2</v>
      </c>
      <c r="W113" s="244" t="s">
        <v>119</v>
      </c>
      <c r="X113" s="250">
        <v>275.68333333333339</v>
      </c>
      <c r="Y113" s="135" t="s">
        <v>470</v>
      </c>
      <c r="Z113" s="135" t="s">
        <v>475</v>
      </c>
      <c r="AA113" s="135">
        <v>4726</v>
      </c>
      <c r="AB113" s="249">
        <f>(WTG_BD[[#This Row],[Paired WTG Generation for loss calculation.]]/24)*WTG_BD[[#This Row],[Breakdown Time]]</f>
        <v>275.68333333333339</v>
      </c>
      <c r="AC113" s="135"/>
      <c r="AD113" s="245"/>
      <c r="AE113" s="3"/>
    </row>
    <row r="114" spans="1:31">
      <c r="A114" s="241">
        <f t="shared" si="3"/>
        <v>113</v>
      </c>
      <c r="B114" s="255">
        <v>45748</v>
      </c>
      <c r="C114" s="252">
        <v>2025</v>
      </c>
      <c r="D114" s="252">
        <f>YEAR(WTG_BD[[#This Row],[Date]])</f>
        <v>2025</v>
      </c>
      <c r="E114" s="251">
        <f t="shared" si="4"/>
        <v>45748</v>
      </c>
      <c r="F114" s="252" t="s">
        <v>465</v>
      </c>
      <c r="G114" s="248" t="s">
        <v>143</v>
      </c>
      <c r="H114" s="242" t="str">
        <f>IFERROR(VLOOKUP(WTG_BD[[#This Row],[Affected WTG]],'Basic Data'!$A$3:$E$56,2,0),"")</f>
        <v>PWEGPL</v>
      </c>
      <c r="I114" s="242" t="str">
        <f>IFERROR(VLOOKUP(WTG_BD[[#This Row],[Affected WTG]],'Basic Data'!$A$3:$E$56,3,0),"")</f>
        <v>MSEDCL</v>
      </c>
      <c r="J114" s="243">
        <f>IFERROR(VLOOKUP(WTG_BD[[#This Row],[Affected WTG]],'Basic Data'!$A$3:$E$56,5,0),"")</f>
        <v>2.564102564102564E-2</v>
      </c>
      <c r="K114" s="158">
        <v>5216</v>
      </c>
      <c r="L114" s="247" t="str">
        <f>VLOOKUP(K114,'Basic Data'!T:U,2,0)</f>
        <v>Grid Voltage Failure</v>
      </c>
      <c r="M114" s="135" t="s">
        <v>472</v>
      </c>
      <c r="N114" s="256">
        <v>0</v>
      </c>
      <c r="O114" s="256">
        <v>0.10347222222222222</v>
      </c>
      <c r="P114" s="256">
        <v>0.5805555555555556</v>
      </c>
      <c r="Q114" s="253">
        <f>IF(WTG_BD[[#This Row],[Work Start TimeStamp]]="","",(WTG_BD[[#This Row],[Work Start TimeStamp]]-WTG_BD[[#This Row],[Fault Start TimeStamp]])*24)</f>
        <v>2.4833333333333334</v>
      </c>
      <c r="R114" s="253">
        <f>(WTG_BD[[#This Row],[Fault Clearance time]]-WTG_BD[[#This Row],[Work Start TimeStamp]])*24</f>
        <v>11.450000000000003</v>
      </c>
      <c r="S114" s="253">
        <f>(WTG_BD[[#This Row],[Fault Clearance time]]-WTG_BD[[#This Row],[Fault Start TimeStamp]])*24</f>
        <v>13.933333333333334</v>
      </c>
      <c r="T114" s="135" t="s">
        <v>493</v>
      </c>
      <c r="U114" s="244" t="s">
        <v>474</v>
      </c>
      <c r="V114" s="246">
        <f>WTG_BD[[#This Row],[Breakdown Time]]*(1/39)</f>
        <v>0.35726495726495727</v>
      </c>
      <c r="W114" s="244" t="s">
        <v>141</v>
      </c>
      <c r="X114" s="250">
        <v>3634.2777777777774</v>
      </c>
      <c r="Y114" s="135" t="s">
        <v>470</v>
      </c>
      <c r="Z114" s="135" t="s">
        <v>475</v>
      </c>
      <c r="AA114" s="135">
        <v>6260</v>
      </c>
      <c r="AB114" s="249">
        <f>(WTG_BD[[#This Row],[Paired WTG Generation for loss calculation.]]/24)*WTG_BD[[#This Row],[Breakdown Time]]</f>
        <v>3634.2777777777774</v>
      </c>
      <c r="AC114" s="135"/>
      <c r="AD114" s="245"/>
      <c r="AE114" s="3"/>
    </row>
    <row r="115" spans="1:31">
      <c r="A115" s="241">
        <f t="shared" si="3"/>
        <v>114</v>
      </c>
      <c r="B115" s="255">
        <v>45748</v>
      </c>
      <c r="C115" s="252">
        <v>2025</v>
      </c>
      <c r="D115" s="252">
        <f>YEAR(WTG_BD[[#This Row],[Date]])</f>
        <v>2025</v>
      </c>
      <c r="E115" s="251">
        <f t="shared" si="4"/>
        <v>45748</v>
      </c>
      <c r="F115" s="252" t="s">
        <v>465</v>
      </c>
      <c r="G115" s="248" t="s">
        <v>145</v>
      </c>
      <c r="H115" s="242" t="str">
        <f>IFERROR(VLOOKUP(WTG_BD[[#This Row],[Affected WTG]],'Basic Data'!$A$3:$E$56,2,0),"")</f>
        <v>PWEGPL</v>
      </c>
      <c r="I115" s="242" t="str">
        <f>IFERROR(VLOOKUP(WTG_BD[[#This Row],[Affected WTG]],'Basic Data'!$A$3:$E$56,3,0),"")</f>
        <v>MSEDCL</v>
      </c>
      <c r="J115" s="243">
        <f>IFERROR(VLOOKUP(WTG_BD[[#This Row],[Affected WTG]],'Basic Data'!$A$3:$E$56,5,0),"")</f>
        <v>2.564102564102564E-2</v>
      </c>
      <c r="K115" s="158">
        <v>2118</v>
      </c>
      <c r="L115" s="247" t="str">
        <f>VLOOKUP(K115,'Basic Data'!T:U,2,0)</f>
        <v>Bus Error - Interbus Failure</v>
      </c>
      <c r="M115" s="135" t="s">
        <v>472</v>
      </c>
      <c r="N115" s="256">
        <v>0.19236111111111112</v>
      </c>
      <c r="O115" s="256">
        <v>0.19236111111111112</v>
      </c>
      <c r="P115" s="256">
        <v>0.21527777777777779</v>
      </c>
      <c r="Q115" s="253">
        <f>IF(WTG_BD[[#This Row],[Work Start TimeStamp]]="","",(WTG_BD[[#This Row],[Work Start TimeStamp]]-WTG_BD[[#This Row],[Fault Start TimeStamp]])*24)</f>
        <v>0</v>
      </c>
      <c r="R115" s="253">
        <f>(WTG_BD[[#This Row],[Fault Clearance time]]-WTG_BD[[#This Row],[Work Start TimeStamp]])*24</f>
        <v>0.55000000000000004</v>
      </c>
      <c r="S115" s="253">
        <f>(WTG_BD[[#This Row],[Fault Clearance time]]-WTG_BD[[#This Row],[Fault Start TimeStamp]])*24</f>
        <v>0.55000000000000004</v>
      </c>
      <c r="T115" s="135" t="s">
        <v>482</v>
      </c>
      <c r="U115" s="244" t="s">
        <v>474</v>
      </c>
      <c r="V115" s="246">
        <f>WTG_BD[[#This Row],[Breakdown Time]]*(1/39)</f>
        <v>1.4102564102564103E-2</v>
      </c>
      <c r="W115" s="244" t="s">
        <v>139</v>
      </c>
      <c r="X115" s="250">
        <v>133.69583333333335</v>
      </c>
      <c r="Y115" s="135" t="s">
        <v>470</v>
      </c>
      <c r="Z115" s="135" t="s">
        <v>475</v>
      </c>
      <c r="AA115" s="135">
        <v>5834</v>
      </c>
      <c r="AB115" s="249">
        <f>(WTG_BD[[#This Row],[Paired WTG Generation for loss calculation.]]/24)*WTG_BD[[#This Row],[Breakdown Time]]</f>
        <v>133.69583333333335</v>
      </c>
      <c r="AC115" s="135"/>
      <c r="AD115" s="245"/>
      <c r="AE115" s="3"/>
    </row>
    <row r="116" spans="1:31">
      <c r="A116" s="241">
        <f t="shared" si="3"/>
        <v>115</v>
      </c>
      <c r="B116" s="255">
        <v>45748</v>
      </c>
      <c r="C116" s="252">
        <v>2025</v>
      </c>
      <c r="D116" s="252">
        <f>YEAR(WTG_BD[[#This Row],[Date]])</f>
        <v>2025</v>
      </c>
      <c r="E116" s="251">
        <f t="shared" si="4"/>
        <v>45748</v>
      </c>
      <c r="F116" s="252" t="s">
        <v>465</v>
      </c>
      <c r="G116" s="248" t="s">
        <v>145</v>
      </c>
      <c r="H116" s="242" t="str">
        <f>IFERROR(VLOOKUP(WTG_BD[[#This Row],[Affected WTG]],'Basic Data'!$A$3:$E$56,2,0),"")</f>
        <v>PWEGPL</v>
      </c>
      <c r="I116" s="242" t="str">
        <f>IFERROR(VLOOKUP(WTG_BD[[#This Row],[Affected WTG]],'Basic Data'!$A$3:$E$56,3,0),"")</f>
        <v>MSEDCL</v>
      </c>
      <c r="J116" s="243">
        <f>IFERROR(VLOOKUP(WTG_BD[[#This Row],[Affected WTG]],'Basic Data'!$A$3:$E$56,5,0),"")</f>
        <v>2.564102564102564E-2</v>
      </c>
      <c r="K116" s="158">
        <v>700</v>
      </c>
      <c r="L116" s="247" t="str">
        <f>VLOOKUP(K116,'Basic Data'!T:U,2,0)</f>
        <v>PLC-Converter Communication Error</v>
      </c>
      <c r="M116" s="135" t="s">
        <v>472</v>
      </c>
      <c r="N116" s="256">
        <v>0.55902777777777779</v>
      </c>
      <c r="O116" s="256">
        <v>0.65069444444444446</v>
      </c>
      <c r="P116" s="256">
        <v>0.65555555555555556</v>
      </c>
      <c r="Q116" s="253">
        <f>IF(WTG_BD[[#This Row],[Work Start TimeStamp]]="","",(WTG_BD[[#This Row],[Work Start TimeStamp]]-WTG_BD[[#This Row],[Fault Start TimeStamp]])*24)</f>
        <v>2.2000000000000002</v>
      </c>
      <c r="R116" s="253">
        <f>(WTG_BD[[#This Row],[Fault Clearance time]]-WTG_BD[[#This Row],[Work Start TimeStamp]])*24</f>
        <v>0.11666666666666625</v>
      </c>
      <c r="S116" s="253">
        <f>(WTG_BD[[#This Row],[Fault Clearance time]]-WTG_BD[[#This Row],[Fault Start TimeStamp]])*24</f>
        <v>2.3166666666666664</v>
      </c>
      <c r="T116" s="135" t="s">
        <v>482</v>
      </c>
      <c r="U116" s="244" t="s">
        <v>474</v>
      </c>
      <c r="V116" s="246">
        <f>WTG_BD[[#This Row],[Breakdown Time]]*(1/39)</f>
        <v>5.9401709401709392E-2</v>
      </c>
      <c r="W116" s="244" t="s">
        <v>139</v>
      </c>
      <c r="X116" s="250">
        <v>563.14305555555552</v>
      </c>
      <c r="Y116" s="135" t="s">
        <v>470</v>
      </c>
      <c r="Z116" s="135" t="s">
        <v>475</v>
      </c>
      <c r="AA116" s="135">
        <v>5834</v>
      </c>
      <c r="AB116" s="249">
        <f>(WTG_BD[[#This Row],[Paired WTG Generation for loss calculation.]]/24)*WTG_BD[[#This Row],[Breakdown Time]]</f>
        <v>563.14305555555552</v>
      </c>
      <c r="AC116" s="135"/>
      <c r="AD116" s="245"/>
      <c r="AE116" s="3"/>
    </row>
    <row r="117" spans="1:31">
      <c r="A117" s="241">
        <f t="shared" si="3"/>
        <v>116</v>
      </c>
      <c r="B117" s="255">
        <v>45748</v>
      </c>
      <c r="C117" s="252">
        <v>2025</v>
      </c>
      <c r="D117" s="252">
        <f>YEAR(WTG_BD[[#This Row],[Date]])</f>
        <v>2025</v>
      </c>
      <c r="E117" s="251">
        <f t="shared" si="4"/>
        <v>45748</v>
      </c>
      <c r="F117" s="252" t="s">
        <v>465</v>
      </c>
      <c r="G117" s="248" t="s">
        <v>145</v>
      </c>
      <c r="H117" s="242" t="str">
        <f>IFERROR(VLOOKUP(WTG_BD[[#This Row],[Affected WTG]],'Basic Data'!$A$3:$E$56,2,0),"")</f>
        <v>PWEGPL</v>
      </c>
      <c r="I117" s="242" t="str">
        <f>IFERROR(VLOOKUP(WTG_BD[[#This Row],[Affected WTG]],'Basic Data'!$A$3:$E$56,3,0),"")</f>
        <v>MSEDCL</v>
      </c>
      <c r="J117" s="243">
        <f>IFERROR(VLOOKUP(WTG_BD[[#This Row],[Affected WTG]],'Basic Data'!$A$3:$E$56,5,0),"")</f>
        <v>2.564102564102564E-2</v>
      </c>
      <c r="K117" s="158">
        <v>5201</v>
      </c>
      <c r="L117" s="247" t="str">
        <f>VLOOKUP(K117,'Basic Data'!T:U,2,0)</f>
        <v>Magnetothermic Trigger Of The Stator Protection</v>
      </c>
      <c r="M117" s="135" t="s">
        <v>472</v>
      </c>
      <c r="N117" s="256">
        <v>0.96111111111111114</v>
      </c>
      <c r="O117" s="256">
        <v>0.96111111111111114</v>
      </c>
      <c r="P117" s="256">
        <v>0.99930555555555556</v>
      </c>
      <c r="Q117" s="253">
        <f>IF(WTG_BD[[#This Row],[Work Start TimeStamp]]="","",(WTG_BD[[#This Row],[Work Start TimeStamp]]-WTG_BD[[#This Row],[Fault Start TimeStamp]])*24)</f>
        <v>0</v>
      </c>
      <c r="R117" s="253">
        <f>(WTG_BD[[#This Row],[Fault Clearance time]]-WTG_BD[[#This Row],[Work Start TimeStamp]])*24</f>
        <v>0.91666666666666607</v>
      </c>
      <c r="S117" s="253">
        <f>(WTG_BD[[#This Row],[Fault Clearance time]]-WTG_BD[[#This Row],[Fault Start TimeStamp]])*24</f>
        <v>0.91666666666666607</v>
      </c>
      <c r="T117" s="135" t="s">
        <v>486</v>
      </c>
      <c r="U117" s="244" t="s">
        <v>474</v>
      </c>
      <c r="V117" s="246">
        <f>WTG_BD[[#This Row],[Breakdown Time]]*(1/39)</f>
        <v>2.3504273504273487E-2</v>
      </c>
      <c r="W117" s="244" t="s">
        <v>139</v>
      </c>
      <c r="X117" s="250">
        <v>222.82638888888874</v>
      </c>
      <c r="Y117" s="135" t="s">
        <v>470</v>
      </c>
      <c r="Z117" s="135" t="s">
        <v>475</v>
      </c>
      <c r="AA117" s="135">
        <v>5834</v>
      </c>
      <c r="AB117" s="249">
        <f>(WTG_BD[[#This Row],[Paired WTG Generation for loss calculation.]]/24)*WTG_BD[[#This Row],[Breakdown Time]]</f>
        <v>222.82638888888874</v>
      </c>
      <c r="AC117" s="135"/>
      <c r="AD117" s="245"/>
      <c r="AE117" s="3"/>
    </row>
    <row r="118" spans="1:31">
      <c r="A118" s="241">
        <f t="shared" si="3"/>
        <v>117</v>
      </c>
      <c r="B118" s="255">
        <v>45748</v>
      </c>
      <c r="C118" s="252">
        <v>2025</v>
      </c>
      <c r="D118" s="252">
        <f>YEAR(WTG_BD[[#This Row],[Date]])</f>
        <v>2025</v>
      </c>
      <c r="E118" s="251">
        <f t="shared" si="4"/>
        <v>45748</v>
      </c>
      <c r="F118" s="252" t="s">
        <v>465</v>
      </c>
      <c r="G118" s="248" t="s">
        <v>146</v>
      </c>
      <c r="H118" s="242" t="str">
        <f>IFERROR(VLOOKUP(WTG_BD[[#This Row],[Affected WTG]],'Basic Data'!$A$3:$E$56,2,0),"")</f>
        <v>PWEGPL</v>
      </c>
      <c r="I118" s="242" t="str">
        <f>IFERROR(VLOOKUP(WTG_BD[[#This Row],[Affected WTG]],'Basic Data'!$A$3:$E$56,3,0),"")</f>
        <v>MSEDCL</v>
      </c>
      <c r="J118" s="243">
        <f>IFERROR(VLOOKUP(WTG_BD[[#This Row],[Affected WTG]],'Basic Data'!$A$3:$E$56,5,0),"")</f>
        <v>2.564102564102564E-2</v>
      </c>
      <c r="K118" s="158">
        <v>907</v>
      </c>
      <c r="L118" s="247" t="str">
        <f>VLOOKUP(K118,'Basic Data'!T:U,2,0)</f>
        <v>Emergency Series HUB Trigger</v>
      </c>
      <c r="M118" s="135" t="s">
        <v>472</v>
      </c>
      <c r="N118" s="256">
        <v>0.97291666666666665</v>
      </c>
      <c r="O118" s="256">
        <v>0.97291666666666665</v>
      </c>
      <c r="P118" s="256">
        <v>0.97638888888888886</v>
      </c>
      <c r="Q118" s="253">
        <f>IF(WTG_BD[[#This Row],[Work Start TimeStamp]]="","",(WTG_BD[[#This Row],[Work Start TimeStamp]]-WTG_BD[[#This Row],[Fault Start TimeStamp]])*24)</f>
        <v>0</v>
      </c>
      <c r="R118" s="253">
        <f>(WTG_BD[[#This Row],[Fault Clearance time]]-WTG_BD[[#This Row],[Work Start TimeStamp]])*24</f>
        <v>8.3333333333333037E-2</v>
      </c>
      <c r="S118" s="253">
        <f>(WTG_BD[[#This Row],[Fault Clearance time]]-WTG_BD[[#This Row],[Fault Start TimeStamp]])*24</f>
        <v>8.3333333333333037E-2</v>
      </c>
      <c r="T118" s="135" t="s">
        <v>476</v>
      </c>
      <c r="U118" s="244" t="s">
        <v>474</v>
      </c>
      <c r="V118" s="246">
        <f>WTG_BD[[#This Row],[Breakdown Time]]*(1/39)</f>
        <v>2.1367521367521292E-3</v>
      </c>
      <c r="W118" s="244" t="s">
        <v>147</v>
      </c>
      <c r="X118" s="250">
        <v>25.277777777777686</v>
      </c>
      <c r="Y118" s="135" t="s">
        <v>470</v>
      </c>
      <c r="Z118" s="135" t="s">
        <v>475</v>
      </c>
      <c r="AA118" s="135">
        <v>7280</v>
      </c>
      <c r="AB118" s="249">
        <f>(WTG_BD[[#This Row],[Paired WTG Generation for loss calculation.]]/24)*WTG_BD[[#This Row],[Breakdown Time]]</f>
        <v>25.277777777777686</v>
      </c>
      <c r="AC118" s="135"/>
      <c r="AD118" s="245"/>
      <c r="AE118" s="3"/>
    </row>
    <row r="119" spans="1:31">
      <c r="A119" s="241">
        <f t="shared" si="3"/>
        <v>118</v>
      </c>
      <c r="B119" s="255">
        <v>45748</v>
      </c>
      <c r="C119" s="252">
        <v>2025</v>
      </c>
      <c r="D119" s="252">
        <f>YEAR(WTG_BD[[#This Row],[Date]])</f>
        <v>2025</v>
      </c>
      <c r="E119" s="251">
        <f t="shared" si="4"/>
        <v>45748</v>
      </c>
      <c r="F119" s="252" t="s">
        <v>465</v>
      </c>
      <c r="G119" s="248" t="s">
        <v>148</v>
      </c>
      <c r="H119" s="242" t="str">
        <f>IFERROR(VLOOKUP(WTG_BD[[#This Row],[Affected WTG]],'Basic Data'!$A$3:$E$56,2,0),"")</f>
        <v>PWEGPL</v>
      </c>
      <c r="I119" s="242" t="str">
        <f>IFERROR(VLOOKUP(WTG_BD[[#This Row],[Affected WTG]],'Basic Data'!$A$3:$E$56,3,0),"")</f>
        <v>MSEDCL</v>
      </c>
      <c r="J119" s="243">
        <f>IFERROR(VLOOKUP(WTG_BD[[#This Row],[Affected WTG]],'Basic Data'!$A$3:$E$56,5,0),"")</f>
        <v>2.564102564102564E-2</v>
      </c>
      <c r="K119" s="158">
        <v>5201</v>
      </c>
      <c r="L119" s="247" t="str">
        <f>VLOOKUP(K119,'Basic Data'!T:U,2,0)</f>
        <v>Magnetothermic Trigger Of The Stator Protection</v>
      </c>
      <c r="M119" s="135" t="s">
        <v>472</v>
      </c>
      <c r="N119" s="256">
        <v>0</v>
      </c>
      <c r="O119" s="256">
        <v>5.9722222222222225E-2</v>
      </c>
      <c r="P119" s="256">
        <v>0.13263888888888889</v>
      </c>
      <c r="Q119" s="253">
        <f>IF(WTG_BD[[#This Row],[Work Start TimeStamp]]="","",(WTG_BD[[#This Row],[Work Start TimeStamp]]-WTG_BD[[#This Row],[Fault Start TimeStamp]])*24)</f>
        <v>1.4333333333333333</v>
      </c>
      <c r="R119" s="253">
        <f>(WTG_BD[[#This Row],[Fault Clearance time]]-WTG_BD[[#This Row],[Work Start TimeStamp]])*24</f>
        <v>1.7499999999999998</v>
      </c>
      <c r="S119" s="253">
        <f>(WTG_BD[[#This Row],[Fault Clearance time]]-WTG_BD[[#This Row],[Fault Start TimeStamp]])*24</f>
        <v>3.1833333333333336</v>
      </c>
      <c r="T119" s="135" t="s">
        <v>482</v>
      </c>
      <c r="U119" s="244" t="s">
        <v>474</v>
      </c>
      <c r="V119" s="246">
        <f>WTG_BD[[#This Row],[Breakdown Time]]*(1/39)</f>
        <v>8.1623931623931625E-2</v>
      </c>
      <c r="W119" s="244" t="s">
        <v>149</v>
      </c>
      <c r="X119" s="250">
        <v>449.64583333333337</v>
      </c>
      <c r="Y119" s="135" t="s">
        <v>470</v>
      </c>
      <c r="Z119" s="135" t="s">
        <v>475</v>
      </c>
      <c r="AA119" s="135">
        <v>3390</v>
      </c>
      <c r="AB119" s="249">
        <f>(WTG_BD[[#This Row],[Paired WTG Generation for loss calculation.]]/24)*WTG_BD[[#This Row],[Breakdown Time]]</f>
        <v>449.64583333333337</v>
      </c>
      <c r="AC119" s="135"/>
      <c r="AD119" s="245"/>
      <c r="AE119" s="3"/>
    </row>
    <row r="120" spans="1:31">
      <c r="A120" s="241">
        <f t="shared" si="3"/>
        <v>119</v>
      </c>
      <c r="B120" s="255">
        <v>45748</v>
      </c>
      <c r="C120" s="252">
        <v>2025</v>
      </c>
      <c r="D120" s="252">
        <f>YEAR(WTG_BD[[#This Row],[Date]])</f>
        <v>2025</v>
      </c>
      <c r="E120" s="251">
        <f t="shared" si="4"/>
        <v>45748</v>
      </c>
      <c r="F120" s="252" t="s">
        <v>465</v>
      </c>
      <c r="G120" s="248" t="s">
        <v>149</v>
      </c>
      <c r="H120" s="242" t="str">
        <f>IFERROR(VLOOKUP(WTG_BD[[#This Row],[Affected WTG]],'Basic Data'!$A$3:$E$56,2,0),"")</f>
        <v>PWEGPL</v>
      </c>
      <c r="I120" s="242" t="str">
        <f>IFERROR(VLOOKUP(WTG_BD[[#This Row],[Affected WTG]],'Basic Data'!$A$3:$E$56,3,0),"")</f>
        <v>MSEDCL</v>
      </c>
      <c r="J120" s="243">
        <f>IFERROR(VLOOKUP(WTG_BD[[#This Row],[Affected WTG]],'Basic Data'!$A$3:$E$56,5,0),"")</f>
        <v>2.564102564102564E-2</v>
      </c>
      <c r="K120" s="158">
        <v>812</v>
      </c>
      <c r="L120" s="247" t="str">
        <f>VLOOKUP(K120,'Basic Data'!T:U,2,0)</f>
        <v>Blade Position Meas. Error</v>
      </c>
      <c r="M120" s="135" t="s">
        <v>472</v>
      </c>
      <c r="N120" s="256">
        <v>0</v>
      </c>
      <c r="O120" s="256">
        <v>0.16597222222222222</v>
      </c>
      <c r="P120" s="256">
        <v>0.66597222222222219</v>
      </c>
      <c r="Q120" s="253">
        <f>IF(WTG_BD[[#This Row],[Work Start TimeStamp]]="","",(WTG_BD[[#This Row],[Work Start TimeStamp]]-WTG_BD[[#This Row],[Fault Start TimeStamp]])*24)</f>
        <v>3.9833333333333334</v>
      </c>
      <c r="R120" s="253">
        <f>(WTG_BD[[#This Row],[Fault Clearance time]]-WTG_BD[[#This Row],[Work Start TimeStamp]])*24</f>
        <v>12</v>
      </c>
      <c r="S120" s="253">
        <f>(WTG_BD[[#This Row],[Fault Clearance time]]-WTG_BD[[#This Row],[Fault Start TimeStamp]])*24</f>
        <v>15.983333333333333</v>
      </c>
      <c r="T120" s="135" t="s">
        <v>494</v>
      </c>
      <c r="U120" s="244" t="s">
        <v>474</v>
      </c>
      <c r="V120" s="246">
        <f>WTG_BD[[#This Row],[Breakdown Time]]*(1/39)</f>
        <v>0.40982905982905982</v>
      </c>
      <c r="W120" s="244" t="s">
        <v>150</v>
      </c>
      <c r="X120" s="250">
        <v>4761.7013888888887</v>
      </c>
      <c r="Y120" s="135" t="s">
        <v>470</v>
      </c>
      <c r="Z120" s="135" t="s">
        <v>475</v>
      </c>
      <c r="AA120" s="135">
        <v>7150</v>
      </c>
      <c r="AB120" s="249">
        <f>(WTG_BD[[#This Row],[Paired WTG Generation for loss calculation.]]/24)*WTG_BD[[#This Row],[Breakdown Time]]</f>
        <v>4761.7013888888887</v>
      </c>
      <c r="AC120" s="135"/>
      <c r="AD120" s="245"/>
      <c r="AE120" s="3"/>
    </row>
    <row r="121" spans="1:31">
      <c r="A121" s="241">
        <f t="shared" si="3"/>
        <v>120</v>
      </c>
      <c r="B121" s="255">
        <v>45748</v>
      </c>
      <c r="C121" s="252">
        <v>2025</v>
      </c>
      <c r="D121" s="252">
        <f>YEAR(WTG_BD[[#This Row],[Date]])</f>
        <v>2025</v>
      </c>
      <c r="E121" s="251">
        <f>B121-DAY(B121)+1</f>
        <v>45748</v>
      </c>
      <c r="F121" s="252" t="s">
        <v>465</v>
      </c>
      <c r="G121" s="248" t="s">
        <v>151</v>
      </c>
      <c r="H121" s="242" t="str">
        <f>IFERROR(VLOOKUP(WTG_BD[[#This Row],[Affected WTG]],'Basic Data'!$A$3:$E$56,2,0),"")</f>
        <v>PWEGPL</v>
      </c>
      <c r="I121" s="242" t="str">
        <f>IFERROR(VLOOKUP(WTG_BD[[#This Row],[Affected WTG]],'Basic Data'!$A$3:$E$56,3,0),"")</f>
        <v>MSEDCL</v>
      </c>
      <c r="J121" s="243">
        <f>IFERROR(VLOOKUP(WTG_BD[[#This Row],[Affected WTG]],'Basic Data'!$A$3:$E$56,5,0),"")</f>
        <v>2.564102564102564E-2</v>
      </c>
      <c r="K121" s="158">
        <v>205</v>
      </c>
      <c r="L121" s="247" t="str">
        <f>VLOOKUP(K121,'Basic Data'!T:U,2,0)</f>
        <v>Low Level Hydraulic Group Refrigeration Oil</v>
      </c>
      <c r="M121" s="135" t="s">
        <v>472</v>
      </c>
      <c r="N121" s="256">
        <v>0.19722222222222222</v>
      </c>
      <c r="O121" s="256">
        <v>0.22430555555555556</v>
      </c>
      <c r="P121" s="256">
        <v>0.22430555555555556</v>
      </c>
      <c r="Q121" s="253">
        <f>IF(WTG_BD[[#This Row],[Work Start TimeStamp]]="","",(WTG_BD[[#This Row],[Work Start TimeStamp]]-WTG_BD[[#This Row],[Fault Start TimeStamp]])*24)</f>
        <v>0.65000000000000036</v>
      </c>
      <c r="R121" s="253">
        <f>(WTG_BD[[#This Row],[Fault Clearance time]]-WTG_BD[[#This Row],[Work Start TimeStamp]])*24</f>
        <v>0</v>
      </c>
      <c r="S121" s="253">
        <f>(WTG_BD[[#This Row],[Fault Clearance time]]-WTG_BD[[#This Row],[Fault Start TimeStamp]])*24</f>
        <v>0.65000000000000036</v>
      </c>
      <c r="T121" s="135" t="s">
        <v>473</v>
      </c>
      <c r="U121" s="244" t="s">
        <v>474</v>
      </c>
      <c r="V121" s="246">
        <f>WTG_BD[[#This Row],[Breakdown Time]]*(1/39)</f>
        <v>1.6666666666666677E-2</v>
      </c>
      <c r="W121" s="244" t="s">
        <v>152</v>
      </c>
      <c r="X121" s="250">
        <v>183.40833333333345</v>
      </c>
      <c r="Y121" s="135" t="s">
        <v>470</v>
      </c>
      <c r="Z121" s="135" t="s">
        <v>475</v>
      </c>
      <c r="AA121" s="135">
        <v>6772</v>
      </c>
      <c r="AB121" s="249">
        <f>(WTG_BD[[#This Row],[Paired WTG Generation for loss calculation.]]/24)*WTG_BD[[#This Row],[Breakdown Time]]</f>
        <v>183.40833333333345</v>
      </c>
      <c r="AC121" s="135"/>
      <c r="AD121" s="245"/>
      <c r="AE121" s="3"/>
    </row>
    <row r="122" spans="1:31">
      <c r="A122" s="241">
        <f t="shared" si="3"/>
        <v>121</v>
      </c>
      <c r="B122" s="255">
        <v>45748</v>
      </c>
      <c r="C122" s="252">
        <v>2025</v>
      </c>
      <c r="D122" s="252">
        <f>YEAR(WTG_BD[[#This Row],[Date]])</f>
        <v>2025</v>
      </c>
      <c r="E122" s="251">
        <f>B122-DAY(B122)+1</f>
        <v>45748</v>
      </c>
      <c r="F122" s="252" t="s">
        <v>465</v>
      </c>
      <c r="G122" s="248" t="s">
        <v>151</v>
      </c>
      <c r="H122" s="242" t="str">
        <f>IFERROR(VLOOKUP(WTG_BD[[#This Row],[Affected WTG]],'Basic Data'!$A$3:$E$56,2,0),"")</f>
        <v>PWEGPL</v>
      </c>
      <c r="I122" s="242" t="str">
        <f>IFERROR(VLOOKUP(WTG_BD[[#This Row],[Affected WTG]],'Basic Data'!$A$3:$E$56,3,0),"")</f>
        <v>MSEDCL</v>
      </c>
      <c r="J122" s="243">
        <f>IFERROR(VLOOKUP(WTG_BD[[#This Row],[Affected WTG]],'Basic Data'!$A$3:$E$56,5,0),"")</f>
        <v>2.564102564102564E-2</v>
      </c>
      <c r="K122" s="158">
        <v>205</v>
      </c>
      <c r="L122" s="247" t="str">
        <f>VLOOKUP(K122,'Basic Data'!T:U,2,0)</f>
        <v>Low Level Hydraulic Group Refrigeration Oil</v>
      </c>
      <c r="M122" s="135" t="s">
        <v>472</v>
      </c>
      <c r="N122" s="256">
        <v>0.26250000000000001</v>
      </c>
      <c r="O122" s="256">
        <v>0.26250000000000001</v>
      </c>
      <c r="P122" s="256">
        <v>0.49236111111111114</v>
      </c>
      <c r="Q122" s="253">
        <f>IF(WTG_BD[[#This Row],[Work Start TimeStamp]]="","",(WTG_BD[[#This Row],[Work Start TimeStamp]]-WTG_BD[[#This Row],[Fault Start TimeStamp]])*24)</f>
        <v>0</v>
      </c>
      <c r="R122" s="253">
        <f>(WTG_BD[[#This Row],[Fault Clearance time]]-WTG_BD[[#This Row],[Work Start TimeStamp]])*24</f>
        <v>5.5166666666666675</v>
      </c>
      <c r="S122" s="253">
        <f>(WTG_BD[[#This Row],[Fault Clearance time]]-WTG_BD[[#This Row],[Fault Start TimeStamp]])*24</f>
        <v>5.5166666666666675</v>
      </c>
      <c r="T122" s="135" t="s">
        <v>495</v>
      </c>
      <c r="U122" s="244" t="s">
        <v>474</v>
      </c>
      <c r="V122" s="246">
        <f>WTG_BD[[#This Row],[Breakdown Time]]*(1/39)</f>
        <v>0.14145299145299148</v>
      </c>
      <c r="W122" s="244" t="s">
        <v>152</v>
      </c>
      <c r="X122" s="250">
        <v>1556.6194444444448</v>
      </c>
      <c r="Y122" s="135" t="s">
        <v>470</v>
      </c>
      <c r="Z122" s="135" t="s">
        <v>475</v>
      </c>
      <c r="AA122" s="135">
        <v>6772</v>
      </c>
      <c r="AB122" s="249">
        <f>(WTG_BD[[#This Row],[Paired WTG Generation for loss calculation.]]/24)*WTG_BD[[#This Row],[Breakdown Time]]</f>
        <v>1556.6194444444448</v>
      </c>
      <c r="AC122" s="135"/>
      <c r="AD122" s="245"/>
      <c r="AE122" s="3"/>
    </row>
    <row r="123" spans="1:31">
      <c r="A123" s="241">
        <f t="shared" si="3"/>
        <v>122</v>
      </c>
      <c r="B123" s="255">
        <v>45748</v>
      </c>
      <c r="C123" s="252">
        <v>2025</v>
      </c>
      <c r="D123" s="252">
        <f>YEAR(WTG_BD[[#This Row],[Date]])</f>
        <v>2025</v>
      </c>
      <c r="E123" s="251">
        <f>B123-DAY(B123)+1</f>
        <v>45748</v>
      </c>
      <c r="F123" s="252" t="s">
        <v>465</v>
      </c>
      <c r="G123" s="248" t="s">
        <v>151</v>
      </c>
      <c r="H123" s="242" t="str">
        <f>IFERROR(VLOOKUP(WTG_BD[[#This Row],[Affected WTG]],'Basic Data'!$A$3:$E$56,2,0),"")</f>
        <v>PWEGPL</v>
      </c>
      <c r="I123" s="242" t="str">
        <f>IFERROR(VLOOKUP(WTG_BD[[#This Row],[Affected WTG]],'Basic Data'!$A$3:$E$56,3,0),"")</f>
        <v>MSEDCL</v>
      </c>
      <c r="J123" s="243">
        <f>IFERROR(VLOOKUP(WTG_BD[[#This Row],[Affected WTG]],'Basic Data'!$A$3:$E$56,5,0),"")</f>
        <v>2.564102564102564E-2</v>
      </c>
      <c r="K123" s="158" t="s">
        <v>466</v>
      </c>
      <c r="L123" s="247" t="str">
        <f>VLOOKUP(K123,'Basic Data'!T:U,2,0)</f>
        <v>Manual Stop - Safety Related</v>
      </c>
      <c r="M123" s="135" t="s">
        <v>496</v>
      </c>
      <c r="N123" s="256">
        <v>0.49236111111111114</v>
      </c>
      <c r="O123" s="256">
        <v>0.49236111111111114</v>
      </c>
      <c r="P123" s="256">
        <v>0.64722222222222225</v>
      </c>
      <c r="Q123" s="253">
        <f>IF(WTG_BD[[#This Row],[Work Start TimeStamp]]="","",(WTG_BD[[#This Row],[Work Start TimeStamp]]-WTG_BD[[#This Row],[Fault Start TimeStamp]])*24)</f>
        <v>0</v>
      </c>
      <c r="R123" s="253">
        <f>(WTG_BD[[#This Row],[Fault Clearance time]]-WTG_BD[[#This Row],[Work Start TimeStamp]])*24</f>
        <v>3.7166666666666668</v>
      </c>
      <c r="S123" s="253">
        <f>(WTG_BD[[#This Row],[Fault Clearance time]]-WTG_BD[[#This Row],[Fault Start TimeStamp]])*24</f>
        <v>3.7166666666666668</v>
      </c>
      <c r="T123" s="135" t="s">
        <v>497</v>
      </c>
      <c r="U123" s="244" t="s">
        <v>474</v>
      </c>
      <c r="V123" s="246">
        <f>WTG_BD[[#This Row],[Breakdown Time]]*(1/39)</f>
        <v>9.5299145299145294E-2</v>
      </c>
      <c r="W123" s="244" t="s">
        <v>152</v>
      </c>
      <c r="X123" s="250">
        <v>1048.7194444444447</v>
      </c>
      <c r="Y123" s="135" t="s">
        <v>470</v>
      </c>
      <c r="Z123" s="135" t="s">
        <v>498</v>
      </c>
      <c r="AA123" s="135">
        <v>6772</v>
      </c>
      <c r="AB123" s="249">
        <f>(WTG_BD[[#This Row],[Paired WTG Generation for loss calculation.]]/24)*WTG_BD[[#This Row],[Breakdown Time]]</f>
        <v>1048.7194444444447</v>
      </c>
      <c r="AC123" s="135"/>
      <c r="AD123" s="245"/>
      <c r="AE123" s="3"/>
    </row>
    <row r="124" spans="1:31">
      <c r="A124" s="241">
        <f t="shared" si="3"/>
        <v>123</v>
      </c>
      <c r="B124" s="255">
        <v>45748</v>
      </c>
      <c r="C124" s="252">
        <v>2025</v>
      </c>
      <c r="D124" s="252">
        <f>YEAR(WTG_BD[[#This Row],[Date]])</f>
        <v>2025</v>
      </c>
      <c r="E124" s="251">
        <f t="shared" si="4"/>
        <v>45748</v>
      </c>
      <c r="F124" s="252" t="s">
        <v>465</v>
      </c>
      <c r="G124" s="248" t="s">
        <v>152</v>
      </c>
      <c r="H124" s="242" t="str">
        <f>IFERROR(VLOOKUP(WTG_BD[[#This Row],[Affected WTG]],'Basic Data'!$A$3:$E$56,2,0),"")</f>
        <v>PWEGPL</v>
      </c>
      <c r="I124" s="242" t="str">
        <f>IFERROR(VLOOKUP(WTG_BD[[#This Row],[Affected WTG]],'Basic Data'!$A$3:$E$56,3,0),"")</f>
        <v>MSEDCL</v>
      </c>
      <c r="J124" s="243">
        <f>IFERROR(VLOOKUP(WTG_BD[[#This Row],[Affected WTG]],'Basic Data'!$A$3:$E$56,5,0),"")</f>
        <v>2.564102564102564E-2</v>
      </c>
      <c r="K124" s="158">
        <v>5201</v>
      </c>
      <c r="L124" s="247" t="str">
        <f>VLOOKUP(K124,'Basic Data'!T:U,2,0)</f>
        <v>Magnetothermic Trigger Of The Stator Protection</v>
      </c>
      <c r="M124" s="135" t="s">
        <v>472</v>
      </c>
      <c r="N124" s="256">
        <v>0.97638888888888886</v>
      </c>
      <c r="O124" s="256">
        <v>0.98333333333333328</v>
      </c>
      <c r="P124" s="256">
        <v>0.98333333333333328</v>
      </c>
      <c r="Q124" s="253">
        <f>IF(WTG_BD[[#This Row],[Work Start TimeStamp]]="","",(WTG_BD[[#This Row],[Work Start TimeStamp]]-WTG_BD[[#This Row],[Fault Start TimeStamp]])*24)</f>
        <v>0.16666666666666607</v>
      </c>
      <c r="R124" s="253">
        <f>(WTG_BD[[#This Row],[Fault Clearance time]]-WTG_BD[[#This Row],[Work Start TimeStamp]])*24</f>
        <v>0</v>
      </c>
      <c r="S124" s="253">
        <f>(WTG_BD[[#This Row],[Fault Clearance time]]-WTG_BD[[#This Row],[Fault Start TimeStamp]])*24</f>
        <v>0.16666666666666607</v>
      </c>
      <c r="T124" s="135" t="s">
        <v>476</v>
      </c>
      <c r="U124" s="244" t="s">
        <v>474</v>
      </c>
      <c r="V124" s="246">
        <f>WTG_BD[[#This Row],[Breakdown Time]]*(1/39)</f>
        <v>4.2735042735042583E-3</v>
      </c>
      <c r="W124" s="244" t="s">
        <v>153</v>
      </c>
      <c r="X124" s="250">
        <v>26.055555555555465</v>
      </c>
      <c r="Y124" s="135" t="s">
        <v>470</v>
      </c>
      <c r="Z124" s="135" t="s">
        <v>475</v>
      </c>
      <c r="AA124" s="135">
        <v>3752</v>
      </c>
      <c r="AB124" s="249">
        <f>(WTG_BD[[#This Row],[Paired WTG Generation for loss calculation.]]/24)*WTG_BD[[#This Row],[Breakdown Time]]</f>
        <v>26.055555555555465</v>
      </c>
      <c r="AC124" s="135"/>
      <c r="AD124" s="245"/>
      <c r="AE124" s="3"/>
    </row>
    <row r="125" spans="1:31">
      <c r="A125" s="241">
        <f t="shared" si="3"/>
        <v>124</v>
      </c>
      <c r="B125" s="255">
        <v>45748</v>
      </c>
      <c r="C125" s="252">
        <v>2025</v>
      </c>
      <c r="D125" s="252">
        <f>YEAR(WTG_BD[[#This Row],[Date]])</f>
        <v>2025</v>
      </c>
      <c r="E125" s="251">
        <f t="shared" si="4"/>
        <v>45748</v>
      </c>
      <c r="F125" s="252" t="s">
        <v>465</v>
      </c>
      <c r="G125" s="248" t="s">
        <v>153</v>
      </c>
      <c r="H125" s="242" t="str">
        <f>IFERROR(VLOOKUP(WTG_BD[[#This Row],[Affected WTG]],'Basic Data'!$A$3:$E$56,2,0),"")</f>
        <v>PWEGPL</v>
      </c>
      <c r="I125" s="242" t="str">
        <f>IFERROR(VLOOKUP(WTG_BD[[#This Row],[Affected WTG]],'Basic Data'!$A$3:$E$56,3,0),"")</f>
        <v>MSEDCL</v>
      </c>
      <c r="J125" s="243">
        <f>IFERROR(VLOOKUP(WTG_BD[[#This Row],[Affected WTG]],'Basic Data'!$A$3:$E$56,5,0),"")</f>
        <v>2.564102564102564E-2</v>
      </c>
      <c r="K125" s="158">
        <v>812</v>
      </c>
      <c r="L125" s="247" t="str">
        <f>VLOOKUP(K125,'Basic Data'!T:U,2,0)</f>
        <v>Blade Position Meas. Error</v>
      </c>
      <c r="M125" s="135" t="s">
        <v>472</v>
      </c>
      <c r="N125" s="256">
        <v>0</v>
      </c>
      <c r="O125" s="256">
        <v>0.19583333333333333</v>
      </c>
      <c r="P125" s="256">
        <v>0.22152777777777777</v>
      </c>
      <c r="Q125" s="253">
        <f>IF(WTG_BD[[#This Row],[Work Start TimeStamp]]="","",(WTG_BD[[#This Row],[Work Start TimeStamp]]-WTG_BD[[#This Row],[Fault Start TimeStamp]])*24)</f>
        <v>4.7</v>
      </c>
      <c r="R125" s="253">
        <f>(WTG_BD[[#This Row],[Fault Clearance time]]-WTG_BD[[#This Row],[Work Start TimeStamp]])*24</f>
        <v>0.61666666666666647</v>
      </c>
      <c r="S125" s="253">
        <f>(WTG_BD[[#This Row],[Fault Clearance time]]-WTG_BD[[#This Row],[Fault Start TimeStamp]])*24</f>
        <v>5.3166666666666664</v>
      </c>
      <c r="T125" s="135" t="s">
        <v>476</v>
      </c>
      <c r="U125" s="244" t="s">
        <v>474</v>
      </c>
      <c r="V125" s="246">
        <f>WTG_BD[[#This Row],[Breakdown Time]]*(1/39)</f>
        <v>0.13632478632478631</v>
      </c>
      <c r="W125" s="244" t="s">
        <v>152</v>
      </c>
      <c r="X125" s="250">
        <v>1500.1861111111111</v>
      </c>
      <c r="Y125" s="135" t="s">
        <v>470</v>
      </c>
      <c r="Z125" s="135" t="s">
        <v>475</v>
      </c>
      <c r="AA125" s="135">
        <v>6772</v>
      </c>
      <c r="AB125" s="249">
        <f>(WTG_BD[[#This Row],[Paired WTG Generation for loss calculation.]]/24)*WTG_BD[[#This Row],[Breakdown Time]]</f>
        <v>1500.1861111111111</v>
      </c>
      <c r="AC125" s="135"/>
      <c r="AD125" s="245"/>
      <c r="AE125" s="3"/>
    </row>
    <row r="126" spans="1:31">
      <c r="A126" s="241">
        <f t="shared" si="3"/>
        <v>125</v>
      </c>
      <c r="B126" s="255">
        <v>45748</v>
      </c>
      <c r="C126" s="252">
        <v>2025</v>
      </c>
      <c r="D126" s="252">
        <f>YEAR(WTG_BD[[#This Row],[Date]])</f>
        <v>2025</v>
      </c>
      <c r="E126" s="251">
        <f t="shared" si="4"/>
        <v>45748</v>
      </c>
      <c r="F126" s="252" t="s">
        <v>465</v>
      </c>
      <c r="G126" s="248" t="s">
        <v>153</v>
      </c>
      <c r="H126" s="242" t="str">
        <f>IFERROR(VLOOKUP(WTG_BD[[#This Row],[Affected WTG]],'Basic Data'!$A$3:$E$56,2,0),"")</f>
        <v>PWEGPL</v>
      </c>
      <c r="I126" s="242" t="str">
        <f>IFERROR(VLOOKUP(WTG_BD[[#This Row],[Affected WTG]],'Basic Data'!$A$3:$E$56,3,0),"")</f>
        <v>MSEDCL</v>
      </c>
      <c r="J126" s="243">
        <f>IFERROR(VLOOKUP(WTG_BD[[#This Row],[Affected WTG]],'Basic Data'!$A$3:$E$56,5,0),"")</f>
        <v>2.564102564102564E-2</v>
      </c>
      <c r="K126" s="158">
        <v>812</v>
      </c>
      <c r="L126" s="247" t="str">
        <f>VLOOKUP(K126,'Basic Data'!T:U,2,0)</f>
        <v>Blade Position Meas. Error</v>
      </c>
      <c r="M126" s="135" t="s">
        <v>472</v>
      </c>
      <c r="N126" s="256">
        <v>0.25</v>
      </c>
      <c r="O126" s="256">
        <v>0.46736111111111112</v>
      </c>
      <c r="P126" s="256">
        <v>0.47499999999999998</v>
      </c>
      <c r="Q126" s="253">
        <f>IF(WTG_BD[[#This Row],[Work Start TimeStamp]]="","",(WTG_BD[[#This Row],[Work Start TimeStamp]]-WTG_BD[[#This Row],[Fault Start TimeStamp]])*24)</f>
        <v>5.2166666666666668</v>
      </c>
      <c r="R126" s="253">
        <f>(WTG_BD[[#This Row],[Fault Clearance time]]-WTG_BD[[#This Row],[Work Start TimeStamp]])*24</f>
        <v>0.18333333333333268</v>
      </c>
      <c r="S126" s="253">
        <f>(WTG_BD[[#This Row],[Fault Clearance time]]-WTG_BD[[#This Row],[Fault Start TimeStamp]])*24</f>
        <v>5.3999999999999995</v>
      </c>
      <c r="T126" s="135" t="s">
        <v>482</v>
      </c>
      <c r="U126" s="244" t="s">
        <v>474</v>
      </c>
      <c r="V126" s="246">
        <f>WTG_BD[[#This Row],[Breakdown Time]]*(1/39)</f>
        <v>0.13846153846153844</v>
      </c>
      <c r="W126" s="244" t="s">
        <v>152</v>
      </c>
      <c r="X126" s="250">
        <v>1523.7</v>
      </c>
      <c r="Y126" s="135" t="s">
        <v>470</v>
      </c>
      <c r="Z126" s="135" t="s">
        <v>475</v>
      </c>
      <c r="AA126" s="135">
        <v>6772</v>
      </c>
      <c r="AB126" s="249">
        <f>(WTG_BD[[#This Row],[Paired WTG Generation for loss calculation.]]/24)*WTG_BD[[#This Row],[Breakdown Time]]</f>
        <v>1523.7</v>
      </c>
      <c r="AC126" s="135"/>
      <c r="AD126" s="245"/>
      <c r="AE126" s="3"/>
    </row>
    <row r="127" spans="1:31">
      <c r="A127" s="241">
        <f t="shared" si="3"/>
        <v>126</v>
      </c>
      <c r="B127" s="255">
        <v>45748</v>
      </c>
      <c r="C127" s="252">
        <v>2025</v>
      </c>
      <c r="D127" s="252">
        <f>YEAR(WTG_BD[[#This Row],[Date]])</f>
        <v>2025</v>
      </c>
      <c r="E127" s="251">
        <f t="shared" si="4"/>
        <v>45748</v>
      </c>
      <c r="F127" s="252" t="s">
        <v>465</v>
      </c>
      <c r="G127" s="248" t="s">
        <v>153</v>
      </c>
      <c r="H127" s="242" t="str">
        <f>IFERROR(VLOOKUP(WTG_BD[[#This Row],[Affected WTG]],'Basic Data'!$A$3:$E$56,2,0),"")</f>
        <v>PWEGPL</v>
      </c>
      <c r="I127" s="242" t="str">
        <f>IFERROR(VLOOKUP(WTG_BD[[#This Row],[Affected WTG]],'Basic Data'!$A$3:$E$56,3,0),"")</f>
        <v>MSEDCL</v>
      </c>
      <c r="J127" s="243">
        <f>IFERROR(VLOOKUP(WTG_BD[[#This Row],[Affected WTG]],'Basic Data'!$A$3:$E$56,5,0),"")</f>
        <v>2.564102564102564E-2</v>
      </c>
      <c r="K127" s="158">
        <v>812</v>
      </c>
      <c r="L127" s="247" t="str">
        <f>VLOOKUP(K127,'Basic Data'!T:U,2,0)</f>
        <v>Blade Position Meas. Error</v>
      </c>
      <c r="M127" s="135" t="s">
        <v>472</v>
      </c>
      <c r="N127" s="256">
        <v>0.65902777777777777</v>
      </c>
      <c r="O127" s="256">
        <v>0.67569444444444449</v>
      </c>
      <c r="P127" s="256">
        <v>0.67708333333333337</v>
      </c>
      <c r="Q127" s="253">
        <f>IF(WTG_BD[[#This Row],[Work Start TimeStamp]]="","",(WTG_BD[[#This Row],[Work Start TimeStamp]]-WTG_BD[[#This Row],[Fault Start TimeStamp]])*24)</f>
        <v>0.40000000000000124</v>
      </c>
      <c r="R127" s="253">
        <f>(WTG_BD[[#This Row],[Fault Clearance time]]-WTG_BD[[#This Row],[Work Start TimeStamp]])*24</f>
        <v>3.3333333333333215E-2</v>
      </c>
      <c r="S127" s="253">
        <f>(WTG_BD[[#This Row],[Fault Clearance time]]-WTG_BD[[#This Row],[Fault Start TimeStamp]])*24</f>
        <v>0.43333333333333446</v>
      </c>
      <c r="T127" s="135" t="s">
        <v>482</v>
      </c>
      <c r="U127" s="244" t="s">
        <v>474</v>
      </c>
      <c r="V127" s="246">
        <f>WTG_BD[[#This Row],[Breakdown Time]]*(1/39)</f>
        <v>1.1111111111111139E-2</v>
      </c>
      <c r="W127" s="244" t="s">
        <v>152</v>
      </c>
      <c r="X127" s="250">
        <v>122.27222222222255</v>
      </c>
      <c r="Y127" s="135" t="s">
        <v>470</v>
      </c>
      <c r="Z127" s="135" t="s">
        <v>475</v>
      </c>
      <c r="AA127" s="135">
        <v>6772</v>
      </c>
      <c r="AB127" s="249">
        <f>(WTG_BD[[#This Row],[Paired WTG Generation for loss calculation.]]/24)*WTG_BD[[#This Row],[Breakdown Time]]</f>
        <v>122.27222222222255</v>
      </c>
      <c r="AC127" s="135"/>
      <c r="AD127" s="245"/>
      <c r="AE127" s="3"/>
    </row>
    <row r="128" spans="1:31">
      <c r="A128" s="241">
        <f t="shared" si="3"/>
        <v>127</v>
      </c>
      <c r="B128" s="255">
        <v>45748</v>
      </c>
      <c r="C128" s="252">
        <v>2025</v>
      </c>
      <c r="D128" s="252">
        <f>YEAR(WTG_BD[[#This Row],[Date]])</f>
        <v>2025</v>
      </c>
      <c r="E128" s="251">
        <f t="shared" si="4"/>
        <v>45748</v>
      </c>
      <c r="F128" s="252" t="s">
        <v>465</v>
      </c>
      <c r="G128" s="248" t="s">
        <v>153</v>
      </c>
      <c r="H128" s="242" t="str">
        <f>IFERROR(VLOOKUP(WTG_BD[[#This Row],[Affected WTG]],'Basic Data'!$A$3:$E$56,2,0),"")</f>
        <v>PWEGPL</v>
      </c>
      <c r="I128" s="242" t="str">
        <f>IFERROR(VLOOKUP(WTG_BD[[#This Row],[Affected WTG]],'Basic Data'!$A$3:$E$56,3,0),"")</f>
        <v>MSEDCL</v>
      </c>
      <c r="J128" s="243">
        <f>IFERROR(VLOOKUP(WTG_BD[[#This Row],[Affected WTG]],'Basic Data'!$A$3:$E$56,5,0),"")</f>
        <v>2.564102564102564E-2</v>
      </c>
      <c r="K128" s="158">
        <v>812</v>
      </c>
      <c r="L128" s="247" t="str">
        <f>VLOOKUP(K128,'Basic Data'!T:U,2,0)</f>
        <v>Blade Position Meas. Error</v>
      </c>
      <c r="M128" s="135" t="s">
        <v>472</v>
      </c>
      <c r="N128" s="256">
        <v>0.93263888888888891</v>
      </c>
      <c r="O128" s="256">
        <v>0.94374999999999998</v>
      </c>
      <c r="P128" s="256">
        <v>0.96111111111111114</v>
      </c>
      <c r="Q128" s="253">
        <f>IF(WTG_BD[[#This Row],[Work Start TimeStamp]]="","",(WTG_BD[[#This Row],[Work Start TimeStamp]]-WTG_BD[[#This Row],[Fault Start TimeStamp]])*24)</f>
        <v>0.26666666666666572</v>
      </c>
      <c r="R128" s="253">
        <f>(WTG_BD[[#This Row],[Fault Clearance time]]-WTG_BD[[#This Row],[Work Start TimeStamp]])*24</f>
        <v>0.41666666666666785</v>
      </c>
      <c r="S128" s="253">
        <f>(WTG_BD[[#This Row],[Fault Clearance time]]-WTG_BD[[#This Row],[Fault Start TimeStamp]])*24</f>
        <v>0.68333333333333357</v>
      </c>
      <c r="T128" s="135" t="s">
        <v>482</v>
      </c>
      <c r="U128" s="244" t="s">
        <v>474</v>
      </c>
      <c r="V128" s="246">
        <f>WTG_BD[[#This Row],[Breakdown Time]]*(1/39)</f>
        <v>1.7521367521367529E-2</v>
      </c>
      <c r="W128" s="244" t="s">
        <v>152</v>
      </c>
      <c r="X128" s="250">
        <v>192.81388888888898</v>
      </c>
      <c r="Y128" s="135" t="s">
        <v>470</v>
      </c>
      <c r="Z128" s="135" t="s">
        <v>475</v>
      </c>
      <c r="AA128" s="135">
        <v>6772</v>
      </c>
      <c r="AB128" s="249">
        <f>(WTG_BD[[#This Row],[Paired WTG Generation for loss calculation.]]/24)*WTG_BD[[#This Row],[Breakdown Time]]</f>
        <v>192.81388888888898</v>
      </c>
      <c r="AC128" s="135"/>
      <c r="AD128" s="245"/>
      <c r="AE128" s="3"/>
    </row>
    <row r="129" spans="1:31">
      <c r="A129" s="241">
        <f t="shared" si="3"/>
        <v>128</v>
      </c>
      <c r="B129" s="255">
        <v>45749</v>
      </c>
      <c r="C129" s="252">
        <v>2025</v>
      </c>
      <c r="D129" s="252">
        <f>YEAR(WTG_BD[[#This Row],[Date]])</f>
        <v>2025</v>
      </c>
      <c r="E129" s="251">
        <f t="shared" si="4"/>
        <v>45748</v>
      </c>
      <c r="F129" s="252" t="s">
        <v>465</v>
      </c>
      <c r="G129" s="248" t="s">
        <v>144</v>
      </c>
      <c r="H129" s="242" t="str">
        <f>IFERROR(VLOOKUP(WTG_BD[[#This Row],[Affected WTG]],'Basic Data'!$A$3:$E$56,2,0),"")</f>
        <v>PWEGPL</v>
      </c>
      <c r="I129" s="242" t="str">
        <f>IFERROR(VLOOKUP(WTG_BD[[#This Row],[Affected WTG]],'Basic Data'!$A$3:$E$56,3,0),"")</f>
        <v>MSEDCL</v>
      </c>
      <c r="J129" s="243">
        <f>IFERROR(VLOOKUP(WTG_BD[[#This Row],[Affected WTG]],'Basic Data'!$A$3:$E$56,5,0),"")</f>
        <v>2.564102564102564E-2</v>
      </c>
      <c r="K129" s="158" t="s">
        <v>466</v>
      </c>
      <c r="L129" s="247" t="str">
        <f>VLOOKUP(K129,'Basic Data'!T:U,2,0)</f>
        <v>Manual Stop - Safety Related</v>
      </c>
      <c r="M129" s="135" t="s">
        <v>467</v>
      </c>
      <c r="N129" s="256">
        <v>0</v>
      </c>
      <c r="O129" s="256">
        <v>0.99930555555555556</v>
      </c>
      <c r="P129" s="256">
        <v>0.99930555555555556</v>
      </c>
      <c r="Q129" s="253">
        <f>IF(WTG_BD[[#This Row],[Work Start TimeStamp]]="","",(WTG_BD[[#This Row],[Work Start TimeStamp]]-WTG_BD[[#This Row],[Fault Start TimeStamp]])*24)</f>
        <v>23.983333333333334</v>
      </c>
      <c r="R129" s="253">
        <f>(WTG_BD[[#This Row],[Fault Clearance time]]-WTG_BD[[#This Row],[Work Start TimeStamp]])*24</f>
        <v>0</v>
      </c>
      <c r="S129" s="253">
        <f>(WTG_BD[[#This Row],[Fault Clearance time]]-WTG_BD[[#This Row],[Fault Start TimeStamp]])*24</f>
        <v>23.983333333333334</v>
      </c>
      <c r="T129" s="135" t="s">
        <v>468</v>
      </c>
      <c r="U129" s="244" t="s">
        <v>469</v>
      </c>
      <c r="V129" s="246">
        <f>WTG_BD[[#This Row],[Breakdown Time]]*(1/39)</f>
        <v>0.61495726495726499</v>
      </c>
      <c r="W129" s="244" t="s">
        <v>141</v>
      </c>
      <c r="X129" s="250">
        <v>10134.956944444444</v>
      </c>
      <c r="Y129" s="135" t="s">
        <v>470</v>
      </c>
      <c r="Z129" s="135" t="s">
        <v>471</v>
      </c>
      <c r="AA129" s="135">
        <v>10142</v>
      </c>
      <c r="AB129" s="249">
        <f>(WTG_BD[[#This Row],[Paired WTG Generation for loss calculation.]]/24)*WTG_BD[[#This Row],[Breakdown Time]]</f>
        <v>10134.956944444444</v>
      </c>
      <c r="AC129" s="135"/>
      <c r="AD129" s="245"/>
      <c r="AE129" s="3"/>
    </row>
    <row r="130" spans="1:31">
      <c r="A130" s="241">
        <f t="shared" si="3"/>
        <v>129</v>
      </c>
      <c r="B130" s="255">
        <v>45749</v>
      </c>
      <c r="C130" s="252">
        <v>2025</v>
      </c>
      <c r="D130" s="252">
        <f>YEAR(WTG_BD[[#This Row],[Date]])</f>
        <v>2025</v>
      </c>
      <c r="E130" s="251">
        <f t="shared" si="4"/>
        <v>45748</v>
      </c>
      <c r="F130" s="252" t="s">
        <v>465</v>
      </c>
      <c r="G130" s="248" t="s">
        <v>142</v>
      </c>
      <c r="H130" s="242" t="str">
        <f>IFERROR(VLOOKUP(WTG_BD[[#This Row],[Affected WTG]],'Basic Data'!$A$3:$E$56,2,0),"")</f>
        <v>PWEGPL</v>
      </c>
      <c r="I130" s="242" t="str">
        <f>IFERROR(VLOOKUP(WTG_BD[[#This Row],[Affected WTG]],'Basic Data'!$A$3:$E$56,3,0),"")</f>
        <v>MSEDCL</v>
      </c>
      <c r="J130" s="243">
        <f>IFERROR(VLOOKUP(WTG_BD[[#This Row],[Affected WTG]],'Basic Data'!$A$3:$E$56,5,0),"")</f>
        <v>2.564102564102564E-2</v>
      </c>
      <c r="K130" s="158" t="s">
        <v>466</v>
      </c>
      <c r="L130" s="247" t="str">
        <f>VLOOKUP(K130,'Basic Data'!T:U,2,0)</f>
        <v>Manual Stop - Safety Related</v>
      </c>
      <c r="M130" s="135" t="s">
        <v>467</v>
      </c>
      <c r="N130" s="256">
        <v>0</v>
      </c>
      <c r="O130" s="256">
        <v>0.99930555555555556</v>
      </c>
      <c r="P130" s="256">
        <v>0.99930555555555556</v>
      </c>
      <c r="Q130" s="253">
        <f>IF(WTG_BD[[#This Row],[Work Start TimeStamp]]="","",(WTG_BD[[#This Row],[Work Start TimeStamp]]-WTG_BD[[#This Row],[Fault Start TimeStamp]])*24)</f>
        <v>23.983333333333334</v>
      </c>
      <c r="R130" s="253">
        <f>(WTG_BD[[#This Row],[Fault Clearance time]]-WTG_BD[[#This Row],[Work Start TimeStamp]])*24</f>
        <v>0</v>
      </c>
      <c r="S130" s="253">
        <f>(WTG_BD[[#This Row],[Fault Clearance time]]-WTG_BD[[#This Row],[Fault Start TimeStamp]])*24</f>
        <v>23.983333333333334</v>
      </c>
      <c r="T130" s="135" t="s">
        <v>468</v>
      </c>
      <c r="U130" s="244" t="s">
        <v>469</v>
      </c>
      <c r="V130" s="246">
        <f>WTG_BD[[#This Row],[Breakdown Time]]*(1/39)</f>
        <v>0.61495726495726499</v>
      </c>
      <c r="W130" s="244" t="s">
        <v>141</v>
      </c>
      <c r="X130" s="250">
        <v>10134.956944444444</v>
      </c>
      <c r="Y130" s="135" t="s">
        <v>470</v>
      </c>
      <c r="Z130" s="135" t="s">
        <v>471</v>
      </c>
      <c r="AA130" s="135">
        <v>10142</v>
      </c>
      <c r="AB130" s="249">
        <f>(WTG_BD[[#This Row],[Paired WTG Generation for loss calculation.]]/24)*WTG_BD[[#This Row],[Breakdown Time]]</f>
        <v>10134.956944444444</v>
      </c>
      <c r="AC130" s="135"/>
      <c r="AD130" s="245"/>
      <c r="AE130" s="3"/>
    </row>
    <row r="131" spans="1:31">
      <c r="A131" s="241">
        <f t="shared" ref="A131:A194" si="5">A130+1</f>
        <v>130</v>
      </c>
      <c r="B131" s="255">
        <v>45749</v>
      </c>
      <c r="C131" s="252">
        <v>2025</v>
      </c>
      <c r="D131" s="252">
        <f>YEAR(WTG_BD[[#This Row],[Date]])</f>
        <v>2025</v>
      </c>
      <c r="E131" s="251">
        <f t="shared" si="4"/>
        <v>45748</v>
      </c>
      <c r="F131" s="252" t="s">
        <v>465</v>
      </c>
      <c r="G131" s="248" t="s">
        <v>116</v>
      </c>
      <c r="H131" s="242" t="str">
        <f>IFERROR(VLOOKUP(WTG_BD[[#This Row],[Affected WTG]],'Basic Data'!$A$3:$E$56,2,0),"")</f>
        <v>PWEGPL</v>
      </c>
      <c r="I131" s="242" t="str">
        <f>IFERROR(VLOOKUP(WTG_BD[[#This Row],[Affected WTG]],'Basic Data'!$A$3:$E$56,3,0),"")</f>
        <v>MSEDCL</v>
      </c>
      <c r="J131" s="243">
        <f>IFERROR(VLOOKUP(WTG_BD[[#This Row],[Affected WTG]],'Basic Data'!$A$3:$E$56,5,0),"")</f>
        <v>2.564102564102564E-2</v>
      </c>
      <c r="K131" s="158">
        <v>5225</v>
      </c>
      <c r="L131" s="247" t="str">
        <f>VLOOKUP(K131,'Basic Data'!T:U,2,0)</f>
        <v>Fault In Analog Electronic Power Supply</v>
      </c>
      <c r="M131" s="135" t="s">
        <v>472</v>
      </c>
      <c r="N131" s="256">
        <v>5.6250000000000001E-2</v>
      </c>
      <c r="O131" s="256">
        <v>0.16527777777777777</v>
      </c>
      <c r="P131" s="256">
        <v>0.19166666666666668</v>
      </c>
      <c r="Q131" s="253">
        <f>IF(WTG_BD[[#This Row],[Work Start TimeStamp]]="","",(WTG_BD[[#This Row],[Work Start TimeStamp]]-WTG_BD[[#This Row],[Fault Start TimeStamp]])*24)</f>
        <v>2.6166666666666667</v>
      </c>
      <c r="R131" s="253">
        <f>(WTG_BD[[#This Row],[Fault Clearance time]]-WTG_BD[[#This Row],[Work Start TimeStamp]])*24</f>
        <v>0.63333333333333375</v>
      </c>
      <c r="S131" s="253">
        <f>(WTG_BD[[#This Row],[Fault Clearance time]]-WTG_BD[[#This Row],[Fault Start TimeStamp]])*24</f>
        <v>3.2500000000000004</v>
      </c>
      <c r="T131" s="135" t="s">
        <v>499</v>
      </c>
      <c r="U131" s="244" t="s">
        <v>474</v>
      </c>
      <c r="V131" s="246">
        <f>WTG_BD[[#This Row],[Breakdown Time]]*(1/39)</f>
        <v>8.3333333333333343E-2</v>
      </c>
      <c r="W131" s="244" t="s">
        <v>118</v>
      </c>
      <c r="X131" s="250">
        <v>806.54166666666674</v>
      </c>
      <c r="Y131" s="135" t="s">
        <v>470</v>
      </c>
      <c r="Z131" s="135" t="s">
        <v>475</v>
      </c>
      <c r="AA131" s="135">
        <v>5956</v>
      </c>
      <c r="AB131" s="249">
        <f>(WTG_BD[[#This Row],[Paired WTG Generation for loss calculation.]]/24)*WTG_BD[[#This Row],[Breakdown Time]]</f>
        <v>806.54166666666674</v>
      </c>
      <c r="AC131" s="135"/>
      <c r="AD131" s="245"/>
      <c r="AE131" s="3"/>
    </row>
    <row r="132" spans="1:31">
      <c r="A132" s="241">
        <f t="shared" si="5"/>
        <v>131</v>
      </c>
      <c r="B132" s="255">
        <v>45749</v>
      </c>
      <c r="C132" s="252">
        <v>2025</v>
      </c>
      <c r="D132" s="252">
        <f>YEAR(WTG_BD[[#This Row],[Date]])</f>
        <v>2025</v>
      </c>
      <c r="E132" s="251">
        <f t="shared" si="4"/>
        <v>45748</v>
      </c>
      <c r="F132" s="252" t="s">
        <v>465</v>
      </c>
      <c r="G132" s="248" t="s">
        <v>118</v>
      </c>
      <c r="H132" s="242" t="str">
        <f>IFERROR(VLOOKUP(WTG_BD[[#This Row],[Affected WTG]],'Basic Data'!$A$3:$E$56,2,0),"")</f>
        <v>PWEGPL</v>
      </c>
      <c r="I132" s="242" t="str">
        <f>IFERROR(VLOOKUP(WTG_BD[[#This Row],[Affected WTG]],'Basic Data'!$A$3:$E$56,3,0),"")</f>
        <v>MSEDCL</v>
      </c>
      <c r="J132" s="243">
        <f>IFERROR(VLOOKUP(WTG_BD[[#This Row],[Affected WTG]],'Basic Data'!$A$3:$E$56,5,0),"")</f>
        <v>2.564102564102564E-2</v>
      </c>
      <c r="K132" s="158">
        <v>5203</v>
      </c>
      <c r="L132" s="247" t="str">
        <f>VLOOKUP(K132,'Basic Data'!T:U,2,0)</f>
        <v>Heating/Coolant Thermal Magnetic Failure</v>
      </c>
      <c r="M132" s="135" t="s">
        <v>472</v>
      </c>
      <c r="N132" s="256">
        <v>0.17569444444444443</v>
      </c>
      <c r="O132" s="256">
        <v>0.22569444444444445</v>
      </c>
      <c r="P132" s="256">
        <v>0.35416666666666669</v>
      </c>
      <c r="Q132" s="253">
        <f>IF(WTG_BD[[#This Row],[Work Start TimeStamp]]="","",(WTG_BD[[#This Row],[Work Start TimeStamp]]-WTG_BD[[#This Row],[Fault Start TimeStamp]])*24)</f>
        <v>1.2000000000000004</v>
      </c>
      <c r="R132" s="253">
        <f>(WTG_BD[[#This Row],[Fault Clearance time]]-WTG_BD[[#This Row],[Work Start TimeStamp]])*24</f>
        <v>3.0833333333333339</v>
      </c>
      <c r="S132" s="253">
        <f>(WTG_BD[[#This Row],[Fault Clearance time]]-WTG_BD[[#This Row],[Fault Start TimeStamp]])*24</f>
        <v>4.2833333333333341</v>
      </c>
      <c r="T132" s="135" t="s">
        <v>500</v>
      </c>
      <c r="U132" s="244" t="s">
        <v>474</v>
      </c>
      <c r="V132" s="246">
        <f>WTG_BD[[#This Row],[Breakdown Time]]*(1/39)</f>
        <v>0.10982905982905984</v>
      </c>
      <c r="W132" s="244" t="s">
        <v>117</v>
      </c>
      <c r="X132" s="250">
        <v>1886.4513888888894</v>
      </c>
      <c r="Y132" s="135" t="s">
        <v>470</v>
      </c>
      <c r="Z132" s="135" t="s">
        <v>475</v>
      </c>
      <c r="AA132" s="135">
        <v>10570</v>
      </c>
      <c r="AB132" s="249">
        <f>(WTG_BD[[#This Row],[Paired WTG Generation for loss calculation.]]/24)*WTG_BD[[#This Row],[Breakdown Time]]</f>
        <v>1886.4513888888894</v>
      </c>
      <c r="AC132" s="135"/>
      <c r="AD132" s="245"/>
      <c r="AE132" s="3"/>
    </row>
    <row r="133" spans="1:31">
      <c r="A133" s="241">
        <f t="shared" si="5"/>
        <v>132</v>
      </c>
      <c r="B133" s="255">
        <v>45749</v>
      </c>
      <c r="C133" s="252">
        <v>2025</v>
      </c>
      <c r="D133" s="252">
        <f>YEAR(WTG_BD[[#This Row],[Date]])</f>
        <v>2025</v>
      </c>
      <c r="E133" s="251">
        <f t="shared" si="4"/>
        <v>45748</v>
      </c>
      <c r="F133" s="252" t="s">
        <v>465</v>
      </c>
      <c r="G133" s="248" t="s">
        <v>118</v>
      </c>
      <c r="H133" s="242" t="str">
        <f>IFERROR(VLOOKUP(WTG_BD[[#This Row],[Affected WTG]],'Basic Data'!$A$3:$E$56,2,0),"")</f>
        <v>PWEGPL</v>
      </c>
      <c r="I133" s="242" t="str">
        <f>IFERROR(VLOOKUP(WTG_BD[[#This Row],[Affected WTG]],'Basic Data'!$A$3:$E$56,3,0),"")</f>
        <v>MSEDCL</v>
      </c>
      <c r="J133" s="243">
        <f>IFERROR(VLOOKUP(WTG_BD[[#This Row],[Affected WTG]],'Basic Data'!$A$3:$E$56,5,0),"")</f>
        <v>2.564102564102564E-2</v>
      </c>
      <c r="K133" s="158">
        <v>205</v>
      </c>
      <c r="L133" s="247" t="str">
        <f>VLOOKUP(K133,'Basic Data'!T:U,2,0)</f>
        <v>Low Level Hydraulic Group Refrigeration Oil</v>
      </c>
      <c r="M133" s="135" t="s">
        <v>472</v>
      </c>
      <c r="N133" s="256">
        <v>0.35416666666666669</v>
      </c>
      <c r="O133" s="256">
        <v>0.49930555555555556</v>
      </c>
      <c r="P133" s="256">
        <v>0.49930555555555556</v>
      </c>
      <c r="Q133" s="253">
        <f>IF(WTG_BD[[#This Row],[Work Start TimeStamp]]="","",(WTG_BD[[#This Row],[Work Start TimeStamp]]-WTG_BD[[#This Row],[Fault Start TimeStamp]])*24)</f>
        <v>3.4833333333333329</v>
      </c>
      <c r="R133" s="253">
        <f>(WTG_BD[[#This Row],[Fault Clearance time]]-WTG_BD[[#This Row],[Work Start TimeStamp]])*24</f>
        <v>0</v>
      </c>
      <c r="S133" s="253">
        <f>(WTG_BD[[#This Row],[Fault Clearance time]]-WTG_BD[[#This Row],[Fault Start TimeStamp]])*24</f>
        <v>3.4833333333333329</v>
      </c>
      <c r="T133" s="135" t="s">
        <v>473</v>
      </c>
      <c r="U133" s="244" t="s">
        <v>474</v>
      </c>
      <c r="V133" s="246">
        <f>WTG_BD[[#This Row],[Breakdown Time]]*(1/39)</f>
        <v>8.9316239316239304E-2</v>
      </c>
      <c r="W133" s="244" t="s">
        <v>117</v>
      </c>
      <c r="X133" s="250">
        <v>1534.1180555555554</v>
      </c>
      <c r="Y133" s="135" t="s">
        <v>470</v>
      </c>
      <c r="Z133" s="135" t="s">
        <v>475</v>
      </c>
      <c r="AA133" s="135">
        <v>10570</v>
      </c>
      <c r="AB133" s="249">
        <f>(WTG_BD[[#This Row],[Paired WTG Generation for loss calculation.]]/24)*WTG_BD[[#This Row],[Breakdown Time]]</f>
        <v>1534.1180555555554</v>
      </c>
      <c r="AC133" s="135"/>
      <c r="AD133" s="245"/>
      <c r="AE133" s="3"/>
    </row>
    <row r="134" spans="1:31">
      <c r="A134" s="241">
        <f t="shared" si="5"/>
        <v>133</v>
      </c>
      <c r="B134" s="255">
        <v>45749</v>
      </c>
      <c r="C134" s="252">
        <v>2025</v>
      </c>
      <c r="D134" s="252">
        <f>YEAR(WTG_BD[[#This Row],[Date]])</f>
        <v>2025</v>
      </c>
      <c r="E134" s="251">
        <f t="shared" si="4"/>
        <v>45748</v>
      </c>
      <c r="F134" s="252" t="s">
        <v>465</v>
      </c>
      <c r="G134" s="248" t="s">
        <v>126</v>
      </c>
      <c r="H134" s="242" t="str">
        <f>IFERROR(VLOOKUP(WTG_BD[[#This Row],[Affected WTG]],'Basic Data'!$A$3:$E$56,2,0),"")</f>
        <v>PWEGPL</v>
      </c>
      <c r="I134" s="242" t="str">
        <f>IFERROR(VLOOKUP(WTG_BD[[#This Row],[Affected WTG]],'Basic Data'!$A$3:$E$56,3,0),"")</f>
        <v>MSEDCL</v>
      </c>
      <c r="J134" s="243">
        <f>IFERROR(VLOOKUP(WTG_BD[[#This Row],[Affected WTG]],'Basic Data'!$A$3:$E$56,5,0),"")</f>
        <v>2.564102564102564E-2</v>
      </c>
      <c r="K134" s="158">
        <v>5210</v>
      </c>
      <c r="L134" s="247" t="str">
        <f>VLOOKUP(K134,'Basic Data'!T:U,2,0)</f>
        <v>Failure Of The Contactor's Rotor Power</v>
      </c>
      <c r="M134" s="135" t="s">
        <v>472</v>
      </c>
      <c r="N134" s="256">
        <v>0.13750000000000001</v>
      </c>
      <c r="O134" s="256">
        <v>0.13750000000000001</v>
      </c>
      <c r="P134" s="256">
        <v>0.15138888888888888</v>
      </c>
      <c r="Q134" s="253">
        <f>IF(WTG_BD[[#This Row],[Work Start TimeStamp]]="","",(WTG_BD[[#This Row],[Work Start TimeStamp]]-WTG_BD[[#This Row],[Fault Start TimeStamp]])*24)</f>
        <v>0</v>
      </c>
      <c r="R134" s="253">
        <f>(WTG_BD[[#This Row],[Fault Clearance time]]-WTG_BD[[#This Row],[Work Start TimeStamp]])*24</f>
        <v>0.33333333333333282</v>
      </c>
      <c r="S134" s="253">
        <f>(WTG_BD[[#This Row],[Fault Clearance time]]-WTG_BD[[#This Row],[Fault Start TimeStamp]])*24</f>
        <v>0.33333333333333282</v>
      </c>
      <c r="T134" s="135" t="s">
        <v>476</v>
      </c>
      <c r="U134" s="244" t="s">
        <v>474</v>
      </c>
      <c r="V134" s="246">
        <f>WTG_BD[[#This Row],[Breakdown Time]]*(1/39)</f>
        <v>8.547008547008534E-3</v>
      </c>
      <c r="W134" s="244" t="s">
        <v>127</v>
      </c>
      <c r="X134" s="250">
        <v>153.99999999999977</v>
      </c>
      <c r="Y134" s="135" t="s">
        <v>470</v>
      </c>
      <c r="Z134" s="135" t="s">
        <v>475</v>
      </c>
      <c r="AA134" s="135">
        <v>11088</v>
      </c>
      <c r="AB134" s="249">
        <f>(WTG_BD[[#This Row],[Paired WTG Generation for loss calculation.]]/24)*WTG_BD[[#This Row],[Breakdown Time]]</f>
        <v>153.99999999999977</v>
      </c>
      <c r="AC134" s="135"/>
      <c r="AD134" s="245"/>
      <c r="AE134" s="3"/>
    </row>
    <row r="135" spans="1:31">
      <c r="A135" s="241">
        <f t="shared" si="5"/>
        <v>134</v>
      </c>
      <c r="B135" s="255">
        <v>45749</v>
      </c>
      <c r="C135" s="252">
        <v>2025</v>
      </c>
      <c r="D135" s="252">
        <f>YEAR(WTG_BD[[#This Row],[Date]])</f>
        <v>2025</v>
      </c>
      <c r="E135" s="251">
        <f t="shared" si="4"/>
        <v>45748</v>
      </c>
      <c r="F135" s="252" t="s">
        <v>465</v>
      </c>
      <c r="G135" s="248" t="s">
        <v>126</v>
      </c>
      <c r="H135" s="242" t="str">
        <f>IFERROR(VLOOKUP(WTG_BD[[#This Row],[Affected WTG]],'Basic Data'!$A$3:$E$56,2,0),"")</f>
        <v>PWEGPL</v>
      </c>
      <c r="I135" s="242" t="str">
        <f>IFERROR(VLOOKUP(WTG_BD[[#This Row],[Affected WTG]],'Basic Data'!$A$3:$E$56,3,0),"")</f>
        <v>MSEDCL</v>
      </c>
      <c r="J135" s="243">
        <f>IFERROR(VLOOKUP(WTG_BD[[#This Row],[Affected WTG]],'Basic Data'!$A$3:$E$56,5,0),"")</f>
        <v>2.564102564102564E-2</v>
      </c>
      <c r="K135" s="158">
        <v>5210</v>
      </c>
      <c r="L135" s="247" t="str">
        <f>VLOOKUP(K135,'Basic Data'!T:U,2,0)</f>
        <v>Failure Of The Contactor's Rotor Power</v>
      </c>
      <c r="M135" s="135" t="s">
        <v>472</v>
      </c>
      <c r="N135" s="256">
        <v>0.55277777777777781</v>
      </c>
      <c r="O135" s="256">
        <v>0.55972222222222223</v>
      </c>
      <c r="P135" s="256">
        <v>0.56041666666666667</v>
      </c>
      <c r="Q135" s="253">
        <f>IF(WTG_BD[[#This Row],[Work Start TimeStamp]]="","",(WTG_BD[[#This Row],[Work Start TimeStamp]]-WTG_BD[[#This Row],[Fault Start TimeStamp]])*24)</f>
        <v>0.16666666666666607</v>
      </c>
      <c r="R135" s="253">
        <f>(WTG_BD[[#This Row],[Fault Clearance time]]-WTG_BD[[#This Row],[Work Start TimeStamp]])*24</f>
        <v>1.6666666666666607E-2</v>
      </c>
      <c r="S135" s="253">
        <f>(WTG_BD[[#This Row],[Fault Clearance time]]-WTG_BD[[#This Row],[Fault Start TimeStamp]])*24</f>
        <v>0.18333333333333268</v>
      </c>
      <c r="T135" s="135" t="s">
        <v>473</v>
      </c>
      <c r="U135" s="244" t="s">
        <v>474</v>
      </c>
      <c r="V135" s="246">
        <f>WTG_BD[[#This Row],[Breakdown Time]]*(1/39)</f>
        <v>4.7008547008546842E-3</v>
      </c>
      <c r="W135" s="244" t="s">
        <v>127</v>
      </c>
      <c r="X135" s="250">
        <v>84.699999999999704</v>
      </c>
      <c r="Y135" s="135" t="s">
        <v>470</v>
      </c>
      <c r="Z135" s="135" t="s">
        <v>475</v>
      </c>
      <c r="AA135" s="135">
        <v>11088</v>
      </c>
      <c r="AB135" s="249">
        <f>(WTG_BD[[#This Row],[Paired WTG Generation for loss calculation.]]/24)*WTG_BD[[#This Row],[Breakdown Time]]</f>
        <v>84.699999999999704</v>
      </c>
      <c r="AC135" s="135"/>
      <c r="AD135" s="245"/>
      <c r="AE135" s="3"/>
    </row>
    <row r="136" spans="1:31">
      <c r="A136" s="241">
        <f t="shared" si="5"/>
        <v>135</v>
      </c>
      <c r="B136" s="255">
        <v>45749</v>
      </c>
      <c r="C136" s="252">
        <v>2025</v>
      </c>
      <c r="D136" s="252">
        <f>YEAR(WTG_BD[[#This Row],[Date]])</f>
        <v>2025</v>
      </c>
      <c r="E136" s="251">
        <f t="shared" si="4"/>
        <v>45748</v>
      </c>
      <c r="F136" s="252" t="s">
        <v>465</v>
      </c>
      <c r="G136" s="248" t="s">
        <v>127</v>
      </c>
      <c r="H136" s="242" t="str">
        <f>IFERROR(VLOOKUP(WTG_BD[[#This Row],[Affected WTG]],'Basic Data'!$A$3:$E$56,2,0),"")</f>
        <v>PWEGPL</v>
      </c>
      <c r="I136" s="242" t="str">
        <f>IFERROR(VLOOKUP(WTG_BD[[#This Row],[Affected WTG]],'Basic Data'!$A$3:$E$56,3,0),"")</f>
        <v>MSEDCL</v>
      </c>
      <c r="J136" s="243">
        <f>IFERROR(VLOOKUP(WTG_BD[[#This Row],[Affected WTG]],'Basic Data'!$A$3:$E$56,5,0),"")</f>
        <v>2.564102564102564E-2</v>
      </c>
      <c r="K136" s="158">
        <v>5228</v>
      </c>
      <c r="L136" s="247" t="str">
        <f>VLOOKUP(K136,'Basic Data'!T:U,2,0)</f>
        <v>Preload Failure</v>
      </c>
      <c r="M136" s="135" t="s">
        <v>472</v>
      </c>
      <c r="N136" s="256">
        <v>8.1250000000000003E-2</v>
      </c>
      <c r="O136" s="256">
        <v>0.10416666666666667</v>
      </c>
      <c r="P136" s="256">
        <v>0.14305555555555555</v>
      </c>
      <c r="Q136" s="253">
        <f>IF(WTG_BD[[#This Row],[Work Start TimeStamp]]="","",(WTG_BD[[#This Row],[Work Start TimeStamp]]-WTG_BD[[#This Row],[Fault Start TimeStamp]])*24)</f>
        <v>0.55000000000000004</v>
      </c>
      <c r="R136" s="253">
        <f>(WTG_BD[[#This Row],[Fault Clearance time]]-WTG_BD[[#This Row],[Work Start TimeStamp]])*24</f>
        <v>0.93333333333333302</v>
      </c>
      <c r="S136" s="253">
        <f>(WTG_BD[[#This Row],[Fault Clearance time]]-WTG_BD[[#This Row],[Fault Start TimeStamp]])*24</f>
        <v>1.4833333333333329</v>
      </c>
      <c r="T136" s="135" t="s">
        <v>501</v>
      </c>
      <c r="U136" s="244" t="s">
        <v>474</v>
      </c>
      <c r="V136" s="246">
        <f>WTG_BD[[#This Row],[Breakdown Time]]*(1/39)</f>
        <v>3.8034188034188024E-2</v>
      </c>
      <c r="W136" s="244" t="s">
        <v>128</v>
      </c>
      <c r="X136" s="250">
        <v>780.9749999999998</v>
      </c>
      <c r="Y136" s="135" t="s">
        <v>470</v>
      </c>
      <c r="Z136" s="135" t="s">
        <v>475</v>
      </c>
      <c r="AA136" s="135">
        <v>12636</v>
      </c>
      <c r="AB136" s="249">
        <f>(WTG_BD[[#This Row],[Paired WTG Generation for loss calculation.]]/24)*WTG_BD[[#This Row],[Breakdown Time]]</f>
        <v>780.9749999999998</v>
      </c>
      <c r="AC136" s="135"/>
      <c r="AD136" s="245"/>
      <c r="AE136" s="3"/>
    </row>
    <row r="137" spans="1:31">
      <c r="A137" s="241">
        <f t="shared" si="5"/>
        <v>136</v>
      </c>
      <c r="B137" s="255">
        <v>45749</v>
      </c>
      <c r="C137" s="252">
        <v>2025</v>
      </c>
      <c r="D137" s="252">
        <f>YEAR(WTG_BD[[#This Row],[Date]])</f>
        <v>2025</v>
      </c>
      <c r="E137" s="251">
        <f t="shared" si="4"/>
        <v>45748</v>
      </c>
      <c r="F137" s="252" t="s">
        <v>465</v>
      </c>
      <c r="G137" s="248" t="s">
        <v>127</v>
      </c>
      <c r="H137" s="242" t="str">
        <f>IFERROR(VLOOKUP(WTG_BD[[#This Row],[Affected WTG]],'Basic Data'!$A$3:$E$56,2,0),"")</f>
        <v>PWEGPL</v>
      </c>
      <c r="I137" s="242" t="str">
        <f>IFERROR(VLOOKUP(WTG_BD[[#This Row],[Affected WTG]],'Basic Data'!$A$3:$E$56,3,0),"")</f>
        <v>MSEDCL</v>
      </c>
      <c r="J137" s="243">
        <f>IFERROR(VLOOKUP(WTG_BD[[#This Row],[Affected WTG]],'Basic Data'!$A$3:$E$56,5,0),"")</f>
        <v>2.564102564102564E-2</v>
      </c>
      <c r="K137" s="158">
        <v>500</v>
      </c>
      <c r="L137" s="247" t="str">
        <f>VLOOKUP(K137,'Basic Data'!T:U,2,0)</f>
        <v>High Generator Winding Temperature</v>
      </c>
      <c r="M137" s="135" t="s">
        <v>472</v>
      </c>
      <c r="N137" s="256">
        <v>0.29444444444444445</v>
      </c>
      <c r="O137" s="256">
        <v>0.29444444444444445</v>
      </c>
      <c r="P137" s="256">
        <v>0.29791666666666666</v>
      </c>
      <c r="Q137" s="253">
        <f>IF(WTG_BD[[#This Row],[Work Start TimeStamp]]="","",(WTG_BD[[#This Row],[Work Start TimeStamp]]-WTG_BD[[#This Row],[Fault Start TimeStamp]])*24)</f>
        <v>0</v>
      </c>
      <c r="R137" s="253">
        <f>(WTG_BD[[#This Row],[Fault Clearance time]]-WTG_BD[[#This Row],[Work Start TimeStamp]])*24</f>
        <v>8.3333333333333037E-2</v>
      </c>
      <c r="S137" s="253">
        <f>(WTG_BD[[#This Row],[Fault Clearance time]]-WTG_BD[[#This Row],[Fault Start TimeStamp]])*24</f>
        <v>8.3333333333333037E-2</v>
      </c>
      <c r="T137" s="135" t="s">
        <v>476</v>
      </c>
      <c r="U137" s="244" t="s">
        <v>474</v>
      </c>
      <c r="V137" s="246">
        <f>WTG_BD[[#This Row],[Breakdown Time]]*(1/39)</f>
        <v>2.1367521367521292E-3</v>
      </c>
      <c r="W137" s="244" t="s">
        <v>128</v>
      </c>
      <c r="X137" s="250">
        <v>43.874999999999844</v>
      </c>
      <c r="Y137" s="135" t="s">
        <v>470</v>
      </c>
      <c r="Z137" s="135" t="s">
        <v>475</v>
      </c>
      <c r="AA137" s="135">
        <v>12636</v>
      </c>
      <c r="AB137" s="249">
        <f>(WTG_BD[[#This Row],[Paired WTG Generation for loss calculation.]]/24)*WTG_BD[[#This Row],[Breakdown Time]]</f>
        <v>43.874999999999844</v>
      </c>
      <c r="AC137" s="135"/>
      <c r="AD137" s="245"/>
      <c r="AE137" s="3"/>
    </row>
    <row r="138" spans="1:31">
      <c r="A138" s="241">
        <f t="shared" si="5"/>
        <v>137</v>
      </c>
      <c r="B138" s="255">
        <v>45749</v>
      </c>
      <c r="C138" s="252">
        <v>2025</v>
      </c>
      <c r="D138" s="252">
        <f>YEAR(WTG_BD[[#This Row],[Date]])</f>
        <v>2025</v>
      </c>
      <c r="E138" s="251">
        <f t="shared" si="4"/>
        <v>45748</v>
      </c>
      <c r="F138" s="252" t="s">
        <v>465</v>
      </c>
      <c r="G138" s="248" t="s">
        <v>127</v>
      </c>
      <c r="H138" s="242" t="str">
        <f>IFERROR(VLOOKUP(WTG_BD[[#This Row],[Affected WTG]],'Basic Data'!$A$3:$E$56,2,0),"")</f>
        <v>PWEGPL</v>
      </c>
      <c r="I138" s="242" t="str">
        <f>IFERROR(VLOOKUP(WTG_BD[[#This Row],[Affected WTG]],'Basic Data'!$A$3:$E$56,3,0),"")</f>
        <v>MSEDCL</v>
      </c>
      <c r="J138" s="243">
        <f>IFERROR(VLOOKUP(WTG_BD[[#This Row],[Affected WTG]],'Basic Data'!$A$3:$E$56,5,0),"")</f>
        <v>2.564102564102564E-2</v>
      </c>
      <c r="K138" s="158">
        <v>500</v>
      </c>
      <c r="L138" s="247" t="str">
        <f>VLOOKUP(K138,'Basic Data'!T:U,2,0)</f>
        <v>High Generator Winding Temperature</v>
      </c>
      <c r="M138" s="135" t="s">
        <v>472</v>
      </c>
      <c r="N138" s="256">
        <v>0.30555555555555558</v>
      </c>
      <c r="O138" s="256">
        <v>0.30555555555555558</v>
      </c>
      <c r="P138" s="256">
        <v>0.30902777777777779</v>
      </c>
      <c r="Q138" s="253">
        <f>IF(WTG_BD[[#This Row],[Work Start TimeStamp]]="","",(WTG_BD[[#This Row],[Work Start TimeStamp]]-WTG_BD[[#This Row],[Fault Start TimeStamp]])*24)</f>
        <v>0</v>
      </c>
      <c r="R138" s="253">
        <f>(WTG_BD[[#This Row],[Fault Clearance time]]-WTG_BD[[#This Row],[Work Start TimeStamp]])*24</f>
        <v>8.3333333333333037E-2</v>
      </c>
      <c r="S138" s="253">
        <f>(WTG_BD[[#This Row],[Fault Clearance time]]-WTG_BD[[#This Row],[Fault Start TimeStamp]])*24</f>
        <v>8.3333333333333037E-2</v>
      </c>
      <c r="T138" s="135" t="s">
        <v>476</v>
      </c>
      <c r="U138" s="244" t="s">
        <v>474</v>
      </c>
      <c r="V138" s="246">
        <f>WTG_BD[[#This Row],[Breakdown Time]]*(1/39)</f>
        <v>2.1367521367521292E-3</v>
      </c>
      <c r="W138" s="244" t="s">
        <v>128</v>
      </c>
      <c r="X138" s="250">
        <v>43.874999999999844</v>
      </c>
      <c r="Y138" s="135" t="s">
        <v>470</v>
      </c>
      <c r="Z138" s="135" t="s">
        <v>475</v>
      </c>
      <c r="AA138" s="135">
        <v>12636</v>
      </c>
      <c r="AB138" s="249">
        <f>(WTG_BD[[#This Row],[Paired WTG Generation for loss calculation.]]/24)*WTG_BD[[#This Row],[Breakdown Time]]</f>
        <v>43.874999999999844</v>
      </c>
      <c r="AC138" s="135"/>
      <c r="AD138" s="245"/>
      <c r="AE138" s="3"/>
    </row>
    <row r="139" spans="1:31">
      <c r="A139" s="241">
        <f t="shared" si="5"/>
        <v>138</v>
      </c>
      <c r="B139" s="255">
        <v>45749</v>
      </c>
      <c r="C139" s="252">
        <v>2025</v>
      </c>
      <c r="D139" s="252">
        <f>YEAR(WTG_BD[[#This Row],[Date]])</f>
        <v>2025</v>
      </c>
      <c r="E139" s="251">
        <f t="shared" si="4"/>
        <v>45748</v>
      </c>
      <c r="F139" s="252" t="s">
        <v>465</v>
      </c>
      <c r="G139" s="248" t="s">
        <v>127</v>
      </c>
      <c r="H139" s="242" t="str">
        <f>IFERROR(VLOOKUP(WTG_BD[[#This Row],[Affected WTG]],'Basic Data'!$A$3:$E$56,2,0),"")</f>
        <v>PWEGPL</v>
      </c>
      <c r="I139" s="242" t="str">
        <f>IFERROR(VLOOKUP(WTG_BD[[#This Row],[Affected WTG]],'Basic Data'!$A$3:$E$56,3,0),"")</f>
        <v>MSEDCL</v>
      </c>
      <c r="J139" s="243">
        <f>IFERROR(VLOOKUP(WTG_BD[[#This Row],[Affected WTG]],'Basic Data'!$A$3:$E$56,5,0),"")</f>
        <v>2.564102564102564E-2</v>
      </c>
      <c r="K139" s="158">
        <v>500</v>
      </c>
      <c r="L139" s="247" t="str">
        <f>VLOOKUP(K139,'Basic Data'!T:U,2,0)</f>
        <v>High Generator Winding Temperature</v>
      </c>
      <c r="M139" s="135" t="s">
        <v>472</v>
      </c>
      <c r="N139" s="256">
        <v>0.32430555555555557</v>
      </c>
      <c r="O139" s="256">
        <v>0.32430555555555557</v>
      </c>
      <c r="P139" s="256">
        <v>0.32777777777777778</v>
      </c>
      <c r="Q139" s="253">
        <f>IF(WTG_BD[[#This Row],[Work Start TimeStamp]]="","",(WTG_BD[[#This Row],[Work Start TimeStamp]]-WTG_BD[[#This Row],[Fault Start TimeStamp]])*24)</f>
        <v>0</v>
      </c>
      <c r="R139" s="253">
        <f>(WTG_BD[[#This Row],[Fault Clearance time]]-WTG_BD[[#This Row],[Work Start TimeStamp]])*24</f>
        <v>8.3333333333333037E-2</v>
      </c>
      <c r="S139" s="253">
        <f>(WTG_BD[[#This Row],[Fault Clearance time]]-WTG_BD[[#This Row],[Fault Start TimeStamp]])*24</f>
        <v>8.3333333333333037E-2</v>
      </c>
      <c r="T139" s="135" t="s">
        <v>476</v>
      </c>
      <c r="U139" s="244" t="s">
        <v>474</v>
      </c>
      <c r="V139" s="246">
        <f>WTG_BD[[#This Row],[Breakdown Time]]*(1/39)</f>
        <v>2.1367521367521292E-3</v>
      </c>
      <c r="W139" s="244" t="s">
        <v>128</v>
      </c>
      <c r="X139" s="250">
        <v>43.874999999999844</v>
      </c>
      <c r="Y139" s="135" t="s">
        <v>470</v>
      </c>
      <c r="Z139" s="135" t="s">
        <v>475</v>
      </c>
      <c r="AA139" s="135">
        <v>12636</v>
      </c>
      <c r="AB139" s="249">
        <f>(WTG_BD[[#This Row],[Paired WTG Generation for loss calculation.]]/24)*WTG_BD[[#This Row],[Breakdown Time]]</f>
        <v>43.874999999999844</v>
      </c>
      <c r="AC139" s="135"/>
      <c r="AD139" s="245"/>
      <c r="AE139" s="3"/>
    </row>
    <row r="140" spans="1:31">
      <c r="A140" s="241">
        <f t="shared" si="5"/>
        <v>139</v>
      </c>
      <c r="B140" s="255">
        <v>45749</v>
      </c>
      <c r="C140" s="252">
        <v>2025</v>
      </c>
      <c r="D140" s="252">
        <f>YEAR(WTG_BD[[#This Row],[Date]])</f>
        <v>2025</v>
      </c>
      <c r="E140" s="251">
        <f t="shared" si="4"/>
        <v>45748</v>
      </c>
      <c r="F140" s="252" t="s">
        <v>465</v>
      </c>
      <c r="G140" s="248" t="s">
        <v>127</v>
      </c>
      <c r="H140" s="242" t="str">
        <f>IFERROR(VLOOKUP(WTG_BD[[#This Row],[Affected WTG]],'Basic Data'!$A$3:$E$56,2,0),"")</f>
        <v>PWEGPL</v>
      </c>
      <c r="I140" s="242" t="str">
        <f>IFERROR(VLOOKUP(WTG_BD[[#This Row],[Affected WTG]],'Basic Data'!$A$3:$E$56,3,0),"")</f>
        <v>MSEDCL</v>
      </c>
      <c r="J140" s="243">
        <f>IFERROR(VLOOKUP(WTG_BD[[#This Row],[Affected WTG]],'Basic Data'!$A$3:$E$56,5,0),"")</f>
        <v>2.564102564102564E-2</v>
      </c>
      <c r="K140" s="158">
        <v>500</v>
      </c>
      <c r="L140" s="247" t="str">
        <f>VLOOKUP(K140,'Basic Data'!T:U,2,0)</f>
        <v>High Generator Winding Temperature</v>
      </c>
      <c r="M140" s="135" t="s">
        <v>472</v>
      </c>
      <c r="N140" s="256">
        <v>0.34791666666666665</v>
      </c>
      <c r="O140" s="256">
        <v>0.34791666666666665</v>
      </c>
      <c r="P140" s="256">
        <v>0.36527777777777776</v>
      </c>
      <c r="Q140" s="253">
        <f>IF(WTG_BD[[#This Row],[Work Start TimeStamp]]="","",(WTG_BD[[#This Row],[Work Start TimeStamp]]-WTG_BD[[#This Row],[Fault Start TimeStamp]])*24)</f>
        <v>0</v>
      </c>
      <c r="R140" s="253">
        <f>(WTG_BD[[#This Row],[Fault Clearance time]]-WTG_BD[[#This Row],[Work Start TimeStamp]])*24</f>
        <v>0.41666666666666652</v>
      </c>
      <c r="S140" s="253">
        <f>(WTG_BD[[#This Row],[Fault Clearance time]]-WTG_BD[[#This Row],[Fault Start TimeStamp]])*24</f>
        <v>0.41666666666666652</v>
      </c>
      <c r="T140" s="135" t="s">
        <v>473</v>
      </c>
      <c r="U140" s="244" t="s">
        <v>474</v>
      </c>
      <c r="V140" s="246">
        <f>WTG_BD[[#This Row],[Breakdown Time]]*(1/39)</f>
        <v>1.0683760683760679E-2</v>
      </c>
      <c r="W140" s="244" t="s">
        <v>128</v>
      </c>
      <c r="X140" s="250">
        <v>219.37499999999991</v>
      </c>
      <c r="Y140" s="135" t="s">
        <v>470</v>
      </c>
      <c r="Z140" s="135" t="s">
        <v>475</v>
      </c>
      <c r="AA140" s="135">
        <v>12636</v>
      </c>
      <c r="AB140" s="249">
        <f>(WTG_BD[[#This Row],[Paired WTG Generation for loss calculation.]]/24)*WTG_BD[[#This Row],[Breakdown Time]]</f>
        <v>219.37499999999991</v>
      </c>
      <c r="AC140" s="135"/>
      <c r="AD140" s="245"/>
      <c r="AE140" s="3"/>
    </row>
    <row r="141" spans="1:31">
      <c r="A141" s="241">
        <f t="shared" si="5"/>
        <v>140</v>
      </c>
      <c r="B141" s="255">
        <v>45749</v>
      </c>
      <c r="C141" s="252">
        <v>2025</v>
      </c>
      <c r="D141" s="252">
        <f>YEAR(WTG_BD[[#This Row],[Date]])</f>
        <v>2025</v>
      </c>
      <c r="E141" s="251">
        <f t="shared" si="4"/>
        <v>45748</v>
      </c>
      <c r="F141" s="252" t="s">
        <v>465</v>
      </c>
      <c r="G141" s="248" t="s">
        <v>127</v>
      </c>
      <c r="H141" s="242" t="str">
        <f>IFERROR(VLOOKUP(WTG_BD[[#This Row],[Affected WTG]],'Basic Data'!$A$3:$E$56,2,0),"")</f>
        <v>PWEGPL</v>
      </c>
      <c r="I141" s="242" t="str">
        <f>IFERROR(VLOOKUP(WTG_BD[[#This Row],[Affected WTG]],'Basic Data'!$A$3:$E$56,3,0),"")</f>
        <v>MSEDCL</v>
      </c>
      <c r="J141" s="243">
        <f>IFERROR(VLOOKUP(WTG_BD[[#This Row],[Affected WTG]],'Basic Data'!$A$3:$E$56,5,0),"")</f>
        <v>2.564102564102564E-2</v>
      </c>
      <c r="K141" s="158">
        <v>500</v>
      </c>
      <c r="L141" s="247" t="str">
        <f>VLOOKUP(K141,'Basic Data'!T:U,2,0)</f>
        <v>High Generator Winding Temperature</v>
      </c>
      <c r="M141" s="135" t="s">
        <v>472</v>
      </c>
      <c r="N141" s="256">
        <v>0.4284722222222222</v>
      </c>
      <c r="O141" s="256">
        <v>0.4284722222222222</v>
      </c>
      <c r="P141" s="256">
        <v>0.43194444444444446</v>
      </c>
      <c r="Q141" s="253">
        <f>IF(WTG_BD[[#This Row],[Work Start TimeStamp]]="","",(WTG_BD[[#This Row],[Work Start TimeStamp]]-WTG_BD[[#This Row],[Fault Start TimeStamp]])*24)</f>
        <v>0</v>
      </c>
      <c r="R141" s="253">
        <f>(WTG_BD[[#This Row],[Fault Clearance time]]-WTG_BD[[#This Row],[Work Start TimeStamp]])*24</f>
        <v>8.333333333333437E-2</v>
      </c>
      <c r="S141" s="253">
        <f>(WTG_BD[[#This Row],[Fault Clearance time]]-WTG_BD[[#This Row],[Fault Start TimeStamp]])*24</f>
        <v>8.333333333333437E-2</v>
      </c>
      <c r="T141" s="135" t="s">
        <v>476</v>
      </c>
      <c r="U141" s="244" t="s">
        <v>474</v>
      </c>
      <c r="V141" s="246">
        <f>WTG_BD[[#This Row],[Breakdown Time]]*(1/39)</f>
        <v>2.1367521367521634E-3</v>
      </c>
      <c r="W141" s="244" t="s">
        <v>128</v>
      </c>
      <c r="X141" s="250">
        <v>43.875000000000547</v>
      </c>
      <c r="Y141" s="135" t="s">
        <v>470</v>
      </c>
      <c r="Z141" s="135" t="s">
        <v>475</v>
      </c>
      <c r="AA141" s="135">
        <v>12636</v>
      </c>
      <c r="AB141" s="249">
        <f>(WTG_BD[[#This Row],[Paired WTG Generation for loss calculation.]]/24)*WTG_BD[[#This Row],[Breakdown Time]]</f>
        <v>43.875000000000547</v>
      </c>
      <c r="AC141" s="135"/>
      <c r="AD141" s="245"/>
      <c r="AE141" s="3"/>
    </row>
    <row r="142" spans="1:31">
      <c r="A142" s="241">
        <f t="shared" si="5"/>
        <v>141</v>
      </c>
      <c r="B142" s="255">
        <v>45749</v>
      </c>
      <c r="C142" s="252">
        <v>2025</v>
      </c>
      <c r="D142" s="252">
        <f>YEAR(WTG_BD[[#This Row],[Date]])</f>
        <v>2025</v>
      </c>
      <c r="E142" s="251">
        <f t="shared" si="4"/>
        <v>45748</v>
      </c>
      <c r="F142" s="252" t="s">
        <v>465</v>
      </c>
      <c r="G142" s="248" t="s">
        <v>127</v>
      </c>
      <c r="H142" s="242" t="str">
        <f>IFERROR(VLOOKUP(WTG_BD[[#This Row],[Affected WTG]],'Basic Data'!$A$3:$E$56,2,0),"")</f>
        <v>PWEGPL</v>
      </c>
      <c r="I142" s="242" t="str">
        <f>IFERROR(VLOOKUP(WTG_BD[[#This Row],[Affected WTG]],'Basic Data'!$A$3:$E$56,3,0),"")</f>
        <v>MSEDCL</v>
      </c>
      <c r="J142" s="243">
        <f>IFERROR(VLOOKUP(WTG_BD[[#This Row],[Affected WTG]],'Basic Data'!$A$3:$E$56,5,0),"")</f>
        <v>2.564102564102564E-2</v>
      </c>
      <c r="K142" s="158">
        <v>500</v>
      </c>
      <c r="L142" s="247" t="str">
        <f>VLOOKUP(K142,'Basic Data'!T:U,2,0)</f>
        <v>High Generator Winding Temperature</v>
      </c>
      <c r="M142" s="135" t="s">
        <v>472</v>
      </c>
      <c r="N142" s="256">
        <v>0.44444444444444442</v>
      </c>
      <c r="O142" s="256">
        <v>0.44444444444444442</v>
      </c>
      <c r="P142" s="256">
        <v>0.44791666666666669</v>
      </c>
      <c r="Q142" s="253">
        <f>IF(WTG_BD[[#This Row],[Work Start TimeStamp]]="","",(WTG_BD[[#This Row],[Work Start TimeStamp]]-WTG_BD[[#This Row],[Fault Start TimeStamp]])*24)</f>
        <v>0</v>
      </c>
      <c r="R142" s="253">
        <f>(WTG_BD[[#This Row],[Fault Clearance time]]-WTG_BD[[#This Row],[Work Start TimeStamp]])*24</f>
        <v>8.333333333333437E-2</v>
      </c>
      <c r="S142" s="253">
        <f>(WTG_BD[[#This Row],[Fault Clearance time]]-WTG_BD[[#This Row],[Fault Start TimeStamp]])*24</f>
        <v>8.333333333333437E-2</v>
      </c>
      <c r="T142" s="135" t="s">
        <v>476</v>
      </c>
      <c r="U142" s="244" t="s">
        <v>474</v>
      </c>
      <c r="V142" s="246">
        <f>WTG_BD[[#This Row],[Breakdown Time]]*(1/39)</f>
        <v>2.1367521367521634E-3</v>
      </c>
      <c r="W142" s="244" t="s">
        <v>128</v>
      </c>
      <c r="X142" s="250">
        <v>43.875000000000547</v>
      </c>
      <c r="Y142" s="135" t="s">
        <v>470</v>
      </c>
      <c r="Z142" s="135" t="s">
        <v>475</v>
      </c>
      <c r="AA142" s="135">
        <v>12636</v>
      </c>
      <c r="AB142" s="249">
        <f>(WTG_BD[[#This Row],[Paired WTG Generation for loss calculation.]]/24)*WTG_BD[[#This Row],[Breakdown Time]]</f>
        <v>43.875000000000547</v>
      </c>
      <c r="AC142" s="135"/>
      <c r="AD142" s="245"/>
      <c r="AE142" s="3"/>
    </row>
    <row r="143" spans="1:31">
      <c r="A143" s="241">
        <f t="shared" si="5"/>
        <v>142</v>
      </c>
      <c r="B143" s="255">
        <v>45749</v>
      </c>
      <c r="C143" s="252">
        <v>2025</v>
      </c>
      <c r="D143" s="252">
        <f>YEAR(WTG_BD[[#This Row],[Date]])</f>
        <v>2025</v>
      </c>
      <c r="E143" s="251">
        <f t="shared" si="4"/>
        <v>45748</v>
      </c>
      <c r="F143" s="252" t="s">
        <v>465</v>
      </c>
      <c r="G143" s="248" t="s">
        <v>128</v>
      </c>
      <c r="H143" s="242" t="str">
        <f>IFERROR(VLOOKUP(WTG_BD[[#This Row],[Affected WTG]],'Basic Data'!$A$3:$E$56,2,0),"")</f>
        <v>PWEGPL</v>
      </c>
      <c r="I143" s="242" t="str">
        <f>IFERROR(VLOOKUP(WTG_BD[[#This Row],[Affected WTG]],'Basic Data'!$A$3:$E$56,3,0),"")</f>
        <v>MSEDCL</v>
      </c>
      <c r="J143" s="243">
        <f>IFERROR(VLOOKUP(WTG_BD[[#This Row],[Affected WTG]],'Basic Data'!$A$3:$E$56,5,0),"")</f>
        <v>2.564102564102564E-2</v>
      </c>
      <c r="K143" s="158">
        <v>5201</v>
      </c>
      <c r="L143" s="247" t="str">
        <f>VLOOKUP(K143,'Basic Data'!T:U,2,0)</f>
        <v>Magnetothermic Trigger Of The Stator Protection</v>
      </c>
      <c r="M143" s="135" t="s">
        <v>472</v>
      </c>
      <c r="N143" s="256">
        <v>0</v>
      </c>
      <c r="O143" s="256">
        <v>8.819444444444445E-2</v>
      </c>
      <c r="P143" s="256">
        <v>9.6527777777777782E-2</v>
      </c>
      <c r="Q143" s="253">
        <f>IF(WTG_BD[[#This Row],[Work Start TimeStamp]]="","",(WTG_BD[[#This Row],[Work Start TimeStamp]]-WTG_BD[[#This Row],[Fault Start TimeStamp]])*24)</f>
        <v>2.1166666666666667</v>
      </c>
      <c r="R143" s="253">
        <f>(WTG_BD[[#This Row],[Fault Clearance time]]-WTG_BD[[#This Row],[Work Start TimeStamp]])*24</f>
        <v>0.19999999999999996</v>
      </c>
      <c r="S143" s="253">
        <f>(WTG_BD[[#This Row],[Fault Clearance time]]-WTG_BD[[#This Row],[Fault Start TimeStamp]])*24</f>
        <v>2.3166666666666669</v>
      </c>
      <c r="T143" s="135" t="s">
        <v>473</v>
      </c>
      <c r="U143" s="244" t="s">
        <v>474</v>
      </c>
      <c r="V143" s="246">
        <f>WTG_BD[[#This Row],[Breakdown Time]]*(1/39)</f>
        <v>5.9401709401709406E-2</v>
      </c>
      <c r="W143" s="244" t="s">
        <v>129</v>
      </c>
      <c r="X143" s="250">
        <v>1428.2250000000001</v>
      </c>
      <c r="Y143" s="135" t="s">
        <v>470</v>
      </c>
      <c r="Z143" s="135" t="s">
        <v>475</v>
      </c>
      <c r="AA143" s="135">
        <v>14796</v>
      </c>
      <c r="AB143" s="249">
        <f>(WTG_BD[[#This Row],[Paired WTG Generation for loss calculation.]]/24)*WTG_BD[[#This Row],[Breakdown Time]]</f>
        <v>1428.2250000000001</v>
      </c>
      <c r="AC143" s="135"/>
      <c r="AD143" s="245"/>
      <c r="AE143" s="3"/>
    </row>
    <row r="144" spans="1:31">
      <c r="A144" s="241">
        <f t="shared" si="5"/>
        <v>143</v>
      </c>
      <c r="B144" s="255">
        <v>45749</v>
      </c>
      <c r="C144" s="252">
        <v>2025</v>
      </c>
      <c r="D144" s="252">
        <f>YEAR(WTG_BD[[#This Row],[Date]])</f>
        <v>2025</v>
      </c>
      <c r="E144" s="251">
        <f t="shared" si="4"/>
        <v>45748</v>
      </c>
      <c r="F144" s="252" t="s">
        <v>465</v>
      </c>
      <c r="G144" s="248" t="s">
        <v>130</v>
      </c>
      <c r="H144" s="242" t="str">
        <f>IFERROR(VLOOKUP(WTG_BD[[#This Row],[Affected WTG]],'Basic Data'!$A$3:$E$56,2,0),"")</f>
        <v>PWEGPL</v>
      </c>
      <c r="I144" s="242" t="str">
        <f>IFERROR(VLOOKUP(WTG_BD[[#This Row],[Affected WTG]],'Basic Data'!$A$3:$E$56,3,0),"")</f>
        <v>MSEDCL</v>
      </c>
      <c r="J144" s="243">
        <f>IFERROR(VLOOKUP(WTG_BD[[#This Row],[Affected WTG]],'Basic Data'!$A$3:$E$56,5,0),"")</f>
        <v>2.564102564102564E-2</v>
      </c>
      <c r="K144" s="158">
        <v>2118</v>
      </c>
      <c r="L144" s="247" t="str">
        <f>VLOOKUP(K144,'Basic Data'!T:U,2,0)</f>
        <v>Bus Error - Interbus Failure</v>
      </c>
      <c r="M144" s="135" t="s">
        <v>472</v>
      </c>
      <c r="N144" s="256">
        <v>0</v>
      </c>
      <c r="O144" s="256">
        <v>1.2500000000000001E-2</v>
      </c>
      <c r="P144" s="256">
        <v>1.9444444444444445E-2</v>
      </c>
      <c r="Q144" s="253">
        <f>IF(WTG_BD[[#This Row],[Work Start TimeStamp]]="","",(WTG_BD[[#This Row],[Work Start TimeStamp]]-WTG_BD[[#This Row],[Fault Start TimeStamp]])*24)</f>
        <v>0.30000000000000004</v>
      </c>
      <c r="R144" s="253">
        <f>(WTG_BD[[#This Row],[Fault Clearance time]]-WTG_BD[[#This Row],[Work Start TimeStamp]])*24</f>
        <v>0.16666666666666666</v>
      </c>
      <c r="S144" s="253">
        <f>(WTG_BD[[#This Row],[Fault Clearance time]]-WTG_BD[[#This Row],[Fault Start TimeStamp]])*24</f>
        <v>0.46666666666666667</v>
      </c>
      <c r="T144" s="135" t="s">
        <v>482</v>
      </c>
      <c r="U144" s="244" t="s">
        <v>474</v>
      </c>
      <c r="V144" s="246">
        <f>WTG_BD[[#This Row],[Breakdown Time]]*(1/39)</f>
        <v>1.1965811965811965E-2</v>
      </c>
      <c r="W144" s="244" t="s">
        <v>131</v>
      </c>
      <c r="X144" s="250">
        <v>307.61111111111109</v>
      </c>
      <c r="Y144" s="135" t="s">
        <v>470</v>
      </c>
      <c r="Z144" s="135" t="s">
        <v>475</v>
      </c>
      <c r="AA144" s="135">
        <v>15820</v>
      </c>
      <c r="AB144" s="249">
        <f>(WTG_BD[[#This Row],[Paired WTG Generation for loss calculation.]]/24)*WTG_BD[[#This Row],[Breakdown Time]]</f>
        <v>307.61111111111109</v>
      </c>
      <c r="AC144" s="135"/>
      <c r="AD144" s="245"/>
      <c r="AE144" s="3"/>
    </row>
    <row r="145" spans="1:31">
      <c r="A145" s="241">
        <f t="shared" si="5"/>
        <v>144</v>
      </c>
      <c r="B145" s="255">
        <v>45749</v>
      </c>
      <c r="C145" s="252">
        <v>2025</v>
      </c>
      <c r="D145" s="252">
        <f>YEAR(WTG_BD[[#This Row],[Date]])</f>
        <v>2025</v>
      </c>
      <c r="E145" s="251">
        <f t="shared" si="4"/>
        <v>45748</v>
      </c>
      <c r="F145" s="252" t="s">
        <v>465</v>
      </c>
      <c r="G145" s="248" t="s">
        <v>130</v>
      </c>
      <c r="H145" s="242" t="str">
        <f>IFERROR(VLOOKUP(WTG_BD[[#This Row],[Affected WTG]],'Basic Data'!$A$3:$E$56,2,0),"")</f>
        <v>PWEGPL</v>
      </c>
      <c r="I145" s="242" t="str">
        <f>IFERROR(VLOOKUP(WTG_BD[[#This Row],[Affected WTG]],'Basic Data'!$A$3:$E$56,3,0),"")</f>
        <v>MSEDCL</v>
      </c>
      <c r="J145" s="243">
        <f>IFERROR(VLOOKUP(WTG_BD[[#This Row],[Affected WTG]],'Basic Data'!$A$3:$E$56,5,0),"")</f>
        <v>2.564102564102564E-2</v>
      </c>
      <c r="K145" s="158">
        <v>444</v>
      </c>
      <c r="L145" s="247" t="str">
        <f>VLOOKUP(K145,'Basic Data'!T:U,2,0)</f>
        <v>Gearbox Pump Thermal Relay Triggered and High Gearbox Oil Temperature</v>
      </c>
      <c r="M145" s="135" t="s">
        <v>472</v>
      </c>
      <c r="N145" s="256">
        <v>0.14166666666666666</v>
      </c>
      <c r="O145" s="256">
        <v>0.14166666666666666</v>
      </c>
      <c r="P145" s="256">
        <v>0.38055555555555554</v>
      </c>
      <c r="Q145" s="253">
        <f>IF(WTG_BD[[#This Row],[Work Start TimeStamp]]="","",(WTG_BD[[#This Row],[Work Start TimeStamp]]-WTG_BD[[#This Row],[Fault Start TimeStamp]])*24)</f>
        <v>0</v>
      </c>
      <c r="R145" s="253">
        <f>(WTG_BD[[#This Row],[Fault Clearance time]]-WTG_BD[[#This Row],[Work Start TimeStamp]])*24</f>
        <v>5.7333333333333325</v>
      </c>
      <c r="S145" s="253">
        <f>(WTG_BD[[#This Row],[Fault Clearance time]]-WTG_BD[[#This Row],[Fault Start TimeStamp]])*24</f>
        <v>5.7333333333333325</v>
      </c>
      <c r="T145" s="135" t="s">
        <v>473</v>
      </c>
      <c r="U145" s="244" t="s">
        <v>474</v>
      </c>
      <c r="V145" s="246">
        <f>WTG_BD[[#This Row],[Breakdown Time]]*(1/39)</f>
        <v>0.14700854700854699</v>
      </c>
      <c r="W145" s="244" t="s">
        <v>131</v>
      </c>
      <c r="X145" s="250">
        <v>3779.2222222222213</v>
      </c>
      <c r="Y145" s="135" t="s">
        <v>470</v>
      </c>
      <c r="Z145" s="135" t="s">
        <v>475</v>
      </c>
      <c r="AA145" s="135">
        <v>15820</v>
      </c>
      <c r="AB145" s="249">
        <f>(WTG_BD[[#This Row],[Paired WTG Generation for loss calculation.]]/24)*WTG_BD[[#This Row],[Breakdown Time]]</f>
        <v>3779.2222222222213</v>
      </c>
      <c r="AC145" s="135"/>
      <c r="AD145" s="245"/>
      <c r="AE145" s="3"/>
    </row>
    <row r="146" spans="1:31">
      <c r="A146" s="241">
        <f t="shared" si="5"/>
        <v>145</v>
      </c>
      <c r="B146" s="255">
        <v>45749</v>
      </c>
      <c r="C146" s="252">
        <v>2025</v>
      </c>
      <c r="D146" s="252">
        <f>YEAR(WTG_BD[[#This Row],[Date]])</f>
        <v>2025</v>
      </c>
      <c r="E146" s="251">
        <f t="shared" si="4"/>
        <v>45748</v>
      </c>
      <c r="F146" s="252" t="s">
        <v>465</v>
      </c>
      <c r="G146" s="248" t="s">
        <v>130</v>
      </c>
      <c r="H146" s="242" t="str">
        <f>IFERROR(VLOOKUP(WTG_BD[[#This Row],[Affected WTG]],'Basic Data'!$A$3:$E$56,2,0),"")</f>
        <v>PWEGPL</v>
      </c>
      <c r="I146" s="242" t="str">
        <f>IFERROR(VLOOKUP(WTG_BD[[#This Row],[Affected WTG]],'Basic Data'!$A$3:$E$56,3,0),"")</f>
        <v>MSEDCL</v>
      </c>
      <c r="J146" s="243">
        <f>IFERROR(VLOOKUP(WTG_BD[[#This Row],[Affected WTG]],'Basic Data'!$A$3:$E$56,5,0),"")</f>
        <v>2.564102564102564E-2</v>
      </c>
      <c r="K146" s="158">
        <v>412</v>
      </c>
      <c r="L146" s="247" t="str">
        <f>VLOOKUP(K146,'Basic Data'!T:U,2,0)</f>
        <v>Gearbox Fan Thermal Relays</v>
      </c>
      <c r="M146" s="135" t="s">
        <v>472</v>
      </c>
      <c r="N146" s="256">
        <v>0.3840277777777778</v>
      </c>
      <c r="O146" s="256">
        <v>0.3840277777777778</v>
      </c>
      <c r="P146" s="256">
        <v>0.50069444444444444</v>
      </c>
      <c r="Q146" s="253">
        <f>IF(WTG_BD[[#This Row],[Work Start TimeStamp]]="","",(WTG_BD[[#This Row],[Work Start TimeStamp]]-WTG_BD[[#This Row],[Fault Start TimeStamp]])*24)</f>
        <v>0</v>
      </c>
      <c r="R146" s="253">
        <f>(WTG_BD[[#This Row],[Fault Clearance time]]-WTG_BD[[#This Row],[Work Start TimeStamp]])*24</f>
        <v>2.7999999999999994</v>
      </c>
      <c r="S146" s="253">
        <f>(WTG_BD[[#This Row],[Fault Clearance time]]-WTG_BD[[#This Row],[Fault Start TimeStamp]])*24</f>
        <v>2.7999999999999994</v>
      </c>
      <c r="T146" s="135" t="s">
        <v>473</v>
      </c>
      <c r="U146" s="244" t="s">
        <v>474</v>
      </c>
      <c r="V146" s="246">
        <f>WTG_BD[[#This Row],[Breakdown Time]]*(1/39)</f>
        <v>7.1794871794871776E-2</v>
      </c>
      <c r="W146" s="244" t="s">
        <v>131</v>
      </c>
      <c r="X146" s="250">
        <v>1845.6666666666661</v>
      </c>
      <c r="Y146" s="135" t="s">
        <v>470</v>
      </c>
      <c r="Z146" s="135" t="s">
        <v>475</v>
      </c>
      <c r="AA146" s="135">
        <v>15820</v>
      </c>
      <c r="AB146" s="249">
        <f>(WTG_BD[[#This Row],[Paired WTG Generation for loss calculation.]]/24)*WTG_BD[[#This Row],[Breakdown Time]]</f>
        <v>1845.6666666666661</v>
      </c>
      <c r="AC146" s="135"/>
      <c r="AD146" s="245"/>
      <c r="AE146" s="3"/>
    </row>
    <row r="147" spans="1:31">
      <c r="A147" s="241">
        <f t="shared" si="5"/>
        <v>146</v>
      </c>
      <c r="B147" s="255">
        <v>45749</v>
      </c>
      <c r="C147" s="252">
        <v>2025</v>
      </c>
      <c r="D147" s="252">
        <f>YEAR(WTG_BD[[#This Row],[Date]])</f>
        <v>2025</v>
      </c>
      <c r="E147" s="251">
        <f t="shared" si="4"/>
        <v>45748</v>
      </c>
      <c r="F147" s="252" t="s">
        <v>465</v>
      </c>
      <c r="G147" s="248" t="s">
        <v>131</v>
      </c>
      <c r="H147" s="242" t="str">
        <f>IFERROR(VLOOKUP(WTG_BD[[#This Row],[Affected WTG]],'Basic Data'!$A$3:$E$56,2,0),"")</f>
        <v>PWEGPL</v>
      </c>
      <c r="I147" s="242" t="str">
        <f>IFERROR(VLOOKUP(WTG_BD[[#This Row],[Affected WTG]],'Basic Data'!$A$3:$E$56,3,0),"")</f>
        <v>MSEDCL</v>
      </c>
      <c r="J147" s="243">
        <f>IFERROR(VLOOKUP(WTG_BD[[#This Row],[Affected WTG]],'Basic Data'!$A$3:$E$56,5,0),"")</f>
        <v>2.564102564102564E-2</v>
      </c>
      <c r="K147" s="158">
        <v>5201</v>
      </c>
      <c r="L147" s="247" t="str">
        <f>VLOOKUP(K147,'Basic Data'!T:U,2,0)</f>
        <v>Magnetothermic Trigger Of The Stator Protection</v>
      </c>
      <c r="M147" s="135" t="s">
        <v>472</v>
      </c>
      <c r="N147" s="256">
        <v>0</v>
      </c>
      <c r="O147" s="256">
        <v>2.7083333333333334E-2</v>
      </c>
      <c r="P147" s="256">
        <v>4.2361111111111113E-2</v>
      </c>
      <c r="Q147" s="253">
        <f>IF(WTG_BD[[#This Row],[Work Start TimeStamp]]="","",(WTG_BD[[#This Row],[Work Start TimeStamp]]-WTG_BD[[#This Row],[Fault Start TimeStamp]])*24)</f>
        <v>0.65</v>
      </c>
      <c r="R147" s="253">
        <f>(WTG_BD[[#This Row],[Fault Clearance time]]-WTG_BD[[#This Row],[Work Start TimeStamp]])*24</f>
        <v>0.3666666666666667</v>
      </c>
      <c r="S147" s="253">
        <f>(WTG_BD[[#This Row],[Fault Clearance time]]-WTG_BD[[#This Row],[Fault Start TimeStamp]])*24</f>
        <v>1.0166666666666666</v>
      </c>
      <c r="T147" s="135" t="s">
        <v>482</v>
      </c>
      <c r="U147" s="244" t="s">
        <v>474</v>
      </c>
      <c r="V147" s="246">
        <f>WTG_BD[[#This Row],[Breakdown Time]]*(1/39)</f>
        <v>2.6068376068376066E-2</v>
      </c>
      <c r="W147" s="244" t="s">
        <v>130</v>
      </c>
      <c r="X147" s="250">
        <v>298.05277777777781</v>
      </c>
      <c r="Y147" s="135" t="s">
        <v>470</v>
      </c>
      <c r="Z147" s="135" t="s">
        <v>475</v>
      </c>
      <c r="AA147" s="135">
        <v>7036</v>
      </c>
      <c r="AB147" s="249">
        <f>(WTG_BD[[#This Row],[Paired WTG Generation for loss calculation.]]/24)*WTG_BD[[#This Row],[Breakdown Time]]</f>
        <v>298.05277777777781</v>
      </c>
      <c r="AC147" s="135"/>
      <c r="AD147" s="245"/>
      <c r="AE147" s="3"/>
    </row>
    <row r="148" spans="1:31">
      <c r="A148" s="241">
        <f t="shared" si="5"/>
        <v>147</v>
      </c>
      <c r="B148" s="255">
        <v>45749</v>
      </c>
      <c r="C148" s="252">
        <v>2025</v>
      </c>
      <c r="D148" s="252">
        <f>YEAR(WTG_BD[[#This Row],[Date]])</f>
        <v>2025</v>
      </c>
      <c r="E148" s="251">
        <f t="shared" si="4"/>
        <v>45748</v>
      </c>
      <c r="F148" s="252" t="s">
        <v>465</v>
      </c>
      <c r="G148" s="248" t="s">
        <v>131</v>
      </c>
      <c r="H148" s="242" t="str">
        <f>IFERROR(VLOOKUP(WTG_BD[[#This Row],[Affected WTG]],'Basic Data'!$A$3:$E$56,2,0),"")</f>
        <v>PWEGPL</v>
      </c>
      <c r="I148" s="242" t="str">
        <f>IFERROR(VLOOKUP(WTG_BD[[#This Row],[Affected WTG]],'Basic Data'!$A$3:$E$56,3,0),"")</f>
        <v>MSEDCL</v>
      </c>
      <c r="J148" s="243">
        <f>IFERROR(VLOOKUP(WTG_BD[[#This Row],[Affected WTG]],'Basic Data'!$A$3:$E$56,5,0),"")</f>
        <v>2.564102564102564E-2</v>
      </c>
      <c r="K148" s="158">
        <v>5201</v>
      </c>
      <c r="L148" s="247" t="str">
        <f>VLOOKUP(K148,'Basic Data'!T:U,2,0)</f>
        <v>Magnetothermic Trigger Of The Stator Protection</v>
      </c>
      <c r="M148" s="135" t="s">
        <v>472</v>
      </c>
      <c r="N148" s="256">
        <v>0.33611111111111114</v>
      </c>
      <c r="O148" s="256">
        <v>0.33611111111111114</v>
      </c>
      <c r="P148" s="256">
        <v>0.33958333333333335</v>
      </c>
      <c r="Q148" s="253">
        <f>IF(WTG_BD[[#This Row],[Work Start TimeStamp]]="","",(WTG_BD[[#This Row],[Work Start TimeStamp]]-WTG_BD[[#This Row],[Fault Start TimeStamp]])*24)</f>
        <v>0</v>
      </c>
      <c r="R148" s="253">
        <f>(WTG_BD[[#This Row],[Fault Clearance time]]-WTG_BD[[#This Row],[Work Start TimeStamp]])*24</f>
        <v>8.3333333333333037E-2</v>
      </c>
      <c r="S148" s="253">
        <f>(WTG_BD[[#This Row],[Fault Clearance time]]-WTG_BD[[#This Row],[Fault Start TimeStamp]])*24</f>
        <v>8.3333333333333037E-2</v>
      </c>
      <c r="T148" s="135" t="s">
        <v>476</v>
      </c>
      <c r="U148" s="244" t="s">
        <v>474</v>
      </c>
      <c r="V148" s="246">
        <f>WTG_BD[[#This Row],[Breakdown Time]]*(1/39)</f>
        <v>2.1367521367521292E-3</v>
      </c>
      <c r="W148" s="244" t="s">
        <v>130</v>
      </c>
      <c r="X148" s="250">
        <v>24.430555555555472</v>
      </c>
      <c r="Y148" s="135" t="s">
        <v>470</v>
      </c>
      <c r="Z148" s="135" t="s">
        <v>475</v>
      </c>
      <c r="AA148" s="135">
        <v>7036</v>
      </c>
      <c r="AB148" s="249">
        <f>(WTG_BD[[#This Row],[Paired WTG Generation for loss calculation.]]/24)*WTG_BD[[#This Row],[Breakdown Time]]</f>
        <v>24.430555555555472</v>
      </c>
      <c r="AC148" s="135"/>
      <c r="AD148" s="245"/>
      <c r="AE148" s="3"/>
    </row>
    <row r="149" spans="1:31">
      <c r="A149" s="241">
        <f t="shared" si="5"/>
        <v>148</v>
      </c>
      <c r="B149" s="255">
        <v>45749</v>
      </c>
      <c r="C149" s="252">
        <v>2025</v>
      </c>
      <c r="D149" s="252">
        <f>YEAR(WTG_BD[[#This Row],[Date]])</f>
        <v>2025</v>
      </c>
      <c r="E149" s="251">
        <f t="shared" si="4"/>
        <v>45748</v>
      </c>
      <c r="F149" s="252" t="s">
        <v>465</v>
      </c>
      <c r="G149" s="248" t="s">
        <v>132</v>
      </c>
      <c r="H149" s="242" t="str">
        <f>IFERROR(VLOOKUP(WTG_BD[[#This Row],[Affected WTG]],'Basic Data'!$A$3:$E$56,2,0),"")</f>
        <v>PWEGPL</v>
      </c>
      <c r="I149" s="242" t="str">
        <f>IFERROR(VLOOKUP(WTG_BD[[#This Row],[Affected WTG]],'Basic Data'!$A$3:$E$56,3,0),"")</f>
        <v>MSEDCL</v>
      </c>
      <c r="J149" s="243">
        <f>IFERROR(VLOOKUP(WTG_BD[[#This Row],[Affected WTG]],'Basic Data'!$A$3:$E$56,5,0),"")</f>
        <v>2.564102564102564E-2</v>
      </c>
      <c r="K149" s="158">
        <v>812</v>
      </c>
      <c r="L149" s="247" t="str">
        <f>VLOOKUP(K149,'Basic Data'!T:U,2,0)</f>
        <v>Blade Position Meas. Error</v>
      </c>
      <c r="M149" s="135" t="s">
        <v>472</v>
      </c>
      <c r="N149" s="256">
        <v>0.33958333333333335</v>
      </c>
      <c r="O149" s="256">
        <v>0.33958333333333335</v>
      </c>
      <c r="P149" s="256">
        <v>0.34305555555555556</v>
      </c>
      <c r="Q149" s="253">
        <f>IF(WTG_BD[[#This Row],[Work Start TimeStamp]]="","",(WTG_BD[[#This Row],[Work Start TimeStamp]]-WTG_BD[[#This Row],[Fault Start TimeStamp]])*24)</f>
        <v>0</v>
      </c>
      <c r="R149" s="253">
        <f>(WTG_BD[[#This Row],[Fault Clearance time]]-WTG_BD[[#This Row],[Work Start TimeStamp]])*24</f>
        <v>8.3333333333333037E-2</v>
      </c>
      <c r="S149" s="253">
        <f>(WTG_BD[[#This Row],[Fault Clearance time]]-WTG_BD[[#This Row],[Fault Start TimeStamp]])*24</f>
        <v>8.3333333333333037E-2</v>
      </c>
      <c r="T149" s="135" t="s">
        <v>476</v>
      </c>
      <c r="U149" s="244" t="s">
        <v>474</v>
      </c>
      <c r="V149" s="246">
        <f>WTG_BD[[#This Row],[Breakdown Time]]*(1/39)</f>
        <v>2.1367521367521292E-3</v>
      </c>
      <c r="W149" s="244" t="s">
        <v>133</v>
      </c>
      <c r="X149" s="250">
        <v>60.395833333333115</v>
      </c>
      <c r="Y149" s="135" t="s">
        <v>470</v>
      </c>
      <c r="Z149" s="135" t="s">
        <v>475</v>
      </c>
      <c r="AA149" s="135">
        <v>17394</v>
      </c>
      <c r="AB149" s="249">
        <f>(WTG_BD[[#This Row],[Paired WTG Generation for loss calculation.]]/24)*WTG_BD[[#This Row],[Breakdown Time]]</f>
        <v>60.395833333333115</v>
      </c>
      <c r="AC149" s="135"/>
      <c r="AD149" s="245"/>
      <c r="AE149" s="3"/>
    </row>
    <row r="150" spans="1:31">
      <c r="A150" s="241">
        <f t="shared" si="5"/>
        <v>149</v>
      </c>
      <c r="B150" s="255">
        <v>45749</v>
      </c>
      <c r="C150" s="252">
        <v>2025</v>
      </c>
      <c r="D150" s="252">
        <f>YEAR(WTG_BD[[#This Row],[Date]])</f>
        <v>2025</v>
      </c>
      <c r="E150" s="251">
        <f t="shared" si="4"/>
        <v>45748</v>
      </c>
      <c r="F150" s="252" t="s">
        <v>465</v>
      </c>
      <c r="G150" s="248" t="s">
        <v>136</v>
      </c>
      <c r="H150" s="242" t="str">
        <f>IFERROR(VLOOKUP(WTG_BD[[#This Row],[Affected WTG]],'Basic Data'!$A$3:$E$56,2,0),"")</f>
        <v>PWEGPL</v>
      </c>
      <c r="I150" s="242" t="str">
        <f>IFERROR(VLOOKUP(WTG_BD[[#This Row],[Affected WTG]],'Basic Data'!$A$3:$E$56,3,0),"")</f>
        <v>MSEDCL</v>
      </c>
      <c r="J150" s="243">
        <f>IFERROR(VLOOKUP(WTG_BD[[#This Row],[Affected WTG]],'Basic Data'!$A$3:$E$56,5,0),"")</f>
        <v>2.564102564102564E-2</v>
      </c>
      <c r="K150" s="158">
        <v>5228</v>
      </c>
      <c r="L150" s="247" t="str">
        <f>VLOOKUP(K150,'Basic Data'!T:U,2,0)</f>
        <v>Preload Failure</v>
      </c>
      <c r="M150" s="135" t="s">
        <v>472</v>
      </c>
      <c r="N150" s="256">
        <v>0</v>
      </c>
      <c r="O150" s="256">
        <v>0.43472222222222223</v>
      </c>
      <c r="P150" s="256">
        <v>0.45416666666666666</v>
      </c>
      <c r="Q150" s="253">
        <f>IF(WTG_BD[[#This Row],[Work Start TimeStamp]]="","",(WTG_BD[[#This Row],[Work Start TimeStamp]]-WTG_BD[[#This Row],[Fault Start TimeStamp]])*24)</f>
        <v>10.433333333333334</v>
      </c>
      <c r="R150" s="253">
        <f>(WTG_BD[[#This Row],[Fault Clearance time]]-WTG_BD[[#This Row],[Work Start TimeStamp]])*24</f>
        <v>0.46666666666666634</v>
      </c>
      <c r="S150" s="253">
        <f>(WTG_BD[[#This Row],[Fault Clearance time]]-WTG_BD[[#This Row],[Fault Start TimeStamp]])*24</f>
        <v>10.9</v>
      </c>
      <c r="T150" s="135" t="s">
        <v>502</v>
      </c>
      <c r="U150" s="244" t="s">
        <v>474</v>
      </c>
      <c r="V150" s="246">
        <f>WTG_BD[[#This Row],[Breakdown Time]]*(1/39)</f>
        <v>0.27948717948717949</v>
      </c>
      <c r="W150" s="244" t="s">
        <v>119</v>
      </c>
      <c r="X150" s="250">
        <v>5241.083333333333</v>
      </c>
      <c r="Y150" s="135" t="s">
        <v>470</v>
      </c>
      <c r="Z150" s="135" t="s">
        <v>475</v>
      </c>
      <c r="AA150" s="135">
        <v>11540</v>
      </c>
      <c r="AB150" s="249">
        <f>(WTG_BD[[#This Row],[Paired WTG Generation for loss calculation.]]/24)*WTG_BD[[#This Row],[Breakdown Time]]</f>
        <v>5241.083333333333</v>
      </c>
      <c r="AC150" s="135"/>
      <c r="AD150" s="245"/>
      <c r="AE150" s="3"/>
    </row>
    <row r="151" spans="1:31">
      <c r="A151" s="241">
        <f t="shared" si="5"/>
        <v>150</v>
      </c>
      <c r="B151" s="255">
        <v>45749</v>
      </c>
      <c r="C151" s="252">
        <v>2025</v>
      </c>
      <c r="D151" s="252">
        <f>YEAR(WTG_BD[[#This Row],[Date]])</f>
        <v>2025</v>
      </c>
      <c r="E151" s="251">
        <f t="shared" si="4"/>
        <v>45748</v>
      </c>
      <c r="F151" s="252" t="s">
        <v>465</v>
      </c>
      <c r="G151" s="248" t="s">
        <v>136</v>
      </c>
      <c r="H151" s="242" t="str">
        <f>IFERROR(VLOOKUP(WTG_BD[[#This Row],[Affected WTG]],'Basic Data'!$A$3:$E$56,2,0),"")</f>
        <v>PWEGPL</v>
      </c>
      <c r="I151" s="242" t="str">
        <f>IFERROR(VLOOKUP(WTG_BD[[#This Row],[Affected WTG]],'Basic Data'!$A$3:$E$56,3,0),"")</f>
        <v>MSEDCL</v>
      </c>
      <c r="J151" s="243">
        <f>IFERROR(VLOOKUP(WTG_BD[[#This Row],[Affected WTG]],'Basic Data'!$A$3:$E$56,5,0),"")</f>
        <v>2.564102564102564E-2</v>
      </c>
      <c r="K151" s="158">
        <v>800</v>
      </c>
      <c r="L151" s="247" t="str">
        <f>VLOOKUP(K151,'Basic Data'!T:U,2,0)</f>
        <v>Pitch Drive Error</v>
      </c>
      <c r="M151" s="135" t="s">
        <v>472</v>
      </c>
      <c r="N151" s="256">
        <v>0.50972222222222219</v>
      </c>
      <c r="O151" s="256">
        <v>0.50972222222222219</v>
      </c>
      <c r="P151" s="256">
        <v>0.51666666666666672</v>
      </c>
      <c r="Q151" s="253">
        <f>IF(WTG_BD[[#This Row],[Work Start TimeStamp]]="","",(WTG_BD[[#This Row],[Work Start TimeStamp]]-WTG_BD[[#This Row],[Fault Start TimeStamp]])*24)</f>
        <v>0</v>
      </c>
      <c r="R151" s="253">
        <f>(WTG_BD[[#This Row],[Fault Clearance time]]-WTG_BD[[#This Row],[Work Start TimeStamp]])*24</f>
        <v>0.16666666666666874</v>
      </c>
      <c r="S151" s="253">
        <f>(WTG_BD[[#This Row],[Fault Clearance time]]-WTG_BD[[#This Row],[Fault Start TimeStamp]])*24</f>
        <v>0.16666666666666874</v>
      </c>
      <c r="T151" s="135" t="s">
        <v>476</v>
      </c>
      <c r="U151" s="244" t="s">
        <v>474</v>
      </c>
      <c r="V151" s="246">
        <f>WTG_BD[[#This Row],[Breakdown Time]]*(1/39)</f>
        <v>4.2735042735043268E-3</v>
      </c>
      <c r="W151" s="244" t="s">
        <v>119</v>
      </c>
      <c r="X151" s="250">
        <v>80.13888888888988</v>
      </c>
      <c r="Y151" s="135" t="s">
        <v>470</v>
      </c>
      <c r="Z151" s="135" t="s">
        <v>475</v>
      </c>
      <c r="AA151" s="135">
        <v>11540</v>
      </c>
      <c r="AB151" s="249">
        <f>(WTG_BD[[#This Row],[Paired WTG Generation for loss calculation.]]/24)*WTG_BD[[#This Row],[Breakdown Time]]</f>
        <v>80.13888888888988</v>
      </c>
      <c r="AC151" s="135"/>
      <c r="AD151" s="245"/>
      <c r="AE151" s="3"/>
    </row>
    <row r="152" spans="1:31">
      <c r="A152" s="241">
        <f t="shared" si="5"/>
        <v>151</v>
      </c>
      <c r="B152" s="255">
        <v>45749</v>
      </c>
      <c r="C152" s="252">
        <v>2025</v>
      </c>
      <c r="D152" s="252">
        <f>YEAR(WTG_BD[[#This Row],[Date]])</f>
        <v>2025</v>
      </c>
      <c r="E152" s="251">
        <f t="shared" si="4"/>
        <v>45748</v>
      </c>
      <c r="F152" s="252" t="s">
        <v>465</v>
      </c>
      <c r="G152" s="248" t="s">
        <v>136</v>
      </c>
      <c r="H152" s="242" t="str">
        <f>IFERROR(VLOOKUP(WTG_BD[[#This Row],[Affected WTG]],'Basic Data'!$A$3:$E$56,2,0),"")</f>
        <v>PWEGPL</v>
      </c>
      <c r="I152" s="242" t="str">
        <f>IFERROR(VLOOKUP(WTG_BD[[#This Row],[Affected WTG]],'Basic Data'!$A$3:$E$56,3,0),"")</f>
        <v>MSEDCL</v>
      </c>
      <c r="J152" s="243">
        <f>IFERROR(VLOOKUP(WTG_BD[[#This Row],[Affected WTG]],'Basic Data'!$A$3:$E$56,5,0),"")</f>
        <v>2.564102564102564E-2</v>
      </c>
      <c r="K152" s="158">
        <v>5201</v>
      </c>
      <c r="L152" s="247" t="str">
        <f>VLOOKUP(K152,'Basic Data'!T:U,2,0)</f>
        <v>Magnetothermic Trigger Of The Stator Protection</v>
      </c>
      <c r="M152" s="135" t="s">
        <v>472</v>
      </c>
      <c r="N152" s="256">
        <v>0.56874999999999998</v>
      </c>
      <c r="O152" s="256">
        <v>0.56874999999999998</v>
      </c>
      <c r="P152" s="256">
        <v>0.61736111111111114</v>
      </c>
      <c r="Q152" s="253">
        <f>IF(WTG_BD[[#This Row],[Work Start TimeStamp]]="","",(WTG_BD[[#This Row],[Work Start TimeStamp]]-WTG_BD[[#This Row],[Fault Start TimeStamp]])*24)</f>
        <v>0</v>
      </c>
      <c r="R152" s="253">
        <f>(WTG_BD[[#This Row],[Fault Clearance time]]-WTG_BD[[#This Row],[Work Start TimeStamp]])*24</f>
        <v>1.1666666666666679</v>
      </c>
      <c r="S152" s="253">
        <f>(WTG_BD[[#This Row],[Fault Clearance time]]-WTG_BD[[#This Row],[Fault Start TimeStamp]])*24</f>
        <v>1.1666666666666679</v>
      </c>
      <c r="T152" s="135" t="s">
        <v>473</v>
      </c>
      <c r="U152" s="244" t="s">
        <v>474</v>
      </c>
      <c r="V152" s="246">
        <f>WTG_BD[[#This Row],[Breakdown Time]]*(1/39)</f>
        <v>2.9914529914529944E-2</v>
      </c>
      <c r="W152" s="244" t="s">
        <v>119</v>
      </c>
      <c r="X152" s="250">
        <v>560.97222222222274</v>
      </c>
      <c r="Y152" s="135" t="s">
        <v>470</v>
      </c>
      <c r="Z152" s="135" t="s">
        <v>475</v>
      </c>
      <c r="AA152" s="135">
        <v>11540</v>
      </c>
      <c r="AB152" s="249">
        <f>(WTG_BD[[#This Row],[Paired WTG Generation for loss calculation.]]/24)*WTG_BD[[#This Row],[Breakdown Time]]</f>
        <v>560.97222222222274</v>
      </c>
      <c r="AC152" s="135"/>
      <c r="AD152" s="245"/>
      <c r="AE152" s="3"/>
    </row>
    <row r="153" spans="1:31">
      <c r="A153" s="241">
        <f t="shared" si="5"/>
        <v>152</v>
      </c>
      <c r="B153" s="255">
        <v>45749</v>
      </c>
      <c r="C153" s="252">
        <v>2025</v>
      </c>
      <c r="D153" s="252">
        <f>YEAR(WTG_BD[[#This Row],[Date]])</f>
        <v>2025</v>
      </c>
      <c r="E153" s="251">
        <f t="shared" si="4"/>
        <v>45748</v>
      </c>
      <c r="F153" s="252" t="s">
        <v>465</v>
      </c>
      <c r="G153" s="248" t="s">
        <v>136</v>
      </c>
      <c r="H153" s="242" t="str">
        <f>IFERROR(VLOOKUP(WTG_BD[[#This Row],[Affected WTG]],'Basic Data'!$A$3:$E$56,2,0),"")</f>
        <v>PWEGPL</v>
      </c>
      <c r="I153" s="242" t="str">
        <f>IFERROR(VLOOKUP(WTG_BD[[#This Row],[Affected WTG]],'Basic Data'!$A$3:$E$56,3,0),"")</f>
        <v>MSEDCL</v>
      </c>
      <c r="J153" s="243">
        <f>IFERROR(VLOOKUP(WTG_BD[[#This Row],[Affected WTG]],'Basic Data'!$A$3:$E$56,5,0),"")</f>
        <v>2.564102564102564E-2</v>
      </c>
      <c r="K153" s="158" t="s">
        <v>466</v>
      </c>
      <c r="L153" s="247" t="str">
        <f>VLOOKUP(K153,'Basic Data'!T:U,2,0)</f>
        <v>Manual Stop - Safety Related</v>
      </c>
      <c r="M153" s="135" t="s">
        <v>467</v>
      </c>
      <c r="N153" s="256">
        <v>0.61736111111111114</v>
      </c>
      <c r="O153" s="256">
        <v>0.61736111111111114</v>
      </c>
      <c r="P153" s="256">
        <v>0.74444444444444446</v>
      </c>
      <c r="Q153" s="253">
        <f>IF(WTG_BD[[#This Row],[Work Start TimeStamp]]="","",(WTG_BD[[#This Row],[Work Start TimeStamp]]-WTG_BD[[#This Row],[Fault Start TimeStamp]])*24)</f>
        <v>0</v>
      </c>
      <c r="R153" s="253">
        <f>(WTG_BD[[#This Row],[Fault Clearance time]]-WTG_BD[[#This Row],[Work Start TimeStamp]])*24</f>
        <v>3.05</v>
      </c>
      <c r="S153" s="253">
        <f>(WTG_BD[[#This Row],[Fault Clearance time]]-WTG_BD[[#This Row],[Fault Start TimeStamp]])*24</f>
        <v>3.05</v>
      </c>
      <c r="T153" s="135" t="s">
        <v>503</v>
      </c>
      <c r="U153" s="244" t="s">
        <v>474</v>
      </c>
      <c r="V153" s="246">
        <f>WTG_BD[[#This Row],[Breakdown Time]]*(1/39)</f>
        <v>7.8205128205128191E-2</v>
      </c>
      <c r="W153" s="244" t="s">
        <v>119</v>
      </c>
      <c r="X153" s="250">
        <v>1466.5416666666665</v>
      </c>
      <c r="Y153" s="135" t="s">
        <v>470</v>
      </c>
      <c r="Z153" s="135" t="s">
        <v>471</v>
      </c>
      <c r="AA153" s="135">
        <v>11540</v>
      </c>
      <c r="AB153" s="249">
        <f>(WTG_BD[[#This Row],[Paired WTG Generation for loss calculation.]]/24)*WTG_BD[[#This Row],[Breakdown Time]]</f>
        <v>1466.5416666666665</v>
      </c>
      <c r="AC153" s="135"/>
      <c r="AD153" s="245"/>
      <c r="AE153" s="3"/>
    </row>
    <row r="154" spans="1:31">
      <c r="A154" s="241">
        <f t="shared" si="5"/>
        <v>153</v>
      </c>
      <c r="B154" s="255">
        <v>45749</v>
      </c>
      <c r="C154" s="252">
        <v>2025</v>
      </c>
      <c r="D154" s="252">
        <f>YEAR(WTG_BD[[#This Row],[Date]])</f>
        <v>2025</v>
      </c>
      <c r="E154" s="251">
        <f t="shared" si="4"/>
        <v>45748</v>
      </c>
      <c r="F154" s="252" t="s">
        <v>465</v>
      </c>
      <c r="G154" s="248" t="s">
        <v>136</v>
      </c>
      <c r="H154" s="242" t="str">
        <f>IFERROR(VLOOKUP(WTG_BD[[#This Row],[Affected WTG]],'Basic Data'!$A$3:$E$56,2,0),"")</f>
        <v>PWEGPL</v>
      </c>
      <c r="I154" s="242" t="str">
        <f>IFERROR(VLOOKUP(WTG_BD[[#This Row],[Affected WTG]],'Basic Data'!$A$3:$E$56,3,0),"")</f>
        <v>MSEDCL</v>
      </c>
      <c r="J154" s="243">
        <f>IFERROR(VLOOKUP(WTG_BD[[#This Row],[Affected WTG]],'Basic Data'!$A$3:$E$56,5,0),"")</f>
        <v>2.564102564102564E-2</v>
      </c>
      <c r="K154" s="158">
        <v>2106</v>
      </c>
      <c r="L154" s="247" t="str">
        <f>VLOOKUP(K154,'Basic Data'!T:U,2,0)</f>
        <v>Temp. Measurement Module Failure</v>
      </c>
      <c r="M154" s="135" t="s">
        <v>472</v>
      </c>
      <c r="N154" s="256">
        <v>0.78680555555555554</v>
      </c>
      <c r="O154" s="256">
        <v>0.93680555555555556</v>
      </c>
      <c r="P154" s="256">
        <v>0.94097222222222221</v>
      </c>
      <c r="Q154" s="253">
        <f>IF(WTG_BD[[#This Row],[Work Start TimeStamp]]="","",(WTG_BD[[#This Row],[Work Start TimeStamp]]-WTG_BD[[#This Row],[Fault Start TimeStamp]])*24)</f>
        <v>3.6000000000000005</v>
      </c>
      <c r="R154" s="253">
        <f>(WTG_BD[[#This Row],[Fault Clearance time]]-WTG_BD[[#This Row],[Work Start TimeStamp]])*24</f>
        <v>9.9999999999999645E-2</v>
      </c>
      <c r="S154" s="253">
        <f>(WTG_BD[[#This Row],[Fault Clearance time]]-WTG_BD[[#This Row],[Fault Start TimeStamp]])*24</f>
        <v>3.7</v>
      </c>
      <c r="T154" s="135" t="s">
        <v>482</v>
      </c>
      <c r="U154" s="244" t="s">
        <v>474</v>
      </c>
      <c r="V154" s="246">
        <f>WTG_BD[[#This Row],[Breakdown Time]]*(1/39)</f>
        <v>9.4871794871794868E-2</v>
      </c>
      <c r="W154" s="244" t="s">
        <v>119</v>
      </c>
      <c r="X154" s="250">
        <v>1779.0833333333333</v>
      </c>
      <c r="Y154" s="135" t="s">
        <v>470</v>
      </c>
      <c r="Z154" s="135" t="s">
        <v>475</v>
      </c>
      <c r="AA154" s="135">
        <v>11540</v>
      </c>
      <c r="AB154" s="249">
        <f>(WTG_BD[[#This Row],[Paired WTG Generation for loss calculation.]]/24)*WTG_BD[[#This Row],[Breakdown Time]]</f>
        <v>1779.0833333333333</v>
      </c>
      <c r="AC154" s="135"/>
      <c r="AD154" s="245"/>
      <c r="AE154" s="3"/>
    </row>
    <row r="155" spans="1:31">
      <c r="A155" s="241">
        <f t="shared" si="5"/>
        <v>154</v>
      </c>
      <c r="B155" s="255">
        <v>45749</v>
      </c>
      <c r="C155" s="252">
        <v>2025</v>
      </c>
      <c r="D155" s="252">
        <f>YEAR(WTG_BD[[#This Row],[Date]])</f>
        <v>2025</v>
      </c>
      <c r="E155" s="251">
        <f t="shared" si="4"/>
        <v>45748</v>
      </c>
      <c r="F155" s="252" t="s">
        <v>465</v>
      </c>
      <c r="G155" s="248" t="s">
        <v>139</v>
      </c>
      <c r="H155" s="242" t="str">
        <f>IFERROR(VLOOKUP(WTG_BD[[#This Row],[Affected WTG]],'Basic Data'!$A$3:$E$56,2,0),"")</f>
        <v>PWEGPL</v>
      </c>
      <c r="I155" s="242" t="str">
        <f>IFERROR(VLOOKUP(WTG_BD[[#This Row],[Affected WTG]],'Basic Data'!$A$3:$E$56,3,0),"")</f>
        <v>MSEDCL</v>
      </c>
      <c r="J155" s="243">
        <f>IFERROR(VLOOKUP(WTG_BD[[#This Row],[Affected WTG]],'Basic Data'!$A$3:$E$56,5,0),"")</f>
        <v>2.564102564102564E-2</v>
      </c>
      <c r="K155" s="158">
        <v>5201</v>
      </c>
      <c r="L155" s="247" t="str">
        <f>VLOOKUP(K155,'Basic Data'!T:U,2,0)</f>
        <v>Magnetothermic Trigger Of The Stator Protection</v>
      </c>
      <c r="M155" s="135" t="s">
        <v>472</v>
      </c>
      <c r="N155" s="256">
        <v>0.23125000000000001</v>
      </c>
      <c r="O155" s="256">
        <v>0.23125000000000001</v>
      </c>
      <c r="P155" s="256">
        <v>0.23472222222222222</v>
      </c>
      <c r="Q155" s="253">
        <f>IF(WTG_BD[[#This Row],[Work Start TimeStamp]]="","",(WTG_BD[[#This Row],[Work Start TimeStamp]]-WTG_BD[[#This Row],[Fault Start TimeStamp]])*24)</f>
        <v>0</v>
      </c>
      <c r="R155" s="253">
        <f>(WTG_BD[[#This Row],[Fault Clearance time]]-WTG_BD[[#This Row],[Work Start TimeStamp]])*24</f>
        <v>8.3333333333333037E-2</v>
      </c>
      <c r="S155" s="253">
        <f>(WTG_BD[[#This Row],[Fault Clearance time]]-WTG_BD[[#This Row],[Fault Start TimeStamp]])*24</f>
        <v>8.3333333333333037E-2</v>
      </c>
      <c r="T155" s="135" t="s">
        <v>476</v>
      </c>
      <c r="U155" s="244" t="s">
        <v>474</v>
      </c>
      <c r="V155" s="246">
        <f>WTG_BD[[#This Row],[Breakdown Time]]*(1/39)</f>
        <v>2.1367521367521292E-3</v>
      </c>
      <c r="W155" s="244" t="s">
        <v>145</v>
      </c>
      <c r="X155" s="250">
        <v>9.4513888888888555</v>
      </c>
      <c r="Y155" s="135" t="s">
        <v>470</v>
      </c>
      <c r="Z155" s="135" t="s">
        <v>475</v>
      </c>
      <c r="AA155" s="135">
        <v>2722</v>
      </c>
      <c r="AB155" s="249">
        <f>(WTG_BD[[#This Row],[Paired WTG Generation for loss calculation.]]/24)*WTG_BD[[#This Row],[Breakdown Time]]</f>
        <v>9.4513888888888555</v>
      </c>
      <c r="AC155" s="135"/>
      <c r="AD155" s="245"/>
      <c r="AE155" s="3"/>
    </row>
    <row r="156" spans="1:31">
      <c r="A156" s="241">
        <f t="shared" si="5"/>
        <v>155</v>
      </c>
      <c r="B156" s="255">
        <v>45749</v>
      </c>
      <c r="C156" s="252">
        <v>2025</v>
      </c>
      <c r="D156" s="252">
        <f>YEAR(WTG_BD[[#This Row],[Date]])</f>
        <v>2025</v>
      </c>
      <c r="E156" s="251">
        <f t="shared" si="4"/>
        <v>45748</v>
      </c>
      <c r="F156" s="252" t="s">
        <v>465</v>
      </c>
      <c r="G156" s="248" t="s">
        <v>139</v>
      </c>
      <c r="H156" s="242" t="str">
        <f>IFERROR(VLOOKUP(WTG_BD[[#This Row],[Affected WTG]],'Basic Data'!$A$3:$E$56,2,0),"")</f>
        <v>PWEGPL</v>
      </c>
      <c r="I156" s="242" t="str">
        <f>IFERROR(VLOOKUP(WTG_BD[[#This Row],[Affected WTG]],'Basic Data'!$A$3:$E$56,3,0),"")</f>
        <v>MSEDCL</v>
      </c>
      <c r="J156" s="243">
        <f>IFERROR(VLOOKUP(WTG_BD[[#This Row],[Affected WTG]],'Basic Data'!$A$3:$E$56,5,0),"")</f>
        <v>2.564102564102564E-2</v>
      </c>
      <c r="K156" s="158">
        <v>5201</v>
      </c>
      <c r="L156" s="247" t="str">
        <f>VLOOKUP(K156,'Basic Data'!T:U,2,0)</f>
        <v>Magnetothermic Trigger Of The Stator Protection</v>
      </c>
      <c r="M156" s="135" t="s">
        <v>472</v>
      </c>
      <c r="N156" s="256">
        <v>0.45</v>
      </c>
      <c r="O156" s="256">
        <v>0.45</v>
      </c>
      <c r="P156" s="256">
        <v>0.45347222222222222</v>
      </c>
      <c r="Q156" s="253">
        <f>IF(WTG_BD[[#This Row],[Work Start TimeStamp]]="","",(WTG_BD[[#This Row],[Work Start TimeStamp]]-WTG_BD[[#This Row],[Fault Start TimeStamp]])*24)</f>
        <v>0</v>
      </c>
      <c r="R156" s="253">
        <f>(WTG_BD[[#This Row],[Fault Clearance time]]-WTG_BD[[#This Row],[Work Start TimeStamp]])*24</f>
        <v>8.3333333333333037E-2</v>
      </c>
      <c r="S156" s="253">
        <f>(WTG_BD[[#This Row],[Fault Clearance time]]-WTG_BD[[#This Row],[Fault Start TimeStamp]])*24</f>
        <v>8.3333333333333037E-2</v>
      </c>
      <c r="T156" s="135" t="s">
        <v>476</v>
      </c>
      <c r="U156" s="244" t="s">
        <v>474</v>
      </c>
      <c r="V156" s="246">
        <f>WTG_BD[[#This Row],[Breakdown Time]]*(1/39)</f>
        <v>2.1367521367521292E-3</v>
      </c>
      <c r="W156" s="244" t="s">
        <v>145</v>
      </c>
      <c r="X156" s="250">
        <v>9.4513888888888555</v>
      </c>
      <c r="Y156" s="135" t="s">
        <v>470</v>
      </c>
      <c r="Z156" s="135" t="s">
        <v>475</v>
      </c>
      <c r="AA156" s="135">
        <v>2722</v>
      </c>
      <c r="AB156" s="249">
        <f>(WTG_BD[[#This Row],[Paired WTG Generation for loss calculation.]]/24)*WTG_BD[[#This Row],[Breakdown Time]]</f>
        <v>9.4513888888888555</v>
      </c>
      <c r="AC156" s="135"/>
      <c r="AD156" s="245"/>
      <c r="AE156" s="3"/>
    </row>
    <row r="157" spans="1:31">
      <c r="A157" s="241">
        <f t="shared" si="5"/>
        <v>156</v>
      </c>
      <c r="B157" s="255">
        <v>45749</v>
      </c>
      <c r="C157" s="252">
        <v>2025</v>
      </c>
      <c r="D157" s="252">
        <f>YEAR(WTG_BD[[#This Row],[Date]])</f>
        <v>2025</v>
      </c>
      <c r="E157" s="251">
        <f t="shared" si="4"/>
        <v>45748</v>
      </c>
      <c r="F157" s="252" t="s">
        <v>465</v>
      </c>
      <c r="G157" s="248" t="s">
        <v>139</v>
      </c>
      <c r="H157" s="242" t="str">
        <f>IFERROR(VLOOKUP(WTG_BD[[#This Row],[Affected WTG]],'Basic Data'!$A$3:$E$56,2,0),"")</f>
        <v>PWEGPL</v>
      </c>
      <c r="I157" s="242" t="str">
        <f>IFERROR(VLOOKUP(WTG_BD[[#This Row],[Affected WTG]],'Basic Data'!$A$3:$E$56,3,0),"")</f>
        <v>MSEDCL</v>
      </c>
      <c r="J157" s="243">
        <f>IFERROR(VLOOKUP(WTG_BD[[#This Row],[Affected WTG]],'Basic Data'!$A$3:$E$56,5,0),"")</f>
        <v>2.564102564102564E-2</v>
      </c>
      <c r="K157" s="158">
        <v>5201</v>
      </c>
      <c r="L157" s="247" t="str">
        <f>VLOOKUP(K157,'Basic Data'!T:U,2,0)</f>
        <v>Magnetothermic Trigger Of The Stator Protection</v>
      </c>
      <c r="M157" s="135" t="s">
        <v>472</v>
      </c>
      <c r="N157" s="256">
        <v>0.53402777777777777</v>
      </c>
      <c r="O157" s="256">
        <v>0.53402777777777777</v>
      </c>
      <c r="P157" s="256">
        <v>0.53749999999999998</v>
      </c>
      <c r="Q157" s="253">
        <f>IF(WTG_BD[[#This Row],[Work Start TimeStamp]]="","",(WTG_BD[[#This Row],[Work Start TimeStamp]]-WTG_BD[[#This Row],[Fault Start TimeStamp]])*24)</f>
        <v>0</v>
      </c>
      <c r="R157" s="253">
        <f>(WTG_BD[[#This Row],[Fault Clearance time]]-WTG_BD[[#This Row],[Work Start TimeStamp]])*24</f>
        <v>8.3333333333333037E-2</v>
      </c>
      <c r="S157" s="253">
        <f>(WTG_BD[[#This Row],[Fault Clearance time]]-WTG_BD[[#This Row],[Fault Start TimeStamp]])*24</f>
        <v>8.3333333333333037E-2</v>
      </c>
      <c r="T157" s="135" t="s">
        <v>476</v>
      </c>
      <c r="U157" s="244" t="s">
        <v>474</v>
      </c>
      <c r="V157" s="246">
        <f>WTG_BD[[#This Row],[Breakdown Time]]*(1/39)</f>
        <v>2.1367521367521292E-3</v>
      </c>
      <c r="W157" s="244" t="s">
        <v>145</v>
      </c>
      <c r="X157" s="250">
        <v>9.4513888888888555</v>
      </c>
      <c r="Y157" s="135" t="s">
        <v>470</v>
      </c>
      <c r="Z157" s="135" t="s">
        <v>475</v>
      </c>
      <c r="AA157" s="135">
        <v>2722</v>
      </c>
      <c r="AB157" s="249">
        <f>(WTG_BD[[#This Row],[Paired WTG Generation for loss calculation.]]/24)*WTG_BD[[#This Row],[Breakdown Time]]</f>
        <v>9.4513888888888555</v>
      </c>
      <c r="AC157" s="135"/>
      <c r="AD157" s="245"/>
      <c r="AE157" s="3"/>
    </row>
    <row r="158" spans="1:31">
      <c r="A158" s="241">
        <f t="shared" si="5"/>
        <v>157</v>
      </c>
      <c r="B158" s="255">
        <v>45749</v>
      </c>
      <c r="C158" s="252">
        <v>2025</v>
      </c>
      <c r="D158" s="252">
        <f>YEAR(WTG_BD[[#This Row],[Date]])</f>
        <v>2025</v>
      </c>
      <c r="E158" s="251">
        <f t="shared" si="4"/>
        <v>45748</v>
      </c>
      <c r="F158" s="252" t="s">
        <v>465</v>
      </c>
      <c r="G158" s="248" t="s">
        <v>145</v>
      </c>
      <c r="H158" s="242" t="str">
        <f>IFERROR(VLOOKUP(WTG_BD[[#This Row],[Affected WTG]],'Basic Data'!$A$3:$E$56,2,0),"")</f>
        <v>PWEGPL</v>
      </c>
      <c r="I158" s="242" t="str">
        <f>IFERROR(VLOOKUP(WTG_BD[[#This Row],[Affected WTG]],'Basic Data'!$A$3:$E$56,3,0),"")</f>
        <v>MSEDCL</v>
      </c>
      <c r="J158" s="243">
        <f>IFERROR(VLOOKUP(WTG_BD[[#This Row],[Affected WTG]],'Basic Data'!$A$3:$E$56,5,0),"")</f>
        <v>2.564102564102564E-2</v>
      </c>
      <c r="K158" s="158">
        <v>5201</v>
      </c>
      <c r="L158" s="247" t="str">
        <f>VLOOKUP(K158,'Basic Data'!T:U,2,0)</f>
        <v>Magnetothermic Trigger Of The Stator Protection</v>
      </c>
      <c r="M158" s="135" t="s">
        <v>472</v>
      </c>
      <c r="N158" s="256">
        <v>0</v>
      </c>
      <c r="O158" s="256">
        <v>0.44791666666666669</v>
      </c>
      <c r="P158" s="256">
        <v>0.4513888888888889</v>
      </c>
      <c r="Q158" s="253">
        <f>IF(WTG_BD[[#This Row],[Work Start TimeStamp]]="","",(WTG_BD[[#This Row],[Work Start TimeStamp]]-WTG_BD[[#This Row],[Fault Start TimeStamp]])*24)</f>
        <v>10.75</v>
      </c>
      <c r="R158" s="253">
        <f>(WTG_BD[[#This Row],[Fault Clearance time]]-WTG_BD[[#This Row],[Work Start TimeStamp]])*24</f>
        <v>8.3333333333333037E-2</v>
      </c>
      <c r="S158" s="253">
        <f>(WTG_BD[[#This Row],[Fault Clearance time]]-WTG_BD[[#This Row],[Fault Start TimeStamp]])*24</f>
        <v>10.833333333333334</v>
      </c>
      <c r="T158" s="135" t="s">
        <v>482</v>
      </c>
      <c r="U158" s="244" t="s">
        <v>474</v>
      </c>
      <c r="V158" s="246">
        <f>WTG_BD[[#This Row],[Breakdown Time]]*(1/39)</f>
        <v>0.27777777777777779</v>
      </c>
      <c r="W158" s="244" t="s">
        <v>139</v>
      </c>
      <c r="X158" s="250">
        <v>5840.0694444444453</v>
      </c>
      <c r="Y158" s="135" t="s">
        <v>470</v>
      </c>
      <c r="Z158" s="135" t="s">
        <v>475</v>
      </c>
      <c r="AA158" s="135">
        <v>12938</v>
      </c>
      <c r="AB158" s="249">
        <f>(WTG_BD[[#This Row],[Paired WTG Generation for loss calculation.]]/24)*WTG_BD[[#This Row],[Breakdown Time]]</f>
        <v>5840.0694444444453</v>
      </c>
      <c r="AC158" s="135"/>
      <c r="AD158" s="245"/>
      <c r="AE158" s="3"/>
    </row>
    <row r="159" spans="1:31">
      <c r="A159" s="241">
        <f t="shared" si="5"/>
        <v>158</v>
      </c>
      <c r="B159" s="255">
        <v>45749</v>
      </c>
      <c r="C159" s="252">
        <v>2025</v>
      </c>
      <c r="D159" s="252">
        <f>YEAR(WTG_BD[[#This Row],[Date]])</f>
        <v>2025</v>
      </c>
      <c r="E159" s="251">
        <f t="shared" si="4"/>
        <v>45748</v>
      </c>
      <c r="F159" s="252" t="s">
        <v>465</v>
      </c>
      <c r="G159" s="248" t="s">
        <v>145</v>
      </c>
      <c r="H159" s="242" t="str">
        <f>IFERROR(VLOOKUP(WTG_BD[[#This Row],[Affected WTG]],'Basic Data'!$A$3:$E$56,2,0),"")</f>
        <v>PWEGPL</v>
      </c>
      <c r="I159" s="242" t="str">
        <f>IFERROR(VLOOKUP(WTG_BD[[#This Row],[Affected WTG]],'Basic Data'!$A$3:$E$56,3,0),"")</f>
        <v>MSEDCL</v>
      </c>
      <c r="J159" s="243">
        <f>IFERROR(VLOOKUP(WTG_BD[[#This Row],[Affected WTG]],'Basic Data'!$A$3:$E$56,5,0),"")</f>
        <v>2.564102564102564E-2</v>
      </c>
      <c r="K159" s="158">
        <v>700</v>
      </c>
      <c r="L159" s="247" t="str">
        <f>VLOOKUP(K159,'Basic Data'!T:U,2,0)</f>
        <v>PLC-Converter Communication Error</v>
      </c>
      <c r="M159" s="135" t="s">
        <v>472</v>
      </c>
      <c r="N159" s="256">
        <v>0.81874999999999998</v>
      </c>
      <c r="O159" s="256">
        <v>0.96527777777777779</v>
      </c>
      <c r="P159" s="256">
        <v>0.96597222222222223</v>
      </c>
      <c r="Q159" s="253">
        <f>IF(WTG_BD[[#This Row],[Work Start TimeStamp]]="","",(WTG_BD[[#This Row],[Work Start TimeStamp]]-WTG_BD[[#This Row],[Fault Start TimeStamp]])*24)</f>
        <v>3.5166666666666675</v>
      </c>
      <c r="R159" s="253">
        <f>(WTG_BD[[#This Row],[Fault Clearance time]]-WTG_BD[[#This Row],[Work Start TimeStamp]])*24</f>
        <v>1.6666666666666607E-2</v>
      </c>
      <c r="S159" s="253">
        <f>(WTG_BD[[#This Row],[Fault Clearance time]]-WTG_BD[[#This Row],[Fault Start TimeStamp]])*24</f>
        <v>3.5333333333333341</v>
      </c>
      <c r="T159" s="135" t="s">
        <v>473</v>
      </c>
      <c r="U159" s="244" t="s">
        <v>474</v>
      </c>
      <c r="V159" s="246">
        <f>WTG_BD[[#This Row],[Breakdown Time]]*(1/39)</f>
        <v>9.0598290598290609E-2</v>
      </c>
      <c r="W159" s="244" t="s">
        <v>139</v>
      </c>
      <c r="X159" s="250">
        <v>1904.7611111111116</v>
      </c>
      <c r="Y159" s="135" t="s">
        <v>470</v>
      </c>
      <c r="Z159" s="135" t="s">
        <v>475</v>
      </c>
      <c r="AA159" s="135">
        <v>12938</v>
      </c>
      <c r="AB159" s="249">
        <f>(WTG_BD[[#This Row],[Paired WTG Generation for loss calculation.]]/24)*WTG_BD[[#This Row],[Breakdown Time]]</f>
        <v>1904.7611111111116</v>
      </c>
      <c r="AC159" s="135"/>
      <c r="AD159" s="245"/>
      <c r="AE159" s="3"/>
    </row>
    <row r="160" spans="1:31">
      <c r="A160" s="241">
        <f t="shared" si="5"/>
        <v>159</v>
      </c>
      <c r="B160" s="255">
        <v>45749</v>
      </c>
      <c r="C160" s="252">
        <v>2025</v>
      </c>
      <c r="D160" s="252">
        <f>YEAR(WTG_BD[[#This Row],[Date]])</f>
        <v>2025</v>
      </c>
      <c r="E160" s="251">
        <f t="shared" si="4"/>
        <v>45748</v>
      </c>
      <c r="F160" s="252" t="s">
        <v>465</v>
      </c>
      <c r="G160" s="248" t="s">
        <v>145</v>
      </c>
      <c r="H160" s="242" t="str">
        <f>IFERROR(VLOOKUP(WTG_BD[[#This Row],[Affected WTG]],'Basic Data'!$A$3:$E$56,2,0),"")</f>
        <v>PWEGPL</v>
      </c>
      <c r="I160" s="242" t="str">
        <f>IFERROR(VLOOKUP(WTG_BD[[#This Row],[Affected WTG]],'Basic Data'!$A$3:$E$56,3,0),"")</f>
        <v>MSEDCL</v>
      </c>
      <c r="J160" s="243">
        <f>IFERROR(VLOOKUP(WTG_BD[[#This Row],[Affected WTG]],'Basic Data'!$A$3:$E$56,5,0),"")</f>
        <v>2.564102564102564E-2</v>
      </c>
      <c r="K160" s="158">
        <v>700</v>
      </c>
      <c r="L160" s="247" t="str">
        <f>VLOOKUP(K160,'Basic Data'!T:U,2,0)</f>
        <v>PLC-Converter Communication Error</v>
      </c>
      <c r="M160" s="135" t="s">
        <v>472</v>
      </c>
      <c r="N160" s="256">
        <v>0.97222222222222221</v>
      </c>
      <c r="O160" s="256">
        <v>0.97430555555555554</v>
      </c>
      <c r="P160" s="256">
        <v>0.99930555555555556</v>
      </c>
      <c r="Q160" s="253">
        <f>IF(WTG_BD[[#This Row],[Work Start TimeStamp]]="","",(WTG_BD[[#This Row],[Work Start TimeStamp]]-WTG_BD[[#This Row],[Fault Start TimeStamp]])*24)</f>
        <v>4.9999999999999822E-2</v>
      </c>
      <c r="R160" s="253">
        <f>(WTG_BD[[#This Row],[Fault Clearance time]]-WTG_BD[[#This Row],[Work Start TimeStamp]])*24</f>
        <v>0.60000000000000053</v>
      </c>
      <c r="S160" s="253">
        <f>(WTG_BD[[#This Row],[Fault Clearance time]]-WTG_BD[[#This Row],[Fault Start TimeStamp]])*24</f>
        <v>0.65000000000000036</v>
      </c>
      <c r="T160" s="135" t="s">
        <v>486</v>
      </c>
      <c r="U160" s="244" t="s">
        <v>474</v>
      </c>
      <c r="V160" s="246">
        <f>WTG_BD[[#This Row],[Breakdown Time]]*(1/39)</f>
        <v>1.6666666666666677E-2</v>
      </c>
      <c r="W160" s="244" t="s">
        <v>139</v>
      </c>
      <c r="X160" s="250">
        <v>350.40416666666687</v>
      </c>
      <c r="Y160" s="135" t="s">
        <v>470</v>
      </c>
      <c r="Z160" s="135" t="s">
        <v>475</v>
      </c>
      <c r="AA160" s="135">
        <v>12938</v>
      </c>
      <c r="AB160" s="249">
        <f>(WTG_BD[[#This Row],[Paired WTG Generation for loss calculation.]]/24)*WTG_BD[[#This Row],[Breakdown Time]]</f>
        <v>350.40416666666687</v>
      </c>
      <c r="AC160" s="135"/>
      <c r="AD160" s="245"/>
      <c r="AE160" s="3"/>
    </row>
    <row r="161" spans="1:31">
      <c r="A161" s="241">
        <f t="shared" si="5"/>
        <v>160</v>
      </c>
      <c r="B161" s="255">
        <v>45749</v>
      </c>
      <c r="C161" s="252">
        <v>2025</v>
      </c>
      <c r="D161" s="252">
        <f>YEAR(WTG_BD[[#This Row],[Date]])</f>
        <v>2025</v>
      </c>
      <c r="E161" s="251">
        <f t="shared" si="4"/>
        <v>45748</v>
      </c>
      <c r="F161" s="252" t="s">
        <v>465</v>
      </c>
      <c r="G161" s="248" t="s">
        <v>152</v>
      </c>
      <c r="H161" s="242" t="str">
        <f>IFERROR(VLOOKUP(WTG_BD[[#This Row],[Affected WTG]],'Basic Data'!$A$3:$E$56,2,0),"")</f>
        <v>PWEGPL</v>
      </c>
      <c r="I161" s="242" t="str">
        <f>IFERROR(VLOOKUP(WTG_BD[[#This Row],[Affected WTG]],'Basic Data'!$A$3:$E$56,3,0),"")</f>
        <v>MSEDCL</v>
      </c>
      <c r="J161" s="243">
        <f>IFERROR(VLOOKUP(WTG_BD[[#This Row],[Affected WTG]],'Basic Data'!$A$3:$E$56,5,0),"")</f>
        <v>2.564102564102564E-2</v>
      </c>
      <c r="K161" s="158">
        <v>5201</v>
      </c>
      <c r="L161" s="247" t="str">
        <f>VLOOKUP(K161,'Basic Data'!T:U,2,0)</f>
        <v>Magnetothermic Trigger Of The Stator Protection</v>
      </c>
      <c r="M161" s="135" t="s">
        <v>472</v>
      </c>
      <c r="N161" s="256">
        <v>0.34097222222222223</v>
      </c>
      <c r="O161" s="256">
        <v>0.34097222222222223</v>
      </c>
      <c r="P161" s="256">
        <v>0.34444444444444444</v>
      </c>
      <c r="Q161" s="253">
        <f>IF(WTG_BD[[#This Row],[Work Start TimeStamp]]="","",(WTG_BD[[#This Row],[Work Start TimeStamp]]-WTG_BD[[#This Row],[Fault Start TimeStamp]])*24)</f>
        <v>0</v>
      </c>
      <c r="R161" s="253">
        <f>(WTG_BD[[#This Row],[Fault Clearance time]]-WTG_BD[[#This Row],[Work Start TimeStamp]])*24</f>
        <v>8.3333333333333037E-2</v>
      </c>
      <c r="S161" s="253">
        <f>(WTG_BD[[#This Row],[Fault Clearance time]]-WTG_BD[[#This Row],[Fault Start TimeStamp]])*24</f>
        <v>8.3333333333333037E-2</v>
      </c>
      <c r="T161" s="135" t="s">
        <v>476</v>
      </c>
      <c r="U161" s="244" t="s">
        <v>474</v>
      </c>
      <c r="V161" s="246">
        <f>WTG_BD[[#This Row],[Breakdown Time]]*(1/39)</f>
        <v>2.1367521367521292E-3</v>
      </c>
      <c r="W161" s="244" t="s">
        <v>151</v>
      </c>
      <c r="X161" s="250">
        <v>39.597222222222086</v>
      </c>
      <c r="Y161" s="135" t="s">
        <v>470</v>
      </c>
      <c r="Z161" s="135" t="s">
        <v>475</v>
      </c>
      <c r="AA161" s="135">
        <v>11404</v>
      </c>
      <c r="AB161" s="249">
        <f>(WTG_BD[[#This Row],[Paired WTG Generation for loss calculation.]]/24)*WTG_BD[[#This Row],[Breakdown Time]]</f>
        <v>39.597222222222086</v>
      </c>
      <c r="AC161" s="135"/>
      <c r="AD161" s="245"/>
      <c r="AE161" s="3"/>
    </row>
    <row r="162" spans="1:31">
      <c r="A162" s="241">
        <f t="shared" si="5"/>
        <v>161</v>
      </c>
      <c r="B162" s="255">
        <v>45749</v>
      </c>
      <c r="C162" s="252">
        <v>2025</v>
      </c>
      <c r="D162" s="252">
        <f>YEAR(WTG_BD[[#This Row],[Date]])</f>
        <v>2025</v>
      </c>
      <c r="E162" s="251">
        <f t="shared" si="4"/>
        <v>45748</v>
      </c>
      <c r="F162" s="252" t="s">
        <v>465</v>
      </c>
      <c r="G162" s="248" t="s">
        <v>152</v>
      </c>
      <c r="H162" s="242" t="str">
        <f>IFERROR(VLOOKUP(WTG_BD[[#This Row],[Affected WTG]],'Basic Data'!$A$3:$E$56,2,0),"")</f>
        <v>PWEGPL</v>
      </c>
      <c r="I162" s="242" t="str">
        <f>IFERROR(VLOOKUP(WTG_BD[[#This Row],[Affected WTG]],'Basic Data'!$A$3:$E$56,3,0),"")</f>
        <v>MSEDCL</v>
      </c>
      <c r="J162" s="243">
        <f>IFERROR(VLOOKUP(WTG_BD[[#This Row],[Affected WTG]],'Basic Data'!$A$3:$E$56,5,0),"")</f>
        <v>2.564102564102564E-2</v>
      </c>
      <c r="K162" s="158">
        <v>5201</v>
      </c>
      <c r="L162" s="247" t="str">
        <f>VLOOKUP(K162,'Basic Data'!T:U,2,0)</f>
        <v>Magnetothermic Trigger Of The Stator Protection</v>
      </c>
      <c r="M162" s="135" t="s">
        <v>472</v>
      </c>
      <c r="N162" s="256">
        <v>0.49375000000000002</v>
      </c>
      <c r="O162" s="256">
        <v>0.49375000000000002</v>
      </c>
      <c r="P162" s="256">
        <v>0.49722222222222223</v>
      </c>
      <c r="Q162" s="253">
        <f>IF(WTG_BD[[#This Row],[Work Start TimeStamp]]="","",(WTG_BD[[#This Row],[Work Start TimeStamp]]-WTG_BD[[#This Row],[Fault Start TimeStamp]])*24)</f>
        <v>0</v>
      </c>
      <c r="R162" s="253">
        <f>(WTG_BD[[#This Row],[Fault Clearance time]]-WTG_BD[[#This Row],[Work Start TimeStamp]])*24</f>
        <v>8.3333333333333037E-2</v>
      </c>
      <c r="S162" s="253">
        <f>(WTG_BD[[#This Row],[Fault Clearance time]]-WTG_BD[[#This Row],[Fault Start TimeStamp]])*24</f>
        <v>8.3333333333333037E-2</v>
      </c>
      <c r="T162" s="135" t="s">
        <v>476</v>
      </c>
      <c r="U162" s="244" t="s">
        <v>474</v>
      </c>
      <c r="V162" s="246">
        <f>WTG_BD[[#This Row],[Breakdown Time]]*(1/39)</f>
        <v>2.1367521367521292E-3</v>
      </c>
      <c r="W162" s="244" t="s">
        <v>151</v>
      </c>
      <c r="X162" s="250">
        <v>39.597222222222086</v>
      </c>
      <c r="Y162" s="135" t="s">
        <v>470</v>
      </c>
      <c r="Z162" s="135" t="s">
        <v>475</v>
      </c>
      <c r="AA162" s="135">
        <v>11404</v>
      </c>
      <c r="AB162" s="249">
        <f>(WTG_BD[[#This Row],[Paired WTG Generation for loss calculation.]]/24)*WTG_BD[[#This Row],[Breakdown Time]]</f>
        <v>39.597222222222086</v>
      </c>
      <c r="AC162" s="135"/>
      <c r="AD162" s="245"/>
      <c r="AE162" s="3"/>
    </row>
    <row r="163" spans="1:31">
      <c r="A163" s="241">
        <f t="shared" si="5"/>
        <v>162</v>
      </c>
      <c r="B163" s="255">
        <v>45749</v>
      </c>
      <c r="C163" s="252">
        <v>2025</v>
      </c>
      <c r="D163" s="252">
        <f>YEAR(WTG_BD[[#This Row],[Date]])</f>
        <v>2025</v>
      </c>
      <c r="E163" s="251">
        <f t="shared" si="4"/>
        <v>45748</v>
      </c>
      <c r="F163" s="252" t="s">
        <v>465</v>
      </c>
      <c r="G163" s="248" t="s">
        <v>152</v>
      </c>
      <c r="H163" s="242" t="str">
        <f>IFERROR(VLOOKUP(WTG_BD[[#This Row],[Affected WTG]],'Basic Data'!$A$3:$E$56,2,0),"")</f>
        <v>PWEGPL</v>
      </c>
      <c r="I163" s="242" t="str">
        <f>IFERROR(VLOOKUP(WTG_BD[[#This Row],[Affected WTG]],'Basic Data'!$A$3:$E$56,3,0),"")</f>
        <v>MSEDCL</v>
      </c>
      <c r="J163" s="243">
        <f>IFERROR(VLOOKUP(WTG_BD[[#This Row],[Affected WTG]],'Basic Data'!$A$3:$E$56,5,0),"")</f>
        <v>2.564102564102564E-2</v>
      </c>
      <c r="K163" s="158">
        <v>5201</v>
      </c>
      <c r="L163" s="247" t="str">
        <f>VLOOKUP(K163,'Basic Data'!T:U,2,0)</f>
        <v>Magnetothermic Trigger Of The Stator Protection</v>
      </c>
      <c r="M163" s="135" t="s">
        <v>472</v>
      </c>
      <c r="N163" s="256">
        <v>0.82361111111111107</v>
      </c>
      <c r="O163" s="256">
        <v>0.82361111111111107</v>
      </c>
      <c r="P163" s="256">
        <v>0.83125000000000004</v>
      </c>
      <c r="Q163" s="253">
        <f>IF(WTG_BD[[#This Row],[Work Start TimeStamp]]="","",(WTG_BD[[#This Row],[Work Start TimeStamp]]-WTG_BD[[#This Row],[Fault Start TimeStamp]])*24)</f>
        <v>0</v>
      </c>
      <c r="R163" s="253">
        <f>(WTG_BD[[#This Row],[Fault Clearance time]]-WTG_BD[[#This Row],[Work Start TimeStamp]])*24</f>
        <v>0.18333333333333535</v>
      </c>
      <c r="S163" s="253">
        <f>(WTG_BD[[#This Row],[Fault Clearance time]]-WTG_BD[[#This Row],[Fault Start TimeStamp]])*24</f>
        <v>0.18333333333333535</v>
      </c>
      <c r="T163" s="135" t="s">
        <v>476</v>
      </c>
      <c r="U163" s="244" t="s">
        <v>474</v>
      </c>
      <c r="V163" s="246">
        <f>WTG_BD[[#This Row],[Breakdown Time]]*(1/39)</f>
        <v>4.7008547008547527E-3</v>
      </c>
      <c r="W163" s="244" t="s">
        <v>151</v>
      </c>
      <c r="X163" s="250">
        <v>87.113888888889846</v>
      </c>
      <c r="Y163" s="135" t="s">
        <v>470</v>
      </c>
      <c r="Z163" s="135" t="s">
        <v>475</v>
      </c>
      <c r="AA163" s="135">
        <v>11404</v>
      </c>
      <c r="AB163" s="249">
        <f>(WTG_BD[[#This Row],[Paired WTG Generation for loss calculation.]]/24)*WTG_BD[[#This Row],[Breakdown Time]]</f>
        <v>87.113888888889846</v>
      </c>
      <c r="AC163" s="135"/>
      <c r="AD163" s="245"/>
      <c r="AE163" s="3"/>
    </row>
    <row r="164" spans="1:31">
      <c r="A164" s="241">
        <f t="shared" si="5"/>
        <v>163</v>
      </c>
      <c r="B164" s="255">
        <v>45749</v>
      </c>
      <c r="C164" s="252">
        <v>2025</v>
      </c>
      <c r="D164" s="252">
        <f>YEAR(WTG_BD[[#This Row],[Date]])</f>
        <v>2025</v>
      </c>
      <c r="E164" s="251">
        <f t="shared" si="4"/>
        <v>45748</v>
      </c>
      <c r="F164" s="252" t="s">
        <v>465</v>
      </c>
      <c r="G164" s="248" t="s">
        <v>153</v>
      </c>
      <c r="H164" s="242" t="str">
        <f>IFERROR(VLOOKUP(WTG_BD[[#This Row],[Affected WTG]],'Basic Data'!$A$3:$E$56,2,0),"")</f>
        <v>PWEGPL</v>
      </c>
      <c r="I164" s="242" t="str">
        <f>IFERROR(VLOOKUP(WTG_BD[[#This Row],[Affected WTG]],'Basic Data'!$A$3:$E$56,3,0),"")</f>
        <v>MSEDCL</v>
      </c>
      <c r="J164" s="243">
        <f>IFERROR(VLOOKUP(WTG_BD[[#This Row],[Affected WTG]],'Basic Data'!$A$3:$E$56,5,0),"")</f>
        <v>2.564102564102564E-2</v>
      </c>
      <c r="K164" s="158">
        <v>812</v>
      </c>
      <c r="L164" s="247" t="str">
        <f>VLOOKUP(K164,'Basic Data'!T:U,2,0)</f>
        <v>Blade Position Meas. Error</v>
      </c>
      <c r="M164" s="135" t="s">
        <v>472</v>
      </c>
      <c r="N164" s="256">
        <v>0.31944444444444442</v>
      </c>
      <c r="O164" s="256">
        <v>0.45694444444444443</v>
      </c>
      <c r="P164" s="256">
        <v>0.45694444444444443</v>
      </c>
      <c r="Q164" s="253">
        <f>IF(WTG_BD[[#This Row],[Work Start TimeStamp]]="","",(WTG_BD[[#This Row],[Work Start TimeStamp]]-WTG_BD[[#This Row],[Fault Start TimeStamp]])*24)</f>
        <v>3.3000000000000003</v>
      </c>
      <c r="R164" s="253">
        <f>(WTG_BD[[#This Row],[Fault Clearance time]]-WTG_BD[[#This Row],[Work Start TimeStamp]])*24</f>
        <v>0</v>
      </c>
      <c r="S164" s="253">
        <f>(WTG_BD[[#This Row],[Fault Clearance time]]-WTG_BD[[#This Row],[Fault Start TimeStamp]])*24</f>
        <v>3.3000000000000003</v>
      </c>
      <c r="T164" s="135" t="s">
        <v>473</v>
      </c>
      <c r="U164" s="244" t="s">
        <v>474</v>
      </c>
      <c r="V164" s="246">
        <f>WTG_BD[[#This Row],[Breakdown Time]]*(1/39)</f>
        <v>8.461538461538462E-2</v>
      </c>
      <c r="W164" s="244" t="s">
        <v>152</v>
      </c>
      <c r="X164" s="250">
        <v>1575.7500000000002</v>
      </c>
      <c r="Y164" s="135" t="s">
        <v>470</v>
      </c>
      <c r="Z164" s="135" t="s">
        <v>475</v>
      </c>
      <c r="AA164" s="135">
        <v>11460</v>
      </c>
      <c r="AB164" s="249">
        <f>(WTG_BD[[#This Row],[Paired WTG Generation for loss calculation.]]/24)*WTG_BD[[#This Row],[Breakdown Time]]</f>
        <v>1575.7500000000002</v>
      </c>
      <c r="AC164" s="135"/>
      <c r="AD164" s="245"/>
      <c r="AE164" s="3"/>
    </row>
    <row r="165" spans="1:31">
      <c r="A165" s="241">
        <f t="shared" si="5"/>
        <v>164</v>
      </c>
      <c r="B165" s="255">
        <v>45750</v>
      </c>
      <c r="C165" s="252">
        <v>2025</v>
      </c>
      <c r="D165" s="252">
        <f>YEAR(WTG_BD[[#This Row],[Date]])</f>
        <v>2025</v>
      </c>
      <c r="E165" s="251">
        <f t="shared" ref="E165:E224" si="6">B165-DAY(B165)+1</f>
        <v>45748</v>
      </c>
      <c r="F165" s="252" t="s">
        <v>465</v>
      </c>
      <c r="G165" s="248" t="s">
        <v>144</v>
      </c>
      <c r="H165" s="242" t="str">
        <f>IFERROR(VLOOKUP(WTG_BD[[#This Row],[Affected WTG]],'Basic Data'!$A$3:$E$56,2,0),"")</f>
        <v>PWEGPL</v>
      </c>
      <c r="I165" s="242" t="str">
        <f>IFERROR(VLOOKUP(WTG_BD[[#This Row],[Affected WTG]],'Basic Data'!$A$3:$E$56,3,0),"")</f>
        <v>MSEDCL</v>
      </c>
      <c r="J165" s="243">
        <f>IFERROR(VLOOKUP(WTG_BD[[#This Row],[Affected WTG]],'Basic Data'!$A$3:$E$56,5,0),"")</f>
        <v>2.564102564102564E-2</v>
      </c>
      <c r="K165" s="158" t="s">
        <v>466</v>
      </c>
      <c r="L165" s="247" t="str">
        <f>VLOOKUP(K165,'Basic Data'!T:U,2,0)</f>
        <v>Manual Stop - Safety Related</v>
      </c>
      <c r="M165" s="135" t="s">
        <v>467</v>
      </c>
      <c r="N165" s="256">
        <v>0</v>
      </c>
      <c r="O165" s="256">
        <v>0.99930555555555556</v>
      </c>
      <c r="P165" s="256">
        <v>0.99930555555555556</v>
      </c>
      <c r="Q165" s="253">
        <f>IF(WTG_BD[[#This Row],[Work Start TimeStamp]]="","",(WTG_BD[[#This Row],[Work Start TimeStamp]]-WTG_BD[[#This Row],[Fault Start TimeStamp]])*24)</f>
        <v>23.983333333333334</v>
      </c>
      <c r="R165" s="253">
        <f>(WTG_BD[[#This Row],[Fault Clearance time]]-WTG_BD[[#This Row],[Work Start TimeStamp]])*24</f>
        <v>0</v>
      </c>
      <c r="S165" s="253">
        <f>(WTG_BD[[#This Row],[Fault Clearance time]]-WTG_BD[[#This Row],[Fault Start TimeStamp]])*24</f>
        <v>23.983333333333334</v>
      </c>
      <c r="T165" s="135" t="s">
        <v>468</v>
      </c>
      <c r="U165" s="244" t="s">
        <v>469</v>
      </c>
      <c r="V165" s="246">
        <f>WTG_BD[[#This Row],[Breakdown Time]]*(1/39)</f>
        <v>0.61495726495726499</v>
      </c>
      <c r="W165" s="244" t="s">
        <v>141</v>
      </c>
      <c r="X165" s="250">
        <v>6349.5875000000005</v>
      </c>
      <c r="Y165" s="135" t="s">
        <v>470</v>
      </c>
      <c r="Z165" s="135" t="s">
        <v>471</v>
      </c>
      <c r="AA165" s="135">
        <v>6354</v>
      </c>
      <c r="AB165" s="249">
        <f>(WTG_BD[[#This Row],[Paired WTG Generation for loss calculation.]]/24)*WTG_BD[[#This Row],[Breakdown Time]]</f>
        <v>6349.5875000000005</v>
      </c>
      <c r="AC165" s="135"/>
      <c r="AD165" s="245"/>
      <c r="AE165" s="3"/>
    </row>
    <row r="166" spans="1:31">
      <c r="A166" s="241">
        <f t="shared" si="5"/>
        <v>165</v>
      </c>
      <c r="B166" s="255">
        <v>45750</v>
      </c>
      <c r="C166" s="252">
        <v>2025</v>
      </c>
      <c r="D166" s="252">
        <f>YEAR(WTG_BD[[#This Row],[Date]])</f>
        <v>2025</v>
      </c>
      <c r="E166" s="251">
        <f t="shared" si="6"/>
        <v>45748</v>
      </c>
      <c r="F166" s="252" t="s">
        <v>465</v>
      </c>
      <c r="G166" s="248" t="s">
        <v>142</v>
      </c>
      <c r="H166" s="242" t="str">
        <f>IFERROR(VLOOKUP(WTG_BD[[#This Row],[Affected WTG]],'Basic Data'!$A$3:$E$56,2,0),"")</f>
        <v>PWEGPL</v>
      </c>
      <c r="I166" s="242" t="str">
        <f>IFERROR(VLOOKUP(WTG_BD[[#This Row],[Affected WTG]],'Basic Data'!$A$3:$E$56,3,0),"")</f>
        <v>MSEDCL</v>
      </c>
      <c r="J166" s="243">
        <f>IFERROR(VLOOKUP(WTG_BD[[#This Row],[Affected WTG]],'Basic Data'!$A$3:$E$56,5,0),"")</f>
        <v>2.564102564102564E-2</v>
      </c>
      <c r="K166" s="158" t="s">
        <v>466</v>
      </c>
      <c r="L166" s="247" t="str">
        <f>VLOOKUP(K166,'Basic Data'!T:U,2,0)</f>
        <v>Manual Stop - Safety Related</v>
      </c>
      <c r="M166" s="135" t="s">
        <v>467</v>
      </c>
      <c r="N166" s="256">
        <v>0</v>
      </c>
      <c r="O166" s="256">
        <v>0.99930555555555556</v>
      </c>
      <c r="P166" s="256">
        <v>0.99930555555555556</v>
      </c>
      <c r="Q166" s="253">
        <f>IF(WTG_BD[[#This Row],[Work Start TimeStamp]]="","",(WTG_BD[[#This Row],[Work Start TimeStamp]]-WTG_BD[[#This Row],[Fault Start TimeStamp]])*24)</f>
        <v>23.983333333333334</v>
      </c>
      <c r="R166" s="253">
        <f>(WTG_BD[[#This Row],[Fault Clearance time]]-WTG_BD[[#This Row],[Work Start TimeStamp]])*24</f>
        <v>0</v>
      </c>
      <c r="S166" s="253">
        <f>(WTG_BD[[#This Row],[Fault Clearance time]]-WTG_BD[[#This Row],[Fault Start TimeStamp]])*24</f>
        <v>23.983333333333334</v>
      </c>
      <c r="T166" s="135" t="s">
        <v>468</v>
      </c>
      <c r="U166" s="244" t="s">
        <v>469</v>
      </c>
      <c r="V166" s="246">
        <f>WTG_BD[[#This Row],[Breakdown Time]]*(1/39)</f>
        <v>0.61495726495726499</v>
      </c>
      <c r="W166" s="244" t="s">
        <v>141</v>
      </c>
      <c r="X166" s="250">
        <v>6349.5875000000005</v>
      </c>
      <c r="Y166" s="135" t="s">
        <v>470</v>
      </c>
      <c r="Z166" s="135" t="s">
        <v>471</v>
      </c>
      <c r="AA166" s="135">
        <v>6354</v>
      </c>
      <c r="AB166" s="249">
        <f>(WTG_BD[[#This Row],[Paired WTG Generation for loss calculation.]]/24)*WTG_BD[[#This Row],[Breakdown Time]]</f>
        <v>6349.5875000000005</v>
      </c>
      <c r="AC166" s="135"/>
      <c r="AD166" s="245"/>
      <c r="AE166" s="3"/>
    </row>
    <row r="167" spans="1:31">
      <c r="A167" s="241">
        <f t="shared" si="5"/>
        <v>166</v>
      </c>
      <c r="B167" s="255">
        <v>45750</v>
      </c>
      <c r="C167" s="252">
        <v>2025</v>
      </c>
      <c r="D167" s="252">
        <f>YEAR(WTG_BD[[#This Row],[Date]])</f>
        <v>2025</v>
      </c>
      <c r="E167" s="251">
        <f t="shared" si="6"/>
        <v>45748</v>
      </c>
      <c r="F167" s="252" t="s">
        <v>465</v>
      </c>
      <c r="G167" s="248" t="s">
        <v>118</v>
      </c>
      <c r="H167" s="242" t="str">
        <f>IFERROR(VLOOKUP(WTG_BD[[#This Row],[Affected WTG]],'Basic Data'!$A$3:$E$56,2,0),"")</f>
        <v>PWEGPL</v>
      </c>
      <c r="I167" s="242" t="str">
        <f>IFERROR(VLOOKUP(WTG_BD[[#This Row],[Affected WTG]],'Basic Data'!$A$3:$E$56,3,0),"")</f>
        <v>MSEDCL</v>
      </c>
      <c r="J167" s="243">
        <f>IFERROR(VLOOKUP(WTG_BD[[#This Row],[Affected WTG]],'Basic Data'!$A$3:$E$56,5,0),"")</f>
        <v>2.564102564102564E-2</v>
      </c>
      <c r="K167" s="158">
        <v>1825</v>
      </c>
      <c r="L167" s="247" t="str">
        <f>VLOOKUP(K167,'Basic Data'!T:U,2,0)</f>
        <v>Automatics Not Ok</v>
      </c>
      <c r="M167" s="135" t="s">
        <v>472</v>
      </c>
      <c r="N167" s="256">
        <v>0.26111111111111113</v>
      </c>
      <c r="O167" s="256">
        <v>0.26111111111111113</v>
      </c>
      <c r="P167" s="256">
        <v>0.26458333333333334</v>
      </c>
      <c r="Q167" s="253">
        <f>IF(WTG_BD[[#This Row],[Work Start TimeStamp]]="","",(WTG_BD[[#This Row],[Work Start TimeStamp]]-WTG_BD[[#This Row],[Fault Start TimeStamp]])*24)</f>
        <v>0</v>
      </c>
      <c r="R167" s="253">
        <f>(WTG_BD[[#This Row],[Fault Clearance time]]-WTG_BD[[#This Row],[Work Start TimeStamp]])*24</f>
        <v>8.3333333333333037E-2</v>
      </c>
      <c r="S167" s="253">
        <f>(WTG_BD[[#This Row],[Fault Clearance time]]-WTG_BD[[#This Row],[Fault Start TimeStamp]])*24</f>
        <v>8.3333333333333037E-2</v>
      </c>
      <c r="T167" s="135" t="s">
        <v>476</v>
      </c>
      <c r="U167" s="244" t="s">
        <v>474</v>
      </c>
      <c r="V167" s="246">
        <f>WTG_BD[[#This Row],[Breakdown Time]]*(1/39)</f>
        <v>2.1367521367521292E-3</v>
      </c>
      <c r="W167" s="244" t="s">
        <v>117</v>
      </c>
      <c r="X167" s="250">
        <v>22.437499999999922</v>
      </c>
      <c r="Y167" s="135" t="s">
        <v>470</v>
      </c>
      <c r="Z167" s="135" t="s">
        <v>475</v>
      </c>
      <c r="AA167" s="135">
        <v>6462</v>
      </c>
      <c r="AB167" s="249">
        <f>(WTG_BD[[#This Row],[Paired WTG Generation for loss calculation.]]/24)*WTG_BD[[#This Row],[Breakdown Time]]</f>
        <v>22.437499999999922</v>
      </c>
      <c r="AC167" s="135"/>
      <c r="AD167" s="245"/>
      <c r="AE167" s="3"/>
    </row>
    <row r="168" spans="1:31">
      <c r="A168" s="241">
        <f t="shared" si="5"/>
        <v>167</v>
      </c>
      <c r="B168" s="255">
        <v>45750</v>
      </c>
      <c r="C168" s="252">
        <v>2025</v>
      </c>
      <c r="D168" s="252">
        <f>YEAR(WTG_BD[[#This Row],[Date]])</f>
        <v>2025</v>
      </c>
      <c r="E168" s="251">
        <f t="shared" si="6"/>
        <v>45748</v>
      </c>
      <c r="F168" s="252" t="s">
        <v>465</v>
      </c>
      <c r="G168" s="248" t="s">
        <v>118</v>
      </c>
      <c r="H168" s="242" t="str">
        <f>IFERROR(VLOOKUP(WTG_BD[[#This Row],[Affected WTG]],'Basic Data'!$A$3:$E$56,2,0),"")</f>
        <v>PWEGPL</v>
      </c>
      <c r="I168" s="242" t="str">
        <f>IFERROR(VLOOKUP(WTG_BD[[#This Row],[Affected WTG]],'Basic Data'!$A$3:$E$56,3,0),"")</f>
        <v>MSEDCL</v>
      </c>
      <c r="J168" s="243">
        <f>IFERROR(VLOOKUP(WTG_BD[[#This Row],[Affected WTG]],'Basic Data'!$A$3:$E$56,5,0),"")</f>
        <v>2.564102564102564E-2</v>
      </c>
      <c r="K168" s="158">
        <v>1825</v>
      </c>
      <c r="L168" s="247" t="str">
        <f>VLOOKUP(K168,'Basic Data'!T:U,2,0)</f>
        <v>Automatics Not Ok</v>
      </c>
      <c r="M168" s="135" t="s">
        <v>472</v>
      </c>
      <c r="N168" s="256">
        <v>0.33194444444444443</v>
      </c>
      <c r="O168" s="256">
        <v>0.33194444444444443</v>
      </c>
      <c r="P168" s="256">
        <v>0.33541666666666664</v>
      </c>
      <c r="Q168" s="253">
        <f>IF(WTG_BD[[#This Row],[Work Start TimeStamp]]="","",(WTG_BD[[#This Row],[Work Start TimeStamp]]-WTG_BD[[#This Row],[Fault Start TimeStamp]])*24)</f>
        <v>0</v>
      </c>
      <c r="R168" s="253">
        <f>(WTG_BD[[#This Row],[Fault Clearance time]]-WTG_BD[[#This Row],[Work Start TimeStamp]])*24</f>
        <v>8.3333333333333037E-2</v>
      </c>
      <c r="S168" s="253">
        <f>(WTG_BD[[#This Row],[Fault Clearance time]]-WTG_BD[[#This Row],[Fault Start TimeStamp]])*24</f>
        <v>8.3333333333333037E-2</v>
      </c>
      <c r="T168" s="135" t="s">
        <v>476</v>
      </c>
      <c r="U168" s="244" t="s">
        <v>474</v>
      </c>
      <c r="V168" s="246">
        <f>WTG_BD[[#This Row],[Breakdown Time]]*(1/39)</f>
        <v>2.1367521367521292E-3</v>
      </c>
      <c r="W168" s="244" t="s">
        <v>117</v>
      </c>
      <c r="X168" s="250">
        <v>22.437499999999922</v>
      </c>
      <c r="Y168" s="135" t="s">
        <v>470</v>
      </c>
      <c r="Z168" s="135" t="s">
        <v>475</v>
      </c>
      <c r="AA168" s="135">
        <v>6462</v>
      </c>
      <c r="AB168" s="249">
        <f>(WTG_BD[[#This Row],[Paired WTG Generation for loss calculation.]]/24)*WTG_BD[[#This Row],[Breakdown Time]]</f>
        <v>22.437499999999922</v>
      </c>
      <c r="AC168" s="135"/>
      <c r="AD168" s="245"/>
      <c r="AE168" s="3"/>
    </row>
    <row r="169" spans="1:31">
      <c r="A169" s="241">
        <f t="shared" si="5"/>
        <v>168</v>
      </c>
      <c r="B169" s="255">
        <v>45750</v>
      </c>
      <c r="C169" s="252">
        <v>2025</v>
      </c>
      <c r="D169" s="252">
        <f>YEAR(WTG_BD[[#This Row],[Date]])</f>
        <v>2025</v>
      </c>
      <c r="E169" s="251">
        <f t="shared" si="6"/>
        <v>45748</v>
      </c>
      <c r="F169" s="252" t="s">
        <v>465</v>
      </c>
      <c r="G169" s="248" t="s">
        <v>118</v>
      </c>
      <c r="H169" s="242" t="str">
        <f>IFERROR(VLOOKUP(WTG_BD[[#This Row],[Affected WTG]],'Basic Data'!$A$3:$E$56,2,0),"")</f>
        <v>PWEGPL</v>
      </c>
      <c r="I169" s="242" t="str">
        <f>IFERROR(VLOOKUP(WTG_BD[[#This Row],[Affected WTG]],'Basic Data'!$A$3:$E$56,3,0),"")</f>
        <v>MSEDCL</v>
      </c>
      <c r="J169" s="243">
        <f>IFERROR(VLOOKUP(WTG_BD[[#This Row],[Affected WTG]],'Basic Data'!$A$3:$E$56,5,0),"")</f>
        <v>2.564102564102564E-2</v>
      </c>
      <c r="K169" s="158">
        <v>1825</v>
      </c>
      <c r="L169" s="247" t="str">
        <f>VLOOKUP(K169,'Basic Data'!T:U,2,0)</f>
        <v>Automatics Not Ok</v>
      </c>
      <c r="M169" s="135" t="s">
        <v>472</v>
      </c>
      <c r="N169" s="256">
        <v>0.67638888888888893</v>
      </c>
      <c r="O169" s="256">
        <v>0.67638888888888893</v>
      </c>
      <c r="P169" s="256">
        <v>0.67986111111111114</v>
      </c>
      <c r="Q169" s="253">
        <f>IF(WTG_BD[[#This Row],[Work Start TimeStamp]]="","",(WTG_BD[[#This Row],[Work Start TimeStamp]]-WTG_BD[[#This Row],[Fault Start TimeStamp]])*24)</f>
        <v>0</v>
      </c>
      <c r="R169" s="253">
        <f>(WTG_BD[[#This Row],[Fault Clearance time]]-WTG_BD[[#This Row],[Work Start TimeStamp]])*24</f>
        <v>8.3333333333333037E-2</v>
      </c>
      <c r="S169" s="253">
        <f>(WTG_BD[[#This Row],[Fault Clearance time]]-WTG_BD[[#This Row],[Fault Start TimeStamp]])*24</f>
        <v>8.3333333333333037E-2</v>
      </c>
      <c r="T169" s="135" t="s">
        <v>476</v>
      </c>
      <c r="U169" s="244" t="s">
        <v>474</v>
      </c>
      <c r="V169" s="246">
        <f>WTG_BD[[#This Row],[Breakdown Time]]*(1/39)</f>
        <v>2.1367521367521292E-3</v>
      </c>
      <c r="W169" s="244" t="s">
        <v>117</v>
      </c>
      <c r="X169" s="250">
        <v>22.437499999999922</v>
      </c>
      <c r="Y169" s="135" t="s">
        <v>470</v>
      </c>
      <c r="Z169" s="135" t="s">
        <v>475</v>
      </c>
      <c r="AA169" s="135">
        <v>6462</v>
      </c>
      <c r="AB169" s="249">
        <f>(WTG_BD[[#This Row],[Paired WTG Generation for loss calculation.]]/24)*WTG_BD[[#This Row],[Breakdown Time]]</f>
        <v>22.437499999999922</v>
      </c>
      <c r="AC169" s="135"/>
      <c r="AD169" s="245"/>
      <c r="AE169" s="3"/>
    </row>
    <row r="170" spans="1:31">
      <c r="A170" s="241">
        <f t="shared" si="5"/>
        <v>169</v>
      </c>
      <c r="B170" s="255">
        <v>45750</v>
      </c>
      <c r="C170" s="252">
        <v>2025</v>
      </c>
      <c r="D170" s="252">
        <f>YEAR(WTG_BD[[#This Row],[Date]])</f>
        <v>2025</v>
      </c>
      <c r="E170" s="251">
        <f t="shared" si="6"/>
        <v>45748</v>
      </c>
      <c r="F170" s="252" t="s">
        <v>465</v>
      </c>
      <c r="G170" s="248" t="s">
        <v>120</v>
      </c>
      <c r="H170" s="242" t="str">
        <f>IFERROR(VLOOKUP(WTG_BD[[#This Row],[Affected WTG]],'Basic Data'!$A$3:$E$56,2,0),"")</f>
        <v>PWEGPL</v>
      </c>
      <c r="I170" s="242" t="str">
        <f>IFERROR(VLOOKUP(WTG_BD[[#This Row],[Affected WTG]],'Basic Data'!$A$3:$E$56,3,0),"")</f>
        <v>MSEDCL</v>
      </c>
      <c r="J170" s="243">
        <f>IFERROR(VLOOKUP(WTG_BD[[#This Row],[Affected WTG]],'Basic Data'!$A$3:$E$56,5,0),"")</f>
        <v>2.564102564102564E-2</v>
      </c>
      <c r="K170" s="158">
        <v>5216</v>
      </c>
      <c r="L170" s="247" t="str">
        <f>VLOOKUP(K170,'Basic Data'!T:U,2,0)</f>
        <v>Grid Voltage Failure</v>
      </c>
      <c r="M170" s="135" t="s">
        <v>472</v>
      </c>
      <c r="N170" s="256">
        <v>0.75694444444444442</v>
      </c>
      <c r="O170" s="256">
        <v>0.79166666666666663</v>
      </c>
      <c r="P170" s="256">
        <v>0.81388888888888888</v>
      </c>
      <c r="Q170" s="253">
        <f>IF(WTG_BD[[#This Row],[Work Start TimeStamp]]="","",(WTG_BD[[#This Row],[Work Start TimeStamp]]-WTG_BD[[#This Row],[Fault Start TimeStamp]])*24)</f>
        <v>0.83333333333333304</v>
      </c>
      <c r="R170" s="253">
        <f>(WTG_BD[[#This Row],[Fault Clearance time]]-WTG_BD[[#This Row],[Work Start TimeStamp]])*24</f>
        <v>0.5333333333333341</v>
      </c>
      <c r="S170" s="253">
        <f>(WTG_BD[[#This Row],[Fault Clearance time]]-WTG_BD[[#This Row],[Fault Start TimeStamp]])*24</f>
        <v>1.3666666666666671</v>
      </c>
      <c r="T170" s="135" t="s">
        <v>504</v>
      </c>
      <c r="U170" s="244" t="s">
        <v>474</v>
      </c>
      <c r="V170" s="246">
        <f>WTG_BD[[#This Row],[Breakdown Time]]*(1/39)</f>
        <v>3.5042735042735057E-2</v>
      </c>
      <c r="W170" s="244" t="s">
        <v>117</v>
      </c>
      <c r="X170" s="250">
        <v>367.97500000000014</v>
      </c>
      <c r="Y170" s="135" t="s">
        <v>470</v>
      </c>
      <c r="Z170" s="135" t="s">
        <v>475</v>
      </c>
      <c r="AA170" s="135">
        <v>6462</v>
      </c>
      <c r="AB170" s="249">
        <f>(WTG_BD[[#This Row],[Paired WTG Generation for loss calculation.]]/24)*WTG_BD[[#This Row],[Breakdown Time]]</f>
        <v>367.97500000000014</v>
      </c>
      <c r="AC170" s="135"/>
      <c r="AD170" s="245"/>
      <c r="AE170" s="3"/>
    </row>
    <row r="171" spans="1:31">
      <c r="A171" s="241">
        <f t="shared" si="5"/>
        <v>170</v>
      </c>
      <c r="B171" s="255">
        <v>45750</v>
      </c>
      <c r="C171" s="252">
        <v>2025</v>
      </c>
      <c r="D171" s="252">
        <f>YEAR(WTG_BD[[#This Row],[Date]])</f>
        <v>2025</v>
      </c>
      <c r="E171" s="251">
        <f t="shared" si="6"/>
        <v>45748</v>
      </c>
      <c r="F171" s="252" t="s">
        <v>465</v>
      </c>
      <c r="G171" s="248" t="s">
        <v>120</v>
      </c>
      <c r="H171" s="242" t="str">
        <f>IFERROR(VLOOKUP(WTG_BD[[#This Row],[Affected WTG]],'Basic Data'!$A$3:$E$56,2,0),"")</f>
        <v>PWEGPL</v>
      </c>
      <c r="I171" s="242" t="str">
        <f>IFERROR(VLOOKUP(WTG_BD[[#This Row],[Affected WTG]],'Basic Data'!$A$3:$E$56,3,0),"")</f>
        <v>MSEDCL</v>
      </c>
      <c r="J171" s="243">
        <f>IFERROR(VLOOKUP(WTG_BD[[#This Row],[Affected WTG]],'Basic Data'!$A$3:$E$56,5,0),"")</f>
        <v>2.564102564102564E-2</v>
      </c>
      <c r="K171" s="158">
        <v>5216</v>
      </c>
      <c r="L171" s="247" t="str">
        <f>VLOOKUP(K171,'Basic Data'!T:U,2,0)</f>
        <v>Grid Voltage Failure</v>
      </c>
      <c r="M171" s="135" t="s">
        <v>472</v>
      </c>
      <c r="N171" s="256">
        <v>0.83402777777777781</v>
      </c>
      <c r="O171" s="256">
        <v>0.90763888888888888</v>
      </c>
      <c r="P171" s="256">
        <v>0.99930555555555556</v>
      </c>
      <c r="Q171" s="253">
        <f>IF(WTG_BD[[#This Row],[Work Start TimeStamp]]="","",(WTG_BD[[#This Row],[Work Start TimeStamp]]-WTG_BD[[#This Row],[Fault Start TimeStamp]])*24)</f>
        <v>1.7666666666666657</v>
      </c>
      <c r="R171" s="253">
        <f>(WTG_BD[[#This Row],[Fault Clearance time]]-WTG_BD[[#This Row],[Work Start TimeStamp]])*24</f>
        <v>2.2000000000000002</v>
      </c>
      <c r="S171" s="253">
        <f>(WTG_BD[[#This Row],[Fault Clearance time]]-WTG_BD[[#This Row],[Fault Start TimeStamp]])*24</f>
        <v>3.9666666666666659</v>
      </c>
      <c r="T171" s="135" t="s">
        <v>486</v>
      </c>
      <c r="U171" s="244" t="s">
        <v>469</v>
      </c>
      <c r="V171" s="246">
        <f>WTG_BD[[#This Row],[Breakdown Time]]*(1/39)</f>
        <v>0.10170940170940168</v>
      </c>
      <c r="W171" s="244" t="s">
        <v>117</v>
      </c>
      <c r="X171" s="250">
        <v>1068.0249999999999</v>
      </c>
      <c r="Y171" s="135" t="s">
        <v>470</v>
      </c>
      <c r="Z171" s="135" t="s">
        <v>475</v>
      </c>
      <c r="AA171" s="135">
        <v>6462</v>
      </c>
      <c r="AB171" s="249">
        <f>(WTG_BD[[#This Row],[Paired WTG Generation for loss calculation.]]/24)*WTG_BD[[#This Row],[Breakdown Time]]</f>
        <v>1068.0249999999999</v>
      </c>
      <c r="AC171" s="135"/>
      <c r="AD171" s="245"/>
      <c r="AE171" s="3"/>
    </row>
    <row r="172" spans="1:31">
      <c r="A172" s="241">
        <f t="shared" si="5"/>
        <v>171</v>
      </c>
      <c r="B172" s="255">
        <v>45750</v>
      </c>
      <c r="C172" s="252">
        <v>2025</v>
      </c>
      <c r="D172" s="252">
        <f>YEAR(WTG_BD[[#This Row],[Date]])</f>
        <v>2025</v>
      </c>
      <c r="E172" s="251">
        <f t="shared" si="6"/>
        <v>45748</v>
      </c>
      <c r="F172" s="252" t="s">
        <v>465</v>
      </c>
      <c r="G172" s="248" t="s">
        <v>121</v>
      </c>
      <c r="H172" s="242" t="str">
        <f>IFERROR(VLOOKUP(WTG_BD[[#This Row],[Affected WTG]],'Basic Data'!$A$3:$E$56,2,0),"")</f>
        <v>PWEGPL</v>
      </c>
      <c r="I172" s="242" t="str">
        <f>IFERROR(VLOOKUP(WTG_BD[[#This Row],[Affected WTG]],'Basic Data'!$A$3:$E$56,3,0),"")</f>
        <v>MSEDCL</v>
      </c>
      <c r="J172" s="243">
        <f>IFERROR(VLOOKUP(WTG_BD[[#This Row],[Affected WTG]],'Basic Data'!$A$3:$E$56,5,0),"")</f>
        <v>2.564102564102564E-2</v>
      </c>
      <c r="K172" s="158">
        <v>205</v>
      </c>
      <c r="L172" s="247" t="str">
        <f>VLOOKUP(K172,'Basic Data'!T:U,2,0)</f>
        <v>Low Level Hydraulic Group Refrigeration Oil</v>
      </c>
      <c r="M172" s="135" t="s">
        <v>472</v>
      </c>
      <c r="N172" s="256">
        <v>0.15486111111111112</v>
      </c>
      <c r="O172" s="256">
        <v>0.15486111111111112</v>
      </c>
      <c r="P172" s="256">
        <v>0.28680555555555554</v>
      </c>
      <c r="Q172" s="253">
        <f>IF(WTG_BD[[#This Row],[Work Start TimeStamp]]="","",(WTG_BD[[#This Row],[Work Start TimeStamp]]-WTG_BD[[#This Row],[Fault Start TimeStamp]])*24)</f>
        <v>0</v>
      </c>
      <c r="R172" s="253">
        <f>(WTG_BD[[#This Row],[Fault Clearance time]]-WTG_BD[[#This Row],[Work Start TimeStamp]])*24</f>
        <v>3.1666666666666661</v>
      </c>
      <c r="S172" s="253">
        <f>(WTG_BD[[#This Row],[Fault Clearance time]]-WTG_BD[[#This Row],[Fault Start TimeStamp]])*24</f>
        <v>3.1666666666666661</v>
      </c>
      <c r="T172" s="135" t="s">
        <v>473</v>
      </c>
      <c r="U172" s="244" t="s">
        <v>474</v>
      </c>
      <c r="V172" s="246">
        <f>WTG_BD[[#This Row],[Breakdown Time]]*(1/39)</f>
        <v>8.1196581196581172E-2</v>
      </c>
      <c r="W172" s="244" t="s">
        <v>115</v>
      </c>
      <c r="X172" s="250">
        <v>929.94444444444434</v>
      </c>
      <c r="Y172" s="135" t="s">
        <v>470</v>
      </c>
      <c r="Z172" s="135" t="s">
        <v>475</v>
      </c>
      <c r="AA172" s="135">
        <v>7048</v>
      </c>
      <c r="AB172" s="249">
        <f>(WTG_BD[[#This Row],[Paired WTG Generation for loss calculation.]]/24)*WTG_BD[[#This Row],[Breakdown Time]]</f>
        <v>929.94444444444434</v>
      </c>
      <c r="AC172" s="135"/>
      <c r="AD172" s="245"/>
      <c r="AE172" s="3"/>
    </row>
    <row r="173" spans="1:31">
      <c r="A173" s="241">
        <f t="shared" si="5"/>
        <v>172</v>
      </c>
      <c r="B173" s="255">
        <v>45750</v>
      </c>
      <c r="C173" s="252">
        <v>2025</v>
      </c>
      <c r="D173" s="252">
        <f>YEAR(WTG_BD[[#This Row],[Date]])</f>
        <v>2025</v>
      </c>
      <c r="E173" s="251">
        <f t="shared" si="6"/>
        <v>45748</v>
      </c>
      <c r="F173" s="252" t="s">
        <v>465</v>
      </c>
      <c r="G173" s="248" t="s">
        <v>121</v>
      </c>
      <c r="H173" s="242" t="str">
        <f>IFERROR(VLOOKUP(WTG_BD[[#This Row],[Affected WTG]],'Basic Data'!$A$3:$E$56,2,0),"")</f>
        <v>PWEGPL</v>
      </c>
      <c r="I173" s="242" t="str">
        <f>IFERROR(VLOOKUP(WTG_BD[[#This Row],[Affected WTG]],'Basic Data'!$A$3:$E$56,3,0),"")</f>
        <v>MSEDCL</v>
      </c>
      <c r="J173" s="243">
        <f>IFERROR(VLOOKUP(WTG_BD[[#This Row],[Affected WTG]],'Basic Data'!$A$3:$E$56,5,0),"")</f>
        <v>2.564102564102564E-2</v>
      </c>
      <c r="K173" s="158">
        <v>813</v>
      </c>
      <c r="L173" s="247" t="str">
        <f>VLOOKUP(K173,'Basic Data'!T:U,2,0)</f>
        <v>Low Pressure Of Emergency Accumulators</v>
      </c>
      <c r="M173" s="135" t="s">
        <v>472</v>
      </c>
      <c r="N173" s="256">
        <v>0.77916666666666667</v>
      </c>
      <c r="O173" s="256">
        <v>0.82638888888888884</v>
      </c>
      <c r="P173" s="256">
        <v>0.82638888888888884</v>
      </c>
      <c r="Q173" s="253">
        <f>IF(WTG_BD[[#This Row],[Work Start TimeStamp]]="","",(WTG_BD[[#This Row],[Work Start TimeStamp]]-WTG_BD[[#This Row],[Fault Start TimeStamp]])*24)</f>
        <v>1.133333333333332</v>
      </c>
      <c r="R173" s="253">
        <f>(WTG_BD[[#This Row],[Fault Clearance time]]-WTG_BD[[#This Row],[Work Start TimeStamp]])*24</f>
        <v>0</v>
      </c>
      <c r="S173" s="253">
        <f>(WTG_BD[[#This Row],[Fault Clearance time]]-WTG_BD[[#This Row],[Fault Start TimeStamp]])*24</f>
        <v>1.133333333333332</v>
      </c>
      <c r="T173" s="135" t="s">
        <v>473</v>
      </c>
      <c r="U173" s="244" t="s">
        <v>474</v>
      </c>
      <c r="V173" s="246">
        <f>WTG_BD[[#This Row],[Breakdown Time]]*(1/39)</f>
        <v>2.9059829059829023E-2</v>
      </c>
      <c r="W173" s="244" t="s">
        <v>115</v>
      </c>
      <c r="X173" s="250">
        <v>332.82222222222185</v>
      </c>
      <c r="Y173" s="135" t="s">
        <v>470</v>
      </c>
      <c r="Z173" s="135" t="s">
        <v>475</v>
      </c>
      <c r="AA173" s="135">
        <v>7048</v>
      </c>
      <c r="AB173" s="249">
        <f>(WTG_BD[[#This Row],[Paired WTG Generation for loss calculation.]]/24)*WTG_BD[[#This Row],[Breakdown Time]]</f>
        <v>332.82222222222185</v>
      </c>
      <c r="AC173" s="135"/>
      <c r="AD173" s="245"/>
      <c r="AE173" s="3"/>
    </row>
    <row r="174" spans="1:31">
      <c r="A174" s="241">
        <f t="shared" si="5"/>
        <v>173</v>
      </c>
      <c r="B174" s="255">
        <v>45750</v>
      </c>
      <c r="C174" s="252">
        <v>2025</v>
      </c>
      <c r="D174" s="252">
        <f>YEAR(WTG_BD[[#This Row],[Date]])</f>
        <v>2025</v>
      </c>
      <c r="E174" s="251">
        <f t="shared" si="6"/>
        <v>45748</v>
      </c>
      <c r="F174" s="252" t="s">
        <v>465</v>
      </c>
      <c r="G174" s="248" t="s">
        <v>121</v>
      </c>
      <c r="H174" s="242" t="str">
        <f>IFERROR(VLOOKUP(WTG_BD[[#This Row],[Affected WTG]],'Basic Data'!$A$3:$E$56,2,0),"")</f>
        <v>PWEGPL</v>
      </c>
      <c r="I174" s="242" t="str">
        <f>IFERROR(VLOOKUP(WTG_BD[[#This Row],[Affected WTG]],'Basic Data'!$A$3:$E$56,3,0),"")</f>
        <v>MSEDCL</v>
      </c>
      <c r="J174" s="243">
        <f>IFERROR(VLOOKUP(WTG_BD[[#This Row],[Affected WTG]],'Basic Data'!$A$3:$E$56,5,0),"")</f>
        <v>2.564102564102564E-2</v>
      </c>
      <c r="K174" s="158">
        <v>2102</v>
      </c>
      <c r="L174" s="247" t="str">
        <f>VLOOKUP(K174,'Basic Data'!T:U,2,0)</f>
        <v>PLC Module Failure</v>
      </c>
      <c r="M174" s="135" t="s">
        <v>472</v>
      </c>
      <c r="N174" s="256">
        <v>0.85972222222222228</v>
      </c>
      <c r="O174" s="256">
        <v>0.85972222222222228</v>
      </c>
      <c r="P174" s="256">
        <v>0.99930555555555556</v>
      </c>
      <c r="Q174" s="253">
        <f>IF(WTG_BD[[#This Row],[Work Start TimeStamp]]="","",(WTG_BD[[#This Row],[Work Start TimeStamp]]-WTG_BD[[#This Row],[Fault Start TimeStamp]])*24)</f>
        <v>0</v>
      </c>
      <c r="R174" s="253">
        <f>(WTG_BD[[#This Row],[Fault Clearance time]]-WTG_BD[[#This Row],[Work Start TimeStamp]])*24</f>
        <v>3.3499999999999988</v>
      </c>
      <c r="S174" s="253">
        <f>(WTG_BD[[#This Row],[Fault Clearance time]]-WTG_BD[[#This Row],[Fault Start TimeStamp]])*24</f>
        <v>3.3499999999999988</v>
      </c>
      <c r="T174" s="135" t="s">
        <v>486</v>
      </c>
      <c r="U174" s="244" t="s">
        <v>474</v>
      </c>
      <c r="V174" s="246">
        <f>WTG_BD[[#This Row],[Breakdown Time]]*(1/39)</f>
        <v>8.5897435897435856E-2</v>
      </c>
      <c r="W174" s="244" t="s">
        <v>115</v>
      </c>
      <c r="X174" s="250">
        <v>983.78333333333308</v>
      </c>
      <c r="Y174" s="135" t="s">
        <v>470</v>
      </c>
      <c r="Z174" s="135" t="s">
        <v>475</v>
      </c>
      <c r="AA174" s="135">
        <v>7048</v>
      </c>
      <c r="AB174" s="249">
        <f>(WTG_BD[[#This Row],[Paired WTG Generation for loss calculation.]]/24)*WTG_BD[[#This Row],[Breakdown Time]]</f>
        <v>983.78333333333308</v>
      </c>
      <c r="AC174" s="135"/>
      <c r="AD174" s="245"/>
      <c r="AE174" s="3"/>
    </row>
    <row r="175" spans="1:31">
      <c r="A175" s="241">
        <f t="shared" si="5"/>
        <v>174</v>
      </c>
      <c r="B175" s="255">
        <v>45750</v>
      </c>
      <c r="C175" s="252">
        <v>2025</v>
      </c>
      <c r="D175" s="252">
        <f>YEAR(WTG_BD[[#This Row],[Date]])</f>
        <v>2025</v>
      </c>
      <c r="E175" s="251">
        <f t="shared" si="6"/>
        <v>45748</v>
      </c>
      <c r="F175" s="252" t="s">
        <v>465</v>
      </c>
      <c r="G175" s="248" t="s">
        <v>127</v>
      </c>
      <c r="H175" s="242" t="str">
        <f>IFERROR(VLOOKUP(WTG_BD[[#This Row],[Affected WTG]],'Basic Data'!$A$3:$E$56,2,0),"")</f>
        <v>PWEGPL</v>
      </c>
      <c r="I175" s="242" t="str">
        <f>IFERROR(VLOOKUP(WTG_BD[[#This Row],[Affected WTG]],'Basic Data'!$A$3:$E$56,3,0),"")</f>
        <v>MSEDCL</v>
      </c>
      <c r="J175" s="243">
        <f>IFERROR(VLOOKUP(WTG_BD[[#This Row],[Affected WTG]],'Basic Data'!$A$3:$E$56,5,0),"")</f>
        <v>2.564102564102564E-2</v>
      </c>
      <c r="K175" s="158">
        <v>500</v>
      </c>
      <c r="L175" s="247" t="str">
        <f>VLOOKUP(K175,'Basic Data'!T:U,2,0)</f>
        <v>High Generator Winding Temperature</v>
      </c>
      <c r="M175" s="135" t="s">
        <v>472</v>
      </c>
      <c r="N175" s="256">
        <v>0.47986111111111113</v>
      </c>
      <c r="O175" s="256">
        <v>0.47986111111111113</v>
      </c>
      <c r="P175" s="256">
        <v>0.48333333333333334</v>
      </c>
      <c r="Q175" s="253">
        <f>IF(WTG_BD[[#This Row],[Work Start TimeStamp]]="","",(WTG_BD[[#This Row],[Work Start TimeStamp]]-WTG_BD[[#This Row],[Fault Start TimeStamp]])*24)</f>
        <v>0</v>
      </c>
      <c r="R175" s="253">
        <f>(WTG_BD[[#This Row],[Fault Clearance time]]-WTG_BD[[#This Row],[Work Start TimeStamp]])*24</f>
        <v>8.3333333333333037E-2</v>
      </c>
      <c r="S175" s="253">
        <f>(WTG_BD[[#This Row],[Fault Clearance time]]-WTG_BD[[#This Row],[Fault Start TimeStamp]])*24</f>
        <v>8.3333333333333037E-2</v>
      </c>
      <c r="T175" s="135" t="s">
        <v>476</v>
      </c>
      <c r="U175" s="244" t="s">
        <v>474</v>
      </c>
      <c r="V175" s="246">
        <f>WTG_BD[[#This Row],[Breakdown Time]]*(1/39)</f>
        <v>2.1367521367521292E-3</v>
      </c>
      <c r="W175" s="244" t="s">
        <v>126</v>
      </c>
      <c r="X175" s="250">
        <v>31.006944444444333</v>
      </c>
      <c r="Y175" s="135" t="s">
        <v>470</v>
      </c>
      <c r="Z175" s="135" t="s">
        <v>475</v>
      </c>
      <c r="AA175" s="135">
        <v>8930</v>
      </c>
      <c r="AB175" s="249">
        <f>(WTG_BD[[#This Row],[Paired WTG Generation for loss calculation.]]/24)*WTG_BD[[#This Row],[Breakdown Time]]</f>
        <v>31.006944444444333</v>
      </c>
      <c r="AC175" s="135"/>
      <c r="AD175" s="245"/>
      <c r="AE175" s="3"/>
    </row>
    <row r="176" spans="1:31">
      <c r="A176" s="241">
        <f t="shared" si="5"/>
        <v>175</v>
      </c>
      <c r="B176" s="255">
        <v>45750</v>
      </c>
      <c r="C176" s="252">
        <v>2025</v>
      </c>
      <c r="D176" s="252">
        <f>YEAR(WTG_BD[[#This Row],[Date]])</f>
        <v>2025</v>
      </c>
      <c r="E176" s="251">
        <f t="shared" si="6"/>
        <v>45748</v>
      </c>
      <c r="F176" s="252" t="s">
        <v>465</v>
      </c>
      <c r="G176" s="248" t="s">
        <v>130</v>
      </c>
      <c r="H176" s="242" t="str">
        <f>IFERROR(VLOOKUP(WTG_BD[[#This Row],[Affected WTG]],'Basic Data'!$A$3:$E$56,2,0),"")</f>
        <v>PWEGPL</v>
      </c>
      <c r="I176" s="242" t="str">
        <f>IFERROR(VLOOKUP(WTG_BD[[#This Row],[Affected WTG]],'Basic Data'!$A$3:$E$56,3,0),"")</f>
        <v>MSEDCL</v>
      </c>
      <c r="J176" s="243">
        <f>IFERROR(VLOOKUP(WTG_BD[[#This Row],[Affected WTG]],'Basic Data'!$A$3:$E$56,5,0),"")</f>
        <v>2.564102564102564E-2</v>
      </c>
      <c r="K176" s="158">
        <v>2118</v>
      </c>
      <c r="L176" s="247" t="str">
        <f>VLOOKUP(K176,'Basic Data'!T:U,2,0)</f>
        <v>Bus Error - Interbus Failure</v>
      </c>
      <c r="M176" s="135" t="s">
        <v>472</v>
      </c>
      <c r="N176" s="256">
        <v>0.81944444444444442</v>
      </c>
      <c r="O176" s="256">
        <v>0.92222222222222228</v>
      </c>
      <c r="P176" s="256">
        <v>0.94444444444444442</v>
      </c>
      <c r="Q176" s="253">
        <f>IF(WTG_BD[[#This Row],[Work Start TimeStamp]]="","",(WTG_BD[[#This Row],[Work Start TimeStamp]]-WTG_BD[[#This Row],[Fault Start TimeStamp]])*24)</f>
        <v>2.4666666666666686</v>
      </c>
      <c r="R176" s="253">
        <f>(WTG_BD[[#This Row],[Fault Clearance time]]-WTG_BD[[#This Row],[Work Start TimeStamp]])*24</f>
        <v>0.53333333333333144</v>
      </c>
      <c r="S176" s="253">
        <f>(WTG_BD[[#This Row],[Fault Clearance time]]-WTG_BD[[#This Row],[Fault Start TimeStamp]])*24</f>
        <v>3</v>
      </c>
      <c r="T176" s="135" t="s">
        <v>482</v>
      </c>
      <c r="U176" s="244" t="s">
        <v>474</v>
      </c>
      <c r="V176" s="246">
        <f>WTG_BD[[#This Row],[Breakdown Time]]*(1/39)</f>
        <v>7.6923076923076927E-2</v>
      </c>
      <c r="W176" s="244" t="s">
        <v>131</v>
      </c>
      <c r="X176" s="250">
        <v>1269</v>
      </c>
      <c r="Y176" s="135" t="s">
        <v>470</v>
      </c>
      <c r="Z176" s="135" t="s">
        <v>475</v>
      </c>
      <c r="AA176" s="135">
        <v>10152</v>
      </c>
      <c r="AB176" s="249">
        <f>(WTG_BD[[#This Row],[Paired WTG Generation for loss calculation.]]/24)*WTG_BD[[#This Row],[Breakdown Time]]</f>
        <v>1269</v>
      </c>
      <c r="AC176" s="135"/>
      <c r="AD176" s="245"/>
      <c r="AE176" s="3"/>
    </row>
    <row r="177" spans="1:31">
      <c r="A177" s="241">
        <f t="shared" si="5"/>
        <v>176</v>
      </c>
      <c r="B177" s="255">
        <v>45750</v>
      </c>
      <c r="C177" s="252">
        <v>2025</v>
      </c>
      <c r="D177" s="252">
        <f>YEAR(WTG_BD[[#This Row],[Date]])</f>
        <v>2025</v>
      </c>
      <c r="E177" s="251">
        <f t="shared" si="6"/>
        <v>45748</v>
      </c>
      <c r="F177" s="252" t="s">
        <v>465</v>
      </c>
      <c r="G177" s="248" t="s">
        <v>130</v>
      </c>
      <c r="H177" s="242" t="str">
        <f>IFERROR(VLOOKUP(WTG_BD[[#This Row],[Affected WTG]],'Basic Data'!$A$3:$E$56,2,0),"")</f>
        <v>PWEGPL</v>
      </c>
      <c r="I177" s="242" t="str">
        <f>IFERROR(VLOOKUP(WTG_BD[[#This Row],[Affected WTG]],'Basic Data'!$A$3:$E$56,3,0),"")</f>
        <v>MSEDCL</v>
      </c>
      <c r="J177" s="243">
        <f>IFERROR(VLOOKUP(WTG_BD[[#This Row],[Affected WTG]],'Basic Data'!$A$3:$E$56,5,0),"")</f>
        <v>2.564102564102564E-2</v>
      </c>
      <c r="K177" s="158">
        <v>5248</v>
      </c>
      <c r="L177" s="247" t="str">
        <f>VLOOKUP(K177,'Basic Data'!T:U,2,0)</f>
        <v>Active Crowbar IGBT Errors</v>
      </c>
      <c r="M177" s="135" t="s">
        <v>472</v>
      </c>
      <c r="N177" s="256">
        <v>0.99375000000000002</v>
      </c>
      <c r="O177" s="256">
        <v>0.99375000000000002</v>
      </c>
      <c r="P177" s="256">
        <v>0.99930555555555556</v>
      </c>
      <c r="Q177" s="253">
        <f>IF(WTG_BD[[#This Row],[Work Start TimeStamp]]="","",(WTG_BD[[#This Row],[Work Start TimeStamp]]-WTG_BD[[#This Row],[Fault Start TimeStamp]])*24)</f>
        <v>0</v>
      </c>
      <c r="R177" s="253">
        <f>(WTG_BD[[#This Row],[Fault Clearance time]]-WTG_BD[[#This Row],[Work Start TimeStamp]])*24</f>
        <v>0.13333333333333286</v>
      </c>
      <c r="S177" s="253">
        <f>(WTG_BD[[#This Row],[Fault Clearance time]]-WTG_BD[[#This Row],[Fault Start TimeStamp]])*24</f>
        <v>0.13333333333333286</v>
      </c>
      <c r="T177" s="135" t="s">
        <v>486</v>
      </c>
      <c r="U177" s="244" t="s">
        <v>474</v>
      </c>
      <c r="V177" s="246">
        <f>WTG_BD[[#This Row],[Breakdown Time]]*(1/39)</f>
        <v>3.4188034188034067E-3</v>
      </c>
      <c r="W177" s="244" t="s">
        <v>131</v>
      </c>
      <c r="X177" s="250">
        <v>56.3999999999998</v>
      </c>
      <c r="Y177" s="135" t="s">
        <v>470</v>
      </c>
      <c r="Z177" s="135" t="s">
        <v>475</v>
      </c>
      <c r="AA177" s="135">
        <v>10152</v>
      </c>
      <c r="AB177" s="249">
        <f>(WTG_BD[[#This Row],[Paired WTG Generation for loss calculation.]]/24)*WTG_BD[[#This Row],[Breakdown Time]]</f>
        <v>56.3999999999998</v>
      </c>
      <c r="AC177" s="135"/>
      <c r="AD177" s="245"/>
      <c r="AE177" s="3"/>
    </row>
    <row r="178" spans="1:31">
      <c r="A178" s="241">
        <f t="shared" si="5"/>
        <v>177</v>
      </c>
      <c r="B178" s="255">
        <v>45750</v>
      </c>
      <c r="C178" s="252">
        <v>2025</v>
      </c>
      <c r="D178" s="252">
        <f>YEAR(WTG_BD[[#This Row],[Date]])</f>
        <v>2025</v>
      </c>
      <c r="E178" s="251">
        <f t="shared" si="6"/>
        <v>45748</v>
      </c>
      <c r="F178" s="252" t="s">
        <v>465</v>
      </c>
      <c r="G178" s="248" t="s">
        <v>132</v>
      </c>
      <c r="H178" s="242" t="str">
        <f>IFERROR(VLOOKUP(WTG_BD[[#This Row],[Affected WTG]],'Basic Data'!$A$3:$E$56,2,0),"")</f>
        <v>PWEGPL</v>
      </c>
      <c r="I178" s="242" t="str">
        <f>IFERROR(VLOOKUP(WTG_BD[[#This Row],[Affected WTG]],'Basic Data'!$A$3:$E$56,3,0),"")</f>
        <v>MSEDCL</v>
      </c>
      <c r="J178" s="243">
        <f>IFERROR(VLOOKUP(WTG_BD[[#This Row],[Affected WTG]],'Basic Data'!$A$3:$E$56,5,0),"")</f>
        <v>2.564102564102564E-2</v>
      </c>
      <c r="K178" s="158">
        <v>813</v>
      </c>
      <c r="L178" s="247" t="str">
        <f>VLOOKUP(K178,'Basic Data'!T:U,2,0)</f>
        <v>Low Pressure Of Emergency Accumulators</v>
      </c>
      <c r="M178" s="135" t="s">
        <v>472</v>
      </c>
      <c r="N178" s="256">
        <v>0.82361111111111107</v>
      </c>
      <c r="O178" s="256">
        <v>0.82361111111111107</v>
      </c>
      <c r="P178" s="256">
        <v>0.82708333333333328</v>
      </c>
      <c r="Q178" s="253">
        <f>IF(WTG_BD[[#This Row],[Work Start TimeStamp]]="","",(WTG_BD[[#This Row],[Work Start TimeStamp]]-WTG_BD[[#This Row],[Fault Start TimeStamp]])*24)</f>
        <v>0</v>
      </c>
      <c r="R178" s="253">
        <f>(WTG_BD[[#This Row],[Fault Clearance time]]-WTG_BD[[#This Row],[Work Start TimeStamp]])*24</f>
        <v>8.3333333333333037E-2</v>
      </c>
      <c r="S178" s="253">
        <f>(WTG_BD[[#This Row],[Fault Clearance time]]-WTG_BD[[#This Row],[Fault Start TimeStamp]])*24</f>
        <v>8.3333333333333037E-2</v>
      </c>
      <c r="T178" s="135" t="s">
        <v>476</v>
      </c>
      <c r="U178" s="244" t="s">
        <v>474</v>
      </c>
      <c r="V178" s="246">
        <f>WTG_BD[[#This Row],[Breakdown Time]]*(1/39)</f>
        <v>2.1367521367521292E-3</v>
      </c>
      <c r="W178" s="244" t="s">
        <v>133</v>
      </c>
      <c r="X178" s="250">
        <v>35.694444444444315</v>
      </c>
      <c r="Y178" s="135" t="s">
        <v>470</v>
      </c>
      <c r="Z178" s="135" t="s">
        <v>475</v>
      </c>
      <c r="AA178" s="135">
        <v>10280</v>
      </c>
      <c r="AB178" s="249">
        <f>(WTG_BD[[#This Row],[Paired WTG Generation for loss calculation.]]/24)*WTG_BD[[#This Row],[Breakdown Time]]</f>
        <v>35.694444444444315</v>
      </c>
      <c r="AC178" s="135"/>
      <c r="AD178" s="245"/>
      <c r="AE178" s="3"/>
    </row>
    <row r="179" spans="1:31">
      <c r="A179" s="241">
        <f t="shared" si="5"/>
        <v>178</v>
      </c>
      <c r="B179" s="255">
        <v>45750</v>
      </c>
      <c r="C179" s="252">
        <v>2025</v>
      </c>
      <c r="D179" s="252">
        <f>YEAR(WTG_BD[[#This Row],[Date]])</f>
        <v>2025</v>
      </c>
      <c r="E179" s="251">
        <f t="shared" si="6"/>
        <v>45748</v>
      </c>
      <c r="F179" s="252" t="s">
        <v>465</v>
      </c>
      <c r="G179" s="248" t="s">
        <v>132</v>
      </c>
      <c r="H179" s="242" t="str">
        <f>IFERROR(VLOOKUP(WTG_BD[[#This Row],[Affected WTG]],'Basic Data'!$A$3:$E$56,2,0),"")</f>
        <v>PWEGPL</v>
      </c>
      <c r="I179" s="242" t="str">
        <f>IFERROR(VLOOKUP(WTG_BD[[#This Row],[Affected WTG]],'Basic Data'!$A$3:$E$56,3,0),"")</f>
        <v>MSEDCL</v>
      </c>
      <c r="J179" s="243">
        <f>IFERROR(VLOOKUP(WTG_BD[[#This Row],[Affected WTG]],'Basic Data'!$A$3:$E$56,5,0),"")</f>
        <v>2.564102564102564E-2</v>
      </c>
      <c r="K179" s="158">
        <v>813</v>
      </c>
      <c r="L179" s="247" t="str">
        <f>VLOOKUP(K179,'Basic Data'!T:U,2,0)</f>
        <v>Low Pressure Of Emergency Accumulators</v>
      </c>
      <c r="M179" s="135" t="s">
        <v>472</v>
      </c>
      <c r="N179" s="256">
        <v>0.84097222222222223</v>
      </c>
      <c r="O179" s="256">
        <v>0.95277777777777772</v>
      </c>
      <c r="P179" s="256">
        <v>0.95416666666666672</v>
      </c>
      <c r="Q179" s="253">
        <f>IF(WTG_BD[[#This Row],[Work Start TimeStamp]]="","",(WTG_BD[[#This Row],[Work Start TimeStamp]]-WTG_BD[[#This Row],[Fault Start TimeStamp]])*24)</f>
        <v>2.6833333333333318</v>
      </c>
      <c r="R179" s="253">
        <f>(WTG_BD[[#This Row],[Fault Clearance time]]-WTG_BD[[#This Row],[Work Start TimeStamp]])*24</f>
        <v>3.3333333333335879E-2</v>
      </c>
      <c r="S179" s="253">
        <f>(WTG_BD[[#This Row],[Fault Clearance time]]-WTG_BD[[#This Row],[Fault Start TimeStamp]])*24</f>
        <v>2.7166666666666677</v>
      </c>
      <c r="T179" s="135" t="s">
        <v>473</v>
      </c>
      <c r="U179" s="244" t="s">
        <v>474</v>
      </c>
      <c r="V179" s="246">
        <f>WTG_BD[[#This Row],[Breakdown Time]]*(1/39)</f>
        <v>6.9658119658119688E-2</v>
      </c>
      <c r="W179" s="244" t="s">
        <v>133</v>
      </c>
      <c r="X179" s="250">
        <v>1163.6388888888894</v>
      </c>
      <c r="Y179" s="135" t="s">
        <v>470</v>
      </c>
      <c r="Z179" s="135" t="s">
        <v>475</v>
      </c>
      <c r="AA179" s="135">
        <v>10280</v>
      </c>
      <c r="AB179" s="249">
        <f>(WTG_BD[[#This Row],[Paired WTG Generation for loss calculation.]]/24)*WTG_BD[[#This Row],[Breakdown Time]]</f>
        <v>1163.6388888888894</v>
      </c>
      <c r="AC179" s="135"/>
      <c r="AD179" s="245"/>
      <c r="AE179" s="3"/>
    </row>
    <row r="180" spans="1:31">
      <c r="A180" s="241">
        <f t="shared" si="5"/>
        <v>179</v>
      </c>
      <c r="B180" s="255">
        <v>45750</v>
      </c>
      <c r="C180" s="252">
        <v>2025</v>
      </c>
      <c r="D180" s="252">
        <f>YEAR(WTG_BD[[#This Row],[Date]])</f>
        <v>2025</v>
      </c>
      <c r="E180" s="251">
        <f t="shared" si="6"/>
        <v>45748</v>
      </c>
      <c r="F180" s="252" t="s">
        <v>465</v>
      </c>
      <c r="G180" s="248" t="s">
        <v>138</v>
      </c>
      <c r="H180" s="242" t="str">
        <f>IFERROR(VLOOKUP(WTG_BD[[#This Row],[Affected WTG]],'Basic Data'!$A$3:$E$56,2,0),"")</f>
        <v>PWEGPL</v>
      </c>
      <c r="I180" s="242" t="str">
        <f>IFERROR(VLOOKUP(WTG_BD[[#This Row],[Affected WTG]],'Basic Data'!$A$3:$E$56,3,0),"")</f>
        <v>MSEDCL</v>
      </c>
      <c r="J180" s="243">
        <f>IFERROR(VLOOKUP(WTG_BD[[#This Row],[Affected WTG]],'Basic Data'!$A$3:$E$56,5,0),"")</f>
        <v>2.564102564102564E-2</v>
      </c>
      <c r="K180" s="158">
        <v>205</v>
      </c>
      <c r="L180" s="247" t="str">
        <f>VLOOKUP(K180,'Basic Data'!T:U,2,0)</f>
        <v>Low Level Hydraulic Group Refrigeration Oil</v>
      </c>
      <c r="M180" s="135" t="s">
        <v>472</v>
      </c>
      <c r="N180" s="256">
        <v>0.50069444444444444</v>
      </c>
      <c r="O180" s="256">
        <v>0.59097222222222223</v>
      </c>
      <c r="P180" s="256">
        <v>0.64236111111111116</v>
      </c>
      <c r="Q180" s="253">
        <f>IF(WTG_BD[[#This Row],[Work Start TimeStamp]]="","",(WTG_BD[[#This Row],[Work Start TimeStamp]]-WTG_BD[[#This Row],[Fault Start TimeStamp]])*24)</f>
        <v>2.166666666666667</v>
      </c>
      <c r="R180" s="253">
        <f>(WTG_BD[[#This Row],[Fault Clearance time]]-WTG_BD[[#This Row],[Work Start TimeStamp]])*24</f>
        <v>1.2333333333333343</v>
      </c>
      <c r="S180" s="253">
        <f>(WTG_BD[[#This Row],[Fault Clearance time]]-WTG_BD[[#This Row],[Fault Start TimeStamp]])*24</f>
        <v>3.4000000000000012</v>
      </c>
      <c r="T180" s="135" t="s">
        <v>505</v>
      </c>
      <c r="U180" s="244" t="s">
        <v>474</v>
      </c>
      <c r="V180" s="246">
        <f>WTG_BD[[#This Row],[Breakdown Time]]*(1/39)</f>
        <v>8.7179487179487203E-2</v>
      </c>
      <c r="W180" s="244" t="s">
        <v>140</v>
      </c>
      <c r="X180" s="250">
        <v>933.3000000000003</v>
      </c>
      <c r="Y180" s="135" t="s">
        <v>470</v>
      </c>
      <c r="Z180" s="135" t="s">
        <v>475</v>
      </c>
      <c r="AA180" s="135">
        <v>6588</v>
      </c>
      <c r="AB180" s="249">
        <f>(WTG_BD[[#This Row],[Paired WTG Generation for loss calculation.]]/24)*WTG_BD[[#This Row],[Breakdown Time]]</f>
        <v>933.3000000000003</v>
      </c>
      <c r="AC180" s="135"/>
      <c r="AD180" s="245"/>
      <c r="AE180" s="3"/>
    </row>
    <row r="181" spans="1:31">
      <c r="A181" s="241">
        <f t="shared" si="5"/>
        <v>180</v>
      </c>
      <c r="B181" s="255">
        <v>45750</v>
      </c>
      <c r="C181" s="252">
        <v>2025</v>
      </c>
      <c r="D181" s="252">
        <f>YEAR(WTG_BD[[#This Row],[Date]])</f>
        <v>2025</v>
      </c>
      <c r="E181" s="251">
        <f t="shared" si="6"/>
        <v>45748</v>
      </c>
      <c r="F181" s="252" t="s">
        <v>465</v>
      </c>
      <c r="G181" s="248" t="s">
        <v>145</v>
      </c>
      <c r="H181" s="242" t="str">
        <f>IFERROR(VLOOKUP(WTG_BD[[#This Row],[Affected WTG]],'Basic Data'!$A$3:$E$56,2,0),"")</f>
        <v>PWEGPL</v>
      </c>
      <c r="I181" s="242" t="str">
        <f>IFERROR(VLOOKUP(WTG_BD[[#This Row],[Affected WTG]],'Basic Data'!$A$3:$E$56,3,0),"")</f>
        <v>MSEDCL</v>
      </c>
      <c r="J181" s="243">
        <f>IFERROR(VLOOKUP(WTG_BD[[#This Row],[Affected WTG]],'Basic Data'!$A$3:$E$56,5,0),"")</f>
        <v>2.564102564102564E-2</v>
      </c>
      <c r="K181" s="158">
        <v>700</v>
      </c>
      <c r="L181" s="247" t="str">
        <f>VLOOKUP(K181,'Basic Data'!T:U,2,0)</f>
        <v>PLC-Converter Communication Error</v>
      </c>
      <c r="M181" s="135" t="s">
        <v>472</v>
      </c>
      <c r="N181" s="256">
        <v>4.8611111111111112E-3</v>
      </c>
      <c r="O181" s="256">
        <v>6.5972222222222224E-2</v>
      </c>
      <c r="P181" s="256">
        <v>7.2916666666666671E-2</v>
      </c>
      <c r="Q181" s="253">
        <f>IF(WTG_BD[[#This Row],[Work Start TimeStamp]]="","",(WTG_BD[[#This Row],[Work Start TimeStamp]]-WTG_BD[[#This Row],[Fault Start TimeStamp]])*24)</f>
        <v>1.4666666666666668</v>
      </c>
      <c r="R181" s="253">
        <f>(WTG_BD[[#This Row],[Fault Clearance time]]-WTG_BD[[#This Row],[Work Start TimeStamp]])*24</f>
        <v>0.16666666666666674</v>
      </c>
      <c r="S181" s="253">
        <f>(WTG_BD[[#This Row],[Fault Clearance time]]-WTG_BD[[#This Row],[Fault Start TimeStamp]])*24</f>
        <v>1.6333333333333335</v>
      </c>
      <c r="T181" s="135" t="s">
        <v>473</v>
      </c>
      <c r="U181" s="244" t="s">
        <v>474</v>
      </c>
      <c r="V181" s="246">
        <f>WTG_BD[[#This Row],[Breakdown Time]]*(1/39)</f>
        <v>4.1880341880341884E-2</v>
      </c>
      <c r="W181" s="244" t="s">
        <v>139</v>
      </c>
      <c r="X181" s="250">
        <v>493.26666666666671</v>
      </c>
      <c r="Y181" s="135" t="s">
        <v>470</v>
      </c>
      <c r="Z181" s="135" t="s">
        <v>475</v>
      </c>
      <c r="AA181" s="135">
        <v>7248</v>
      </c>
      <c r="AB181" s="249">
        <f>(WTG_BD[[#This Row],[Paired WTG Generation for loss calculation.]]/24)*WTG_BD[[#This Row],[Breakdown Time]]</f>
        <v>493.26666666666671</v>
      </c>
      <c r="AC181" s="135"/>
      <c r="AD181" s="245"/>
      <c r="AE181" s="3"/>
    </row>
    <row r="182" spans="1:31">
      <c r="A182" s="241">
        <f t="shared" si="5"/>
        <v>181</v>
      </c>
      <c r="B182" s="255">
        <v>45750</v>
      </c>
      <c r="C182" s="252">
        <v>2025</v>
      </c>
      <c r="D182" s="252">
        <f>YEAR(WTG_BD[[#This Row],[Date]])</f>
        <v>2025</v>
      </c>
      <c r="E182" s="251">
        <f t="shared" si="6"/>
        <v>45748</v>
      </c>
      <c r="F182" s="252" t="s">
        <v>465</v>
      </c>
      <c r="G182" s="248" t="s">
        <v>145</v>
      </c>
      <c r="H182" s="242" t="str">
        <f>IFERROR(VLOOKUP(WTG_BD[[#This Row],[Affected WTG]],'Basic Data'!$A$3:$E$56,2,0),"")</f>
        <v>PWEGPL</v>
      </c>
      <c r="I182" s="242" t="str">
        <f>IFERROR(VLOOKUP(WTG_BD[[#This Row],[Affected WTG]],'Basic Data'!$A$3:$E$56,3,0),"")</f>
        <v>MSEDCL</v>
      </c>
      <c r="J182" s="243">
        <f>IFERROR(VLOOKUP(WTG_BD[[#This Row],[Affected WTG]],'Basic Data'!$A$3:$E$56,5,0),"")</f>
        <v>2.564102564102564E-2</v>
      </c>
      <c r="K182" s="158">
        <v>700</v>
      </c>
      <c r="L182" s="247" t="str">
        <f>VLOOKUP(K182,'Basic Data'!T:U,2,0)</f>
        <v>PLC-Converter Communication Error</v>
      </c>
      <c r="M182" s="135" t="s">
        <v>472</v>
      </c>
      <c r="N182" s="256">
        <v>0.25833333333333336</v>
      </c>
      <c r="O182" s="256">
        <v>0.30625000000000002</v>
      </c>
      <c r="P182" s="256">
        <v>0.50416666666666665</v>
      </c>
      <c r="Q182" s="253">
        <f>IF(WTG_BD[[#This Row],[Work Start TimeStamp]]="","",(WTG_BD[[#This Row],[Work Start TimeStamp]]-WTG_BD[[#This Row],[Fault Start TimeStamp]])*24)</f>
        <v>1.1499999999999999</v>
      </c>
      <c r="R182" s="253">
        <f>(WTG_BD[[#This Row],[Fault Clearance time]]-WTG_BD[[#This Row],[Work Start TimeStamp]])*24</f>
        <v>4.7499999999999991</v>
      </c>
      <c r="S182" s="253">
        <f>(WTG_BD[[#This Row],[Fault Clearance time]]-WTG_BD[[#This Row],[Fault Start TimeStamp]])*24</f>
        <v>5.8999999999999986</v>
      </c>
      <c r="T182" s="135" t="s">
        <v>506</v>
      </c>
      <c r="U182" s="244" t="s">
        <v>474</v>
      </c>
      <c r="V182" s="246">
        <f>WTG_BD[[#This Row],[Breakdown Time]]*(1/39)</f>
        <v>0.15128205128205124</v>
      </c>
      <c r="W182" s="244" t="s">
        <v>139</v>
      </c>
      <c r="X182" s="250">
        <v>1781.7999999999995</v>
      </c>
      <c r="Y182" s="135" t="s">
        <v>470</v>
      </c>
      <c r="Z182" s="135" t="s">
        <v>475</v>
      </c>
      <c r="AA182" s="135">
        <v>7248</v>
      </c>
      <c r="AB182" s="249">
        <f>(WTG_BD[[#This Row],[Paired WTG Generation for loss calculation.]]/24)*WTG_BD[[#This Row],[Breakdown Time]]</f>
        <v>1781.7999999999995</v>
      </c>
      <c r="AC182" s="135"/>
      <c r="AD182" s="245"/>
      <c r="AE182" s="3"/>
    </row>
    <row r="183" spans="1:31">
      <c r="A183" s="241">
        <f t="shared" si="5"/>
        <v>182</v>
      </c>
      <c r="B183" s="255">
        <v>45750</v>
      </c>
      <c r="C183" s="252">
        <v>2025</v>
      </c>
      <c r="D183" s="252">
        <f>YEAR(WTG_BD[[#This Row],[Date]])</f>
        <v>2025</v>
      </c>
      <c r="E183" s="251">
        <f t="shared" si="6"/>
        <v>45748</v>
      </c>
      <c r="F183" s="252" t="s">
        <v>465</v>
      </c>
      <c r="G183" s="248" t="s">
        <v>146</v>
      </c>
      <c r="H183" s="242" t="str">
        <f>IFERROR(VLOOKUP(WTG_BD[[#This Row],[Affected WTG]],'Basic Data'!$A$3:$E$56,2,0),"")</f>
        <v>PWEGPL</v>
      </c>
      <c r="I183" s="242" t="str">
        <f>IFERROR(VLOOKUP(WTG_BD[[#This Row],[Affected WTG]],'Basic Data'!$A$3:$E$56,3,0),"")</f>
        <v>MSEDCL</v>
      </c>
      <c r="J183" s="243">
        <f>IFERROR(VLOOKUP(WTG_BD[[#This Row],[Affected WTG]],'Basic Data'!$A$3:$E$56,5,0),"")</f>
        <v>2.564102564102564E-2</v>
      </c>
      <c r="K183" s="158">
        <v>813</v>
      </c>
      <c r="L183" s="247" t="str">
        <f>VLOOKUP(K183,'Basic Data'!T:U,2,0)</f>
        <v>Low Pressure Of Emergency Accumulators</v>
      </c>
      <c r="M183" s="135" t="s">
        <v>472</v>
      </c>
      <c r="N183" s="256">
        <v>0.49930555555555556</v>
      </c>
      <c r="O183" s="256">
        <v>0.5444444444444444</v>
      </c>
      <c r="P183" s="256">
        <v>0.5493055555555556</v>
      </c>
      <c r="Q183" s="253">
        <f>IF(WTG_BD[[#This Row],[Work Start TimeStamp]]="","",(WTG_BD[[#This Row],[Work Start TimeStamp]]-WTG_BD[[#This Row],[Fault Start TimeStamp]])*24)</f>
        <v>1.0833333333333321</v>
      </c>
      <c r="R183" s="253">
        <f>(WTG_BD[[#This Row],[Fault Clearance time]]-WTG_BD[[#This Row],[Work Start TimeStamp]])*24</f>
        <v>0.11666666666666892</v>
      </c>
      <c r="S183" s="253">
        <f>(WTG_BD[[#This Row],[Fault Clearance time]]-WTG_BD[[#This Row],[Fault Start TimeStamp]])*24</f>
        <v>1.2000000000000011</v>
      </c>
      <c r="T183" s="135" t="s">
        <v>482</v>
      </c>
      <c r="U183" s="244" t="s">
        <v>474</v>
      </c>
      <c r="V183" s="246">
        <f>WTG_BD[[#This Row],[Breakdown Time]]*(1/39)</f>
        <v>3.0769230769230795E-2</v>
      </c>
      <c r="W183" s="244" t="s">
        <v>147</v>
      </c>
      <c r="X183" s="250">
        <v>173.60000000000014</v>
      </c>
      <c r="Y183" s="135" t="s">
        <v>470</v>
      </c>
      <c r="Z183" s="135" t="s">
        <v>475</v>
      </c>
      <c r="AA183" s="135">
        <v>3472</v>
      </c>
      <c r="AB183" s="249">
        <f>(WTG_BD[[#This Row],[Paired WTG Generation for loss calculation.]]/24)*WTG_BD[[#This Row],[Breakdown Time]]</f>
        <v>173.60000000000014</v>
      </c>
      <c r="AC183" s="135"/>
      <c r="AD183" s="245"/>
      <c r="AE183" s="3"/>
    </row>
    <row r="184" spans="1:31">
      <c r="A184" s="241">
        <f t="shared" si="5"/>
        <v>183</v>
      </c>
      <c r="B184" s="255">
        <v>45750</v>
      </c>
      <c r="C184" s="252">
        <v>2025</v>
      </c>
      <c r="D184" s="252">
        <f>YEAR(WTG_BD[[#This Row],[Date]])</f>
        <v>2025</v>
      </c>
      <c r="E184" s="251">
        <f t="shared" si="6"/>
        <v>45748</v>
      </c>
      <c r="F184" s="252" t="s">
        <v>465</v>
      </c>
      <c r="G184" s="248" t="s">
        <v>146</v>
      </c>
      <c r="H184" s="242" t="str">
        <f>IFERROR(VLOOKUP(WTG_BD[[#This Row],[Affected WTG]],'Basic Data'!$A$3:$E$56,2,0),"")</f>
        <v>PWEGPL</v>
      </c>
      <c r="I184" s="242" t="str">
        <f>IFERROR(VLOOKUP(WTG_BD[[#This Row],[Affected WTG]],'Basic Data'!$A$3:$E$56,3,0),"")</f>
        <v>MSEDCL</v>
      </c>
      <c r="J184" s="243">
        <f>IFERROR(VLOOKUP(WTG_BD[[#This Row],[Affected WTG]],'Basic Data'!$A$3:$E$56,5,0),"")</f>
        <v>2.564102564102564E-2</v>
      </c>
      <c r="K184" s="158">
        <v>813</v>
      </c>
      <c r="L184" s="247" t="str">
        <f>VLOOKUP(K184,'Basic Data'!T:U,2,0)</f>
        <v>Low Pressure Of Emergency Accumulators</v>
      </c>
      <c r="M184" s="135" t="s">
        <v>472</v>
      </c>
      <c r="N184" s="256">
        <v>0.55069444444444449</v>
      </c>
      <c r="O184" s="256">
        <v>0.5756944444444444</v>
      </c>
      <c r="P184" s="256">
        <v>0.63680555555555551</v>
      </c>
      <c r="Q184" s="253">
        <f>IF(WTG_BD[[#This Row],[Work Start TimeStamp]]="","",(WTG_BD[[#This Row],[Work Start TimeStamp]]-WTG_BD[[#This Row],[Fault Start TimeStamp]])*24)</f>
        <v>0.59999999999999787</v>
      </c>
      <c r="R184" s="253">
        <f>(WTG_BD[[#This Row],[Fault Clearance time]]-WTG_BD[[#This Row],[Work Start TimeStamp]])*24</f>
        <v>1.4666666666666668</v>
      </c>
      <c r="S184" s="253">
        <f>(WTG_BD[[#This Row],[Fault Clearance time]]-WTG_BD[[#This Row],[Fault Start TimeStamp]])*24</f>
        <v>2.0666666666666647</v>
      </c>
      <c r="T184" s="135" t="s">
        <v>507</v>
      </c>
      <c r="U184" s="244" t="s">
        <v>474</v>
      </c>
      <c r="V184" s="246">
        <f>WTG_BD[[#This Row],[Breakdown Time]]*(1/39)</f>
        <v>5.2991452991452935E-2</v>
      </c>
      <c r="W184" s="244" t="s">
        <v>147</v>
      </c>
      <c r="X184" s="250">
        <v>583.14444444444393</v>
      </c>
      <c r="Y184" s="135" t="s">
        <v>470</v>
      </c>
      <c r="Z184" s="135" t="s">
        <v>475</v>
      </c>
      <c r="AA184" s="135">
        <v>6772</v>
      </c>
      <c r="AB184" s="249">
        <f>(WTG_BD[[#This Row],[Paired WTG Generation for loss calculation.]]/24)*WTG_BD[[#This Row],[Breakdown Time]]</f>
        <v>583.14444444444393</v>
      </c>
      <c r="AC184" s="135"/>
      <c r="AD184" s="245"/>
      <c r="AE184" s="3"/>
    </row>
    <row r="185" spans="1:31">
      <c r="A185" s="241">
        <f t="shared" si="5"/>
        <v>184</v>
      </c>
      <c r="B185" s="255">
        <v>45750</v>
      </c>
      <c r="C185" s="252">
        <v>2025</v>
      </c>
      <c r="D185" s="252">
        <f>YEAR(WTG_BD[[#This Row],[Date]])</f>
        <v>2025</v>
      </c>
      <c r="E185" s="251">
        <f t="shared" si="6"/>
        <v>45748</v>
      </c>
      <c r="F185" s="252" t="s">
        <v>465</v>
      </c>
      <c r="G185" s="248" t="s">
        <v>147</v>
      </c>
      <c r="H185" s="242" t="str">
        <f>IFERROR(VLOOKUP(WTG_BD[[#This Row],[Affected WTG]],'Basic Data'!$A$3:$E$56,2,0),"")</f>
        <v>PWEGPL</v>
      </c>
      <c r="I185" s="242" t="str">
        <f>IFERROR(VLOOKUP(WTG_BD[[#This Row],[Affected WTG]],'Basic Data'!$A$3:$E$56,3,0),"")</f>
        <v>MSEDCL</v>
      </c>
      <c r="J185" s="243">
        <f>IFERROR(VLOOKUP(WTG_BD[[#This Row],[Affected WTG]],'Basic Data'!$A$3:$E$56,5,0),"")</f>
        <v>2.564102564102564E-2</v>
      </c>
      <c r="K185" s="158">
        <v>5201</v>
      </c>
      <c r="L185" s="247" t="str">
        <f>VLOOKUP(K185,'Basic Data'!T:U,2,0)</f>
        <v>Magnetothermic Trigger Of The Stator Protection</v>
      </c>
      <c r="M185" s="135" t="s">
        <v>472</v>
      </c>
      <c r="N185" s="256">
        <v>0.85486111111111107</v>
      </c>
      <c r="O185" s="256">
        <v>0.99930555555555556</v>
      </c>
      <c r="P185" s="256">
        <v>0.99930555555555556</v>
      </c>
      <c r="Q185" s="253">
        <f>IF(WTG_BD[[#This Row],[Work Start TimeStamp]]="","",(WTG_BD[[#This Row],[Work Start TimeStamp]]-WTG_BD[[#This Row],[Fault Start TimeStamp]])*24)</f>
        <v>3.4666666666666677</v>
      </c>
      <c r="R185" s="253">
        <f>(WTG_BD[[#This Row],[Fault Clearance time]]-WTG_BD[[#This Row],[Work Start TimeStamp]])*24</f>
        <v>0</v>
      </c>
      <c r="S185" s="253">
        <f>(WTG_BD[[#This Row],[Fault Clearance time]]-WTG_BD[[#This Row],[Fault Start TimeStamp]])*24</f>
        <v>3.4666666666666677</v>
      </c>
      <c r="T185" s="135" t="s">
        <v>486</v>
      </c>
      <c r="U185" s="244" t="s">
        <v>474</v>
      </c>
      <c r="V185" s="246">
        <f>WTG_BD[[#This Row],[Breakdown Time]]*(1/39)</f>
        <v>8.8888888888888906E-2</v>
      </c>
      <c r="W185" s="244" t="s">
        <v>146</v>
      </c>
      <c r="X185" s="250">
        <v>853.37777777777796</v>
      </c>
      <c r="Y185" s="135" t="s">
        <v>470</v>
      </c>
      <c r="Z185" s="135" t="s">
        <v>475</v>
      </c>
      <c r="AA185" s="135">
        <v>5908</v>
      </c>
      <c r="AB185" s="249">
        <f>(WTG_BD[[#This Row],[Paired WTG Generation for loss calculation.]]/24)*WTG_BD[[#This Row],[Breakdown Time]]</f>
        <v>853.37777777777796</v>
      </c>
      <c r="AC185" s="135"/>
      <c r="AD185" s="245"/>
      <c r="AE185" s="3"/>
    </row>
    <row r="186" spans="1:31">
      <c r="A186" s="241">
        <f t="shared" si="5"/>
        <v>185</v>
      </c>
      <c r="B186" s="255">
        <v>45750</v>
      </c>
      <c r="C186" s="252">
        <v>2025</v>
      </c>
      <c r="D186" s="252">
        <f>YEAR(WTG_BD[[#This Row],[Date]])</f>
        <v>2025</v>
      </c>
      <c r="E186" s="251">
        <f t="shared" si="6"/>
        <v>45748</v>
      </c>
      <c r="F186" s="252" t="s">
        <v>465</v>
      </c>
      <c r="G186" s="248" t="s">
        <v>149</v>
      </c>
      <c r="H186" s="242" t="str">
        <f>IFERROR(VLOOKUP(WTG_BD[[#This Row],[Affected WTG]],'Basic Data'!$A$3:$E$56,2,0),"")</f>
        <v>PWEGPL</v>
      </c>
      <c r="I186" s="242" t="str">
        <f>IFERROR(VLOOKUP(WTG_BD[[#This Row],[Affected WTG]],'Basic Data'!$A$3:$E$56,3,0),"")</f>
        <v>MSEDCL</v>
      </c>
      <c r="J186" s="243">
        <f>IFERROR(VLOOKUP(WTG_BD[[#This Row],[Affected WTG]],'Basic Data'!$A$3:$E$56,5,0),"")</f>
        <v>2.564102564102564E-2</v>
      </c>
      <c r="K186" s="158" t="s">
        <v>466</v>
      </c>
      <c r="L186" s="247" t="str">
        <f>VLOOKUP(K186,'Basic Data'!T:U,2,0)</f>
        <v>Manual Stop - Safety Related</v>
      </c>
      <c r="M186" s="135" t="s">
        <v>472</v>
      </c>
      <c r="N186" s="256">
        <v>0.65208333333333335</v>
      </c>
      <c r="O186" s="256">
        <v>0.65208333333333335</v>
      </c>
      <c r="P186" s="256">
        <v>0.71319444444444446</v>
      </c>
      <c r="Q186" s="253">
        <f>IF(WTG_BD[[#This Row],[Work Start TimeStamp]]="","",(WTG_BD[[#This Row],[Work Start TimeStamp]]-WTG_BD[[#This Row],[Fault Start TimeStamp]])*24)</f>
        <v>0</v>
      </c>
      <c r="R186" s="253">
        <f>(WTG_BD[[#This Row],[Fault Clearance time]]-WTG_BD[[#This Row],[Work Start TimeStamp]])*24</f>
        <v>1.4666666666666668</v>
      </c>
      <c r="S186" s="253">
        <f>(WTG_BD[[#This Row],[Fault Clearance time]]-WTG_BD[[#This Row],[Fault Start TimeStamp]])*24</f>
        <v>1.4666666666666668</v>
      </c>
      <c r="T186" s="135" t="s">
        <v>508</v>
      </c>
      <c r="U186" s="244" t="s">
        <v>474</v>
      </c>
      <c r="V186" s="246">
        <f>WTG_BD[[#This Row],[Breakdown Time]]*(1/39)</f>
        <v>3.7606837606837612E-2</v>
      </c>
      <c r="W186" s="244" t="s">
        <v>150</v>
      </c>
      <c r="X186" s="250">
        <v>397.1</v>
      </c>
      <c r="Y186" s="135" t="s">
        <v>470</v>
      </c>
      <c r="Z186" s="135" t="s">
        <v>475</v>
      </c>
      <c r="AA186" s="135">
        <v>6498</v>
      </c>
      <c r="AB186" s="249">
        <f>(WTG_BD[[#This Row],[Paired WTG Generation for loss calculation.]]/24)*WTG_BD[[#This Row],[Breakdown Time]]</f>
        <v>397.1</v>
      </c>
      <c r="AC186" s="135"/>
      <c r="AD186" s="245"/>
      <c r="AE186" s="3"/>
    </row>
    <row r="187" spans="1:31">
      <c r="A187" s="241">
        <f t="shared" si="5"/>
        <v>186</v>
      </c>
      <c r="B187" s="255">
        <v>45750</v>
      </c>
      <c r="C187" s="252">
        <v>2025</v>
      </c>
      <c r="D187" s="252">
        <f>YEAR(WTG_BD[[#This Row],[Date]])</f>
        <v>2025</v>
      </c>
      <c r="E187" s="251">
        <f t="shared" si="6"/>
        <v>45748</v>
      </c>
      <c r="F187" s="252" t="s">
        <v>465</v>
      </c>
      <c r="G187" s="248" t="s">
        <v>151</v>
      </c>
      <c r="H187" s="242" t="str">
        <f>IFERROR(VLOOKUP(WTG_BD[[#This Row],[Affected WTG]],'Basic Data'!$A$3:$E$56,2,0),"")</f>
        <v>PWEGPL</v>
      </c>
      <c r="I187" s="242" t="str">
        <f>IFERROR(VLOOKUP(WTG_BD[[#This Row],[Affected WTG]],'Basic Data'!$A$3:$E$56,3,0),"")</f>
        <v>MSEDCL</v>
      </c>
      <c r="J187" s="243">
        <f>IFERROR(VLOOKUP(WTG_BD[[#This Row],[Affected WTG]],'Basic Data'!$A$3:$E$56,5,0),"")</f>
        <v>2.564102564102564E-2</v>
      </c>
      <c r="K187" s="158">
        <v>5203</v>
      </c>
      <c r="L187" s="247" t="str">
        <f>VLOOKUP(K187,'Basic Data'!T:U,2,0)</f>
        <v>Heating/Coolant Thermal Magnetic Failure</v>
      </c>
      <c r="M187" s="135" t="s">
        <v>472</v>
      </c>
      <c r="N187" s="256">
        <v>6.6666666666666666E-2</v>
      </c>
      <c r="O187" s="256">
        <v>0.46458333333333335</v>
      </c>
      <c r="P187" s="256">
        <v>0.51597222222222228</v>
      </c>
      <c r="Q187" s="253">
        <f>IF(WTG_BD[[#This Row],[Work Start TimeStamp]]="","",(WTG_BD[[#This Row],[Work Start TimeStamp]]-WTG_BD[[#This Row],[Fault Start TimeStamp]])*24)</f>
        <v>9.5500000000000007</v>
      </c>
      <c r="R187" s="253">
        <f>(WTG_BD[[#This Row],[Fault Clearance time]]-WTG_BD[[#This Row],[Work Start TimeStamp]])*24</f>
        <v>1.2333333333333343</v>
      </c>
      <c r="S187" s="253">
        <f>(WTG_BD[[#This Row],[Fault Clearance time]]-WTG_BD[[#This Row],[Fault Start TimeStamp]])*24</f>
        <v>10.783333333333335</v>
      </c>
      <c r="T187" s="135" t="s">
        <v>509</v>
      </c>
      <c r="U187" s="244" t="s">
        <v>474</v>
      </c>
      <c r="V187" s="246">
        <f>WTG_BD[[#This Row],[Breakdown Time]]*(1/39)</f>
        <v>0.27649572649572651</v>
      </c>
      <c r="W187" s="244" t="s">
        <v>152</v>
      </c>
      <c r="X187" s="250">
        <v>2029.9625000000003</v>
      </c>
      <c r="Y187" s="135" t="s">
        <v>470</v>
      </c>
      <c r="Z187" s="135" t="s">
        <v>475</v>
      </c>
      <c r="AA187" s="135">
        <v>4518</v>
      </c>
      <c r="AB187" s="249">
        <f>(WTG_BD[[#This Row],[Paired WTG Generation for loss calculation.]]/24)*WTG_BD[[#This Row],[Breakdown Time]]</f>
        <v>2029.9625000000003</v>
      </c>
      <c r="AC187" s="135"/>
      <c r="AD187" s="245"/>
      <c r="AE187" s="3"/>
    </row>
    <row r="188" spans="1:31">
      <c r="A188" s="241">
        <f t="shared" si="5"/>
        <v>187</v>
      </c>
      <c r="B188" s="255">
        <v>45750</v>
      </c>
      <c r="C188" s="252">
        <v>2025</v>
      </c>
      <c r="D188" s="252">
        <f>YEAR(WTG_BD[[#This Row],[Date]])</f>
        <v>2025</v>
      </c>
      <c r="E188" s="251">
        <f t="shared" si="6"/>
        <v>45748</v>
      </c>
      <c r="F188" s="252" t="s">
        <v>465</v>
      </c>
      <c r="G188" s="248" t="s">
        <v>152</v>
      </c>
      <c r="H188" s="242" t="str">
        <f>IFERROR(VLOOKUP(WTG_BD[[#This Row],[Affected WTG]],'Basic Data'!$A$3:$E$56,2,0),"")</f>
        <v>PWEGPL</v>
      </c>
      <c r="I188" s="242" t="str">
        <f>IFERROR(VLOOKUP(WTG_BD[[#This Row],[Affected WTG]],'Basic Data'!$A$3:$E$56,3,0),"")</f>
        <v>MSEDCL</v>
      </c>
      <c r="J188" s="243">
        <f>IFERROR(VLOOKUP(WTG_BD[[#This Row],[Affected WTG]],'Basic Data'!$A$3:$E$56,5,0),"")</f>
        <v>2.564102564102564E-2</v>
      </c>
      <c r="K188" s="158">
        <v>804</v>
      </c>
      <c r="L188" s="247" t="str">
        <f>VLOOKUP(K188,'Basic Data'!T:U,2,0)</f>
        <v>Difference Between 2 Blades Too High</v>
      </c>
      <c r="M188" s="135" t="s">
        <v>472</v>
      </c>
      <c r="N188" s="256">
        <v>0.85486111111111107</v>
      </c>
      <c r="O188" s="256">
        <v>0.85486111111111107</v>
      </c>
      <c r="P188" s="256">
        <v>0.8666666666666667</v>
      </c>
      <c r="Q188" s="253">
        <f>IF(WTG_BD[[#This Row],[Work Start TimeStamp]]="","",(WTG_BD[[#This Row],[Work Start TimeStamp]]-WTG_BD[[#This Row],[Fault Start TimeStamp]])*24)</f>
        <v>0</v>
      </c>
      <c r="R188" s="253">
        <f>(WTG_BD[[#This Row],[Fault Clearance time]]-WTG_BD[[#This Row],[Work Start TimeStamp]])*24</f>
        <v>0.28333333333333499</v>
      </c>
      <c r="S188" s="253">
        <f>(WTG_BD[[#This Row],[Fault Clearance time]]-WTG_BD[[#This Row],[Fault Start TimeStamp]])*24</f>
        <v>0.28333333333333499</v>
      </c>
      <c r="T188" s="135" t="s">
        <v>476</v>
      </c>
      <c r="U188" s="244" t="s">
        <v>474</v>
      </c>
      <c r="V188" s="246">
        <f>WTG_BD[[#This Row],[Breakdown Time]]*(1/39)</f>
        <v>7.2649572649573068E-3</v>
      </c>
      <c r="W188" s="244" t="s">
        <v>151</v>
      </c>
      <c r="X188" s="250">
        <v>73.572222222222663</v>
      </c>
      <c r="Y188" s="135" t="s">
        <v>470</v>
      </c>
      <c r="Z188" s="135" t="s">
        <v>475</v>
      </c>
      <c r="AA188" s="135">
        <v>6232</v>
      </c>
      <c r="AB188" s="249">
        <f>(WTG_BD[[#This Row],[Paired WTG Generation for loss calculation.]]/24)*WTG_BD[[#This Row],[Breakdown Time]]</f>
        <v>73.572222222222663</v>
      </c>
      <c r="AC188" s="135"/>
      <c r="AD188" s="245"/>
      <c r="AE188" s="3"/>
    </row>
    <row r="189" spans="1:31">
      <c r="A189" s="241">
        <f t="shared" si="5"/>
        <v>188</v>
      </c>
      <c r="B189" s="255">
        <v>45750</v>
      </c>
      <c r="C189" s="252">
        <v>2025</v>
      </c>
      <c r="D189" s="252">
        <f>YEAR(WTG_BD[[#This Row],[Date]])</f>
        <v>2025</v>
      </c>
      <c r="E189" s="251">
        <f t="shared" si="6"/>
        <v>45748</v>
      </c>
      <c r="F189" s="252" t="s">
        <v>465</v>
      </c>
      <c r="G189" s="248" t="s">
        <v>153</v>
      </c>
      <c r="H189" s="242" t="str">
        <f>IFERROR(VLOOKUP(WTG_BD[[#This Row],[Affected WTG]],'Basic Data'!$A$3:$E$56,2,0),"")</f>
        <v>PWEGPL</v>
      </c>
      <c r="I189" s="242" t="str">
        <f>IFERROR(VLOOKUP(WTG_BD[[#This Row],[Affected WTG]],'Basic Data'!$A$3:$E$56,3,0),"")</f>
        <v>MSEDCL</v>
      </c>
      <c r="J189" s="243">
        <f>IFERROR(VLOOKUP(WTG_BD[[#This Row],[Affected WTG]],'Basic Data'!$A$3:$E$56,5,0),"")</f>
        <v>2.564102564102564E-2</v>
      </c>
      <c r="K189" s="158">
        <v>804</v>
      </c>
      <c r="L189" s="247" t="str">
        <f>VLOOKUP(K189,'Basic Data'!T:U,2,0)</f>
        <v>Difference Between 2 Blades Too High</v>
      </c>
      <c r="M189" s="135" t="s">
        <v>472</v>
      </c>
      <c r="N189" s="256">
        <v>0.60555555555555551</v>
      </c>
      <c r="O189" s="256">
        <v>0.60555555555555551</v>
      </c>
      <c r="P189" s="256">
        <v>0.60902777777777772</v>
      </c>
      <c r="Q189" s="253">
        <f>IF(WTG_BD[[#This Row],[Work Start TimeStamp]]="","",(WTG_BD[[#This Row],[Work Start TimeStamp]]-WTG_BD[[#This Row],[Fault Start TimeStamp]])*24)</f>
        <v>0</v>
      </c>
      <c r="R189" s="253">
        <f>(WTG_BD[[#This Row],[Fault Clearance time]]-WTG_BD[[#This Row],[Work Start TimeStamp]])*24</f>
        <v>8.3333333333333037E-2</v>
      </c>
      <c r="S189" s="253">
        <f>(WTG_BD[[#This Row],[Fault Clearance time]]-WTG_BD[[#This Row],[Fault Start TimeStamp]])*24</f>
        <v>8.3333333333333037E-2</v>
      </c>
      <c r="T189" s="135" t="s">
        <v>476</v>
      </c>
      <c r="U189" s="244" t="s">
        <v>474</v>
      </c>
      <c r="V189" s="246">
        <f>WTG_BD[[#This Row],[Breakdown Time]]*(1/39)</f>
        <v>2.1367521367521292E-3</v>
      </c>
      <c r="W189" s="244" t="s">
        <v>153</v>
      </c>
      <c r="X189" s="250">
        <v>21.347222222222147</v>
      </c>
      <c r="Y189" s="135" t="s">
        <v>470</v>
      </c>
      <c r="Z189" s="135" t="s">
        <v>475</v>
      </c>
      <c r="AA189" s="135">
        <v>6148</v>
      </c>
      <c r="AB189" s="249">
        <f>(WTG_BD[[#This Row],[Paired WTG Generation for loss calculation.]]/24)*WTG_BD[[#This Row],[Breakdown Time]]</f>
        <v>21.347222222222147</v>
      </c>
      <c r="AC189" s="135"/>
      <c r="AD189" s="245"/>
      <c r="AE189" s="3"/>
    </row>
    <row r="190" spans="1:31">
      <c r="A190" s="241">
        <f t="shared" si="5"/>
        <v>189</v>
      </c>
      <c r="B190" s="255">
        <v>45750</v>
      </c>
      <c r="C190" s="252">
        <v>2025</v>
      </c>
      <c r="D190" s="252">
        <f>YEAR(WTG_BD[[#This Row],[Date]])</f>
        <v>2025</v>
      </c>
      <c r="E190" s="251">
        <f t="shared" si="6"/>
        <v>45748</v>
      </c>
      <c r="F190" s="252" t="s">
        <v>465</v>
      </c>
      <c r="G190" s="248" t="s">
        <v>153</v>
      </c>
      <c r="H190" s="242" t="str">
        <f>IFERROR(VLOOKUP(WTG_BD[[#This Row],[Affected WTG]],'Basic Data'!$A$3:$E$56,2,0),"")</f>
        <v>PWEGPL</v>
      </c>
      <c r="I190" s="242" t="str">
        <f>IFERROR(VLOOKUP(WTG_BD[[#This Row],[Affected WTG]],'Basic Data'!$A$3:$E$56,3,0),"")</f>
        <v>MSEDCL</v>
      </c>
      <c r="J190" s="243">
        <f>IFERROR(VLOOKUP(WTG_BD[[#This Row],[Affected WTG]],'Basic Data'!$A$3:$E$56,5,0),"")</f>
        <v>2.564102564102564E-2</v>
      </c>
      <c r="K190" s="158">
        <v>2118</v>
      </c>
      <c r="L190" s="247" t="str">
        <f>VLOOKUP(K190,'Basic Data'!T:U,2,0)</f>
        <v>Bus Error - Interbus Failure</v>
      </c>
      <c r="M190" s="135" t="s">
        <v>472</v>
      </c>
      <c r="N190" s="256">
        <v>0.83819444444444446</v>
      </c>
      <c r="O190" s="256">
        <v>0.83819444444444446</v>
      </c>
      <c r="P190" s="256">
        <v>0.86250000000000004</v>
      </c>
      <c r="Q190" s="253">
        <f>IF(WTG_BD[[#This Row],[Work Start TimeStamp]]="","",(WTG_BD[[#This Row],[Work Start TimeStamp]]-WTG_BD[[#This Row],[Fault Start TimeStamp]])*24)</f>
        <v>0</v>
      </c>
      <c r="R190" s="253">
        <f>(WTG_BD[[#This Row],[Fault Clearance time]]-WTG_BD[[#This Row],[Work Start TimeStamp]])*24</f>
        <v>0.58333333333333393</v>
      </c>
      <c r="S190" s="253">
        <f>(WTG_BD[[#This Row],[Fault Clearance time]]-WTG_BD[[#This Row],[Fault Start TimeStamp]])*24</f>
        <v>0.58333333333333393</v>
      </c>
      <c r="T190" s="135" t="s">
        <v>476</v>
      </c>
      <c r="U190" s="244" t="s">
        <v>474</v>
      </c>
      <c r="V190" s="246">
        <f>WTG_BD[[#This Row],[Breakdown Time]]*(1/39)</f>
        <v>1.4957264957264972E-2</v>
      </c>
      <c r="W190" s="244" t="s">
        <v>153</v>
      </c>
      <c r="X190" s="250">
        <v>149.43055555555571</v>
      </c>
      <c r="Y190" s="135" t="s">
        <v>470</v>
      </c>
      <c r="Z190" s="135" t="s">
        <v>475</v>
      </c>
      <c r="AA190" s="135">
        <v>6148</v>
      </c>
      <c r="AB190" s="249">
        <f>(WTG_BD[[#This Row],[Paired WTG Generation for loss calculation.]]/24)*WTG_BD[[#This Row],[Breakdown Time]]</f>
        <v>149.43055555555571</v>
      </c>
      <c r="AC190" s="135"/>
      <c r="AD190" s="245"/>
      <c r="AE190" s="3"/>
    </row>
    <row r="191" spans="1:31">
      <c r="A191" s="241">
        <f t="shared" si="5"/>
        <v>190</v>
      </c>
      <c r="B191" s="255">
        <v>45750</v>
      </c>
      <c r="C191" s="252">
        <v>2025</v>
      </c>
      <c r="D191" s="252">
        <f>YEAR(WTG_BD[[#This Row],[Date]])</f>
        <v>2025</v>
      </c>
      <c r="E191" s="251">
        <f t="shared" si="6"/>
        <v>45748</v>
      </c>
      <c r="F191" s="252" t="s">
        <v>465</v>
      </c>
      <c r="G191" s="248" t="s">
        <v>153</v>
      </c>
      <c r="H191" s="242" t="str">
        <f>IFERROR(VLOOKUP(WTG_BD[[#This Row],[Affected WTG]],'Basic Data'!$A$3:$E$56,2,0),"")</f>
        <v>PWEGPL</v>
      </c>
      <c r="I191" s="242" t="str">
        <f>IFERROR(VLOOKUP(WTG_BD[[#This Row],[Affected WTG]],'Basic Data'!$A$3:$E$56,3,0),"")</f>
        <v>MSEDCL</v>
      </c>
      <c r="J191" s="243">
        <f>IFERROR(VLOOKUP(WTG_BD[[#This Row],[Affected WTG]],'Basic Data'!$A$3:$E$56,5,0),"")</f>
        <v>2.564102564102564E-2</v>
      </c>
      <c r="K191" s="158">
        <v>813</v>
      </c>
      <c r="L191" s="247" t="str">
        <f>VLOOKUP(K191,'Basic Data'!T:U,2,0)</f>
        <v>Low Pressure Of Emergency Accumulators</v>
      </c>
      <c r="M191" s="135" t="s">
        <v>472</v>
      </c>
      <c r="N191" s="256">
        <v>0.91180555555555554</v>
      </c>
      <c r="O191" s="256">
        <v>0.91180555555555554</v>
      </c>
      <c r="P191" s="256">
        <v>0.91527777777777775</v>
      </c>
      <c r="Q191" s="253">
        <f>IF(WTG_BD[[#This Row],[Work Start TimeStamp]]="","",(WTG_BD[[#This Row],[Work Start TimeStamp]]-WTG_BD[[#This Row],[Fault Start TimeStamp]])*24)</f>
        <v>0</v>
      </c>
      <c r="R191" s="253">
        <f>(WTG_BD[[#This Row],[Fault Clearance time]]-WTG_BD[[#This Row],[Work Start TimeStamp]])*24</f>
        <v>8.3333333333333037E-2</v>
      </c>
      <c r="S191" s="253">
        <f>(WTG_BD[[#This Row],[Fault Clearance time]]-WTG_BD[[#This Row],[Fault Start TimeStamp]])*24</f>
        <v>8.3333333333333037E-2</v>
      </c>
      <c r="T191" s="135" t="s">
        <v>476</v>
      </c>
      <c r="U191" s="244" t="s">
        <v>474</v>
      </c>
      <c r="V191" s="246">
        <f>WTG_BD[[#This Row],[Breakdown Time]]*(1/39)</f>
        <v>2.1367521367521292E-3</v>
      </c>
      <c r="W191" s="244" t="s">
        <v>153</v>
      </c>
      <c r="X191" s="250">
        <v>21.347222222222147</v>
      </c>
      <c r="Y191" s="135" t="s">
        <v>470</v>
      </c>
      <c r="Z191" s="135" t="s">
        <v>475</v>
      </c>
      <c r="AA191" s="135">
        <v>6148</v>
      </c>
      <c r="AB191" s="249">
        <f>(WTG_BD[[#This Row],[Paired WTG Generation for loss calculation.]]/24)*WTG_BD[[#This Row],[Breakdown Time]]</f>
        <v>21.347222222222147</v>
      </c>
      <c r="AC191" s="135"/>
      <c r="AD191" s="245"/>
      <c r="AE191" s="3"/>
    </row>
    <row r="192" spans="1:31">
      <c r="A192" s="241">
        <f t="shared" si="5"/>
        <v>191</v>
      </c>
      <c r="B192" s="255">
        <v>45751</v>
      </c>
      <c r="C192" s="252">
        <v>2025</v>
      </c>
      <c r="D192" s="252">
        <f>YEAR(WTG_BD[[#This Row],[Date]])</f>
        <v>2025</v>
      </c>
      <c r="E192" s="251">
        <f t="shared" si="6"/>
        <v>45748</v>
      </c>
      <c r="F192" s="252" t="s">
        <v>465</v>
      </c>
      <c r="G192" s="248" t="s">
        <v>144</v>
      </c>
      <c r="H192" s="242" t="str">
        <f>IFERROR(VLOOKUP(WTG_BD[[#This Row],[Affected WTG]],'Basic Data'!$A$3:$E$56,2,0),"")</f>
        <v>PWEGPL</v>
      </c>
      <c r="I192" s="242" t="str">
        <f>IFERROR(VLOOKUP(WTG_BD[[#This Row],[Affected WTG]],'Basic Data'!$A$3:$E$56,3,0),"")</f>
        <v>MSEDCL</v>
      </c>
      <c r="J192" s="243">
        <f>IFERROR(VLOOKUP(WTG_BD[[#This Row],[Affected WTG]],'Basic Data'!$A$3:$E$56,5,0),"")</f>
        <v>2.564102564102564E-2</v>
      </c>
      <c r="K192" s="158" t="s">
        <v>466</v>
      </c>
      <c r="L192" s="247" t="str">
        <f>VLOOKUP(K192,'Basic Data'!T:U,2,0)</f>
        <v>Manual Stop - Safety Related</v>
      </c>
      <c r="M192" s="135" t="s">
        <v>467</v>
      </c>
      <c r="N192" s="256">
        <v>0</v>
      </c>
      <c r="O192" s="256">
        <v>0.99930555555555556</v>
      </c>
      <c r="P192" s="256">
        <v>0.99930555555555556</v>
      </c>
      <c r="Q192" s="253">
        <f>IF(WTG_BD[[#This Row],[Work Start TimeStamp]]="","",(WTG_BD[[#This Row],[Work Start TimeStamp]]-WTG_BD[[#This Row],[Fault Start TimeStamp]])*24)</f>
        <v>23.983333333333334</v>
      </c>
      <c r="R192" s="253">
        <f>(WTG_BD[[#This Row],[Fault Clearance time]]-WTG_BD[[#This Row],[Work Start TimeStamp]])*24</f>
        <v>0</v>
      </c>
      <c r="S192" s="253">
        <f>(WTG_BD[[#This Row],[Fault Clearance time]]-WTG_BD[[#This Row],[Fault Start TimeStamp]])*24</f>
        <v>23.983333333333334</v>
      </c>
      <c r="T192" s="135" t="s">
        <v>468</v>
      </c>
      <c r="U192" s="244" t="s">
        <v>469</v>
      </c>
      <c r="V192" s="246">
        <f>WTG_BD[[#This Row],[Breakdown Time]]*(1/39)</f>
        <v>0.61495726495726499</v>
      </c>
      <c r="W192" s="244" t="s">
        <v>141</v>
      </c>
      <c r="X192" s="250">
        <v>4654.7652777777785</v>
      </c>
      <c r="Y192" s="135" t="s">
        <v>470</v>
      </c>
      <c r="Z192" s="135" t="s">
        <v>471</v>
      </c>
      <c r="AA192" s="135">
        <v>4658</v>
      </c>
      <c r="AB192" s="249">
        <f>(WTG_BD[[#This Row],[Paired WTG Generation for loss calculation.]]/24)*WTG_BD[[#This Row],[Breakdown Time]]</f>
        <v>4654.7652777777785</v>
      </c>
      <c r="AC192" s="135"/>
      <c r="AD192" s="245"/>
      <c r="AE192" s="3"/>
    </row>
    <row r="193" spans="1:31">
      <c r="A193" s="241">
        <f t="shared" si="5"/>
        <v>192</v>
      </c>
      <c r="B193" s="255">
        <v>45751</v>
      </c>
      <c r="C193" s="252">
        <v>2025</v>
      </c>
      <c r="D193" s="252">
        <f>YEAR(WTG_BD[[#This Row],[Date]])</f>
        <v>2025</v>
      </c>
      <c r="E193" s="251">
        <f t="shared" si="6"/>
        <v>45748</v>
      </c>
      <c r="F193" s="252" t="s">
        <v>465</v>
      </c>
      <c r="G193" s="248" t="s">
        <v>142</v>
      </c>
      <c r="H193" s="242" t="str">
        <f>IFERROR(VLOOKUP(WTG_BD[[#This Row],[Affected WTG]],'Basic Data'!$A$3:$E$56,2,0),"")</f>
        <v>PWEGPL</v>
      </c>
      <c r="I193" s="242" t="str">
        <f>IFERROR(VLOOKUP(WTG_BD[[#This Row],[Affected WTG]],'Basic Data'!$A$3:$E$56,3,0),"")</f>
        <v>MSEDCL</v>
      </c>
      <c r="J193" s="243">
        <f>IFERROR(VLOOKUP(WTG_BD[[#This Row],[Affected WTG]],'Basic Data'!$A$3:$E$56,5,0),"")</f>
        <v>2.564102564102564E-2</v>
      </c>
      <c r="K193" s="158" t="s">
        <v>466</v>
      </c>
      <c r="L193" s="247" t="str">
        <f>VLOOKUP(K193,'Basic Data'!T:U,2,0)</f>
        <v>Manual Stop - Safety Related</v>
      </c>
      <c r="M193" s="135" t="s">
        <v>467</v>
      </c>
      <c r="N193" s="256">
        <v>0</v>
      </c>
      <c r="O193" s="256">
        <v>0.99930555555555556</v>
      </c>
      <c r="P193" s="256">
        <v>0.99930555555555556</v>
      </c>
      <c r="Q193" s="253">
        <f>IF(WTG_BD[[#This Row],[Work Start TimeStamp]]="","",(WTG_BD[[#This Row],[Work Start TimeStamp]]-WTG_BD[[#This Row],[Fault Start TimeStamp]])*24)</f>
        <v>23.983333333333334</v>
      </c>
      <c r="R193" s="253">
        <f>(WTG_BD[[#This Row],[Fault Clearance time]]-WTG_BD[[#This Row],[Work Start TimeStamp]])*24</f>
        <v>0</v>
      </c>
      <c r="S193" s="253">
        <f>(WTG_BD[[#This Row],[Fault Clearance time]]-WTG_BD[[#This Row],[Fault Start TimeStamp]])*24</f>
        <v>23.983333333333334</v>
      </c>
      <c r="T193" s="135" t="s">
        <v>468</v>
      </c>
      <c r="U193" s="244" t="s">
        <v>469</v>
      </c>
      <c r="V193" s="246">
        <f>WTG_BD[[#This Row],[Breakdown Time]]*(1/39)</f>
        <v>0.61495726495726499</v>
      </c>
      <c r="W193" s="244" t="s">
        <v>141</v>
      </c>
      <c r="X193" s="250">
        <v>4654.7652777777785</v>
      </c>
      <c r="Y193" s="135" t="s">
        <v>470</v>
      </c>
      <c r="Z193" s="135" t="s">
        <v>471</v>
      </c>
      <c r="AA193" s="135">
        <v>4658</v>
      </c>
      <c r="AB193" s="249">
        <f>(WTG_BD[[#This Row],[Paired WTG Generation for loss calculation.]]/24)*WTG_BD[[#This Row],[Breakdown Time]]</f>
        <v>4654.7652777777785</v>
      </c>
      <c r="AC193" s="135"/>
      <c r="AD193" s="245"/>
      <c r="AE193" s="3"/>
    </row>
    <row r="194" spans="1:31">
      <c r="A194" s="241">
        <f t="shared" si="5"/>
        <v>193</v>
      </c>
      <c r="B194" s="255">
        <v>45751</v>
      </c>
      <c r="C194" s="252">
        <v>2025</v>
      </c>
      <c r="D194" s="252">
        <f>YEAR(WTG_BD[[#This Row],[Date]])</f>
        <v>2025</v>
      </c>
      <c r="E194" s="251">
        <f t="shared" si="6"/>
        <v>45748</v>
      </c>
      <c r="F194" s="252" t="s">
        <v>465</v>
      </c>
      <c r="G194" s="248" t="s">
        <v>117</v>
      </c>
      <c r="H194" s="242" t="str">
        <f>IFERROR(VLOOKUP(WTG_BD[[#This Row],[Affected WTG]],'Basic Data'!$A$3:$E$56,2,0),"")</f>
        <v>PWEGPL</v>
      </c>
      <c r="I194" s="242" t="str">
        <f>IFERROR(VLOOKUP(WTG_BD[[#This Row],[Affected WTG]],'Basic Data'!$A$3:$E$56,3,0),"")</f>
        <v>MSEDCL</v>
      </c>
      <c r="J194" s="243">
        <f>IFERROR(VLOOKUP(WTG_BD[[#This Row],[Affected WTG]],'Basic Data'!$A$3:$E$56,5,0),"")</f>
        <v>2.564102564102564E-2</v>
      </c>
      <c r="K194" s="158">
        <v>110</v>
      </c>
      <c r="L194" s="247" t="str">
        <f>VLOOKUP(K194,'Basic Data'!T:U,2,0)</f>
        <v>Yaw Sensor Wiring Error</v>
      </c>
      <c r="M194" s="135" t="s">
        <v>472</v>
      </c>
      <c r="N194" s="256">
        <v>0.51249999999999996</v>
      </c>
      <c r="O194" s="256">
        <v>0.58333333333333337</v>
      </c>
      <c r="P194" s="256">
        <v>0.6</v>
      </c>
      <c r="Q194" s="253">
        <f>IF(WTG_BD[[#This Row],[Work Start TimeStamp]]="","",(WTG_BD[[#This Row],[Work Start TimeStamp]]-WTG_BD[[#This Row],[Fault Start TimeStamp]])*24)</f>
        <v>1.700000000000002</v>
      </c>
      <c r="R194" s="253">
        <f>(WTG_BD[[#This Row],[Fault Clearance time]]-WTG_BD[[#This Row],[Work Start TimeStamp]])*24</f>
        <v>0.39999999999999858</v>
      </c>
      <c r="S194" s="253">
        <f>(WTG_BD[[#This Row],[Fault Clearance time]]-WTG_BD[[#This Row],[Fault Start TimeStamp]])*24</f>
        <v>2.1000000000000005</v>
      </c>
      <c r="T194" s="135" t="s">
        <v>492</v>
      </c>
      <c r="U194" s="244" t="s">
        <v>474</v>
      </c>
      <c r="V194" s="246">
        <f>WTG_BD[[#This Row],[Breakdown Time]]*(1/39)</f>
        <v>5.3846153846153856E-2</v>
      </c>
      <c r="W194" s="244" t="s">
        <v>118</v>
      </c>
      <c r="X194" s="250">
        <v>77.350000000000023</v>
      </c>
      <c r="Y194" s="135" t="s">
        <v>470</v>
      </c>
      <c r="Z194" s="135" t="s">
        <v>475</v>
      </c>
      <c r="AA194" s="135">
        <v>884</v>
      </c>
      <c r="AB194" s="249">
        <f>(WTG_BD[[#This Row],[Paired WTG Generation for loss calculation.]]/24)*WTG_BD[[#This Row],[Breakdown Time]]</f>
        <v>77.350000000000023</v>
      </c>
      <c r="AC194" s="135"/>
      <c r="AD194" s="245"/>
      <c r="AE194" s="3"/>
    </row>
    <row r="195" spans="1:31">
      <c r="A195" s="241">
        <f t="shared" ref="A195:A258" si="7">A194+1</f>
        <v>194</v>
      </c>
      <c r="B195" s="255">
        <v>45751</v>
      </c>
      <c r="C195" s="252">
        <v>2025</v>
      </c>
      <c r="D195" s="252">
        <f>YEAR(WTG_BD[[#This Row],[Date]])</f>
        <v>2025</v>
      </c>
      <c r="E195" s="251">
        <f t="shared" si="6"/>
        <v>45748</v>
      </c>
      <c r="F195" s="252" t="s">
        <v>465</v>
      </c>
      <c r="G195" s="248" t="s">
        <v>118</v>
      </c>
      <c r="H195" s="242" t="str">
        <f>IFERROR(VLOOKUP(WTG_BD[[#This Row],[Affected WTG]],'Basic Data'!$A$3:$E$56,2,0),"")</f>
        <v>PWEGPL</v>
      </c>
      <c r="I195" s="242" t="str">
        <f>IFERROR(VLOOKUP(WTG_BD[[#This Row],[Affected WTG]],'Basic Data'!$A$3:$E$56,3,0),"")</f>
        <v>MSEDCL</v>
      </c>
      <c r="J195" s="243">
        <f>IFERROR(VLOOKUP(WTG_BD[[#This Row],[Affected WTG]],'Basic Data'!$A$3:$E$56,5,0),"")</f>
        <v>2.564102564102564E-2</v>
      </c>
      <c r="K195" s="158">
        <v>1825</v>
      </c>
      <c r="L195" s="247" t="str">
        <f>VLOOKUP(K195,'Basic Data'!T:U,2,0)</f>
        <v>Automatics Not Ok</v>
      </c>
      <c r="M195" s="135" t="s">
        <v>472</v>
      </c>
      <c r="N195" s="256">
        <v>2.9861111111111113E-2</v>
      </c>
      <c r="O195" s="256">
        <v>7.3611111111111113E-2</v>
      </c>
      <c r="P195" s="256">
        <v>0.46250000000000002</v>
      </c>
      <c r="Q195" s="253">
        <f>IF(WTG_BD[[#This Row],[Work Start TimeStamp]]="","",(WTG_BD[[#This Row],[Work Start TimeStamp]]-WTG_BD[[#This Row],[Fault Start TimeStamp]])*24)</f>
        <v>1.0499999999999998</v>
      </c>
      <c r="R195" s="253">
        <f>(WTG_BD[[#This Row],[Fault Clearance time]]-WTG_BD[[#This Row],[Work Start TimeStamp]])*24</f>
        <v>9.3333333333333339</v>
      </c>
      <c r="S195" s="253">
        <f>(WTG_BD[[#This Row],[Fault Clearance time]]-WTG_BD[[#This Row],[Fault Start TimeStamp]])*24</f>
        <v>10.383333333333333</v>
      </c>
      <c r="T195" s="135" t="s">
        <v>510</v>
      </c>
      <c r="U195" s="244" t="s">
        <v>474</v>
      </c>
      <c r="V195" s="246">
        <f>WTG_BD[[#This Row],[Breakdown Time]]*(1/39)</f>
        <v>0.26623931623931624</v>
      </c>
      <c r="W195" s="244" t="s">
        <v>117</v>
      </c>
      <c r="X195" s="250">
        <v>1919.1861111111111</v>
      </c>
      <c r="Y195" s="135" t="s">
        <v>470</v>
      </c>
      <c r="Z195" s="135" t="s">
        <v>475</v>
      </c>
      <c r="AA195" s="135">
        <v>4436</v>
      </c>
      <c r="AB195" s="249">
        <f>(WTG_BD[[#This Row],[Paired WTG Generation for loss calculation.]]/24)*WTG_BD[[#This Row],[Breakdown Time]]</f>
        <v>1919.1861111111111</v>
      </c>
      <c r="AC195" s="135"/>
      <c r="AD195" s="245"/>
      <c r="AE195" s="3"/>
    </row>
    <row r="196" spans="1:31">
      <c r="A196" s="241">
        <f t="shared" si="7"/>
        <v>195</v>
      </c>
      <c r="B196" s="255">
        <v>45751</v>
      </c>
      <c r="C196" s="252">
        <v>2025</v>
      </c>
      <c r="D196" s="252">
        <f>YEAR(WTG_BD[[#This Row],[Date]])</f>
        <v>2025</v>
      </c>
      <c r="E196" s="251">
        <f t="shared" si="6"/>
        <v>45748</v>
      </c>
      <c r="F196" s="252" t="s">
        <v>465</v>
      </c>
      <c r="G196" s="248" t="s">
        <v>118</v>
      </c>
      <c r="H196" s="242" t="str">
        <f>IFERROR(VLOOKUP(WTG_BD[[#This Row],[Affected WTG]],'Basic Data'!$A$3:$E$56,2,0),"")</f>
        <v>PWEGPL</v>
      </c>
      <c r="I196" s="242" t="str">
        <f>IFERROR(VLOOKUP(WTG_BD[[#This Row],[Affected WTG]],'Basic Data'!$A$3:$E$56,3,0),"")</f>
        <v>MSEDCL</v>
      </c>
      <c r="J196" s="243">
        <f>IFERROR(VLOOKUP(WTG_BD[[#This Row],[Affected WTG]],'Basic Data'!$A$3:$E$56,5,0),"")</f>
        <v>2.564102564102564E-2</v>
      </c>
      <c r="K196" s="158">
        <v>5200</v>
      </c>
      <c r="L196" s="247" t="str">
        <f>VLOOKUP(K196,'Basic Data'!T:U,2,0)</f>
        <v>Magnetothermic Trigger Of The Line Protection</v>
      </c>
      <c r="M196" s="135" t="s">
        <v>472</v>
      </c>
      <c r="N196" s="256">
        <v>0.8125</v>
      </c>
      <c r="O196" s="256">
        <v>0.92847222222222225</v>
      </c>
      <c r="P196" s="256">
        <v>0.92847222222222225</v>
      </c>
      <c r="Q196" s="253">
        <f>IF(WTG_BD[[#This Row],[Work Start TimeStamp]]="","",(WTG_BD[[#This Row],[Work Start TimeStamp]]-WTG_BD[[#This Row],[Fault Start TimeStamp]])*24)</f>
        <v>2.7833333333333341</v>
      </c>
      <c r="R196" s="253">
        <f>(WTG_BD[[#This Row],[Fault Clearance time]]-WTG_BD[[#This Row],[Work Start TimeStamp]])*24</f>
        <v>0</v>
      </c>
      <c r="S196" s="253">
        <f>(WTG_BD[[#This Row],[Fault Clearance time]]-WTG_BD[[#This Row],[Fault Start TimeStamp]])*24</f>
        <v>2.7833333333333341</v>
      </c>
      <c r="T196" s="135" t="s">
        <v>473</v>
      </c>
      <c r="U196" s="244" t="s">
        <v>474</v>
      </c>
      <c r="V196" s="246">
        <f>WTG_BD[[#This Row],[Breakdown Time]]*(1/39)</f>
        <v>7.1367521367521392E-2</v>
      </c>
      <c r="W196" s="244" t="s">
        <v>117</v>
      </c>
      <c r="X196" s="250">
        <v>514.4527777777779</v>
      </c>
      <c r="Y196" s="135" t="s">
        <v>470</v>
      </c>
      <c r="Z196" s="135" t="s">
        <v>475</v>
      </c>
      <c r="AA196" s="135">
        <v>4436</v>
      </c>
      <c r="AB196" s="249">
        <f>(WTG_BD[[#This Row],[Paired WTG Generation for loss calculation.]]/24)*WTG_BD[[#This Row],[Breakdown Time]]</f>
        <v>514.4527777777779</v>
      </c>
      <c r="AC196" s="135"/>
      <c r="AD196" s="245"/>
      <c r="AE196" s="3"/>
    </row>
    <row r="197" spans="1:31">
      <c r="A197" s="241">
        <f t="shared" si="7"/>
        <v>196</v>
      </c>
      <c r="B197" s="255">
        <v>45751</v>
      </c>
      <c r="C197" s="252">
        <v>2025</v>
      </c>
      <c r="D197" s="252">
        <f>YEAR(WTG_BD[[#This Row],[Date]])</f>
        <v>2025</v>
      </c>
      <c r="E197" s="251">
        <f t="shared" si="6"/>
        <v>45748</v>
      </c>
      <c r="F197" s="252" t="s">
        <v>465</v>
      </c>
      <c r="G197" s="248" t="s">
        <v>120</v>
      </c>
      <c r="H197" s="242" t="str">
        <f>IFERROR(VLOOKUP(WTG_BD[[#This Row],[Affected WTG]],'Basic Data'!$A$3:$E$56,2,0),"")</f>
        <v>PWEGPL</v>
      </c>
      <c r="I197" s="242" t="str">
        <f>IFERROR(VLOOKUP(WTG_BD[[#This Row],[Affected WTG]],'Basic Data'!$A$3:$E$56,3,0),"")</f>
        <v>MSEDCL</v>
      </c>
      <c r="J197" s="243">
        <f>IFERROR(VLOOKUP(WTG_BD[[#This Row],[Affected WTG]],'Basic Data'!$A$3:$E$56,5,0),"")</f>
        <v>2.564102564102564E-2</v>
      </c>
      <c r="K197" s="158">
        <v>5216</v>
      </c>
      <c r="L197" s="247" t="str">
        <f>VLOOKUP(K197,'Basic Data'!T:U,2,0)</f>
        <v>Grid Voltage Failure</v>
      </c>
      <c r="M197" s="135" t="s">
        <v>472</v>
      </c>
      <c r="N197" s="256">
        <v>0</v>
      </c>
      <c r="O197" s="256">
        <v>0</v>
      </c>
      <c r="P197" s="256">
        <v>0.57430555555555551</v>
      </c>
      <c r="Q197" s="253">
        <f>IF(WTG_BD[[#This Row],[Work Start TimeStamp]]="","",(WTG_BD[[#This Row],[Work Start TimeStamp]]-WTG_BD[[#This Row],[Fault Start TimeStamp]])*24)</f>
        <v>0</v>
      </c>
      <c r="R197" s="253">
        <f>(WTG_BD[[#This Row],[Fault Clearance time]]-WTG_BD[[#This Row],[Work Start TimeStamp]])*24</f>
        <v>13.783333333333331</v>
      </c>
      <c r="S197" s="253">
        <f>(WTG_BD[[#This Row],[Fault Clearance time]]-WTG_BD[[#This Row],[Fault Start TimeStamp]])*24</f>
        <v>13.783333333333331</v>
      </c>
      <c r="T197" s="135" t="s">
        <v>511</v>
      </c>
      <c r="U197" s="244" t="s">
        <v>474</v>
      </c>
      <c r="V197" s="246">
        <f>WTG_BD[[#This Row],[Breakdown Time]]*(1/39)</f>
        <v>0.35341880341880338</v>
      </c>
      <c r="W197" s="244" t="s">
        <v>117</v>
      </c>
      <c r="X197" s="250">
        <v>2547.6194444444441</v>
      </c>
      <c r="Y197" s="135" t="s">
        <v>470</v>
      </c>
      <c r="Z197" s="135" t="s">
        <v>475</v>
      </c>
      <c r="AA197" s="135">
        <v>4436</v>
      </c>
      <c r="AB197" s="249">
        <f>(WTG_BD[[#This Row],[Paired WTG Generation for loss calculation.]]/24)*WTG_BD[[#This Row],[Breakdown Time]]</f>
        <v>2547.6194444444441</v>
      </c>
      <c r="AC197" s="135"/>
      <c r="AD197" s="245"/>
      <c r="AE197" s="3"/>
    </row>
    <row r="198" spans="1:31">
      <c r="A198" s="241">
        <f t="shared" si="7"/>
        <v>197</v>
      </c>
      <c r="B198" s="255">
        <v>45751</v>
      </c>
      <c r="C198" s="252">
        <v>2025</v>
      </c>
      <c r="D198" s="252">
        <f>YEAR(WTG_BD[[#This Row],[Date]])</f>
        <v>2025</v>
      </c>
      <c r="E198" s="251">
        <f t="shared" si="6"/>
        <v>45748</v>
      </c>
      <c r="F198" s="252" t="s">
        <v>465</v>
      </c>
      <c r="G198" s="248" t="s">
        <v>121</v>
      </c>
      <c r="H198" s="242" t="str">
        <f>IFERROR(VLOOKUP(WTG_BD[[#This Row],[Affected WTG]],'Basic Data'!$A$3:$E$56,2,0),"")</f>
        <v>PWEGPL</v>
      </c>
      <c r="I198" s="242" t="str">
        <f>IFERROR(VLOOKUP(WTG_BD[[#This Row],[Affected WTG]],'Basic Data'!$A$3:$E$56,3,0),"")</f>
        <v>MSEDCL</v>
      </c>
      <c r="J198" s="243">
        <f>IFERROR(VLOOKUP(WTG_BD[[#This Row],[Affected WTG]],'Basic Data'!$A$3:$E$56,5,0),"")</f>
        <v>2.564102564102564E-2</v>
      </c>
      <c r="K198" s="158">
        <v>2102</v>
      </c>
      <c r="L198" s="247" t="str">
        <f>VLOOKUP(K198,'Basic Data'!T:U,2,0)</f>
        <v>PLC Module Failure</v>
      </c>
      <c r="M198" s="135" t="s">
        <v>472</v>
      </c>
      <c r="N198" s="256">
        <v>0</v>
      </c>
      <c r="O198" s="256">
        <v>0.16875000000000001</v>
      </c>
      <c r="P198" s="256">
        <v>0.1875</v>
      </c>
      <c r="Q198" s="253">
        <f>IF(WTG_BD[[#This Row],[Work Start TimeStamp]]="","",(WTG_BD[[#This Row],[Work Start TimeStamp]]-WTG_BD[[#This Row],[Fault Start TimeStamp]])*24)</f>
        <v>4.0500000000000007</v>
      </c>
      <c r="R198" s="253">
        <f>(WTG_BD[[#This Row],[Fault Clearance time]]-WTG_BD[[#This Row],[Work Start TimeStamp]])*24</f>
        <v>0.44999999999999973</v>
      </c>
      <c r="S198" s="253">
        <f>(WTG_BD[[#This Row],[Fault Clearance time]]-WTG_BD[[#This Row],[Fault Start TimeStamp]])*24</f>
        <v>4.5</v>
      </c>
      <c r="T198" s="135" t="s">
        <v>482</v>
      </c>
      <c r="U198" s="244" t="s">
        <v>474</v>
      </c>
      <c r="V198" s="246">
        <f>WTG_BD[[#This Row],[Breakdown Time]]*(1/39)</f>
        <v>0.11538461538461538</v>
      </c>
      <c r="W198" s="244" t="s">
        <v>115</v>
      </c>
      <c r="X198" s="250">
        <v>978.75</v>
      </c>
      <c r="Y198" s="135" t="s">
        <v>470</v>
      </c>
      <c r="Z198" s="135" t="s">
        <v>475</v>
      </c>
      <c r="AA198" s="135">
        <v>5220</v>
      </c>
      <c r="AB198" s="249">
        <f>(WTG_BD[[#This Row],[Paired WTG Generation for loss calculation.]]/24)*WTG_BD[[#This Row],[Breakdown Time]]</f>
        <v>978.75</v>
      </c>
      <c r="AC198" s="135"/>
      <c r="AD198" s="245"/>
      <c r="AE198" s="3"/>
    </row>
    <row r="199" spans="1:31">
      <c r="A199" s="241">
        <f t="shared" si="7"/>
        <v>198</v>
      </c>
      <c r="B199" s="255">
        <v>45751</v>
      </c>
      <c r="C199" s="252">
        <v>2025</v>
      </c>
      <c r="D199" s="252">
        <f>YEAR(WTG_BD[[#This Row],[Date]])</f>
        <v>2025</v>
      </c>
      <c r="E199" s="251">
        <f t="shared" si="6"/>
        <v>45748</v>
      </c>
      <c r="F199" s="252" t="s">
        <v>465</v>
      </c>
      <c r="G199" s="248" t="s">
        <v>122</v>
      </c>
      <c r="H199" s="242" t="str">
        <f>IFERROR(VLOOKUP(WTG_BD[[#This Row],[Affected WTG]],'Basic Data'!$A$3:$E$56,2,0),"")</f>
        <v>PWEGPL</v>
      </c>
      <c r="I199" s="242" t="str">
        <f>IFERROR(VLOOKUP(WTG_BD[[#This Row],[Affected WTG]],'Basic Data'!$A$3:$E$56,3,0),"")</f>
        <v>MSEDCL</v>
      </c>
      <c r="J199" s="243">
        <f>IFERROR(VLOOKUP(WTG_BD[[#This Row],[Affected WTG]],'Basic Data'!$A$3:$E$56,5,0),"")</f>
        <v>2.564102564102564E-2</v>
      </c>
      <c r="K199" s="158">
        <v>125</v>
      </c>
      <c r="L199" s="247" t="str">
        <f>VLOOKUP(K199,'Basic Data'!T:U,2,0)</f>
        <v xml:space="preserve">Yaw Motors Over Current Protection </v>
      </c>
      <c r="M199" s="135" t="s">
        <v>472</v>
      </c>
      <c r="N199" s="256">
        <v>0.61111111111111116</v>
      </c>
      <c r="O199" s="256">
        <v>0.65763888888888888</v>
      </c>
      <c r="P199" s="256">
        <v>1</v>
      </c>
      <c r="Q199" s="253">
        <f>IF(WTG_BD[[#This Row],[Work Start TimeStamp]]="","",(WTG_BD[[#This Row],[Work Start TimeStamp]]-WTG_BD[[#This Row],[Fault Start TimeStamp]])*24)</f>
        <v>1.1166666666666654</v>
      </c>
      <c r="R199" s="253">
        <f>(WTG_BD[[#This Row],[Fault Clearance time]]-WTG_BD[[#This Row],[Work Start TimeStamp]])*24</f>
        <v>8.2166666666666668</v>
      </c>
      <c r="S199" s="253">
        <f>(WTG_BD[[#This Row],[Fault Clearance time]]-WTG_BD[[#This Row],[Fault Start TimeStamp]])*24</f>
        <v>9.3333333333333321</v>
      </c>
      <c r="T199" s="135" t="s">
        <v>485</v>
      </c>
      <c r="U199" s="244" t="s">
        <v>474</v>
      </c>
      <c r="V199" s="246">
        <f>WTG_BD[[#This Row],[Breakdown Time]]*(1/39)</f>
        <v>0.23931623931623927</v>
      </c>
      <c r="W199" s="244" t="s">
        <v>117</v>
      </c>
      <c r="X199" s="250">
        <v>1725.1111111111111</v>
      </c>
      <c r="Y199" s="135" t="s">
        <v>470</v>
      </c>
      <c r="Z199" s="135" t="s">
        <v>475</v>
      </c>
      <c r="AA199" s="135">
        <v>4436</v>
      </c>
      <c r="AB199" s="249">
        <f>(WTG_BD[[#This Row],[Paired WTG Generation for loss calculation.]]/24)*WTG_BD[[#This Row],[Breakdown Time]]</f>
        <v>1725.1111111111111</v>
      </c>
      <c r="AC199" s="135"/>
      <c r="AD199" s="245"/>
      <c r="AE199" s="3"/>
    </row>
    <row r="200" spans="1:31">
      <c r="A200" s="241">
        <f t="shared" si="7"/>
        <v>199</v>
      </c>
      <c r="B200" s="255">
        <v>45751</v>
      </c>
      <c r="C200" s="252">
        <v>2025</v>
      </c>
      <c r="D200" s="252">
        <f>YEAR(WTG_BD[[#This Row],[Date]])</f>
        <v>2025</v>
      </c>
      <c r="E200" s="251">
        <f t="shared" si="6"/>
        <v>45748</v>
      </c>
      <c r="F200" s="252" t="s">
        <v>465</v>
      </c>
      <c r="G200" s="248" t="s">
        <v>125</v>
      </c>
      <c r="H200" s="242" t="str">
        <f>IFERROR(VLOOKUP(WTG_BD[[#This Row],[Affected WTG]],'Basic Data'!$A$3:$E$56,2,0),"")</f>
        <v>PWEGPL</v>
      </c>
      <c r="I200" s="242" t="str">
        <f>IFERROR(VLOOKUP(WTG_BD[[#This Row],[Affected WTG]],'Basic Data'!$A$3:$E$56,3,0),"")</f>
        <v>MSEDCL</v>
      </c>
      <c r="J200" s="243">
        <f>IFERROR(VLOOKUP(WTG_BD[[#This Row],[Affected WTG]],'Basic Data'!$A$3:$E$56,5,0),"")</f>
        <v>2.564102564102564E-2</v>
      </c>
      <c r="K200" s="158">
        <v>116</v>
      </c>
      <c r="L200" s="247" t="str">
        <f>VLOOKUP(K200,'Basic Data'!T:U,2,0)</f>
        <v>Orienting and High Yaw Brake Pressure</v>
      </c>
      <c r="M200" s="135" t="s">
        <v>472</v>
      </c>
      <c r="N200" s="256">
        <v>0.50416666666666665</v>
      </c>
      <c r="O200" s="256">
        <v>0.50416666666666665</v>
      </c>
      <c r="P200" s="256">
        <v>0.50763888888888886</v>
      </c>
      <c r="Q200" s="253">
        <f>IF(WTG_BD[[#This Row],[Work Start TimeStamp]]="","",(WTG_BD[[#This Row],[Work Start TimeStamp]]-WTG_BD[[#This Row],[Fault Start TimeStamp]])*24)</f>
        <v>0</v>
      </c>
      <c r="R200" s="253">
        <f>(WTG_BD[[#This Row],[Fault Clearance time]]-WTG_BD[[#This Row],[Work Start TimeStamp]])*24</f>
        <v>8.3333333333333037E-2</v>
      </c>
      <c r="S200" s="253">
        <f>(WTG_BD[[#This Row],[Fault Clearance time]]-WTG_BD[[#This Row],[Fault Start TimeStamp]])*24</f>
        <v>8.3333333333333037E-2</v>
      </c>
      <c r="T200" s="135" t="s">
        <v>476</v>
      </c>
      <c r="U200" s="244" t="s">
        <v>474</v>
      </c>
      <c r="V200" s="246">
        <f>WTG_BD[[#This Row],[Breakdown Time]]*(1/39)</f>
        <v>2.1367521367521292E-3</v>
      </c>
      <c r="W200" s="244" t="s">
        <v>124</v>
      </c>
      <c r="X200" s="250">
        <v>17.499999999999936</v>
      </c>
      <c r="Y200" s="135" t="s">
        <v>470</v>
      </c>
      <c r="Z200" s="135" t="s">
        <v>475</v>
      </c>
      <c r="AA200" s="135">
        <v>5040</v>
      </c>
      <c r="AB200" s="249">
        <f>(WTG_BD[[#This Row],[Paired WTG Generation for loss calculation.]]/24)*WTG_BD[[#This Row],[Breakdown Time]]</f>
        <v>17.499999999999936</v>
      </c>
      <c r="AC200" s="135"/>
      <c r="AD200" s="245"/>
      <c r="AE200" s="3"/>
    </row>
    <row r="201" spans="1:31">
      <c r="A201" s="241">
        <f t="shared" si="7"/>
        <v>200</v>
      </c>
      <c r="B201" s="255">
        <v>45751</v>
      </c>
      <c r="C201" s="252">
        <v>2025</v>
      </c>
      <c r="D201" s="252">
        <f>YEAR(WTG_BD[[#This Row],[Date]])</f>
        <v>2025</v>
      </c>
      <c r="E201" s="251">
        <f t="shared" si="6"/>
        <v>45748</v>
      </c>
      <c r="F201" s="252" t="s">
        <v>465</v>
      </c>
      <c r="G201" s="248" t="s">
        <v>125</v>
      </c>
      <c r="H201" s="242" t="str">
        <f>IFERROR(VLOOKUP(WTG_BD[[#This Row],[Affected WTG]],'Basic Data'!$A$3:$E$56,2,0),"")</f>
        <v>PWEGPL</v>
      </c>
      <c r="I201" s="242" t="str">
        <f>IFERROR(VLOOKUP(WTG_BD[[#This Row],[Affected WTG]],'Basic Data'!$A$3:$E$56,3,0),"")</f>
        <v>MSEDCL</v>
      </c>
      <c r="J201" s="243">
        <f>IFERROR(VLOOKUP(WTG_BD[[#This Row],[Affected WTG]],'Basic Data'!$A$3:$E$56,5,0),"")</f>
        <v>2.564102564102564E-2</v>
      </c>
      <c r="K201" s="158">
        <v>116</v>
      </c>
      <c r="L201" s="247" t="str">
        <f>VLOOKUP(K201,'Basic Data'!T:U,2,0)</f>
        <v>Orienting and High Yaw Brake Pressure</v>
      </c>
      <c r="M201" s="135" t="s">
        <v>472</v>
      </c>
      <c r="N201" s="256">
        <v>0.53263888888888888</v>
      </c>
      <c r="O201" s="256">
        <v>0.53263888888888888</v>
      </c>
      <c r="P201" s="256">
        <v>0.53611111111111109</v>
      </c>
      <c r="Q201" s="253">
        <f>IF(WTG_BD[[#This Row],[Work Start TimeStamp]]="","",(WTG_BD[[#This Row],[Work Start TimeStamp]]-WTG_BD[[#This Row],[Fault Start TimeStamp]])*24)</f>
        <v>0</v>
      </c>
      <c r="R201" s="253">
        <f>(WTG_BD[[#This Row],[Fault Clearance time]]-WTG_BD[[#This Row],[Work Start TimeStamp]])*24</f>
        <v>8.3333333333333037E-2</v>
      </c>
      <c r="S201" s="253">
        <f>(WTG_BD[[#This Row],[Fault Clearance time]]-WTG_BD[[#This Row],[Fault Start TimeStamp]])*24</f>
        <v>8.3333333333333037E-2</v>
      </c>
      <c r="T201" s="135" t="s">
        <v>476</v>
      </c>
      <c r="U201" s="244" t="s">
        <v>474</v>
      </c>
      <c r="V201" s="246">
        <f>WTG_BD[[#This Row],[Breakdown Time]]*(1/39)</f>
        <v>2.1367521367521292E-3</v>
      </c>
      <c r="W201" s="244" t="s">
        <v>124</v>
      </c>
      <c r="X201" s="250">
        <v>17.499999999999936</v>
      </c>
      <c r="Y201" s="135" t="s">
        <v>470</v>
      </c>
      <c r="Z201" s="135" t="s">
        <v>475</v>
      </c>
      <c r="AA201" s="135">
        <v>5040</v>
      </c>
      <c r="AB201" s="249">
        <f>(WTG_BD[[#This Row],[Paired WTG Generation for loss calculation.]]/24)*WTG_BD[[#This Row],[Breakdown Time]]</f>
        <v>17.499999999999936</v>
      </c>
      <c r="AC201" s="135"/>
      <c r="AD201" s="245"/>
      <c r="AE201" s="3"/>
    </row>
    <row r="202" spans="1:31">
      <c r="A202" s="241">
        <f t="shared" si="7"/>
        <v>201</v>
      </c>
      <c r="B202" s="255">
        <v>45751</v>
      </c>
      <c r="C202" s="252">
        <v>2025</v>
      </c>
      <c r="D202" s="252">
        <f>YEAR(WTG_BD[[#This Row],[Date]])</f>
        <v>2025</v>
      </c>
      <c r="E202" s="251">
        <f t="shared" si="6"/>
        <v>45748</v>
      </c>
      <c r="F202" s="252" t="s">
        <v>465</v>
      </c>
      <c r="G202" s="248" t="s">
        <v>126</v>
      </c>
      <c r="H202" s="242" t="str">
        <f>IFERROR(VLOOKUP(WTG_BD[[#This Row],[Affected WTG]],'Basic Data'!$A$3:$E$56,2,0),"")</f>
        <v>PWEGPL</v>
      </c>
      <c r="I202" s="242" t="str">
        <f>IFERROR(VLOOKUP(WTG_BD[[#This Row],[Affected WTG]],'Basic Data'!$A$3:$E$56,3,0),"")</f>
        <v>MSEDCL</v>
      </c>
      <c r="J202" s="243">
        <f>IFERROR(VLOOKUP(WTG_BD[[#This Row],[Affected WTG]],'Basic Data'!$A$3:$E$56,5,0),"")</f>
        <v>2.564102564102564E-2</v>
      </c>
      <c r="K202" s="158">
        <v>5210</v>
      </c>
      <c r="L202" s="247" t="str">
        <f>VLOOKUP(K202,'Basic Data'!T:U,2,0)</f>
        <v>Failure Of The Contactor's Rotor Power</v>
      </c>
      <c r="M202" s="135" t="s">
        <v>472</v>
      </c>
      <c r="N202" s="256">
        <v>0.56388888888888888</v>
      </c>
      <c r="O202" s="256">
        <v>0.5708333333333333</v>
      </c>
      <c r="P202" s="256">
        <v>0.5708333333333333</v>
      </c>
      <c r="Q202" s="253">
        <f>IF(WTG_BD[[#This Row],[Work Start TimeStamp]]="","",(WTG_BD[[#This Row],[Work Start TimeStamp]]-WTG_BD[[#This Row],[Fault Start TimeStamp]])*24)</f>
        <v>0.16666666666666607</v>
      </c>
      <c r="R202" s="253">
        <f>(WTG_BD[[#This Row],[Fault Clearance time]]-WTG_BD[[#This Row],[Work Start TimeStamp]])*24</f>
        <v>0</v>
      </c>
      <c r="S202" s="253">
        <f>(WTG_BD[[#This Row],[Fault Clearance time]]-WTG_BD[[#This Row],[Fault Start TimeStamp]])*24</f>
        <v>0.16666666666666607</v>
      </c>
      <c r="T202" s="135" t="s">
        <v>473</v>
      </c>
      <c r="U202" s="244" t="s">
        <v>474</v>
      </c>
      <c r="V202" s="246">
        <f>WTG_BD[[#This Row],[Breakdown Time]]*(1/39)</f>
        <v>4.2735042735042583E-3</v>
      </c>
      <c r="W202" s="244" t="s">
        <v>123</v>
      </c>
      <c r="X202" s="250">
        <v>30.249999999999893</v>
      </c>
      <c r="Y202" s="135" t="s">
        <v>470</v>
      </c>
      <c r="Z202" s="135" t="s">
        <v>475</v>
      </c>
      <c r="AA202" s="135">
        <v>4356</v>
      </c>
      <c r="AB202" s="249">
        <f>(WTG_BD[[#This Row],[Paired WTG Generation for loss calculation.]]/24)*WTG_BD[[#This Row],[Breakdown Time]]</f>
        <v>30.249999999999893</v>
      </c>
      <c r="AC202" s="135"/>
      <c r="AD202" s="245"/>
      <c r="AE202" s="3"/>
    </row>
    <row r="203" spans="1:31">
      <c r="A203" s="241">
        <f t="shared" si="7"/>
        <v>202</v>
      </c>
      <c r="B203" s="255">
        <v>45751</v>
      </c>
      <c r="C203" s="252">
        <v>2025</v>
      </c>
      <c r="D203" s="252">
        <f>YEAR(WTG_BD[[#This Row],[Date]])</f>
        <v>2025</v>
      </c>
      <c r="E203" s="251">
        <f t="shared" si="6"/>
        <v>45748</v>
      </c>
      <c r="F203" s="252" t="s">
        <v>465</v>
      </c>
      <c r="G203" s="248" t="s">
        <v>127</v>
      </c>
      <c r="H203" s="242" t="str">
        <f>IFERROR(VLOOKUP(WTG_BD[[#This Row],[Affected WTG]],'Basic Data'!$A$3:$E$56,2,0),"")</f>
        <v>PWEGPL</v>
      </c>
      <c r="I203" s="242" t="str">
        <f>IFERROR(VLOOKUP(WTG_BD[[#This Row],[Affected WTG]],'Basic Data'!$A$3:$E$56,3,0),"")</f>
        <v>MSEDCL</v>
      </c>
      <c r="J203" s="243">
        <f>IFERROR(VLOOKUP(WTG_BD[[#This Row],[Affected WTG]],'Basic Data'!$A$3:$E$56,5,0),"")</f>
        <v>2.564102564102564E-2</v>
      </c>
      <c r="K203" s="158">
        <v>500</v>
      </c>
      <c r="L203" s="247" t="str">
        <f>VLOOKUP(K203,'Basic Data'!T:U,2,0)</f>
        <v>High Generator Winding Temperature</v>
      </c>
      <c r="M203" s="135" t="s">
        <v>472</v>
      </c>
      <c r="N203" s="256">
        <v>6.2500000000000003E-3</v>
      </c>
      <c r="O203" s="256">
        <v>6.2500000000000003E-3</v>
      </c>
      <c r="P203" s="256">
        <v>9.7222222222222224E-3</v>
      </c>
      <c r="Q203" s="253">
        <f>IF(WTG_BD[[#This Row],[Work Start TimeStamp]]="","",(WTG_BD[[#This Row],[Work Start TimeStamp]]-WTG_BD[[#This Row],[Fault Start TimeStamp]])*24)</f>
        <v>0</v>
      </c>
      <c r="R203" s="253">
        <f>(WTG_BD[[#This Row],[Fault Clearance time]]-WTG_BD[[#This Row],[Work Start TimeStamp]])*24</f>
        <v>8.3333333333333329E-2</v>
      </c>
      <c r="S203" s="253">
        <f>(WTG_BD[[#This Row],[Fault Clearance time]]-WTG_BD[[#This Row],[Fault Start TimeStamp]])*24</f>
        <v>8.3333333333333329E-2</v>
      </c>
      <c r="T203" s="135" t="s">
        <v>476</v>
      </c>
      <c r="U203" s="244" t="s">
        <v>474</v>
      </c>
      <c r="V203" s="246">
        <f>WTG_BD[[#This Row],[Breakdown Time]]*(1/39)</f>
        <v>2.1367521367521365E-3</v>
      </c>
      <c r="W203" s="244" t="s">
        <v>126</v>
      </c>
      <c r="X203" s="250">
        <v>17.291666666666664</v>
      </c>
      <c r="Y203" s="135" t="s">
        <v>470</v>
      </c>
      <c r="Z203" s="135" t="s">
        <v>475</v>
      </c>
      <c r="AA203" s="135">
        <v>4980</v>
      </c>
      <c r="AB203" s="249">
        <f>(WTG_BD[[#This Row],[Paired WTG Generation for loss calculation.]]/24)*WTG_BD[[#This Row],[Breakdown Time]]</f>
        <v>17.291666666666664</v>
      </c>
      <c r="AC203" s="135"/>
      <c r="AD203" s="245"/>
      <c r="AE203" s="3"/>
    </row>
    <row r="204" spans="1:31">
      <c r="A204" s="241">
        <f t="shared" si="7"/>
        <v>203</v>
      </c>
      <c r="B204" s="255">
        <v>45751</v>
      </c>
      <c r="C204" s="252">
        <v>2025</v>
      </c>
      <c r="D204" s="252">
        <f>YEAR(WTG_BD[[#This Row],[Date]])</f>
        <v>2025</v>
      </c>
      <c r="E204" s="251">
        <f t="shared" si="6"/>
        <v>45748</v>
      </c>
      <c r="F204" s="252" t="s">
        <v>465</v>
      </c>
      <c r="G204" s="248" t="s">
        <v>128</v>
      </c>
      <c r="H204" s="242" t="str">
        <f>IFERROR(VLOOKUP(WTG_BD[[#This Row],[Affected WTG]],'Basic Data'!$A$3:$E$56,2,0),"")</f>
        <v>PWEGPL</v>
      </c>
      <c r="I204" s="242" t="str">
        <f>IFERROR(VLOOKUP(WTG_BD[[#This Row],[Affected WTG]],'Basic Data'!$A$3:$E$56,3,0),"")</f>
        <v>MSEDCL</v>
      </c>
      <c r="J204" s="243">
        <f>IFERROR(VLOOKUP(WTG_BD[[#This Row],[Affected WTG]],'Basic Data'!$A$3:$E$56,5,0),"")</f>
        <v>2.564102564102564E-2</v>
      </c>
      <c r="K204" s="158">
        <v>222</v>
      </c>
      <c r="L204" s="247" t="str">
        <f>VLOOKUP(K204,'Basic Data'!T:U,2,0)</f>
        <v>Very Low Pressure On Hydraulic Unit</v>
      </c>
      <c r="M204" s="135" t="s">
        <v>472</v>
      </c>
      <c r="N204" s="256">
        <v>0.65416666666666667</v>
      </c>
      <c r="O204" s="256">
        <v>0.65416666666666667</v>
      </c>
      <c r="P204" s="256">
        <v>0.66388888888888886</v>
      </c>
      <c r="Q204" s="253">
        <f>IF(WTG_BD[[#This Row],[Work Start TimeStamp]]="","",(WTG_BD[[#This Row],[Work Start TimeStamp]]-WTG_BD[[#This Row],[Fault Start TimeStamp]])*24)</f>
        <v>0</v>
      </c>
      <c r="R204" s="253">
        <f>(WTG_BD[[#This Row],[Fault Clearance time]]-WTG_BD[[#This Row],[Work Start TimeStamp]])*24</f>
        <v>0.2333333333333325</v>
      </c>
      <c r="S204" s="253">
        <f>(WTG_BD[[#This Row],[Fault Clearance time]]-WTG_BD[[#This Row],[Fault Start TimeStamp]])*24</f>
        <v>0.2333333333333325</v>
      </c>
      <c r="T204" s="135" t="s">
        <v>473</v>
      </c>
      <c r="U204" s="244" t="s">
        <v>474</v>
      </c>
      <c r="V204" s="246">
        <f>WTG_BD[[#This Row],[Breakdown Time]]*(1/39)</f>
        <v>5.9829059829059617E-3</v>
      </c>
      <c r="W204" s="244" t="s">
        <v>127</v>
      </c>
      <c r="X204" s="250">
        <v>40.736111111110965</v>
      </c>
      <c r="Y204" s="135" t="s">
        <v>470</v>
      </c>
      <c r="Z204" s="135" t="s">
        <v>475</v>
      </c>
      <c r="AA204" s="135">
        <v>4190</v>
      </c>
      <c r="AB204" s="249">
        <f>(WTG_BD[[#This Row],[Paired WTG Generation for loss calculation.]]/24)*WTG_BD[[#This Row],[Breakdown Time]]</f>
        <v>40.736111111110965</v>
      </c>
      <c r="AC204" s="135"/>
      <c r="AD204" s="245"/>
      <c r="AE204" s="3"/>
    </row>
    <row r="205" spans="1:31">
      <c r="A205" s="241">
        <f t="shared" si="7"/>
        <v>204</v>
      </c>
      <c r="B205" s="255">
        <v>45751</v>
      </c>
      <c r="C205" s="252">
        <v>2025</v>
      </c>
      <c r="D205" s="252">
        <f>YEAR(WTG_BD[[#This Row],[Date]])</f>
        <v>2025</v>
      </c>
      <c r="E205" s="251">
        <f t="shared" si="6"/>
        <v>45748</v>
      </c>
      <c r="F205" s="252" t="s">
        <v>465</v>
      </c>
      <c r="G205" s="248" t="s">
        <v>130</v>
      </c>
      <c r="H205" s="242" t="str">
        <f>IFERROR(VLOOKUP(WTG_BD[[#This Row],[Affected WTG]],'Basic Data'!$A$3:$E$56,2,0),"")</f>
        <v>PWEGPL</v>
      </c>
      <c r="I205" s="242" t="str">
        <f>IFERROR(VLOOKUP(WTG_BD[[#This Row],[Affected WTG]],'Basic Data'!$A$3:$E$56,3,0),"")</f>
        <v>MSEDCL</v>
      </c>
      <c r="J205" s="243">
        <f>IFERROR(VLOOKUP(WTG_BD[[#This Row],[Affected WTG]],'Basic Data'!$A$3:$E$56,5,0),"")</f>
        <v>2.564102564102564E-2</v>
      </c>
      <c r="K205" s="158">
        <v>5248</v>
      </c>
      <c r="L205" s="247" t="str">
        <f>VLOOKUP(K205,'Basic Data'!T:U,2,0)</f>
        <v>Active Crowbar IGBT Errors</v>
      </c>
      <c r="M205" s="135" t="s">
        <v>472</v>
      </c>
      <c r="N205" s="256">
        <v>0</v>
      </c>
      <c r="O205" s="256">
        <v>0</v>
      </c>
      <c r="P205" s="256">
        <v>0.40972222222222221</v>
      </c>
      <c r="Q205" s="253">
        <f>IF(WTG_BD[[#This Row],[Work Start TimeStamp]]="","",(WTG_BD[[#This Row],[Work Start TimeStamp]]-WTG_BD[[#This Row],[Fault Start TimeStamp]])*24)</f>
        <v>0</v>
      </c>
      <c r="R205" s="253">
        <f>(WTG_BD[[#This Row],[Fault Clearance time]]-WTG_BD[[#This Row],[Work Start TimeStamp]])*24</f>
        <v>9.8333333333333321</v>
      </c>
      <c r="S205" s="253">
        <f>(WTG_BD[[#This Row],[Fault Clearance time]]-WTG_BD[[#This Row],[Fault Start TimeStamp]])*24</f>
        <v>9.8333333333333321</v>
      </c>
      <c r="T205" s="135" t="s">
        <v>486</v>
      </c>
      <c r="U205" s="244" t="s">
        <v>469</v>
      </c>
      <c r="V205" s="246">
        <f>WTG_BD[[#This Row],[Breakdown Time]]*(1/39)</f>
        <v>0.25213675213675207</v>
      </c>
      <c r="W205" s="244" t="s">
        <v>131</v>
      </c>
      <c r="X205" s="250">
        <v>2120.7222222222217</v>
      </c>
      <c r="Y205" s="135" t="s">
        <v>470</v>
      </c>
      <c r="Z205" s="135" t="s">
        <v>475</v>
      </c>
      <c r="AA205" s="135">
        <v>5176</v>
      </c>
      <c r="AB205" s="249">
        <f>(WTG_BD[[#This Row],[Paired WTG Generation for loss calculation.]]/24)*WTG_BD[[#This Row],[Breakdown Time]]</f>
        <v>2120.7222222222217</v>
      </c>
      <c r="AC205" s="135"/>
      <c r="AD205" s="245"/>
      <c r="AE205" s="3"/>
    </row>
    <row r="206" spans="1:31">
      <c r="A206" s="241">
        <f t="shared" si="7"/>
        <v>205</v>
      </c>
      <c r="B206" s="255">
        <v>45751</v>
      </c>
      <c r="C206" s="252">
        <v>2025</v>
      </c>
      <c r="D206" s="252">
        <f>YEAR(WTG_BD[[#This Row],[Date]])</f>
        <v>2025</v>
      </c>
      <c r="E206" s="251">
        <f t="shared" si="6"/>
        <v>45748</v>
      </c>
      <c r="F206" s="252" t="s">
        <v>465</v>
      </c>
      <c r="G206" s="248" t="s">
        <v>130</v>
      </c>
      <c r="H206" s="242" t="str">
        <f>IFERROR(VLOOKUP(WTG_BD[[#This Row],[Affected WTG]],'Basic Data'!$A$3:$E$56,2,0),"")</f>
        <v>PWEGPL</v>
      </c>
      <c r="I206" s="242" t="str">
        <f>IFERROR(VLOOKUP(WTG_BD[[#This Row],[Affected WTG]],'Basic Data'!$A$3:$E$56,3,0),"")</f>
        <v>MSEDCL</v>
      </c>
      <c r="J206" s="243">
        <f>IFERROR(VLOOKUP(WTG_BD[[#This Row],[Affected WTG]],'Basic Data'!$A$3:$E$56,5,0),"")</f>
        <v>2.564102564102564E-2</v>
      </c>
      <c r="K206" s="158" t="s">
        <v>466</v>
      </c>
      <c r="L206" s="247" t="str">
        <f>VLOOKUP(K206,'Basic Data'!T:U,2,0)</f>
        <v>Manual Stop - Safety Related</v>
      </c>
      <c r="M206" s="135" t="s">
        <v>467</v>
      </c>
      <c r="N206" s="256">
        <v>0.40972222222222221</v>
      </c>
      <c r="O206" s="256">
        <v>0.40972222222222221</v>
      </c>
      <c r="P206" s="256">
        <v>0.59027777777777779</v>
      </c>
      <c r="Q206" s="253">
        <f>IF(WTG_BD[[#This Row],[Work Start TimeStamp]]="","",(WTG_BD[[#This Row],[Work Start TimeStamp]]-WTG_BD[[#This Row],[Fault Start TimeStamp]])*24)</f>
        <v>0</v>
      </c>
      <c r="R206" s="253">
        <f>(WTG_BD[[#This Row],[Fault Clearance time]]-WTG_BD[[#This Row],[Work Start TimeStamp]])*24</f>
        <v>4.3333333333333339</v>
      </c>
      <c r="S206" s="253">
        <f>(WTG_BD[[#This Row],[Fault Clearance time]]-WTG_BD[[#This Row],[Fault Start TimeStamp]])*24</f>
        <v>4.3333333333333339</v>
      </c>
      <c r="T206" s="135" t="s">
        <v>512</v>
      </c>
      <c r="U206" s="244" t="s">
        <v>474</v>
      </c>
      <c r="V206" s="246">
        <f>WTG_BD[[#This Row],[Breakdown Time]]*(1/39)</f>
        <v>0.11111111111111112</v>
      </c>
      <c r="W206" s="244" t="s">
        <v>131</v>
      </c>
      <c r="X206" s="250">
        <v>934.55555555555566</v>
      </c>
      <c r="Y206" s="135" t="s">
        <v>470</v>
      </c>
      <c r="Z206" s="135" t="s">
        <v>471</v>
      </c>
      <c r="AA206" s="135">
        <v>5176</v>
      </c>
      <c r="AB206" s="249">
        <f>(WTG_BD[[#This Row],[Paired WTG Generation for loss calculation.]]/24)*WTG_BD[[#This Row],[Breakdown Time]]</f>
        <v>934.55555555555566</v>
      </c>
      <c r="AC206" s="135"/>
      <c r="AD206" s="245"/>
      <c r="AE206" s="3"/>
    </row>
    <row r="207" spans="1:31">
      <c r="A207" s="241">
        <f t="shared" si="7"/>
        <v>206</v>
      </c>
      <c r="B207" s="255">
        <v>45751</v>
      </c>
      <c r="C207" s="252">
        <v>2025</v>
      </c>
      <c r="D207" s="252">
        <f>YEAR(WTG_BD[[#This Row],[Date]])</f>
        <v>2025</v>
      </c>
      <c r="E207" s="251">
        <f t="shared" si="6"/>
        <v>45748</v>
      </c>
      <c r="F207" s="252" t="s">
        <v>465</v>
      </c>
      <c r="G207" s="248" t="s">
        <v>130</v>
      </c>
      <c r="H207" s="242" t="str">
        <f>IFERROR(VLOOKUP(WTG_BD[[#This Row],[Affected WTG]],'Basic Data'!$A$3:$E$56,2,0),"")</f>
        <v>PWEGPL</v>
      </c>
      <c r="I207" s="242" t="str">
        <f>IFERROR(VLOOKUP(WTG_BD[[#This Row],[Affected WTG]],'Basic Data'!$A$3:$E$56,3,0),"")</f>
        <v>MSEDCL</v>
      </c>
      <c r="J207" s="243">
        <f>IFERROR(VLOOKUP(WTG_BD[[#This Row],[Affected WTG]],'Basic Data'!$A$3:$E$56,5,0),"")</f>
        <v>2.564102564102564E-2</v>
      </c>
      <c r="K207" s="158">
        <v>5248</v>
      </c>
      <c r="L207" s="247" t="str">
        <f>VLOOKUP(K207,'Basic Data'!T:U,2,0)</f>
        <v>Active Crowbar IGBT Errors</v>
      </c>
      <c r="M207" s="135" t="s">
        <v>472</v>
      </c>
      <c r="N207" s="256">
        <v>0.59027777777777779</v>
      </c>
      <c r="O207" s="256">
        <v>0.59027777777777779</v>
      </c>
      <c r="P207" s="256">
        <v>0.99930555555555556</v>
      </c>
      <c r="Q207" s="253">
        <f>IF(WTG_BD[[#This Row],[Work Start TimeStamp]]="","",(WTG_BD[[#This Row],[Work Start TimeStamp]]-WTG_BD[[#This Row],[Fault Start TimeStamp]])*24)</f>
        <v>0</v>
      </c>
      <c r="R207" s="253">
        <f>(WTG_BD[[#This Row],[Fault Clearance time]]-WTG_BD[[#This Row],[Work Start TimeStamp]])*24</f>
        <v>9.8166666666666664</v>
      </c>
      <c r="S207" s="253">
        <f>(WTG_BD[[#This Row],[Fault Clearance time]]-WTG_BD[[#This Row],[Fault Start TimeStamp]])*24</f>
        <v>9.8166666666666664</v>
      </c>
      <c r="T207" s="135" t="s">
        <v>486</v>
      </c>
      <c r="U207" s="244" t="s">
        <v>469</v>
      </c>
      <c r="V207" s="246">
        <f>WTG_BD[[#This Row],[Breakdown Time]]*(1/39)</f>
        <v>0.2517094017094017</v>
      </c>
      <c r="W207" s="244" t="s">
        <v>131</v>
      </c>
      <c r="X207" s="250">
        <v>2117.1277777777777</v>
      </c>
      <c r="Y207" s="135" t="s">
        <v>470</v>
      </c>
      <c r="Z207" s="135" t="s">
        <v>475</v>
      </c>
      <c r="AA207" s="135">
        <v>5176</v>
      </c>
      <c r="AB207" s="249">
        <f>(WTG_BD[[#This Row],[Paired WTG Generation for loss calculation.]]/24)*WTG_BD[[#This Row],[Breakdown Time]]</f>
        <v>2117.1277777777777</v>
      </c>
      <c r="AC207" s="135"/>
      <c r="AD207" s="245"/>
      <c r="AE207" s="3"/>
    </row>
    <row r="208" spans="1:31">
      <c r="A208" s="241">
        <f t="shared" si="7"/>
        <v>207</v>
      </c>
      <c r="B208" s="255">
        <v>45751</v>
      </c>
      <c r="C208" s="252">
        <v>2025</v>
      </c>
      <c r="D208" s="252">
        <f>YEAR(WTG_BD[[#This Row],[Date]])</f>
        <v>2025</v>
      </c>
      <c r="E208" s="251">
        <f t="shared" si="6"/>
        <v>45748</v>
      </c>
      <c r="F208" s="252" t="s">
        <v>465</v>
      </c>
      <c r="G208" s="248" t="s">
        <v>137</v>
      </c>
      <c r="H208" s="242" t="str">
        <f>IFERROR(VLOOKUP(WTG_BD[[#This Row],[Affected WTG]],'Basic Data'!$A$3:$E$56,2,0),"")</f>
        <v>PWEGPL</v>
      </c>
      <c r="I208" s="242" t="str">
        <f>IFERROR(VLOOKUP(WTG_BD[[#This Row],[Affected WTG]],'Basic Data'!$A$3:$E$56,3,0),"")</f>
        <v>MSEDCL</v>
      </c>
      <c r="J208" s="243">
        <f>IFERROR(VLOOKUP(WTG_BD[[#This Row],[Affected WTG]],'Basic Data'!$A$3:$E$56,5,0),"")</f>
        <v>2.564102564102564E-2</v>
      </c>
      <c r="K208" s="158">
        <v>2118</v>
      </c>
      <c r="L208" s="247" t="str">
        <f>VLOOKUP(K208,'Basic Data'!T:U,2,0)</f>
        <v>Bus Error - Interbus Failure</v>
      </c>
      <c r="M208" s="135" t="s">
        <v>472</v>
      </c>
      <c r="N208" s="256">
        <v>2.9861111111111113E-2</v>
      </c>
      <c r="O208" s="256">
        <v>2.9861111111111113E-2</v>
      </c>
      <c r="P208" s="256">
        <v>4.5138888888888888E-2</v>
      </c>
      <c r="Q208" s="253">
        <f>IF(WTG_BD[[#This Row],[Work Start TimeStamp]]="","",(WTG_BD[[#This Row],[Work Start TimeStamp]]-WTG_BD[[#This Row],[Fault Start TimeStamp]])*24)</f>
        <v>0</v>
      </c>
      <c r="R208" s="253">
        <f>(WTG_BD[[#This Row],[Fault Clearance time]]-WTG_BD[[#This Row],[Work Start TimeStamp]])*24</f>
        <v>0.36666666666666659</v>
      </c>
      <c r="S208" s="253">
        <f>(WTG_BD[[#This Row],[Fault Clearance time]]-WTG_BD[[#This Row],[Fault Start TimeStamp]])*24</f>
        <v>0.36666666666666659</v>
      </c>
      <c r="T208" s="135" t="s">
        <v>473</v>
      </c>
      <c r="U208" s="244" t="s">
        <v>474</v>
      </c>
      <c r="V208" s="246">
        <f>WTG_BD[[#This Row],[Breakdown Time]]*(1/39)</f>
        <v>9.4017094017093995E-3</v>
      </c>
      <c r="W208" s="244" t="s">
        <v>119</v>
      </c>
      <c r="X208" s="250">
        <v>74.98333333333332</v>
      </c>
      <c r="Y208" s="135" t="s">
        <v>470</v>
      </c>
      <c r="Z208" s="135" t="s">
        <v>475</v>
      </c>
      <c r="AA208" s="135">
        <v>4908</v>
      </c>
      <c r="AB208" s="249">
        <f>(WTG_BD[[#This Row],[Paired WTG Generation for loss calculation.]]/24)*WTG_BD[[#This Row],[Breakdown Time]]</f>
        <v>74.98333333333332</v>
      </c>
      <c r="AC208" s="135"/>
      <c r="AD208" s="245"/>
      <c r="AE208" s="3"/>
    </row>
    <row r="209" spans="1:31">
      <c r="A209" s="241">
        <f t="shared" si="7"/>
        <v>208</v>
      </c>
      <c r="B209" s="255">
        <v>45751</v>
      </c>
      <c r="C209" s="252">
        <v>2025</v>
      </c>
      <c r="D209" s="252">
        <f>YEAR(WTG_BD[[#This Row],[Date]])</f>
        <v>2025</v>
      </c>
      <c r="E209" s="251">
        <f t="shared" si="6"/>
        <v>45748</v>
      </c>
      <c r="F209" s="252" t="s">
        <v>465</v>
      </c>
      <c r="G209" s="248" t="s">
        <v>138</v>
      </c>
      <c r="H209" s="242" t="str">
        <f>IFERROR(VLOOKUP(WTG_BD[[#This Row],[Affected WTG]],'Basic Data'!$A$3:$E$56,2,0),"")</f>
        <v>PWEGPL</v>
      </c>
      <c r="I209" s="242" t="str">
        <f>IFERROR(VLOOKUP(WTG_BD[[#This Row],[Affected WTG]],'Basic Data'!$A$3:$E$56,3,0),"")</f>
        <v>MSEDCL</v>
      </c>
      <c r="J209" s="243">
        <f>IFERROR(VLOOKUP(WTG_BD[[#This Row],[Affected WTG]],'Basic Data'!$A$3:$E$56,5,0),"")</f>
        <v>2.564102564102564E-2</v>
      </c>
      <c r="K209" s="158">
        <v>205</v>
      </c>
      <c r="L209" s="247" t="str">
        <f>VLOOKUP(K209,'Basic Data'!T:U,2,0)</f>
        <v>Low Level Hydraulic Group Refrigeration Oil</v>
      </c>
      <c r="M209" s="135" t="s">
        <v>472</v>
      </c>
      <c r="N209" s="256">
        <v>0.41875000000000001</v>
      </c>
      <c r="O209" s="256">
        <v>0.41875000000000001</v>
      </c>
      <c r="P209" s="256">
        <v>0.4513888888888889</v>
      </c>
      <c r="Q209" s="253">
        <f>IF(WTG_BD[[#This Row],[Work Start TimeStamp]]="","",(WTG_BD[[#This Row],[Work Start TimeStamp]]-WTG_BD[[#This Row],[Fault Start TimeStamp]])*24)</f>
        <v>0</v>
      </c>
      <c r="R209" s="253">
        <f>(WTG_BD[[#This Row],[Fault Clearance time]]-WTG_BD[[#This Row],[Work Start TimeStamp]])*24</f>
        <v>0.78333333333333321</v>
      </c>
      <c r="S209" s="253">
        <f>(WTG_BD[[#This Row],[Fault Clearance time]]-WTG_BD[[#This Row],[Fault Start TimeStamp]])*24</f>
        <v>0.78333333333333321</v>
      </c>
      <c r="T209" s="135" t="s">
        <v>473</v>
      </c>
      <c r="U209" s="244" t="s">
        <v>474</v>
      </c>
      <c r="V209" s="246">
        <f>WTG_BD[[#This Row],[Breakdown Time]]*(1/39)</f>
        <v>2.008547008547008E-2</v>
      </c>
      <c r="W209" s="244" t="s">
        <v>140</v>
      </c>
      <c r="X209" s="250">
        <v>142.89305555555552</v>
      </c>
      <c r="Y209" s="135" t="s">
        <v>470</v>
      </c>
      <c r="Z209" s="135" t="s">
        <v>475</v>
      </c>
      <c r="AA209" s="135">
        <v>4378</v>
      </c>
      <c r="AB209" s="249">
        <f>(WTG_BD[[#This Row],[Paired WTG Generation for loss calculation.]]/24)*WTG_BD[[#This Row],[Breakdown Time]]</f>
        <v>142.89305555555552</v>
      </c>
      <c r="AC209" s="135"/>
      <c r="AD209" s="245"/>
      <c r="AE209" s="3"/>
    </row>
    <row r="210" spans="1:31">
      <c r="A210" s="241">
        <f t="shared" si="7"/>
        <v>209</v>
      </c>
      <c r="B210" s="255">
        <v>45751</v>
      </c>
      <c r="C210" s="252">
        <v>2025</v>
      </c>
      <c r="D210" s="252">
        <f>YEAR(WTG_BD[[#This Row],[Date]])</f>
        <v>2025</v>
      </c>
      <c r="E210" s="251">
        <f t="shared" si="6"/>
        <v>45748</v>
      </c>
      <c r="F210" s="252" t="s">
        <v>465</v>
      </c>
      <c r="G210" s="248" t="s">
        <v>147</v>
      </c>
      <c r="H210" s="242" t="str">
        <f>IFERROR(VLOOKUP(WTG_BD[[#This Row],[Affected WTG]],'Basic Data'!$A$3:$E$56,2,0),"")</f>
        <v>PWEGPL</v>
      </c>
      <c r="I210" s="242" t="str">
        <f>IFERROR(VLOOKUP(WTG_BD[[#This Row],[Affected WTG]],'Basic Data'!$A$3:$E$56,3,0),"")</f>
        <v>MSEDCL</v>
      </c>
      <c r="J210" s="243">
        <f>IFERROR(VLOOKUP(WTG_BD[[#This Row],[Affected WTG]],'Basic Data'!$A$3:$E$56,5,0),"")</f>
        <v>2.564102564102564E-2</v>
      </c>
      <c r="K210" s="158">
        <v>5201</v>
      </c>
      <c r="L210" s="247" t="str">
        <f>VLOOKUP(K210,'Basic Data'!T:U,2,0)</f>
        <v>Magnetothermic Trigger Of The Stator Protection</v>
      </c>
      <c r="M210" s="135" t="s">
        <v>472</v>
      </c>
      <c r="N210" s="256">
        <v>0</v>
      </c>
      <c r="O210" s="256">
        <v>0.25277777777777777</v>
      </c>
      <c r="P210" s="256">
        <v>0.25277777777777777</v>
      </c>
      <c r="Q210" s="253">
        <f>IF(WTG_BD[[#This Row],[Work Start TimeStamp]]="","",(WTG_BD[[#This Row],[Work Start TimeStamp]]-WTG_BD[[#This Row],[Fault Start TimeStamp]])*24)</f>
        <v>6.0666666666666664</v>
      </c>
      <c r="R210" s="253">
        <f>(WTG_BD[[#This Row],[Fault Clearance time]]-WTG_BD[[#This Row],[Work Start TimeStamp]])*24</f>
        <v>0</v>
      </c>
      <c r="S210" s="253">
        <f>(WTG_BD[[#This Row],[Fault Clearance time]]-WTG_BD[[#This Row],[Fault Start TimeStamp]])*24</f>
        <v>6.0666666666666664</v>
      </c>
      <c r="T210" s="135" t="s">
        <v>473</v>
      </c>
      <c r="U210" s="244" t="s">
        <v>474</v>
      </c>
      <c r="V210" s="246">
        <f>WTG_BD[[#This Row],[Breakdown Time]]*(1/39)</f>
        <v>0.15555555555555553</v>
      </c>
      <c r="W210" s="244" t="s">
        <v>146</v>
      </c>
      <c r="X210" s="250">
        <v>1039.675</v>
      </c>
      <c r="Y210" s="135" t="s">
        <v>470</v>
      </c>
      <c r="Z210" s="135" t="s">
        <v>475</v>
      </c>
      <c r="AA210" s="135">
        <v>4113</v>
      </c>
      <c r="AB210" s="249">
        <f>(WTG_BD[[#This Row],[Paired WTG Generation for loss calculation.]]/24)*WTG_BD[[#This Row],[Breakdown Time]]</f>
        <v>1039.675</v>
      </c>
      <c r="AC210" s="135"/>
      <c r="AD210" s="245"/>
      <c r="AE210" s="3"/>
    </row>
    <row r="211" spans="1:31">
      <c r="A211" s="241">
        <f t="shared" si="7"/>
        <v>210</v>
      </c>
      <c r="B211" s="255">
        <v>45752</v>
      </c>
      <c r="C211" s="252">
        <v>2025</v>
      </c>
      <c r="D211" s="252">
        <f>YEAR(WTG_BD[[#This Row],[Date]])</f>
        <v>2025</v>
      </c>
      <c r="E211" s="251">
        <f t="shared" si="6"/>
        <v>45748</v>
      </c>
      <c r="F211" s="252" t="s">
        <v>465</v>
      </c>
      <c r="G211" s="248" t="s">
        <v>144</v>
      </c>
      <c r="H211" s="242" t="str">
        <f>IFERROR(VLOOKUP(WTG_BD[[#This Row],[Affected WTG]],'Basic Data'!$A$3:$E$56,2,0),"")</f>
        <v>PWEGPL</v>
      </c>
      <c r="I211" s="242" t="str">
        <f>IFERROR(VLOOKUP(WTG_BD[[#This Row],[Affected WTG]],'Basic Data'!$A$3:$E$56,3,0),"")</f>
        <v>MSEDCL</v>
      </c>
      <c r="J211" s="243">
        <f>IFERROR(VLOOKUP(WTG_BD[[#This Row],[Affected WTG]],'Basic Data'!$A$3:$E$56,5,0),"")</f>
        <v>2.564102564102564E-2</v>
      </c>
      <c r="K211" s="158" t="s">
        <v>466</v>
      </c>
      <c r="L211" s="247" t="str">
        <f>VLOOKUP(K211,'Basic Data'!T:U,2,0)</f>
        <v>Manual Stop - Safety Related</v>
      </c>
      <c r="M211" s="135" t="s">
        <v>467</v>
      </c>
      <c r="N211" s="256">
        <v>0</v>
      </c>
      <c r="O211" s="256">
        <v>0.99930555555555556</v>
      </c>
      <c r="P211" s="256">
        <v>0.99930555555555556</v>
      </c>
      <c r="Q211" s="253">
        <f>IF(WTG_BD[[#This Row],[Work Start TimeStamp]]="","",(WTG_BD[[#This Row],[Work Start TimeStamp]]-WTG_BD[[#This Row],[Fault Start TimeStamp]])*24)</f>
        <v>23.983333333333334</v>
      </c>
      <c r="R211" s="253">
        <f>(WTG_BD[[#This Row],[Fault Clearance time]]-WTG_BD[[#This Row],[Work Start TimeStamp]])*24</f>
        <v>0</v>
      </c>
      <c r="S211" s="253">
        <f>(WTG_BD[[#This Row],[Fault Clearance time]]-WTG_BD[[#This Row],[Fault Start TimeStamp]])*24</f>
        <v>23.983333333333334</v>
      </c>
      <c r="T211" s="135" t="s">
        <v>468</v>
      </c>
      <c r="U211" s="244" t="s">
        <v>469</v>
      </c>
      <c r="V211" s="246">
        <f>WTG_BD[[#This Row],[Breakdown Time]]*(1/39)</f>
        <v>0.61495726495726499</v>
      </c>
      <c r="W211" s="244" t="s">
        <v>141</v>
      </c>
      <c r="X211" s="250">
        <v>2570.213888888889</v>
      </c>
      <c r="Y211" s="135" t="s">
        <v>470</v>
      </c>
      <c r="Z211" s="135" t="s">
        <v>471</v>
      </c>
      <c r="AA211" s="135">
        <v>2572</v>
      </c>
      <c r="AB211" s="249">
        <f>(WTG_BD[[#This Row],[Paired WTG Generation for loss calculation.]]/24)*WTG_BD[[#This Row],[Breakdown Time]]</f>
        <v>2570.213888888889</v>
      </c>
      <c r="AC211" s="135"/>
      <c r="AD211" s="245"/>
      <c r="AE211" s="3"/>
    </row>
    <row r="212" spans="1:31">
      <c r="A212" s="241">
        <f t="shared" si="7"/>
        <v>211</v>
      </c>
      <c r="B212" s="255">
        <v>45752</v>
      </c>
      <c r="C212" s="252">
        <v>2025</v>
      </c>
      <c r="D212" s="252">
        <f>YEAR(WTG_BD[[#This Row],[Date]])</f>
        <v>2025</v>
      </c>
      <c r="E212" s="251">
        <f t="shared" si="6"/>
        <v>45748</v>
      </c>
      <c r="F212" s="252" t="s">
        <v>465</v>
      </c>
      <c r="G212" s="248" t="s">
        <v>142</v>
      </c>
      <c r="H212" s="242" t="str">
        <f>IFERROR(VLOOKUP(WTG_BD[[#This Row],[Affected WTG]],'Basic Data'!$A$3:$E$56,2,0),"")</f>
        <v>PWEGPL</v>
      </c>
      <c r="I212" s="242" t="str">
        <f>IFERROR(VLOOKUP(WTG_BD[[#This Row],[Affected WTG]],'Basic Data'!$A$3:$E$56,3,0),"")</f>
        <v>MSEDCL</v>
      </c>
      <c r="J212" s="243">
        <f>IFERROR(VLOOKUP(WTG_BD[[#This Row],[Affected WTG]],'Basic Data'!$A$3:$E$56,5,0),"")</f>
        <v>2.564102564102564E-2</v>
      </c>
      <c r="K212" s="158" t="s">
        <v>466</v>
      </c>
      <c r="L212" s="247" t="str">
        <f>VLOOKUP(K212,'Basic Data'!T:U,2,0)</f>
        <v>Manual Stop - Safety Related</v>
      </c>
      <c r="M212" s="135" t="s">
        <v>467</v>
      </c>
      <c r="N212" s="256">
        <v>0</v>
      </c>
      <c r="O212" s="256">
        <v>0.99930555555555556</v>
      </c>
      <c r="P212" s="256">
        <v>0.99930555555555556</v>
      </c>
      <c r="Q212" s="253">
        <f>IF(WTG_BD[[#This Row],[Work Start TimeStamp]]="","",(WTG_BD[[#This Row],[Work Start TimeStamp]]-WTG_BD[[#This Row],[Fault Start TimeStamp]])*24)</f>
        <v>23.983333333333334</v>
      </c>
      <c r="R212" s="253">
        <f>(WTG_BD[[#This Row],[Fault Clearance time]]-WTG_BD[[#This Row],[Work Start TimeStamp]])*24</f>
        <v>0</v>
      </c>
      <c r="S212" s="253">
        <f>(WTG_BD[[#This Row],[Fault Clearance time]]-WTG_BD[[#This Row],[Fault Start TimeStamp]])*24</f>
        <v>23.983333333333334</v>
      </c>
      <c r="T212" s="135" t="s">
        <v>468</v>
      </c>
      <c r="U212" s="244" t="s">
        <v>469</v>
      </c>
      <c r="V212" s="246">
        <f>WTG_BD[[#This Row],[Breakdown Time]]*(1/39)</f>
        <v>0.61495726495726499</v>
      </c>
      <c r="W212" s="244" t="s">
        <v>141</v>
      </c>
      <c r="X212" s="250">
        <v>2570.213888888889</v>
      </c>
      <c r="Y212" s="135" t="s">
        <v>470</v>
      </c>
      <c r="Z212" s="135" t="s">
        <v>471</v>
      </c>
      <c r="AA212" s="135">
        <v>2572</v>
      </c>
      <c r="AB212" s="249">
        <f>(WTG_BD[[#This Row],[Paired WTG Generation for loss calculation.]]/24)*WTG_BD[[#This Row],[Breakdown Time]]</f>
        <v>2570.213888888889</v>
      </c>
      <c r="AC212" s="135"/>
      <c r="AD212" s="245"/>
      <c r="AE212" s="3"/>
    </row>
    <row r="213" spans="1:31">
      <c r="A213" s="241">
        <f t="shared" si="7"/>
        <v>212</v>
      </c>
      <c r="B213" s="255">
        <v>45752</v>
      </c>
      <c r="C213" s="252">
        <v>2025</v>
      </c>
      <c r="D213" s="252">
        <f>YEAR(WTG_BD[[#This Row],[Date]])</f>
        <v>2025</v>
      </c>
      <c r="E213" s="251">
        <f t="shared" si="6"/>
        <v>45748</v>
      </c>
      <c r="F213" s="252" t="s">
        <v>465</v>
      </c>
      <c r="G213" s="248" t="s">
        <v>118</v>
      </c>
      <c r="H213" s="242" t="str">
        <f>IFERROR(VLOOKUP(WTG_BD[[#This Row],[Affected WTG]],'Basic Data'!$A$3:$E$56,2,0),"")</f>
        <v>PWEGPL</v>
      </c>
      <c r="I213" s="242" t="str">
        <f>IFERROR(VLOOKUP(WTG_BD[[#This Row],[Affected WTG]],'Basic Data'!$A$3:$E$56,3,0),"")</f>
        <v>MSEDCL</v>
      </c>
      <c r="J213" s="243">
        <f>IFERROR(VLOOKUP(WTG_BD[[#This Row],[Affected WTG]],'Basic Data'!$A$3:$E$56,5,0),"")</f>
        <v>2.564102564102564E-2</v>
      </c>
      <c r="K213" s="158">
        <v>5200</v>
      </c>
      <c r="L213" s="247" t="str">
        <f>VLOOKUP(K213,'Basic Data'!T:U,2,0)</f>
        <v>Magnetothermic Trigger Of The Line Protection</v>
      </c>
      <c r="M213" s="135" t="s">
        <v>472</v>
      </c>
      <c r="N213" s="256">
        <v>0.47361111111111109</v>
      </c>
      <c r="O213" s="256">
        <v>0.47361111111111109</v>
      </c>
      <c r="P213" s="256">
        <v>0.48472222222222222</v>
      </c>
      <c r="Q213" s="253">
        <f>IF(WTG_BD[[#This Row],[Work Start TimeStamp]]="","",(WTG_BD[[#This Row],[Work Start TimeStamp]]-WTG_BD[[#This Row],[Fault Start TimeStamp]])*24)</f>
        <v>0</v>
      </c>
      <c r="R213" s="253">
        <f>(WTG_BD[[#This Row],[Fault Clearance time]]-WTG_BD[[#This Row],[Work Start TimeStamp]])*24</f>
        <v>0.26666666666666705</v>
      </c>
      <c r="S213" s="253">
        <f>(WTG_BD[[#This Row],[Fault Clearance time]]-WTG_BD[[#This Row],[Fault Start TimeStamp]])*24</f>
        <v>0.26666666666666705</v>
      </c>
      <c r="T213" s="135" t="s">
        <v>473</v>
      </c>
      <c r="U213" s="244" t="s">
        <v>474</v>
      </c>
      <c r="V213" s="246">
        <f>WTG_BD[[#This Row],[Breakdown Time]]*(1/39)</f>
        <v>6.8376068376068471E-3</v>
      </c>
      <c r="W213" s="244" t="s">
        <v>117</v>
      </c>
      <c r="X213" s="250">
        <v>21.244444444444476</v>
      </c>
      <c r="Y213" s="135" t="s">
        <v>470</v>
      </c>
      <c r="Z213" s="135" t="s">
        <v>475</v>
      </c>
      <c r="AA213" s="135">
        <v>1912</v>
      </c>
      <c r="AB213" s="249">
        <f>(WTG_BD[[#This Row],[Paired WTG Generation for loss calculation.]]/24)*WTG_BD[[#This Row],[Breakdown Time]]</f>
        <v>21.244444444444476</v>
      </c>
      <c r="AC213" s="135"/>
      <c r="AD213" s="245"/>
      <c r="AE213" s="3"/>
    </row>
    <row r="214" spans="1:31">
      <c r="A214" s="241">
        <f t="shared" si="7"/>
        <v>213</v>
      </c>
      <c r="B214" s="255">
        <v>45752</v>
      </c>
      <c r="C214" s="252">
        <v>2025</v>
      </c>
      <c r="D214" s="252">
        <f>YEAR(WTG_BD[[#This Row],[Date]])</f>
        <v>2025</v>
      </c>
      <c r="E214" s="251">
        <f t="shared" si="6"/>
        <v>45748</v>
      </c>
      <c r="F214" s="252" t="s">
        <v>465</v>
      </c>
      <c r="G214" s="248" t="s">
        <v>118</v>
      </c>
      <c r="H214" s="242" t="str">
        <f>IFERROR(VLOOKUP(WTG_BD[[#This Row],[Affected WTG]],'Basic Data'!$A$3:$E$56,2,0),"")</f>
        <v>PWEGPL</v>
      </c>
      <c r="I214" s="242" t="str">
        <f>IFERROR(VLOOKUP(WTG_BD[[#This Row],[Affected WTG]],'Basic Data'!$A$3:$E$56,3,0),"")</f>
        <v>MSEDCL</v>
      </c>
      <c r="J214" s="243">
        <f>IFERROR(VLOOKUP(WTG_BD[[#This Row],[Affected WTG]],'Basic Data'!$A$3:$E$56,5,0),"")</f>
        <v>2.564102564102564E-2</v>
      </c>
      <c r="K214" s="158">
        <v>5200</v>
      </c>
      <c r="L214" s="247" t="str">
        <f>VLOOKUP(K214,'Basic Data'!T:U,2,0)</f>
        <v>Magnetothermic Trigger Of The Line Protection</v>
      </c>
      <c r="M214" s="135" t="s">
        <v>472</v>
      </c>
      <c r="N214" s="256">
        <v>0.99513888888888891</v>
      </c>
      <c r="O214" s="256">
        <v>0.99513888888888891</v>
      </c>
      <c r="P214" s="256">
        <v>0.99791666666666667</v>
      </c>
      <c r="Q214" s="253">
        <f>IF(WTG_BD[[#This Row],[Work Start TimeStamp]]="","",(WTG_BD[[#This Row],[Work Start TimeStamp]]-WTG_BD[[#This Row],[Fault Start TimeStamp]])*24)</f>
        <v>0</v>
      </c>
      <c r="R214" s="253">
        <f>(WTG_BD[[#This Row],[Fault Clearance time]]-WTG_BD[[#This Row],[Work Start TimeStamp]])*24</f>
        <v>6.666666666666643E-2</v>
      </c>
      <c r="S214" s="253">
        <f>(WTG_BD[[#This Row],[Fault Clearance time]]-WTG_BD[[#This Row],[Fault Start TimeStamp]])*24</f>
        <v>6.666666666666643E-2</v>
      </c>
      <c r="T214" s="135" t="s">
        <v>476</v>
      </c>
      <c r="U214" s="244" t="s">
        <v>474</v>
      </c>
      <c r="V214" s="246">
        <f>WTG_BD[[#This Row],[Breakdown Time]]*(1/39)</f>
        <v>1.7094017094017033E-3</v>
      </c>
      <c r="W214" s="244" t="s">
        <v>117</v>
      </c>
      <c r="X214" s="250">
        <v>5.3111111111110922</v>
      </c>
      <c r="Y214" s="135" t="s">
        <v>470</v>
      </c>
      <c r="Z214" s="135" t="s">
        <v>475</v>
      </c>
      <c r="AA214" s="135">
        <v>1912</v>
      </c>
      <c r="AB214" s="249">
        <f>(WTG_BD[[#This Row],[Paired WTG Generation for loss calculation.]]/24)*WTG_BD[[#This Row],[Breakdown Time]]</f>
        <v>5.3111111111110922</v>
      </c>
      <c r="AC214" s="135"/>
      <c r="AD214" s="245"/>
      <c r="AE214" s="3"/>
    </row>
    <row r="215" spans="1:31">
      <c r="A215" s="241">
        <f t="shared" si="7"/>
        <v>214</v>
      </c>
      <c r="B215" s="255">
        <v>45752</v>
      </c>
      <c r="C215" s="252">
        <v>2025</v>
      </c>
      <c r="D215" s="252">
        <f>YEAR(WTG_BD[[#This Row],[Date]])</f>
        <v>2025</v>
      </c>
      <c r="E215" s="251">
        <f t="shared" si="6"/>
        <v>45748</v>
      </c>
      <c r="F215" s="252" t="s">
        <v>465</v>
      </c>
      <c r="G215" s="248" t="s">
        <v>125</v>
      </c>
      <c r="H215" s="242" t="str">
        <f>IFERROR(VLOOKUP(WTG_BD[[#This Row],[Affected WTG]],'Basic Data'!$A$3:$E$56,2,0),"")</f>
        <v>PWEGPL</v>
      </c>
      <c r="I215" s="242" t="str">
        <f>IFERROR(VLOOKUP(WTG_BD[[#This Row],[Affected WTG]],'Basic Data'!$A$3:$E$56,3,0),"")</f>
        <v>MSEDCL</v>
      </c>
      <c r="J215" s="243">
        <f>IFERROR(VLOOKUP(WTG_BD[[#This Row],[Affected WTG]],'Basic Data'!$A$3:$E$56,5,0),"")</f>
        <v>2.564102564102564E-2</v>
      </c>
      <c r="K215" s="158">
        <v>116</v>
      </c>
      <c r="L215" s="247" t="str">
        <f>VLOOKUP(K215,'Basic Data'!T:U,2,0)</f>
        <v>Orienting and High Yaw Brake Pressure</v>
      </c>
      <c r="M215" s="135" t="s">
        <v>472</v>
      </c>
      <c r="N215" s="256">
        <v>0.15694444444444444</v>
      </c>
      <c r="O215" s="256">
        <v>0.15694444444444444</v>
      </c>
      <c r="P215" s="256">
        <v>0.16041666666666668</v>
      </c>
      <c r="Q215" s="253">
        <f>IF(WTG_BD[[#This Row],[Work Start TimeStamp]]="","",(WTG_BD[[#This Row],[Work Start TimeStamp]]-WTG_BD[[#This Row],[Fault Start TimeStamp]])*24)</f>
        <v>0</v>
      </c>
      <c r="R215" s="253">
        <f>(WTG_BD[[#This Row],[Fault Clearance time]]-WTG_BD[[#This Row],[Work Start TimeStamp]])*24</f>
        <v>8.3333333333333703E-2</v>
      </c>
      <c r="S215" s="253">
        <f>(WTG_BD[[#This Row],[Fault Clearance time]]-WTG_BD[[#This Row],[Fault Start TimeStamp]])*24</f>
        <v>8.3333333333333703E-2</v>
      </c>
      <c r="T215" s="135" t="s">
        <v>476</v>
      </c>
      <c r="U215" s="244" t="s">
        <v>474</v>
      </c>
      <c r="V215" s="246">
        <f>WTG_BD[[#This Row],[Breakdown Time]]*(1/39)</f>
        <v>2.1367521367521461E-3</v>
      </c>
      <c r="W215" s="244" t="s">
        <v>124</v>
      </c>
      <c r="X215" s="250">
        <v>5.0277777777777999</v>
      </c>
      <c r="Y215" s="135" t="s">
        <v>470</v>
      </c>
      <c r="Z215" s="135" t="s">
        <v>475</v>
      </c>
      <c r="AA215" s="135">
        <v>1448</v>
      </c>
      <c r="AB215" s="249">
        <f>(WTG_BD[[#This Row],[Paired WTG Generation for loss calculation.]]/24)*WTG_BD[[#This Row],[Breakdown Time]]</f>
        <v>5.0277777777777999</v>
      </c>
      <c r="AC215" s="135"/>
      <c r="AD215" s="245"/>
      <c r="AE215" s="3"/>
    </row>
    <row r="216" spans="1:31">
      <c r="A216" s="241">
        <f t="shared" si="7"/>
        <v>215</v>
      </c>
      <c r="B216" s="255">
        <v>45752</v>
      </c>
      <c r="C216" s="252">
        <v>2025</v>
      </c>
      <c r="D216" s="252">
        <f>YEAR(WTG_BD[[#This Row],[Date]])</f>
        <v>2025</v>
      </c>
      <c r="E216" s="251">
        <f t="shared" si="6"/>
        <v>45748</v>
      </c>
      <c r="F216" s="252" t="s">
        <v>465</v>
      </c>
      <c r="G216" s="248" t="s">
        <v>125</v>
      </c>
      <c r="H216" s="242" t="str">
        <f>IFERROR(VLOOKUP(WTG_BD[[#This Row],[Affected WTG]],'Basic Data'!$A$3:$E$56,2,0),"")</f>
        <v>PWEGPL</v>
      </c>
      <c r="I216" s="242" t="str">
        <f>IFERROR(VLOOKUP(WTG_BD[[#This Row],[Affected WTG]],'Basic Data'!$A$3:$E$56,3,0),"")</f>
        <v>MSEDCL</v>
      </c>
      <c r="J216" s="243">
        <f>IFERROR(VLOOKUP(WTG_BD[[#This Row],[Affected WTG]],'Basic Data'!$A$3:$E$56,5,0),"")</f>
        <v>2.564102564102564E-2</v>
      </c>
      <c r="K216" s="158">
        <v>116</v>
      </c>
      <c r="L216" s="247" t="str">
        <f>VLOOKUP(K216,'Basic Data'!T:U,2,0)</f>
        <v>Orienting and High Yaw Brake Pressure</v>
      </c>
      <c r="M216" s="135" t="s">
        <v>472</v>
      </c>
      <c r="N216" s="256">
        <v>0.52569444444444446</v>
      </c>
      <c r="O216" s="256">
        <v>0.52569444444444446</v>
      </c>
      <c r="P216" s="256">
        <v>0.52916666666666667</v>
      </c>
      <c r="Q216" s="253">
        <f>IF(WTG_BD[[#This Row],[Work Start TimeStamp]]="","",(WTG_BD[[#This Row],[Work Start TimeStamp]]-WTG_BD[[#This Row],[Fault Start TimeStamp]])*24)</f>
        <v>0</v>
      </c>
      <c r="R216" s="253">
        <f>(WTG_BD[[#This Row],[Fault Clearance time]]-WTG_BD[[#This Row],[Work Start TimeStamp]])*24</f>
        <v>8.3333333333333037E-2</v>
      </c>
      <c r="S216" s="253">
        <f>(WTG_BD[[#This Row],[Fault Clearance time]]-WTG_BD[[#This Row],[Fault Start TimeStamp]])*24</f>
        <v>8.3333333333333037E-2</v>
      </c>
      <c r="T216" s="135" t="s">
        <v>476</v>
      </c>
      <c r="U216" s="244" t="s">
        <v>474</v>
      </c>
      <c r="V216" s="246">
        <f>WTG_BD[[#This Row],[Breakdown Time]]*(1/39)</f>
        <v>2.1367521367521292E-3</v>
      </c>
      <c r="W216" s="244" t="s">
        <v>124</v>
      </c>
      <c r="X216" s="250">
        <v>5.0277777777777599</v>
      </c>
      <c r="Y216" s="135" t="s">
        <v>470</v>
      </c>
      <c r="Z216" s="135" t="s">
        <v>475</v>
      </c>
      <c r="AA216" s="135">
        <v>1448</v>
      </c>
      <c r="AB216" s="249">
        <f>(WTG_BD[[#This Row],[Paired WTG Generation for loss calculation.]]/24)*WTG_BD[[#This Row],[Breakdown Time]]</f>
        <v>5.0277777777777599</v>
      </c>
      <c r="AC216" s="135"/>
      <c r="AD216" s="245"/>
      <c r="AE216" s="3"/>
    </row>
    <row r="217" spans="1:31">
      <c r="A217" s="241">
        <f t="shared" si="7"/>
        <v>216</v>
      </c>
      <c r="B217" s="255">
        <v>45752</v>
      </c>
      <c r="C217" s="252">
        <v>2025</v>
      </c>
      <c r="D217" s="252">
        <f>YEAR(WTG_BD[[#This Row],[Date]])</f>
        <v>2025</v>
      </c>
      <c r="E217" s="251">
        <f t="shared" si="6"/>
        <v>45748</v>
      </c>
      <c r="F217" s="252" t="s">
        <v>465</v>
      </c>
      <c r="G217" s="248" t="s">
        <v>127</v>
      </c>
      <c r="H217" s="242" t="str">
        <f>IFERROR(VLOOKUP(WTG_BD[[#This Row],[Affected WTG]],'Basic Data'!$A$3:$E$56,2,0),"")</f>
        <v>PWEGPL</v>
      </c>
      <c r="I217" s="242" t="str">
        <f>IFERROR(VLOOKUP(WTG_BD[[#This Row],[Affected WTG]],'Basic Data'!$A$3:$E$56,3,0),"")</f>
        <v>MSEDCL</v>
      </c>
      <c r="J217" s="243">
        <f>IFERROR(VLOOKUP(WTG_BD[[#This Row],[Affected WTG]],'Basic Data'!$A$3:$E$56,5,0),"")</f>
        <v>2.564102564102564E-2</v>
      </c>
      <c r="K217" s="158">
        <v>550</v>
      </c>
      <c r="L217" s="247" t="str">
        <f>VLOOKUP(K217,'Basic Data'!T:U,2,0)</f>
        <v>Generator Fans Thermal Relay Triggered Too Long</v>
      </c>
      <c r="M217" s="135" t="s">
        <v>472</v>
      </c>
      <c r="N217" s="256">
        <v>0.74097222222222225</v>
      </c>
      <c r="O217" s="256">
        <v>0.75763888888888886</v>
      </c>
      <c r="P217" s="256">
        <v>0.76111111111111107</v>
      </c>
      <c r="Q217" s="253">
        <f>IF(WTG_BD[[#This Row],[Work Start TimeStamp]]="","",(WTG_BD[[#This Row],[Work Start TimeStamp]]-WTG_BD[[#This Row],[Fault Start TimeStamp]])*24)</f>
        <v>0.39999999999999858</v>
      </c>
      <c r="R217" s="253">
        <f>(WTG_BD[[#This Row],[Fault Clearance time]]-WTG_BD[[#This Row],[Work Start TimeStamp]])*24</f>
        <v>8.3333333333333037E-2</v>
      </c>
      <c r="S217" s="253">
        <f>(WTG_BD[[#This Row],[Fault Clearance time]]-WTG_BD[[#This Row],[Fault Start TimeStamp]])*24</f>
        <v>0.48333333333333162</v>
      </c>
      <c r="T217" s="135" t="s">
        <v>482</v>
      </c>
      <c r="U217" s="244" t="s">
        <v>474</v>
      </c>
      <c r="V217" s="246">
        <f>WTG_BD[[#This Row],[Breakdown Time]]*(1/39)</f>
        <v>1.2393162393162349E-2</v>
      </c>
      <c r="W217" s="244" t="s">
        <v>128</v>
      </c>
      <c r="X217" s="250">
        <v>34.236111111110986</v>
      </c>
      <c r="Y217" s="135" t="s">
        <v>470</v>
      </c>
      <c r="Z217" s="135" t="s">
        <v>475</v>
      </c>
      <c r="AA217" s="135">
        <v>1700</v>
      </c>
      <c r="AB217" s="249">
        <f>(WTG_BD[[#This Row],[Paired WTG Generation for loss calculation.]]/24)*WTG_BD[[#This Row],[Breakdown Time]]</f>
        <v>34.236111111110986</v>
      </c>
      <c r="AC217" s="135"/>
      <c r="AD217" s="245"/>
      <c r="AE217" s="3"/>
    </row>
    <row r="218" spans="1:31">
      <c r="A218" s="241">
        <f t="shared" si="7"/>
        <v>217</v>
      </c>
      <c r="B218" s="255">
        <v>45752</v>
      </c>
      <c r="C218" s="252">
        <v>2025</v>
      </c>
      <c r="D218" s="252">
        <f>YEAR(WTG_BD[[#This Row],[Date]])</f>
        <v>2025</v>
      </c>
      <c r="E218" s="251">
        <f t="shared" si="6"/>
        <v>45748</v>
      </c>
      <c r="F218" s="252" t="s">
        <v>465</v>
      </c>
      <c r="G218" s="248" t="s">
        <v>136</v>
      </c>
      <c r="H218" s="242" t="str">
        <f>IFERROR(VLOOKUP(WTG_BD[[#This Row],[Affected WTG]],'Basic Data'!$A$3:$E$56,2,0),"")</f>
        <v>PWEGPL</v>
      </c>
      <c r="I218" s="242" t="str">
        <f>IFERROR(VLOOKUP(WTG_BD[[#This Row],[Affected WTG]],'Basic Data'!$A$3:$E$56,3,0),"")</f>
        <v>MSEDCL</v>
      </c>
      <c r="J218" s="243">
        <f>IFERROR(VLOOKUP(WTG_BD[[#This Row],[Affected WTG]],'Basic Data'!$A$3:$E$56,5,0),"")</f>
        <v>2.564102564102564E-2</v>
      </c>
      <c r="K218" s="158">
        <v>800</v>
      </c>
      <c r="L218" s="247" t="str">
        <f>VLOOKUP(K218,'Basic Data'!T:U,2,0)</f>
        <v>Pitch Drive Error</v>
      </c>
      <c r="M218" s="135" t="s">
        <v>472</v>
      </c>
      <c r="N218" s="256">
        <v>0.68263888888888891</v>
      </c>
      <c r="O218" s="256">
        <v>0.68263888888888891</v>
      </c>
      <c r="P218" s="256">
        <v>0.68611111111111112</v>
      </c>
      <c r="Q218" s="253">
        <f>IF(WTG_BD[[#This Row],[Work Start TimeStamp]]="","",(WTG_BD[[#This Row],[Work Start TimeStamp]]-WTG_BD[[#This Row],[Fault Start TimeStamp]])*24)</f>
        <v>0</v>
      </c>
      <c r="R218" s="253">
        <f>(WTG_BD[[#This Row],[Fault Clearance time]]-WTG_BD[[#This Row],[Work Start TimeStamp]])*24</f>
        <v>8.3333333333333037E-2</v>
      </c>
      <c r="S218" s="253">
        <f>(WTG_BD[[#This Row],[Fault Clearance time]]-WTG_BD[[#This Row],[Fault Start TimeStamp]])*24</f>
        <v>8.3333333333333037E-2</v>
      </c>
      <c r="T218" s="135" t="s">
        <v>476</v>
      </c>
      <c r="U218" s="244" t="s">
        <v>474</v>
      </c>
      <c r="V218" s="246">
        <f>WTG_BD[[#This Row],[Breakdown Time]]*(1/39)</f>
        <v>2.1367521367521292E-3</v>
      </c>
      <c r="W218" s="244" t="s">
        <v>135</v>
      </c>
      <c r="X218" s="250">
        <v>9.548611111111077</v>
      </c>
      <c r="Y218" s="135" t="s">
        <v>470</v>
      </c>
      <c r="Z218" s="135" t="s">
        <v>475</v>
      </c>
      <c r="AA218" s="135">
        <v>2750</v>
      </c>
      <c r="AB218" s="249">
        <f>(WTG_BD[[#This Row],[Paired WTG Generation for loss calculation.]]/24)*WTG_BD[[#This Row],[Breakdown Time]]</f>
        <v>9.548611111111077</v>
      </c>
      <c r="AC218" s="135"/>
      <c r="AD218" s="245"/>
      <c r="AE218" s="3"/>
    </row>
    <row r="219" spans="1:31">
      <c r="A219" s="241">
        <f t="shared" si="7"/>
        <v>218</v>
      </c>
      <c r="B219" s="255">
        <v>45752</v>
      </c>
      <c r="C219" s="252">
        <v>2025</v>
      </c>
      <c r="D219" s="252">
        <f>YEAR(WTG_BD[[#This Row],[Date]])</f>
        <v>2025</v>
      </c>
      <c r="E219" s="251">
        <f t="shared" si="6"/>
        <v>45748</v>
      </c>
      <c r="F219" s="252" t="s">
        <v>465</v>
      </c>
      <c r="G219" s="248" t="s">
        <v>146</v>
      </c>
      <c r="H219" s="242" t="str">
        <f>IFERROR(VLOOKUP(WTG_BD[[#This Row],[Affected WTG]],'Basic Data'!$A$3:$E$56,2,0),"")</f>
        <v>PWEGPL</v>
      </c>
      <c r="I219" s="242" t="str">
        <f>IFERROR(VLOOKUP(WTG_BD[[#This Row],[Affected WTG]],'Basic Data'!$A$3:$E$56,3,0),"")</f>
        <v>MSEDCL</v>
      </c>
      <c r="J219" s="243">
        <f>IFERROR(VLOOKUP(WTG_BD[[#This Row],[Affected WTG]],'Basic Data'!$A$3:$E$56,5,0),"")</f>
        <v>2.564102564102564E-2</v>
      </c>
      <c r="K219" s="158" t="s">
        <v>466</v>
      </c>
      <c r="L219" s="247" t="str">
        <f>VLOOKUP(K219,'Basic Data'!T:U,2,0)</f>
        <v>Manual Stop - Safety Related</v>
      </c>
      <c r="M219" s="135" t="s">
        <v>467</v>
      </c>
      <c r="N219" s="256">
        <v>0.4861111111111111</v>
      </c>
      <c r="O219" s="256">
        <v>0.4861111111111111</v>
      </c>
      <c r="P219" s="256">
        <v>0.69305555555555554</v>
      </c>
      <c r="Q219" s="253">
        <f>IF(WTG_BD[[#This Row],[Work Start TimeStamp]]="","",(WTG_BD[[#This Row],[Work Start TimeStamp]]-WTG_BD[[#This Row],[Fault Start TimeStamp]])*24)</f>
        <v>0</v>
      </c>
      <c r="R219" s="253">
        <f>(WTG_BD[[#This Row],[Fault Clearance time]]-WTG_BD[[#This Row],[Work Start TimeStamp]])*24</f>
        <v>4.9666666666666668</v>
      </c>
      <c r="S219" s="253">
        <f>(WTG_BD[[#This Row],[Fault Clearance time]]-WTG_BD[[#This Row],[Fault Start TimeStamp]])*24</f>
        <v>4.9666666666666668</v>
      </c>
      <c r="T219" s="135" t="s">
        <v>512</v>
      </c>
      <c r="U219" s="244" t="s">
        <v>474</v>
      </c>
      <c r="V219" s="246">
        <f>WTG_BD[[#This Row],[Breakdown Time]]*(1/39)</f>
        <v>0.12735042735042734</v>
      </c>
      <c r="W219" s="244" t="s">
        <v>147</v>
      </c>
      <c r="X219" s="250">
        <v>523.15555555555557</v>
      </c>
      <c r="Y219" s="135" t="s">
        <v>470</v>
      </c>
      <c r="Z219" s="135" t="s">
        <v>475</v>
      </c>
      <c r="AA219" s="135">
        <v>2528</v>
      </c>
      <c r="AB219" s="249">
        <f>(WTG_BD[[#This Row],[Paired WTG Generation for loss calculation.]]/24)*WTG_BD[[#This Row],[Breakdown Time]]</f>
        <v>523.15555555555557</v>
      </c>
      <c r="AC219" s="135"/>
      <c r="AD219" s="245"/>
      <c r="AE219" s="3"/>
    </row>
    <row r="220" spans="1:31">
      <c r="A220" s="241">
        <f t="shared" si="7"/>
        <v>219</v>
      </c>
      <c r="B220" s="255">
        <v>45753</v>
      </c>
      <c r="C220" s="252">
        <v>2025</v>
      </c>
      <c r="D220" s="252">
        <f>YEAR(WTG_BD[[#This Row],[Date]])</f>
        <v>2025</v>
      </c>
      <c r="E220" s="251">
        <f t="shared" si="6"/>
        <v>45748</v>
      </c>
      <c r="F220" s="252" t="s">
        <v>465</v>
      </c>
      <c r="G220" s="248" t="s">
        <v>144</v>
      </c>
      <c r="H220" s="242" t="str">
        <f>IFERROR(VLOOKUP(WTG_BD[[#This Row],[Affected WTG]],'Basic Data'!$A$3:$E$56,2,0),"")</f>
        <v>PWEGPL</v>
      </c>
      <c r="I220" s="242" t="str">
        <f>IFERROR(VLOOKUP(WTG_BD[[#This Row],[Affected WTG]],'Basic Data'!$A$3:$E$56,3,0),"")</f>
        <v>MSEDCL</v>
      </c>
      <c r="J220" s="243">
        <f>IFERROR(VLOOKUP(WTG_BD[[#This Row],[Affected WTG]],'Basic Data'!$A$3:$E$56,5,0),"")</f>
        <v>2.564102564102564E-2</v>
      </c>
      <c r="K220" s="158" t="s">
        <v>466</v>
      </c>
      <c r="L220" s="247" t="str">
        <f>VLOOKUP(K220,'Basic Data'!T:U,2,0)</f>
        <v>Manual Stop - Safety Related</v>
      </c>
      <c r="M220" s="135" t="s">
        <v>467</v>
      </c>
      <c r="N220" s="256">
        <v>0</v>
      </c>
      <c r="O220" s="256">
        <v>0.99930555555555556</v>
      </c>
      <c r="P220" s="256">
        <v>0.99930555555555556</v>
      </c>
      <c r="Q220" s="253">
        <f>IF(WTG_BD[[#This Row],[Work Start TimeStamp]]="","",(WTG_BD[[#This Row],[Work Start TimeStamp]]-WTG_BD[[#This Row],[Fault Start TimeStamp]])*24)</f>
        <v>23.983333333333334</v>
      </c>
      <c r="R220" s="253">
        <f>(WTG_BD[[#This Row],[Fault Clearance time]]-WTG_BD[[#This Row],[Work Start TimeStamp]])*24</f>
        <v>0</v>
      </c>
      <c r="S220" s="253">
        <f>(WTG_BD[[#This Row],[Fault Clearance time]]-WTG_BD[[#This Row],[Fault Start TimeStamp]])*24</f>
        <v>23.983333333333334</v>
      </c>
      <c r="T220" s="135" t="s">
        <v>468</v>
      </c>
      <c r="U220" s="244" t="s">
        <v>469</v>
      </c>
      <c r="V220" s="246">
        <f>WTG_BD[[#This Row],[Breakdown Time]]*(1/39)</f>
        <v>0.61495726495726499</v>
      </c>
      <c r="W220" s="244" t="s">
        <v>141</v>
      </c>
      <c r="X220" s="250">
        <v>2822.0388888888892</v>
      </c>
      <c r="Y220" s="135" t="s">
        <v>470</v>
      </c>
      <c r="Z220" s="135" t="s">
        <v>471</v>
      </c>
      <c r="AA220" s="135">
        <v>2824</v>
      </c>
      <c r="AB220" s="249">
        <f>(WTG_BD[[#This Row],[Paired WTG Generation for loss calculation.]]/24)*WTG_BD[[#This Row],[Breakdown Time]]</f>
        <v>2822.0388888888892</v>
      </c>
      <c r="AC220" s="135"/>
      <c r="AD220" s="245"/>
      <c r="AE220" s="3"/>
    </row>
    <row r="221" spans="1:31">
      <c r="A221" s="241">
        <f t="shared" si="7"/>
        <v>220</v>
      </c>
      <c r="B221" s="255">
        <v>45753</v>
      </c>
      <c r="C221" s="252">
        <v>2025</v>
      </c>
      <c r="D221" s="252">
        <f>YEAR(WTG_BD[[#This Row],[Date]])</f>
        <v>2025</v>
      </c>
      <c r="E221" s="251">
        <f t="shared" si="6"/>
        <v>45748</v>
      </c>
      <c r="F221" s="252" t="s">
        <v>465</v>
      </c>
      <c r="G221" s="248" t="s">
        <v>142</v>
      </c>
      <c r="H221" s="242" t="str">
        <f>IFERROR(VLOOKUP(WTG_BD[[#This Row],[Affected WTG]],'Basic Data'!$A$3:$E$56,2,0),"")</f>
        <v>PWEGPL</v>
      </c>
      <c r="I221" s="242" t="str">
        <f>IFERROR(VLOOKUP(WTG_BD[[#This Row],[Affected WTG]],'Basic Data'!$A$3:$E$56,3,0),"")</f>
        <v>MSEDCL</v>
      </c>
      <c r="J221" s="243">
        <f>IFERROR(VLOOKUP(WTG_BD[[#This Row],[Affected WTG]],'Basic Data'!$A$3:$E$56,5,0),"")</f>
        <v>2.564102564102564E-2</v>
      </c>
      <c r="K221" s="158" t="s">
        <v>466</v>
      </c>
      <c r="L221" s="247" t="str">
        <f>VLOOKUP(K221,'Basic Data'!T:U,2,0)</f>
        <v>Manual Stop - Safety Related</v>
      </c>
      <c r="M221" s="135" t="s">
        <v>467</v>
      </c>
      <c r="N221" s="256">
        <v>0</v>
      </c>
      <c r="O221" s="256">
        <v>0.99930555555555556</v>
      </c>
      <c r="P221" s="256">
        <v>0.99930555555555556</v>
      </c>
      <c r="Q221" s="253">
        <f>IF(WTG_BD[[#This Row],[Work Start TimeStamp]]="","",(WTG_BD[[#This Row],[Work Start TimeStamp]]-WTG_BD[[#This Row],[Fault Start TimeStamp]])*24)</f>
        <v>23.983333333333334</v>
      </c>
      <c r="R221" s="253">
        <f>(WTG_BD[[#This Row],[Fault Clearance time]]-WTG_BD[[#This Row],[Work Start TimeStamp]])*24</f>
        <v>0</v>
      </c>
      <c r="S221" s="253">
        <f>(WTG_BD[[#This Row],[Fault Clearance time]]-WTG_BD[[#This Row],[Fault Start TimeStamp]])*24</f>
        <v>23.983333333333334</v>
      </c>
      <c r="T221" s="135" t="s">
        <v>468</v>
      </c>
      <c r="U221" s="244" t="s">
        <v>469</v>
      </c>
      <c r="V221" s="246">
        <f>WTG_BD[[#This Row],[Breakdown Time]]*(1/39)</f>
        <v>0.61495726495726499</v>
      </c>
      <c r="W221" s="244" t="s">
        <v>141</v>
      </c>
      <c r="X221" s="250">
        <v>2822.0388888888892</v>
      </c>
      <c r="Y221" s="135" t="s">
        <v>470</v>
      </c>
      <c r="Z221" s="135" t="s">
        <v>471</v>
      </c>
      <c r="AA221" s="135">
        <v>2824</v>
      </c>
      <c r="AB221" s="249">
        <f>(WTG_BD[[#This Row],[Paired WTG Generation for loss calculation.]]/24)*WTG_BD[[#This Row],[Breakdown Time]]</f>
        <v>2822.0388888888892</v>
      </c>
      <c r="AC221" s="135"/>
      <c r="AD221" s="245"/>
      <c r="AE221" s="3"/>
    </row>
    <row r="222" spans="1:31">
      <c r="A222" s="241">
        <f t="shared" si="7"/>
        <v>221</v>
      </c>
      <c r="B222" s="255">
        <v>45753</v>
      </c>
      <c r="C222" s="252">
        <v>2025</v>
      </c>
      <c r="D222" s="252">
        <f>YEAR(WTG_BD[[#This Row],[Date]])</f>
        <v>2025</v>
      </c>
      <c r="E222" s="251">
        <f t="shared" si="6"/>
        <v>45748</v>
      </c>
      <c r="F222" s="252" t="s">
        <v>465</v>
      </c>
      <c r="G222" s="248" t="s">
        <v>115</v>
      </c>
      <c r="H222" s="242" t="str">
        <f>IFERROR(VLOOKUP(WTG_BD[[#This Row],[Affected WTG]],'Basic Data'!$A$3:$E$56,2,0),"")</f>
        <v>PWEGPL</v>
      </c>
      <c r="I222" s="242" t="str">
        <f>IFERROR(VLOOKUP(WTG_BD[[#This Row],[Affected WTG]],'Basic Data'!$A$3:$E$56,3,0),"")</f>
        <v>MSEDCL</v>
      </c>
      <c r="J222" s="243">
        <f>IFERROR(VLOOKUP(WTG_BD[[#This Row],[Affected WTG]],'Basic Data'!$A$3:$E$56,5,0),"")</f>
        <v>2.564102564102564E-2</v>
      </c>
      <c r="K222" s="158">
        <v>203</v>
      </c>
      <c r="L222" s="247" t="str">
        <f>VLOOKUP(K222,'Basic Data'!T:U,2,0)</f>
        <v>Low Pressure On Hydraulic Group</v>
      </c>
      <c r="M222" s="135" t="s">
        <v>472</v>
      </c>
      <c r="N222" s="256">
        <v>0.60763888888888884</v>
      </c>
      <c r="O222" s="256">
        <v>0.60763888888888884</v>
      </c>
      <c r="P222" s="256">
        <v>0.61111111111111116</v>
      </c>
      <c r="Q222" s="253">
        <f>IF(WTG_BD[[#This Row],[Work Start TimeStamp]]="","",(WTG_BD[[#This Row],[Work Start TimeStamp]]-WTG_BD[[#This Row],[Fault Start TimeStamp]])*24)</f>
        <v>0</v>
      </c>
      <c r="R222" s="253">
        <f>(WTG_BD[[#This Row],[Fault Clearance time]]-WTG_BD[[#This Row],[Work Start TimeStamp]])*24</f>
        <v>8.3333333333335702E-2</v>
      </c>
      <c r="S222" s="253">
        <f>(WTG_BD[[#This Row],[Fault Clearance time]]-WTG_BD[[#This Row],[Fault Start TimeStamp]])*24</f>
        <v>8.3333333333335702E-2</v>
      </c>
      <c r="T222" s="135" t="s">
        <v>476</v>
      </c>
      <c r="U222" s="244" t="s">
        <v>474</v>
      </c>
      <c r="V222" s="246">
        <f>WTG_BD[[#This Row],[Breakdown Time]]*(1/39)</f>
        <v>2.1367521367521972E-3</v>
      </c>
      <c r="W222" s="244" t="s">
        <v>121</v>
      </c>
      <c r="X222" s="250">
        <v>11.902777777778116</v>
      </c>
      <c r="Y222" s="135" t="s">
        <v>470</v>
      </c>
      <c r="Z222" s="135" t="s">
        <v>475</v>
      </c>
      <c r="AA222" s="135">
        <v>3428</v>
      </c>
      <c r="AB222" s="249">
        <f>(WTG_BD[[#This Row],[Paired WTG Generation for loss calculation.]]/24)*WTG_BD[[#This Row],[Breakdown Time]]</f>
        <v>11.902777777778116</v>
      </c>
      <c r="AC222" s="135"/>
      <c r="AD222" s="245"/>
      <c r="AE222" s="3"/>
    </row>
    <row r="223" spans="1:31">
      <c r="A223" s="241">
        <f t="shared" si="7"/>
        <v>222</v>
      </c>
      <c r="B223" s="255">
        <v>45753</v>
      </c>
      <c r="C223" s="252">
        <v>2025</v>
      </c>
      <c r="D223" s="252">
        <f>YEAR(WTG_BD[[#This Row],[Date]])</f>
        <v>2025</v>
      </c>
      <c r="E223" s="251">
        <f t="shared" si="6"/>
        <v>45748</v>
      </c>
      <c r="F223" s="252" t="s">
        <v>465</v>
      </c>
      <c r="G223" s="248" t="s">
        <v>129</v>
      </c>
      <c r="H223" s="242" t="str">
        <f>IFERROR(VLOOKUP(WTG_BD[[#This Row],[Affected WTG]],'Basic Data'!$A$3:$E$56,2,0),"")</f>
        <v>PWEGPL</v>
      </c>
      <c r="I223" s="242" t="str">
        <f>IFERROR(VLOOKUP(WTG_BD[[#This Row],[Affected WTG]],'Basic Data'!$A$3:$E$56,3,0),"")</f>
        <v>MSEDCL</v>
      </c>
      <c r="J223" s="243">
        <f>IFERROR(VLOOKUP(WTG_BD[[#This Row],[Affected WTG]],'Basic Data'!$A$3:$E$56,5,0),"")</f>
        <v>2.564102564102564E-2</v>
      </c>
      <c r="K223" s="158" t="s">
        <v>466</v>
      </c>
      <c r="L223" s="247" t="str">
        <f>VLOOKUP(K223,'Basic Data'!T:U,2,0)</f>
        <v>Manual Stop - Safety Related</v>
      </c>
      <c r="M223" s="135" t="s">
        <v>467</v>
      </c>
      <c r="N223" s="256">
        <v>0.44791666666666669</v>
      </c>
      <c r="O223" s="256">
        <v>0.44791666666666669</v>
      </c>
      <c r="P223" s="256">
        <v>0.57222222222222219</v>
      </c>
      <c r="Q223" s="253">
        <f>IF(WTG_BD[[#This Row],[Work Start TimeStamp]]="","",(WTG_BD[[#This Row],[Work Start TimeStamp]]-WTG_BD[[#This Row],[Fault Start TimeStamp]])*24)</f>
        <v>0</v>
      </c>
      <c r="R223" s="253">
        <f>(WTG_BD[[#This Row],[Fault Clearance time]]-WTG_BD[[#This Row],[Work Start TimeStamp]])*24</f>
        <v>2.9833333333333321</v>
      </c>
      <c r="S223" s="253">
        <f>(WTG_BD[[#This Row],[Fault Clearance time]]-WTG_BD[[#This Row],[Fault Start TimeStamp]])*24</f>
        <v>2.9833333333333321</v>
      </c>
      <c r="T223" s="135" t="s">
        <v>483</v>
      </c>
      <c r="U223" s="244" t="s">
        <v>474</v>
      </c>
      <c r="V223" s="246">
        <f>WTG_BD[[#This Row],[Breakdown Time]]*(1/39)</f>
        <v>7.649572649572646E-2</v>
      </c>
      <c r="W223" s="244" t="s">
        <v>128</v>
      </c>
      <c r="X223" s="250">
        <v>399.26944444444428</v>
      </c>
      <c r="Y223" s="135" t="s">
        <v>470</v>
      </c>
      <c r="Z223" s="135" t="s">
        <v>471</v>
      </c>
      <c r="AA223" s="135">
        <v>3212</v>
      </c>
      <c r="AB223" s="249">
        <f>(WTG_BD[[#This Row],[Paired WTG Generation for loss calculation.]]/24)*WTG_BD[[#This Row],[Breakdown Time]]</f>
        <v>399.26944444444428</v>
      </c>
      <c r="AC223" s="135"/>
      <c r="AD223" s="245"/>
      <c r="AE223" s="3"/>
    </row>
    <row r="224" spans="1:31">
      <c r="A224" s="241">
        <f t="shared" si="7"/>
        <v>223</v>
      </c>
      <c r="B224" s="255">
        <v>45753</v>
      </c>
      <c r="C224" s="252">
        <v>2025</v>
      </c>
      <c r="D224" s="252">
        <f>YEAR(WTG_BD[[#This Row],[Date]])</f>
        <v>2025</v>
      </c>
      <c r="E224" s="251">
        <f t="shared" si="6"/>
        <v>45748</v>
      </c>
      <c r="F224" s="252" t="s">
        <v>465</v>
      </c>
      <c r="G224" s="248" t="s">
        <v>130</v>
      </c>
      <c r="H224" s="242" t="str">
        <f>IFERROR(VLOOKUP(WTG_BD[[#This Row],[Affected WTG]],'Basic Data'!$A$3:$E$56,2,0),"")</f>
        <v>PWEGPL</v>
      </c>
      <c r="I224" s="242" t="str">
        <f>IFERROR(VLOOKUP(WTG_BD[[#This Row],[Affected WTG]],'Basic Data'!$A$3:$E$56,3,0),"")</f>
        <v>MSEDCL</v>
      </c>
      <c r="J224" s="243">
        <f>IFERROR(VLOOKUP(WTG_BD[[#This Row],[Affected WTG]],'Basic Data'!$A$3:$E$56,5,0),"")</f>
        <v>2.564102564102564E-2</v>
      </c>
      <c r="K224" s="158">
        <v>5248</v>
      </c>
      <c r="L224" s="247" t="str">
        <f>VLOOKUP(K224,'Basic Data'!T:U,2,0)</f>
        <v>Active Crowbar IGBT Errors</v>
      </c>
      <c r="M224" s="135" t="s">
        <v>472</v>
      </c>
      <c r="N224" s="256">
        <v>0</v>
      </c>
      <c r="O224" s="256">
        <v>0</v>
      </c>
      <c r="P224" s="256">
        <v>0.99930555555555556</v>
      </c>
      <c r="Q224" s="253">
        <f>IF(WTG_BD[[#This Row],[Work Start TimeStamp]]="","",(WTG_BD[[#This Row],[Work Start TimeStamp]]-WTG_BD[[#This Row],[Fault Start TimeStamp]])*24)</f>
        <v>0</v>
      </c>
      <c r="R224" s="253">
        <f>(WTG_BD[[#This Row],[Fault Clearance time]]-WTG_BD[[#This Row],[Work Start TimeStamp]])*24</f>
        <v>23.983333333333334</v>
      </c>
      <c r="S224" s="253">
        <f>(WTG_BD[[#This Row],[Fault Clearance time]]-WTG_BD[[#This Row],[Fault Start TimeStamp]])*24</f>
        <v>23.983333333333334</v>
      </c>
      <c r="T224" s="135" t="s">
        <v>486</v>
      </c>
      <c r="U224" s="244" t="s">
        <v>469</v>
      </c>
      <c r="V224" s="246">
        <f>WTG_BD[[#This Row],[Breakdown Time]]*(1/39)</f>
        <v>0.61495726495726499</v>
      </c>
      <c r="W224" s="244" t="s">
        <v>131</v>
      </c>
      <c r="X224" s="250">
        <v>3497.5694444444448</v>
      </c>
      <c r="Y224" s="135" t="s">
        <v>470</v>
      </c>
      <c r="Z224" s="135" t="s">
        <v>475</v>
      </c>
      <c r="AA224" s="135">
        <v>3500</v>
      </c>
      <c r="AB224" s="249">
        <f>(WTG_BD[[#This Row],[Paired WTG Generation for loss calculation.]]/24)*WTG_BD[[#This Row],[Breakdown Time]]</f>
        <v>3497.5694444444448</v>
      </c>
      <c r="AC224" s="135"/>
      <c r="AD224" s="245"/>
      <c r="AE224" s="3"/>
    </row>
    <row r="225" spans="1:31">
      <c r="A225" s="241">
        <f t="shared" si="7"/>
        <v>224</v>
      </c>
      <c r="B225" s="255">
        <v>45754</v>
      </c>
      <c r="C225" s="252">
        <v>2025</v>
      </c>
      <c r="D225" s="252">
        <f>YEAR(WTG_BD[[#This Row],[Date]])</f>
        <v>2025</v>
      </c>
      <c r="E225" s="251">
        <f t="shared" ref="E225:E286" si="8">B225-DAY(B225)+1</f>
        <v>45748</v>
      </c>
      <c r="F225" s="252" t="s">
        <v>465</v>
      </c>
      <c r="G225" s="248" t="s">
        <v>144</v>
      </c>
      <c r="H225" s="242" t="str">
        <f>IFERROR(VLOOKUP(WTG_BD[[#This Row],[Affected WTG]],'Basic Data'!$A$3:$E$56,2,0),"")</f>
        <v>PWEGPL</v>
      </c>
      <c r="I225" s="242" t="str">
        <f>IFERROR(VLOOKUP(WTG_BD[[#This Row],[Affected WTG]],'Basic Data'!$A$3:$E$56,3,0),"")</f>
        <v>MSEDCL</v>
      </c>
      <c r="J225" s="243">
        <f>IFERROR(VLOOKUP(WTG_BD[[#This Row],[Affected WTG]],'Basic Data'!$A$3:$E$56,5,0),"")</f>
        <v>2.564102564102564E-2</v>
      </c>
      <c r="K225" s="158" t="s">
        <v>466</v>
      </c>
      <c r="L225" s="247" t="str">
        <f>VLOOKUP(K225,'Basic Data'!T:U,2,0)</f>
        <v>Manual Stop - Safety Related</v>
      </c>
      <c r="M225" s="135" t="s">
        <v>467</v>
      </c>
      <c r="N225" s="256">
        <v>0</v>
      </c>
      <c r="O225" s="256">
        <v>0.99930555555555556</v>
      </c>
      <c r="P225" s="256">
        <v>0.99930555555555556</v>
      </c>
      <c r="Q225" s="253">
        <f>IF(WTG_BD[[#This Row],[Work Start TimeStamp]]="","",(WTG_BD[[#This Row],[Work Start TimeStamp]]-WTG_BD[[#This Row],[Fault Start TimeStamp]])*24)</f>
        <v>23.983333333333334</v>
      </c>
      <c r="R225" s="253">
        <f>(WTG_BD[[#This Row],[Fault Clearance time]]-WTG_BD[[#This Row],[Work Start TimeStamp]])*24</f>
        <v>0</v>
      </c>
      <c r="S225" s="253">
        <f>(WTG_BD[[#This Row],[Fault Clearance time]]-WTG_BD[[#This Row],[Fault Start TimeStamp]])*24</f>
        <v>23.983333333333334</v>
      </c>
      <c r="T225" s="135" t="s">
        <v>468</v>
      </c>
      <c r="U225" s="244" t="s">
        <v>469</v>
      </c>
      <c r="V225" s="246">
        <f>WTG_BD[[#This Row],[Breakdown Time]]*(1/39)</f>
        <v>0.61495726495726499</v>
      </c>
      <c r="W225" s="244" t="s">
        <v>141</v>
      </c>
      <c r="X225" s="250">
        <v>7801.5784722222234</v>
      </c>
      <c r="Y225" s="135" t="s">
        <v>470</v>
      </c>
      <c r="Z225" s="135" t="s">
        <v>471</v>
      </c>
      <c r="AA225" s="135">
        <v>7807</v>
      </c>
      <c r="AB225" s="249">
        <f>(WTG_BD[[#This Row],[Paired WTG Generation for loss calculation.]]/24)*WTG_BD[[#This Row],[Breakdown Time]]</f>
        <v>7801.5784722222234</v>
      </c>
      <c r="AC225" s="135"/>
      <c r="AD225" s="245"/>
      <c r="AE225" s="3"/>
    </row>
    <row r="226" spans="1:31">
      <c r="A226" s="241">
        <f t="shared" si="7"/>
        <v>225</v>
      </c>
      <c r="B226" s="255">
        <v>45754</v>
      </c>
      <c r="C226" s="252">
        <v>2025</v>
      </c>
      <c r="D226" s="252">
        <f>YEAR(WTG_BD[[#This Row],[Date]])</f>
        <v>2025</v>
      </c>
      <c r="E226" s="251">
        <f t="shared" si="8"/>
        <v>45748</v>
      </c>
      <c r="F226" s="252" t="s">
        <v>465</v>
      </c>
      <c r="G226" s="248" t="s">
        <v>142</v>
      </c>
      <c r="H226" s="242" t="str">
        <f>IFERROR(VLOOKUP(WTG_BD[[#This Row],[Affected WTG]],'Basic Data'!$A$3:$E$56,2,0),"")</f>
        <v>PWEGPL</v>
      </c>
      <c r="I226" s="242" t="str">
        <f>IFERROR(VLOOKUP(WTG_BD[[#This Row],[Affected WTG]],'Basic Data'!$A$3:$E$56,3,0),"")</f>
        <v>MSEDCL</v>
      </c>
      <c r="J226" s="243">
        <f>IFERROR(VLOOKUP(WTG_BD[[#This Row],[Affected WTG]],'Basic Data'!$A$3:$E$56,5,0),"")</f>
        <v>2.564102564102564E-2</v>
      </c>
      <c r="K226" s="158" t="s">
        <v>466</v>
      </c>
      <c r="L226" s="247" t="str">
        <f>VLOOKUP(K226,'Basic Data'!T:U,2,0)</f>
        <v>Manual Stop - Safety Related</v>
      </c>
      <c r="M226" s="135" t="s">
        <v>467</v>
      </c>
      <c r="N226" s="256">
        <v>0</v>
      </c>
      <c r="O226" s="256">
        <v>0.99930555555555556</v>
      </c>
      <c r="P226" s="256">
        <v>0.99930555555555556</v>
      </c>
      <c r="Q226" s="253">
        <f>IF(WTG_BD[[#This Row],[Work Start TimeStamp]]="","",(WTG_BD[[#This Row],[Work Start TimeStamp]]-WTG_BD[[#This Row],[Fault Start TimeStamp]])*24)</f>
        <v>23.983333333333334</v>
      </c>
      <c r="R226" s="253">
        <f>(WTG_BD[[#This Row],[Fault Clearance time]]-WTG_BD[[#This Row],[Work Start TimeStamp]])*24</f>
        <v>0</v>
      </c>
      <c r="S226" s="253">
        <f>(WTG_BD[[#This Row],[Fault Clearance time]]-WTG_BD[[#This Row],[Fault Start TimeStamp]])*24</f>
        <v>23.983333333333334</v>
      </c>
      <c r="T226" s="135" t="s">
        <v>468</v>
      </c>
      <c r="U226" s="244" t="s">
        <v>469</v>
      </c>
      <c r="V226" s="246">
        <f>WTG_BD[[#This Row],[Breakdown Time]]*(1/39)</f>
        <v>0.61495726495726499</v>
      </c>
      <c r="W226" s="244" t="s">
        <v>141</v>
      </c>
      <c r="X226" s="250">
        <v>7801.5784722222234</v>
      </c>
      <c r="Y226" s="135" t="s">
        <v>470</v>
      </c>
      <c r="Z226" s="135" t="s">
        <v>471</v>
      </c>
      <c r="AA226" s="135">
        <v>7807</v>
      </c>
      <c r="AB226" s="249">
        <f>(WTG_BD[[#This Row],[Paired WTG Generation for loss calculation.]]/24)*WTG_BD[[#This Row],[Breakdown Time]]</f>
        <v>7801.5784722222234</v>
      </c>
      <c r="AC226" s="135"/>
      <c r="AD226" s="245"/>
      <c r="AE226" s="3"/>
    </row>
    <row r="227" spans="1:31">
      <c r="A227" s="241">
        <f t="shared" si="7"/>
        <v>226</v>
      </c>
      <c r="B227" s="255">
        <v>45754</v>
      </c>
      <c r="C227" s="252">
        <v>2025</v>
      </c>
      <c r="D227" s="252">
        <f>YEAR(WTG_BD[[#This Row],[Date]])</f>
        <v>2025</v>
      </c>
      <c r="E227" s="251">
        <f t="shared" si="8"/>
        <v>45748</v>
      </c>
      <c r="F227" s="252" t="s">
        <v>465</v>
      </c>
      <c r="G227" s="248" t="s">
        <v>115</v>
      </c>
      <c r="H227" s="242" t="str">
        <f>IFERROR(VLOOKUP(WTG_BD[[#This Row],[Affected WTG]],'Basic Data'!$A$3:$E$56,2,0),"")</f>
        <v>PWEGPL</v>
      </c>
      <c r="I227" s="242" t="str">
        <f>IFERROR(VLOOKUP(WTG_BD[[#This Row],[Affected WTG]],'Basic Data'!$A$3:$E$56,3,0),"")</f>
        <v>MSEDCL</v>
      </c>
      <c r="J227" s="243">
        <f>IFERROR(VLOOKUP(WTG_BD[[#This Row],[Affected WTG]],'Basic Data'!$A$3:$E$56,5,0),"")</f>
        <v>2.564102564102564E-2</v>
      </c>
      <c r="K227" s="158">
        <v>203</v>
      </c>
      <c r="L227" s="247" t="str">
        <f>VLOOKUP(K227,'Basic Data'!T:U,2,0)</f>
        <v>Low Pressure On Hydraulic Group</v>
      </c>
      <c r="M227" s="135" t="s">
        <v>472</v>
      </c>
      <c r="N227" s="256">
        <v>0.10069444444444445</v>
      </c>
      <c r="O227" s="256">
        <v>0.10069444444444445</v>
      </c>
      <c r="P227" s="256">
        <v>0.10416666666666667</v>
      </c>
      <c r="Q227" s="253">
        <f>IF(WTG_BD[[#This Row],[Work Start TimeStamp]]="","",(WTG_BD[[#This Row],[Work Start TimeStamp]]-WTG_BD[[#This Row],[Fault Start TimeStamp]])*24)</f>
        <v>0</v>
      </c>
      <c r="R227" s="253">
        <f>(WTG_BD[[#This Row],[Fault Clearance time]]-WTG_BD[[#This Row],[Work Start TimeStamp]])*24</f>
        <v>8.333333333333337E-2</v>
      </c>
      <c r="S227" s="253">
        <f>(WTG_BD[[#This Row],[Fault Clearance time]]-WTG_BD[[#This Row],[Fault Start TimeStamp]])*24</f>
        <v>8.333333333333337E-2</v>
      </c>
      <c r="T227" s="135" t="s">
        <v>476</v>
      </c>
      <c r="U227" s="244" t="s">
        <v>474</v>
      </c>
      <c r="V227" s="246">
        <f>WTG_BD[[#This Row],[Breakdown Time]]*(1/39)</f>
        <v>2.1367521367521378E-3</v>
      </c>
      <c r="W227" s="244" t="s">
        <v>121</v>
      </c>
      <c r="X227" s="250">
        <v>14.100694444444452</v>
      </c>
      <c r="Y227" s="135" t="s">
        <v>470</v>
      </c>
      <c r="Z227" s="135" t="s">
        <v>475</v>
      </c>
      <c r="AA227" s="135">
        <v>4061</v>
      </c>
      <c r="AB227" s="249">
        <f>(WTG_BD[[#This Row],[Paired WTG Generation for loss calculation.]]/24)*WTG_BD[[#This Row],[Breakdown Time]]</f>
        <v>14.100694444444452</v>
      </c>
      <c r="AC227" s="135"/>
      <c r="AD227" s="245"/>
      <c r="AE227" s="3"/>
    </row>
    <row r="228" spans="1:31">
      <c r="A228" s="241">
        <f t="shared" si="7"/>
        <v>227</v>
      </c>
      <c r="B228" s="255">
        <v>45754</v>
      </c>
      <c r="C228" s="252">
        <v>2025</v>
      </c>
      <c r="D228" s="252">
        <f>YEAR(WTG_BD[[#This Row],[Date]])</f>
        <v>2025</v>
      </c>
      <c r="E228" s="251">
        <f t="shared" si="8"/>
        <v>45748</v>
      </c>
      <c r="F228" s="252" t="s">
        <v>465</v>
      </c>
      <c r="G228" s="248" t="s">
        <v>115</v>
      </c>
      <c r="H228" s="242" t="str">
        <f>IFERROR(VLOOKUP(WTG_BD[[#This Row],[Affected WTG]],'Basic Data'!$A$3:$E$56,2,0),"")</f>
        <v>PWEGPL</v>
      </c>
      <c r="I228" s="242" t="str">
        <f>IFERROR(VLOOKUP(WTG_BD[[#This Row],[Affected WTG]],'Basic Data'!$A$3:$E$56,3,0),"")</f>
        <v>MSEDCL</v>
      </c>
      <c r="J228" s="243">
        <f>IFERROR(VLOOKUP(WTG_BD[[#This Row],[Affected WTG]],'Basic Data'!$A$3:$E$56,5,0),"")</f>
        <v>2.564102564102564E-2</v>
      </c>
      <c r="K228" s="158">
        <v>800</v>
      </c>
      <c r="L228" s="247" t="str">
        <f>VLOOKUP(K228,'Basic Data'!T:U,2,0)</f>
        <v>Pitch Drive Error</v>
      </c>
      <c r="M228" s="135" t="s">
        <v>472</v>
      </c>
      <c r="N228" s="256">
        <v>0.73819444444444449</v>
      </c>
      <c r="O228" s="256">
        <v>0.73819444444444449</v>
      </c>
      <c r="P228" s="256">
        <v>0.7416666666666667</v>
      </c>
      <c r="Q228" s="253">
        <f>IF(WTG_BD[[#This Row],[Work Start TimeStamp]]="","",(WTG_BD[[#This Row],[Work Start TimeStamp]]-WTG_BD[[#This Row],[Fault Start TimeStamp]])*24)</f>
        <v>0</v>
      </c>
      <c r="R228" s="253">
        <f>(WTG_BD[[#This Row],[Fault Clearance time]]-WTG_BD[[#This Row],[Work Start TimeStamp]])*24</f>
        <v>8.3333333333333037E-2</v>
      </c>
      <c r="S228" s="253">
        <f>(WTG_BD[[#This Row],[Fault Clearance time]]-WTG_BD[[#This Row],[Fault Start TimeStamp]])*24</f>
        <v>8.3333333333333037E-2</v>
      </c>
      <c r="T228" s="135" t="s">
        <v>476</v>
      </c>
      <c r="U228" s="244" t="s">
        <v>474</v>
      </c>
      <c r="V228" s="246">
        <f>WTG_BD[[#This Row],[Breakdown Time]]*(1/39)</f>
        <v>2.1367521367521292E-3</v>
      </c>
      <c r="W228" s="244" t="s">
        <v>121</v>
      </c>
      <c r="X228" s="250">
        <v>14.100694444444395</v>
      </c>
      <c r="Y228" s="135" t="s">
        <v>470</v>
      </c>
      <c r="Z228" s="135" t="s">
        <v>475</v>
      </c>
      <c r="AA228" s="135">
        <v>4061</v>
      </c>
      <c r="AB228" s="249">
        <f>(WTG_BD[[#This Row],[Paired WTG Generation for loss calculation.]]/24)*WTG_BD[[#This Row],[Breakdown Time]]</f>
        <v>14.100694444444395</v>
      </c>
      <c r="AC228" s="135"/>
      <c r="AD228" s="245"/>
      <c r="AE228" s="3"/>
    </row>
    <row r="229" spans="1:31">
      <c r="A229" s="241">
        <f t="shared" si="7"/>
        <v>228</v>
      </c>
      <c r="B229" s="255">
        <v>45754</v>
      </c>
      <c r="C229" s="252">
        <v>2025</v>
      </c>
      <c r="D229" s="252">
        <f>YEAR(WTG_BD[[#This Row],[Date]])</f>
        <v>2025</v>
      </c>
      <c r="E229" s="251">
        <f t="shared" si="8"/>
        <v>45748</v>
      </c>
      <c r="F229" s="252" t="s">
        <v>465</v>
      </c>
      <c r="G229" s="248" t="s">
        <v>118</v>
      </c>
      <c r="H229" s="242" t="str">
        <f>IFERROR(VLOOKUP(WTG_BD[[#This Row],[Affected WTG]],'Basic Data'!$A$3:$E$56,2,0),"")</f>
        <v>PWEGPL</v>
      </c>
      <c r="I229" s="242" t="str">
        <f>IFERROR(VLOOKUP(WTG_BD[[#This Row],[Affected WTG]],'Basic Data'!$A$3:$E$56,3,0),"")</f>
        <v>MSEDCL</v>
      </c>
      <c r="J229" s="243">
        <f>IFERROR(VLOOKUP(WTG_BD[[#This Row],[Affected WTG]],'Basic Data'!$A$3:$E$56,5,0),"")</f>
        <v>2.564102564102564E-2</v>
      </c>
      <c r="K229" s="158">
        <v>5200</v>
      </c>
      <c r="L229" s="247" t="str">
        <f>VLOOKUP(K229,'Basic Data'!T:U,2,0)</f>
        <v>Magnetothermic Trigger Of The Line Protection</v>
      </c>
      <c r="M229" s="135" t="s">
        <v>472</v>
      </c>
      <c r="N229" s="256">
        <v>0.68680555555555556</v>
      </c>
      <c r="O229" s="256">
        <v>0.68680555555555556</v>
      </c>
      <c r="P229" s="256">
        <v>0.68819444444444444</v>
      </c>
      <c r="Q229" s="253">
        <f>IF(WTG_BD[[#This Row],[Work Start TimeStamp]]="","",(WTG_BD[[#This Row],[Work Start TimeStamp]]-WTG_BD[[#This Row],[Fault Start TimeStamp]])*24)</f>
        <v>0</v>
      </c>
      <c r="R229" s="253">
        <f>(WTG_BD[[#This Row],[Fault Clearance time]]-WTG_BD[[#This Row],[Work Start TimeStamp]])*24</f>
        <v>3.3333333333333215E-2</v>
      </c>
      <c r="S229" s="253">
        <f>(WTG_BD[[#This Row],[Fault Clearance time]]-WTG_BD[[#This Row],[Fault Start TimeStamp]])*24</f>
        <v>3.3333333333333215E-2</v>
      </c>
      <c r="T229" s="135" t="s">
        <v>476</v>
      </c>
      <c r="U229" s="244" t="s">
        <v>474</v>
      </c>
      <c r="V229" s="246">
        <f>WTG_BD[[#This Row],[Breakdown Time]]*(1/39)</f>
        <v>8.5470085470085166E-4</v>
      </c>
      <c r="W229" s="244" t="s">
        <v>117</v>
      </c>
      <c r="X229" s="250">
        <v>7.6611111111110839</v>
      </c>
      <c r="Y229" s="135" t="s">
        <v>470</v>
      </c>
      <c r="Z229" s="135" t="s">
        <v>475</v>
      </c>
      <c r="AA229" s="135">
        <v>5516</v>
      </c>
      <c r="AB229" s="249">
        <f>(WTG_BD[[#This Row],[Paired WTG Generation for loss calculation.]]/24)*WTG_BD[[#This Row],[Breakdown Time]]</f>
        <v>7.6611111111110839</v>
      </c>
      <c r="AC229" s="135"/>
      <c r="AD229" s="245"/>
      <c r="AE229" s="3"/>
    </row>
    <row r="230" spans="1:31">
      <c r="A230" s="241">
        <f t="shared" si="7"/>
        <v>229</v>
      </c>
      <c r="B230" s="255">
        <v>45754</v>
      </c>
      <c r="C230" s="252">
        <v>2025</v>
      </c>
      <c r="D230" s="252">
        <f>YEAR(WTG_BD[[#This Row],[Date]])</f>
        <v>2025</v>
      </c>
      <c r="E230" s="251">
        <f t="shared" si="8"/>
        <v>45748</v>
      </c>
      <c r="F230" s="252" t="s">
        <v>465</v>
      </c>
      <c r="G230" s="248" t="s">
        <v>120</v>
      </c>
      <c r="H230" s="242" t="str">
        <f>IFERROR(VLOOKUP(WTG_BD[[#This Row],[Affected WTG]],'Basic Data'!$A$3:$E$56,2,0),"")</f>
        <v>PWEGPL</v>
      </c>
      <c r="I230" s="242" t="str">
        <f>IFERROR(VLOOKUP(WTG_BD[[#This Row],[Affected WTG]],'Basic Data'!$A$3:$E$56,3,0),"")</f>
        <v>MSEDCL</v>
      </c>
      <c r="J230" s="243">
        <f>IFERROR(VLOOKUP(WTG_BD[[#This Row],[Affected WTG]],'Basic Data'!$A$3:$E$56,5,0),"")</f>
        <v>2.564102564102564E-2</v>
      </c>
      <c r="K230" s="158">
        <v>5216</v>
      </c>
      <c r="L230" s="247" t="str">
        <f>VLOOKUP(K230,'Basic Data'!T:U,2,0)</f>
        <v>Grid Voltage Failure</v>
      </c>
      <c r="M230" s="135" t="s">
        <v>472</v>
      </c>
      <c r="N230" s="256">
        <v>5.8333333333333334E-2</v>
      </c>
      <c r="O230" s="256">
        <v>6.1805555555555558E-2</v>
      </c>
      <c r="P230" s="256">
        <v>0.1076388888888889</v>
      </c>
      <c r="Q230" s="253">
        <f>IF(WTG_BD[[#This Row],[Work Start TimeStamp]]="","",(WTG_BD[[#This Row],[Work Start TimeStamp]]-WTG_BD[[#This Row],[Fault Start TimeStamp]])*24)</f>
        <v>8.333333333333337E-2</v>
      </c>
      <c r="R230" s="253">
        <f>(WTG_BD[[#This Row],[Fault Clearance time]]-WTG_BD[[#This Row],[Work Start TimeStamp]])*24</f>
        <v>1.1000000000000001</v>
      </c>
      <c r="S230" s="253">
        <f>(WTG_BD[[#This Row],[Fault Clearance time]]-WTG_BD[[#This Row],[Fault Start TimeStamp]])*24</f>
        <v>1.1833333333333336</v>
      </c>
      <c r="T230" s="135" t="s">
        <v>513</v>
      </c>
      <c r="U230" s="244" t="s">
        <v>474</v>
      </c>
      <c r="V230" s="246">
        <f>WTG_BD[[#This Row],[Breakdown Time]]*(1/39)</f>
        <v>3.0341880341880349E-2</v>
      </c>
      <c r="W230" s="244" t="s">
        <v>117</v>
      </c>
      <c r="X230" s="250">
        <v>271.96944444444449</v>
      </c>
      <c r="Y230" s="135" t="s">
        <v>470</v>
      </c>
      <c r="Z230" s="135" t="s">
        <v>475</v>
      </c>
      <c r="AA230" s="135">
        <v>5516</v>
      </c>
      <c r="AB230" s="249">
        <f>(WTG_BD[[#This Row],[Paired WTG Generation for loss calculation.]]/24)*WTG_BD[[#This Row],[Breakdown Time]]</f>
        <v>271.96944444444449</v>
      </c>
      <c r="AC230" s="135"/>
      <c r="AD230" s="245"/>
      <c r="AE230" s="3"/>
    </row>
    <row r="231" spans="1:31">
      <c r="A231" s="241">
        <f t="shared" si="7"/>
        <v>230</v>
      </c>
      <c r="B231" s="255">
        <v>45754</v>
      </c>
      <c r="C231" s="252">
        <v>2025</v>
      </c>
      <c r="D231" s="252">
        <f>YEAR(WTG_BD[[#This Row],[Date]])</f>
        <v>2025</v>
      </c>
      <c r="E231" s="251">
        <f t="shared" si="8"/>
        <v>45748</v>
      </c>
      <c r="F231" s="252" t="s">
        <v>465</v>
      </c>
      <c r="G231" s="248" t="s">
        <v>121</v>
      </c>
      <c r="H231" s="242" t="str">
        <f>IFERROR(VLOOKUP(WTG_BD[[#This Row],[Affected WTG]],'Basic Data'!$A$3:$E$56,2,0),"")</f>
        <v>PWEGPL</v>
      </c>
      <c r="I231" s="242" t="str">
        <f>IFERROR(VLOOKUP(WTG_BD[[#This Row],[Affected WTG]],'Basic Data'!$A$3:$E$56,3,0),"")</f>
        <v>MSEDCL</v>
      </c>
      <c r="J231" s="243">
        <f>IFERROR(VLOOKUP(WTG_BD[[#This Row],[Affected WTG]],'Basic Data'!$A$3:$E$56,5,0),"")</f>
        <v>2.564102564102564E-2</v>
      </c>
      <c r="K231" s="158">
        <v>227</v>
      </c>
      <c r="L231" s="247" t="str">
        <f>VLOOKUP(K231,'Basic Data'!T:U,2,0)</f>
        <v>Hydraulic HUB Filter Dirty Too Long</v>
      </c>
      <c r="M231" s="135" t="s">
        <v>472</v>
      </c>
      <c r="N231" s="256">
        <v>0.19236111111111112</v>
      </c>
      <c r="O231" s="256">
        <v>0.31041666666666667</v>
      </c>
      <c r="P231" s="256">
        <v>0.31041666666666667</v>
      </c>
      <c r="Q231" s="253">
        <f>IF(WTG_BD[[#This Row],[Work Start TimeStamp]]="","",(WTG_BD[[#This Row],[Work Start TimeStamp]]-WTG_BD[[#This Row],[Fault Start TimeStamp]])*24)</f>
        <v>2.833333333333333</v>
      </c>
      <c r="R231" s="253">
        <f>(WTG_BD[[#This Row],[Fault Clearance time]]-WTG_BD[[#This Row],[Work Start TimeStamp]])*24</f>
        <v>0</v>
      </c>
      <c r="S231" s="253">
        <f>(WTG_BD[[#This Row],[Fault Clearance time]]-WTG_BD[[#This Row],[Fault Start TimeStamp]])*24</f>
        <v>2.833333333333333</v>
      </c>
      <c r="T231" s="135" t="s">
        <v>473</v>
      </c>
      <c r="U231" s="244" t="s">
        <v>474</v>
      </c>
      <c r="V231" s="246">
        <f>WTG_BD[[#This Row],[Breakdown Time]]*(1/39)</f>
        <v>7.2649572649572641E-2</v>
      </c>
      <c r="W231" s="244" t="s">
        <v>115</v>
      </c>
      <c r="X231" s="250">
        <v>605.3888888888888</v>
      </c>
      <c r="Y231" s="135" t="s">
        <v>470</v>
      </c>
      <c r="Z231" s="135" t="s">
        <v>475</v>
      </c>
      <c r="AA231" s="135">
        <v>5128</v>
      </c>
      <c r="AB231" s="249">
        <f>(WTG_BD[[#This Row],[Paired WTG Generation for loss calculation.]]/24)*WTG_BD[[#This Row],[Breakdown Time]]</f>
        <v>605.3888888888888</v>
      </c>
      <c r="AC231" s="135"/>
      <c r="AD231" s="245"/>
      <c r="AE231" s="3"/>
    </row>
    <row r="232" spans="1:31">
      <c r="A232" s="241">
        <f t="shared" si="7"/>
        <v>231</v>
      </c>
      <c r="B232" s="255">
        <v>45754</v>
      </c>
      <c r="C232" s="252">
        <v>2025</v>
      </c>
      <c r="D232" s="252">
        <f>YEAR(WTG_BD[[#This Row],[Date]])</f>
        <v>2025</v>
      </c>
      <c r="E232" s="251">
        <f t="shared" si="8"/>
        <v>45748</v>
      </c>
      <c r="F232" s="252" t="s">
        <v>465</v>
      </c>
      <c r="G232" s="248" t="s">
        <v>130</v>
      </c>
      <c r="H232" s="242" t="str">
        <f>IFERROR(VLOOKUP(WTG_BD[[#This Row],[Affected WTG]],'Basic Data'!$A$3:$E$56,2,0),"")</f>
        <v>PWEGPL</v>
      </c>
      <c r="I232" s="242" t="str">
        <f>IFERROR(VLOOKUP(WTG_BD[[#This Row],[Affected WTG]],'Basic Data'!$A$3:$E$56,3,0),"")</f>
        <v>MSEDCL</v>
      </c>
      <c r="J232" s="243">
        <f>IFERROR(VLOOKUP(WTG_BD[[#This Row],[Affected WTG]],'Basic Data'!$A$3:$E$56,5,0),"")</f>
        <v>2.564102564102564E-2</v>
      </c>
      <c r="K232" s="158">
        <v>5248</v>
      </c>
      <c r="L232" s="247" t="str">
        <f>VLOOKUP(K232,'Basic Data'!T:U,2,0)</f>
        <v>Active Crowbar IGBT Errors</v>
      </c>
      <c r="M232" s="135" t="s">
        <v>472</v>
      </c>
      <c r="N232" s="256">
        <v>0</v>
      </c>
      <c r="O232" s="256">
        <v>0</v>
      </c>
      <c r="P232" s="256">
        <v>0.99930555555555556</v>
      </c>
      <c r="Q232" s="253">
        <f>IF(WTG_BD[[#This Row],[Work Start TimeStamp]]="","",(WTG_BD[[#This Row],[Work Start TimeStamp]]-WTG_BD[[#This Row],[Fault Start TimeStamp]])*24)</f>
        <v>0</v>
      </c>
      <c r="R232" s="253">
        <f>(WTG_BD[[#This Row],[Fault Clearance time]]-WTG_BD[[#This Row],[Work Start TimeStamp]])*24</f>
        <v>23.983333333333334</v>
      </c>
      <c r="S232" s="253">
        <f>(WTG_BD[[#This Row],[Fault Clearance time]]-WTG_BD[[#This Row],[Fault Start TimeStamp]])*24</f>
        <v>23.983333333333334</v>
      </c>
      <c r="T232" s="135" t="s">
        <v>486</v>
      </c>
      <c r="U232" s="244" t="s">
        <v>474</v>
      </c>
      <c r="V232" s="246">
        <f>WTG_BD[[#This Row],[Breakdown Time]]*(1/39)</f>
        <v>0.61495726495726499</v>
      </c>
      <c r="W232" s="244" t="s">
        <v>131</v>
      </c>
      <c r="X232" s="250">
        <v>5116.4444444444453</v>
      </c>
      <c r="Y232" s="135" t="s">
        <v>470</v>
      </c>
      <c r="Z232" s="135" t="s">
        <v>475</v>
      </c>
      <c r="AA232" s="135">
        <v>5120</v>
      </c>
      <c r="AB232" s="249">
        <f>(WTG_BD[[#This Row],[Paired WTG Generation for loss calculation.]]/24)*WTG_BD[[#This Row],[Breakdown Time]]</f>
        <v>5116.4444444444453</v>
      </c>
      <c r="AC232" s="135"/>
      <c r="AD232" s="245"/>
      <c r="AE232" s="3"/>
    </row>
    <row r="233" spans="1:31">
      <c r="A233" s="241">
        <f t="shared" si="7"/>
        <v>232</v>
      </c>
      <c r="B233" s="255">
        <v>45754</v>
      </c>
      <c r="C233" s="252">
        <v>2025</v>
      </c>
      <c r="D233" s="252">
        <f>YEAR(WTG_BD[[#This Row],[Date]])</f>
        <v>2025</v>
      </c>
      <c r="E233" s="251">
        <f t="shared" si="8"/>
        <v>45748</v>
      </c>
      <c r="F233" s="252" t="s">
        <v>465</v>
      </c>
      <c r="G233" s="248" t="s">
        <v>141</v>
      </c>
      <c r="H233" s="242" t="str">
        <f>IFERROR(VLOOKUP(WTG_BD[[#This Row],[Affected WTG]],'Basic Data'!$A$3:$E$56,2,0),"")</f>
        <v>PWEGPL</v>
      </c>
      <c r="I233" s="242" t="str">
        <f>IFERROR(VLOOKUP(WTG_BD[[#This Row],[Affected WTG]],'Basic Data'!$A$3:$E$56,3,0),"")</f>
        <v>MSEDCL</v>
      </c>
      <c r="J233" s="243">
        <f>IFERROR(VLOOKUP(WTG_BD[[#This Row],[Affected WTG]],'Basic Data'!$A$3:$E$56,5,0),"")</f>
        <v>2.564102564102564E-2</v>
      </c>
      <c r="K233" s="158">
        <v>523</v>
      </c>
      <c r="L233" s="247" t="str">
        <f>VLOOKUP(K233,'Basic Data'!T:U,2,0)</f>
        <v>High Temperature Of Coolant In The Input Of The Cooling Circuit</v>
      </c>
      <c r="M233" s="135" t="s">
        <v>472</v>
      </c>
      <c r="N233" s="256">
        <v>0.59583333333333333</v>
      </c>
      <c r="O233" s="256">
        <v>0.59583333333333333</v>
      </c>
      <c r="P233" s="256">
        <v>0.59930555555555554</v>
      </c>
      <c r="Q233" s="253">
        <f>IF(WTG_BD[[#This Row],[Work Start TimeStamp]]="","",(WTG_BD[[#This Row],[Work Start TimeStamp]]-WTG_BD[[#This Row],[Fault Start TimeStamp]])*24)</f>
        <v>0</v>
      </c>
      <c r="R233" s="253">
        <f>(WTG_BD[[#This Row],[Fault Clearance time]]-WTG_BD[[#This Row],[Work Start TimeStamp]])*24</f>
        <v>8.3333333333333037E-2</v>
      </c>
      <c r="S233" s="253">
        <f>(WTG_BD[[#This Row],[Fault Clearance time]]-WTG_BD[[#This Row],[Fault Start TimeStamp]])*24</f>
        <v>8.3333333333333037E-2</v>
      </c>
      <c r="T233" s="135" t="s">
        <v>476</v>
      </c>
      <c r="U233" s="244" t="s">
        <v>474</v>
      </c>
      <c r="V233" s="246">
        <f>WTG_BD[[#This Row],[Breakdown Time]]*(1/39)</f>
        <v>2.1367521367521292E-3</v>
      </c>
      <c r="W233" s="244" t="s">
        <v>143</v>
      </c>
      <c r="X233" s="250">
        <v>24.9826388888888</v>
      </c>
      <c r="Y233" s="135" t="s">
        <v>470</v>
      </c>
      <c r="Z233" s="135" t="s">
        <v>475</v>
      </c>
      <c r="AA233" s="135">
        <v>7195</v>
      </c>
      <c r="AB233" s="249">
        <f>(WTG_BD[[#This Row],[Paired WTG Generation for loss calculation.]]/24)*WTG_BD[[#This Row],[Breakdown Time]]</f>
        <v>24.9826388888888</v>
      </c>
      <c r="AC233" s="135"/>
      <c r="AD233" s="245"/>
      <c r="AE233" s="3"/>
    </row>
    <row r="234" spans="1:31">
      <c r="A234" s="241">
        <f t="shared" si="7"/>
        <v>233</v>
      </c>
      <c r="B234" s="255">
        <v>45754</v>
      </c>
      <c r="C234" s="252">
        <v>2025</v>
      </c>
      <c r="D234" s="252">
        <f>YEAR(WTG_BD[[#This Row],[Date]])</f>
        <v>2025</v>
      </c>
      <c r="E234" s="251">
        <f t="shared" si="8"/>
        <v>45748</v>
      </c>
      <c r="F234" s="252" t="s">
        <v>465</v>
      </c>
      <c r="G234" s="248" t="s">
        <v>141</v>
      </c>
      <c r="H234" s="242" t="str">
        <f>IFERROR(VLOOKUP(WTG_BD[[#This Row],[Affected WTG]],'Basic Data'!$A$3:$E$56,2,0),"")</f>
        <v>PWEGPL</v>
      </c>
      <c r="I234" s="242" t="str">
        <f>IFERROR(VLOOKUP(WTG_BD[[#This Row],[Affected WTG]],'Basic Data'!$A$3:$E$56,3,0),"")</f>
        <v>MSEDCL</v>
      </c>
      <c r="J234" s="243">
        <f>IFERROR(VLOOKUP(WTG_BD[[#This Row],[Affected WTG]],'Basic Data'!$A$3:$E$56,5,0),"")</f>
        <v>2.564102564102564E-2</v>
      </c>
      <c r="K234" s="158">
        <v>523</v>
      </c>
      <c r="L234" s="247" t="str">
        <f>VLOOKUP(K234,'Basic Data'!T:U,2,0)</f>
        <v>High Temperature Of Coolant In The Input Of The Cooling Circuit</v>
      </c>
      <c r="M234" s="135" t="s">
        <v>472</v>
      </c>
      <c r="N234" s="256">
        <v>0.67083333333333328</v>
      </c>
      <c r="O234" s="256">
        <v>0.67083333333333328</v>
      </c>
      <c r="P234" s="256">
        <v>0.67847222222222225</v>
      </c>
      <c r="Q234" s="253">
        <f>IF(WTG_BD[[#This Row],[Work Start TimeStamp]]="","",(WTG_BD[[#This Row],[Work Start TimeStamp]]-WTG_BD[[#This Row],[Fault Start TimeStamp]])*24)</f>
        <v>0</v>
      </c>
      <c r="R234" s="253">
        <f>(WTG_BD[[#This Row],[Fault Clearance time]]-WTG_BD[[#This Row],[Work Start TimeStamp]])*24</f>
        <v>0.18333333333333535</v>
      </c>
      <c r="S234" s="253">
        <f>(WTG_BD[[#This Row],[Fault Clearance time]]-WTG_BD[[#This Row],[Fault Start TimeStamp]])*24</f>
        <v>0.18333333333333535</v>
      </c>
      <c r="T234" s="135" t="s">
        <v>476</v>
      </c>
      <c r="U234" s="244" t="s">
        <v>474</v>
      </c>
      <c r="V234" s="246">
        <f>WTG_BD[[#This Row],[Breakdown Time]]*(1/39)</f>
        <v>4.7008547008547527E-3</v>
      </c>
      <c r="W234" s="244" t="s">
        <v>143</v>
      </c>
      <c r="X234" s="250">
        <v>54.961805555556161</v>
      </c>
      <c r="Y234" s="135" t="s">
        <v>470</v>
      </c>
      <c r="Z234" s="135" t="s">
        <v>475</v>
      </c>
      <c r="AA234" s="135">
        <v>7195</v>
      </c>
      <c r="AB234" s="249">
        <f>(WTG_BD[[#This Row],[Paired WTG Generation for loss calculation.]]/24)*WTG_BD[[#This Row],[Breakdown Time]]</f>
        <v>54.961805555556161</v>
      </c>
      <c r="AC234" s="135"/>
      <c r="AD234" s="245"/>
      <c r="AE234" s="3"/>
    </row>
    <row r="235" spans="1:31">
      <c r="A235" s="241">
        <f t="shared" si="7"/>
        <v>234</v>
      </c>
      <c r="B235" s="255">
        <v>45754</v>
      </c>
      <c r="C235" s="252">
        <v>2025</v>
      </c>
      <c r="D235" s="252">
        <f>YEAR(WTG_BD[[#This Row],[Date]])</f>
        <v>2025</v>
      </c>
      <c r="E235" s="251">
        <f t="shared" si="8"/>
        <v>45748</v>
      </c>
      <c r="F235" s="252" t="s">
        <v>465</v>
      </c>
      <c r="G235" s="248" t="s">
        <v>141</v>
      </c>
      <c r="H235" s="242" t="str">
        <f>IFERROR(VLOOKUP(WTG_BD[[#This Row],[Affected WTG]],'Basic Data'!$A$3:$E$56,2,0),"")</f>
        <v>PWEGPL</v>
      </c>
      <c r="I235" s="242" t="str">
        <f>IFERROR(VLOOKUP(WTG_BD[[#This Row],[Affected WTG]],'Basic Data'!$A$3:$E$56,3,0),"")</f>
        <v>MSEDCL</v>
      </c>
      <c r="J235" s="243">
        <f>IFERROR(VLOOKUP(WTG_BD[[#This Row],[Affected WTG]],'Basic Data'!$A$3:$E$56,5,0),"")</f>
        <v>2.564102564102564E-2</v>
      </c>
      <c r="K235" s="158">
        <v>523</v>
      </c>
      <c r="L235" s="247" t="str">
        <f>VLOOKUP(K235,'Basic Data'!T:U,2,0)</f>
        <v>High Temperature Of Coolant In The Input Of The Cooling Circuit</v>
      </c>
      <c r="M235" s="135" t="s">
        <v>472</v>
      </c>
      <c r="N235" s="256">
        <v>0.69305555555555554</v>
      </c>
      <c r="O235" s="256">
        <v>0.69305555555555554</v>
      </c>
      <c r="P235" s="256">
        <v>0.7</v>
      </c>
      <c r="Q235" s="253">
        <f>IF(WTG_BD[[#This Row],[Work Start TimeStamp]]="","",(WTG_BD[[#This Row],[Work Start TimeStamp]]-WTG_BD[[#This Row],[Fault Start TimeStamp]])*24)</f>
        <v>0</v>
      </c>
      <c r="R235" s="253">
        <f>(WTG_BD[[#This Row],[Fault Clearance time]]-WTG_BD[[#This Row],[Work Start TimeStamp]])*24</f>
        <v>0.16666666666666607</v>
      </c>
      <c r="S235" s="253">
        <f>(WTG_BD[[#This Row],[Fault Clearance time]]-WTG_BD[[#This Row],[Fault Start TimeStamp]])*24</f>
        <v>0.16666666666666607</v>
      </c>
      <c r="T235" s="135" t="s">
        <v>476</v>
      </c>
      <c r="U235" s="244" t="s">
        <v>474</v>
      </c>
      <c r="V235" s="246">
        <f>WTG_BD[[#This Row],[Breakdown Time]]*(1/39)</f>
        <v>4.2735042735042583E-3</v>
      </c>
      <c r="W235" s="244" t="s">
        <v>143</v>
      </c>
      <c r="X235" s="250">
        <v>49.965277777777601</v>
      </c>
      <c r="Y235" s="135" t="s">
        <v>470</v>
      </c>
      <c r="Z235" s="135" t="s">
        <v>475</v>
      </c>
      <c r="AA235" s="135">
        <v>7195</v>
      </c>
      <c r="AB235" s="249">
        <f>(WTG_BD[[#This Row],[Paired WTG Generation for loss calculation.]]/24)*WTG_BD[[#This Row],[Breakdown Time]]</f>
        <v>49.965277777777601</v>
      </c>
      <c r="AC235" s="135"/>
      <c r="AD235" s="245"/>
      <c r="AE235" s="3"/>
    </row>
    <row r="236" spans="1:31">
      <c r="A236" s="241">
        <f t="shared" si="7"/>
        <v>235</v>
      </c>
      <c r="B236" s="255">
        <v>45754</v>
      </c>
      <c r="C236" s="252">
        <v>2025</v>
      </c>
      <c r="D236" s="252">
        <f>YEAR(WTG_BD[[#This Row],[Date]])</f>
        <v>2025</v>
      </c>
      <c r="E236" s="251">
        <f t="shared" si="8"/>
        <v>45748</v>
      </c>
      <c r="F236" s="252" t="s">
        <v>465</v>
      </c>
      <c r="G236" s="248" t="s">
        <v>141</v>
      </c>
      <c r="H236" s="242" t="str">
        <f>IFERROR(VLOOKUP(WTG_BD[[#This Row],[Affected WTG]],'Basic Data'!$A$3:$E$56,2,0),"")</f>
        <v>PWEGPL</v>
      </c>
      <c r="I236" s="242" t="str">
        <f>IFERROR(VLOOKUP(WTG_BD[[#This Row],[Affected WTG]],'Basic Data'!$A$3:$E$56,3,0),"")</f>
        <v>MSEDCL</v>
      </c>
      <c r="J236" s="243">
        <f>IFERROR(VLOOKUP(WTG_BD[[#This Row],[Affected WTG]],'Basic Data'!$A$3:$E$56,5,0),"")</f>
        <v>2.564102564102564E-2</v>
      </c>
      <c r="K236" s="158">
        <v>523</v>
      </c>
      <c r="L236" s="247" t="str">
        <f>VLOOKUP(K236,'Basic Data'!T:U,2,0)</f>
        <v>High Temperature Of Coolant In The Input Of The Cooling Circuit</v>
      </c>
      <c r="M236" s="135" t="s">
        <v>472</v>
      </c>
      <c r="N236" s="256">
        <v>0.82222222222222219</v>
      </c>
      <c r="O236" s="256">
        <v>0.82222222222222219</v>
      </c>
      <c r="P236" s="256">
        <v>0.8256944444444444</v>
      </c>
      <c r="Q236" s="253">
        <f>IF(WTG_BD[[#This Row],[Work Start TimeStamp]]="","",(WTG_BD[[#This Row],[Work Start TimeStamp]]-WTG_BD[[#This Row],[Fault Start TimeStamp]])*24)</f>
        <v>0</v>
      </c>
      <c r="R236" s="253">
        <f>(WTG_BD[[#This Row],[Fault Clearance time]]-WTG_BD[[#This Row],[Work Start TimeStamp]])*24</f>
        <v>8.3333333333333037E-2</v>
      </c>
      <c r="S236" s="253">
        <f>(WTG_BD[[#This Row],[Fault Clearance time]]-WTG_BD[[#This Row],[Fault Start TimeStamp]])*24</f>
        <v>8.3333333333333037E-2</v>
      </c>
      <c r="T236" s="135" t="s">
        <v>476</v>
      </c>
      <c r="U236" s="244" t="s">
        <v>474</v>
      </c>
      <c r="V236" s="246">
        <f>WTG_BD[[#This Row],[Breakdown Time]]*(1/39)</f>
        <v>2.1367521367521292E-3</v>
      </c>
      <c r="W236" s="244" t="s">
        <v>143</v>
      </c>
      <c r="X236" s="250">
        <v>24.9826388888888</v>
      </c>
      <c r="Y236" s="135" t="s">
        <v>470</v>
      </c>
      <c r="Z236" s="135" t="s">
        <v>475</v>
      </c>
      <c r="AA236" s="135">
        <v>7195</v>
      </c>
      <c r="AB236" s="249">
        <f>(WTG_BD[[#This Row],[Paired WTG Generation for loss calculation.]]/24)*WTG_BD[[#This Row],[Breakdown Time]]</f>
        <v>24.9826388888888</v>
      </c>
      <c r="AC236" s="135"/>
      <c r="AD236" s="245"/>
      <c r="AE236" s="3"/>
    </row>
    <row r="237" spans="1:31">
      <c r="A237" s="241">
        <f t="shared" si="7"/>
        <v>236</v>
      </c>
      <c r="B237" s="255">
        <v>45754</v>
      </c>
      <c r="C237" s="252">
        <v>2025</v>
      </c>
      <c r="D237" s="252">
        <f>YEAR(WTG_BD[[#This Row],[Date]])</f>
        <v>2025</v>
      </c>
      <c r="E237" s="251">
        <f t="shared" si="8"/>
        <v>45748</v>
      </c>
      <c r="F237" s="252" t="s">
        <v>465</v>
      </c>
      <c r="G237" s="248" t="s">
        <v>141</v>
      </c>
      <c r="H237" s="242" t="str">
        <f>IFERROR(VLOOKUP(WTG_BD[[#This Row],[Affected WTG]],'Basic Data'!$A$3:$E$56,2,0),"")</f>
        <v>PWEGPL</v>
      </c>
      <c r="I237" s="242" t="str">
        <f>IFERROR(VLOOKUP(WTG_BD[[#This Row],[Affected WTG]],'Basic Data'!$A$3:$E$56,3,0),"")</f>
        <v>MSEDCL</v>
      </c>
      <c r="J237" s="243">
        <f>IFERROR(VLOOKUP(WTG_BD[[#This Row],[Affected WTG]],'Basic Data'!$A$3:$E$56,5,0),"")</f>
        <v>2.564102564102564E-2</v>
      </c>
      <c r="K237" s="158">
        <v>523</v>
      </c>
      <c r="L237" s="247" t="str">
        <f>VLOOKUP(K237,'Basic Data'!T:U,2,0)</f>
        <v>High Temperature Of Coolant In The Input Of The Cooling Circuit</v>
      </c>
      <c r="M237" s="135" t="s">
        <v>472</v>
      </c>
      <c r="N237" s="256">
        <v>0.83819444444444446</v>
      </c>
      <c r="O237" s="256">
        <v>0.83819444444444446</v>
      </c>
      <c r="P237" s="256">
        <v>0.84166666666666667</v>
      </c>
      <c r="Q237" s="253">
        <f>IF(WTG_BD[[#This Row],[Work Start TimeStamp]]="","",(WTG_BD[[#This Row],[Work Start TimeStamp]]-WTG_BD[[#This Row],[Fault Start TimeStamp]])*24)</f>
        <v>0</v>
      </c>
      <c r="R237" s="253">
        <f>(WTG_BD[[#This Row],[Fault Clearance time]]-WTG_BD[[#This Row],[Work Start TimeStamp]])*24</f>
        <v>8.3333333333333037E-2</v>
      </c>
      <c r="S237" s="253">
        <f>(WTG_BD[[#This Row],[Fault Clearance time]]-WTG_BD[[#This Row],[Fault Start TimeStamp]])*24</f>
        <v>8.3333333333333037E-2</v>
      </c>
      <c r="T237" s="135" t="s">
        <v>476</v>
      </c>
      <c r="U237" s="244" t="s">
        <v>474</v>
      </c>
      <c r="V237" s="246">
        <f>WTG_BD[[#This Row],[Breakdown Time]]*(1/39)</f>
        <v>2.1367521367521292E-3</v>
      </c>
      <c r="W237" s="244" t="s">
        <v>143</v>
      </c>
      <c r="X237" s="250">
        <v>24.9826388888888</v>
      </c>
      <c r="Y237" s="135" t="s">
        <v>470</v>
      </c>
      <c r="Z237" s="135" t="s">
        <v>475</v>
      </c>
      <c r="AA237" s="135">
        <v>7195</v>
      </c>
      <c r="AB237" s="249">
        <f>(WTG_BD[[#This Row],[Paired WTG Generation for loss calculation.]]/24)*WTG_BD[[#This Row],[Breakdown Time]]</f>
        <v>24.9826388888888</v>
      </c>
      <c r="AC237" s="135"/>
      <c r="AD237" s="245"/>
      <c r="AE237" s="3"/>
    </row>
    <row r="238" spans="1:31">
      <c r="A238" s="241">
        <f t="shared" si="7"/>
        <v>237</v>
      </c>
      <c r="B238" s="255">
        <v>45754</v>
      </c>
      <c r="C238" s="252">
        <v>2025</v>
      </c>
      <c r="D238" s="252">
        <f>YEAR(WTG_BD[[#This Row],[Date]])</f>
        <v>2025</v>
      </c>
      <c r="E238" s="251">
        <f t="shared" si="8"/>
        <v>45748</v>
      </c>
      <c r="F238" s="252" t="s">
        <v>465</v>
      </c>
      <c r="G238" s="248" t="s">
        <v>146</v>
      </c>
      <c r="H238" s="242" t="str">
        <f>IFERROR(VLOOKUP(WTG_BD[[#This Row],[Affected WTG]],'Basic Data'!$A$3:$E$56,2,0),"")</f>
        <v>PWEGPL</v>
      </c>
      <c r="I238" s="242" t="str">
        <f>IFERROR(VLOOKUP(WTG_BD[[#This Row],[Affected WTG]],'Basic Data'!$A$3:$E$56,3,0),"")</f>
        <v>MSEDCL</v>
      </c>
      <c r="J238" s="243">
        <f>IFERROR(VLOOKUP(WTG_BD[[#This Row],[Affected WTG]],'Basic Data'!$A$3:$E$56,5,0),"")</f>
        <v>2.564102564102564E-2</v>
      </c>
      <c r="K238" s="158" t="s">
        <v>514</v>
      </c>
      <c r="L238" s="247" t="str">
        <f>VLOOKUP(K238,'Basic Data'!T:U,2,0)</f>
        <v>General Work Stoppage</v>
      </c>
      <c r="M238" s="135" t="s">
        <v>472</v>
      </c>
      <c r="N238" s="256">
        <v>0.50694444444444442</v>
      </c>
      <c r="O238" s="256">
        <v>0.50694444444444442</v>
      </c>
      <c r="P238" s="256">
        <v>0.71944444444444444</v>
      </c>
      <c r="Q238" s="253">
        <f>IF(WTG_BD[[#This Row],[Work Start TimeStamp]]="","",(WTG_BD[[#This Row],[Work Start TimeStamp]]-WTG_BD[[#This Row],[Fault Start TimeStamp]])*24)</f>
        <v>0</v>
      </c>
      <c r="R238" s="253">
        <f>(WTG_BD[[#This Row],[Fault Clearance time]]-WTG_BD[[#This Row],[Work Start TimeStamp]])*24</f>
        <v>5.1000000000000005</v>
      </c>
      <c r="S238" s="253">
        <f>(WTG_BD[[#This Row],[Fault Clearance time]]-WTG_BD[[#This Row],[Fault Start TimeStamp]])*24</f>
        <v>5.1000000000000005</v>
      </c>
      <c r="T238" s="135" t="s">
        <v>515</v>
      </c>
      <c r="U238" s="244" t="s">
        <v>474</v>
      </c>
      <c r="V238" s="246">
        <f>WTG_BD[[#This Row],[Breakdown Time]]*(1/39)</f>
        <v>0.13076923076923078</v>
      </c>
      <c r="W238" s="244" t="s">
        <v>147</v>
      </c>
      <c r="X238" s="250">
        <v>1307.5125</v>
      </c>
      <c r="Y238" s="135" t="s">
        <v>470</v>
      </c>
      <c r="Z238" s="135" t="s">
        <v>498</v>
      </c>
      <c r="AA238" s="135">
        <v>6153</v>
      </c>
      <c r="AB238" s="249">
        <f>(WTG_BD[[#This Row],[Paired WTG Generation for loss calculation.]]/24)*WTG_BD[[#This Row],[Breakdown Time]]</f>
        <v>1307.5125</v>
      </c>
      <c r="AC238" s="135"/>
      <c r="AD238" s="245"/>
      <c r="AE238" s="3"/>
    </row>
    <row r="239" spans="1:31">
      <c r="A239" s="241">
        <f t="shared" si="7"/>
        <v>238</v>
      </c>
      <c r="B239" s="255">
        <v>45754</v>
      </c>
      <c r="C239" s="252">
        <v>2025</v>
      </c>
      <c r="D239" s="252">
        <f>YEAR(WTG_BD[[#This Row],[Date]])</f>
        <v>2025</v>
      </c>
      <c r="E239" s="251">
        <f t="shared" si="8"/>
        <v>45748</v>
      </c>
      <c r="F239" s="252" t="s">
        <v>465</v>
      </c>
      <c r="G239" s="248" t="s">
        <v>151</v>
      </c>
      <c r="H239" s="242" t="str">
        <f>IFERROR(VLOOKUP(WTG_BD[[#This Row],[Affected WTG]],'Basic Data'!$A$3:$E$56,2,0),"")</f>
        <v>PWEGPL</v>
      </c>
      <c r="I239" s="242" t="str">
        <f>IFERROR(VLOOKUP(WTG_BD[[#This Row],[Affected WTG]],'Basic Data'!$A$3:$E$56,3,0),"")</f>
        <v>MSEDCL</v>
      </c>
      <c r="J239" s="243">
        <f>IFERROR(VLOOKUP(WTG_BD[[#This Row],[Affected WTG]],'Basic Data'!$A$3:$E$56,5,0),"")</f>
        <v>2.564102564102564E-2</v>
      </c>
      <c r="K239" s="158">
        <v>203</v>
      </c>
      <c r="L239" s="247" t="str">
        <f>VLOOKUP(K239,'Basic Data'!T:U,2,0)</f>
        <v>Low Pressure On Hydraulic Group</v>
      </c>
      <c r="M239" s="135" t="s">
        <v>472</v>
      </c>
      <c r="N239" s="256">
        <v>0.6</v>
      </c>
      <c r="O239" s="256">
        <v>0.6</v>
      </c>
      <c r="P239" s="256">
        <v>0.60347222222222219</v>
      </c>
      <c r="Q239" s="253">
        <f>IF(WTG_BD[[#This Row],[Work Start TimeStamp]]="","",(WTG_BD[[#This Row],[Work Start TimeStamp]]-WTG_BD[[#This Row],[Fault Start TimeStamp]])*24)</f>
        <v>0</v>
      </c>
      <c r="R239" s="253">
        <f>(WTG_BD[[#This Row],[Fault Clearance time]]-WTG_BD[[#This Row],[Work Start TimeStamp]])*24</f>
        <v>8.3333333333333037E-2</v>
      </c>
      <c r="S239" s="253">
        <f>(WTG_BD[[#This Row],[Fault Clearance time]]-WTG_BD[[#This Row],[Fault Start TimeStamp]])*24</f>
        <v>8.3333333333333037E-2</v>
      </c>
      <c r="T239" s="135" t="s">
        <v>476</v>
      </c>
      <c r="U239" s="244" t="s">
        <v>474</v>
      </c>
      <c r="V239" s="246">
        <f>WTG_BD[[#This Row],[Breakdown Time]]*(1/39)</f>
        <v>2.1367521367521292E-3</v>
      </c>
      <c r="W239" s="244" t="s">
        <v>153</v>
      </c>
      <c r="X239" s="250">
        <v>23.687499999999915</v>
      </c>
      <c r="Y239" s="135" t="s">
        <v>470</v>
      </c>
      <c r="Z239" s="135" t="s">
        <v>475</v>
      </c>
      <c r="AA239" s="135">
        <v>6822</v>
      </c>
      <c r="AB239" s="249">
        <f>(WTG_BD[[#This Row],[Paired WTG Generation for loss calculation.]]/24)*WTG_BD[[#This Row],[Breakdown Time]]</f>
        <v>23.687499999999915</v>
      </c>
      <c r="AC239" s="135"/>
      <c r="AD239" s="245"/>
      <c r="AE239" s="3"/>
    </row>
    <row r="240" spans="1:31">
      <c r="A240" s="241">
        <f t="shared" si="7"/>
        <v>239</v>
      </c>
      <c r="B240" s="255">
        <v>45755</v>
      </c>
      <c r="C240" s="252">
        <v>2025</v>
      </c>
      <c r="D240" s="252">
        <f>YEAR(WTG_BD[[#This Row],[Date]])</f>
        <v>2025</v>
      </c>
      <c r="E240" s="251">
        <f t="shared" si="8"/>
        <v>45748</v>
      </c>
      <c r="F240" s="252" t="s">
        <v>465</v>
      </c>
      <c r="G240" s="248" t="s">
        <v>144</v>
      </c>
      <c r="H240" s="242" t="str">
        <f>IFERROR(VLOOKUP(WTG_BD[[#This Row],[Affected WTG]],'Basic Data'!$A$3:$E$56,2,0),"")</f>
        <v>PWEGPL</v>
      </c>
      <c r="I240" s="242" t="str">
        <f>IFERROR(VLOOKUP(WTG_BD[[#This Row],[Affected WTG]],'Basic Data'!$A$3:$E$56,3,0),"")</f>
        <v>MSEDCL</v>
      </c>
      <c r="J240" s="243">
        <f>IFERROR(VLOOKUP(WTG_BD[[#This Row],[Affected WTG]],'Basic Data'!$A$3:$E$56,5,0),"")</f>
        <v>2.564102564102564E-2</v>
      </c>
      <c r="K240" s="158" t="s">
        <v>466</v>
      </c>
      <c r="L240" s="247" t="str">
        <f>VLOOKUP(K240,'Basic Data'!T:U,2,0)</f>
        <v>Manual Stop - Safety Related</v>
      </c>
      <c r="M240" s="135" t="s">
        <v>467</v>
      </c>
      <c r="N240" s="256">
        <v>0</v>
      </c>
      <c r="O240" s="256">
        <v>0.99930555555555556</v>
      </c>
      <c r="P240" s="256">
        <v>0.99930555555555556</v>
      </c>
      <c r="Q240" s="253">
        <f>IF(WTG_BD[[#This Row],[Work Start TimeStamp]]="","",(WTG_BD[[#This Row],[Work Start TimeStamp]]-WTG_BD[[#This Row],[Fault Start TimeStamp]])*24)</f>
        <v>23.983333333333334</v>
      </c>
      <c r="R240" s="253">
        <f>(WTG_BD[[#This Row],[Fault Clearance time]]-WTG_BD[[#This Row],[Work Start TimeStamp]])*24</f>
        <v>0</v>
      </c>
      <c r="S240" s="253">
        <f>(WTG_BD[[#This Row],[Fault Clearance time]]-WTG_BD[[#This Row],[Fault Start TimeStamp]])*24</f>
        <v>23.983333333333334</v>
      </c>
      <c r="T240" s="135" t="s">
        <v>468</v>
      </c>
      <c r="U240" s="244" t="s">
        <v>469</v>
      </c>
      <c r="V240" s="246">
        <f>WTG_BD[[#This Row],[Breakdown Time]]*(1/39)</f>
        <v>0.61495726495726499</v>
      </c>
      <c r="W240" s="244" t="s">
        <v>141</v>
      </c>
      <c r="X240" s="250">
        <v>3907.2847222222222</v>
      </c>
      <c r="Y240" s="135" t="s">
        <v>470</v>
      </c>
      <c r="Z240" s="135" t="s">
        <v>471</v>
      </c>
      <c r="AA240" s="135">
        <v>3910</v>
      </c>
      <c r="AB240" s="249">
        <f>(WTG_BD[[#This Row],[Paired WTG Generation for loss calculation.]]/24)*WTG_BD[[#This Row],[Breakdown Time]]</f>
        <v>3907.2847222222222</v>
      </c>
      <c r="AC240" s="135"/>
      <c r="AD240" s="245"/>
      <c r="AE240" s="3"/>
    </row>
    <row r="241" spans="1:31">
      <c r="A241" s="241">
        <f t="shared" si="7"/>
        <v>240</v>
      </c>
      <c r="B241" s="255">
        <v>45755</v>
      </c>
      <c r="C241" s="252">
        <v>2025</v>
      </c>
      <c r="D241" s="252">
        <f>YEAR(WTG_BD[[#This Row],[Date]])</f>
        <v>2025</v>
      </c>
      <c r="E241" s="251">
        <f t="shared" si="8"/>
        <v>45748</v>
      </c>
      <c r="F241" s="252" t="s">
        <v>465</v>
      </c>
      <c r="G241" s="248" t="s">
        <v>142</v>
      </c>
      <c r="H241" s="242" t="str">
        <f>IFERROR(VLOOKUP(WTG_BD[[#This Row],[Affected WTG]],'Basic Data'!$A$3:$E$56,2,0),"")</f>
        <v>PWEGPL</v>
      </c>
      <c r="I241" s="242" t="str">
        <f>IFERROR(VLOOKUP(WTG_BD[[#This Row],[Affected WTG]],'Basic Data'!$A$3:$E$56,3,0),"")</f>
        <v>MSEDCL</v>
      </c>
      <c r="J241" s="243">
        <f>IFERROR(VLOOKUP(WTG_BD[[#This Row],[Affected WTG]],'Basic Data'!$A$3:$E$56,5,0),"")</f>
        <v>2.564102564102564E-2</v>
      </c>
      <c r="K241" s="158" t="s">
        <v>466</v>
      </c>
      <c r="L241" s="247" t="str">
        <f>VLOOKUP(K241,'Basic Data'!T:U,2,0)</f>
        <v>Manual Stop - Safety Related</v>
      </c>
      <c r="M241" s="135" t="s">
        <v>467</v>
      </c>
      <c r="N241" s="256">
        <v>0</v>
      </c>
      <c r="O241" s="256">
        <v>0.99930555555555556</v>
      </c>
      <c r="P241" s="256">
        <v>0.99930555555555556</v>
      </c>
      <c r="Q241" s="253">
        <f>IF(WTG_BD[[#This Row],[Work Start TimeStamp]]="","",(WTG_BD[[#This Row],[Work Start TimeStamp]]-WTG_BD[[#This Row],[Fault Start TimeStamp]])*24)</f>
        <v>23.983333333333334</v>
      </c>
      <c r="R241" s="253">
        <f>(WTG_BD[[#This Row],[Fault Clearance time]]-WTG_BD[[#This Row],[Work Start TimeStamp]])*24</f>
        <v>0</v>
      </c>
      <c r="S241" s="253">
        <f>(WTG_BD[[#This Row],[Fault Clearance time]]-WTG_BD[[#This Row],[Fault Start TimeStamp]])*24</f>
        <v>23.983333333333334</v>
      </c>
      <c r="T241" s="135" t="s">
        <v>468</v>
      </c>
      <c r="U241" s="244" t="s">
        <v>469</v>
      </c>
      <c r="V241" s="246">
        <f>WTG_BD[[#This Row],[Breakdown Time]]*(1/39)</f>
        <v>0.61495726495726499</v>
      </c>
      <c r="W241" s="244" t="s">
        <v>141</v>
      </c>
      <c r="X241" s="250">
        <v>3907.2847222222222</v>
      </c>
      <c r="Y241" s="135" t="s">
        <v>470</v>
      </c>
      <c r="Z241" s="135" t="s">
        <v>471</v>
      </c>
      <c r="AA241" s="135">
        <v>3910</v>
      </c>
      <c r="AB241" s="249">
        <f>(WTG_BD[[#This Row],[Paired WTG Generation for loss calculation.]]/24)*WTG_BD[[#This Row],[Breakdown Time]]</f>
        <v>3907.2847222222222</v>
      </c>
      <c r="AC241" s="135"/>
      <c r="AD241" s="245"/>
      <c r="AE241" s="3"/>
    </row>
    <row r="242" spans="1:31">
      <c r="A242" s="241">
        <f t="shared" si="7"/>
        <v>241</v>
      </c>
      <c r="B242" s="255">
        <v>45755</v>
      </c>
      <c r="C242" s="252">
        <v>2025</v>
      </c>
      <c r="D242" s="252">
        <f>YEAR(WTG_BD[[#This Row],[Date]])</f>
        <v>2025</v>
      </c>
      <c r="E242" s="251">
        <f t="shared" si="8"/>
        <v>45748</v>
      </c>
      <c r="F242" s="252" t="s">
        <v>465</v>
      </c>
      <c r="G242" s="248" t="s">
        <v>115</v>
      </c>
      <c r="H242" s="242" t="str">
        <f>IFERROR(VLOOKUP(WTG_BD[[#This Row],[Affected WTG]],'Basic Data'!$A$3:$E$56,2,0),"")</f>
        <v>PWEGPL</v>
      </c>
      <c r="I242" s="242" t="str">
        <f>IFERROR(VLOOKUP(WTG_BD[[#This Row],[Affected WTG]],'Basic Data'!$A$3:$E$56,3,0),"")</f>
        <v>MSEDCL</v>
      </c>
      <c r="J242" s="243">
        <f>IFERROR(VLOOKUP(WTG_BD[[#This Row],[Affected WTG]],'Basic Data'!$A$3:$E$56,5,0),"")</f>
        <v>2.564102564102564E-2</v>
      </c>
      <c r="K242" s="158">
        <v>203</v>
      </c>
      <c r="L242" s="247" t="str">
        <f>VLOOKUP(K242,'Basic Data'!T:U,2,0)</f>
        <v>Low Pressure On Hydraulic Group</v>
      </c>
      <c r="M242" s="135" t="s">
        <v>472</v>
      </c>
      <c r="N242" s="256">
        <v>0.54097222222222219</v>
      </c>
      <c r="O242" s="256">
        <v>0.54097222222222219</v>
      </c>
      <c r="P242" s="256">
        <v>0.5444444444444444</v>
      </c>
      <c r="Q242" s="253">
        <f>IF(WTG_BD[[#This Row],[Work Start TimeStamp]]="","",(WTG_BD[[#This Row],[Work Start TimeStamp]]-WTG_BD[[#This Row],[Fault Start TimeStamp]])*24)</f>
        <v>0</v>
      </c>
      <c r="R242" s="253">
        <f>(WTG_BD[[#This Row],[Fault Clearance time]]-WTG_BD[[#This Row],[Work Start TimeStamp]])*24</f>
        <v>8.3333333333333037E-2</v>
      </c>
      <c r="S242" s="253">
        <f>(WTG_BD[[#This Row],[Fault Clearance time]]-WTG_BD[[#This Row],[Fault Start TimeStamp]])*24</f>
        <v>8.3333333333333037E-2</v>
      </c>
      <c r="T242" s="135" t="s">
        <v>476</v>
      </c>
      <c r="U242" s="244" t="s">
        <v>474</v>
      </c>
      <c r="V242" s="246">
        <f>WTG_BD[[#This Row],[Breakdown Time]]*(1/39)</f>
        <v>2.1367521367521292E-3</v>
      </c>
      <c r="W242" s="244" t="s">
        <v>121</v>
      </c>
      <c r="X242" s="250">
        <v>14.374999999999948</v>
      </c>
      <c r="Y242" s="135" t="s">
        <v>470</v>
      </c>
      <c r="Z242" s="135" t="s">
        <v>475</v>
      </c>
      <c r="AA242" s="135">
        <v>4140</v>
      </c>
      <c r="AB242" s="249">
        <f>(WTG_BD[[#This Row],[Paired WTG Generation for loss calculation.]]/24)*WTG_BD[[#This Row],[Breakdown Time]]</f>
        <v>14.374999999999948</v>
      </c>
      <c r="AC242" s="135"/>
      <c r="AD242" s="245"/>
      <c r="AE242" s="3"/>
    </row>
    <row r="243" spans="1:31">
      <c r="A243" s="241">
        <f t="shared" si="7"/>
        <v>242</v>
      </c>
      <c r="B243" s="255">
        <v>45755</v>
      </c>
      <c r="C243" s="252">
        <v>2025</v>
      </c>
      <c r="D243" s="252">
        <f>YEAR(WTG_BD[[#This Row],[Date]])</f>
        <v>2025</v>
      </c>
      <c r="E243" s="251">
        <f t="shared" si="8"/>
        <v>45748</v>
      </c>
      <c r="F243" s="252" t="s">
        <v>465</v>
      </c>
      <c r="G243" s="248" t="s">
        <v>117</v>
      </c>
      <c r="H243" s="242" t="str">
        <f>IFERROR(VLOOKUP(WTG_BD[[#This Row],[Affected WTG]],'Basic Data'!$A$3:$E$56,2,0),"")</f>
        <v>PWEGPL</v>
      </c>
      <c r="I243" s="242" t="str">
        <f>IFERROR(VLOOKUP(WTG_BD[[#This Row],[Affected WTG]],'Basic Data'!$A$3:$E$56,3,0),"")</f>
        <v>MSEDCL</v>
      </c>
      <c r="J243" s="243">
        <f>IFERROR(VLOOKUP(WTG_BD[[#This Row],[Affected WTG]],'Basic Data'!$A$3:$E$56,5,0),"")</f>
        <v>2.564102564102564E-2</v>
      </c>
      <c r="K243" s="158">
        <v>426</v>
      </c>
      <c r="L243" s="247" t="str">
        <f>VLOOKUP(K243,'Basic Data'!T:U,2,0)</f>
        <v>Rotor Speed Reading Failure</v>
      </c>
      <c r="M243" s="135" t="s">
        <v>472</v>
      </c>
      <c r="N243" s="256">
        <v>0.18958333333333333</v>
      </c>
      <c r="O243" s="256">
        <v>0.18958333333333333</v>
      </c>
      <c r="P243" s="256">
        <v>0.19305555555555556</v>
      </c>
      <c r="Q243" s="253">
        <f>IF(WTG_BD[[#This Row],[Work Start TimeStamp]]="","",(WTG_BD[[#This Row],[Work Start TimeStamp]]-WTG_BD[[#This Row],[Fault Start TimeStamp]])*24)</f>
        <v>0</v>
      </c>
      <c r="R243" s="253">
        <f>(WTG_BD[[#This Row],[Fault Clearance time]]-WTG_BD[[#This Row],[Work Start TimeStamp]])*24</f>
        <v>8.3333333333333703E-2</v>
      </c>
      <c r="S243" s="253">
        <f>(WTG_BD[[#This Row],[Fault Clearance time]]-WTG_BD[[#This Row],[Fault Start TimeStamp]])*24</f>
        <v>8.3333333333333703E-2</v>
      </c>
      <c r="T243" s="135" t="s">
        <v>476</v>
      </c>
      <c r="U243" s="244" t="s">
        <v>474</v>
      </c>
      <c r="V243" s="246">
        <f>WTG_BD[[#This Row],[Breakdown Time]]*(1/39)</f>
        <v>2.1367521367521461E-3</v>
      </c>
      <c r="W243" s="244" t="s">
        <v>118</v>
      </c>
      <c r="X243" s="250">
        <v>8.4027777777778141</v>
      </c>
      <c r="Y243" s="135" t="s">
        <v>470</v>
      </c>
      <c r="Z243" s="135" t="s">
        <v>475</v>
      </c>
      <c r="AA243" s="135">
        <v>2420</v>
      </c>
      <c r="AB243" s="249">
        <f>(WTG_BD[[#This Row],[Paired WTG Generation for loss calculation.]]/24)*WTG_BD[[#This Row],[Breakdown Time]]</f>
        <v>8.4027777777778141</v>
      </c>
      <c r="AC243" s="135"/>
      <c r="AD243" s="245"/>
      <c r="AE243" s="3"/>
    </row>
    <row r="244" spans="1:31">
      <c r="A244" s="241">
        <f t="shared" si="7"/>
        <v>243</v>
      </c>
      <c r="B244" s="255">
        <v>45755</v>
      </c>
      <c r="C244" s="252">
        <v>2025</v>
      </c>
      <c r="D244" s="252">
        <f>YEAR(WTG_BD[[#This Row],[Date]])</f>
        <v>2025</v>
      </c>
      <c r="E244" s="251">
        <f t="shared" si="8"/>
        <v>45748</v>
      </c>
      <c r="F244" s="252" t="s">
        <v>465</v>
      </c>
      <c r="G244" s="248" t="s">
        <v>118</v>
      </c>
      <c r="H244" s="242" t="str">
        <f>IFERROR(VLOOKUP(WTG_BD[[#This Row],[Affected WTG]],'Basic Data'!$A$3:$E$56,2,0),"")</f>
        <v>PWEGPL</v>
      </c>
      <c r="I244" s="242" t="str">
        <f>IFERROR(VLOOKUP(WTG_BD[[#This Row],[Affected WTG]],'Basic Data'!$A$3:$E$56,3,0),"")</f>
        <v>MSEDCL</v>
      </c>
      <c r="J244" s="243">
        <f>IFERROR(VLOOKUP(WTG_BD[[#This Row],[Affected WTG]],'Basic Data'!$A$3:$E$56,5,0),"")</f>
        <v>2.564102564102564E-2</v>
      </c>
      <c r="K244" s="158">
        <v>5200</v>
      </c>
      <c r="L244" s="247" t="str">
        <f>VLOOKUP(K244,'Basic Data'!T:U,2,0)</f>
        <v>Magnetothermic Trigger Of The Line Protection</v>
      </c>
      <c r="M244" s="135" t="s">
        <v>472</v>
      </c>
      <c r="N244" s="256">
        <v>0.5708333333333333</v>
      </c>
      <c r="O244" s="256">
        <v>0.5708333333333333</v>
      </c>
      <c r="P244" s="256">
        <v>0.57430555555555551</v>
      </c>
      <c r="Q244" s="253">
        <f>IF(WTG_BD[[#This Row],[Work Start TimeStamp]]="","",(WTG_BD[[#This Row],[Work Start TimeStamp]]-WTG_BD[[#This Row],[Fault Start TimeStamp]])*24)</f>
        <v>0</v>
      </c>
      <c r="R244" s="253">
        <f>(WTG_BD[[#This Row],[Fault Clearance time]]-WTG_BD[[#This Row],[Work Start TimeStamp]])*24</f>
        <v>8.3333333333333037E-2</v>
      </c>
      <c r="S244" s="253">
        <f>(WTG_BD[[#This Row],[Fault Clearance time]]-WTG_BD[[#This Row],[Fault Start TimeStamp]])*24</f>
        <v>8.3333333333333037E-2</v>
      </c>
      <c r="T244" s="135" t="s">
        <v>476</v>
      </c>
      <c r="U244" s="244" t="s">
        <v>474</v>
      </c>
      <c r="V244" s="246">
        <f>WTG_BD[[#This Row],[Breakdown Time]]*(1/39)</f>
        <v>2.1367521367521292E-3</v>
      </c>
      <c r="W244" s="244" t="s">
        <v>117</v>
      </c>
      <c r="X244" s="250">
        <v>13.840277777777729</v>
      </c>
      <c r="Y244" s="135" t="s">
        <v>470</v>
      </c>
      <c r="Z244" s="135" t="s">
        <v>475</v>
      </c>
      <c r="AA244" s="135">
        <v>3986</v>
      </c>
      <c r="AB244" s="249">
        <f>(WTG_BD[[#This Row],[Paired WTG Generation for loss calculation.]]/24)*WTG_BD[[#This Row],[Breakdown Time]]</f>
        <v>13.840277777777729</v>
      </c>
      <c r="AC244" s="135"/>
      <c r="AD244" s="245"/>
      <c r="AE244" s="3"/>
    </row>
    <row r="245" spans="1:31">
      <c r="A245" s="241">
        <f t="shared" si="7"/>
        <v>244</v>
      </c>
      <c r="B245" s="255">
        <v>45755</v>
      </c>
      <c r="C245" s="252">
        <v>2025</v>
      </c>
      <c r="D245" s="252">
        <f>YEAR(WTG_BD[[#This Row],[Date]])</f>
        <v>2025</v>
      </c>
      <c r="E245" s="251">
        <f t="shared" si="8"/>
        <v>45748</v>
      </c>
      <c r="F245" s="252" t="s">
        <v>465</v>
      </c>
      <c r="G245" s="248" t="s">
        <v>118</v>
      </c>
      <c r="H245" s="242" t="str">
        <f>IFERROR(VLOOKUP(WTG_BD[[#This Row],[Affected WTG]],'Basic Data'!$A$3:$E$56,2,0),"")</f>
        <v>PWEGPL</v>
      </c>
      <c r="I245" s="242" t="str">
        <f>IFERROR(VLOOKUP(WTG_BD[[#This Row],[Affected WTG]],'Basic Data'!$A$3:$E$56,3,0),"")</f>
        <v>MSEDCL</v>
      </c>
      <c r="J245" s="243">
        <f>IFERROR(VLOOKUP(WTG_BD[[#This Row],[Affected WTG]],'Basic Data'!$A$3:$E$56,5,0),"")</f>
        <v>2.564102564102564E-2</v>
      </c>
      <c r="K245" s="158">
        <v>523</v>
      </c>
      <c r="L245" s="247" t="str">
        <f>VLOOKUP(K245,'Basic Data'!T:U,2,0)</f>
        <v>High Temperature Of Coolant In The Input Of The Cooling Circuit</v>
      </c>
      <c r="M245" s="135" t="s">
        <v>472</v>
      </c>
      <c r="N245" s="256">
        <v>0.58263888888888893</v>
      </c>
      <c r="O245" s="256">
        <v>0.58263888888888893</v>
      </c>
      <c r="P245" s="256">
        <v>0.58611111111111114</v>
      </c>
      <c r="Q245" s="253">
        <f>IF(WTG_BD[[#This Row],[Work Start TimeStamp]]="","",(WTG_BD[[#This Row],[Work Start TimeStamp]]-WTG_BD[[#This Row],[Fault Start TimeStamp]])*24)</f>
        <v>0</v>
      </c>
      <c r="R245" s="253">
        <f>(WTG_BD[[#This Row],[Fault Clearance time]]-WTG_BD[[#This Row],[Work Start TimeStamp]])*24</f>
        <v>8.3333333333333037E-2</v>
      </c>
      <c r="S245" s="253">
        <f>(WTG_BD[[#This Row],[Fault Clearance time]]-WTG_BD[[#This Row],[Fault Start TimeStamp]])*24</f>
        <v>8.3333333333333037E-2</v>
      </c>
      <c r="T245" s="135" t="s">
        <v>476</v>
      </c>
      <c r="U245" s="244" t="s">
        <v>474</v>
      </c>
      <c r="V245" s="246">
        <f>WTG_BD[[#This Row],[Breakdown Time]]*(1/39)</f>
        <v>2.1367521367521292E-3</v>
      </c>
      <c r="W245" s="244" t="s">
        <v>117</v>
      </c>
      <c r="X245" s="250">
        <v>13.840277777777729</v>
      </c>
      <c r="Y245" s="135" t="s">
        <v>470</v>
      </c>
      <c r="Z245" s="135" t="s">
        <v>475</v>
      </c>
      <c r="AA245" s="135">
        <v>3986</v>
      </c>
      <c r="AB245" s="249">
        <f>(WTG_BD[[#This Row],[Paired WTG Generation for loss calculation.]]/24)*WTG_BD[[#This Row],[Breakdown Time]]</f>
        <v>13.840277777777729</v>
      </c>
      <c r="AC245" s="135"/>
      <c r="AD245" s="245"/>
      <c r="AE245" s="3"/>
    </row>
    <row r="246" spans="1:31">
      <c r="A246" s="241">
        <f t="shared" si="7"/>
        <v>245</v>
      </c>
      <c r="B246" s="255">
        <v>45755</v>
      </c>
      <c r="C246" s="252">
        <v>2025</v>
      </c>
      <c r="D246" s="252">
        <f>YEAR(WTG_BD[[#This Row],[Date]])</f>
        <v>2025</v>
      </c>
      <c r="E246" s="251">
        <f t="shared" si="8"/>
        <v>45748</v>
      </c>
      <c r="F246" s="252" t="s">
        <v>465</v>
      </c>
      <c r="G246" s="248" t="s">
        <v>118</v>
      </c>
      <c r="H246" s="242" t="str">
        <f>IFERROR(VLOOKUP(WTG_BD[[#This Row],[Affected WTG]],'Basic Data'!$A$3:$E$56,2,0),"")</f>
        <v>PWEGPL</v>
      </c>
      <c r="I246" s="242" t="str">
        <f>IFERROR(VLOOKUP(WTG_BD[[#This Row],[Affected WTG]],'Basic Data'!$A$3:$E$56,3,0),"")</f>
        <v>MSEDCL</v>
      </c>
      <c r="J246" s="243">
        <f>IFERROR(VLOOKUP(WTG_BD[[#This Row],[Affected WTG]],'Basic Data'!$A$3:$E$56,5,0),"")</f>
        <v>2.564102564102564E-2</v>
      </c>
      <c r="K246" s="158">
        <v>5200</v>
      </c>
      <c r="L246" s="247" t="str">
        <f>VLOOKUP(K246,'Basic Data'!T:U,2,0)</f>
        <v>Magnetothermic Trigger Of The Line Protection</v>
      </c>
      <c r="M246" s="135" t="s">
        <v>472</v>
      </c>
      <c r="N246" s="256">
        <v>0.9506944444444444</v>
      </c>
      <c r="O246" s="256">
        <v>0.99930555555555556</v>
      </c>
      <c r="P246" s="256">
        <v>0.99930555555555556</v>
      </c>
      <c r="Q246" s="253">
        <f>IF(WTG_BD[[#This Row],[Work Start TimeStamp]]="","",(WTG_BD[[#This Row],[Work Start TimeStamp]]-WTG_BD[[#This Row],[Fault Start TimeStamp]])*24)</f>
        <v>1.1666666666666679</v>
      </c>
      <c r="R246" s="253">
        <f>(WTG_BD[[#This Row],[Fault Clearance time]]-WTG_BD[[#This Row],[Work Start TimeStamp]])*24</f>
        <v>0</v>
      </c>
      <c r="S246" s="253">
        <f>(WTG_BD[[#This Row],[Fault Clearance time]]-WTG_BD[[#This Row],[Fault Start TimeStamp]])*24</f>
        <v>1.1666666666666679</v>
      </c>
      <c r="T246" s="135" t="s">
        <v>486</v>
      </c>
      <c r="U246" s="244" t="s">
        <v>469</v>
      </c>
      <c r="V246" s="246">
        <f>WTG_BD[[#This Row],[Breakdown Time]]*(1/39)</f>
        <v>2.9914529914529944E-2</v>
      </c>
      <c r="W246" s="244" t="s">
        <v>117</v>
      </c>
      <c r="X246" s="250">
        <v>193.76388888888908</v>
      </c>
      <c r="Y246" s="135" t="s">
        <v>470</v>
      </c>
      <c r="Z246" s="135" t="s">
        <v>475</v>
      </c>
      <c r="AA246" s="135">
        <v>3986</v>
      </c>
      <c r="AB246" s="249">
        <f>(WTG_BD[[#This Row],[Paired WTG Generation for loss calculation.]]/24)*WTG_BD[[#This Row],[Breakdown Time]]</f>
        <v>193.76388888888908</v>
      </c>
      <c r="AC246" s="135"/>
      <c r="AD246" s="245"/>
      <c r="AE246" s="3"/>
    </row>
    <row r="247" spans="1:31">
      <c r="A247" s="241">
        <f t="shared" si="7"/>
        <v>246</v>
      </c>
      <c r="B247" s="255">
        <v>45755</v>
      </c>
      <c r="C247" s="252">
        <v>2025</v>
      </c>
      <c r="D247" s="252">
        <f>YEAR(WTG_BD[[#This Row],[Date]])</f>
        <v>2025</v>
      </c>
      <c r="E247" s="251">
        <f t="shared" si="8"/>
        <v>45748</v>
      </c>
      <c r="F247" s="252" t="s">
        <v>465</v>
      </c>
      <c r="G247" s="248" t="s">
        <v>123</v>
      </c>
      <c r="H247" s="242" t="str">
        <f>IFERROR(VLOOKUP(WTG_BD[[#This Row],[Affected WTG]],'Basic Data'!$A$3:$E$56,2,0),"")</f>
        <v>PWEGPL</v>
      </c>
      <c r="I247" s="242" t="str">
        <f>IFERROR(VLOOKUP(WTG_BD[[#This Row],[Affected WTG]],'Basic Data'!$A$3:$E$56,3,0),"")</f>
        <v>MSEDCL</v>
      </c>
      <c r="J247" s="243">
        <f>IFERROR(VLOOKUP(WTG_BD[[#This Row],[Affected WTG]],'Basic Data'!$A$3:$E$56,5,0),"")</f>
        <v>2.564102564102564E-2</v>
      </c>
      <c r="K247" s="158">
        <v>5203</v>
      </c>
      <c r="L247" s="247" t="str">
        <f>VLOOKUP(K247,'Basic Data'!T:U,2,0)</f>
        <v>Heating/Coolant Thermal Magnetic Failure</v>
      </c>
      <c r="M247" s="135" t="s">
        <v>472</v>
      </c>
      <c r="N247" s="256">
        <v>0.80486111111111114</v>
      </c>
      <c r="O247" s="256">
        <v>0.96458333333333335</v>
      </c>
      <c r="P247" s="256">
        <v>0.99930555555555556</v>
      </c>
      <c r="Q247" s="253">
        <f>IF(WTG_BD[[#This Row],[Work Start TimeStamp]]="","",(WTG_BD[[#This Row],[Work Start TimeStamp]]-WTG_BD[[#This Row],[Fault Start TimeStamp]])*24)</f>
        <v>3.833333333333333</v>
      </c>
      <c r="R247" s="253">
        <f>(WTG_BD[[#This Row],[Fault Clearance time]]-WTG_BD[[#This Row],[Work Start TimeStamp]])*24</f>
        <v>0.83333333333333304</v>
      </c>
      <c r="S247" s="253">
        <f>(WTG_BD[[#This Row],[Fault Clearance time]]-WTG_BD[[#This Row],[Fault Start TimeStamp]])*24</f>
        <v>4.6666666666666661</v>
      </c>
      <c r="T247" s="135" t="s">
        <v>486</v>
      </c>
      <c r="U247" s="244" t="s">
        <v>469</v>
      </c>
      <c r="V247" s="246">
        <f>WTG_BD[[#This Row],[Breakdown Time]]*(1/39)</f>
        <v>0.11965811965811964</v>
      </c>
      <c r="W247" s="244" t="s">
        <v>126</v>
      </c>
      <c r="X247" s="250">
        <v>838.05555555555554</v>
      </c>
      <c r="Y247" s="135" t="s">
        <v>470</v>
      </c>
      <c r="Z247" s="135" t="s">
        <v>475</v>
      </c>
      <c r="AA247" s="135">
        <v>4310</v>
      </c>
      <c r="AB247" s="249">
        <f>(WTG_BD[[#This Row],[Paired WTG Generation for loss calculation.]]/24)*WTG_BD[[#This Row],[Breakdown Time]]</f>
        <v>838.05555555555554</v>
      </c>
      <c r="AC247" s="135"/>
      <c r="AD247" s="245"/>
      <c r="AE247" s="3"/>
    </row>
    <row r="248" spans="1:31">
      <c r="A248" s="241">
        <f t="shared" si="7"/>
        <v>247</v>
      </c>
      <c r="B248" s="255">
        <v>45755</v>
      </c>
      <c r="C248" s="252">
        <v>2025</v>
      </c>
      <c r="D248" s="252">
        <f>YEAR(WTG_BD[[#This Row],[Date]])</f>
        <v>2025</v>
      </c>
      <c r="E248" s="251">
        <f t="shared" si="8"/>
        <v>45748</v>
      </c>
      <c r="F248" s="252" t="s">
        <v>465</v>
      </c>
      <c r="G248" s="248" t="s">
        <v>124</v>
      </c>
      <c r="H248" s="242" t="str">
        <f>IFERROR(VLOOKUP(WTG_BD[[#This Row],[Affected WTG]],'Basic Data'!$A$3:$E$56,2,0),"")</f>
        <v>PWEGPL</v>
      </c>
      <c r="I248" s="242" t="str">
        <f>IFERROR(VLOOKUP(WTG_BD[[#This Row],[Affected WTG]],'Basic Data'!$A$3:$E$56,3,0),"")</f>
        <v>MSEDCL</v>
      </c>
      <c r="J248" s="243">
        <f>IFERROR(VLOOKUP(WTG_BD[[#This Row],[Affected WTG]],'Basic Data'!$A$3:$E$56,5,0),"")</f>
        <v>2.564102564102564E-2</v>
      </c>
      <c r="K248" s="158">
        <v>527</v>
      </c>
      <c r="L248" s="247" t="str">
        <f>VLOOKUP(K248,'Basic Data'!T:U,2,0)</f>
        <v>High Temperature Of Upper Radiator</v>
      </c>
      <c r="M248" s="135" t="s">
        <v>472</v>
      </c>
      <c r="N248" s="256">
        <v>0.98958333333333337</v>
      </c>
      <c r="O248" s="256">
        <v>0.98958333333333337</v>
      </c>
      <c r="P248" s="256">
        <v>0.99305555555555558</v>
      </c>
      <c r="Q248" s="253">
        <f>IF(WTG_BD[[#This Row],[Work Start TimeStamp]]="","",(WTG_BD[[#This Row],[Work Start TimeStamp]]-WTG_BD[[#This Row],[Fault Start TimeStamp]])*24)</f>
        <v>0</v>
      </c>
      <c r="R248" s="253">
        <f>(WTG_BD[[#This Row],[Fault Clearance time]]-WTG_BD[[#This Row],[Work Start TimeStamp]])*24</f>
        <v>8.3333333333333037E-2</v>
      </c>
      <c r="S248" s="253">
        <f>(WTG_BD[[#This Row],[Fault Clearance time]]-WTG_BD[[#This Row],[Fault Start TimeStamp]])*24</f>
        <v>8.3333333333333037E-2</v>
      </c>
      <c r="T248" s="135" t="s">
        <v>476</v>
      </c>
      <c r="U248" s="244" t="s">
        <v>474</v>
      </c>
      <c r="V248" s="246">
        <f>WTG_BD[[#This Row],[Breakdown Time]]*(1/39)</f>
        <v>2.1367521367521292E-3</v>
      </c>
      <c r="W248" s="244" t="s">
        <v>125</v>
      </c>
      <c r="X248" s="250">
        <v>15.486111111111057</v>
      </c>
      <c r="Y248" s="135" t="s">
        <v>470</v>
      </c>
      <c r="Z248" s="135" t="s">
        <v>475</v>
      </c>
      <c r="AA248" s="135">
        <v>4460</v>
      </c>
      <c r="AB248" s="249">
        <f>(WTG_BD[[#This Row],[Paired WTG Generation for loss calculation.]]/24)*WTG_BD[[#This Row],[Breakdown Time]]</f>
        <v>15.486111111111057</v>
      </c>
      <c r="AC248" s="135"/>
      <c r="AD248" s="245"/>
      <c r="AE248" s="3"/>
    </row>
    <row r="249" spans="1:31">
      <c r="A249" s="241">
        <f t="shared" si="7"/>
        <v>248</v>
      </c>
      <c r="B249" s="255">
        <v>45755</v>
      </c>
      <c r="C249" s="252">
        <v>2025</v>
      </c>
      <c r="D249" s="252">
        <f>YEAR(WTG_BD[[#This Row],[Date]])</f>
        <v>2025</v>
      </c>
      <c r="E249" s="251">
        <f t="shared" si="8"/>
        <v>45748</v>
      </c>
      <c r="F249" s="252" t="s">
        <v>465</v>
      </c>
      <c r="G249" s="248" t="s">
        <v>125</v>
      </c>
      <c r="H249" s="242" t="str">
        <f>IFERROR(VLOOKUP(WTG_BD[[#This Row],[Affected WTG]],'Basic Data'!$A$3:$E$56,2,0),"")</f>
        <v>PWEGPL</v>
      </c>
      <c r="I249" s="242" t="str">
        <f>IFERROR(VLOOKUP(WTG_BD[[#This Row],[Affected WTG]],'Basic Data'!$A$3:$E$56,3,0),"")</f>
        <v>MSEDCL</v>
      </c>
      <c r="J249" s="243">
        <f>IFERROR(VLOOKUP(WTG_BD[[#This Row],[Affected WTG]],'Basic Data'!$A$3:$E$56,5,0),"")</f>
        <v>2.564102564102564E-2</v>
      </c>
      <c r="K249" s="158">
        <v>577</v>
      </c>
      <c r="L249" s="247" t="str">
        <f>VLOOKUP(K249,'Basic Data'!T:U,2,0)</f>
        <v>Slipping Rings Fan Or Heating Resistor Failure</v>
      </c>
      <c r="M249" s="135" t="s">
        <v>472</v>
      </c>
      <c r="N249" s="256">
        <v>0.38472222222222224</v>
      </c>
      <c r="O249" s="256">
        <v>0.47499999999999998</v>
      </c>
      <c r="P249" s="256">
        <v>0.55972222222222223</v>
      </c>
      <c r="Q249" s="253">
        <f>IF(WTG_BD[[#This Row],[Work Start TimeStamp]]="","",(WTG_BD[[#This Row],[Work Start TimeStamp]]-WTG_BD[[#This Row],[Fault Start TimeStamp]])*24)</f>
        <v>2.1666666666666656</v>
      </c>
      <c r="R249" s="253">
        <f>(WTG_BD[[#This Row],[Fault Clearance time]]-WTG_BD[[#This Row],[Work Start TimeStamp]])*24</f>
        <v>2.0333333333333341</v>
      </c>
      <c r="S249" s="253">
        <f>(WTG_BD[[#This Row],[Fault Clearance time]]-WTG_BD[[#This Row],[Fault Start TimeStamp]])*24</f>
        <v>4.1999999999999993</v>
      </c>
      <c r="T249" s="135" t="s">
        <v>516</v>
      </c>
      <c r="U249" s="244" t="s">
        <v>474</v>
      </c>
      <c r="V249" s="246">
        <f>WTG_BD[[#This Row],[Breakdown Time]]*(1/39)</f>
        <v>0.10769230769230767</v>
      </c>
      <c r="W249" s="244" t="s">
        <v>124</v>
      </c>
      <c r="X249" s="250">
        <v>719.59999999999991</v>
      </c>
      <c r="Y249" s="135" t="s">
        <v>470</v>
      </c>
      <c r="Z249" s="135" t="s">
        <v>475</v>
      </c>
      <c r="AA249" s="135">
        <v>4112</v>
      </c>
      <c r="AB249" s="249">
        <f>(WTG_BD[[#This Row],[Paired WTG Generation for loss calculation.]]/24)*WTG_BD[[#This Row],[Breakdown Time]]</f>
        <v>719.59999999999991</v>
      </c>
      <c r="AC249" s="135"/>
      <c r="AD249" s="245"/>
      <c r="AE249" s="3"/>
    </row>
    <row r="250" spans="1:31">
      <c r="A250" s="241">
        <f t="shared" si="7"/>
        <v>249</v>
      </c>
      <c r="B250" s="255">
        <v>45755</v>
      </c>
      <c r="C250" s="252">
        <v>2025</v>
      </c>
      <c r="D250" s="252">
        <f>YEAR(WTG_BD[[#This Row],[Date]])</f>
        <v>2025</v>
      </c>
      <c r="E250" s="251">
        <f t="shared" si="8"/>
        <v>45748</v>
      </c>
      <c r="F250" s="252" t="s">
        <v>465</v>
      </c>
      <c r="G250" s="248" t="s">
        <v>127</v>
      </c>
      <c r="H250" s="242" t="str">
        <f>IFERROR(VLOOKUP(WTG_BD[[#This Row],[Affected WTG]],'Basic Data'!$A$3:$E$56,2,0),"")</f>
        <v>PWEGPL</v>
      </c>
      <c r="I250" s="242" t="str">
        <f>IFERROR(VLOOKUP(WTG_BD[[#This Row],[Affected WTG]],'Basic Data'!$A$3:$E$56,3,0),"")</f>
        <v>MSEDCL</v>
      </c>
      <c r="J250" s="243">
        <f>IFERROR(VLOOKUP(WTG_BD[[#This Row],[Affected WTG]],'Basic Data'!$A$3:$E$56,5,0),"")</f>
        <v>2.564102564102564E-2</v>
      </c>
      <c r="K250" s="158">
        <v>500</v>
      </c>
      <c r="L250" s="247" t="str">
        <f>VLOOKUP(K250,'Basic Data'!T:U,2,0)</f>
        <v>High Generator Winding Temperature</v>
      </c>
      <c r="M250" s="135" t="s">
        <v>472</v>
      </c>
      <c r="N250" s="256">
        <v>0.99513888888888891</v>
      </c>
      <c r="O250" s="256">
        <v>0.99513888888888891</v>
      </c>
      <c r="P250" s="256">
        <v>0.99861111111111112</v>
      </c>
      <c r="Q250" s="253">
        <f>IF(WTG_BD[[#This Row],[Work Start TimeStamp]]="","",(WTG_BD[[#This Row],[Work Start TimeStamp]]-WTG_BD[[#This Row],[Fault Start TimeStamp]])*24)</f>
        <v>0</v>
      </c>
      <c r="R250" s="253">
        <f>(WTG_BD[[#This Row],[Fault Clearance time]]-WTG_BD[[#This Row],[Work Start TimeStamp]])*24</f>
        <v>8.3333333333333037E-2</v>
      </c>
      <c r="S250" s="253">
        <f>(WTG_BD[[#This Row],[Fault Clearance time]]-WTG_BD[[#This Row],[Fault Start TimeStamp]])*24</f>
        <v>8.3333333333333037E-2</v>
      </c>
      <c r="T250" s="135" t="s">
        <v>476</v>
      </c>
      <c r="U250" s="244" t="s">
        <v>474</v>
      </c>
      <c r="V250" s="246">
        <f>WTG_BD[[#This Row],[Breakdown Time]]*(1/39)</f>
        <v>2.1367521367521292E-3</v>
      </c>
      <c r="W250" s="244" t="s">
        <v>126</v>
      </c>
      <c r="X250" s="250">
        <v>14.965277777777725</v>
      </c>
      <c r="Y250" s="135" t="s">
        <v>470</v>
      </c>
      <c r="Z250" s="135" t="s">
        <v>475</v>
      </c>
      <c r="AA250" s="135">
        <v>4310</v>
      </c>
      <c r="AB250" s="249">
        <f>(WTG_BD[[#This Row],[Paired WTG Generation for loss calculation.]]/24)*WTG_BD[[#This Row],[Breakdown Time]]</f>
        <v>14.965277777777725</v>
      </c>
      <c r="AC250" s="135"/>
      <c r="AD250" s="245"/>
      <c r="AE250" s="3"/>
    </row>
    <row r="251" spans="1:31">
      <c r="A251" s="241">
        <f t="shared" si="7"/>
        <v>250</v>
      </c>
      <c r="B251" s="255">
        <v>45755</v>
      </c>
      <c r="C251" s="252">
        <v>2025</v>
      </c>
      <c r="D251" s="252">
        <f>YEAR(WTG_BD[[#This Row],[Date]])</f>
        <v>2025</v>
      </c>
      <c r="E251" s="251">
        <f t="shared" si="8"/>
        <v>45748</v>
      </c>
      <c r="F251" s="252" t="s">
        <v>465</v>
      </c>
      <c r="G251" s="248" t="s">
        <v>128</v>
      </c>
      <c r="H251" s="242" t="str">
        <f>IFERROR(VLOOKUP(WTG_BD[[#This Row],[Affected WTG]],'Basic Data'!$A$3:$E$56,2,0),"")</f>
        <v>PWEGPL</v>
      </c>
      <c r="I251" s="242" t="str">
        <f>IFERROR(VLOOKUP(WTG_BD[[#This Row],[Affected WTG]],'Basic Data'!$A$3:$E$56,3,0),"")</f>
        <v>MSEDCL</v>
      </c>
      <c r="J251" s="243">
        <f>IFERROR(VLOOKUP(WTG_BD[[#This Row],[Affected WTG]],'Basic Data'!$A$3:$E$56,5,0),"")</f>
        <v>2.564102564102564E-2</v>
      </c>
      <c r="K251" s="158">
        <v>203</v>
      </c>
      <c r="L251" s="247" t="str">
        <f>VLOOKUP(K251,'Basic Data'!T:U,2,0)</f>
        <v>Low Pressure On Hydraulic Group</v>
      </c>
      <c r="M251" s="135" t="s">
        <v>472</v>
      </c>
      <c r="N251" s="256">
        <v>0.54722222222222228</v>
      </c>
      <c r="O251" s="256">
        <v>0.54722222222222228</v>
      </c>
      <c r="P251" s="256">
        <v>0.55486111111111114</v>
      </c>
      <c r="Q251" s="253">
        <f>IF(WTG_BD[[#This Row],[Work Start TimeStamp]]="","",(WTG_BD[[#This Row],[Work Start TimeStamp]]-WTG_BD[[#This Row],[Fault Start TimeStamp]])*24)</f>
        <v>0</v>
      </c>
      <c r="R251" s="253">
        <f>(WTG_BD[[#This Row],[Fault Clearance time]]-WTG_BD[[#This Row],[Work Start TimeStamp]])*24</f>
        <v>0.18333333333333268</v>
      </c>
      <c r="S251" s="253">
        <f>(WTG_BD[[#This Row],[Fault Clearance time]]-WTG_BD[[#This Row],[Fault Start TimeStamp]])*24</f>
        <v>0.18333333333333268</v>
      </c>
      <c r="T251" s="135" t="s">
        <v>476</v>
      </c>
      <c r="U251" s="244" t="s">
        <v>474</v>
      </c>
      <c r="V251" s="246">
        <f>WTG_BD[[#This Row],[Breakdown Time]]*(1/39)</f>
        <v>4.7008547008546842E-3</v>
      </c>
      <c r="W251" s="244" t="s">
        <v>129</v>
      </c>
      <c r="X251" s="250">
        <v>8.8229166666666359</v>
      </c>
      <c r="Y251" s="135" t="s">
        <v>470</v>
      </c>
      <c r="Z251" s="135" t="s">
        <v>475</v>
      </c>
      <c r="AA251" s="135">
        <v>1155</v>
      </c>
      <c r="AB251" s="249">
        <f>(WTG_BD[[#This Row],[Paired WTG Generation for loss calculation.]]/24)*WTG_BD[[#This Row],[Breakdown Time]]</f>
        <v>8.8229166666666359</v>
      </c>
      <c r="AC251" s="135"/>
      <c r="AD251" s="245"/>
      <c r="AE251" s="3"/>
    </row>
    <row r="252" spans="1:31">
      <c r="A252" s="241">
        <f t="shared" si="7"/>
        <v>251</v>
      </c>
      <c r="B252" s="255">
        <v>45755</v>
      </c>
      <c r="C252" s="252">
        <v>2025</v>
      </c>
      <c r="D252" s="252">
        <f>YEAR(WTG_BD[[#This Row],[Date]])</f>
        <v>2025</v>
      </c>
      <c r="E252" s="251">
        <f>B252-DAY(B252)+1</f>
        <v>45748</v>
      </c>
      <c r="F252" s="252" t="s">
        <v>465</v>
      </c>
      <c r="G252" s="248" t="s">
        <v>130</v>
      </c>
      <c r="H252" s="242" t="str">
        <f>IFERROR(VLOOKUP(WTG_BD[[#This Row],[Affected WTG]],'Basic Data'!$A$3:$E$56,2,0),"")</f>
        <v>PWEGPL</v>
      </c>
      <c r="I252" s="242" t="str">
        <f>IFERROR(VLOOKUP(WTG_BD[[#This Row],[Affected WTG]],'Basic Data'!$A$3:$E$56,3,0),"")</f>
        <v>MSEDCL</v>
      </c>
      <c r="J252" s="243">
        <f>IFERROR(VLOOKUP(WTG_BD[[#This Row],[Affected WTG]],'Basic Data'!$A$3:$E$56,5,0),"")</f>
        <v>2.564102564102564E-2</v>
      </c>
      <c r="K252" s="158">
        <v>5248</v>
      </c>
      <c r="L252" s="247" t="str">
        <f>VLOOKUP(K252,'Basic Data'!T:U,2,0)</f>
        <v>Active Crowbar IGBT Errors</v>
      </c>
      <c r="M252" s="135" t="s">
        <v>472</v>
      </c>
      <c r="N252" s="256">
        <v>0</v>
      </c>
      <c r="O252" s="256">
        <v>0</v>
      </c>
      <c r="P252" s="256">
        <v>0.99930555555555556</v>
      </c>
      <c r="Q252" s="253">
        <f>IF(WTG_BD[[#This Row],[Work Start TimeStamp]]="","",(WTG_BD[[#This Row],[Work Start TimeStamp]]-WTG_BD[[#This Row],[Fault Start TimeStamp]])*24)</f>
        <v>0</v>
      </c>
      <c r="R252" s="253">
        <f>(WTG_BD[[#This Row],[Fault Clearance time]]-WTG_BD[[#This Row],[Work Start TimeStamp]])*24</f>
        <v>23.983333333333334</v>
      </c>
      <c r="S252" s="253">
        <f>(WTG_BD[[#This Row],[Fault Clearance time]]-WTG_BD[[#This Row],[Fault Start TimeStamp]])*24</f>
        <v>23.983333333333334</v>
      </c>
      <c r="T252" s="135" t="s">
        <v>486</v>
      </c>
      <c r="U252" s="244" t="s">
        <v>469</v>
      </c>
      <c r="V252" s="246">
        <f>WTG_BD[[#This Row],[Breakdown Time]]*(1/39)</f>
        <v>0.61495726495726499</v>
      </c>
      <c r="W252" s="244" t="s">
        <v>129</v>
      </c>
      <c r="X252" s="250">
        <v>1154.1979166666667</v>
      </c>
      <c r="Y252" s="135" t="s">
        <v>470</v>
      </c>
      <c r="Z252" s="135" t="s">
        <v>475</v>
      </c>
      <c r="AA252" s="135">
        <v>1155</v>
      </c>
      <c r="AB252" s="249">
        <f>(WTG_BD[[#This Row],[Paired WTG Generation for loss calculation.]]/24)*WTG_BD[[#This Row],[Breakdown Time]]</f>
        <v>1154.1979166666667</v>
      </c>
      <c r="AC252" s="135"/>
      <c r="AD252" s="245"/>
      <c r="AE252" s="3"/>
    </row>
    <row r="253" spans="1:31">
      <c r="A253" s="241">
        <f t="shared" si="7"/>
        <v>252</v>
      </c>
      <c r="B253" s="255">
        <v>45755</v>
      </c>
      <c r="C253" s="252">
        <v>2025</v>
      </c>
      <c r="D253" s="252">
        <f>YEAR(WTG_BD[[#This Row],[Date]])</f>
        <v>2025</v>
      </c>
      <c r="E253" s="251">
        <f t="shared" si="8"/>
        <v>45748</v>
      </c>
      <c r="F253" s="252" t="s">
        <v>465</v>
      </c>
      <c r="G253" s="248" t="s">
        <v>137</v>
      </c>
      <c r="H253" s="242" t="str">
        <f>IFERROR(VLOOKUP(WTG_BD[[#This Row],[Affected WTG]],'Basic Data'!$A$3:$E$56,2,0),"")</f>
        <v>PWEGPL</v>
      </c>
      <c r="I253" s="242" t="str">
        <f>IFERROR(VLOOKUP(WTG_BD[[#This Row],[Affected WTG]],'Basic Data'!$A$3:$E$56,3,0),"")</f>
        <v>MSEDCL</v>
      </c>
      <c r="J253" s="243">
        <f>IFERROR(VLOOKUP(WTG_BD[[#This Row],[Affected WTG]],'Basic Data'!$A$3:$E$56,5,0),"")</f>
        <v>2.564102564102564E-2</v>
      </c>
      <c r="K253" s="158">
        <v>2106</v>
      </c>
      <c r="L253" s="247" t="str">
        <f>VLOOKUP(K253,'Basic Data'!T:U,2,0)</f>
        <v>Temp. Measurement Module Failure</v>
      </c>
      <c r="M253" s="135" t="s">
        <v>472</v>
      </c>
      <c r="N253" s="256">
        <v>0.17986111111111111</v>
      </c>
      <c r="O253" s="256">
        <v>0.17986111111111111</v>
      </c>
      <c r="P253" s="256">
        <v>0.18333333333333332</v>
      </c>
      <c r="Q253" s="253">
        <f>IF(WTG_BD[[#This Row],[Work Start TimeStamp]]="","",(WTG_BD[[#This Row],[Work Start TimeStamp]]-WTG_BD[[#This Row],[Fault Start TimeStamp]])*24)</f>
        <v>0</v>
      </c>
      <c r="R253" s="253">
        <f>(WTG_BD[[#This Row],[Fault Clearance time]]-WTG_BD[[#This Row],[Work Start TimeStamp]])*24</f>
        <v>8.3333333333333037E-2</v>
      </c>
      <c r="S253" s="253">
        <f>(WTG_BD[[#This Row],[Fault Clearance time]]-WTG_BD[[#This Row],[Fault Start TimeStamp]])*24</f>
        <v>8.3333333333333037E-2</v>
      </c>
      <c r="T253" s="135" t="s">
        <v>476</v>
      </c>
      <c r="U253" s="244" t="s">
        <v>474</v>
      </c>
      <c r="V253" s="246">
        <f>WTG_BD[[#This Row],[Breakdown Time]]*(1/39)</f>
        <v>2.1367521367521292E-3</v>
      </c>
      <c r="W253" s="244" t="s">
        <v>119</v>
      </c>
      <c r="X253" s="250">
        <v>14.048611111111063</v>
      </c>
      <c r="Y253" s="135" t="s">
        <v>470</v>
      </c>
      <c r="Z253" s="135" t="s">
        <v>475</v>
      </c>
      <c r="AA253" s="135">
        <v>4046</v>
      </c>
      <c r="AB253" s="249">
        <f>(WTG_BD[[#This Row],[Paired WTG Generation for loss calculation.]]/24)*WTG_BD[[#This Row],[Breakdown Time]]</f>
        <v>14.048611111111063</v>
      </c>
      <c r="AC253" s="135"/>
      <c r="AD253" s="245"/>
      <c r="AE253" s="3"/>
    </row>
    <row r="254" spans="1:31">
      <c r="A254" s="241">
        <f t="shared" si="7"/>
        <v>253</v>
      </c>
      <c r="B254" s="255">
        <v>45755</v>
      </c>
      <c r="C254" s="252">
        <v>2025</v>
      </c>
      <c r="D254" s="252">
        <f>YEAR(WTG_BD[[#This Row],[Date]])</f>
        <v>2025</v>
      </c>
      <c r="E254" s="251">
        <f t="shared" si="8"/>
        <v>45748</v>
      </c>
      <c r="F254" s="252" t="s">
        <v>465</v>
      </c>
      <c r="G254" s="248" t="s">
        <v>137</v>
      </c>
      <c r="H254" s="242" t="str">
        <f>IFERROR(VLOOKUP(WTG_BD[[#This Row],[Affected WTG]],'Basic Data'!$A$3:$E$56,2,0),"")</f>
        <v>PWEGPL</v>
      </c>
      <c r="I254" s="242" t="str">
        <f>IFERROR(VLOOKUP(WTG_BD[[#This Row],[Affected WTG]],'Basic Data'!$A$3:$E$56,3,0),"")</f>
        <v>MSEDCL</v>
      </c>
      <c r="J254" s="243">
        <f>IFERROR(VLOOKUP(WTG_BD[[#This Row],[Affected WTG]],'Basic Data'!$A$3:$E$56,5,0),"")</f>
        <v>2.564102564102564E-2</v>
      </c>
      <c r="K254" s="158">
        <v>501</v>
      </c>
      <c r="L254" s="247" t="str">
        <f>VLOOKUP(K254,'Basic Data'!T:U,2,0)</f>
        <v>Generator DE Bearing High Temperature Alarm</v>
      </c>
      <c r="M254" s="135" t="s">
        <v>472</v>
      </c>
      <c r="N254" s="256">
        <v>0.1875</v>
      </c>
      <c r="O254" s="256">
        <v>0.1875</v>
      </c>
      <c r="P254" s="256">
        <v>0.19097222222222221</v>
      </c>
      <c r="Q254" s="253">
        <f>IF(WTG_BD[[#This Row],[Work Start TimeStamp]]="","",(WTG_BD[[#This Row],[Work Start TimeStamp]]-WTG_BD[[#This Row],[Fault Start TimeStamp]])*24)</f>
        <v>0</v>
      </c>
      <c r="R254" s="253">
        <f>(WTG_BD[[#This Row],[Fault Clearance time]]-WTG_BD[[#This Row],[Work Start TimeStamp]])*24</f>
        <v>8.3333333333333037E-2</v>
      </c>
      <c r="S254" s="253">
        <f>(WTG_BD[[#This Row],[Fault Clearance time]]-WTG_BD[[#This Row],[Fault Start TimeStamp]])*24</f>
        <v>8.3333333333333037E-2</v>
      </c>
      <c r="T254" s="135" t="s">
        <v>476</v>
      </c>
      <c r="U254" s="244" t="s">
        <v>474</v>
      </c>
      <c r="V254" s="246">
        <f>WTG_BD[[#This Row],[Breakdown Time]]*(1/39)</f>
        <v>2.1367521367521292E-3</v>
      </c>
      <c r="W254" s="244" t="s">
        <v>119</v>
      </c>
      <c r="X254" s="250">
        <v>14.048611111111063</v>
      </c>
      <c r="Y254" s="135" t="s">
        <v>470</v>
      </c>
      <c r="Z254" s="135" t="s">
        <v>475</v>
      </c>
      <c r="AA254" s="135">
        <v>4046</v>
      </c>
      <c r="AB254" s="249">
        <f>(WTG_BD[[#This Row],[Paired WTG Generation for loss calculation.]]/24)*WTG_BD[[#This Row],[Breakdown Time]]</f>
        <v>14.048611111111063</v>
      </c>
      <c r="AC254" s="135"/>
      <c r="AD254" s="245"/>
      <c r="AE254" s="3"/>
    </row>
    <row r="255" spans="1:31">
      <c r="A255" s="241">
        <f t="shared" si="7"/>
        <v>254</v>
      </c>
      <c r="B255" s="255">
        <v>45755</v>
      </c>
      <c r="C255" s="252">
        <v>2025</v>
      </c>
      <c r="D255" s="252">
        <f>YEAR(WTG_BD[[#This Row],[Date]])</f>
        <v>2025</v>
      </c>
      <c r="E255" s="251">
        <f t="shared" si="8"/>
        <v>45748</v>
      </c>
      <c r="F255" s="252" t="s">
        <v>465</v>
      </c>
      <c r="G255" s="248" t="s">
        <v>137</v>
      </c>
      <c r="H255" s="242" t="str">
        <f>IFERROR(VLOOKUP(WTG_BD[[#This Row],[Affected WTG]],'Basic Data'!$A$3:$E$56,2,0),"")</f>
        <v>PWEGPL</v>
      </c>
      <c r="I255" s="242" t="str">
        <f>IFERROR(VLOOKUP(WTG_BD[[#This Row],[Affected WTG]],'Basic Data'!$A$3:$E$56,3,0),"")</f>
        <v>MSEDCL</v>
      </c>
      <c r="J255" s="243">
        <f>IFERROR(VLOOKUP(WTG_BD[[#This Row],[Affected WTG]],'Basic Data'!$A$3:$E$56,5,0),"")</f>
        <v>2.564102564102564E-2</v>
      </c>
      <c r="K255" s="158">
        <v>2106</v>
      </c>
      <c r="L255" s="247" t="str">
        <f>VLOOKUP(K255,'Basic Data'!T:U,2,0)</f>
        <v>Temp. Measurement Module Failure</v>
      </c>
      <c r="M255" s="135" t="s">
        <v>472</v>
      </c>
      <c r="N255" s="256">
        <v>0.25972222222222224</v>
      </c>
      <c r="O255" s="256">
        <v>0.25972222222222224</v>
      </c>
      <c r="P255" s="256">
        <v>0.27361111111111114</v>
      </c>
      <c r="Q255" s="253">
        <f>IF(WTG_BD[[#This Row],[Work Start TimeStamp]]="","",(WTG_BD[[#This Row],[Work Start TimeStamp]]-WTG_BD[[#This Row],[Fault Start TimeStamp]])*24)</f>
        <v>0</v>
      </c>
      <c r="R255" s="253">
        <f>(WTG_BD[[#This Row],[Fault Clearance time]]-WTG_BD[[#This Row],[Work Start TimeStamp]])*24</f>
        <v>0.33333333333333348</v>
      </c>
      <c r="S255" s="253">
        <f>(WTG_BD[[#This Row],[Fault Clearance time]]-WTG_BD[[#This Row],[Fault Start TimeStamp]])*24</f>
        <v>0.33333333333333348</v>
      </c>
      <c r="T255" s="135" t="s">
        <v>476</v>
      </c>
      <c r="U255" s="244" t="s">
        <v>474</v>
      </c>
      <c r="V255" s="246">
        <f>WTG_BD[[#This Row],[Breakdown Time]]*(1/39)</f>
        <v>8.5470085470085513E-3</v>
      </c>
      <c r="W255" s="244" t="s">
        <v>119</v>
      </c>
      <c r="X255" s="250">
        <v>56.194444444444471</v>
      </c>
      <c r="Y255" s="135" t="s">
        <v>470</v>
      </c>
      <c r="Z255" s="135" t="s">
        <v>475</v>
      </c>
      <c r="AA255" s="135">
        <v>4046</v>
      </c>
      <c r="AB255" s="249">
        <f>(WTG_BD[[#This Row],[Paired WTG Generation for loss calculation.]]/24)*WTG_BD[[#This Row],[Breakdown Time]]</f>
        <v>56.194444444444471</v>
      </c>
      <c r="AC255" s="135"/>
      <c r="AD255" s="245"/>
      <c r="AE255" s="3"/>
    </row>
    <row r="256" spans="1:31">
      <c r="A256" s="241">
        <f t="shared" si="7"/>
        <v>255</v>
      </c>
      <c r="B256" s="255">
        <v>45755</v>
      </c>
      <c r="C256" s="252">
        <v>2025</v>
      </c>
      <c r="D256" s="252">
        <f>YEAR(WTG_BD[[#This Row],[Date]])</f>
        <v>2025</v>
      </c>
      <c r="E256" s="251">
        <f t="shared" si="8"/>
        <v>45748</v>
      </c>
      <c r="F256" s="252" t="s">
        <v>465</v>
      </c>
      <c r="G256" s="248" t="s">
        <v>137</v>
      </c>
      <c r="H256" s="242" t="str">
        <f>IFERROR(VLOOKUP(WTG_BD[[#This Row],[Affected WTG]],'Basic Data'!$A$3:$E$56,2,0),"")</f>
        <v>PWEGPL</v>
      </c>
      <c r="I256" s="242" t="str">
        <f>IFERROR(VLOOKUP(WTG_BD[[#This Row],[Affected WTG]],'Basic Data'!$A$3:$E$56,3,0),"")</f>
        <v>MSEDCL</v>
      </c>
      <c r="J256" s="243">
        <f>IFERROR(VLOOKUP(WTG_BD[[#This Row],[Affected WTG]],'Basic Data'!$A$3:$E$56,5,0),"")</f>
        <v>2.564102564102564E-2</v>
      </c>
      <c r="K256" s="158">
        <v>2106</v>
      </c>
      <c r="L256" s="247" t="str">
        <f>VLOOKUP(K256,'Basic Data'!T:U,2,0)</f>
        <v>Temp. Measurement Module Failure</v>
      </c>
      <c r="M256" s="135" t="s">
        <v>472</v>
      </c>
      <c r="N256" s="256">
        <v>0.38194444444444442</v>
      </c>
      <c r="O256" s="256">
        <v>0.38194444444444442</v>
      </c>
      <c r="P256" s="256">
        <v>0.38750000000000001</v>
      </c>
      <c r="Q256" s="253">
        <f>IF(WTG_BD[[#This Row],[Work Start TimeStamp]]="","",(WTG_BD[[#This Row],[Work Start TimeStamp]]-WTG_BD[[#This Row],[Fault Start TimeStamp]])*24)</f>
        <v>0</v>
      </c>
      <c r="R256" s="253">
        <f>(WTG_BD[[#This Row],[Fault Clearance time]]-WTG_BD[[#This Row],[Work Start TimeStamp]])*24</f>
        <v>0.13333333333333419</v>
      </c>
      <c r="S256" s="253">
        <f>(WTG_BD[[#This Row],[Fault Clearance time]]-WTG_BD[[#This Row],[Fault Start TimeStamp]])*24</f>
        <v>0.13333333333333419</v>
      </c>
      <c r="T256" s="135" t="s">
        <v>476</v>
      </c>
      <c r="U256" s="244" t="s">
        <v>474</v>
      </c>
      <c r="V256" s="246">
        <f>WTG_BD[[#This Row],[Breakdown Time]]*(1/39)</f>
        <v>3.4188034188034405E-3</v>
      </c>
      <c r="W256" s="244" t="s">
        <v>119</v>
      </c>
      <c r="X256" s="250">
        <v>22.477777777777924</v>
      </c>
      <c r="Y256" s="135" t="s">
        <v>470</v>
      </c>
      <c r="Z256" s="135" t="s">
        <v>475</v>
      </c>
      <c r="AA256" s="135">
        <v>4046</v>
      </c>
      <c r="AB256" s="249">
        <f>(WTG_BD[[#This Row],[Paired WTG Generation for loss calculation.]]/24)*WTG_BD[[#This Row],[Breakdown Time]]</f>
        <v>22.477777777777924</v>
      </c>
      <c r="AC256" s="135"/>
      <c r="AD256" s="245"/>
      <c r="AE256" s="3"/>
    </row>
    <row r="257" spans="1:31">
      <c r="A257" s="241">
        <f t="shared" si="7"/>
        <v>256</v>
      </c>
      <c r="B257" s="255">
        <v>45755</v>
      </c>
      <c r="C257" s="252">
        <v>2025</v>
      </c>
      <c r="D257" s="252">
        <f>YEAR(WTG_BD[[#This Row],[Date]])</f>
        <v>2025</v>
      </c>
      <c r="E257" s="251">
        <f t="shared" si="8"/>
        <v>45748</v>
      </c>
      <c r="F257" s="252" t="s">
        <v>465</v>
      </c>
      <c r="G257" s="248" t="s">
        <v>139</v>
      </c>
      <c r="H257" s="242" t="str">
        <f>IFERROR(VLOOKUP(WTG_BD[[#This Row],[Affected WTG]],'Basic Data'!$A$3:$E$56,2,0),"")</f>
        <v>PWEGPL</v>
      </c>
      <c r="I257" s="242" t="str">
        <f>IFERROR(VLOOKUP(WTG_BD[[#This Row],[Affected WTG]],'Basic Data'!$A$3:$E$56,3,0),"")</f>
        <v>MSEDCL</v>
      </c>
      <c r="J257" s="243">
        <f>IFERROR(VLOOKUP(WTG_BD[[#This Row],[Affected WTG]],'Basic Data'!$A$3:$E$56,5,0),"")</f>
        <v>2.564102564102564E-2</v>
      </c>
      <c r="K257" s="158">
        <v>527</v>
      </c>
      <c r="L257" s="247" t="str">
        <f>VLOOKUP(K257,'Basic Data'!T:U,2,0)</f>
        <v>High Temperature Of Upper Radiator</v>
      </c>
      <c r="M257" s="135" t="s">
        <v>472</v>
      </c>
      <c r="N257" s="256">
        <v>0.99791666666666667</v>
      </c>
      <c r="O257" s="256">
        <v>0.99791666666666667</v>
      </c>
      <c r="P257" s="256">
        <v>0.99930555555555556</v>
      </c>
      <c r="Q257" s="253">
        <f>IF(WTG_BD[[#This Row],[Work Start TimeStamp]]="","",(WTG_BD[[#This Row],[Work Start TimeStamp]]-WTG_BD[[#This Row],[Fault Start TimeStamp]])*24)</f>
        <v>0</v>
      </c>
      <c r="R257" s="253">
        <f>(WTG_BD[[#This Row],[Fault Clearance time]]-WTG_BD[[#This Row],[Work Start TimeStamp]])*24</f>
        <v>3.3333333333333215E-2</v>
      </c>
      <c r="S257" s="253">
        <f>(WTG_BD[[#This Row],[Fault Clearance time]]-WTG_BD[[#This Row],[Fault Start TimeStamp]])*24</f>
        <v>3.3333333333333215E-2</v>
      </c>
      <c r="T257" s="135" t="s">
        <v>476</v>
      </c>
      <c r="U257" s="244" t="s">
        <v>474</v>
      </c>
      <c r="V257" s="246">
        <f>WTG_BD[[#This Row],[Breakdown Time]]*(1/39)</f>
        <v>8.5470085470085166E-4</v>
      </c>
      <c r="W257" s="244" t="s">
        <v>145</v>
      </c>
      <c r="X257" s="250">
        <v>5.2611111111110924</v>
      </c>
      <c r="Y257" s="135" t="s">
        <v>470</v>
      </c>
      <c r="Z257" s="135" t="s">
        <v>475</v>
      </c>
      <c r="AA257" s="135">
        <v>3788</v>
      </c>
      <c r="AB257" s="249">
        <f>(WTG_BD[[#This Row],[Paired WTG Generation for loss calculation.]]/24)*WTG_BD[[#This Row],[Breakdown Time]]</f>
        <v>5.2611111111110924</v>
      </c>
      <c r="AC257" s="135"/>
      <c r="AD257" s="245"/>
      <c r="AE257" s="3"/>
    </row>
    <row r="258" spans="1:31">
      <c r="A258" s="241">
        <f t="shared" si="7"/>
        <v>257</v>
      </c>
      <c r="B258" s="255">
        <v>45755</v>
      </c>
      <c r="C258" s="252">
        <v>2025</v>
      </c>
      <c r="D258" s="252">
        <f>YEAR(WTG_BD[[#This Row],[Date]])</f>
        <v>2025</v>
      </c>
      <c r="E258" s="251">
        <f t="shared" si="8"/>
        <v>45748</v>
      </c>
      <c r="F258" s="252" t="s">
        <v>465</v>
      </c>
      <c r="G258" s="248" t="s">
        <v>141</v>
      </c>
      <c r="H258" s="242" t="str">
        <f>IFERROR(VLOOKUP(WTG_BD[[#This Row],[Affected WTG]],'Basic Data'!$A$3:$E$56,2,0),"")</f>
        <v>PWEGPL</v>
      </c>
      <c r="I258" s="242" t="str">
        <f>IFERROR(VLOOKUP(WTG_BD[[#This Row],[Affected WTG]],'Basic Data'!$A$3:$E$56,3,0),"")</f>
        <v>MSEDCL</v>
      </c>
      <c r="J258" s="243">
        <f>IFERROR(VLOOKUP(WTG_BD[[#This Row],[Affected WTG]],'Basic Data'!$A$3:$E$56,5,0),"")</f>
        <v>2.564102564102564E-2</v>
      </c>
      <c r="K258" s="158">
        <v>523</v>
      </c>
      <c r="L258" s="247" t="str">
        <f>VLOOKUP(K258,'Basic Data'!T:U,2,0)</f>
        <v>High Temperature Of Coolant In The Input Of The Cooling Circuit</v>
      </c>
      <c r="M258" s="135" t="s">
        <v>496</v>
      </c>
      <c r="N258" s="256">
        <v>0.47083333333333333</v>
      </c>
      <c r="O258" s="256">
        <v>0.47083333333333333</v>
      </c>
      <c r="P258" s="256">
        <v>0.5180555555555556</v>
      </c>
      <c r="Q258" s="253">
        <f>IF(WTG_BD[[#This Row],[Work Start TimeStamp]]="","",(WTG_BD[[#This Row],[Work Start TimeStamp]]-WTG_BD[[#This Row],[Fault Start TimeStamp]])*24)</f>
        <v>0</v>
      </c>
      <c r="R258" s="253">
        <f>(WTG_BD[[#This Row],[Fault Clearance time]]-WTG_BD[[#This Row],[Work Start TimeStamp]])*24</f>
        <v>1.1333333333333346</v>
      </c>
      <c r="S258" s="253">
        <f>(WTG_BD[[#This Row],[Fault Clearance time]]-WTG_BD[[#This Row],[Fault Start TimeStamp]])*24</f>
        <v>1.1333333333333346</v>
      </c>
      <c r="T258" s="135" t="s">
        <v>517</v>
      </c>
      <c r="U258" s="244" t="s">
        <v>474</v>
      </c>
      <c r="V258" s="246">
        <f>WTG_BD[[#This Row],[Breakdown Time]]*(1/39)</f>
        <v>2.9059829059829092E-2</v>
      </c>
      <c r="W258" s="244" t="s">
        <v>143</v>
      </c>
      <c r="X258" s="250">
        <v>241.11666666666693</v>
      </c>
      <c r="Y258" s="135" t="s">
        <v>470</v>
      </c>
      <c r="Z258" s="135" t="s">
        <v>498</v>
      </c>
      <c r="AA258" s="135">
        <v>5106</v>
      </c>
      <c r="AB258" s="249">
        <f>(WTG_BD[[#This Row],[Paired WTG Generation for loss calculation.]]/24)*WTG_BD[[#This Row],[Breakdown Time]]</f>
        <v>241.11666666666693</v>
      </c>
      <c r="AC258" s="135"/>
      <c r="AD258" s="245"/>
      <c r="AE258" s="3"/>
    </row>
    <row r="259" spans="1:31">
      <c r="A259" s="241">
        <f t="shared" ref="A259:A322" si="9">A258+1</f>
        <v>258</v>
      </c>
      <c r="B259" s="255">
        <v>45755</v>
      </c>
      <c r="C259" s="252">
        <v>2025</v>
      </c>
      <c r="D259" s="252">
        <f>YEAR(WTG_BD[[#This Row],[Date]])</f>
        <v>2025</v>
      </c>
      <c r="E259" s="251">
        <f t="shared" si="8"/>
        <v>45748</v>
      </c>
      <c r="F259" s="252" t="s">
        <v>465</v>
      </c>
      <c r="G259" s="248" t="s">
        <v>143</v>
      </c>
      <c r="H259" s="242" t="str">
        <f>IFERROR(VLOOKUP(WTG_BD[[#This Row],[Affected WTG]],'Basic Data'!$A$3:$E$56,2,0),"")</f>
        <v>PWEGPL</v>
      </c>
      <c r="I259" s="242" t="str">
        <f>IFERROR(VLOOKUP(WTG_BD[[#This Row],[Affected WTG]],'Basic Data'!$A$3:$E$56,3,0),"")</f>
        <v>MSEDCL</v>
      </c>
      <c r="J259" s="243">
        <f>IFERROR(VLOOKUP(WTG_BD[[#This Row],[Affected WTG]],'Basic Data'!$A$3:$E$56,5,0),"")</f>
        <v>2.564102564102564E-2</v>
      </c>
      <c r="K259" s="158">
        <v>426</v>
      </c>
      <c r="L259" s="247" t="str">
        <f>VLOOKUP(K259,'Basic Data'!T:U,2,0)</f>
        <v>Rotor Speed Reading Failure</v>
      </c>
      <c r="M259" s="135" t="s">
        <v>472</v>
      </c>
      <c r="N259" s="256">
        <v>0.33819444444444446</v>
      </c>
      <c r="O259" s="256">
        <v>0.33819444444444446</v>
      </c>
      <c r="P259" s="256">
        <v>0.34166666666666667</v>
      </c>
      <c r="Q259" s="253">
        <f>IF(WTG_BD[[#This Row],[Work Start TimeStamp]]="","",(WTG_BD[[#This Row],[Work Start TimeStamp]]-WTG_BD[[#This Row],[Fault Start TimeStamp]])*24)</f>
        <v>0</v>
      </c>
      <c r="R259" s="253">
        <f>(WTG_BD[[#This Row],[Fault Clearance time]]-WTG_BD[[#This Row],[Work Start TimeStamp]])*24</f>
        <v>8.3333333333333037E-2</v>
      </c>
      <c r="S259" s="253">
        <f>(WTG_BD[[#This Row],[Fault Clearance time]]-WTG_BD[[#This Row],[Fault Start TimeStamp]])*24</f>
        <v>8.3333333333333037E-2</v>
      </c>
      <c r="T259" s="135" t="s">
        <v>476</v>
      </c>
      <c r="U259" s="244" t="s">
        <v>474</v>
      </c>
      <c r="V259" s="246">
        <f>WTG_BD[[#This Row],[Breakdown Time]]*(1/39)</f>
        <v>2.1367521367521292E-3</v>
      </c>
      <c r="W259" s="244" t="s">
        <v>141</v>
      </c>
      <c r="X259" s="250">
        <v>13.57638888888884</v>
      </c>
      <c r="Y259" s="135" t="s">
        <v>470</v>
      </c>
      <c r="Z259" s="135" t="s">
        <v>475</v>
      </c>
      <c r="AA259" s="135">
        <v>3910</v>
      </c>
      <c r="AB259" s="249">
        <f>(WTG_BD[[#This Row],[Paired WTG Generation for loss calculation.]]/24)*WTG_BD[[#This Row],[Breakdown Time]]</f>
        <v>13.57638888888884</v>
      </c>
      <c r="AC259" s="135"/>
      <c r="AD259" s="245"/>
      <c r="AE259" s="3"/>
    </row>
    <row r="260" spans="1:31">
      <c r="A260" s="241">
        <f t="shared" si="9"/>
        <v>259</v>
      </c>
      <c r="B260" s="255">
        <v>45755</v>
      </c>
      <c r="C260" s="252">
        <v>2025</v>
      </c>
      <c r="D260" s="252">
        <f>YEAR(WTG_BD[[#This Row],[Date]])</f>
        <v>2025</v>
      </c>
      <c r="E260" s="251">
        <f t="shared" si="8"/>
        <v>45748</v>
      </c>
      <c r="F260" s="252" t="s">
        <v>465</v>
      </c>
      <c r="G260" s="248" t="s">
        <v>143</v>
      </c>
      <c r="H260" s="242" t="str">
        <f>IFERROR(VLOOKUP(WTG_BD[[#This Row],[Affected WTG]],'Basic Data'!$A$3:$E$56,2,0),"")</f>
        <v>PWEGPL</v>
      </c>
      <c r="I260" s="242" t="str">
        <f>IFERROR(VLOOKUP(WTG_BD[[#This Row],[Affected WTG]],'Basic Data'!$A$3:$E$56,3,0),"")</f>
        <v>MSEDCL</v>
      </c>
      <c r="J260" s="243">
        <f>IFERROR(VLOOKUP(WTG_BD[[#This Row],[Affected WTG]],'Basic Data'!$A$3:$E$56,5,0),"")</f>
        <v>2.564102564102564E-2</v>
      </c>
      <c r="K260" s="158">
        <v>426</v>
      </c>
      <c r="L260" s="247" t="str">
        <f>VLOOKUP(K260,'Basic Data'!T:U,2,0)</f>
        <v>Rotor Speed Reading Failure</v>
      </c>
      <c r="M260" s="135" t="s">
        <v>472</v>
      </c>
      <c r="N260" s="256">
        <v>0.37638888888888888</v>
      </c>
      <c r="O260" s="256">
        <v>0.37638888888888888</v>
      </c>
      <c r="P260" s="256">
        <v>0.37986111111111109</v>
      </c>
      <c r="Q260" s="253">
        <f>IF(WTG_BD[[#This Row],[Work Start TimeStamp]]="","",(WTG_BD[[#This Row],[Work Start TimeStamp]]-WTG_BD[[#This Row],[Fault Start TimeStamp]])*24)</f>
        <v>0</v>
      </c>
      <c r="R260" s="253">
        <f>(WTG_BD[[#This Row],[Fault Clearance time]]-WTG_BD[[#This Row],[Work Start TimeStamp]])*24</f>
        <v>8.3333333333333037E-2</v>
      </c>
      <c r="S260" s="253">
        <f>(WTG_BD[[#This Row],[Fault Clearance time]]-WTG_BD[[#This Row],[Fault Start TimeStamp]])*24</f>
        <v>8.3333333333333037E-2</v>
      </c>
      <c r="T260" s="135" t="s">
        <v>476</v>
      </c>
      <c r="U260" s="244" t="s">
        <v>474</v>
      </c>
      <c r="V260" s="246">
        <f>WTG_BD[[#This Row],[Breakdown Time]]*(1/39)</f>
        <v>2.1367521367521292E-3</v>
      </c>
      <c r="W260" s="244" t="s">
        <v>141</v>
      </c>
      <c r="X260" s="250">
        <v>13.57638888888884</v>
      </c>
      <c r="Y260" s="135" t="s">
        <v>470</v>
      </c>
      <c r="Z260" s="135" t="s">
        <v>475</v>
      </c>
      <c r="AA260" s="135">
        <v>3910</v>
      </c>
      <c r="AB260" s="249">
        <f>(WTG_BD[[#This Row],[Paired WTG Generation for loss calculation.]]/24)*WTG_BD[[#This Row],[Breakdown Time]]</f>
        <v>13.57638888888884</v>
      </c>
      <c r="AC260" s="135"/>
      <c r="AD260" s="245"/>
      <c r="AE260" s="3"/>
    </row>
    <row r="261" spans="1:31">
      <c r="A261" s="241">
        <f t="shared" si="9"/>
        <v>260</v>
      </c>
      <c r="B261" s="255">
        <v>45755</v>
      </c>
      <c r="C261" s="252">
        <v>2025</v>
      </c>
      <c r="D261" s="252">
        <f>YEAR(WTG_BD[[#This Row],[Date]])</f>
        <v>2025</v>
      </c>
      <c r="E261" s="251">
        <f t="shared" si="8"/>
        <v>45748</v>
      </c>
      <c r="F261" s="252" t="s">
        <v>465</v>
      </c>
      <c r="G261" s="248" t="s">
        <v>143</v>
      </c>
      <c r="H261" s="242" t="str">
        <f>IFERROR(VLOOKUP(WTG_BD[[#This Row],[Affected WTG]],'Basic Data'!$A$3:$E$56,2,0),"")</f>
        <v>PWEGPL</v>
      </c>
      <c r="I261" s="242" t="str">
        <f>IFERROR(VLOOKUP(WTG_BD[[#This Row],[Affected WTG]],'Basic Data'!$A$3:$E$56,3,0),"")</f>
        <v>MSEDCL</v>
      </c>
      <c r="J261" s="243">
        <f>IFERROR(VLOOKUP(WTG_BD[[#This Row],[Affected WTG]],'Basic Data'!$A$3:$E$56,5,0),"")</f>
        <v>2.564102564102564E-2</v>
      </c>
      <c r="K261" s="158">
        <v>426</v>
      </c>
      <c r="L261" s="247" t="str">
        <f>VLOOKUP(K261,'Basic Data'!T:U,2,0)</f>
        <v>Rotor Speed Reading Failure</v>
      </c>
      <c r="M261" s="135" t="s">
        <v>472</v>
      </c>
      <c r="N261" s="256">
        <v>0.39166666666666666</v>
      </c>
      <c r="O261" s="256">
        <v>0.39166666666666666</v>
      </c>
      <c r="P261" s="256">
        <v>0.39513888888888887</v>
      </c>
      <c r="Q261" s="253">
        <f>IF(WTG_BD[[#This Row],[Work Start TimeStamp]]="","",(WTG_BD[[#This Row],[Work Start TimeStamp]]-WTG_BD[[#This Row],[Fault Start TimeStamp]])*24)</f>
        <v>0</v>
      </c>
      <c r="R261" s="253">
        <f>(WTG_BD[[#This Row],[Fault Clearance time]]-WTG_BD[[#This Row],[Work Start TimeStamp]])*24</f>
        <v>8.3333333333333037E-2</v>
      </c>
      <c r="S261" s="253">
        <f>(WTG_BD[[#This Row],[Fault Clearance time]]-WTG_BD[[#This Row],[Fault Start TimeStamp]])*24</f>
        <v>8.3333333333333037E-2</v>
      </c>
      <c r="T261" s="135" t="s">
        <v>476</v>
      </c>
      <c r="U261" s="244" t="s">
        <v>474</v>
      </c>
      <c r="V261" s="246">
        <f>WTG_BD[[#This Row],[Breakdown Time]]*(1/39)</f>
        <v>2.1367521367521292E-3</v>
      </c>
      <c r="W261" s="244" t="s">
        <v>141</v>
      </c>
      <c r="X261" s="250">
        <v>13.57638888888884</v>
      </c>
      <c r="Y261" s="135" t="s">
        <v>470</v>
      </c>
      <c r="Z261" s="135" t="s">
        <v>475</v>
      </c>
      <c r="AA261" s="135">
        <v>3910</v>
      </c>
      <c r="AB261" s="249">
        <f>(WTG_BD[[#This Row],[Paired WTG Generation for loss calculation.]]/24)*WTG_BD[[#This Row],[Breakdown Time]]</f>
        <v>13.57638888888884</v>
      </c>
      <c r="AC261" s="135"/>
      <c r="AD261" s="245"/>
      <c r="AE261" s="3"/>
    </row>
    <row r="262" spans="1:31">
      <c r="A262" s="241">
        <f t="shared" si="9"/>
        <v>261</v>
      </c>
      <c r="B262" s="255">
        <v>45755</v>
      </c>
      <c r="C262" s="252">
        <v>2025</v>
      </c>
      <c r="D262" s="252">
        <f>YEAR(WTG_BD[[#This Row],[Date]])</f>
        <v>2025</v>
      </c>
      <c r="E262" s="251">
        <f t="shared" si="8"/>
        <v>45748</v>
      </c>
      <c r="F262" s="252" t="s">
        <v>465</v>
      </c>
      <c r="G262" s="248" t="s">
        <v>146</v>
      </c>
      <c r="H262" s="242" t="str">
        <f>IFERROR(VLOOKUP(WTG_BD[[#This Row],[Affected WTG]],'Basic Data'!$A$3:$E$56,2,0),"")</f>
        <v>PWEGPL</v>
      </c>
      <c r="I262" s="242" t="str">
        <f>IFERROR(VLOOKUP(WTG_BD[[#This Row],[Affected WTG]],'Basic Data'!$A$3:$E$56,3,0),"")</f>
        <v>MSEDCL</v>
      </c>
      <c r="J262" s="243">
        <f>IFERROR(VLOOKUP(WTG_BD[[#This Row],[Affected WTG]],'Basic Data'!$A$3:$E$56,5,0),"")</f>
        <v>2.564102564102564E-2</v>
      </c>
      <c r="K262" s="158" t="s">
        <v>514</v>
      </c>
      <c r="L262" s="247" t="str">
        <f>VLOOKUP(K262,'Basic Data'!T:U,2,0)</f>
        <v>General Work Stoppage</v>
      </c>
      <c r="M262" s="135" t="s">
        <v>496</v>
      </c>
      <c r="N262" s="256">
        <v>0.64861111111111114</v>
      </c>
      <c r="O262" s="256">
        <v>0.64861111111111114</v>
      </c>
      <c r="P262" s="256">
        <v>0.7006944444444444</v>
      </c>
      <c r="Q262" s="253">
        <f>IF(WTG_BD[[#This Row],[Work Start TimeStamp]]="","",(WTG_BD[[#This Row],[Work Start TimeStamp]]-WTG_BD[[#This Row],[Fault Start TimeStamp]])*24)</f>
        <v>0</v>
      </c>
      <c r="R262" s="253">
        <f>(WTG_BD[[#This Row],[Fault Clearance time]]-WTG_BD[[#This Row],[Work Start TimeStamp]])*24</f>
        <v>1.2499999999999982</v>
      </c>
      <c r="S262" s="253">
        <f>(WTG_BD[[#This Row],[Fault Clearance time]]-WTG_BD[[#This Row],[Fault Start TimeStamp]])*24</f>
        <v>1.2499999999999982</v>
      </c>
      <c r="T262" s="135" t="s">
        <v>518</v>
      </c>
      <c r="U262" s="244" t="s">
        <v>474</v>
      </c>
      <c r="V262" s="246">
        <f>WTG_BD[[#This Row],[Breakdown Time]]*(1/39)</f>
        <v>3.2051282051282007E-2</v>
      </c>
      <c r="W262" s="244" t="s">
        <v>147</v>
      </c>
      <c r="X262" s="250">
        <v>192.49999999999972</v>
      </c>
      <c r="Y262" s="135" t="s">
        <v>470</v>
      </c>
      <c r="Z262" s="135" t="s">
        <v>498</v>
      </c>
      <c r="AA262" s="135">
        <v>3696</v>
      </c>
      <c r="AB262" s="249">
        <f>(WTG_BD[[#This Row],[Paired WTG Generation for loss calculation.]]/24)*WTG_BD[[#This Row],[Breakdown Time]]</f>
        <v>192.49999999999972</v>
      </c>
      <c r="AC262" s="135"/>
      <c r="AD262" s="245"/>
      <c r="AE262" s="3"/>
    </row>
    <row r="263" spans="1:31">
      <c r="A263" s="241">
        <f t="shared" si="9"/>
        <v>262</v>
      </c>
      <c r="B263" s="255">
        <v>45755</v>
      </c>
      <c r="C263" s="252">
        <v>2025</v>
      </c>
      <c r="D263" s="252">
        <f>YEAR(WTG_BD[[#This Row],[Date]])</f>
        <v>2025</v>
      </c>
      <c r="E263" s="251">
        <f t="shared" si="8"/>
        <v>45748</v>
      </c>
      <c r="F263" s="252" t="s">
        <v>465</v>
      </c>
      <c r="G263" s="248" t="s">
        <v>150</v>
      </c>
      <c r="H263" s="242" t="str">
        <f>IFERROR(VLOOKUP(WTG_BD[[#This Row],[Affected WTG]],'Basic Data'!$A$3:$E$56,2,0),"")</f>
        <v>PWEGPL</v>
      </c>
      <c r="I263" s="242" t="str">
        <f>IFERROR(VLOOKUP(WTG_BD[[#This Row],[Affected WTG]],'Basic Data'!$A$3:$E$56,3,0),"")</f>
        <v>MSEDCL</v>
      </c>
      <c r="J263" s="243">
        <f>IFERROR(VLOOKUP(WTG_BD[[#This Row],[Affected WTG]],'Basic Data'!$A$3:$E$56,5,0),"")</f>
        <v>2.564102564102564E-2</v>
      </c>
      <c r="K263" s="158">
        <v>402</v>
      </c>
      <c r="L263" s="247" t="str">
        <f>VLOOKUP(K263,'Basic Data'!T:U,2,0)</f>
        <v>Gearbox Oil Level Low</v>
      </c>
      <c r="M263" s="135" t="s">
        <v>472</v>
      </c>
      <c r="N263" s="256">
        <v>0.2361111111111111</v>
      </c>
      <c r="O263" s="256">
        <v>0.2361111111111111</v>
      </c>
      <c r="P263" s="256">
        <v>0.3888888888888889</v>
      </c>
      <c r="Q263" s="253">
        <f>IF(WTG_BD[[#This Row],[Work Start TimeStamp]]="","",(WTG_BD[[#This Row],[Work Start TimeStamp]]-WTG_BD[[#This Row],[Fault Start TimeStamp]])*24)</f>
        <v>0</v>
      </c>
      <c r="R263" s="253">
        <f>(WTG_BD[[#This Row],[Fault Clearance time]]-WTG_BD[[#This Row],[Work Start TimeStamp]])*24</f>
        <v>3.666666666666667</v>
      </c>
      <c r="S263" s="253">
        <f>(WTG_BD[[#This Row],[Fault Clearance time]]-WTG_BD[[#This Row],[Fault Start TimeStamp]])*24</f>
        <v>3.666666666666667</v>
      </c>
      <c r="T263" s="135" t="s">
        <v>473</v>
      </c>
      <c r="U263" s="244" t="s">
        <v>474</v>
      </c>
      <c r="V263" s="246">
        <f>WTG_BD[[#This Row],[Breakdown Time]]*(1/39)</f>
        <v>9.4017094017094016E-2</v>
      </c>
      <c r="W263" s="244" t="s">
        <v>149</v>
      </c>
      <c r="X263" s="250">
        <v>778.25000000000011</v>
      </c>
      <c r="Y263" s="135" t="s">
        <v>470</v>
      </c>
      <c r="Z263" s="135" t="s">
        <v>475</v>
      </c>
      <c r="AA263" s="135">
        <v>5094</v>
      </c>
      <c r="AB263" s="249">
        <f>(WTG_BD[[#This Row],[Paired WTG Generation for loss calculation.]]/24)*WTG_BD[[#This Row],[Breakdown Time]]</f>
        <v>778.25000000000011</v>
      </c>
      <c r="AC263" s="135"/>
      <c r="AD263" s="245"/>
      <c r="AE263" s="3"/>
    </row>
    <row r="264" spans="1:31">
      <c r="A264" s="241">
        <f t="shared" si="9"/>
        <v>263</v>
      </c>
      <c r="B264" s="255">
        <v>45756</v>
      </c>
      <c r="C264" s="252">
        <v>2025</v>
      </c>
      <c r="D264" s="252">
        <f>YEAR(WTG_BD[[#This Row],[Date]])</f>
        <v>2025</v>
      </c>
      <c r="E264" s="251">
        <f t="shared" si="8"/>
        <v>45748</v>
      </c>
      <c r="F264" s="252" t="s">
        <v>465</v>
      </c>
      <c r="G264" s="248" t="s">
        <v>144</v>
      </c>
      <c r="H264" s="242" t="str">
        <f>IFERROR(VLOOKUP(WTG_BD[[#This Row],[Affected WTG]],'Basic Data'!$A$3:$E$56,2,0),"")</f>
        <v>PWEGPL</v>
      </c>
      <c r="I264" s="242" t="str">
        <f>IFERROR(VLOOKUP(WTG_BD[[#This Row],[Affected WTG]],'Basic Data'!$A$3:$E$56,3,0),"")</f>
        <v>MSEDCL</v>
      </c>
      <c r="J264" s="243">
        <f>IFERROR(VLOOKUP(WTG_BD[[#This Row],[Affected WTG]],'Basic Data'!$A$3:$E$56,5,0),"")</f>
        <v>2.564102564102564E-2</v>
      </c>
      <c r="K264" s="158" t="s">
        <v>466</v>
      </c>
      <c r="L264" s="247" t="str">
        <f>VLOOKUP(K264,'Basic Data'!T:U,2,0)</f>
        <v>Manual Stop - Safety Related</v>
      </c>
      <c r="M264" s="135" t="s">
        <v>467</v>
      </c>
      <c r="N264" s="256">
        <v>0</v>
      </c>
      <c r="O264" s="256">
        <v>0.99930555555555556</v>
      </c>
      <c r="P264" s="256">
        <v>0.99930555555555556</v>
      </c>
      <c r="Q264" s="253">
        <f>IF(WTG_BD[[#This Row],[Work Start TimeStamp]]="","",(WTG_BD[[#This Row],[Work Start TimeStamp]]-WTG_BD[[#This Row],[Fault Start TimeStamp]])*24)</f>
        <v>23.983333333333334</v>
      </c>
      <c r="R264" s="253">
        <f>(WTG_BD[[#This Row],[Fault Clearance time]]-WTG_BD[[#This Row],[Work Start TimeStamp]])*24</f>
        <v>0</v>
      </c>
      <c r="S264" s="253">
        <f>(WTG_BD[[#This Row],[Fault Clearance time]]-WTG_BD[[#This Row],[Fault Start TimeStamp]])*24</f>
        <v>23.983333333333334</v>
      </c>
      <c r="T264" s="135" t="s">
        <v>468</v>
      </c>
      <c r="U264" s="244" t="s">
        <v>469</v>
      </c>
      <c r="V264" s="246">
        <f>WTG_BD[[#This Row],[Breakdown Time]]*(1/39)</f>
        <v>0.61495726495726499</v>
      </c>
      <c r="W264" s="244" t="s">
        <v>141</v>
      </c>
      <c r="X264" s="250">
        <v>8901.8138888888898</v>
      </c>
      <c r="Y264" s="135" t="s">
        <v>470</v>
      </c>
      <c r="Z264" s="135" t="s">
        <v>471</v>
      </c>
      <c r="AA264" s="135">
        <v>8908</v>
      </c>
      <c r="AB264" s="249">
        <f>(WTG_BD[[#This Row],[Paired WTG Generation for loss calculation.]]/24)*WTG_BD[[#This Row],[Breakdown Time]]</f>
        <v>8901.8138888888898</v>
      </c>
      <c r="AC264" s="135"/>
      <c r="AD264" s="245"/>
      <c r="AE264" s="3"/>
    </row>
    <row r="265" spans="1:31">
      <c r="A265" s="241">
        <f t="shared" si="9"/>
        <v>264</v>
      </c>
      <c r="B265" s="255">
        <v>45756</v>
      </c>
      <c r="C265" s="252">
        <v>2025</v>
      </c>
      <c r="D265" s="252">
        <f>YEAR(WTG_BD[[#This Row],[Date]])</f>
        <v>2025</v>
      </c>
      <c r="E265" s="251">
        <f t="shared" si="8"/>
        <v>45748</v>
      </c>
      <c r="F265" s="252" t="s">
        <v>465</v>
      </c>
      <c r="G265" s="248" t="s">
        <v>142</v>
      </c>
      <c r="H265" s="242" t="str">
        <f>IFERROR(VLOOKUP(WTG_BD[[#This Row],[Affected WTG]],'Basic Data'!$A$3:$E$56,2,0),"")</f>
        <v>PWEGPL</v>
      </c>
      <c r="I265" s="242" t="str">
        <f>IFERROR(VLOOKUP(WTG_BD[[#This Row],[Affected WTG]],'Basic Data'!$A$3:$E$56,3,0),"")</f>
        <v>MSEDCL</v>
      </c>
      <c r="J265" s="243">
        <f>IFERROR(VLOOKUP(WTG_BD[[#This Row],[Affected WTG]],'Basic Data'!$A$3:$E$56,5,0),"")</f>
        <v>2.564102564102564E-2</v>
      </c>
      <c r="K265" s="158" t="s">
        <v>466</v>
      </c>
      <c r="L265" s="247" t="str">
        <f>VLOOKUP(K265,'Basic Data'!T:U,2,0)</f>
        <v>Manual Stop - Safety Related</v>
      </c>
      <c r="M265" s="135" t="s">
        <v>467</v>
      </c>
      <c r="N265" s="256">
        <v>0</v>
      </c>
      <c r="O265" s="256">
        <v>0.99930555555555556</v>
      </c>
      <c r="P265" s="256">
        <v>0.99930555555555556</v>
      </c>
      <c r="Q265" s="253">
        <f>IF(WTG_BD[[#This Row],[Work Start TimeStamp]]="","",(WTG_BD[[#This Row],[Work Start TimeStamp]]-WTG_BD[[#This Row],[Fault Start TimeStamp]])*24)</f>
        <v>23.983333333333334</v>
      </c>
      <c r="R265" s="253">
        <f>(WTG_BD[[#This Row],[Fault Clearance time]]-WTG_BD[[#This Row],[Work Start TimeStamp]])*24</f>
        <v>0</v>
      </c>
      <c r="S265" s="253">
        <f>(WTG_BD[[#This Row],[Fault Clearance time]]-WTG_BD[[#This Row],[Fault Start TimeStamp]])*24</f>
        <v>23.983333333333334</v>
      </c>
      <c r="T265" s="135" t="s">
        <v>468</v>
      </c>
      <c r="U265" s="244" t="s">
        <v>469</v>
      </c>
      <c r="V265" s="246">
        <f>WTG_BD[[#This Row],[Breakdown Time]]*(1/39)</f>
        <v>0.61495726495726499</v>
      </c>
      <c r="W265" s="244" t="s">
        <v>141</v>
      </c>
      <c r="X265" s="250">
        <v>8901.8138888888898</v>
      </c>
      <c r="Y265" s="135" t="s">
        <v>470</v>
      </c>
      <c r="Z265" s="135" t="s">
        <v>471</v>
      </c>
      <c r="AA265" s="135">
        <v>8908</v>
      </c>
      <c r="AB265" s="249">
        <f>(WTG_BD[[#This Row],[Paired WTG Generation for loss calculation.]]/24)*WTG_BD[[#This Row],[Breakdown Time]]</f>
        <v>8901.8138888888898</v>
      </c>
      <c r="AC265" s="135"/>
      <c r="AD265" s="245"/>
      <c r="AE265" s="3"/>
    </row>
    <row r="266" spans="1:31">
      <c r="A266" s="241">
        <f t="shared" si="9"/>
        <v>265</v>
      </c>
      <c r="B266" s="255">
        <v>45756</v>
      </c>
      <c r="C266" s="252">
        <v>2025</v>
      </c>
      <c r="D266" s="252">
        <f>YEAR(WTG_BD[[#This Row],[Date]])</f>
        <v>2025</v>
      </c>
      <c r="E266" s="251">
        <f t="shared" si="8"/>
        <v>45748</v>
      </c>
      <c r="F266" s="252" t="s">
        <v>465</v>
      </c>
      <c r="G266" s="248" t="s">
        <v>115</v>
      </c>
      <c r="H266" s="242" t="str">
        <f>IFERROR(VLOOKUP(WTG_BD[[#This Row],[Affected WTG]],'Basic Data'!$A$3:$E$56,2,0),"")</f>
        <v>PWEGPL</v>
      </c>
      <c r="I266" s="242" t="str">
        <f>IFERROR(VLOOKUP(WTG_BD[[#This Row],[Affected WTG]],'Basic Data'!$A$3:$E$56,3,0),"")</f>
        <v>MSEDCL</v>
      </c>
      <c r="J266" s="243">
        <f>IFERROR(VLOOKUP(WTG_BD[[#This Row],[Affected WTG]],'Basic Data'!$A$3:$E$56,5,0),"")</f>
        <v>2.564102564102564E-2</v>
      </c>
      <c r="K266" s="158">
        <v>203</v>
      </c>
      <c r="L266" s="247" t="str">
        <f>VLOOKUP(K266,'Basic Data'!T:U,2,0)</f>
        <v>Low Pressure On Hydraulic Group</v>
      </c>
      <c r="M266" s="135" t="s">
        <v>472</v>
      </c>
      <c r="N266" s="256">
        <v>0.43402777777777779</v>
      </c>
      <c r="O266" s="256">
        <v>0.43402777777777779</v>
      </c>
      <c r="P266" s="256">
        <v>0.4375</v>
      </c>
      <c r="Q266" s="253">
        <f>IF(WTG_BD[[#This Row],[Work Start TimeStamp]]="","",(WTG_BD[[#This Row],[Work Start TimeStamp]]-WTG_BD[[#This Row],[Fault Start TimeStamp]])*24)</f>
        <v>0</v>
      </c>
      <c r="R266" s="253">
        <f>(WTG_BD[[#This Row],[Fault Clearance time]]-WTG_BD[[#This Row],[Work Start TimeStamp]])*24</f>
        <v>8.3333333333333037E-2</v>
      </c>
      <c r="S266" s="253">
        <f>(WTG_BD[[#This Row],[Fault Clearance time]]-WTG_BD[[#This Row],[Fault Start TimeStamp]])*24</f>
        <v>8.3333333333333037E-2</v>
      </c>
      <c r="T266" s="135" t="s">
        <v>476</v>
      </c>
      <c r="U266" s="244" t="s">
        <v>474</v>
      </c>
      <c r="V266" s="246">
        <f>WTG_BD[[#This Row],[Breakdown Time]]*(1/39)</f>
        <v>2.1367521367521292E-3</v>
      </c>
      <c r="W266" s="244" t="s">
        <v>121</v>
      </c>
      <c r="X266" s="250">
        <v>32.847222222222108</v>
      </c>
      <c r="Y266" s="135" t="s">
        <v>470</v>
      </c>
      <c r="Z266" s="135" t="s">
        <v>475</v>
      </c>
      <c r="AA266" s="135">
        <v>9460</v>
      </c>
      <c r="AB266" s="249">
        <f>(WTG_BD[[#This Row],[Paired WTG Generation for loss calculation.]]/24)*WTG_BD[[#This Row],[Breakdown Time]]</f>
        <v>32.847222222222108</v>
      </c>
      <c r="AC266" s="135"/>
      <c r="AD266" s="245"/>
      <c r="AE266" s="3"/>
    </row>
    <row r="267" spans="1:31">
      <c r="A267" s="241">
        <f t="shared" si="9"/>
        <v>266</v>
      </c>
      <c r="B267" s="255">
        <v>45756</v>
      </c>
      <c r="C267" s="252">
        <v>2025</v>
      </c>
      <c r="D267" s="252">
        <f>YEAR(WTG_BD[[#This Row],[Date]])</f>
        <v>2025</v>
      </c>
      <c r="E267" s="251">
        <f t="shared" si="8"/>
        <v>45748</v>
      </c>
      <c r="F267" s="252" t="s">
        <v>465</v>
      </c>
      <c r="G267" s="248" t="s">
        <v>118</v>
      </c>
      <c r="H267" s="242" t="str">
        <f>IFERROR(VLOOKUP(WTG_BD[[#This Row],[Affected WTG]],'Basic Data'!$A$3:$E$56,2,0),"")</f>
        <v>PWEGPL</v>
      </c>
      <c r="I267" s="242" t="str">
        <f>IFERROR(VLOOKUP(WTG_BD[[#This Row],[Affected WTG]],'Basic Data'!$A$3:$E$56,3,0),"")</f>
        <v>MSEDCL</v>
      </c>
      <c r="J267" s="243">
        <f>IFERROR(VLOOKUP(WTG_BD[[#This Row],[Affected WTG]],'Basic Data'!$A$3:$E$56,5,0),"")</f>
        <v>2.564102564102564E-2</v>
      </c>
      <c r="K267" s="158">
        <v>5200</v>
      </c>
      <c r="L267" s="247" t="str">
        <f>VLOOKUP(K267,'Basic Data'!T:U,2,0)</f>
        <v>Magnetothermic Trigger Of The Line Protection</v>
      </c>
      <c r="M267" s="135" t="s">
        <v>472</v>
      </c>
      <c r="N267" s="256">
        <v>0</v>
      </c>
      <c r="O267" s="256">
        <v>0</v>
      </c>
      <c r="P267" s="256">
        <v>2.9166666666666667E-2</v>
      </c>
      <c r="Q267" s="253">
        <f>IF(WTG_BD[[#This Row],[Work Start TimeStamp]]="","",(WTG_BD[[#This Row],[Work Start TimeStamp]]-WTG_BD[[#This Row],[Fault Start TimeStamp]])*24)</f>
        <v>0</v>
      </c>
      <c r="R267" s="253">
        <f>(WTG_BD[[#This Row],[Fault Clearance time]]-WTG_BD[[#This Row],[Work Start TimeStamp]])*24</f>
        <v>0.7</v>
      </c>
      <c r="S267" s="253">
        <f>(WTG_BD[[#This Row],[Fault Clearance time]]-WTG_BD[[#This Row],[Fault Start TimeStamp]])*24</f>
        <v>0.7</v>
      </c>
      <c r="T267" s="135" t="s">
        <v>473</v>
      </c>
      <c r="U267" s="244" t="s">
        <v>474</v>
      </c>
      <c r="V267" s="246">
        <f>WTG_BD[[#This Row],[Breakdown Time]]*(1/39)</f>
        <v>1.7948717948717947E-2</v>
      </c>
      <c r="W267" s="244" t="s">
        <v>117</v>
      </c>
      <c r="X267" s="250">
        <v>280.81666666666666</v>
      </c>
      <c r="Y267" s="135" t="s">
        <v>470</v>
      </c>
      <c r="Z267" s="135" t="s">
        <v>475</v>
      </c>
      <c r="AA267" s="135">
        <v>9628</v>
      </c>
      <c r="AB267" s="249">
        <f>(WTG_BD[[#This Row],[Paired WTG Generation for loss calculation.]]/24)*WTG_BD[[#This Row],[Breakdown Time]]</f>
        <v>280.81666666666666</v>
      </c>
      <c r="AC267" s="135"/>
      <c r="AD267" s="245"/>
      <c r="AE267" s="3"/>
    </row>
    <row r="268" spans="1:31">
      <c r="A268" s="241">
        <f t="shared" si="9"/>
        <v>267</v>
      </c>
      <c r="B268" s="255">
        <v>45756</v>
      </c>
      <c r="C268" s="252">
        <v>2025</v>
      </c>
      <c r="D268" s="252">
        <f>YEAR(WTG_BD[[#This Row],[Date]])</f>
        <v>2025</v>
      </c>
      <c r="E268" s="251">
        <f t="shared" si="8"/>
        <v>45748</v>
      </c>
      <c r="F268" s="252" t="s">
        <v>465</v>
      </c>
      <c r="G268" s="248" t="s">
        <v>118</v>
      </c>
      <c r="H268" s="242" t="str">
        <f>IFERROR(VLOOKUP(WTG_BD[[#This Row],[Affected WTG]],'Basic Data'!$A$3:$E$56,2,0),"")</f>
        <v>PWEGPL</v>
      </c>
      <c r="I268" s="242" t="str">
        <f>IFERROR(VLOOKUP(WTG_BD[[#This Row],[Affected WTG]],'Basic Data'!$A$3:$E$56,3,0),"")</f>
        <v>MSEDCL</v>
      </c>
      <c r="J268" s="243">
        <f>IFERROR(VLOOKUP(WTG_BD[[#This Row],[Affected WTG]],'Basic Data'!$A$3:$E$56,5,0),"")</f>
        <v>2.564102564102564E-2</v>
      </c>
      <c r="K268" s="158">
        <v>208</v>
      </c>
      <c r="L268" s="247" t="str">
        <f>VLOOKUP(K268,'Basic Data'!T:U,2,0)</f>
        <v>HU Pump Drive Failure</v>
      </c>
      <c r="M268" s="135" t="s">
        <v>472</v>
      </c>
      <c r="N268" s="256">
        <v>0.31944444444444442</v>
      </c>
      <c r="O268" s="256">
        <v>0.47152777777777777</v>
      </c>
      <c r="P268" s="256">
        <v>0.4826388888888889</v>
      </c>
      <c r="Q268" s="253">
        <f>IF(WTG_BD[[#This Row],[Work Start TimeStamp]]="","",(WTG_BD[[#This Row],[Work Start TimeStamp]]-WTG_BD[[#This Row],[Fault Start TimeStamp]])*24)</f>
        <v>3.6500000000000004</v>
      </c>
      <c r="R268" s="253">
        <f>(WTG_BD[[#This Row],[Fault Clearance time]]-WTG_BD[[#This Row],[Work Start TimeStamp]])*24</f>
        <v>0.26666666666666705</v>
      </c>
      <c r="S268" s="253">
        <f>(WTG_BD[[#This Row],[Fault Clearance time]]-WTG_BD[[#This Row],[Fault Start TimeStamp]])*24</f>
        <v>3.9166666666666674</v>
      </c>
      <c r="T268" s="135" t="s">
        <v>519</v>
      </c>
      <c r="U268" s="244" t="s">
        <v>474</v>
      </c>
      <c r="V268" s="246">
        <f>WTG_BD[[#This Row],[Breakdown Time]]*(1/39)</f>
        <v>0.10042735042735045</v>
      </c>
      <c r="W268" s="244" t="s">
        <v>117</v>
      </c>
      <c r="X268" s="250">
        <v>1571.2361111111115</v>
      </c>
      <c r="Y268" s="135" t="s">
        <v>470</v>
      </c>
      <c r="Z268" s="135" t="s">
        <v>475</v>
      </c>
      <c r="AA268" s="135">
        <v>9628</v>
      </c>
      <c r="AB268" s="249">
        <f>(WTG_BD[[#This Row],[Paired WTG Generation for loss calculation.]]/24)*WTG_BD[[#This Row],[Breakdown Time]]</f>
        <v>1571.2361111111115</v>
      </c>
      <c r="AC268" s="135"/>
      <c r="AD268" s="245"/>
      <c r="AE268" s="3"/>
    </row>
    <row r="269" spans="1:31">
      <c r="A269" s="241">
        <f t="shared" si="9"/>
        <v>268</v>
      </c>
      <c r="B269" s="255">
        <v>45756</v>
      </c>
      <c r="C269" s="252">
        <v>2025</v>
      </c>
      <c r="D269" s="252">
        <f>YEAR(WTG_BD[[#This Row],[Date]])</f>
        <v>2025</v>
      </c>
      <c r="E269" s="251">
        <f>B269-DAY(B269)+1</f>
        <v>45748</v>
      </c>
      <c r="F269" s="252" t="s">
        <v>465</v>
      </c>
      <c r="G269" s="248" t="s">
        <v>123</v>
      </c>
      <c r="H269" s="242" t="str">
        <f>IFERROR(VLOOKUP(WTG_BD[[#This Row],[Affected WTG]],'Basic Data'!$A$3:$E$56,2,0),"")</f>
        <v>PWEGPL</v>
      </c>
      <c r="I269" s="242" t="str">
        <f>IFERROR(VLOOKUP(WTG_BD[[#This Row],[Affected WTG]],'Basic Data'!$A$3:$E$56,3,0),"")</f>
        <v>MSEDCL</v>
      </c>
      <c r="J269" s="243">
        <f>IFERROR(VLOOKUP(WTG_BD[[#This Row],[Affected WTG]],'Basic Data'!$A$3:$E$56,5,0),"")</f>
        <v>2.564102564102564E-2</v>
      </c>
      <c r="K269" s="158">
        <v>5203</v>
      </c>
      <c r="L269" s="247" t="str">
        <f>VLOOKUP(K269,'Basic Data'!T:U,2,0)</f>
        <v>Heating/Coolant Thermal Magnetic Failure</v>
      </c>
      <c r="M269" s="135" t="s">
        <v>472</v>
      </c>
      <c r="N269" s="256">
        <v>0</v>
      </c>
      <c r="O269" s="256">
        <v>0</v>
      </c>
      <c r="P269" s="256">
        <v>9.3055555555555558E-2</v>
      </c>
      <c r="Q269" s="253">
        <f>IF(WTG_BD[[#This Row],[Work Start TimeStamp]]="","",(WTG_BD[[#This Row],[Work Start TimeStamp]]-WTG_BD[[#This Row],[Fault Start TimeStamp]])*24)</f>
        <v>0</v>
      </c>
      <c r="R269" s="253">
        <f>(WTG_BD[[#This Row],[Fault Clearance time]]-WTG_BD[[#This Row],[Work Start TimeStamp]])*24</f>
        <v>2.2333333333333334</v>
      </c>
      <c r="S269" s="253">
        <f>(WTG_BD[[#This Row],[Fault Clearance time]]-WTG_BD[[#This Row],[Fault Start TimeStamp]])*24</f>
        <v>2.2333333333333334</v>
      </c>
      <c r="T269" s="135" t="s">
        <v>520</v>
      </c>
      <c r="U269" s="244" t="s">
        <v>474</v>
      </c>
      <c r="V269" s="246">
        <f>WTG_BD[[#This Row],[Breakdown Time]]*(1/39)</f>
        <v>5.7264957264957263E-2</v>
      </c>
      <c r="W269" s="244" t="s">
        <v>126</v>
      </c>
      <c r="X269" s="250">
        <v>870.06944444444446</v>
      </c>
      <c r="Y269" s="135" t="s">
        <v>470</v>
      </c>
      <c r="Z269" s="135" t="s">
        <v>475</v>
      </c>
      <c r="AA269" s="135">
        <v>9350</v>
      </c>
      <c r="AB269" s="249">
        <f>(WTG_BD[[#This Row],[Paired WTG Generation for loss calculation.]]/24)*WTG_BD[[#This Row],[Breakdown Time]]</f>
        <v>870.06944444444446</v>
      </c>
      <c r="AC269" s="135"/>
      <c r="AD269" s="245"/>
      <c r="AE269" s="3"/>
    </row>
    <row r="270" spans="1:31">
      <c r="A270" s="241">
        <f t="shared" si="9"/>
        <v>269</v>
      </c>
      <c r="B270" s="255">
        <v>45756</v>
      </c>
      <c r="C270" s="252">
        <v>2025</v>
      </c>
      <c r="D270" s="252">
        <f>YEAR(WTG_BD[[#This Row],[Date]])</f>
        <v>2025</v>
      </c>
      <c r="E270" s="251">
        <f t="shared" si="8"/>
        <v>45748</v>
      </c>
      <c r="F270" s="252" t="s">
        <v>465</v>
      </c>
      <c r="G270" s="248" t="s">
        <v>124</v>
      </c>
      <c r="H270" s="242" t="str">
        <f>IFERROR(VLOOKUP(WTG_BD[[#This Row],[Affected WTG]],'Basic Data'!$A$3:$E$56,2,0),"")</f>
        <v>PWEGPL</v>
      </c>
      <c r="I270" s="242" t="str">
        <f>IFERROR(VLOOKUP(WTG_BD[[#This Row],[Affected WTG]],'Basic Data'!$A$3:$E$56,3,0),"")</f>
        <v>MSEDCL</v>
      </c>
      <c r="J270" s="243">
        <f>IFERROR(VLOOKUP(WTG_BD[[#This Row],[Affected WTG]],'Basic Data'!$A$3:$E$56,5,0),"")</f>
        <v>2.564102564102564E-2</v>
      </c>
      <c r="K270" s="158">
        <v>527</v>
      </c>
      <c r="L270" s="247" t="str">
        <f>VLOOKUP(K270,'Basic Data'!T:U,2,0)</f>
        <v>High Temperature Of Upper Radiator</v>
      </c>
      <c r="M270" s="135" t="s">
        <v>472</v>
      </c>
      <c r="N270" s="256">
        <v>2.6388888888888889E-2</v>
      </c>
      <c r="O270" s="256">
        <v>2.6388888888888889E-2</v>
      </c>
      <c r="P270" s="256">
        <v>2.9861111111111113E-2</v>
      </c>
      <c r="Q270" s="253">
        <f>IF(WTG_BD[[#This Row],[Work Start TimeStamp]]="","",(WTG_BD[[#This Row],[Work Start TimeStamp]]-WTG_BD[[#This Row],[Fault Start TimeStamp]])*24)</f>
        <v>0</v>
      </c>
      <c r="R270" s="253">
        <f>(WTG_BD[[#This Row],[Fault Clearance time]]-WTG_BD[[#This Row],[Work Start TimeStamp]])*24</f>
        <v>8.333333333333337E-2</v>
      </c>
      <c r="S270" s="253">
        <f>(WTG_BD[[#This Row],[Fault Clearance time]]-WTG_BD[[#This Row],[Fault Start TimeStamp]])*24</f>
        <v>8.333333333333337E-2</v>
      </c>
      <c r="T270" s="135" t="s">
        <v>476</v>
      </c>
      <c r="U270" s="244" t="s">
        <v>474</v>
      </c>
      <c r="V270" s="246">
        <f>WTG_BD[[#This Row],[Breakdown Time]]*(1/39)</f>
        <v>2.1367521367521378E-3</v>
      </c>
      <c r="W270" s="244" t="s">
        <v>125</v>
      </c>
      <c r="X270" s="250">
        <v>43.20833333333335</v>
      </c>
      <c r="Y270" s="135" t="s">
        <v>470</v>
      </c>
      <c r="Z270" s="135" t="s">
        <v>475</v>
      </c>
      <c r="AA270" s="135">
        <v>12444</v>
      </c>
      <c r="AB270" s="249">
        <f>(WTG_BD[[#This Row],[Paired WTG Generation for loss calculation.]]/24)*WTG_BD[[#This Row],[Breakdown Time]]</f>
        <v>43.20833333333335</v>
      </c>
      <c r="AC270" s="135"/>
      <c r="AD270" s="245"/>
      <c r="AE270" s="3"/>
    </row>
    <row r="271" spans="1:31">
      <c r="A271" s="241">
        <f t="shared" si="9"/>
        <v>270</v>
      </c>
      <c r="B271" s="255">
        <v>45756</v>
      </c>
      <c r="C271" s="252">
        <v>2025</v>
      </c>
      <c r="D271" s="252">
        <f>YEAR(WTG_BD[[#This Row],[Date]])</f>
        <v>2025</v>
      </c>
      <c r="E271" s="251">
        <f t="shared" si="8"/>
        <v>45748</v>
      </c>
      <c r="F271" s="252" t="s">
        <v>465</v>
      </c>
      <c r="G271" s="248" t="s">
        <v>124</v>
      </c>
      <c r="H271" s="242" t="str">
        <f>IFERROR(VLOOKUP(WTG_BD[[#This Row],[Affected WTG]],'Basic Data'!$A$3:$E$56,2,0),"")</f>
        <v>PWEGPL</v>
      </c>
      <c r="I271" s="242" t="str">
        <f>IFERROR(VLOOKUP(WTG_BD[[#This Row],[Affected WTG]],'Basic Data'!$A$3:$E$56,3,0),"")</f>
        <v>MSEDCL</v>
      </c>
      <c r="J271" s="243">
        <f>IFERROR(VLOOKUP(WTG_BD[[#This Row],[Affected WTG]],'Basic Data'!$A$3:$E$56,5,0),"")</f>
        <v>2.564102564102564E-2</v>
      </c>
      <c r="K271" s="158">
        <v>205</v>
      </c>
      <c r="L271" s="247" t="str">
        <f>VLOOKUP(K271,'Basic Data'!T:U,2,0)</f>
        <v>Low Level Hydraulic Group Refrigeration Oil</v>
      </c>
      <c r="M271" s="135" t="s">
        <v>472</v>
      </c>
      <c r="N271" s="256">
        <v>0.31944444444444442</v>
      </c>
      <c r="O271" s="256">
        <v>0.47152777777777777</v>
      </c>
      <c r="P271" s="256">
        <v>0.47361111111111109</v>
      </c>
      <c r="Q271" s="253">
        <f>IF(WTG_BD[[#This Row],[Work Start TimeStamp]]="","",(WTG_BD[[#This Row],[Work Start TimeStamp]]-WTG_BD[[#This Row],[Fault Start TimeStamp]])*24)</f>
        <v>3.6500000000000004</v>
      </c>
      <c r="R271" s="253">
        <f>(WTG_BD[[#This Row],[Fault Clearance time]]-WTG_BD[[#This Row],[Work Start TimeStamp]])*24</f>
        <v>4.9999999999999822E-2</v>
      </c>
      <c r="S271" s="253">
        <f>(WTG_BD[[#This Row],[Fault Clearance time]]-WTG_BD[[#This Row],[Fault Start TimeStamp]])*24</f>
        <v>3.7</v>
      </c>
      <c r="T271" s="135" t="s">
        <v>473</v>
      </c>
      <c r="U271" s="244" t="s">
        <v>474</v>
      </c>
      <c r="V271" s="246">
        <f>WTG_BD[[#This Row],[Breakdown Time]]*(1/39)</f>
        <v>9.4871794871794868E-2</v>
      </c>
      <c r="W271" s="244" t="s">
        <v>125</v>
      </c>
      <c r="X271" s="250">
        <v>1918.45</v>
      </c>
      <c r="Y271" s="135" t="s">
        <v>470</v>
      </c>
      <c r="Z271" s="135" t="s">
        <v>475</v>
      </c>
      <c r="AA271" s="135">
        <v>12444</v>
      </c>
      <c r="AB271" s="249">
        <f>(WTG_BD[[#This Row],[Paired WTG Generation for loss calculation.]]/24)*WTG_BD[[#This Row],[Breakdown Time]]</f>
        <v>1918.45</v>
      </c>
      <c r="AC271" s="135"/>
      <c r="AD271" s="245"/>
      <c r="AE271" s="3"/>
    </row>
    <row r="272" spans="1:31">
      <c r="A272" s="241">
        <f t="shared" si="9"/>
        <v>271</v>
      </c>
      <c r="B272" s="255">
        <v>45756</v>
      </c>
      <c r="C272" s="252">
        <v>2025</v>
      </c>
      <c r="D272" s="252">
        <f>YEAR(WTG_BD[[#This Row],[Date]])</f>
        <v>2025</v>
      </c>
      <c r="E272" s="251">
        <f t="shared" si="8"/>
        <v>45748</v>
      </c>
      <c r="F272" s="252" t="s">
        <v>465</v>
      </c>
      <c r="G272" s="248" t="s">
        <v>126</v>
      </c>
      <c r="H272" s="242" t="str">
        <f>IFERROR(VLOOKUP(WTG_BD[[#This Row],[Affected WTG]],'Basic Data'!$A$3:$E$56,2,0),"")</f>
        <v>PWEGPL</v>
      </c>
      <c r="I272" s="242" t="str">
        <f>IFERROR(VLOOKUP(WTG_BD[[#This Row],[Affected WTG]],'Basic Data'!$A$3:$E$56,3,0),"")</f>
        <v>MSEDCL</v>
      </c>
      <c r="J272" s="243">
        <f>IFERROR(VLOOKUP(WTG_BD[[#This Row],[Affected WTG]],'Basic Data'!$A$3:$E$56,5,0),"")</f>
        <v>2.564102564102564E-2</v>
      </c>
      <c r="K272" s="158">
        <v>203</v>
      </c>
      <c r="L272" s="247" t="str">
        <f>VLOOKUP(K272,'Basic Data'!T:U,2,0)</f>
        <v>Low Pressure On Hydraulic Group</v>
      </c>
      <c r="M272" s="135" t="s">
        <v>472</v>
      </c>
      <c r="N272" s="256">
        <v>0.57847222222222228</v>
      </c>
      <c r="O272" s="256">
        <v>0.57847222222222228</v>
      </c>
      <c r="P272" s="256">
        <v>0.5854166666666667</v>
      </c>
      <c r="Q272" s="253">
        <f>IF(WTG_BD[[#This Row],[Work Start TimeStamp]]="","",(WTG_BD[[#This Row],[Work Start TimeStamp]]-WTG_BD[[#This Row],[Fault Start TimeStamp]])*24)</f>
        <v>0</v>
      </c>
      <c r="R272" s="253">
        <f>(WTG_BD[[#This Row],[Fault Clearance time]]-WTG_BD[[#This Row],[Work Start TimeStamp]])*24</f>
        <v>0.16666666666666607</v>
      </c>
      <c r="S272" s="253">
        <f>(WTG_BD[[#This Row],[Fault Clearance time]]-WTG_BD[[#This Row],[Fault Start TimeStamp]])*24</f>
        <v>0.16666666666666607</v>
      </c>
      <c r="T272" s="135" t="s">
        <v>476</v>
      </c>
      <c r="U272" s="244" t="s">
        <v>474</v>
      </c>
      <c r="V272" s="246">
        <f>WTG_BD[[#This Row],[Breakdown Time]]*(1/39)</f>
        <v>4.2735042735042583E-3</v>
      </c>
      <c r="W272" s="244" t="s">
        <v>127</v>
      </c>
      <c r="X272" s="250">
        <v>56.263888888888687</v>
      </c>
      <c r="Y272" s="135" t="s">
        <v>470</v>
      </c>
      <c r="Z272" s="135" t="s">
        <v>475</v>
      </c>
      <c r="AA272" s="135">
        <v>8102</v>
      </c>
      <c r="AB272" s="249">
        <f>(WTG_BD[[#This Row],[Paired WTG Generation for loss calculation.]]/24)*WTG_BD[[#This Row],[Breakdown Time]]</f>
        <v>56.263888888888687</v>
      </c>
      <c r="AC272" s="135"/>
      <c r="AD272" s="245"/>
      <c r="AE272" s="3"/>
    </row>
    <row r="273" spans="1:31">
      <c r="A273" s="241">
        <f t="shared" si="9"/>
        <v>272</v>
      </c>
      <c r="B273" s="255">
        <v>45756</v>
      </c>
      <c r="C273" s="252">
        <v>2025</v>
      </c>
      <c r="D273" s="252">
        <f>YEAR(WTG_BD[[#This Row],[Date]])</f>
        <v>2025</v>
      </c>
      <c r="E273" s="251">
        <f t="shared" si="8"/>
        <v>45748</v>
      </c>
      <c r="F273" s="252" t="s">
        <v>465</v>
      </c>
      <c r="G273" s="248" t="s">
        <v>129</v>
      </c>
      <c r="H273" s="242" t="str">
        <f>IFERROR(VLOOKUP(WTG_BD[[#This Row],[Affected WTG]],'Basic Data'!$A$3:$E$56,2,0),"")</f>
        <v>PWEGPL</v>
      </c>
      <c r="I273" s="242" t="str">
        <f>IFERROR(VLOOKUP(WTG_BD[[#This Row],[Affected WTG]],'Basic Data'!$A$3:$E$56,3,0),"")</f>
        <v>MSEDCL</v>
      </c>
      <c r="J273" s="243">
        <f>IFERROR(VLOOKUP(WTG_BD[[#This Row],[Affected WTG]],'Basic Data'!$A$3:$E$56,5,0),"")</f>
        <v>2.564102564102564E-2</v>
      </c>
      <c r="K273" s="158">
        <v>502</v>
      </c>
      <c r="L273" s="247" t="str">
        <f>VLOOKUP(K273,'Basic Data'!T:U,2,0)</f>
        <v>Generator NDE Bearing High Temperature Alarm</v>
      </c>
      <c r="M273" s="135" t="s">
        <v>472</v>
      </c>
      <c r="N273" s="256">
        <v>0.20972222222222223</v>
      </c>
      <c r="O273" s="256">
        <v>0.20972222222222223</v>
      </c>
      <c r="P273" s="256">
        <v>0.21319444444444444</v>
      </c>
      <c r="Q273" s="253">
        <f>IF(WTG_BD[[#This Row],[Work Start TimeStamp]]="","",(WTG_BD[[#This Row],[Work Start TimeStamp]]-WTG_BD[[#This Row],[Fault Start TimeStamp]])*24)</f>
        <v>0</v>
      </c>
      <c r="R273" s="253">
        <f>(WTG_BD[[#This Row],[Fault Clearance time]]-WTG_BD[[#This Row],[Work Start TimeStamp]])*24</f>
        <v>8.3333333333333037E-2</v>
      </c>
      <c r="S273" s="253">
        <f>(WTG_BD[[#This Row],[Fault Clearance time]]-WTG_BD[[#This Row],[Fault Start TimeStamp]])*24</f>
        <v>8.3333333333333037E-2</v>
      </c>
      <c r="T273" s="135" t="s">
        <v>476</v>
      </c>
      <c r="U273" s="244" t="s">
        <v>474</v>
      </c>
      <c r="V273" s="246">
        <f>WTG_BD[[#This Row],[Breakdown Time]]*(1/39)</f>
        <v>2.1367521367521292E-3</v>
      </c>
      <c r="W273" s="244" t="s">
        <v>128</v>
      </c>
      <c r="X273" s="250">
        <v>36.083333333333208</v>
      </c>
      <c r="Y273" s="135" t="s">
        <v>470</v>
      </c>
      <c r="Z273" s="135" t="s">
        <v>475</v>
      </c>
      <c r="AA273" s="135">
        <v>10392</v>
      </c>
      <c r="AB273" s="249">
        <f>(WTG_BD[[#This Row],[Paired WTG Generation for loss calculation.]]/24)*WTG_BD[[#This Row],[Breakdown Time]]</f>
        <v>36.083333333333208</v>
      </c>
      <c r="AC273" s="135"/>
      <c r="AD273" s="245"/>
      <c r="AE273" s="3"/>
    </row>
    <row r="274" spans="1:31">
      <c r="A274" s="241">
        <f t="shared" si="9"/>
        <v>273</v>
      </c>
      <c r="B274" s="255">
        <v>45756</v>
      </c>
      <c r="C274" s="252">
        <v>2025</v>
      </c>
      <c r="D274" s="252">
        <f>YEAR(WTG_BD[[#This Row],[Date]])</f>
        <v>2025</v>
      </c>
      <c r="E274" s="251">
        <f t="shared" si="8"/>
        <v>45748</v>
      </c>
      <c r="F274" s="252" t="s">
        <v>465</v>
      </c>
      <c r="G274" s="248" t="s">
        <v>130</v>
      </c>
      <c r="H274" s="242" t="str">
        <f>IFERROR(VLOOKUP(WTG_BD[[#This Row],[Affected WTG]],'Basic Data'!$A$3:$E$56,2,0),"")</f>
        <v>PWEGPL</v>
      </c>
      <c r="I274" s="242" t="str">
        <f>IFERROR(VLOOKUP(WTG_BD[[#This Row],[Affected WTG]],'Basic Data'!$A$3:$E$56,3,0),"")</f>
        <v>MSEDCL</v>
      </c>
      <c r="J274" s="243">
        <f>IFERROR(VLOOKUP(WTG_BD[[#This Row],[Affected WTG]],'Basic Data'!$A$3:$E$56,5,0),"")</f>
        <v>2.564102564102564E-2</v>
      </c>
      <c r="K274" s="158">
        <v>5248</v>
      </c>
      <c r="L274" s="247" t="str">
        <f>VLOOKUP(K274,'Basic Data'!T:U,2,0)</f>
        <v>Active Crowbar IGBT Errors</v>
      </c>
      <c r="M274" s="135" t="s">
        <v>472</v>
      </c>
      <c r="N274" s="256">
        <v>0</v>
      </c>
      <c r="O274" s="256">
        <v>0</v>
      </c>
      <c r="P274" s="256">
        <v>0.78749999999999998</v>
      </c>
      <c r="Q274" s="253">
        <f>IF(WTG_BD[[#This Row],[Work Start TimeStamp]]="","",(WTG_BD[[#This Row],[Work Start TimeStamp]]-WTG_BD[[#This Row],[Fault Start TimeStamp]])*24)</f>
        <v>0</v>
      </c>
      <c r="R274" s="253">
        <f>(WTG_BD[[#This Row],[Fault Clearance time]]-WTG_BD[[#This Row],[Work Start TimeStamp]])*24</f>
        <v>18.899999999999999</v>
      </c>
      <c r="S274" s="253">
        <f>(WTG_BD[[#This Row],[Fault Clearance time]]-WTG_BD[[#This Row],[Fault Start TimeStamp]])*24</f>
        <v>18.899999999999999</v>
      </c>
      <c r="T274" s="135" t="s">
        <v>521</v>
      </c>
      <c r="U274" s="244" t="s">
        <v>474</v>
      </c>
      <c r="V274" s="246">
        <f>WTG_BD[[#This Row],[Breakdown Time]]*(1/39)</f>
        <v>0.48461538461538456</v>
      </c>
      <c r="W274" s="244" t="s">
        <v>131</v>
      </c>
      <c r="X274" s="250">
        <v>10226.475</v>
      </c>
      <c r="Y274" s="135" t="s">
        <v>522</v>
      </c>
      <c r="Z274" s="135" t="s">
        <v>475</v>
      </c>
      <c r="AA274" s="135">
        <v>12986</v>
      </c>
      <c r="AB274" s="249">
        <f>(WTG_BD[[#This Row],[Paired WTG Generation for loss calculation.]]/24)*WTG_BD[[#This Row],[Breakdown Time]]</f>
        <v>10226.475</v>
      </c>
      <c r="AC274" s="135"/>
      <c r="AD274" s="245"/>
      <c r="AE274" s="3"/>
    </row>
    <row r="275" spans="1:31">
      <c r="A275" s="241">
        <f t="shared" si="9"/>
        <v>274</v>
      </c>
      <c r="B275" s="255">
        <v>45756</v>
      </c>
      <c r="C275" s="252">
        <v>2025</v>
      </c>
      <c r="D275" s="252">
        <f>YEAR(WTG_BD[[#This Row],[Date]])</f>
        <v>2025</v>
      </c>
      <c r="E275" s="251">
        <f t="shared" si="8"/>
        <v>45748</v>
      </c>
      <c r="F275" s="252" t="s">
        <v>465</v>
      </c>
      <c r="G275" s="248" t="s">
        <v>132</v>
      </c>
      <c r="H275" s="242" t="str">
        <f>IFERROR(VLOOKUP(WTG_BD[[#This Row],[Affected WTG]],'Basic Data'!$A$3:$E$56,2,0),"")</f>
        <v>PWEGPL</v>
      </c>
      <c r="I275" s="242" t="str">
        <f>IFERROR(VLOOKUP(WTG_BD[[#This Row],[Affected WTG]],'Basic Data'!$A$3:$E$56,3,0),"")</f>
        <v>MSEDCL</v>
      </c>
      <c r="J275" s="243">
        <f>IFERROR(VLOOKUP(WTG_BD[[#This Row],[Affected WTG]],'Basic Data'!$A$3:$E$56,5,0),"")</f>
        <v>2.564102564102564E-2</v>
      </c>
      <c r="K275" s="158">
        <v>502</v>
      </c>
      <c r="L275" s="247" t="str">
        <f>VLOOKUP(K275,'Basic Data'!T:U,2,0)</f>
        <v>Generator NDE Bearing High Temperature Alarm</v>
      </c>
      <c r="M275" s="135" t="s">
        <v>472</v>
      </c>
      <c r="N275" s="256">
        <v>6.9444444444444448E-2</v>
      </c>
      <c r="O275" s="256">
        <v>6.9444444444444448E-2</v>
      </c>
      <c r="P275" s="256">
        <v>7.2916666666666671E-2</v>
      </c>
      <c r="Q275" s="253">
        <f>IF(WTG_BD[[#This Row],[Work Start TimeStamp]]="","",(WTG_BD[[#This Row],[Work Start TimeStamp]]-WTG_BD[[#This Row],[Fault Start TimeStamp]])*24)</f>
        <v>0</v>
      </c>
      <c r="R275" s="253">
        <f>(WTG_BD[[#This Row],[Fault Clearance time]]-WTG_BD[[#This Row],[Work Start TimeStamp]])*24</f>
        <v>8.333333333333337E-2</v>
      </c>
      <c r="S275" s="253">
        <f>(WTG_BD[[#This Row],[Fault Clearance time]]-WTG_BD[[#This Row],[Fault Start TimeStamp]])*24</f>
        <v>8.333333333333337E-2</v>
      </c>
      <c r="T275" s="135" t="s">
        <v>476</v>
      </c>
      <c r="U275" s="244" t="s">
        <v>474</v>
      </c>
      <c r="V275" s="246">
        <f>WTG_BD[[#This Row],[Breakdown Time]]*(1/39)</f>
        <v>2.1367521367521378E-3</v>
      </c>
      <c r="W275" s="244" t="s">
        <v>133</v>
      </c>
      <c r="X275" s="250">
        <v>40.722222222222243</v>
      </c>
      <c r="Y275" s="135" t="s">
        <v>470</v>
      </c>
      <c r="Z275" s="135" t="s">
        <v>475</v>
      </c>
      <c r="AA275" s="135">
        <v>11728</v>
      </c>
      <c r="AB275" s="249">
        <f>(WTG_BD[[#This Row],[Paired WTG Generation for loss calculation.]]/24)*WTG_BD[[#This Row],[Breakdown Time]]</f>
        <v>40.722222222222243</v>
      </c>
      <c r="AC275" s="135"/>
      <c r="AD275" s="245"/>
      <c r="AE275" s="3"/>
    </row>
    <row r="276" spans="1:31">
      <c r="A276" s="241">
        <f t="shared" si="9"/>
        <v>275</v>
      </c>
      <c r="B276" s="255">
        <v>45756</v>
      </c>
      <c r="C276" s="252">
        <v>2025</v>
      </c>
      <c r="D276" s="252">
        <f>YEAR(WTG_BD[[#This Row],[Date]])</f>
        <v>2025</v>
      </c>
      <c r="E276" s="251">
        <f t="shared" si="8"/>
        <v>45748</v>
      </c>
      <c r="F276" s="252" t="s">
        <v>465</v>
      </c>
      <c r="G276" s="248" t="s">
        <v>132</v>
      </c>
      <c r="H276" s="242" t="str">
        <f>IFERROR(VLOOKUP(WTG_BD[[#This Row],[Affected WTG]],'Basic Data'!$A$3:$E$56,2,0),"")</f>
        <v>PWEGPL</v>
      </c>
      <c r="I276" s="242" t="str">
        <f>IFERROR(VLOOKUP(WTG_BD[[#This Row],[Affected WTG]],'Basic Data'!$A$3:$E$56,3,0),"")</f>
        <v>MSEDCL</v>
      </c>
      <c r="J276" s="243">
        <f>IFERROR(VLOOKUP(WTG_BD[[#This Row],[Affected WTG]],'Basic Data'!$A$3:$E$56,5,0),"")</f>
        <v>2.564102564102564E-2</v>
      </c>
      <c r="K276" s="158">
        <v>502</v>
      </c>
      <c r="L276" s="247" t="str">
        <f>VLOOKUP(K276,'Basic Data'!T:U,2,0)</f>
        <v>Generator NDE Bearing High Temperature Alarm</v>
      </c>
      <c r="M276" s="135" t="s">
        <v>472</v>
      </c>
      <c r="N276" s="256">
        <v>0.22222222222222221</v>
      </c>
      <c r="O276" s="256">
        <v>0.22222222222222221</v>
      </c>
      <c r="P276" s="256">
        <v>0.22569444444444445</v>
      </c>
      <c r="Q276" s="253">
        <f>IF(WTG_BD[[#This Row],[Work Start TimeStamp]]="","",(WTG_BD[[#This Row],[Work Start TimeStamp]]-WTG_BD[[#This Row],[Fault Start TimeStamp]])*24)</f>
        <v>0</v>
      </c>
      <c r="R276" s="253">
        <f>(WTG_BD[[#This Row],[Fault Clearance time]]-WTG_BD[[#This Row],[Work Start TimeStamp]])*24</f>
        <v>8.3333333333333703E-2</v>
      </c>
      <c r="S276" s="253">
        <f>(WTG_BD[[#This Row],[Fault Clearance time]]-WTG_BD[[#This Row],[Fault Start TimeStamp]])*24</f>
        <v>8.3333333333333703E-2</v>
      </c>
      <c r="T276" s="135" t="s">
        <v>476</v>
      </c>
      <c r="U276" s="244" t="s">
        <v>474</v>
      </c>
      <c r="V276" s="246">
        <f>WTG_BD[[#This Row],[Breakdown Time]]*(1/39)</f>
        <v>2.1367521367521461E-3</v>
      </c>
      <c r="W276" s="244" t="s">
        <v>133</v>
      </c>
      <c r="X276" s="250">
        <v>40.722222222222406</v>
      </c>
      <c r="Y276" s="135" t="s">
        <v>470</v>
      </c>
      <c r="Z276" s="135" t="s">
        <v>475</v>
      </c>
      <c r="AA276" s="135">
        <v>11728</v>
      </c>
      <c r="AB276" s="249">
        <f>(WTG_BD[[#This Row],[Paired WTG Generation for loss calculation.]]/24)*WTG_BD[[#This Row],[Breakdown Time]]</f>
        <v>40.722222222222406</v>
      </c>
      <c r="AC276" s="135"/>
      <c r="AD276" s="245"/>
      <c r="AE276" s="3"/>
    </row>
    <row r="277" spans="1:31">
      <c r="A277" s="241">
        <f t="shared" si="9"/>
        <v>276</v>
      </c>
      <c r="B277" s="255">
        <v>45756</v>
      </c>
      <c r="C277" s="252">
        <v>2025</v>
      </c>
      <c r="D277" s="252">
        <f>YEAR(WTG_BD[[#This Row],[Date]])</f>
        <v>2025</v>
      </c>
      <c r="E277" s="251">
        <f t="shared" si="8"/>
        <v>45748</v>
      </c>
      <c r="F277" s="252" t="s">
        <v>465</v>
      </c>
      <c r="G277" s="248" t="s">
        <v>133</v>
      </c>
      <c r="H277" s="242" t="str">
        <f>IFERROR(VLOOKUP(WTG_BD[[#This Row],[Affected WTG]],'Basic Data'!$A$3:$E$56,2,0),"")</f>
        <v>PWEGPL</v>
      </c>
      <c r="I277" s="242" t="str">
        <f>IFERROR(VLOOKUP(WTG_BD[[#This Row],[Affected WTG]],'Basic Data'!$A$3:$E$56,3,0),"")</f>
        <v>MSEDCL</v>
      </c>
      <c r="J277" s="243">
        <f>IFERROR(VLOOKUP(WTG_BD[[#This Row],[Affected WTG]],'Basic Data'!$A$3:$E$56,5,0),"")</f>
        <v>2.564102564102564E-2</v>
      </c>
      <c r="K277" s="158">
        <v>205</v>
      </c>
      <c r="L277" s="247" t="str">
        <f>VLOOKUP(K277,'Basic Data'!T:U,2,0)</f>
        <v>Low Level Hydraulic Group Refrigeration Oil</v>
      </c>
      <c r="M277" s="135" t="s">
        <v>472</v>
      </c>
      <c r="N277" s="256">
        <v>0.39652777777777776</v>
      </c>
      <c r="O277" s="256">
        <v>0.57777777777777772</v>
      </c>
      <c r="P277" s="256">
        <v>0.57777777777777772</v>
      </c>
      <c r="Q277" s="253">
        <f>IF(WTG_BD[[#This Row],[Work Start TimeStamp]]="","",(WTG_BD[[#This Row],[Work Start TimeStamp]]-WTG_BD[[#This Row],[Fault Start TimeStamp]])*24)</f>
        <v>4.3499999999999996</v>
      </c>
      <c r="R277" s="253">
        <f>(WTG_BD[[#This Row],[Fault Clearance time]]-WTG_BD[[#This Row],[Work Start TimeStamp]])*24</f>
        <v>0</v>
      </c>
      <c r="S277" s="253">
        <f>(WTG_BD[[#This Row],[Fault Clearance time]]-WTG_BD[[#This Row],[Fault Start TimeStamp]])*24</f>
        <v>4.3499999999999996</v>
      </c>
      <c r="T277" s="135" t="s">
        <v>473</v>
      </c>
      <c r="U277" s="244" t="s">
        <v>474</v>
      </c>
      <c r="V277" s="246">
        <f>WTG_BD[[#This Row],[Breakdown Time]]*(1/39)</f>
        <v>0.11153846153846153</v>
      </c>
      <c r="W277" s="244" t="s">
        <v>134</v>
      </c>
      <c r="X277" s="250">
        <v>2228.8312499999997</v>
      </c>
      <c r="Y277" s="135" t="s">
        <v>470</v>
      </c>
      <c r="Z277" s="135" t="s">
        <v>475</v>
      </c>
      <c r="AA277" s="135">
        <v>12297</v>
      </c>
      <c r="AB277" s="249">
        <f>(WTG_BD[[#This Row],[Paired WTG Generation for loss calculation.]]/24)*WTG_BD[[#This Row],[Breakdown Time]]</f>
        <v>2228.8312499999997</v>
      </c>
      <c r="AC277" s="135"/>
      <c r="AD277" s="245"/>
      <c r="AE277" s="3"/>
    </row>
    <row r="278" spans="1:31">
      <c r="A278" s="241">
        <f t="shared" si="9"/>
        <v>277</v>
      </c>
      <c r="B278" s="255">
        <v>45756</v>
      </c>
      <c r="C278" s="252">
        <v>2025</v>
      </c>
      <c r="D278" s="252">
        <f>YEAR(WTG_BD[[#This Row],[Date]])</f>
        <v>2025</v>
      </c>
      <c r="E278" s="251">
        <f t="shared" si="8"/>
        <v>45748</v>
      </c>
      <c r="F278" s="252" t="s">
        <v>465</v>
      </c>
      <c r="G278" s="248" t="s">
        <v>136</v>
      </c>
      <c r="H278" s="242" t="str">
        <f>IFERROR(VLOOKUP(WTG_BD[[#This Row],[Affected WTG]],'Basic Data'!$A$3:$E$56,2,0),"")</f>
        <v>PWEGPL</v>
      </c>
      <c r="I278" s="242" t="str">
        <f>IFERROR(VLOOKUP(WTG_BD[[#This Row],[Affected WTG]],'Basic Data'!$A$3:$E$56,3,0),"")</f>
        <v>MSEDCL</v>
      </c>
      <c r="J278" s="243">
        <f>IFERROR(VLOOKUP(WTG_BD[[#This Row],[Affected WTG]],'Basic Data'!$A$3:$E$56,5,0),"")</f>
        <v>2.564102564102564E-2</v>
      </c>
      <c r="K278" s="158">
        <v>402</v>
      </c>
      <c r="L278" s="247" t="str">
        <f>VLOOKUP(K278,'Basic Data'!T:U,2,0)</f>
        <v>Gearbox Oil Level Low</v>
      </c>
      <c r="M278" s="135" t="s">
        <v>472</v>
      </c>
      <c r="N278" s="256">
        <v>0.2361111111111111</v>
      </c>
      <c r="O278" s="256">
        <v>0.2361111111111111</v>
      </c>
      <c r="P278" s="256">
        <v>0.35416666666666669</v>
      </c>
      <c r="Q278" s="253">
        <f>IF(WTG_BD[[#This Row],[Work Start TimeStamp]]="","",(WTG_BD[[#This Row],[Work Start TimeStamp]]-WTG_BD[[#This Row],[Fault Start TimeStamp]])*24)</f>
        <v>0</v>
      </c>
      <c r="R278" s="253">
        <f>(WTG_BD[[#This Row],[Fault Clearance time]]-WTG_BD[[#This Row],[Work Start TimeStamp]])*24</f>
        <v>2.8333333333333339</v>
      </c>
      <c r="S278" s="253">
        <f>(WTG_BD[[#This Row],[Fault Clearance time]]-WTG_BD[[#This Row],[Fault Start TimeStamp]])*24</f>
        <v>2.8333333333333339</v>
      </c>
      <c r="T278" s="135" t="s">
        <v>473</v>
      </c>
      <c r="U278" s="244" t="s">
        <v>474</v>
      </c>
      <c r="V278" s="246">
        <f>WTG_BD[[#This Row],[Breakdown Time]]*(1/39)</f>
        <v>7.2649572649572669E-2</v>
      </c>
      <c r="W278" s="244" t="s">
        <v>135</v>
      </c>
      <c r="X278" s="250">
        <v>1061.791666666667</v>
      </c>
      <c r="Y278" s="135" t="s">
        <v>470</v>
      </c>
      <c r="Z278" s="135" t="s">
        <v>475</v>
      </c>
      <c r="AA278" s="135">
        <v>8994</v>
      </c>
      <c r="AB278" s="249">
        <f>(WTG_BD[[#This Row],[Paired WTG Generation for loss calculation.]]/24)*WTG_BD[[#This Row],[Breakdown Time]]</f>
        <v>1061.791666666667</v>
      </c>
      <c r="AC278" s="135"/>
      <c r="AD278" s="245"/>
      <c r="AE278" s="3"/>
    </row>
    <row r="279" spans="1:31">
      <c r="A279" s="241">
        <f t="shared" si="9"/>
        <v>278</v>
      </c>
      <c r="B279" s="255">
        <v>45756</v>
      </c>
      <c r="C279" s="252">
        <v>2025</v>
      </c>
      <c r="D279" s="252">
        <f>YEAR(WTG_BD[[#This Row],[Date]])</f>
        <v>2025</v>
      </c>
      <c r="E279" s="251">
        <f t="shared" si="8"/>
        <v>45748</v>
      </c>
      <c r="F279" s="252" t="s">
        <v>465</v>
      </c>
      <c r="G279" s="248" t="s">
        <v>139</v>
      </c>
      <c r="H279" s="242" t="str">
        <f>IFERROR(VLOOKUP(WTG_BD[[#This Row],[Affected WTG]],'Basic Data'!$A$3:$E$56,2,0),"")</f>
        <v>PWEGPL</v>
      </c>
      <c r="I279" s="242" t="str">
        <f>IFERROR(VLOOKUP(WTG_BD[[#This Row],[Affected WTG]],'Basic Data'!$A$3:$E$56,3,0),"")</f>
        <v>MSEDCL</v>
      </c>
      <c r="J279" s="243">
        <f>IFERROR(VLOOKUP(WTG_BD[[#This Row],[Affected WTG]],'Basic Data'!$A$3:$E$56,5,0),"")</f>
        <v>2.564102564102564E-2</v>
      </c>
      <c r="K279" s="158">
        <v>527</v>
      </c>
      <c r="L279" s="247" t="str">
        <f>VLOOKUP(K279,'Basic Data'!T:U,2,0)</f>
        <v>High Temperature Of Upper Radiator</v>
      </c>
      <c r="M279" s="135" t="s">
        <v>472</v>
      </c>
      <c r="N279" s="256">
        <v>0.12638888888888888</v>
      </c>
      <c r="O279" s="256">
        <v>0.12638888888888888</v>
      </c>
      <c r="P279" s="256">
        <v>0.12986111111111112</v>
      </c>
      <c r="Q279" s="253">
        <f>IF(WTG_BD[[#This Row],[Work Start TimeStamp]]="","",(WTG_BD[[#This Row],[Work Start TimeStamp]]-WTG_BD[[#This Row],[Fault Start TimeStamp]])*24)</f>
        <v>0</v>
      </c>
      <c r="R279" s="253">
        <f>(WTG_BD[[#This Row],[Fault Clearance time]]-WTG_BD[[#This Row],[Work Start TimeStamp]])*24</f>
        <v>8.3333333333333703E-2</v>
      </c>
      <c r="S279" s="253">
        <f>(WTG_BD[[#This Row],[Fault Clearance time]]-WTG_BD[[#This Row],[Fault Start TimeStamp]])*24</f>
        <v>8.3333333333333703E-2</v>
      </c>
      <c r="T279" s="135" t="s">
        <v>476</v>
      </c>
      <c r="U279" s="244" t="s">
        <v>474</v>
      </c>
      <c r="V279" s="246">
        <f>WTG_BD[[#This Row],[Breakdown Time]]*(1/39)</f>
        <v>2.1367521367521461E-3</v>
      </c>
      <c r="W279" s="244" t="s">
        <v>145</v>
      </c>
      <c r="X279" s="250">
        <v>24.604166666666774</v>
      </c>
      <c r="Y279" s="135" t="s">
        <v>470</v>
      </c>
      <c r="Z279" s="135" t="s">
        <v>475</v>
      </c>
      <c r="AA279" s="135">
        <v>7086</v>
      </c>
      <c r="AB279" s="249">
        <f>(WTG_BD[[#This Row],[Paired WTG Generation for loss calculation.]]/24)*WTG_BD[[#This Row],[Breakdown Time]]</f>
        <v>24.604166666666774</v>
      </c>
      <c r="AC279" s="135"/>
      <c r="AD279" s="245"/>
      <c r="AE279" s="3"/>
    </row>
    <row r="280" spans="1:31">
      <c r="A280" s="241">
        <f t="shared" si="9"/>
        <v>279</v>
      </c>
      <c r="B280" s="255">
        <v>45756</v>
      </c>
      <c r="C280" s="252">
        <v>2025</v>
      </c>
      <c r="D280" s="252">
        <f>YEAR(WTG_BD[[#This Row],[Date]])</f>
        <v>2025</v>
      </c>
      <c r="E280" s="251">
        <f t="shared" si="8"/>
        <v>45748</v>
      </c>
      <c r="F280" s="252" t="s">
        <v>465</v>
      </c>
      <c r="G280" s="248" t="s">
        <v>139</v>
      </c>
      <c r="H280" s="242" t="str">
        <f>IFERROR(VLOOKUP(WTG_BD[[#This Row],[Affected WTG]],'Basic Data'!$A$3:$E$56,2,0),"")</f>
        <v>PWEGPL</v>
      </c>
      <c r="I280" s="242" t="str">
        <f>IFERROR(VLOOKUP(WTG_BD[[#This Row],[Affected WTG]],'Basic Data'!$A$3:$E$56,3,0),"")</f>
        <v>MSEDCL</v>
      </c>
      <c r="J280" s="243">
        <f>IFERROR(VLOOKUP(WTG_BD[[#This Row],[Affected WTG]],'Basic Data'!$A$3:$E$56,5,0),"")</f>
        <v>2.564102564102564E-2</v>
      </c>
      <c r="K280" s="158">
        <v>203</v>
      </c>
      <c r="L280" s="247" t="str">
        <f>VLOOKUP(K280,'Basic Data'!T:U,2,0)</f>
        <v>Low Pressure On Hydraulic Group</v>
      </c>
      <c r="M280" s="135" t="s">
        <v>472</v>
      </c>
      <c r="N280" s="256">
        <v>0.55347222222222225</v>
      </c>
      <c r="O280" s="256">
        <v>0.55347222222222225</v>
      </c>
      <c r="P280" s="256">
        <v>0.55694444444444446</v>
      </c>
      <c r="Q280" s="253">
        <f>IF(WTG_BD[[#This Row],[Work Start TimeStamp]]="","",(WTG_BD[[#This Row],[Work Start TimeStamp]]-WTG_BD[[#This Row],[Fault Start TimeStamp]])*24)</f>
        <v>0</v>
      </c>
      <c r="R280" s="253">
        <f>(WTG_BD[[#This Row],[Fault Clearance time]]-WTG_BD[[#This Row],[Work Start TimeStamp]])*24</f>
        <v>8.3333333333333037E-2</v>
      </c>
      <c r="S280" s="253">
        <f>(WTG_BD[[#This Row],[Fault Clearance time]]-WTG_BD[[#This Row],[Fault Start TimeStamp]])*24</f>
        <v>8.3333333333333037E-2</v>
      </c>
      <c r="T280" s="135" t="s">
        <v>476</v>
      </c>
      <c r="U280" s="244" t="s">
        <v>474</v>
      </c>
      <c r="V280" s="246">
        <f>WTG_BD[[#This Row],[Breakdown Time]]*(1/39)</f>
        <v>2.1367521367521292E-3</v>
      </c>
      <c r="W280" s="244" t="s">
        <v>145</v>
      </c>
      <c r="X280" s="250">
        <v>24.604166666666579</v>
      </c>
      <c r="Y280" s="135" t="s">
        <v>470</v>
      </c>
      <c r="Z280" s="135" t="s">
        <v>475</v>
      </c>
      <c r="AA280" s="135">
        <v>7086</v>
      </c>
      <c r="AB280" s="249">
        <f>(WTG_BD[[#This Row],[Paired WTG Generation for loss calculation.]]/24)*WTG_BD[[#This Row],[Breakdown Time]]</f>
        <v>24.604166666666579</v>
      </c>
      <c r="AC280" s="135"/>
      <c r="AD280" s="245"/>
      <c r="AE280" s="3"/>
    </row>
    <row r="281" spans="1:31">
      <c r="A281" s="241">
        <f t="shared" si="9"/>
        <v>280</v>
      </c>
      <c r="B281" s="255">
        <v>45756</v>
      </c>
      <c r="C281" s="252">
        <v>2025</v>
      </c>
      <c r="D281" s="252">
        <f>YEAR(WTG_BD[[#This Row],[Date]])</f>
        <v>2025</v>
      </c>
      <c r="E281" s="251">
        <f t="shared" si="8"/>
        <v>45748</v>
      </c>
      <c r="F281" s="252" t="s">
        <v>465</v>
      </c>
      <c r="G281" s="248" t="s">
        <v>150</v>
      </c>
      <c r="H281" s="242" t="str">
        <f>IFERROR(VLOOKUP(WTG_BD[[#This Row],[Affected WTG]],'Basic Data'!$A$3:$E$56,2,0),"")</f>
        <v>PWEGPL</v>
      </c>
      <c r="I281" s="242" t="str">
        <f>IFERROR(VLOOKUP(WTG_BD[[#This Row],[Affected WTG]],'Basic Data'!$A$3:$E$56,3,0),"")</f>
        <v>MSEDCL</v>
      </c>
      <c r="J281" s="243">
        <f>IFERROR(VLOOKUP(WTG_BD[[#This Row],[Affected WTG]],'Basic Data'!$A$3:$E$56,5,0),"")</f>
        <v>2.564102564102564E-2</v>
      </c>
      <c r="K281" s="158">
        <v>5219</v>
      </c>
      <c r="L281" s="247" t="str">
        <f>VLOOKUP(K281,'Basic Data'!T:U,2,0)</f>
        <v>Coolant Of The Coolant Circuit Failure</v>
      </c>
      <c r="M281" s="135" t="s">
        <v>472</v>
      </c>
      <c r="N281" s="256">
        <v>0.6</v>
      </c>
      <c r="O281" s="256">
        <v>0.61944444444444446</v>
      </c>
      <c r="P281" s="256">
        <v>0.62083333333333335</v>
      </c>
      <c r="Q281" s="253">
        <f>IF(WTG_BD[[#This Row],[Work Start TimeStamp]]="","",(WTG_BD[[#This Row],[Work Start TimeStamp]]-WTG_BD[[#This Row],[Fault Start TimeStamp]])*24)</f>
        <v>0.46666666666666767</v>
      </c>
      <c r="R281" s="253">
        <f>(WTG_BD[[#This Row],[Fault Clearance time]]-WTG_BD[[#This Row],[Work Start TimeStamp]])*24</f>
        <v>3.3333333333333215E-2</v>
      </c>
      <c r="S281" s="253">
        <f>(WTG_BD[[#This Row],[Fault Clearance time]]-WTG_BD[[#This Row],[Fault Start TimeStamp]])*24</f>
        <v>0.50000000000000089</v>
      </c>
      <c r="T281" s="135" t="s">
        <v>473</v>
      </c>
      <c r="U281" s="244" t="s">
        <v>474</v>
      </c>
      <c r="V281" s="246">
        <f>WTG_BD[[#This Row],[Breakdown Time]]*(1/39)</f>
        <v>1.2820512820512843E-2</v>
      </c>
      <c r="W281" s="244" t="s">
        <v>149</v>
      </c>
      <c r="X281" s="250">
        <v>205.50000000000037</v>
      </c>
      <c r="Y281" s="135" t="s">
        <v>470</v>
      </c>
      <c r="Z281" s="135" t="s">
        <v>475</v>
      </c>
      <c r="AA281" s="135">
        <v>9864</v>
      </c>
      <c r="AB281" s="249">
        <f>(WTG_BD[[#This Row],[Paired WTG Generation for loss calculation.]]/24)*WTG_BD[[#This Row],[Breakdown Time]]</f>
        <v>205.50000000000037</v>
      </c>
      <c r="AC281" s="135"/>
      <c r="AD281" s="245"/>
      <c r="AE281" s="3"/>
    </row>
    <row r="282" spans="1:31">
      <c r="A282" s="241">
        <f t="shared" si="9"/>
        <v>281</v>
      </c>
      <c r="B282" s="255">
        <v>45757</v>
      </c>
      <c r="C282" s="252">
        <v>2025</v>
      </c>
      <c r="D282" s="252">
        <f>YEAR(WTG_BD[[#This Row],[Date]])</f>
        <v>2025</v>
      </c>
      <c r="E282" s="251">
        <f t="shared" si="8"/>
        <v>45748</v>
      </c>
      <c r="F282" s="252" t="s">
        <v>465</v>
      </c>
      <c r="G282" s="248" t="s">
        <v>144</v>
      </c>
      <c r="H282" s="242" t="str">
        <f>IFERROR(VLOOKUP(WTG_BD[[#This Row],[Affected WTG]],'Basic Data'!$A$3:$E$56,2,0),"")</f>
        <v>PWEGPL</v>
      </c>
      <c r="I282" s="242" t="str">
        <f>IFERROR(VLOOKUP(WTG_BD[[#This Row],[Affected WTG]],'Basic Data'!$A$3:$E$56,3,0),"")</f>
        <v>MSEDCL</v>
      </c>
      <c r="J282" s="243">
        <f>IFERROR(VLOOKUP(WTG_BD[[#This Row],[Affected WTG]],'Basic Data'!$A$3:$E$56,5,0),"")</f>
        <v>2.564102564102564E-2</v>
      </c>
      <c r="K282" s="158" t="s">
        <v>466</v>
      </c>
      <c r="L282" s="247" t="str">
        <f>VLOOKUP(K282,'Basic Data'!T:U,2,0)</f>
        <v>Manual Stop - Safety Related</v>
      </c>
      <c r="M282" s="135" t="s">
        <v>467</v>
      </c>
      <c r="N282" s="256">
        <v>0</v>
      </c>
      <c r="O282" s="256">
        <v>0.99930555555555556</v>
      </c>
      <c r="P282" s="256">
        <v>0.99930555555555556</v>
      </c>
      <c r="Q282" s="253">
        <f>IF(WTG_BD[[#This Row],[Work Start TimeStamp]]="","",(WTG_BD[[#This Row],[Work Start TimeStamp]]-WTG_BD[[#This Row],[Fault Start TimeStamp]])*24)</f>
        <v>23.983333333333334</v>
      </c>
      <c r="R282" s="253">
        <f>(WTG_BD[[#This Row],[Fault Clearance time]]-WTG_BD[[#This Row],[Work Start TimeStamp]])*24</f>
        <v>0</v>
      </c>
      <c r="S282" s="253">
        <f>(WTG_BD[[#This Row],[Fault Clearance time]]-WTG_BD[[#This Row],[Fault Start TimeStamp]])*24</f>
        <v>23.983333333333334</v>
      </c>
      <c r="T282" s="135" t="s">
        <v>468</v>
      </c>
      <c r="U282" s="244" t="s">
        <v>469</v>
      </c>
      <c r="V282" s="246">
        <f>WTG_BD[[#This Row],[Breakdown Time]]*(1/39)</f>
        <v>0.61495726495726499</v>
      </c>
      <c r="W282" s="244" t="s">
        <v>141</v>
      </c>
      <c r="X282" s="250">
        <v>12533.29027777778</v>
      </c>
      <c r="Y282" s="135" t="s">
        <v>470</v>
      </c>
      <c r="Z282" s="135" t="s">
        <v>471</v>
      </c>
      <c r="AA282" s="135">
        <v>12542</v>
      </c>
      <c r="AB282" s="249">
        <f>(WTG_BD[[#This Row],[Paired WTG Generation for loss calculation.]]/24)*WTG_BD[[#This Row],[Breakdown Time]]</f>
        <v>12533.29027777778</v>
      </c>
      <c r="AC282" s="135"/>
      <c r="AD282" s="245"/>
      <c r="AE282" s="3"/>
    </row>
    <row r="283" spans="1:31">
      <c r="A283" s="241">
        <f t="shared" si="9"/>
        <v>282</v>
      </c>
      <c r="B283" s="255">
        <v>45757</v>
      </c>
      <c r="C283" s="252">
        <v>2025</v>
      </c>
      <c r="D283" s="252">
        <f>YEAR(WTG_BD[[#This Row],[Date]])</f>
        <v>2025</v>
      </c>
      <c r="E283" s="251">
        <f t="shared" si="8"/>
        <v>45748</v>
      </c>
      <c r="F283" s="252" t="s">
        <v>465</v>
      </c>
      <c r="G283" s="248" t="s">
        <v>142</v>
      </c>
      <c r="H283" s="242" t="str">
        <f>IFERROR(VLOOKUP(WTG_BD[[#This Row],[Affected WTG]],'Basic Data'!$A$3:$E$56,2,0),"")</f>
        <v>PWEGPL</v>
      </c>
      <c r="I283" s="242" t="str">
        <f>IFERROR(VLOOKUP(WTG_BD[[#This Row],[Affected WTG]],'Basic Data'!$A$3:$E$56,3,0),"")</f>
        <v>MSEDCL</v>
      </c>
      <c r="J283" s="243">
        <f>IFERROR(VLOOKUP(WTG_BD[[#This Row],[Affected WTG]],'Basic Data'!$A$3:$E$56,5,0),"")</f>
        <v>2.564102564102564E-2</v>
      </c>
      <c r="K283" s="158" t="s">
        <v>466</v>
      </c>
      <c r="L283" s="247" t="str">
        <f>VLOOKUP(K283,'Basic Data'!T:U,2,0)</f>
        <v>Manual Stop - Safety Related</v>
      </c>
      <c r="M283" s="135" t="s">
        <v>467</v>
      </c>
      <c r="N283" s="256">
        <v>0</v>
      </c>
      <c r="O283" s="256">
        <v>0.99930555555555556</v>
      </c>
      <c r="P283" s="256">
        <v>0.99930555555555556</v>
      </c>
      <c r="Q283" s="253">
        <f>IF(WTG_BD[[#This Row],[Work Start TimeStamp]]="","",(WTG_BD[[#This Row],[Work Start TimeStamp]]-WTG_BD[[#This Row],[Fault Start TimeStamp]])*24)</f>
        <v>23.983333333333334</v>
      </c>
      <c r="R283" s="253">
        <f>(WTG_BD[[#This Row],[Fault Clearance time]]-WTG_BD[[#This Row],[Work Start TimeStamp]])*24</f>
        <v>0</v>
      </c>
      <c r="S283" s="253">
        <f>(WTG_BD[[#This Row],[Fault Clearance time]]-WTG_BD[[#This Row],[Fault Start TimeStamp]])*24</f>
        <v>23.983333333333334</v>
      </c>
      <c r="T283" s="135" t="s">
        <v>468</v>
      </c>
      <c r="U283" s="244" t="s">
        <v>469</v>
      </c>
      <c r="V283" s="246">
        <f>WTG_BD[[#This Row],[Breakdown Time]]*(1/39)</f>
        <v>0.61495726495726499</v>
      </c>
      <c r="W283" s="244" t="s">
        <v>141</v>
      </c>
      <c r="X283" s="250">
        <v>12533.29027777778</v>
      </c>
      <c r="Y283" s="135" t="s">
        <v>470</v>
      </c>
      <c r="Z283" s="135" t="s">
        <v>471</v>
      </c>
      <c r="AA283" s="135">
        <v>12542</v>
      </c>
      <c r="AB283" s="249">
        <f>(WTG_BD[[#This Row],[Paired WTG Generation for loss calculation.]]/24)*WTG_BD[[#This Row],[Breakdown Time]]</f>
        <v>12533.29027777778</v>
      </c>
      <c r="AC283" s="135"/>
      <c r="AD283" s="245"/>
      <c r="AE283" s="3"/>
    </row>
    <row r="284" spans="1:31">
      <c r="A284" s="241">
        <f t="shared" si="9"/>
        <v>283</v>
      </c>
      <c r="B284" s="255">
        <v>45757</v>
      </c>
      <c r="C284" s="252">
        <v>2025</v>
      </c>
      <c r="D284" s="252">
        <f>YEAR(WTG_BD[[#This Row],[Date]])</f>
        <v>2025</v>
      </c>
      <c r="E284" s="251">
        <f t="shared" si="8"/>
        <v>45748</v>
      </c>
      <c r="F284" s="252" t="s">
        <v>465</v>
      </c>
      <c r="G284" s="248" t="s">
        <v>118</v>
      </c>
      <c r="H284" s="242" t="str">
        <f>IFERROR(VLOOKUP(WTG_BD[[#This Row],[Affected WTG]],'Basic Data'!$A$3:$E$56,2,0),"")</f>
        <v>PWEGPL</v>
      </c>
      <c r="I284" s="242" t="str">
        <f>IFERROR(VLOOKUP(WTG_BD[[#This Row],[Affected WTG]],'Basic Data'!$A$3:$E$56,3,0),"")</f>
        <v>MSEDCL</v>
      </c>
      <c r="J284" s="243">
        <f>IFERROR(VLOOKUP(WTG_BD[[#This Row],[Affected WTG]],'Basic Data'!$A$3:$E$56,5,0),"")</f>
        <v>2.564102564102564E-2</v>
      </c>
      <c r="K284" s="158">
        <v>5200</v>
      </c>
      <c r="L284" s="247" t="str">
        <f>VLOOKUP(K284,'Basic Data'!T:U,2,0)</f>
        <v>Magnetothermic Trigger Of The Line Protection</v>
      </c>
      <c r="M284" s="135" t="s">
        <v>472</v>
      </c>
      <c r="N284" s="256">
        <v>0.60763888888888884</v>
      </c>
      <c r="O284" s="256">
        <v>0.64722222222222225</v>
      </c>
      <c r="P284" s="256">
        <v>0.65</v>
      </c>
      <c r="Q284" s="253">
        <f>IF(WTG_BD[[#This Row],[Work Start TimeStamp]]="","",(WTG_BD[[#This Row],[Work Start TimeStamp]]-WTG_BD[[#This Row],[Fault Start TimeStamp]])*24)</f>
        <v>0.95000000000000195</v>
      </c>
      <c r="R284" s="253">
        <f>(WTG_BD[[#This Row],[Fault Clearance time]]-WTG_BD[[#This Row],[Work Start TimeStamp]])*24</f>
        <v>6.666666666666643E-2</v>
      </c>
      <c r="S284" s="253">
        <f>(WTG_BD[[#This Row],[Fault Clearance time]]-WTG_BD[[#This Row],[Fault Start TimeStamp]])*24</f>
        <v>1.0166666666666684</v>
      </c>
      <c r="T284" s="135" t="s">
        <v>482</v>
      </c>
      <c r="U284" s="244" t="s">
        <v>474</v>
      </c>
      <c r="V284" s="246">
        <f>WTG_BD[[#This Row],[Breakdown Time]]*(1/39)</f>
        <v>2.6068376068376111E-2</v>
      </c>
      <c r="W284" s="244" t="s">
        <v>117</v>
      </c>
      <c r="X284" s="250">
        <v>555.77777777777862</v>
      </c>
      <c r="Y284" s="135" t="s">
        <v>470</v>
      </c>
      <c r="Z284" s="135" t="s">
        <v>475</v>
      </c>
      <c r="AA284" s="135">
        <v>13120</v>
      </c>
      <c r="AB284" s="249">
        <f>(WTG_BD[[#This Row],[Paired WTG Generation for loss calculation.]]/24)*WTG_BD[[#This Row],[Breakdown Time]]</f>
        <v>555.77777777777862</v>
      </c>
      <c r="AC284" s="135"/>
      <c r="AD284" s="245"/>
      <c r="AE284" s="3"/>
    </row>
    <row r="285" spans="1:31">
      <c r="A285" s="241">
        <f t="shared" si="9"/>
        <v>284</v>
      </c>
      <c r="B285" s="255">
        <v>45757</v>
      </c>
      <c r="C285" s="252">
        <v>2025</v>
      </c>
      <c r="D285" s="252">
        <f>YEAR(WTG_BD[[#This Row],[Date]])</f>
        <v>2025</v>
      </c>
      <c r="E285" s="251">
        <f t="shared" si="8"/>
        <v>45748</v>
      </c>
      <c r="F285" s="252" t="s">
        <v>465</v>
      </c>
      <c r="G285" s="248" t="s">
        <v>121</v>
      </c>
      <c r="H285" s="242" t="str">
        <f>IFERROR(VLOOKUP(WTG_BD[[#This Row],[Affected WTG]],'Basic Data'!$A$3:$E$56,2,0),"")</f>
        <v>PWEGPL</v>
      </c>
      <c r="I285" s="242" t="str">
        <f>IFERROR(VLOOKUP(WTG_BD[[#This Row],[Affected WTG]],'Basic Data'!$A$3:$E$56,3,0),"")</f>
        <v>MSEDCL</v>
      </c>
      <c r="J285" s="243">
        <f>IFERROR(VLOOKUP(WTG_BD[[#This Row],[Affected WTG]],'Basic Data'!$A$3:$E$56,5,0),"")</f>
        <v>2.564102564102564E-2</v>
      </c>
      <c r="K285" s="158">
        <v>211</v>
      </c>
      <c r="L285" s="247" t="str">
        <f>VLOOKUP(K285,'Basic Data'!T:U,2,0)</f>
        <v>Hydraulic HUB Filter Dirty</v>
      </c>
      <c r="M285" s="135" t="s">
        <v>472</v>
      </c>
      <c r="N285" s="256">
        <v>0.61458333333333337</v>
      </c>
      <c r="O285" s="256">
        <v>0.66874999999999996</v>
      </c>
      <c r="P285" s="256">
        <v>0.67013888888888884</v>
      </c>
      <c r="Q285" s="253">
        <f>IF(WTG_BD[[#This Row],[Work Start TimeStamp]]="","",(WTG_BD[[#This Row],[Work Start TimeStamp]]-WTG_BD[[#This Row],[Fault Start TimeStamp]])*24)</f>
        <v>1.299999999999998</v>
      </c>
      <c r="R285" s="253">
        <f>(WTG_BD[[#This Row],[Fault Clearance time]]-WTG_BD[[#This Row],[Work Start TimeStamp]])*24</f>
        <v>3.3333333333333215E-2</v>
      </c>
      <c r="S285" s="253">
        <f>(WTG_BD[[#This Row],[Fault Clearance time]]-WTG_BD[[#This Row],[Fault Start TimeStamp]])*24</f>
        <v>1.3333333333333313</v>
      </c>
      <c r="T285" s="135" t="s">
        <v>473</v>
      </c>
      <c r="U285" s="244" t="s">
        <v>474</v>
      </c>
      <c r="V285" s="246">
        <f>WTG_BD[[#This Row],[Breakdown Time]]*(1/39)</f>
        <v>3.4188034188034136E-2</v>
      </c>
      <c r="W285" s="244" t="s">
        <v>115</v>
      </c>
      <c r="X285" s="250">
        <v>819.44444444444321</v>
      </c>
      <c r="Y285" s="135" t="s">
        <v>470</v>
      </c>
      <c r="Z285" s="135" t="s">
        <v>475</v>
      </c>
      <c r="AA285" s="135">
        <v>14750</v>
      </c>
      <c r="AB285" s="249">
        <f>(WTG_BD[[#This Row],[Paired WTG Generation for loss calculation.]]/24)*WTG_BD[[#This Row],[Breakdown Time]]</f>
        <v>819.44444444444321</v>
      </c>
      <c r="AC285" s="135"/>
      <c r="AD285" s="245"/>
      <c r="AE285" s="3"/>
    </row>
    <row r="286" spans="1:31">
      <c r="A286" s="241">
        <f t="shared" si="9"/>
        <v>285</v>
      </c>
      <c r="B286" s="255">
        <v>45757</v>
      </c>
      <c r="C286" s="252">
        <v>2025</v>
      </c>
      <c r="D286" s="252">
        <f>YEAR(WTG_BD[[#This Row],[Date]])</f>
        <v>2025</v>
      </c>
      <c r="E286" s="251">
        <f t="shared" si="8"/>
        <v>45748</v>
      </c>
      <c r="F286" s="252" t="s">
        <v>465</v>
      </c>
      <c r="G286" s="248" t="s">
        <v>126</v>
      </c>
      <c r="H286" s="242" t="str">
        <f>IFERROR(VLOOKUP(WTG_BD[[#This Row],[Affected WTG]],'Basic Data'!$A$3:$E$56,2,0),"")</f>
        <v>PWEGPL</v>
      </c>
      <c r="I286" s="242" t="str">
        <f>IFERROR(VLOOKUP(WTG_BD[[#This Row],[Affected WTG]],'Basic Data'!$A$3:$E$56,3,0),"")</f>
        <v>MSEDCL</v>
      </c>
      <c r="J286" s="243">
        <f>IFERROR(VLOOKUP(WTG_BD[[#This Row],[Affected WTG]],'Basic Data'!$A$3:$E$56,5,0),"")</f>
        <v>2.564102564102564E-2</v>
      </c>
      <c r="K286" s="158">
        <v>203</v>
      </c>
      <c r="L286" s="247" t="str">
        <f>VLOOKUP(K286,'Basic Data'!T:U,2,0)</f>
        <v>Low Pressure On Hydraulic Group</v>
      </c>
      <c r="M286" s="135" t="s">
        <v>472</v>
      </c>
      <c r="N286" s="256">
        <v>0.58472222222222225</v>
      </c>
      <c r="O286" s="256">
        <v>0.60763888888888884</v>
      </c>
      <c r="P286" s="256">
        <v>0.61458333333333337</v>
      </c>
      <c r="Q286" s="253">
        <f>IF(WTG_BD[[#This Row],[Work Start TimeStamp]]="","",(WTG_BD[[#This Row],[Work Start TimeStamp]]-WTG_BD[[#This Row],[Fault Start TimeStamp]])*24)</f>
        <v>0.54999999999999805</v>
      </c>
      <c r="R286" s="253">
        <f>(WTG_BD[[#This Row],[Fault Clearance time]]-WTG_BD[[#This Row],[Work Start TimeStamp]])*24</f>
        <v>0.16666666666666874</v>
      </c>
      <c r="S286" s="253">
        <f>(WTG_BD[[#This Row],[Fault Clearance time]]-WTG_BD[[#This Row],[Fault Start TimeStamp]])*24</f>
        <v>0.71666666666666679</v>
      </c>
      <c r="T286" s="135" t="s">
        <v>482</v>
      </c>
      <c r="U286" s="244" t="s">
        <v>474</v>
      </c>
      <c r="V286" s="246">
        <f>WTG_BD[[#This Row],[Breakdown Time]]*(1/39)</f>
        <v>1.837606837606838E-2</v>
      </c>
      <c r="W286" s="244" t="s">
        <v>127</v>
      </c>
      <c r="X286" s="250">
        <v>331.10000000000008</v>
      </c>
      <c r="Y286" s="135" t="s">
        <v>470</v>
      </c>
      <c r="Z286" s="135" t="s">
        <v>475</v>
      </c>
      <c r="AA286" s="135">
        <v>11088</v>
      </c>
      <c r="AB286" s="249">
        <f>(WTG_BD[[#This Row],[Paired WTG Generation for loss calculation.]]/24)*WTG_BD[[#This Row],[Breakdown Time]]</f>
        <v>331.10000000000008</v>
      </c>
      <c r="AC286" s="135"/>
      <c r="AD286" s="245"/>
      <c r="AE286" s="3"/>
    </row>
    <row r="287" spans="1:31">
      <c r="A287" s="241">
        <f t="shared" si="9"/>
        <v>286</v>
      </c>
      <c r="B287" s="255">
        <v>45757</v>
      </c>
      <c r="C287" s="252">
        <v>2025</v>
      </c>
      <c r="D287" s="252">
        <f>YEAR(WTG_BD[[#This Row],[Date]])</f>
        <v>2025</v>
      </c>
      <c r="E287" s="251">
        <f t="shared" ref="E287:E340" si="10">B287-DAY(B287)+1</f>
        <v>45748</v>
      </c>
      <c r="F287" s="252" t="s">
        <v>465</v>
      </c>
      <c r="G287" s="248" t="s">
        <v>128</v>
      </c>
      <c r="H287" s="242" t="str">
        <f>IFERROR(VLOOKUP(WTG_BD[[#This Row],[Affected WTG]],'Basic Data'!$A$3:$E$56,2,0),"")</f>
        <v>PWEGPL</v>
      </c>
      <c r="I287" s="242" t="str">
        <f>IFERROR(VLOOKUP(WTG_BD[[#This Row],[Affected WTG]],'Basic Data'!$A$3:$E$56,3,0),"")</f>
        <v>MSEDCL</v>
      </c>
      <c r="J287" s="243">
        <f>IFERROR(VLOOKUP(WTG_BD[[#This Row],[Affected WTG]],'Basic Data'!$A$3:$E$56,5,0),"")</f>
        <v>2.564102564102564E-2</v>
      </c>
      <c r="K287" s="158" t="s">
        <v>523</v>
      </c>
      <c r="L287" s="247" t="str">
        <f>VLOOKUP(K287,'Basic Data'!T:U,2,0)</f>
        <v>Manual Stop</v>
      </c>
      <c r="M287" s="135" t="s">
        <v>496</v>
      </c>
      <c r="N287" s="256">
        <v>0.51527777777777772</v>
      </c>
      <c r="O287" s="256">
        <v>0.51527777777777772</v>
      </c>
      <c r="P287" s="256">
        <v>0.71180555555555558</v>
      </c>
      <c r="Q287" s="253">
        <f>IF(WTG_BD[[#This Row],[Work Start TimeStamp]]="","",(WTG_BD[[#This Row],[Work Start TimeStamp]]-WTG_BD[[#This Row],[Fault Start TimeStamp]])*24)</f>
        <v>0</v>
      </c>
      <c r="R287" s="253">
        <f>(WTG_BD[[#This Row],[Fault Clearance time]]-WTG_BD[[#This Row],[Work Start TimeStamp]])*24</f>
        <v>4.7166666666666686</v>
      </c>
      <c r="S287" s="253">
        <f>(WTG_BD[[#This Row],[Fault Clearance time]]-WTG_BD[[#This Row],[Fault Start TimeStamp]])*24</f>
        <v>4.7166666666666686</v>
      </c>
      <c r="T287" s="135" t="s">
        <v>515</v>
      </c>
      <c r="U287" s="244" t="s">
        <v>474</v>
      </c>
      <c r="V287" s="246">
        <f>WTG_BD[[#This Row],[Breakdown Time]]*(1/39)</f>
        <v>0.12094017094017098</v>
      </c>
      <c r="W287" s="244" t="s">
        <v>129</v>
      </c>
      <c r="X287" s="250">
        <v>2809.561111111112</v>
      </c>
      <c r="Y287" s="135" t="s">
        <v>470</v>
      </c>
      <c r="Z287" s="135" t="s">
        <v>498</v>
      </c>
      <c r="AA287" s="135">
        <v>14296</v>
      </c>
      <c r="AB287" s="249">
        <f>(WTG_BD[[#This Row],[Paired WTG Generation for loss calculation.]]/24)*WTG_BD[[#This Row],[Breakdown Time]]</f>
        <v>2809.561111111112</v>
      </c>
      <c r="AC287" s="135"/>
      <c r="AD287" s="245"/>
      <c r="AE287" s="3"/>
    </row>
    <row r="288" spans="1:31">
      <c r="A288" s="241">
        <f t="shared" si="9"/>
        <v>287</v>
      </c>
      <c r="B288" s="255">
        <v>45758</v>
      </c>
      <c r="C288" s="252">
        <v>2025</v>
      </c>
      <c r="D288" s="252">
        <f>YEAR(WTG_BD[[#This Row],[Date]])</f>
        <v>2025</v>
      </c>
      <c r="E288" s="251">
        <f t="shared" si="10"/>
        <v>45748</v>
      </c>
      <c r="F288" s="252" t="s">
        <v>465</v>
      </c>
      <c r="G288" s="248" t="s">
        <v>144</v>
      </c>
      <c r="H288" s="242" t="str">
        <f>IFERROR(VLOOKUP(WTG_BD[[#This Row],[Affected WTG]],'Basic Data'!$A$3:$E$56,2,0),"")</f>
        <v>PWEGPL</v>
      </c>
      <c r="I288" s="242" t="str">
        <f>IFERROR(VLOOKUP(WTG_BD[[#This Row],[Affected WTG]],'Basic Data'!$A$3:$E$56,3,0),"")</f>
        <v>MSEDCL</v>
      </c>
      <c r="J288" s="243">
        <f>IFERROR(VLOOKUP(WTG_BD[[#This Row],[Affected WTG]],'Basic Data'!$A$3:$E$56,5,0),"")</f>
        <v>2.564102564102564E-2</v>
      </c>
      <c r="K288" s="158" t="s">
        <v>466</v>
      </c>
      <c r="L288" s="247" t="str">
        <f>VLOOKUP(K288,'Basic Data'!T:U,2,0)</f>
        <v>Manual Stop - Safety Related</v>
      </c>
      <c r="M288" s="135" t="s">
        <v>467</v>
      </c>
      <c r="N288" s="256">
        <v>0</v>
      </c>
      <c r="O288" s="256">
        <v>0.99930555555555556</v>
      </c>
      <c r="P288" s="256">
        <v>0.99930555555555556</v>
      </c>
      <c r="Q288" s="253">
        <f>IF(WTG_BD[[#This Row],[Work Start TimeStamp]]="","",(WTG_BD[[#This Row],[Work Start TimeStamp]]-WTG_BD[[#This Row],[Fault Start TimeStamp]])*24)</f>
        <v>23.983333333333334</v>
      </c>
      <c r="R288" s="253">
        <f>(WTG_BD[[#This Row],[Fault Clearance time]]-WTG_BD[[#This Row],[Work Start TimeStamp]])*24</f>
        <v>0</v>
      </c>
      <c r="S288" s="253">
        <f>(WTG_BD[[#This Row],[Fault Clearance time]]-WTG_BD[[#This Row],[Fault Start TimeStamp]])*24</f>
        <v>23.983333333333334</v>
      </c>
      <c r="T288" s="135" t="s">
        <v>468</v>
      </c>
      <c r="U288" s="244" t="s">
        <v>469</v>
      </c>
      <c r="V288" s="246">
        <f>WTG_BD[[#This Row],[Breakdown Time]]*(1/39)</f>
        <v>0.61495726495726499</v>
      </c>
      <c r="W288" s="244" t="s">
        <v>141</v>
      </c>
      <c r="X288" s="250">
        <v>14791.720833333335</v>
      </c>
      <c r="Y288" s="135" t="s">
        <v>470</v>
      </c>
      <c r="Z288" s="135" t="s">
        <v>471</v>
      </c>
      <c r="AA288" s="135">
        <v>14802</v>
      </c>
      <c r="AB288" s="249">
        <f>(WTG_BD[[#This Row],[Paired WTG Generation for loss calculation.]]/24)*WTG_BD[[#This Row],[Breakdown Time]]</f>
        <v>14791.720833333335</v>
      </c>
      <c r="AC288" s="135"/>
      <c r="AD288" s="245"/>
      <c r="AE288" s="3"/>
    </row>
    <row r="289" spans="1:31">
      <c r="A289" s="241">
        <f t="shared" si="9"/>
        <v>288</v>
      </c>
      <c r="B289" s="255">
        <v>45758</v>
      </c>
      <c r="C289" s="252">
        <v>2025</v>
      </c>
      <c r="D289" s="252">
        <f>YEAR(WTG_BD[[#This Row],[Date]])</f>
        <v>2025</v>
      </c>
      <c r="E289" s="251">
        <f t="shared" si="10"/>
        <v>45748</v>
      </c>
      <c r="F289" s="252" t="s">
        <v>465</v>
      </c>
      <c r="G289" s="248" t="s">
        <v>142</v>
      </c>
      <c r="H289" s="242" t="str">
        <f>IFERROR(VLOOKUP(WTG_BD[[#This Row],[Affected WTG]],'Basic Data'!$A$3:$E$56,2,0),"")</f>
        <v>PWEGPL</v>
      </c>
      <c r="I289" s="242" t="str">
        <f>IFERROR(VLOOKUP(WTG_BD[[#This Row],[Affected WTG]],'Basic Data'!$A$3:$E$56,3,0),"")</f>
        <v>MSEDCL</v>
      </c>
      <c r="J289" s="243">
        <f>IFERROR(VLOOKUP(WTG_BD[[#This Row],[Affected WTG]],'Basic Data'!$A$3:$E$56,5,0),"")</f>
        <v>2.564102564102564E-2</v>
      </c>
      <c r="K289" s="158" t="s">
        <v>466</v>
      </c>
      <c r="L289" s="247" t="str">
        <f>VLOOKUP(K289,'Basic Data'!T:U,2,0)</f>
        <v>Manual Stop - Safety Related</v>
      </c>
      <c r="M289" s="135" t="s">
        <v>467</v>
      </c>
      <c r="N289" s="256">
        <v>0</v>
      </c>
      <c r="O289" s="256">
        <v>0.99930555555555556</v>
      </c>
      <c r="P289" s="256">
        <v>0.99930555555555556</v>
      </c>
      <c r="Q289" s="253">
        <f>IF(WTG_BD[[#This Row],[Work Start TimeStamp]]="","",(WTG_BD[[#This Row],[Work Start TimeStamp]]-WTG_BD[[#This Row],[Fault Start TimeStamp]])*24)</f>
        <v>23.983333333333334</v>
      </c>
      <c r="R289" s="253">
        <f>(WTG_BD[[#This Row],[Fault Clearance time]]-WTG_BD[[#This Row],[Work Start TimeStamp]])*24</f>
        <v>0</v>
      </c>
      <c r="S289" s="253">
        <f>(WTG_BD[[#This Row],[Fault Clearance time]]-WTG_BD[[#This Row],[Fault Start TimeStamp]])*24</f>
        <v>23.983333333333334</v>
      </c>
      <c r="T289" s="135" t="s">
        <v>468</v>
      </c>
      <c r="U289" s="244" t="s">
        <v>469</v>
      </c>
      <c r="V289" s="246">
        <f>WTG_BD[[#This Row],[Breakdown Time]]*(1/39)</f>
        <v>0.61495726495726499</v>
      </c>
      <c r="W289" s="244" t="s">
        <v>141</v>
      </c>
      <c r="X289" s="250">
        <v>14791.720833333335</v>
      </c>
      <c r="Y289" s="135" t="s">
        <v>470</v>
      </c>
      <c r="Z289" s="135" t="s">
        <v>471</v>
      </c>
      <c r="AA289" s="135">
        <v>14802</v>
      </c>
      <c r="AB289" s="249">
        <f>(WTG_BD[[#This Row],[Paired WTG Generation for loss calculation.]]/24)*WTG_BD[[#This Row],[Breakdown Time]]</f>
        <v>14791.720833333335</v>
      </c>
      <c r="AC289" s="135"/>
      <c r="AD289" s="245"/>
      <c r="AE289" s="3"/>
    </row>
    <row r="290" spans="1:31">
      <c r="A290" s="241">
        <f t="shared" si="9"/>
        <v>289</v>
      </c>
      <c r="B290" s="255">
        <v>45758</v>
      </c>
      <c r="C290" s="252">
        <v>2025</v>
      </c>
      <c r="D290" s="252">
        <f>YEAR(WTG_BD[[#This Row],[Date]])</f>
        <v>2025</v>
      </c>
      <c r="E290" s="251">
        <f t="shared" si="10"/>
        <v>45748</v>
      </c>
      <c r="F290" s="252" t="s">
        <v>465</v>
      </c>
      <c r="G290" s="248" t="s">
        <v>117</v>
      </c>
      <c r="H290" s="242" t="str">
        <f>IFERROR(VLOOKUP(WTG_BD[[#This Row],[Affected WTG]],'Basic Data'!$A$3:$E$56,2,0),"")</f>
        <v>PWEGPL</v>
      </c>
      <c r="I290" s="242" t="str">
        <f>IFERROR(VLOOKUP(WTG_BD[[#This Row],[Affected WTG]],'Basic Data'!$A$3:$E$56,3,0),"")</f>
        <v>MSEDCL</v>
      </c>
      <c r="J290" s="243">
        <f>IFERROR(VLOOKUP(WTG_BD[[#This Row],[Affected WTG]],'Basic Data'!$A$3:$E$56,5,0),"")</f>
        <v>2.564102564102564E-2</v>
      </c>
      <c r="K290" s="158" t="s">
        <v>514</v>
      </c>
      <c r="L290" s="247" t="str">
        <f>VLOOKUP(K290,'Basic Data'!T:U,2,0)</f>
        <v>General Work Stoppage</v>
      </c>
      <c r="M290" s="135" t="s">
        <v>496</v>
      </c>
      <c r="N290" s="256">
        <v>0.49305555555555558</v>
      </c>
      <c r="O290" s="256">
        <v>0.49305555555555558</v>
      </c>
      <c r="P290" s="256">
        <v>0.55208333333333337</v>
      </c>
      <c r="Q290" s="253">
        <f>IF(WTG_BD[[#This Row],[Work Start TimeStamp]]="","",(WTG_BD[[#This Row],[Work Start TimeStamp]]-WTG_BD[[#This Row],[Fault Start TimeStamp]])*24)</f>
        <v>0</v>
      </c>
      <c r="R290" s="253">
        <f>(WTG_BD[[#This Row],[Fault Clearance time]]-WTG_BD[[#This Row],[Work Start TimeStamp]])*24</f>
        <v>1.416666666666667</v>
      </c>
      <c r="S290" s="253">
        <f>(WTG_BD[[#This Row],[Fault Clearance time]]-WTG_BD[[#This Row],[Fault Start TimeStamp]])*24</f>
        <v>1.416666666666667</v>
      </c>
      <c r="T290" s="135" t="s">
        <v>524</v>
      </c>
      <c r="U290" s="244" t="s">
        <v>474</v>
      </c>
      <c r="V290" s="246">
        <f>WTG_BD[[#This Row],[Breakdown Time]]*(1/39)</f>
        <v>3.6324786324786335E-2</v>
      </c>
      <c r="W290" s="244" t="s">
        <v>118</v>
      </c>
      <c r="X290" s="250">
        <v>848.76041666666686</v>
      </c>
      <c r="Y290" s="135" t="s">
        <v>470</v>
      </c>
      <c r="Z290" s="135" t="s">
        <v>498</v>
      </c>
      <c r="AA290" s="135">
        <v>14379</v>
      </c>
      <c r="AB290" s="249">
        <f>(WTG_BD[[#This Row],[Paired WTG Generation for loss calculation.]]/24)*WTG_BD[[#This Row],[Breakdown Time]]</f>
        <v>848.76041666666686</v>
      </c>
      <c r="AC290" s="135"/>
      <c r="AD290" s="245"/>
      <c r="AE290" s="3"/>
    </row>
    <row r="291" spans="1:31">
      <c r="A291" s="241">
        <f t="shared" si="9"/>
        <v>290</v>
      </c>
      <c r="B291" s="255">
        <v>45758</v>
      </c>
      <c r="C291" s="252">
        <v>2025</v>
      </c>
      <c r="D291" s="252">
        <f>YEAR(WTG_BD[[#This Row],[Date]])</f>
        <v>2025</v>
      </c>
      <c r="E291" s="251">
        <f t="shared" si="10"/>
        <v>45748</v>
      </c>
      <c r="F291" s="252" t="s">
        <v>465</v>
      </c>
      <c r="G291" s="248" t="s">
        <v>118</v>
      </c>
      <c r="H291" s="242" t="str">
        <f>IFERROR(VLOOKUP(WTG_BD[[#This Row],[Affected WTG]],'Basic Data'!$A$3:$E$56,2,0),"")</f>
        <v>PWEGPL</v>
      </c>
      <c r="I291" s="242" t="str">
        <f>IFERROR(VLOOKUP(WTG_BD[[#This Row],[Affected WTG]],'Basic Data'!$A$3:$E$56,3,0),"")</f>
        <v>MSEDCL</v>
      </c>
      <c r="J291" s="243">
        <f>IFERROR(VLOOKUP(WTG_BD[[#This Row],[Affected WTG]],'Basic Data'!$A$3:$E$56,5,0),"")</f>
        <v>2.564102564102564E-2</v>
      </c>
      <c r="K291" s="158" t="s">
        <v>514</v>
      </c>
      <c r="L291" s="247" t="str">
        <f>VLOOKUP(K291,'Basic Data'!T:U,2,0)</f>
        <v>General Work Stoppage</v>
      </c>
      <c r="M291" s="135" t="s">
        <v>496</v>
      </c>
      <c r="N291" s="256">
        <v>0.5625</v>
      </c>
      <c r="O291" s="256">
        <v>0.5625</v>
      </c>
      <c r="P291" s="256">
        <v>0.59375</v>
      </c>
      <c r="Q291" s="253">
        <f>IF(WTG_BD[[#This Row],[Work Start TimeStamp]]="","",(WTG_BD[[#This Row],[Work Start TimeStamp]]-WTG_BD[[#This Row],[Fault Start TimeStamp]])*24)</f>
        <v>0</v>
      </c>
      <c r="R291" s="253">
        <f>(WTG_BD[[#This Row],[Fault Clearance time]]-WTG_BD[[#This Row],[Work Start TimeStamp]])*24</f>
        <v>0.75</v>
      </c>
      <c r="S291" s="253">
        <f>(WTG_BD[[#This Row],[Fault Clearance time]]-WTG_BD[[#This Row],[Fault Start TimeStamp]])*24</f>
        <v>0.75</v>
      </c>
      <c r="T291" s="135" t="s">
        <v>525</v>
      </c>
      <c r="U291" s="244" t="s">
        <v>474</v>
      </c>
      <c r="V291" s="246">
        <f>WTG_BD[[#This Row],[Breakdown Time]]*(1/39)</f>
        <v>1.9230769230769232E-2</v>
      </c>
      <c r="W291" s="244" t="s">
        <v>117</v>
      </c>
      <c r="X291" s="250">
        <v>446.40625</v>
      </c>
      <c r="Y291" s="135" t="s">
        <v>470</v>
      </c>
      <c r="Z291" s="135" t="s">
        <v>498</v>
      </c>
      <c r="AA291" s="135">
        <v>14285</v>
      </c>
      <c r="AB291" s="249">
        <f>(WTG_BD[[#This Row],[Paired WTG Generation for loss calculation.]]/24)*WTG_BD[[#This Row],[Breakdown Time]]</f>
        <v>446.40625</v>
      </c>
      <c r="AC291" s="135"/>
      <c r="AD291" s="245"/>
      <c r="AE291" s="3"/>
    </row>
    <row r="292" spans="1:31">
      <c r="A292" s="241">
        <f t="shared" si="9"/>
        <v>291</v>
      </c>
      <c r="B292" s="255">
        <v>45758</v>
      </c>
      <c r="C292" s="252">
        <v>2025</v>
      </c>
      <c r="D292" s="252">
        <f>YEAR(WTG_BD[[#This Row],[Date]])</f>
        <v>2025</v>
      </c>
      <c r="E292" s="251">
        <f t="shared" si="10"/>
        <v>45748</v>
      </c>
      <c r="F292" s="252" t="s">
        <v>465</v>
      </c>
      <c r="G292" s="248" t="s">
        <v>121</v>
      </c>
      <c r="H292" s="242" t="str">
        <f>IFERROR(VLOOKUP(WTG_BD[[#This Row],[Affected WTG]],'Basic Data'!$A$3:$E$56,2,0),"")</f>
        <v>PWEGPL</v>
      </c>
      <c r="I292" s="242" t="str">
        <f>IFERROR(VLOOKUP(WTG_BD[[#This Row],[Affected WTG]],'Basic Data'!$A$3:$E$56,3,0),"")</f>
        <v>MSEDCL</v>
      </c>
      <c r="J292" s="243">
        <f>IFERROR(VLOOKUP(WTG_BD[[#This Row],[Affected WTG]],'Basic Data'!$A$3:$E$56,5,0),"")</f>
        <v>2.564102564102564E-2</v>
      </c>
      <c r="K292" s="158" t="s">
        <v>514</v>
      </c>
      <c r="L292" s="247" t="str">
        <f>VLOOKUP(K292,'Basic Data'!T:U,2,0)</f>
        <v>General Work Stoppage</v>
      </c>
      <c r="M292" s="135" t="s">
        <v>496</v>
      </c>
      <c r="N292" s="256">
        <v>0.63749999999999996</v>
      </c>
      <c r="O292" s="256">
        <v>0.63749999999999996</v>
      </c>
      <c r="P292" s="256">
        <v>0.66805555555555551</v>
      </c>
      <c r="Q292" s="253">
        <f>IF(WTG_BD[[#This Row],[Work Start TimeStamp]]="","",(WTG_BD[[#This Row],[Work Start TimeStamp]]-WTG_BD[[#This Row],[Fault Start TimeStamp]])*24)</f>
        <v>0</v>
      </c>
      <c r="R292" s="253">
        <f>(WTG_BD[[#This Row],[Fault Clearance time]]-WTG_BD[[#This Row],[Work Start TimeStamp]])*24</f>
        <v>0.73333333333333339</v>
      </c>
      <c r="S292" s="253">
        <f>(WTG_BD[[#This Row],[Fault Clearance time]]-WTG_BD[[#This Row],[Fault Start TimeStamp]])*24</f>
        <v>0.73333333333333339</v>
      </c>
      <c r="T292" s="135" t="s">
        <v>525</v>
      </c>
      <c r="U292" s="244" t="s">
        <v>474</v>
      </c>
      <c r="V292" s="246">
        <f>WTG_BD[[#This Row],[Breakdown Time]]*(1/39)</f>
        <v>1.8803418803418806E-2</v>
      </c>
      <c r="W292" s="244" t="s">
        <v>115</v>
      </c>
      <c r="X292" s="250">
        <v>436.73055555555555</v>
      </c>
      <c r="Y292" s="135" t="s">
        <v>470</v>
      </c>
      <c r="Z292" s="135" t="s">
        <v>498</v>
      </c>
      <c r="AA292" s="135">
        <v>14293</v>
      </c>
      <c r="AB292" s="249">
        <f>(WTG_BD[[#This Row],[Paired WTG Generation for loss calculation.]]/24)*WTG_BD[[#This Row],[Breakdown Time]]</f>
        <v>436.73055555555555</v>
      </c>
      <c r="AC292" s="135"/>
      <c r="AD292" s="245"/>
      <c r="AE292" s="3"/>
    </row>
    <row r="293" spans="1:31">
      <c r="A293" s="241">
        <f t="shared" si="9"/>
        <v>292</v>
      </c>
      <c r="B293" s="255">
        <v>45759</v>
      </c>
      <c r="C293" s="252">
        <v>2025</v>
      </c>
      <c r="D293" s="252">
        <f>YEAR(WTG_BD[[#This Row],[Date]])</f>
        <v>2025</v>
      </c>
      <c r="E293" s="251">
        <f t="shared" si="10"/>
        <v>45748</v>
      </c>
      <c r="F293" s="252" t="s">
        <v>465</v>
      </c>
      <c r="G293" s="248" t="s">
        <v>144</v>
      </c>
      <c r="H293" s="242" t="str">
        <f>IFERROR(VLOOKUP(WTG_BD[[#This Row],[Affected WTG]],'Basic Data'!$A$3:$E$56,2,0),"")</f>
        <v>PWEGPL</v>
      </c>
      <c r="I293" s="242" t="str">
        <f>IFERROR(VLOOKUP(WTG_BD[[#This Row],[Affected WTG]],'Basic Data'!$A$3:$E$56,3,0),"")</f>
        <v>MSEDCL</v>
      </c>
      <c r="J293" s="243">
        <f>IFERROR(VLOOKUP(WTG_BD[[#This Row],[Affected WTG]],'Basic Data'!$A$3:$E$56,5,0),"")</f>
        <v>2.564102564102564E-2</v>
      </c>
      <c r="K293" s="158" t="s">
        <v>466</v>
      </c>
      <c r="L293" s="247" t="str">
        <f>VLOOKUP(K293,'Basic Data'!T:U,2,0)</f>
        <v>Manual Stop - Safety Related</v>
      </c>
      <c r="M293" s="135" t="s">
        <v>467</v>
      </c>
      <c r="N293" s="256">
        <v>0</v>
      </c>
      <c r="O293" s="256">
        <v>0.99930555555555556</v>
      </c>
      <c r="P293" s="256">
        <v>0.99930555555555556</v>
      </c>
      <c r="Q293" s="253">
        <f>IF(WTG_BD[[#This Row],[Work Start TimeStamp]]="","",(WTG_BD[[#This Row],[Work Start TimeStamp]]-WTG_BD[[#This Row],[Fault Start TimeStamp]])*24)</f>
        <v>23.983333333333334</v>
      </c>
      <c r="R293" s="253">
        <f>(WTG_BD[[#This Row],[Fault Clearance time]]-WTG_BD[[#This Row],[Work Start TimeStamp]])*24</f>
        <v>0</v>
      </c>
      <c r="S293" s="253">
        <f>(WTG_BD[[#This Row],[Fault Clearance time]]-WTG_BD[[#This Row],[Fault Start TimeStamp]])*24</f>
        <v>23.983333333333334</v>
      </c>
      <c r="T293" s="135" t="s">
        <v>468</v>
      </c>
      <c r="U293" s="244" t="s">
        <v>469</v>
      </c>
      <c r="V293" s="246">
        <f>WTG_BD[[#This Row],[Breakdown Time]]*(1/39)</f>
        <v>0.61495726495726499</v>
      </c>
      <c r="W293" s="244" t="s">
        <v>141</v>
      </c>
      <c r="X293" s="250">
        <v>12843.075000000001</v>
      </c>
      <c r="Y293" s="135" t="s">
        <v>470</v>
      </c>
      <c r="Z293" s="135" t="s">
        <v>471</v>
      </c>
      <c r="AA293" s="135">
        <v>12852</v>
      </c>
      <c r="AB293" s="249">
        <f>(WTG_BD[[#This Row],[Paired WTG Generation for loss calculation.]]/24)*WTG_BD[[#This Row],[Breakdown Time]]</f>
        <v>12843.075000000001</v>
      </c>
      <c r="AC293" s="135"/>
      <c r="AD293" s="245"/>
      <c r="AE293" s="3"/>
    </row>
    <row r="294" spans="1:31">
      <c r="A294" s="241">
        <f t="shared" si="9"/>
        <v>293</v>
      </c>
      <c r="B294" s="255">
        <v>45759</v>
      </c>
      <c r="C294" s="252">
        <v>2025</v>
      </c>
      <c r="D294" s="252">
        <f>YEAR(WTG_BD[[#This Row],[Date]])</f>
        <v>2025</v>
      </c>
      <c r="E294" s="251">
        <f t="shared" si="10"/>
        <v>45748</v>
      </c>
      <c r="F294" s="252" t="s">
        <v>465</v>
      </c>
      <c r="G294" s="248" t="s">
        <v>142</v>
      </c>
      <c r="H294" s="242" t="str">
        <f>IFERROR(VLOOKUP(WTG_BD[[#This Row],[Affected WTG]],'Basic Data'!$A$3:$E$56,2,0),"")</f>
        <v>PWEGPL</v>
      </c>
      <c r="I294" s="242" t="str">
        <f>IFERROR(VLOOKUP(WTG_BD[[#This Row],[Affected WTG]],'Basic Data'!$A$3:$E$56,3,0),"")</f>
        <v>MSEDCL</v>
      </c>
      <c r="J294" s="243">
        <f>IFERROR(VLOOKUP(WTG_BD[[#This Row],[Affected WTG]],'Basic Data'!$A$3:$E$56,5,0),"")</f>
        <v>2.564102564102564E-2</v>
      </c>
      <c r="K294" s="158" t="s">
        <v>466</v>
      </c>
      <c r="L294" s="247" t="str">
        <f>VLOOKUP(K294,'Basic Data'!T:U,2,0)</f>
        <v>Manual Stop - Safety Related</v>
      </c>
      <c r="M294" s="135" t="s">
        <v>467</v>
      </c>
      <c r="N294" s="256">
        <v>0</v>
      </c>
      <c r="O294" s="256">
        <v>0.99930555555555556</v>
      </c>
      <c r="P294" s="256">
        <v>0.99930555555555556</v>
      </c>
      <c r="Q294" s="253">
        <f>IF(WTG_BD[[#This Row],[Work Start TimeStamp]]="","",(WTG_BD[[#This Row],[Work Start TimeStamp]]-WTG_BD[[#This Row],[Fault Start TimeStamp]])*24)</f>
        <v>23.983333333333334</v>
      </c>
      <c r="R294" s="253">
        <f>(WTG_BD[[#This Row],[Fault Clearance time]]-WTG_BD[[#This Row],[Work Start TimeStamp]])*24</f>
        <v>0</v>
      </c>
      <c r="S294" s="253">
        <f>(WTG_BD[[#This Row],[Fault Clearance time]]-WTG_BD[[#This Row],[Fault Start TimeStamp]])*24</f>
        <v>23.983333333333334</v>
      </c>
      <c r="T294" s="135" t="s">
        <v>468</v>
      </c>
      <c r="U294" s="244" t="s">
        <v>469</v>
      </c>
      <c r="V294" s="246">
        <f>WTG_BD[[#This Row],[Breakdown Time]]*(1/39)</f>
        <v>0.61495726495726499</v>
      </c>
      <c r="W294" s="244" t="s">
        <v>141</v>
      </c>
      <c r="X294" s="250">
        <v>12843.075000000001</v>
      </c>
      <c r="Y294" s="135" t="s">
        <v>470</v>
      </c>
      <c r="Z294" s="135" t="s">
        <v>471</v>
      </c>
      <c r="AA294" s="135">
        <v>12852</v>
      </c>
      <c r="AB294" s="249">
        <f>(WTG_BD[[#This Row],[Paired WTG Generation for loss calculation.]]/24)*WTG_BD[[#This Row],[Breakdown Time]]</f>
        <v>12843.075000000001</v>
      </c>
      <c r="AC294" s="135"/>
      <c r="AD294" s="245"/>
      <c r="AE294" s="3"/>
    </row>
    <row r="295" spans="1:31">
      <c r="A295" s="241">
        <f t="shared" si="9"/>
        <v>294</v>
      </c>
      <c r="B295" s="255">
        <v>45759</v>
      </c>
      <c r="C295" s="252">
        <v>2025</v>
      </c>
      <c r="D295" s="252">
        <f>YEAR(WTG_BD[[#This Row],[Date]])</f>
        <v>2025</v>
      </c>
      <c r="E295" s="251">
        <f t="shared" si="10"/>
        <v>45748</v>
      </c>
      <c r="F295" s="252" t="s">
        <v>465</v>
      </c>
      <c r="G295" s="248" t="s">
        <v>115</v>
      </c>
      <c r="H295" s="242" t="str">
        <f>IFERROR(VLOOKUP(WTG_BD[[#This Row],[Affected WTG]],'Basic Data'!$A$3:$E$56,2,0),"")</f>
        <v>PWEGPL</v>
      </c>
      <c r="I295" s="242" t="str">
        <f>IFERROR(VLOOKUP(WTG_BD[[#This Row],[Affected WTG]],'Basic Data'!$A$3:$E$56,3,0),"")</f>
        <v>MSEDCL</v>
      </c>
      <c r="J295" s="243">
        <f>IFERROR(VLOOKUP(WTG_BD[[#This Row],[Affected WTG]],'Basic Data'!$A$3:$E$56,5,0),"")</f>
        <v>2.564102564102564E-2</v>
      </c>
      <c r="K295" s="158">
        <v>203</v>
      </c>
      <c r="L295" s="247" t="str">
        <f>VLOOKUP(K295,'Basic Data'!T:U,2,0)</f>
        <v>Low Pressure On Hydraulic Group</v>
      </c>
      <c r="M295" s="135" t="s">
        <v>472</v>
      </c>
      <c r="N295" s="256">
        <v>0.46597222222222223</v>
      </c>
      <c r="O295" s="256">
        <v>0.5131944444444444</v>
      </c>
      <c r="P295" s="256">
        <v>0.51388888888888884</v>
      </c>
      <c r="Q295" s="253">
        <f>IF(WTG_BD[[#This Row],[Work Start TimeStamp]]="","",(WTG_BD[[#This Row],[Work Start TimeStamp]]-WTG_BD[[#This Row],[Fault Start TimeStamp]])*24)</f>
        <v>1.133333333333332</v>
      </c>
      <c r="R295" s="253">
        <f>(WTG_BD[[#This Row],[Fault Clearance time]]-WTG_BD[[#This Row],[Work Start TimeStamp]])*24</f>
        <v>1.6666666666666607E-2</v>
      </c>
      <c r="S295" s="253">
        <f>(WTG_BD[[#This Row],[Fault Clearance time]]-WTG_BD[[#This Row],[Fault Start TimeStamp]])*24</f>
        <v>1.1499999999999986</v>
      </c>
      <c r="T295" s="135" t="s">
        <v>473</v>
      </c>
      <c r="U295" s="244" t="s">
        <v>474</v>
      </c>
      <c r="V295" s="246">
        <f>WTG_BD[[#This Row],[Breakdown Time]]*(1/39)</f>
        <v>2.9487179487179448E-2</v>
      </c>
      <c r="W295" s="244" t="s">
        <v>121</v>
      </c>
      <c r="X295" s="250">
        <v>751.95624999999905</v>
      </c>
      <c r="Y295" s="135" t="s">
        <v>470</v>
      </c>
      <c r="Z295" s="135" t="s">
        <v>475</v>
      </c>
      <c r="AA295" s="135">
        <v>15693</v>
      </c>
      <c r="AB295" s="249">
        <f>(WTG_BD[[#This Row],[Paired WTG Generation for loss calculation.]]/24)*WTG_BD[[#This Row],[Breakdown Time]]</f>
        <v>751.95624999999905</v>
      </c>
      <c r="AC295" s="135"/>
      <c r="AD295" s="245"/>
      <c r="AE295" s="3"/>
    </row>
    <row r="296" spans="1:31">
      <c r="A296" s="241">
        <f t="shared" si="9"/>
        <v>295</v>
      </c>
      <c r="B296" s="255">
        <v>45759</v>
      </c>
      <c r="C296" s="252">
        <v>2025</v>
      </c>
      <c r="D296" s="252">
        <f>YEAR(WTG_BD[[#This Row],[Date]])</f>
        <v>2025</v>
      </c>
      <c r="E296" s="251">
        <f t="shared" si="10"/>
        <v>45748</v>
      </c>
      <c r="F296" s="252" t="s">
        <v>465</v>
      </c>
      <c r="G296" s="248" t="s">
        <v>132</v>
      </c>
      <c r="H296" s="242" t="str">
        <f>IFERROR(VLOOKUP(WTG_BD[[#This Row],[Affected WTG]],'Basic Data'!$A$3:$E$56,2,0),"")</f>
        <v>PWEGPL</v>
      </c>
      <c r="I296" s="242" t="str">
        <f>IFERROR(VLOOKUP(WTG_BD[[#This Row],[Affected WTG]],'Basic Data'!$A$3:$E$56,3,0),"")</f>
        <v>MSEDCL</v>
      </c>
      <c r="J296" s="243">
        <f>IFERROR(VLOOKUP(WTG_BD[[#This Row],[Affected WTG]],'Basic Data'!$A$3:$E$56,5,0),"")</f>
        <v>2.564102564102564E-2</v>
      </c>
      <c r="K296" s="158">
        <v>5205</v>
      </c>
      <c r="L296" s="247" t="str">
        <f>VLOOKUP(K296,'Basic Data'!T:U,2,0)</f>
        <v>Magnetothermic Of The Stator Protection Failure Or Door Open</v>
      </c>
      <c r="M296" s="135" t="s">
        <v>472</v>
      </c>
      <c r="N296" s="256">
        <v>0.4236111111111111</v>
      </c>
      <c r="O296" s="256">
        <v>0.44097222222222221</v>
      </c>
      <c r="P296" s="256">
        <v>0.5180555555555556</v>
      </c>
      <c r="Q296" s="253">
        <f>IF(WTG_BD[[#This Row],[Work Start TimeStamp]]="","",(WTG_BD[[#This Row],[Work Start TimeStamp]]-WTG_BD[[#This Row],[Fault Start TimeStamp]])*24)</f>
        <v>0.41666666666666652</v>
      </c>
      <c r="R296" s="253">
        <f>(WTG_BD[[#This Row],[Fault Clearance time]]-WTG_BD[[#This Row],[Work Start TimeStamp]])*24</f>
        <v>1.8500000000000014</v>
      </c>
      <c r="S296" s="253">
        <f>(WTG_BD[[#This Row],[Fault Clearance time]]-WTG_BD[[#This Row],[Fault Start TimeStamp]])*24</f>
        <v>2.2666666666666679</v>
      </c>
      <c r="T296" s="135" t="s">
        <v>526</v>
      </c>
      <c r="U296" s="244" t="s">
        <v>474</v>
      </c>
      <c r="V296" s="246">
        <f>WTG_BD[[#This Row],[Breakdown Time]]*(1/39)</f>
        <v>5.8119658119658149E-2</v>
      </c>
      <c r="W296" s="244" t="s">
        <v>133</v>
      </c>
      <c r="X296" s="250">
        <v>1222.9611111111117</v>
      </c>
      <c r="Y296" s="135" t="s">
        <v>470</v>
      </c>
      <c r="Z296" s="135" t="s">
        <v>475</v>
      </c>
      <c r="AA296" s="135">
        <v>12949</v>
      </c>
      <c r="AB296" s="249">
        <f>(WTG_BD[[#This Row],[Paired WTG Generation for loss calculation.]]/24)*WTG_BD[[#This Row],[Breakdown Time]]</f>
        <v>1222.9611111111117</v>
      </c>
      <c r="AC296" s="135"/>
      <c r="AD296" s="245"/>
      <c r="AE296" s="3"/>
    </row>
    <row r="297" spans="1:31">
      <c r="A297" s="241">
        <f t="shared" si="9"/>
        <v>296</v>
      </c>
      <c r="B297" s="255">
        <v>45759</v>
      </c>
      <c r="C297" s="252">
        <v>2025</v>
      </c>
      <c r="D297" s="252">
        <f>YEAR(WTG_BD[[#This Row],[Date]])</f>
        <v>2025</v>
      </c>
      <c r="E297" s="251">
        <f t="shared" si="10"/>
        <v>45748</v>
      </c>
      <c r="F297" s="252" t="s">
        <v>465</v>
      </c>
      <c r="G297" s="248" t="s">
        <v>137</v>
      </c>
      <c r="H297" s="242" t="str">
        <f>IFERROR(VLOOKUP(WTG_BD[[#This Row],[Affected WTG]],'Basic Data'!$A$3:$E$56,2,0),"")</f>
        <v>PWEGPL</v>
      </c>
      <c r="I297" s="242" t="str">
        <f>IFERROR(VLOOKUP(WTG_BD[[#This Row],[Affected WTG]],'Basic Data'!$A$3:$E$56,3,0),"")</f>
        <v>MSEDCL</v>
      </c>
      <c r="J297" s="243">
        <f>IFERROR(VLOOKUP(WTG_BD[[#This Row],[Affected WTG]],'Basic Data'!$A$3:$E$56,5,0),"")</f>
        <v>2.564102564102564E-2</v>
      </c>
      <c r="K297" s="158">
        <v>205</v>
      </c>
      <c r="L297" s="247" t="str">
        <f>VLOOKUP(K297,'Basic Data'!T:U,2,0)</f>
        <v>Low Level Hydraulic Group Refrigeration Oil</v>
      </c>
      <c r="M297" s="135" t="s">
        <v>472</v>
      </c>
      <c r="N297" s="256">
        <v>0.3888888888888889</v>
      </c>
      <c r="O297" s="256">
        <v>0.41805555555555557</v>
      </c>
      <c r="P297" s="256">
        <v>0.46875</v>
      </c>
      <c r="Q297" s="253">
        <f>IF(WTG_BD[[#This Row],[Work Start TimeStamp]]="","",(WTG_BD[[#This Row],[Work Start TimeStamp]]-WTG_BD[[#This Row],[Fault Start TimeStamp]])*24)</f>
        <v>0.70000000000000018</v>
      </c>
      <c r="R297" s="253">
        <f>(WTG_BD[[#This Row],[Fault Clearance time]]-WTG_BD[[#This Row],[Work Start TimeStamp]])*24</f>
        <v>1.2166666666666663</v>
      </c>
      <c r="S297" s="253">
        <f>(WTG_BD[[#This Row],[Fault Clearance time]]-WTG_BD[[#This Row],[Fault Start TimeStamp]])*24</f>
        <v>1.9166666666666665</v>
      </c>
      <c r="T297" s="135" t="s">
        <v>527</v>
      </c>
      <c r="U297" s="244" t="s">
        <v>474</v>
      </c>
      <c r="V297" s="246">
        <f>WTG_BD[[#This Row],[Breakdown Time]]*(1/39)</f>
        <v>4.9145299145299137E-2</v>
      </c>
      <c r="W297" s="244" t="s">
        <v>136</v>
      </c>
      <c r="X297" s="250">
        <v>1009.3645833333333</v>
      </c>
      <c r="Y297" s="135" t="s">
        <v>470</v>
      </c>
      <c r="Z297" s="135" t="s">
        <v>475</v>
      </c>
      <c r="AA297" s="135">
        <v>12639</v>
      </c>
      <c r="AB297" s="249">
        <f>(WTG_BD[[#This Row],[Paired WTG Generation for loss calculation.]]/24)*WTG_BD[[#This Row],[Breakdown Time]]</f>
        <v>1009.3645833333333</v>
      </c>
      <c r="AC297" s="135"/>
      <c r="AD297" s="245"/>
      <c r="AE297" s="3"/>
    </row>
    <row r="298" spans="1:31">
      <c r="A298" s="241">
        <f t="shared" si="9"/>
        <v>297</v>
      </c>
      <c r="B298" s="255">
        <v>45759</v>
      </c>
      <c r="C298" s="252">
        <v>2025</v>
      </c>
      <c r="D298" s="252">
        <f>YEAR(WTG_BD[[#This Row],[Date]])</f>
        <v>2025</v>
      </c>
      <c r="E298" s="251">
        <f t="shared" si="10"/>
        <v>45748</v>
      </c>
      <c r="F298" s="252" t="s">
        <v>465</v>
      </c>
      <c r="G298" s="248" t="s">
        <v>146</v>
      </c>
      <c r="H298" s="242" t="str">
        <f>IFERROR(VLOOKUP(WTG_BD[[#This Row],[Affected WTG]],'Basic Data'!$A$3:$E$56,2,0),"")</f>
        <v>PWEGPL</v>
      </c>
      <c r="I298" s="242" t="str">
        <f>IFERROR(VLOOKUP(WTG_BD[[#This Row],[Affected WTG]],'Basic Data'!$A$3:$E$56,3,0),"")</f>
        <v>MSEDCL</v>
      </c>
      <c r="J298" s="243">
        <f>IFERROR(VLOOKUP(WTG_BD[[#This Row],[Affected WTG]],'Basic Data'!$A$3:$E$56,5,0),"")</f>
        <v>2.564102564102564E-2</v>
      </c>
      <c r="K298" s="158">
        <v>907</v>
      </c>
      <c r="L298" s="247" t="str">
        <f>VLOOKUP(K298,'Basic Data'!T:U,2,0)</f>
        <v>Emergency Series HUB Trigger</v>
      </c>
      <c r="M298" s="135" t="s">
        <v>472</v>
      </c>
      <c r="N298" s="256">
        <v>0.59027777777777779</v>
      </c>
      <c r="O298" s="256">
        <v>0.62638888888888888</v>
      </c>
      <c r="P298" s="256">
        <v>0.62847222222222221</v>
      </c>
      <c r="Q298" s="253">
        <f>IF(WTG_BD[[#This Row],[Work Start TimeStamp]]="","",(WTG_BD[[#This Row],[Work Start TimeStamp]]-WTG_BD[[#This Row],[Fault Start TimeStamp]])*24)</f>
        <v>0.86666666666666625</v>
      </c>
      <c r="R298" s="253">
        <f>(WTG_BD[[#This Row],[Fault Clearance time]]-WTG_BD[[#This Row],[Work Start TimeStamp]])*24</f>
        <v>4.9999999999999822E-2</v>
      </c>
      <c r="S298" s="253">
        <f>(WTG_BD[[#This Row],[Fault Clearance time]]-WTG_BD[[#This Row],[Fault Start TimeStamp]])*24</f>
        <v>0.91666666666666607</v>
      </c>
      <c r="T298" s="135" t="s">
        <v>473</v>
      </c>
      <c r="U298" s="244" t="s">
        <v>474</v>
      </c>
      <c r="V298" s="246">
        <f>WTG_BD[[#This Row],[Breakdown Time]]*(1/39)</f>
        <v>2.3504273504273487E-2</v>
      </c>
      <c r="W298" s="244" t="s">
        <v>147</v>
      </c>
      <c r="X298" s="250">
        <v>418.68749999999972</v>
      </c>
      <c r="Y298" s="135" t="s">
        <v>470</v>
      </c>
      <c r="Z298" s="135" t="s">
        <v>475</v>
      </c>
      <c r="AA298" s="135">
        <v>10962</v>
      </c>
      <c r="AB298" s="249">
        <f>(WTG_BD[[#This Row],[Paired WTG Generation for loss calculation.]]/24)*WTG_BD[[#This Row],[Breakdown Time]]</f>
        <v>418.68749999999972</v>
      </c>
      <c r="AC298" s="135"/>
      <c r="AD298" s="245"/>
      <c r="AE298" s="3"/>
    </row>
    <row r="299" spans="1:31">
      <c r="A299" s="241">
        <f t="shared" si="9"/>
        <v>298</v>
      </c>
      <c r="B299" s="255">
        <v>45759</v>
      </c>
      <c r="C299" s="252">
        <v>2025</v>
      </c>
      <c r="D299" s="252">
        <f>YEAR(WTG_BD[[#This Row],[Date]])</f>
        <v>2025</v>
      </c>
      <c r="E299" s="251">
        <f t="shared" si="10"/>
        <v>45748</v>
      </c>
      <c r="F299" s="252" t="s">
        <v>465</v>
      </c>
      <c r="G299" s="248" t="s">
        <v>152</v>
      </c>
      <c r="H299" s="242" t="str">
        <f>IFERROR(VLOOKUP(WTG_BD[[#This Row],[Affected WTG]],'Basic Data'!$A$3:$E$56,2,0),"")</f>
        <v>PWEGPL</v>
      </c>
      <c r="I299" s="242" t="str">
        <f>IFERROR(VLOOKUP(WTG_BD[[#This Row],[Affected WTG]],'Basic Data'!$A$3:$E$56,3,0),"")</f>
        <v>MSEDCL</v>
      </c>
      <c r="J299" s="243">
        <f>IFERROR(VLOOKUP(WTG_BD[[#This Row],[Affected WTG]],'Basic Data'!$A$3:$E$56,5,0),"")</f>
        <v>2.564102564102564E-2</v>
      </c>
      <c r="K299" s="158">
        <v>5201</v>
      </c>
      <c r="L299" s="247" t="str">
        <f>VLOOKUP(K299,'Basic Data'!T:U,2,0)</f>
        <v>Magnetothermic Trigger Of The Stator Protection</v>
      </c>
      <c r="M299" s="135" t="s">
        <v>472</v>
      </c>
      <c r="N299" s="256">
        <v>0.61458333333333337</v>
      </c>
      <c r="O299" s="256">
        <v>0.65138888888888891</v>
      </c>
      <c r="P299" s="256">
        <v>0.65277777777777779</v>
      </c>
      <c r="Q299" s="253">
        <f>IF(WTG_BD[[#This Row],[Work Start TimeStamp]]="","",(WTG_BD[[#This Row],[Work Start TimeStamp]]-WTG_BD[[#This Row],[Fault Start TimeStamp]])*24)</f>
        <v>0.88333333333333286</v>
      </c>
      <c r="R299" s="253">
        <f>(WTG_BD[[#This Row],[Fault Clearance time]]-WTG_BD[[#This Row],[Work Start TimeStamp]])*24</f>
        <v>3.3333333333333215E-2</v>
      </c>
      <c r="S299" s="253">
        <f>(WTG_BD[[#This Row],[Fault Clearance time]]-WTG_BD[[#This Row],[Fault Start TimeStamp]])*24</f>
        <v>0.91666666666666607</v>
      </c>
      <c r="T299" s="135" t="s">
        <v>482</v>
      </c>
      <c r="U299" s="244" t="s">
        <v>474</v>
      </c>
      <c r="V299" s="246">
        <f>WTG_BD[[#This Row],[Breakdown Time]]*(1/39)</f>
        <v>2.3504273504273487E-2</v>
      </c>
      <c r="W299" s="244" t="s">
        <v>153</v>
      </c>
      <c r="X299" s="250">
        <v>417.38888888888863</v>
      </c>
      <c r="Y299" s="135" t="s">
        <v>470</v>
      </c>
      <c r="Z299" s="135" t="s">
        <v>475</v>
      </c>
      <c r="AA299" s="135">
        <v>10928</v>
      </c>
      <c r="AB299" s="249">
        <f>(WTG_BD[[#This Row],[Paired WTG Generation for loss calculation.]]/24)*WTG_BD[[#This Row],[Breakdown Time]]</f>
        <v>417.38888888888863</v>
      </c>
      <c r="AC299" s="135"/>
      <c r="AD299" s="245"/>
      <c r="AE299" s="3"/>
    </row>
    <row r="300" spans="1:31">
      <c r="A300" s="241">
        <f t="shared" si="9"/>
        <v>299</v>
      </c>
      <c r="B300" s="255">
        <v>45760</v>
      </c>
      <c r="C300" s="252">
        <v>2025</v>
      </c>
      <c r="D300" s="252">
        <f>YEAR(WTG_BD[[#This Row],[Date]])</f>
        <v>2025</v>
      </c>
      <c r="E300" s="251">
        <f t="shared" si="10"/>
        <v>45748</v>
      </c>
      <c r="F300" s="252" t="s">
        <v>465</v>
      </c>
      <c r="G300" s="248" t="s">
        <v>144</v>
      </c>
      <c r="H300" s="242" t="str">
        <f>IFERROR(VLOOKUP(WTG_BD[[#This Row],[Affected WTG]],'Basic Data'!$A$3:$E$56,2,0),"")</f>
        <v>PWEGPL</v>
      </c>
      <c r="I300" s="242" t="str">
        <f>IFERROR(VLOOKUP(WTG_BD[[#This Row],[Affected WTG]],'Basic Data'!$A$3:$E$56,3,0),"")</f>
        <v>MSEDCL</v>
      </c>
      <c r="J300" s="243">
        <f>IFERROR(VLOOKUP(WTG_BD[[#This Row],[Affected WTG]],'Basic Data'!$A$3:$E$56,5,0),"")</f>
        <v>2.564102564102564E-2</v>
      </c>
      <c r="K300" s="158" t="s">
        <v>466</v>
      </c>
      <c r="L300" s="247" t="str">
        <f>VLOOKUP(K300,'Basic Data'!T:U,2,0)</f>
        <v>Manual Stop - Safety Related</v>
      </c>
      <c r="M300" s="135" t="s">
        <v>467</v>
      </c>
      <c r="N300" s="256">
        <v>0</v>
      </c>
      <c r="O300" s="256">
        <v>0.99930555555555556</v>
      </c>
      <c r="P300" s="256">
        <v>0.99930555555555556</v>
      </c>
      <c r="Q300" s="253">
        <f>IF(WTG_BD[[#This Row],[Work Start TimeStamp]]="","",(WTG_BD[[#This Row],[Work Start TimeStamp]]-WTG_BD[[#This Row],[Fault Start TimeStamp]])*24)</f>
        <v>23.983333333333334</v>
      </c>
      <c r="R300" s="253">
        <f>(WTG_BD[[#This Row],[Fault Clearance time]]-WTG_BD[[#This Row],[Work Start TimeStamp]])*24</f>
        <v>0</v>
      </c>
      <c r="S300" s="253">
        <f>(WTG_BD[[#This Row],[Fault Clearance time]]-WTG_BD[[#This Row],[Fault Start TimeStamp]])*24</f>
        <v>23.983333333333334</v>
      </c>
      <c r="T300" s="135" t="s">
        <v>468</v>
      </c>
      <c r="U300" s="244" t="s">
        <v>469</v>
      </c>
      <c r="V300" s="246">
        <f>WTG_BD[[#This Row],[Breakdown Time]]*(1/39)</f>
        <v>0.61495726495726499</v>
      </c>
      <c r="W300" s="244" t="s">
        <v>141</v>
      </c>
      <c r="X300" s="250">
        <v>8258.2611111111109</v>
      </c>
      <c r="Y300" s="135" t="s">
        <v>470</v>
      </c>
      <c r="Z300" s="135" t="s">
        <v>471</v>
      </c>
      <c r="AA300" s="135">
        <v>8264</v>
      </c>
      <c r="AB300" s="249">
        <f>(WTG_BD[[#This Row],[Paired WTG Generation for loss calculation.]]/24)*WTG_BD[[#This Row],[Breakdown Time]]</f>
        <v>8258.2611111111109</v>
      </c>
      <c r="AC300" s="135"/>
      <c r="AD300" s="245"/>
      <c r="AE300" s="3"/>
    </row>
    <row r="301" spans="1:31">
      <c r="A301" s="241">
        <f t="shared" si="9"/>
        <v>300</v>
      </c>
      <c r="B301" s="255">
        <v>45760</v>
      </c>
      <c r="C301" s="252">
        <v>2025</v>
      </c>
      <c r="D301" s="252">
        <f>YEAR(WTG_BD[[#This Row],[Date]])</f>
        <v>2025</v>
      </c>
      <c r="E301" s="251">
        <f t="shared" si="10"/>
        <v>45748</v>
      </c>
      <c r="F301" s="252" t="s">
        <v>465</v>
      </c>
      <c r="G301" s="248" t="s">
        <v>142</v>
      </c>
      <c r="H301" s="242" t="str">
        <f>IFERROR(VLOOKUP(WTG_BD[[#This Row],[Affected WTG]],'Basic Data'!$A$3:$E$56,2,0),"")</f>
        <v>PWEGPL</v>
      </c>
      <c r="I301" s="242" t="str">
        <f>IFERROR(VLOOKUP(WTG_BD[[#This Row],[Affected WTG]],'Basic Data'!$A$3:$E$56,3,0),"")</f>
        <v>MSEDCL</v>
      </c>
      <c r="J301" s="243">
        <f>IFERROR(VLOOKUP(WTG_BD[[#This Row],[Affected WTG]],'Basic Data'!$A$3:$E$56,5,0),"")</f>
        <v>2.564102564102564E-2</v>
      </c>
      <c r="K301" s="158" t="s">
        <v>466</v>
      </c>
      <c r="L301" s="247" t="str">
        <f>VLOOKUP(K301,'Basic Data'!T:U,2,0)</f>
        <v>Manual Stop - Safety Related</v>
      </c>
      <c r="M301" s="135" t="s">
        <v>467</v>
      </c>
      <c r="N301" s="256">
        <v>0</v>
      </c>
      <c r="O301" s="256">
        <v>0.99930555555555556</v>
      </c>
      <c r="P301" s="256">
        <v>0.99930555555555556</v>
      </c>
      <c r="Q301" s="253">
        <f>IF(WTG_BD[[#This Row],[Work Start TimeStamp]]="","",(WTG_BD[[#This Row],[Work Start TimeStamp]]-WTG_BD[[#This Row],[Fault Start TimeStamp]])*24)</f>
        <v>23.983333333333334</v>
      </c>
      <c r="R301" s="253">
        <f>(WTG_BD[[#This Row],[Fault Clearance time]]-WTG_BD[[#This Row],[Work Start TimeStamp]])*24</f>
        <v>0</v>
      </c>
      <c r="S301" s="253">
        <f>(WTG_BD[[#This Row],[Fault Clearance time]]-WTG_BD[[#This Row],[Fault Start TimeStamp]])*24</f>
        <v>23.983333333333334</v>
      </c>
      <c r="T301" s="135" t="s">
        <v>468</v>
      </c>
      <c r="U301" s="244" t="s">
        <v>469</v>
      </c>
      <c r="V301" s="246">
        <f>WTG_BD[[#This Row],[Breakdown Time]]*(1/39)</f>
        <v>0.61495726495726499</v>
      </c>
      <c r="W301" s="244" t="s">
        <v>141</v>
      </c>
      <c r="X301" s="250">
        <v>8258.2611111111109</v>
      </c>
      <c r="Y301" s="135" t="s">
        <v>470</v>
      </c>
      <c r="Z301" s="135" t="s">
        <v>471</v>
      </c>
      <c r="AA301" s="135">
        <v>8264</v>
      </c>
      <c r="AB301" s="249">
        <f>(WTG_BD[[#This Row],[Paired WTG Generation for loss calculation.]]/24)*WTG_BD[[#This Row],[Breakdown Time]]</f>
        <v>8258.2611111111109</v>
      </c>
      <c r="AC301" s="135"/>
      <c r="AD301" s="245"/>
      <c r="AE301" s="3"/>
    </row>
    <row r="302" spans="1:31">
      <c r="A302" s="241">
        <f t="shared" si="9"/>
        <v>301</v>
      </c>
      <c r="B302" s="255">
        <v>45760</v>
      </c>
      <c r="C302" s="252">
        <v>2025</v>
      </c>
      <c r="D302" s="252">
        <f>YEAR(WTG_BD[[#This Row],[Date]])</f>
        <v>2025</v>
      </c>
      <c r="E302" s="251">
        <f t="shared" si="10"/>
        <v>45748</v>
      </c>
      <c r="F302" s="252" t="s">
        <v>465</v>
      </c>
      <c r="G302" s="248" t="s">
        <v>115</v>
      </c>
      <c r="H302" s="242" t="str">
        <f>IFERROR(VLOOKUP(WTG_BD[[#This Row],[Affected WTG]],'Basic Data'!$A$3:$E$56,2,0),"")</f>
        <v>PWEGPL</v>
      </c>
      <c r="I302" s="242" t="str">
        <f>IFERROR(VLOOKUP(WTG_BD[[#This Row],[Affected WTG]],'Basic Data'!$A$3:$E$56,3,0),"")</f>
        <v>MSEDCL</v>
      </c>
      <c r="J302" s="243">
        <f>IFERROR(VLOOKUP(WTG_BD[[#This Row],[Affected WTG]],'Basic Data'!$A$3:$E$56,5,0),"")</f>
        <v>2.564102564102564E-2</v>
      </c>
      <c r="K302" s="158">
        <v>5210</v>
      </c>
      <c r="L302" s="247" t="str">
        <f>VLOOKUP(K302,'Basic Data'!T:U,2,0)</f>
        <v>Failure Of The Contactor's Rotor Power</v>
      </c>
      <c r="M302" s="135" t="s">
        <v>472</v>
      </c>
      <c r="N302" s="256">
        <v>0.54236111111111107</v>
      </c>
      <c r="O302" s="256">
        <v>0.58680555555555558</v>
      </c>
      <c r="P302" s="256">
        <v>0.58819444444444446</v>
      </c>
      <c r="Q302" s="253">
        <f>IF(WTG_BD[[#This Row],[Work Start TimeStamp]]="","",(WTG_BD[[#This Row],[Work Start TimeStamp]]-WTG_BD[[#This Row],[Fault Start TimeStamp]])*24)</f>
        <v>1.0666666666666682</v>
      </c>
      <c r="R302" s="253">
        <f>(WTG_BD[[#This Row],[Fault Clearance time]]-WTG_BD[[#This Row],[Work Start TimeStamp]])*24</f>
        <v>3.3333333333333215E-2</v>
      </c>
      <c r="S302" s="253">
        <f>(WTG_BD[[#This Row],[Fault Clearance time]]-WTG_BD[[#This Row],[Fault Start TimeStamp]])*24</f>
        <v>1.1000000000000014</v>
      </c>
      <c r="T302" s="135" t="s">
        <v>482</v>
      </c>
      <c r="U302" s="244" t="s">
        <v>474</v>
      </c>
      <c r="V302" s="246">
        <f>WTG_BD[[#This Row],[Breakdown Time]]*(1/39)</f>
        <v>2.820512820512824E-2</v>
      </c>
      <c r="W302" s="244" t="s">
        <v>121</v>
      </c>
      <c r="X302" s="250">
        <v>447.70000000000056</v>
      </c>
      <c r="Y302" s="135" t="s">
        <v>470</v>
      </c>
      <c r="Z302" s="135" t="s">
        <v>475</v>
      </c>
      <c r="AA302" s="135">
        <v>9768</v>
      </c>
      <c r="AB302" s="249">
        <f>(WTG_BD[[#This Row],[Paired WTG Generation for loss calculation.]]/24)*WTG_BD[[#This Row],[Breakdown Time]]</f>
        <v>447.70000000000056</v>
      </c>
      <c r="AC302" s="135"/>
      <c r="AD302" s="245"/>
      <c r="AE302" s="3"/>
    </row>
    <row r="303" spans="1:31">
      <c r="A303" s="241">
        <f t="shared" si="9"/>
        <v>302</v>
      </c>
      <c r="B303" s="255">
        <v>45760</v>
      </c>
      <c r="C303" s="252">
        <v>2025</v>
      </c>
      <c r="D303" s="252">
        <f>YEAR(WTG_BD[[#This Row],[Date]])</f>
        <v>2025</v>
      </c>
      <c r="E303" s="251">
        <f t="shared" si="10"/>
        <v>45748</v>
      </c>
      <c r="F303" s="252" t="s">
        <v>465</v>
      </c>
      <c r="G303" s="248" t="s">
        <v>119</v>
      </c>
      <c r="H303" s="242" t="str">
        <f>IFERROR(VLOOKUP(WTG_BD[[#This Row],[Affected WTG]],'Basic Data'!$A$3:$E$56,2,0),"")</f>
        <v>PWEGPL</v>
      </c>
      <c r="I303" s="242" t="str">
        <f>IFERROR(VLOOKUP(WTG_BD[[#This Row],[Affected WTG]],'Basic Data'!$A$3:$E$56,3,0),"")</f>
        <v>MSEDCL</v>
      </c>
      <c r="J303" s="243">
        <f>IFERROR(VLOOKUP(WTG_BD[[#This Row],[Affected WTG]],'Basic Data'!$A$3:$E$56,5,0),"")</f>
        <v>2.564102564102564E-2</v>
      </c>
      <c r="K303" s="158">
        <v>5201</v>
      </c>
      <c r="L303" s="247" t="str">
        <f>VLOOKUP(K303,'Basic Data'!T:U,2,0)</f>
        <v>Magnetothermic Trigger Of The Stator Protection</v>
      </c>
      <c r="M303" s="135" t="s">
        <v>472</v>
      </c>
      <c r="N303" s="256">
        <v>0.62847222222222221</v>
      </c>
      <c r="O303" s="256">
        <v>0.64583333333333337</v>
      </c>
      <c r="P303" s="256">
        <v>0.64722222222222225</v>
      </c>
      <c r="Q303" s="253">
        <f>IF(WTG_BD[[#This Row],[Work Start TimeStamp]]="","",(WTG_BD[[#This Row],[Work Start TimeStamp]]-WTG_BD[[#This Row],[Fault Start TimeStamp]])*24)</f>
        <v>0.41666666666666785</v>
      </c>
      <c r="R303" s="253">
        <f>(WTG_BD[[#This Row],[Fault Clearance time]]-WTG_BD[[#This Row],[Work Start TimeStamp]])*24</f>
        <v>3.3333333333333215E-2</v>
      </c>
      <c r="S303" s="253">
        <f>(WTG_BD[[#This Row],[Fault Clearance time]]-WTG_BD[[#This Row],[Fault Start TimeStamp]])*24</f>
        <v>0.45000000000000107</v>
      </c>
      <c r="T303" s="135" t="s">
        <v>482</v>
      </c>
      <c r="U303" s="244" t="s">
        <v>474</v>
      </c>
      <c r="V303" s="246">
        <f>WTG_BD[[#This Row],[Breakdown Time]]*(1/39)</f>
        <v>1.1538461538461565E-2</v>
      </c>
      <c r="W303" s="244" t="s">
        <v>136</v>
      </c>
      <c r="X303" s="250">
        <v>155.02500000000038</v>
      </c>
      <c r="Y303" s="135" t="s">
        <v>470</v>
      </c>
      <c r="Z303" s="135" t="s">
        <v>475</v>
      </c>
      <c r="AA303" s="135">
        <v>8268</v>
      </c>
      <c r="AB303" s="249">
        <f>(WTG_BD[[#This Row],[Paired WTG Generation for loss calculation.]]/24)*WTG_BD[[#This Row],[Breakdown Time]]</f>
        <v>155.02500000000038</v>
      </c>
      <c r="AC303" s="135"/>
      <c r="AD303" s="245"/>
      <c r="AE303" s="3"/>
    </row>
    <row r="304" spans="1:31">
      <c r="A304" s="241">
        <f t="shared" si="9"/>
        <v>303</v>
      </c>
      <c r="B304" s="255">
        <v>45760</v>
      </c>
      <c r="C304" s="252">
        <v>2025</v>
      </c>
      <c r="D304" s="252">
        <f>YEAR(WTG_BD[[#This Row],[Date]])</f>
        <v>2025</v>
      </c>
      <c r="E304" s="251">
        <f t="shared" si="10"/>
        <v>45748</v>
      </c>
      <c r="F304" s="252" t="s">
        <v>465</v>
      </c>
      <c r="G304" s="248" t="s">
        <v>135</v>
      </c>
      <c r="H304" s="242" t="str">
        <f>IFERROR(VLOOKUP(WTG_BD[[#This Row],[Affected WTG]],'Basic Data'!$A$3:$E$56,2,0),"")</f>
        <v>PWEGPL</v>
      </c>
      <c r="I304" s="242" t="str">
        <f>IFERROR(VLOOKUP(WTG_BD[[#This Row],[Affected WTG]],'Basic Data'!$A$3:$E$56,3,0),"")</f>
        <v>MSEDCL</v>
      </c>
      <c r="J304" s="243">
        <f>IFERROR(VLOOKUP(WTG_BD[[#This Row],[Affected WTG]],'Basic Data'!$A$3:$E$56,5,0),"")</f>
        <v>2.564102564102564E-2</v>
      </c>
      <c r="K304" s="158">
        <v>5201</v>
      </c>
      <c r="L304" s="247" t="str">
        <f>VLOOKUP(K304,'Basic Data'!T:U,2,0)</f>
        <v>Magnetothermic Trigger Of The Stator Protection</v>
      </c>
      <c r="M304" s="135" t="s">
        <v>472</v>
      </c>
      <c r="N304" s="256">
        <v>0.62847222222222221</v>
      </c>
      <c r="O304" s="256">
        <v>0.65625</v>
      </c>
      <c r="P304" s="256">
        <v>0.65763888888888888</v>
      </c>
      <c r="Q304" s="253">
        <f>IF(WTG_BD[[#This Row],[Work Start TimeStamp]]="","",(WTG_BD[[#This Row],[Work Start TimeStamp]]-WTG_BD[[#This Row],[Fault Start TimeStamp]])*24)</f>
        <v>0.66666666666666696</v>
      </c>
      <c r="R304" s="253">
        <f>(WTG_BD[[#This Row],[Fault Clearance time]]-WTG_BD[[#This Row],[Work Start TimeStamp]])*24</f>
        <v>3.3333333333333215E-2</v>
      </c>
      <c r="S304" s="253">
        <f>(WTG_BD[[#This Row],[Fault Clearance time]]-WTG_BD[[#This Row],[Fault Start TimeStamp]])*24</f>
        <v>0.70000000000000018</v>
      </c>
      <c r="T304" s="135" t="s">
        <v>482</v>
      </c>
      <c r="U304" s="244" t="s">
        <v>474</v>
      </c>
      <c r="V304" s="246">
        <f>WTG_BD[[#This Row],[Breakdown Time]]*(1/39)</f>
        <v>1.7948717948717954E-2</v>
      </c>
      <c r="W304" s="244" t="s">
        <v>136</v>
      </c>
      <c r="X304" s="250">
        <v>241.15000000000006</v>
      </c>
      <c r="Y304" s="135" t="s">
        <v>470</v>
      </c>
      <c r="Z304" s="135" t="s">
        <v>475</v>
      </c>
      <c r="AA304" s="135">
        <v>8268</v>
      </c>
      <c r="AB304" s="249">
        <f>(WTG_BD[[#This Row],[Paired WTG Generation for loss calculation.]]/24)*WTG_BD[[#This Row],[Breakdown Time]]</f>
        <v>241.15000000000006</v>
      </c>
      <c r="AC304" s="135"/>
      <c r="AD304" s="245"/>
      <c r="AE304" s="3"/>
    </row>
    <row r="305" spans="1:31">
      <c r="A305" s="241">
        <f t="shared" si="9"/>
        <v>304</v>
      </c>
      <c r="B305" s="255">
        <v>45760</v>
      </c>
      <c r="C305" s="252">
        <v>2025</v>
      </c>
      <c r="D305" s="252">
        <f>YEAR(WTG_BD[[#This Row],[Date]])</f>
        <v>2025</v>
      </c>
      <c r="E305" s="251">
        <f t="shared" si="10"/>
        <v>45748</v>
      </c>
      <c r="F305" s="252" t="s">
        <v>465</v>
      </c>
      <c r="G305" s="248" t="s">
        <v>139</v>
      </c>
      <c r="H305" s="242" t="str">
        <f>IFERROR(VLOOKUP(WTG_BD[[#This Row],[Affected WTG]],'Basic Data'!$A$3:$E$56,2,0),"")</f>
        <v>PWEGPL</v>
      </c>
      <c r="I305" s="242" t="str">
        <f>IFERROR(VLOOKUP(WTG_BD[[#This Row],[Affected WTG]],'Basic Data'!$A$3:$E$56,3,0),"")</f>
        <v>MSEDCL</v>
      </c>
      <c r="J305" s="243">
        <f>IFERROR(VLOOKUP(WTG_BD[[#This Row],[Affected WTG]],'Basic Data'!$A$3:$E$56,5,0),"")</f>
        <v>2.564102564102564E-2</v>
      </c>
      <c r="K305" s="158" t="s">
        <v>514</v>
      </c>
      <c r="L305" s="247" t="str">
        <f>VLOOKUP(K305,'Basic Data'!T:U,2,0)</f>
        <v>General Work Stoppage</v>
      </c>
      <c r="M305" s="135" t="s">
        <v>496</v>
      </c>
      <c r="N305" s="256">
        <v>0.49722222222222223</v>
      </c>
      <c r="O305" s="256">
        <v>0.49722222222222223</v>
      </c>
      <c r="P305" s="256">
        <v>0.56736111111111109</v>
      </c>
      <c r="Q305" s="253">
        <f>IF(WTG_BD[[#This Row],[Work Start TimeStamp]]="","",(WTG_BD[[#This Row],[Work Start TimeStamp]]-WTG_BD[[#This Row],[Fault Start TimeStamp]])*24)</f>
        <v>0</v>
      </c>
      <c r="R305" s="253">
        <f>(WTG_BD[[#This Row],[Fault Clearance time]]-WTG_BD[[#This Row],[Work Start TimeStamp]])*24</f>
        <v>1.6833333333333327</v>
      </c>
      <c r="S305" s="253">
        <f>(WTG_BD[[#This Row],[Fault Clearance time]]-WTG_BD[[#This Row],[Fault Start TimeStamp]])*24</f>
        <v>1.6833333333333327</v>
      </c>
      <c r="T305" s="135" t="s">
        <v>524</v>
      </c>
      <c r="U305" s="244" t="s">
        <v>474</v>
      </c>
      <c r="V305" s="246">
        <f>WTG_BD[[#This Row],[Breakdown Time]]*(1/39)</f>
        <v>4.3162393162393141E-2</v>
      </c>
      <c r="W305" s="244" t="s">
        <v>145</v>
      </c>
      <c r="X305" s="250">
        <v>675.2270833333331</v>
      </c>
      <c r="Y305" s="135" t="s">
        <v>470</v>
      </c>
      <c r="Z305" s="135" t="s">
        <v>498</v>
      </c>
      <c r="AA305" s="135">
        <v>9627</v>
      </c>
      <c r="AB305" s="249">
        <f>(WTG_BD[[#This Row],[Paired WTG Generation for loss calculation.]]/24)*WTG_BD[[#This Row],[Breakdown Time]]</f>
        <v>675.2270833333331</v>
      </c>
      <c r="AC305" s="135"/>
      <c r="AD305" s="245"/>
      <c r="AE305" s="3"/>
    </row>
    <row r="306" spans="1:31">
      <c r="A306" s="241">
        <f t="shared" si="9"/>
        <v>305</v>
      </c>
      <c r="B306" s="255">
        <v>45760</v>
      </c>
      <c r="C306" s="252">
        <v>2025</v>
      </c>
      <c r="D306" s="252">
        <f>YEAR(WTG_BD[[#This Row],[Date]])</f>
        <v>2025</v>
      </c>
      <c r="E306" s="251">
        <f t="shared" si="10"/>
        <v>45748</v>
      </c>
      <c r="F306" s="252" t="s">
        <v>465</v>
      </c>
      <c r="G306" s="248" t="s">
        <v>152</v>
      </c>
      <c r="H306" s="242" t="str">
        <f>IFERROR(VLOOKUP(WTG_BD[[#This Row],[Affected WTG]],'Basic Data'!$A$3:$E$56,2,0),"")</f>
        <v>PWEGPL</v>
      </c>
      <c r="I306" s="242" t="str">
        <f>IFERROR(VLOOKUP(WTG_BD[[#This Row],[Affected WTG]],'Basic Data'!$A$3:$E$56,3,0),"")</f>
        <v>MSEDCL</v>
      </c>
      <c r="J306" s="243">
        <f>IFERROR(VLOOKUP(WTG_BD[[#This Row],[Affected WTG]],'Basic Data'!$A$3:$E$56,5,0),"")</f>
        <v>2.564102564102564E-2</v>
      </c>
      <c r="K306" s="158">
        <v>5201</v>
      </c>
      <c r="L306" s="247" t="str">
        <f>VLOOKUP(K306,'Basic Data'!T:U,2,0)</f>
        <v>Magnetothermic Trigger Of The Stator Protection</v>
      </c>
      <c r="M306" s="135" t="s">
        <v>472</v>
      </c>
      <c r="N306" s="256">
        <v>0.44583333333333336</v>
      </c>
      <c r="O306" s="256">
        <v>0.47916666666666669</v>
      </c>
      <c r="P306" s="256">
        <v>0.48055555555555557</v>
      </c>
      <c r="Q306" s="253">
        <f>IF(WTG_BD[[#This Row],[Work Start TimeStamp]]="","",(WTG_BD[[#This Row],[Work Start TimeStamp]]-WTG_BD[[#This Row],[Fault Start TimeStamp]])*24)</f>
        <v>0.79999999999999982</v>
      </c>
      <c r="R306" s="253">
        <f>(WTG_BD[[#This Row],[Fault Clearance time]]-WTG_BD[[#This Row],[Work Start TimeStamp]])*24</f>
        <v>3.3333333333333215E-2</v>
      </c>
      <c r="S306" s="253">
        <f>(WTG_BD[[#This Row],[Fault Clearance time]]-WTG_BD[[#This Row],[Fault Start TimeStamp]])*24</f>
        <v>0.83333333333333304</v>
      </c>
      <c r="T306" s="135" t="s">
        <v>482</v>
      </c>
      <c r="U306" s="244" t="s">
        <v>474</v>
      </c>
      <c r="V306" s="246">
        <f>WTG_BD[[#This Row],[Breakdown Time]]*(1/39)</f>
        <v>2.1367521367521358E-2</v>
      </c>
      <c r="W306" s="244" t="s">
        <v>153</v>
      </c>
      <c r="X306" s="250">
        <v>336.35416666666657</v>
      </c>
      <c r="Y306" s="135" t="s">
        <v>470</v>
      </c>
      <c r="Z306" s="135" t="s">
        <v>475</v>
      </c>
      <c r="AA306" s="135">
        <v>9687</v>
      </c>
      <c r="AB306" s="249">
        <f>(WTG_BD[[#This Row],[Paired WTG Generation for loss calculation.]]/24)*WTG_BD[[#This Row],[Breakdown Time]]</f>
        <v>336.35416666666657</v>
      </c>
      <c r="AC306" s="135"/>
      <c r="AD306" s="245"/>
      <c r="AE306" s="3"/>
    </row>
    <row r="307" spans="1:31">
      <c r="A307" s="241">
        <f t="shared" si="9"/>
        <v>306</v>
      </c>
      <c r="B307" s="255">
        <v>45761</v>
      </c>
      <c r="C307" s="252">
        <v>2025</v>
      </c>
      <c r="D307" s="252">
        <f>YEAR(WTG_BD[[#This Row],[Date]])</f>
        <v>2025</v>
      </c>
      <c r="E307" s="251">
        <f t="shared" si="10"/>
        <v>45748</v>
      </c>
      <c r="F307" s="252" t="s">
        <v>465</v>
      </c>
      <c r="G307" s="248" t="s">
        <v>144</v>
      </c>
      <c r="H307" s="242" t="str">
        <f>IFERROR(VLOOKUP(WTG_BD[[#This Row],[Affected WTG]],'Basic Data'!$A$3:$E$56,2,0),"")</f>
        <v>PWEGPL</v>
      </c>
      <c r="I307" s="242" t="str">
        <f>IFERROR(VLOOKUP(WTG_BD[[#This Row],[Affected WTG]],'Basic Data'!$A$3:$E$56,3,0),"")</f>
        <v>MSEDCL</v>
      </c>
      <c r="J307" s="243">
        <f>IFERROR(VLOOKUP(WTG_BD[[#This Row],[Affected WTG]],'Basic Data'!$A$3:$E$56,5,0),"")</f>
        <v>2.564102564102564E-2</v>
      </c>
      <c r="K307" s="158" t="s">
        <v>466</v>
      </c>
      <c r="L307" s="247" t="str">
        <f>VLOOKUP(K307,'Basic Data'!T:U,2,0)</f>
        <v>Manual Stop - Safety Related</v>
      </c>
      <c r="M307" s="135" t="s">
        <v>467</v>
      </c>
      <c r="N307" s="256">
        <v>0</v>
      </c>
      <c r="O307" s="256">
        <v>0.99930555555555556</v>
      </c>
      <c r="P307" s="256">
        <v>0.99930555555555556</v>
      </c>
      <c r="Q307" s="253">
        <f>IF(WTG_BD[[#This Row],[Work Start TimeStamp]]="","",(WTG_BD[[#This Row],[Work Start TimeStamp]]-WTG_BD[[#This Row],[Fault Start TimeStamp]])*24)</f>
        <v>23.983333333333334</v>
      </c>
      <c r="R307" s="253">
        <f>(WTG_BD[[#This Row],[Fault Clearance time]]-WTG_BD[[#This Row],[Work Start TimeStamp]])*24</f>
        <v>0</v>
      </c>
      <c r="S307" s="253">
        <f>(WTG_BD[[#This Row],[Fault Clearance time]]-WTG_BD[[#This Row],[Fault Start TimeStamp]])*24</f>
        <v>23.983333333333334</v>
      </c>
      <c r="T307" s="135" t="s">
        <v>468</v>
      </c>
      <c r="U307" s="244" t="s">
        <v>469</v>
      </c>
      <c r="V307" s="246">
        <f>WTG_BD[[#This Row],[Breakdown Time]]*(1/39)</f>
        <v>0.61495726495726499</v>
      </c>
      <c r="W307" s="244" t="s">
        <v>141</v>
      </c>
      <c r="X307" s="250">
        <v>14813.705555555554</v>
      </c>
      <c r="Y307" s="135" t="s">
        <v>470</v>
      </c>
      <c r="Z307" s="135" t="s">
        <v>471</v>
      </c>
      <c r="AA307" s="135">
        <v>14824</v>
      </c>
      <c r="AB307" s="249">
        <f>(WTG_BD[[#This Row],[Paired WTG Generation for loss calculation.]]/24)*WTG_BD[[#This Row],[Breakdown Time]]</f>
        <v>14813.705555555554</v>
      </c>
      <c r="AC307" s="135"/>
      <c r="AD307" s="245"/>
      <c r="AE307" s="3"/>
    </row>
    <row r="308" spans="1:31">
      <c r="A308" s="241">
        <f t="shared" si="9"/>
        <v>307</v>
      </c>
      <c r="B308" s="255">
        <v>45761</v>
      </c>
      <c r="C308" s="252">
        <v>2025</v>
      </c>
      <c r="D308" s="252">
        <f>YEAR(WTG_BD[[#This Row],[Date]])</f>
        <v>2025</v>
      </c>
      <c r="E308" s="251">
        <f t="shared" si="10"/>
        <v>45748</v>
      </c>
      <c r="F308" s="252" t="s">
        <v>465</v>
      </c>
      <c r="G308" s="248" t="s">
        <v>142</v>
      </c>
      <c r="H308" s="242" t="str">
        <f>IFERROR(VLOOKUP(WTG_BD[[#This Row],[Affected WTG]],'Basic Data'!$A$3:$E$56,2,0),"")</f>
        <v>PWEGPL</v>
      </c>
      <c r="I308" s="242" t="str">
        <f>IFERROR(VLOOKUP(WTG_BD[[#This Row],[Affected WTG]],'Basic Data'!$A$3:$E$56,3,0),"")</f>
        <v>MSEDCL</v>
      </c>
      <c r="J308" s="243">
        <f>IFERROR(VLOOKUP(WTG_BD[[#This Row],[Affected WTG]],'Basic Data'!$A$3:$E$56,5,0),"")</f>
        <v>2.564102564102564E-2</v>
      </c>
      <c r="K308" s="158" t="s">
        <v>466</v>
      </c>
      <c r="L308" s="247" t="str">
        <f>VLOOKUP(K308,'Basic Data'!T:U,2,0)</f>
        <v>Manual Stop - Safety Related</v>
      </c>
      <c r="M308" s="135" t="s">
        <v>467</v>
      </c>
      <c r="N308" s="256">
        <v>0</v>
      </c>
      <c r="O308" s="256">
        <v>0.99930555555555556</v>
      </c>
      <c r="P308" s="256">
        <v>0.99930555555555556</v>
      </c>
      <c r="Q308" s="253">
        <f>IF(WTG_BD[[#This Row],[Work Start TimeStamp]]="","",(WTG_BD[[#This Row],[Work Start TimeStamp]]-WTG_BD[[#This Row],[Fault Start TimeStamp]])*24)</f>
        <v>23.983333333333334</v>
      </c>
      <c r="R308" s="253">
        <f>(WTG_BD[[#This Row],[Fault Clearance time]]-WTG_BD[[#This Row],[Work Start TimeStamp]])*24</f>
        <v>0</v>
      </c>
      <c r="S308" s="253">
        <f>(WTG_BD[[#This Row],[Fault Clearance time]]-WTG_BD[[#This Row],[Fault Start TimeStamp]])*24</f>
        <v>23.983333333333334</v>
      </c>
      <c r="T308" s="135" t="s">
        <v>468</v>
      </c>
      <c r="U308" s="244" t="s">
        <v>469</v>
      </c>
      <c r="V308" s="246">
        <f>WTG_BD[[#This Row],[Breakdown Time]]*(1/39)</f>
        <v>0.61495726495726499</v>
      </c>
      <c r="W308" s="244" t="s">
        <v>141</v>
      </c>
      <c r="X308" s="250">
        <v>14813.705555555554</v>
      </c>
      <c r="Y308" s="135" t="s">
        <v>470</v>
      </c>
      <c r="Z308" s="135" t="s">
        <v>471</v>
      </c>
      <c r="AA308" s="135">
        <v>14824</v>
      </c>
      <c r="AB308" s="249">
        <f>(WTG_BD[[#This Row],[Paired WTG Generation for loss calculation.]]/24)*WTG_BD[[#This Row],[Breakdown Time]]</f>
        <v>14813.705555555554</v>
      </c>
      <c r="AC308" s="135"/>
      <c r="AD308" s="245"/>
      <c r="AE308" s="3"/>
    </row>
    <row r="309" spans="1:31">
      <c r="A309" s="241">
        <f t="shared" si="9"/>
        <v>308</v>
      </c>
      <c r="B309" s="255">
        <v>45761</v>
      </c>
      <c r="C309" s="252">
        <v>2025</v>
      </c>
      <c r="D309" s="252">
        <f>YEAR(WTG_BD[[#This Row],[Date]])</f>
        <v>2025</v>
      </c>
      <c r="E309" s="251">
        <f t="shared" si="10"/>
        <v>45748</v>
      </c>
      <c r="F309" s="252" t="s">
        <v>465</v>
      </c>
      <c r="G309" s="248" t="s">
        <v>124</v>
      </c>
      <c r="H309" s="242" t="str">
        <f>IFERROR(VLOOKUP(WTG_BD[[#This Row],[Affected WTG]],'Basic Data'!$A$3:$E$56,2,0),"")</f>
        <v>PWEGPL</v>
      </c>
      <c r="I309" s="242" t="str">
        <f>IFERROR(VLOOKUP(WTG_BD[[#This Row],[Affected WTG]],'Basic Data'!$A$3:$E$56,3,0),"")</f>
        <v>MSEDCL</v>
      </c>
      <c r="J309" s="243">
        <f>IFERROR(VLOOKUP(WTG_BD[[#This Row],[Affected WTG]],'Basic Data'!$A$3:$E$56,5,0),"")</f>
        <v>2.564102564102564E-2</v>
      </c>
      <c r="K309" s="158" t="s">
        <v>523</v>
      </c>
      <c r="L309" s="247" t="str">
        <f>VLOOKUP(K309,'Basic Data'!T:U,2,0)</f>
        <v>Manual Stop</v>
      </c>
      <c r="M309" s="135" t="s">
        <v>496</v>
      </c>
      <c r="N309" s="256">
        <v>0.50694444444444442</v>
      </c>
      <c r="O309" s="256">
        <v>0.50694444444444442</v>
      </c>
      <c r="P309" s="256">
        <v>0.64583333333333337</v>
      </c>
      <c r="Q309" s="253">
        <f>IF(WTG_BD[[#This Row],[Work Start TimeStamp]]="","",(WTG_BD[[#This Row],[Work Start TimeStamp]]-WTG_BD[[#This Row],[Fault Start TimeStamp]])*24)</f>
        <v>0</v>
      </c>
      <c r="R309" s="253">
        <f>(WTG_BD[[#This Row],[Fault Clearance time]]-WTG_BD[[#This Row],[Work Start TimeStamp]])*24</f>
        <v>3.3333333333333348</v>
      </c>
      <c r="S309" s="253">
        <f>(WTG_BD[[#This Row],[Fault Clearance time]]-WTG_BD[[#This Row],[Fault Start TimeStamp]])*24</f>
        <v>3.3333333333333348</v>
      </c>
      <c r="T309" s="135" t="s">
        <v>528</v>
      </c>
      <c r="U309" s="244" t="s">
        <v>474</v>
      </c>
      <c r="V309" s="246">
        <f>WTG_BD[[#This Row],[Breakdown Time]]*(1/39)</f>
        <v>8.54700854700855E-2</v>
      </c>
      <c r="W309" s="244" t="s">
        <v>125</v>
      </c>
      <c r="X309" s="250">
        <v>2236.1111111111122</v>
      </c>
      <c r="Y309" s="135" t="s">
        <v>470</v>
      </c>
      <c r="Z309" s="135" t="s">
        <v>475</v>
      </c>
      <c r="AA309" s="135">
        <v>16100</v>
      </c>
      <c r="AB309" s="249">
        <f>(WTG_BD[[#This Row],[Paired WTG Generation for loss calculation.]]/24)*WTG_BD[[#This Row],[Breakdown Time]]</f>
        <v>2236.1111111111122</v>
      </c>
      <c r="AC309" s="135"/>
      <c r="AD309" s="245"/>
      <c r="AE309" s="3"/>
    </row>
    <row r="310" spans="1:31">
      <c r="A310" s="241">
        <f t="shared" si="9"/>
        <v>309</v>
      </c>
      <c r="B310" s="255">
        <v>45761</v>
      </c>
      <c r="C310" s="252">
        <v>2025</v>
      </c>
      <c r="D310" s="252">
        <f>YEAR(WTG_BD[[#This Row],[Date]])</f>
        <v>2025</v>
      </c>
      <c r="E310" s="251">
        <f t="shared" si="10"/>
        <v>45748</v>
      </c>
      <c r="F310" s="252" t="s">
        <v>465</v>
      </c>
      <c r="G310" s="248" t="s">
        <v>125</v>
      </c>
      <c r="H310" s="242" t="str">
        <f>IFERROR(VLOOKUP(WTG_BD[[#This Row],[Affected WTG]],'Basic Data'!$A$3:$E$56,2,0),"")</f>
        <v>PWEGPL</v>
      </c>
      <c r="I310" s="242" t="str">
        <f>IFERROR(VLOOKUP(WTG_BD[[#This Row],[Affected WTG]],'Basic Data'!$A$3:$E$56,3,0),"")</f>
        <v>MSEDCL</v>
      </c>
      <c r="J310" s="243">
        <f>IFERROR(VLOOKUP(WTG_BD[[#This Row],[Affected WTG]],'Basic Data'!$A$3:$E$56,5,0),"")</f>
        <v>2.564102564102564E-2</v>
      </c>
      <c r="K310" s="158" t="s">
        <v>523</v>
      </c>
      <c r="L310" s="247" t="str">
        <f>VLOOKUP(K310,'Basic Data'!T:U,2,0)</f>
        <v>Manual Stop</v>
      </c>
      <c r="M310" s="135" t="s">
        <v>496</v>
      </c>
      <c r="N310" s="256">
        <v>0.67708333333333337</v>
      </c>
      <c r="O310" s="256">
        <v>0.67708333333333337</v>
      </c>
      <c r="P310" s="256">
        <v>0.72222222222222221</v>
      </c>
      <c r="Q310" s="253">
        <f>IF(WTG_BD[[#This Row],[Work Start TimeStamp]]="","",(WTG_BD[[#This Row],[Work Start TimeStamp]]-WTG_BD[[#This Row],[Fault Start TimeStamp]])*24)</f>
        <v>0</v>
      </c>
      <c r="R310" s="253">
        <f>(WTG_BD[[#This Row],[Fault Clearance time]]-WTG_BD[[#This Row],[Work Start TimeStamp]])*24</f>
        <v>1.0833333333333321</v>
      </c>
      <c r="S310" s="253">
        <f>(WTG_BD[[#This Row],[Fault Clearance time]]-WTG_BD[[#This Row],[Fault Start TimeStamp]])*24</f>
        <v>1.0833333333333321</v>
      </c>
      <c r="T310" s="135" t="s">
        <v>525</v>
      </c>
      <c r="U310" s="244" t="s">
        <v>474</v>
      </c>
      <c r="V310" s="246">
        <f>WTG_BD[[#This Row],[Breakdown Time]]*(1/39)</f>
        <v>2.7777777777777745E-2</v>
      </c>
      <c r="W310" s="244" t="s">
        <v>124</v>
      </c>
      <c r="X310" s="250">
        <v>722.2673611111104</v>
      </c>
      <c r="Y310" s="135" t="s">
        <v>470</v>
      </c>
      <c r="Z310" s="135" t="s">
        <v>475</v>
      </c>
      <c r="AA310" s="135">
        <v>16001</v>
      </c>
      <c r="AB310" s="249">
        <f>(WTG_BD[[#This Row],[Paired WTG Generation for loss calculation.]]/24)*WTG_BD[[#This Row],[Breakdown Time]]</f>
        <v>722.2673611111104</v>
      </c>
      <c r="AC310" s="135"/>
      <c r="AD310" s="245"/>
      <c r="AE310" s="3"/>
    </row>
    <row r="311" spans="1:31">
      <c r="A311" s="241">
        <f t="shared" si="9"/>
        <v>310</v>
      </c>
      <c r="B311" s="255">
        <v>45761</v>
      </c>
      <c r="C311" s="252">
        <v>2025</v>
      </c>
      <c r="D311" s="252">
        <f>YEAR(WTG_BD[[#This Row],[Date]])</f>
        <v>2025</v>
      </c>
      <c r="E311" s="251">
        <f t="shared" si="10"/>
        <v>45748</v>
      </c>
      <c r="F311" s="252" t="s">
        <v>465</v>
      </c>
      <c r="G311" s="248" t="s">
        <v>115</v>
      </c>
      <c r="H311" s="242" t="str">
        <f>IFERROR(VLOOKUP(WTG_BD[[#This Row],[Affected WTG]],'Basic Data'!$A$3:$E$56,2,0),"")</f>
        <v>PWEGPL</v>
      </c>
      <c r="I311" s="242" t="str">
        <f>IFERROR(VLOOKUP(WTG_BD[[#This Row],[Affected WTG]],'Basic Data'!$A$3:$E$56,3,0),"")</f>
        <v>MSEDCL</v>
      </c>
      <c r="J311" s="243">
        <f>IFERROR(VLOOKUP(WTG_BD[[#This Row],[Affected WTG]],'Basic Data'!$A$3:$E$56,5,0),"")</f>
        <v>2.564102564102564E-2</v>
      </c>
      <c r="K311" s="158">
        <v>5210</v>
      </c>
      <c r="L311" s="247" t="str">
        <f>VLOOKUP(K311,'Basic Data'!T:U,2,0)</f>
        <v>Failure Of The Contactor's Rotor Power</v>
      </c>
      <c r="M311" s="135" t="s">
        <v>472</v>
      </c>
      <c r="N311" s="256">
        <v>0.58958333333333335</v>
      </c>
      <c r="O311" s="256">
        <v>0.61041666666666672</v>
      </c>
      <c r="P311" s="256">
        <v>0.64583333333333337</v>
      </c>
      <c r="Q311" s="253">
        <f>IF(WTG_BD[[#This Row],[Work Start TimeStamp]]="","",(WTG_BD[[#This Row],[Work Start TimeStamp]]-WTG_BD[[#This Row],[Fault Start TimeStamp]])*24)</f>
        <v>0.50000000000000089</v>
      </c>
      <c r="R311" s="253">
        <f>(WTG_BD[[#This Row],[Fault Clearance time]]-WTG_BD[[#This Row],[Work Start TimeStamp]])*24</f>
        <v>0.84999999999999964</v>
      </c>
      <c r="S311" s="253">
        <f>(WTG_BD[[#This Row],[Fault Clearance time]]-WTG_BD[[#This Row],[Fault Start TimeStamp]])*24</f>
        <v>1.3500000000000005</v>
      </c>
      <c r="T311" s="135" t="s">
        <v>529</v>
      </c>
      <c r="U311" s="244" t="s">
        <v>474</v>
      </c>
      <c r="V311" s="246">
        <f>WTG_BD[[#This Row],[Breakdown Time]]*(1/39)</f>
        <v>3.4615384615384631E-2</v>
      </c>
      <c r="W311" s="244" t="s">
        <v>121</v>
      </c>
      <c r="X311" s="250">
        <v>1019.9250000000004</v>
      </c>
      <c r="Y311" s="135" t="s">
        <v>470</v>
      </c>
      <c r="Z311" s="135" t="s">
        <v>475</v>
      </c>
      <c r="AA311" s="135">
        <v>18132</v>
      </c>
      <c r="AB311" s="249">
        <f>(WTG_BD[[#This Row],[Paired WTG Generation for loss calculation.]]/24)*WTG_BD[[#This Row],[Breakdown Time]]</f>
        <v>1019.9250000000004</v>
      </c>
      <c r="AC311" s="135"/>
      <c r="AD311" s="245"/>
      <c r="AE311" s="3"/>
    </row>
    <row r="312" spans="1:31">
      <c r="A312" s="241">
        <f t="shared" si="9"/>
        <v>311</v>
      </c>
      <c r="B312" s="255">
        <v>45762</v>
      </c>
      <c r="C312" s="252">
        <v>2025</v>
      </c>
      <c r="D312" s="252">
        <f>YEAR(WTG_BD[[#This Row],[Date]])</f>
        <v>2025</v>
      </c>
      <c r="E312" s="251">
        <f t="shared" si="10"/>
        <v>45748</v>
      </c>
      <c r="F312" s="252" t="s">
        <v>465</v>
      </c>
      <c r="G312" s="248" t="s">
        <v>144</v>
      </c>
      <c r="H312" s="242" t="str">
        <f>IFERROR(VLOOKUP(WTG_BD[[#This Row],[Affected WTG]],'Basic Data'!$A$3:$E$56,2,0),"")</f>
        <v>PWEGPL</v>
      </c>
      <c r="I312" s="242" t="str">
        <f>IFERROR(VLOOKUP(WTG_BD[[#This Row],[Affected WTG]],'Basic Data'!$A$3:$E$56,3,0),"")</f>
        <v>MSEDCL</v>
      </c>
      <c r="J312" s="243">
        <f>IFERROR(VLOOKUP(WTG_BD[[#This Row],[Affected WTG]],'Basic Data'!$A$3:$E$56,5,0),"")</f>
        <v>2.564102564102564E-2</v>
      </c>
      <c r="K312" s="158" t="s">
        <v>466</v>
      </c>
      <c r="L312" s="247" t="str">
        <f>VLOOKUP(K312,'Basic Data'!T:U,2,0)</f>
        <v>Manual Stop - Safety Related</v>
      </c>
      <c r="M312" s="135" t="s">
        <v>467</v>
      </c>
      <c r="N312" s="256">
        <v>0</v>
      </c>
      <c r="O312" s="256">
        <v>0.99930555555555556</v>
      </c>
      <c r="P312" s="256">
        <v>0.99930555555555556</v>
      </c>
      <c r="Q312" s="253">
        <f>IF(WTG_BD[[#This Row],[Work Start TimeStamp]]="","",(WTG_BD[[#This Row],[Work Start TimeStamp]]-WTG_BD[[#This Row],[Fault Start TimeStamp]])*24)</f>
        <v>23.983333333333334</v>
      </c>
      <c r="R312" s="253">
        <f>(WTG_BD[[#This Row],[Fault Clearance time]]-WTG_BD[[#This Row],[Work Start TimeStamp]])*24</f>
        <v>0</v>
      </c>
      <c r="S312" s="253">
        <f>(WTG_BD[[#This Row],[Fault Clearance time]]-WTG_BD[[#This Row],[Fault Start TimeStamp]])*24</f>
        <v>23.983333333333334</v>
      </c>
      <c r="T312" s="135" t="s">
        <v>468</v>
      </c>
      <c r="U312" s="244" t="s">
        <v>469</v>
      </c>
      <c r="V312" s="246">
        <f>WTG_BD[[#This Row],[Breakdown Time]]*(1/39)</f>
        <v>0.61495726495726499</v>
      </c>
      <c r="W312" s="244" t="s">
        <v>141</v>
      </c>
      <c r="X312" s="250">
        <v>15884.961111111113</v>
      </c>
      <c r="Y312" s="135" t="s">
        <v>470</v>
      </c>
      <c r="Z312" s="135" t="s">
        <v>471</v>
      </c>
      <c r="AA312" s="135">
        <v>15896</v>
      </c>
      <c r="AB312" s="249">
        <f>(WTG_BD[[#This Row],[Paired WTG Generation for loss calculation.]]/24)*WTG_BD[[#This Row],[Breakdown Time]]</f>
        <v>15884.961111111113</v>
      </c>
      <c r="AC312" s="135"/>
      <c r="AD312" s="245"/>
      <c r="AE312" s="3"/>
    </row>
    <row r="313" spans="1:31">
      <c r="A313" s="241">
        <f t="shared" si="9"/>
        <v>312</v>
      </c>
      <c r="B313" s="255">
        <v>45762</v>
      </c>
      <c r="C313" s="252">
        <v>2025</v>
      </c>
      <c r="D313" s="252">
        <f>YEAR(WTG_BD[[#This Row],[Date]])</f>
        <v>2025</v>
      </c>
      <c r="E313" s="251">
        <f t="shared" si="10"/>
        <v>45748</v>
      </c>
      <c r="F313" s="252" t="s">
        <v>465</v>
      </c>
      <c r="G313" s="248" t="s">
        <v>142</v>
      </c>
      <c r="H313" s="242" t="str">
        <f>IFERROR(VLOOKUP(WTG_BD[[#This Row],[Affected WTG]],'Basic Data'!$A$3:$E$56,2,0),"")</f>
        <v>PWEGPL</v>
      </c>
      <c r="I313" s="242" t="str">
        <f>IFERROR(VLOOKUP(WTG_BD[[#This Row],[Affected WTG]],'Basic Data'!$A$3:$E$56,3,0),"")</f>
        <v>MSEDCL</v>
      </c>
      <c r="J313" s="243">
        <f>IFERROR(VLOOKUP(WTG_BD[[#This Row],[Affected WTG]],'Basic Data'!$A$3:$E$56,5,0),"")</f>
        <v>2.564102564102564E-2</v>
      </c>
      <c r="K313" s="158" t="s">
        <v>466</v>
      </c>
      <c r="L313" s="247" t="str">
        <f>VLOOKUP(K313,'Basic Data'!T:U,2,0)</f>
        <v>Manual Stop - Safety Related</v>
      </c>
      <c r="M313" s="135" t="s">
        <v>467</v>
      </c>
      <c r="N313" s="256">
        <v>0</v>
      </c>
      <c r="O313" s="256">
        <v>0.99930555555555556</v>
      </c>
      <c r="P313" s="256">
        <v>0.99930555555555556</v>
      </c>
      <c r="Q313" s="253">
        <f>IF(WTG_BD[[#This Row],[Work Start TimeStamp]]="","",(WTG_BD[[#This Row],[Work Start TimeStamp]]-WTG_BD[[#This Row],[Fault Start TimeStamp]])*24)</f>
        <v>23.983333333333334</v>
      </c>
      <c r="R313" s="253">
        <f>(WTG_BD[[#This Row],[Fault Clearance time]]-WTG_BD[[#This Row],[Work Start TimeStamp]])*24</f>
        <v>0</v>
      </c>
      <c r="S313" s="253">
        <f>(WTG_BD[[#This Row],[Fault Clearance time]]-WTG_BD[[#This Row],[Fault Start TimeStamp]])*24</f>
        <v>23.983333333333334</v>
      </c>
      <c r="T313" s="135" t="s">
        <v>468</v>
      </c>
      <c r="U313" s="244" t="s">
        <v>469</v>
      </c>
      <c r="V313" s="246">
        <f>WTG_BD[[#This Row],[Breakdown Time]]*(1/39)</f>
        <v>0.61495726495726499</v>
      </c>
      <c r="W313" s="244" t="s">
        <v>141</v>
      </c>
      <c r="X313" s="250">
        <v>15884.961111111113</v>
      </c>
      <c r="Y313" s="135" t="s">
        <v>470</v>
      </c>
      <c r="Z313" s="135" t="s">
        <v>471</v>
      </c>
      <c r="AA313" s="135">
        <v>15896</v>
      </c>
      <c r="AB313" s="249">
        <f>(WTG_BD[[#This Row],[Paired WTG Generation for loss calculation.]]/24)*WTG_BD[[#This Row],[Breakdown Time]]</f>
        <v>15884.961111111113</v>
      </c>
      <c r="AC313" s="135"/>
      <c r="AD313" s="245"/>
      <c r="AE313" s="3"/>
    </row>
    <row r="314" spans="1:31">
      <c r="A314" s="241">
        <f t="shared" si="9"/>
        <v>313</v>
      </c>
      <c r="B314" s="255">
        <v>45762</v>
      </c>
      <c r="C314" s="252">
        <v>2025</v>
      </c>
      <c r="D314" s="252">
        <f>YEAR(WTG_BD[[#This Row],[Date]])</f>
        <v>2025</v>
      </c>
      <c r="E314" s="251">
        <f t="shared" si="10"/>
        <v>45748</v>
      </c>
      <c r="F314" s="252" t="s">
        <v>465</v>
      </c>
      <c r="G314" s="248" t="s">
        <v>115</v>
      </c>
      <c r="H314" s="242" t="str">
        <f>IFERROR(VLOOKUP(WTG_BD[[#This Row],[Affected WTG]],'Basic Data'!$A$3:$E$56,2,0),"")</f>
        <v>PWEGPL</v>
      </c>
      <c r="I314" s="242" t="str">
        <f>IFERROR(VLOOKUP(WTG_BD[[#This Row],[Affected WTG]],'Basic Data'!$A$3:$E$56,3,0),"")</f>
        <v>MSEDCL</v>
      </c>
      <c r="J314" s="243">
        <f>IFERROR(VLOOKUP(WTG_BD[[#This Row],[Affected WTG]],'Basic Data'!$A$3:$E$56,5,0),"")</f>
        <v>2.564102564102564E-2</v>
      </c>
      <c r="K314" s="158">
        <v>5210</v>
      </c>
      <c r="L314" s="247" t="str">
        <f>VLOOKUP(K314,'Basic Data'!T:U,2,0)</f>
        <v>Failure Of The Contactor's Rotor Power</v>
      </c>
      <c r="M314" s="135" t="s">
        <v>472</v>
      </c>
      <c r="N314" s="256">
        <v>0.44930555555555557</v>
      </c>
      <c r="O314" s="256">
        <v>0.48055555555555557</v>
      </c>
      <c r="P314" s="256">
        <v>0.48194444444444445</v>
      </c>
      <c r="Q314" s="253">
        <f>IF(WTG_BD[[#This Row],[Work Start TimeStamp]]="","",(WTG_BD[[#This Row],[Work Start TimeStamp]]-WTG_BD[[#This Row],[Fault Start TimeStamp]])*24)</f>
        <v>0.75</v>
      </c>
      <c r="R314" s="253">
        <f>(WTG_BD[[#This Row],[Fault Clearance time]]-WTG_BD[[#This Row],[Work Start TimeStamp]])*24</f>
        <v>3.3333333333333215E-2</v>
      </c>
      <c r="S314" s="253">
        <f>(WTG_BD[[#This Row],[Fault Clearance time]]-WTG_BD[[#This Row],[Fault Start TimeStamp]])*24</f>
        <v>0.78333333333333321</v>
      </c>
      <c r="T314" s="135" t="s">
        <v>473</v>
      </c>
      <c r="U314" s="244" t="s">
        <v>474</v>
      </c>
      <c r="V314" s="246">
        <f>WTG_BD[[#This Row],[Breakdown Time]]*(1/39)</f>
        <v>2.008547008547008E-2</v>
      </c>
      <c r="W314" s="244" t="s">
        <v>121</v>
      </c>
      <c r="X314" s="250">
        <v>484.78541666666661</v>
      </c>
      <c r="Y314" s="135" t="s">
        <v>470</v>
      </c>
      <c r="Z314" s="135" t="s">
        <v>475</v>
      </c>
      <c r="AA314" s="135">
        <v>14853</v>
      </c>
      <c r="AB314" s="249">
        <f>(WTG_BD[[#This Row],[Paired WTG Generation for loss calculation.]]/24)*WTG_BD[[#This Row],[Breakdown Time]]</f>
        <v>484.78541666666661</v>
      </c>
      <c r="AC314" s="135"/>
      <c r="AD314" s="245"/>
      <c r="AE314" s="3"/>
    </row>
    <row r="315" spans="1:31">
      <c r="A315" s="241">
        <f t="shared" si="9"/>
        <v>314</v>
      </c>
      <c r="B315" s="255">
        <v>45762</v>
      </c>
      <c r="C315" s="252">
        <v>2025</v>
      </c>
      <c r="D315" s="252">
        <f>YEAR(WTG_BD[[#This Row],[Date]])</f>
        <v>2025</v>
      </c>
      <c r="E315" s="251">
        <f t="shared" si="10"/>
        <v>45748</v>
      </c>
      <c r="F315" s="252" t="s">
        <v>465</v>
      </c>
      <c r="G315" s="248" t="s">
        <v>118</v>
      </c>
      <c r="H315" s="242" t="str">
        <f>IFERROR(VLOOKUP(WTG_BD[[#This Row],[Affected WTG]],'Basic Data'!$A$3:$E$56,2,0),"")</f>
        <v>PWEGPL</v>
      </c>
      <c r="I315" s="242" t="str">
        <f>IFERROR(VLOOKUP(WTG_BD[[#This Row],[Affected WTG]],'Basic Data'!$A$3:$E$56,3,0),"")</f>
        <v>MSEDCL</v>
      </c>
      <c r="J315" s="243">
        <f>IFERROR(VLOOKUP(WTG_BD[[#This Row],[Affected WTG]],'Basic Data'!$A$3:$E$56,5,0),"")</f>
        <v>2.564102564102564E-2</v>
      </c>
      <c r="K315" s="158">
        <v>2118</v>
      </c>
      <c r="L315" s="247" t="str">
        <f>VLOOKUP(K315,'Basic Data'!T:U,2,0)</f>
        <v>Bus Error - Interbus Failure</v>
      </c>
      <c r="M315" s="135" t="s">
        <v>472</v>
      </c>
      <c r="N315" s="256">
        <v>0.64930555555555558</v>
      </c>
      <c r="O315" s="256">
        <v>0.67361111111111116</v>
      </c>
      <c r="P315" s="256">
        <v>0.67500000000000004</v>
      </c>
      <c r="Q315" s="253">
        <f>IF(WTG_BD[[#This Row],[Work Start TimeStamp]]="","",(WTG_BD[[#This Row],[Work Start TimeStamp]]-WTG_BD[[#This Row],[Fault Start TimeStamp]])*24)</f>
        <v>0.58333333333333393</v>
      </c>
      <c r="R315" s="253">
        <f>(WTG_BD[[#This Row],[Fault Clearance time]]-WTG_BD[[#This Row],[Work Start TimeStamp]])*24</f>
        <v>3.3333333333333215E-2</v>
      </c>
      <c r="S315" s="253">
        <f>(WTG_BD[[#This Row],[Fault Clearance time]]-WTG_BD[[#This Row],[Fault Start TimeStamp]])*24</f>
        <v>0.61666666666666714</v>
      </c>
      <c r="T315" s="135" t="s">
        <v>482</v>
      </c>
      <c r="U315" s="244" t="s">
        <v>474</v>
      </c>
      <c r="V315" s="246">
        <f>WTG_BD[[#This Row],[Breakdown Time]]*(1/39)</f>
        <v>1.5811965811965825E-2</v>
      </c>
      <c r="W315" s="244" t="s">
        <v>117</v>
      </c>
      <c r="X315" s="250">
        <v>384.46597222222255</v>
      </c>
      <c r="Y315" s="135" t="s">
        <v>470</v>
      </c>
      <c r="Z315" s="135" t="s">
        <v>475</v>
      </c>
      <c r="AA315" s="135">
        <v>14963</v>
      </c>
      <c r="AB315" s="249">
        <f>(WTG_BD[[#This Row],[Paired WTG Generation for loss calculation.]]/24)*WTG_BD[[#This Row],[Breakdown Time]]</f>
        <v>384.46597222222255</v>
      </c>
      <c r="AC315" s="135"/>
      <c r="AD315" s="245"/>
      <c r="AE315" s="3"/>
    </row>
    <row r="316" spans="1:31">
      <c r="A316" s="241">
        <f t="shared" si="9"/>
        <v>315</v>
      </c>
      <c r="B316" s="255">
        <v>45762</v>
      </c>
      <c r="C316" s="252">
        <v>2025</v>
      </c>
      <c r="D316" s="252">
        <f>YEAR(WTG_BD[[#This Row],[Date]])</f>
        <v>2025</v>
      </c>
      <c r="E316" s="251">
        <f t="shared" si="10"/>
        <v>45748</v>
      </c>
      <c r="F316" s="252" t="s">
        <v>465</v>
      </c>
      <c r="G316" s="248" t="s">
        <v>152</v>
      </c>
      <c r="H316" s="242" t="str">
        <f>IFERROR(VLOOKUP(WTG_BD[[#This Row],[Affected WTG]],'Basic Data'!$A$3:$E$56,2,0),"")</f>
        <v>PWEGPL</v>
      </c>
      <c r="I316" s="242" t="str">
        <f>IFERROR(VLOOKUP(WTG_BD[[#This Row],[Affected WTG]],'Basic Data'!$A$3:$E$56,3,0),"")</f>
        <v>MSEDCL</v>
      </c>
      <c r="J316" s="243">
        <f>IFERROR(VLOOKUP(WTG_BD[[#This Row],[Affected WTG]],'Basic Data'!$A$3:$E$56,5,0),"")</f>
        <v>2.564102564102564E-2</v>
      </c>
      <c r="K316" s="158" t="s">
        <v>523</v>
      </c>
      <c r="L316" s="247" t="str">
        <f>VLOOKUP(K316,'Basic Data'!T:U,2,0)</f>
        <v>Manual Stop</v>
      </c>
      <c r="M316" s="135" t="s">
        <v>496</v>
      </c>
      <c r="N316" s="256">
        <v>0.47916666666666669</v>
      </c>
      <c r="O316" s="256">
        <v>0.47916666666666669</v>
      </c>
      <c r="P316" s="256">
        <v>0.65625</v>
      </c>
      <c r="Q316" s="253">
        <f>IF(WTG_BD[[#This Row],[Work Start TimeStamp]]="","",(WTG_BD[[#This Row],[Work Start TimeStamp]]-WTG_BD[[#This Row],[Fault Start TimeStamp]])*24)</f>
        <v>0</v>
      </c>
      <c r="R316" s="253">
        <f>(WTG_BD[[#This Row],[Fault Clearance time]]-WTG_BD[[#This Row],[Work Start TimeStamp]])*24</f>
        <v>4.25</v>
      </c>
      <c r="S316" s="253">
        <f>(WTG_BD[[#This Row],[Fault Clearance time]]-WTG_BD[[#This Row],[Fault Start TimeStamp]])*24</f>
        <v>4.25</v>
      </c>
      <c r="T316" s="135" t="s">
        <v>530</v>
      </c>
      <c r="U316" s="244" t="s">
        <v>474</v>
      </c>
      <c r="V316" s="246">
        <f>WTG_BD[[#This Row],[Breakdown Time]]*(1/39)</f>
        <v>0.10897435897435898</v>
      </c>
      <c r="W316" s="244" t="s">
        <v>153</v>
      </c>
      <c r="X316" s="250">
        <v>2249.84375</v>
      </c>
      <c r="Y316" s="135" t="s">
        <v>470</v>
      </c>
      <c r="Z316" s="135" t="s">
        <v>498</v>
      </c>
      <c r="AA316" s="135">
        <v>12705</v>
      </c>
      <c r="AB316" s="249">
        <f>(WTG_BD[[#This Row],[Paired WTG Generation for loss calculation.]]/24)*WTG_BD[[#This Row],[Breakdown Time]]</f>
        <v>2249.84375</v>
      </c>
      <c r="AC316" s="135"/>
      <c r="AD316" s="245"/>
      <c r="AE316" s="3"/>
    </row>
    <row r="317" spans="1:31">
      <c r="A317" s="241">
        <f t="shared" si="9"/>
        <v>316</v>
      </c>
      <c r="B317" s="255">
        <v>45763</v>
      </c>
      <c r="C317" s="252">
        <v>2025</v>
      </c>
      <c r="D317" s="252">
        <f>YEAR(WTG_BD[[#This Row],[Date]])</f>
        <v>2025</v>
      </c>
      <c r="E317" s="251">
        <f t="shared" si="10"/>
        <v>45748</v>
      </c>
      <c r="F317" s="252" t="s">
        <v>465</v>
      </c>
      <c r="G317" s="248" t="s">
        <v>144</v>
      </c>
      <c r="H317" s="242" t="str">
        <f>IFERROR(VLOOKUP(WTG_BD[[#This Row],[Affected WTG]],'Basic Data'!$A$3:$E$56,2,0),"")</f>
        <v>PWEGPL</v>
      </c>
      <c r="I317" s="242" t="str">
        <f>IFERROR(VLOOKUP(WTG_BD[[#This Row],[Affected WTG]],'Basic Data'!$A$3:$E$56,3,0),"")</f>
        <v>MSEDCL</v>
      </c>
      <c r="J317" s="243">
        <f>IFERROR(VLOOKUP(WTG_BD[[#This Row],[Affected WTG]],'Basic Data'!$A$3:$E$56,5,0),"")</f>
        <v>2.564102564102564E-2</v>
      </c>
      <c r="K317" s="158" t="s">
        <v>466</v>
      </c>
      <c r="L317" s="247" t="str">
        <f>VLOOKUP(K317,'Basic Data'!T:U,2,0)</f>
        <v>Manual Stop - Safety Related</v>
      </c>
      <c r="M317" s="135" t="s">
        <v>467</v>
      </c>
      <c r="N317" s="256">
        <v>0</v>
      </c>
      <c r="O317" s="256">
        <v>0.99930555555555556</v>
      </c>
      <c r="P317" s="256">
        <v>0.99930555555555556</v>
      </c>
      <c r="Q317" s="253">
        <f>IF(WTG_BD[[#This Row],[Work Start TimeStamp]]="","",(WTG_BD[[#This Row],[Work Start TimeStamp]]-WTG_BD[[#This Row],[Fault Start TimeStamp]])*24)</f>
        <v>23.983333333333334</v>
      </c>
      <c r="R317" s="253">
        <f>(WTG_BD[[#This Row],[Fault Clearance time]]-WTG_BD[[#This Row],[Work Start TimeStamp]])*24</f>
        <v>0</v>
      </c>
      <c r="S317" s="253">
        <f>(WTG_BD[[#This Row],[Fault Clearance time]]-WTG_BD[[#This Row],[Fault Start TimeStamp]])*24</f>
        <v>23.983333333333334</v>
      </c>
      <c r="T317" s="135" t="s">
        <v>468</v>
      </c>
      <c r="U317" s="244" t="s">
        <v>469</v>
      </c>
      <c r="V317" s="246">
        <f>WTG_BD[[#This Row],[Breakdown Time]]*(1/39)</f>
        <v>0.61495726495726499</v>
      </c>
      <c r="W317" s="244" t="s">
        <v>141</v>
      </c>
      <c r="X317" s="250">
        <v>15873.929888117287</v>
      </c>
      <c r="Y317" s="135" t="s">
        <v>470</v>
      </c>
      <c r="Z317" s="135" t="s">
        <v>471</v>
      </c>
      <c r="AA317" s="249">
        <v>15884.961111111113</v>
      </c>
      <c r="AB317" s="249">
        <f>(WTG_BD[[#This Row],[Paired WTG Generation for loss calculation.]]/24)*WTG_BD[[#This Row],[Breakdown Time]]</f>
        <v>15873.929888117287</v>
      </c>
      <c r="AC317" s="135"/>
      <c r="AD317" s="245"/>
      <c r="AE317" s="3"/>
    </row>
    <row r="318" spans="1:31">
      <c r="A318" s="241">
        <f t="shared" si="9"/>
        <v>317</v>
      </c>
      <c r="B318" s="255">
        <v>45763</v>
      </c>
      <c r="C318" s="252">
        <v>2025</v>
      </c>
      <c r="D318" s="252">
        <f>YEAR(WTG_BD[[#This Row],[Date]])</f>
        <v>2025</v>
      </c>
      <c r="E318" s="251">
        <f t="shared" si="10"/>
        <v>45748</v>
      </c>
      <c r="F318" s="252" t="s">
        <v>465</v>
      </c>
      <c r="G318" s="248" t="s">
        <v>142</v>
      </c>
      <c r="H318" s="242" t="str">
        <f>IFERROR(VLOOKUP(WTG_BD[[#This Row],[Affected WTG]],'Basic Data'!$A$3:$E$56,2,0),"")</f>
        <v>PWEGPL</v>
      </c>
      <c r="I318" s="242" t="str">
        <f>IFERROR(VLOOKUP(WTG_BD[[#This Row],[Affected WTG]],'Basic Data'!$A$3:$E$56,3,0),"")</f>
        <v>MSEDCL</v>
      </c>
      <c r="J318" s="243">
        <f>IFERROR(VLOOKUP(WTG_BD[[#This Row],[Affected WTG]],'Basic Data'!$A$3:$E$56,5,0),"")</f>
        <v>2.564102564102564E-2</v>
      </c>
      <c r="K318" s="158" t="s">
        <v>466</v>
      </c>
      <c r="L318" s="247" t="str">
        <f>VLOOKUP(K318,'Basic Data'!T:U,2,0)</f>
        <v>Manual Stop - Safety Related</v>
      </c>
      <c r="M318" s="135" t="s">
        <v>467</v>
      </c>
      <c r="N318" s="256">
        <v>0</v>
      </c>
      <c r="O318" s="256">
        <v>0.99930555555555556</v>
      </c>
      <c r="P318" s="256">
        <v>0.99930555555555556</v>
      </c>
      <c r="Q318" s="253">
        <f>IF(WTG_BD[[#This Row],[Work Start TimeStamp]]="","",(WTG_BD[[#This Row],[Work Start TimeStamp]]-WTG_BD[[#This Row],[Fault Start TimeStamp]])*24)</f>
        <v>23.983333333333334</v>
      </c>
      <c r="R318" s="253">
        <f>(WTG_BD[[#This Row],[Fault Clearance time]]-WTG_BD[[#This Row],[Work Start TimeStamp]])*24</f>
        <v>0</v>
      </c>
      <c r="S318" s="253">
        <f>(WTG_BD[[#This Row],[Fault Clearance time]]-WTG_BD[[#This Row],[Fault Start TimeStamp]])*24</f>
        <v>23.983333333333334</v>
      </c>
      <c r="T318" s="135" t="s">
        <v>468</v>
      </c>
      <c r="U318" s="244" t="s">
        <v>469</v>
      </c>
      <c r="V318" s="246">
        <f>WTG_BD[[#This Row],[Breakdown Time]]*(1/39)</f>
        <v>0.61495726495726499</v>
      </c>
      <c r="W318" s="244" t="s">
        <v>141</v>
      </c>
      <c r="X318" s="250">
        <v>15873.929888117287</v>
      </c>
      <c r="Y318" s="135" t="s">
        <v>470</v>
      </c>
      <c r="Z318" s="135" t="s">
        <v>471</v>
      </c>
      <c r="AA318" s="249">
        <v>15884.961111111113</v>
      </c>
      <c r="AB318" s="249">
        <f>(WTG_BD[[#This Row],[Paired WTG Generation for loss calculation.]]/24)*WTG_BD[[#This Row],[Breakdown Time]]</f>
        <v>15873.929888117287</v>
      </c>
      <c r="AC318" s="135"/>
      <c r="AD318" s="245"/>
      <c r="AE318" s="3"/>
    </row>
    <row r="319" spans="1:31">
      <c r="A319" s="241">
        <f t="shared" si="9"/>
        <v>318</v>
      </c>
      <c r="B319" s="255">
        <v>45763</v>
      </c>
      <c r="C319" s="252">
        <v>2025</v>
      </c>
      <c r="D319" s="252">
        <f>YEAR(WTG_BD[[#This Row],[Date]])</f>
        <v>2025</v>
      </c>
      <c r="E319" s="251">
        <f t="shared" si="10"/>
        <v>45748</v>
      </c>
      <c r="F319" s="252" t="s">
        <v>465</v>
      </c>
      <c r="G319" s="248" t="s">
        <v>135</v>
      </c>
      <c r="H319" s="242" t="str">
        <f>IFERROR(VLOOKUP(WTG_BD[[#This Row],[Affected WTG]],'Basic Data'!$A$3:$E$56,2,0),"")</f>
        <v>PWEGPL</v>
      </c>
      <c r="I319" s="242" t="str">
        <f>IFERROR(VLOOKUP(WTG_BD[[#This Row],[Affected WTG]],'Basic Data'!$A$3:$E$56,3,0),"")</f>
        <v>MSEDCL</v>
      </c>
      <c r="J319" s="243">
        <f>IFERROR(VLOOKUP(WTG_BD[[#This Row],[Affected WTG]],'Basic Data'!$A$3:$E$56,5,0),"")</f>
        <v>2.564102564102564E-2</v>
      </c>
      <c r="K319" s="158">
        <v>5228</v>
      </c>
      <c r="L319" s="247" t="str">
        <f>VLOOKUP(K319,'Basic Data'!T:U,2,0)</f>
        <v>Preload Failure</v>
      </c>
      <c r="M319" s="135" t="s">
        <v>472</v>
      </c>
      <c r="N319" s="256">
        <v>0.6333333333333333</v>
      </c>
      <c r="O319" s="256">
        <v>0.65347222222222223</v>
      </c>
      <c r="P319" s="256">
        <v>0.66527777777777775</v>
      </c>
      <c r="Q319" s="253">
        <f>IF(WTG_BD[[#This Row],[Work Start TimeStamp]]="","",(WTG_BD[[#This Row],[Work Start TimeStamp]]-WTG_BD[[#This Row],[Fault Start TimeStamp]])*24)</f>
        <v>0.48333333333333428</v>
      </c>
      <c r="R319" s="253">
        <f>(WTG_BD[[#This Row],[Fault Clearance time]]-WTG_BD[[#This Row],[Work Start TimeStamp]])*24</f>
        <v>0.28333333333333233</v>
      </c>
      <c r="S319" s="253">
        <f>(WTG_BD[[#This Row],[Fault Clearance time]]-WTG_BD[[#This Row],[Fault Start TimeStamp]])*24</f>
        <v>0.76666666666666661</v>
      </c>
      <c r="T319" s="135" t="s">
        <v>531</v>
      </c>
      <c r="U319" s="244" t="s">
        <v>474</v>
      </c>
      <c r="V319" s="246">
        <f>WTG_BD[[#This Row],[Breakdown Time]]*(1/39)</f>
        <v>1.9658119658119654E-2</v>
      </c>
      <c r="W319" s="244" t="s">
        <v>136</v>
      </c>
      <c r="X319" s="250">
        <v>388.73194444444442</v>
      </c>
      <c r="Y319" s="135" t="s">
        <v>470</v>
      </c>
      <c r="Z319" s="135" t="s">
        <v>475</v>
      </c>
      <c r="AA319" s="249">
        <v>12169</v>
      </c>
      <c r="AB319" s="249">
        <f>(WTG_BD[[#This Row],[Paired WTG Generation for loss calculation.]]/24)*WTG_BD[[#This Row],[Breakdown Time]]</f>
        <v>388.73194444444442</v>
      </c>
      <c r="AC319" s="135"/>
      <c r="AD319" s="245"/>
      <c r="AE319" s="3"/>
    </row>
    <row r="320" spans="1:31">
      <c r="A320" s="241">
        <f t="shared" si="9"/>
        <v>319</v>
      </c>
      <c r="B320" s="255">
        <v>45763</v>
      </c>
      <c r="C320" s="252">
        <v>2025</v>
      </c>
      <c r="D320" s="252">
        <f>YEAR(WTG_BD[[#This Row],[Date]])</f>
        <v>2025</v>
      </c>
      <c r="E320" s="251">
        <f t="shared" si="10"/>
        <v>45748</v>
      </c>
      <c r="F320" s="252" t="s">
        <v>465</v>
      </c>
      <c r="G320" s="248" t="s">
        <v>138</v>
      </c>
      <c r="H320" s="242" t="str">
        <f>IFERROR(VLOOKUP(WTG_BD[[#This Row],[Affected WTG]],'Basic Data'!$A$3:$E$56,2,0),"")</f>
        <v>PWEGPL</v>
      </c>
      <c r="I320" s="242" t="str">
        <f>IFERROR(VLOOKUP(WTG_BD[[#This Row],[Affected WTG]],'Basic Data'!$A$3:$E$56,3,0),"")</f>
        <v>MSEDCL</v>
      </c>
      <c r="J320" s="243">
        <f>IFERROR(VLOOKUP(WTG_BD[[#This Row],[Affected WTG]],'Basic Data'!$A$3:$E$56,5,0),"")</f>
        <v>2.564102564102564E-2</v>
      </c>
      <c r="K320" s="158">
        <v>5201</v>
      </c>
      <c r="L320" s="247" t="str">
        <f>VLOOKUP(K320,'Basic Data'!T:U,2,0)</f>
        <v>Magnetothermic Trigger Of The Stator Protection</v>
      </c>
      <c r="M320" s="135" t="s">
        <v>472</v>
      </c>
      <c r="N320" s="256">
        <v>0.6333333333333333</v>
      </c>
      <c r="O320" s="256">
        <v>0.67013888888888884</v>
      </c>
      <c r="P320" s="256">
        <v>0.67152777777777772</v>
      </c>
      <c r="Q320" s="253">
        <f>IF(WTG_BD[[#This Row],[Work Start TimeStamp]]="","",(WTG_BD[[#This Row],[Work Start TimeStamp]]-WTG_BD[[#This Row],[Fault Start TimeStamp]])*24)</f>
        <v>0.88333333333333286</v>
      </c>
      <c r="R320" s="253">
        <f>(WTG_BD[[#This Row],[Fault Clearance time]]-WTG_BD[[#This Row],[Work Start TimeStamp]])*24</f>
        <v>3.3333333333333215E-2</v>
      </c>
      <c r="S320" s="253">
        <f>(WTG_BD[[#This Row],[Fault Clearance time]]-WTG_BD[[#This Row],[Fault Start TimeStamp]])*24</f>
        <v>0.91666666666666607</v>
      </c>
      <c r="T320" s="135" t="s">
        <v>473</v>
      </c>
      <c r="U320" s="244" t="s">
        <v>474</v>
      </c>
      <c r="V320" s="246">
        <f>WTG_BD[[#This Row],[Breakdown Time]]*(1/39)</f>
        <v>2.3504273504273487E-2</v>
      </c>
      <c r="W320" s="244" t="s">
        <v>140</v>
      </c>
      <c r="X320" s="250">
        <v>465.39930555555526</v>
      </c>
      <c r="Y320" s="135" t="s">
        <v>470</v>
      </c>
      <c r="Z320" s="135" t="s">
        <v>475</v>
      </c>
      <c r="AA320" s="249">
        <v>12185</v>
      </c>
      <c r="AB320" s="249">
        <f>(WTG_BD[[#This Row],[Paired WTG Generation for loss calculation.]]/24)*WTG_BD[[#This Row],[Breakdown Time]]</f>
        <v>465.39930555555526</v>
      </c>
      <c r="AC320" s="135"/>
      <c r="AD320" s="245"/>
      <c r="AE320" s="3"/>
    </row>
    <row r="321" spans="1:31">
      <c r="A321" s="241">
        <f t="shared" si="9"/>
        <v>320</v>
      </c>
      <c r="B321" s="255">
        <v>45763</v>
      </c>
      <c r="C321" s="252">
        <v>2025</v>
      </c>
      <c r="D321" s="252">
        <f>YEAR(WTG_BD[[#This Row],[Date]])</f>
        <v>2025</v>
      </c>
      <c r="E321" s="251">
        <f t="shared" si="10"/>
        <v>45748</v>
      </c>
      <c r="F321" s="252" t="s">
        <v>465</v>
      </c>
      <c r="G321" s="248" t="s">
        <v>151</v>
      </c>
      <c r="H321" s="242" t="str">
        <f>IFERROR(VLOOKUP(WTG_BD[[#This Row],[Affected WTG]],'Basic Data'!$A$3:$E$56,2,0),"")</f>
        <v>PWEGPL</v>
      </c>
      <c r="I321" s="242" t="str">
        <f>IFERROR(VLOOKUP(WTG_BD[[#This Row],[Affected WTG]],'Basic Data'!$A$3:$E$56,3,0),"")</f>
        <v>MSEDCL</v>
      </c>
      <c r="J321" s="243">
        <f>IFERROR(VLOOKUP(WTG_BD[[#This Row],[Affected WTG]],'Basic Data'!$A$3:$E$56,5,0),"")</f>
        <v>2.564102564102564E-2</v>
      </c>
      <c r="K321" s="158">
        <v>5201</v>
      </c>
      <c r="L321" s="247" t="str">
        <f>VLOOKUP(K321,'Basic Data'!T:U,2,0)</f>
        <v>Magnetothermic Trigger Of The Stator Protection</v>
      </c>
      <c r="M321" s="135" t="s">
        <v>472</v>
      </c>
      <c r="N321" s="256">
        <v>0.6333333333333333</v>
      </c>
      <c r="O321" s="256">
        <v>0.67708333333333337</v>
      </c>
      <c r="P321" s="256">
        <v>0.6791666666666667</v>
      </c>
      <c r="Q321" s="253">
        <f>IF(WTG_BD[[#This Row],[Work Start TimeStamp]]="","",(WTG_BD[[#This Row],[Work Start TimeStamp]]-WTG_BD[[#This Row],[Fault Start TimeStamp]])*24)</f>
        <v>1.0500000000000016</v>
      </c>
      <c r="R321" s="253">
        <f>(WTG_BD[[#This Row],[Fault Clearance time]]-WTG_BD[[#This Row],[Work Start TimeStamp]])*24</f>
        <v>4.9999999999999822E-2</v>
      </c>
      <c r="S321" s="253">
        <f>(WTG_BD[[#This Row],[Fault Clearance time]]-WTG_BD[[#This Row],[Fault Start TimeStamp]])*24</f>
        <v>1.1000000000000014</v>
      </c>
      <c r="T321" s="135" t="s">
        <v>473</v>
      </c>
      <c r="U321" s="244" t="s">
        <v>474</v>
      </c>
      <c r="V321" s="246">
        <f>WTG_BD[[#This Row],[Breakdown Time]]*(1/39)</f>
        <v>2.820512820512824E-2</v>
      </c>
      <c r="W321" s="244" t="s">
        <v>153</v>
      </c>
      <c r="X321" s="250">
        <v>685.30000000000086</v>
      </c>
      <c r="Y321" s="135" t="s">
        <v>470</v>
      </c>
      <c r="Z321" s="135" t="s">
        <v>475</v>
      </c>
      <c r="AA321" s="249">
        <v>14952</v>
      </c>
      <c r="AB321" s="249">
        <f>(WTG_BD[[#This Row],[Paired WTG Generation for loss calculation.]]/24)*WTG_BD[[#This Row],[Breakdown Time]]</f>
        <v>685.30000000000086</v>
      </c>
      <c r="AC321" s="135"/>
      <c r="AD321" s="245"/>
      <c r="AE321" s="3"/>
    </row>
    <row r="322" spans="1:31">
      <c r="A322" s="241">
        <f t="shared" si="9"/>
        <v>321</v>
      </c>
      <c r="B322" s="255">
        <v>45764</v>
      </c>
      <c r="C322" s="252">
        <v>2025</v>
      </c>
      <c r="D322" s="252">
        <f>YEAR(WTG_BD[[#This Row],[Date]])</f>
        <v>2025</v>
      </c>
      <c r="E322" s="251">
        <f t="shared" si="10"/>
        <v>45748</v>
      </c>
      <c r="F322" s="252" t="s">
        <v>465</v>
      </c>
      <c r="G322" s="248" t="s">
        <v>144</v>
      </c>
      <c r="H322" s="242" t="str">
        <f>IFERROR(VLOOKUP(WTG_BD[[#This Row],[Affected WTG]],'Basic Data'!$A$3:$E$56,2,0),"")</f>
        <v>PWEGPL</v>
      </c>
      <c r="I322" s="242" t="str">
        <f>IFERROR(VLOOKUP(WTG_BD[[#This Row],[Affected WTG]],'Basic Data'!$A$3:$E$56,3,0),"")</f>
        <v>MSEDCL</v>
      </c>
      <c r="J322" s="243">
        <f>IFERROR(VLOOKUP(WTG_BD[[#This Row],[Affected WTG]],'Basic Data'!$A$3:$E$56,5,0),"")</f>
        <v>2.564102564102564E-2</v>
      </c>
      <c r="K322" s="158" t="s">
        <v>466</v>
      </c>
      <c r="L322" s="247" t="str">
        <f>VLOOKUP(K322,'Basic Data'!T:U,2,0)</f>
        <v>Manual Stop - Safety Related</v>
      </c>
      <c r="M322" s="135" t="s">
        <v>467</v>
      </c>
      <c r="N322" s="256">
        <v>0</v>
      </c>
      <c r="O322" s="256">
        <v>0.99930555555555556</v>
      </c>
      <c r="P322" s="256">
        <v>0.99930555555555556</v>
      </c>
      <c r="Q322" s="253">
        <f>IF(WTG_BD[[#This Row],[Work Start TimeStamp]]="","",(WTG_BD[[#This Row],[Work Start TimeStamp]]-WTG_BD[[#This Row],[Fault Start TimeStamp]])*24)</f>
        <v>23.983333333333334</v>
      </c>
      <c r="R322" s="253">
        <f>(WTG_BD[[#This Row],[Fault Clearance time]]-WTG_BD[[#This Row],[Work Start TimeStamp]])*24</f>
        <v>0</v>
      </c>
      <c r="S322" s="253">
        <f>(WTG_BD[[#This Row],[Fault Clearance time]]-WTG_BD[[#This Row],[Fault Start TimeStamp]])*24</f>
        <v>23.983333333333334</v>
      </c>
      <c r="T322" s="135" t="s">
        <v>468</v>
      </c>
      <c r="U322" s="244" t="s">
        <v>469</v>
      </c>
      <c r="V322" s="246">
        <f>WTG_BD[[#This Row],[Breakdown Time]]*(1/39)</f>
        <v>0.61495726495726499</v>
      </c>
      <c r="W322" s="244" t="s">
        <v>141</v>
      </c>
      <c r="X322" s="250">
        <v>12168.082265142748</v>
      </c>
      <c r="Y322" s="135" t="s">
        <v>470</v>
      </c>
      <c r="Z322" s="135" t="s">
        <v>471</v>
      </c>
      <c r="AA322" s="273">
        <v>12176.538194444445</v>
      </c>
      <c r="AB322" s="249">
        <f>(WTG_BD[[#This Row],[Paired WTG Generation for loss calculation.]]/24)*WTG_BD[[#This Row],[Breakdown Time]]</f>
        <v>12168.082265142748</v>
      </c>
      <c r="AC322" s="135"/>
      <c r="AD322" s="245"/>
      <c r="AE322" s="3"/>
    </row>
    <row r="323" spans="1:31">
      <c r="A323" s="241">
        <f t="shared" ref="A323:A386" si="11">A322+1</f>
        <v>322</v>
      </c>
      <c r="B323" s="255">
        <v>45764</v>
      </c>
      <c r="C323" s="252">
        <v>2025</v>
      </c>
      <c r="D323" s="252">
        <f>YEAR(WTG_BD[[#This Row],[Date]])</f>
        <v>2025</v>
      </c>
      <c r="E323" s="251">
        <f t="shared" si="10"/>
        <v>45748</v>
      </c>
      <c r="F323" s="252" t="s">
        <v>465</v>
      </c>
      <c r="G323" s="248" t="s">
        <v>142</v>
      </c>
      <c r="H323" s="242" t="str">
        <f>IFERROR(VLOOKUP(WTG_BD[[#This Row],[Affected WTG]],'Basic Data'!$A$3:$E$56,2,0),"")</f>
        <v>PWEGPL</v>
      </c>
      <c r="I323" s="242" t="str">
        <f>IFERROR(VLOOKUP(WTG_BD[[#This Row],[Affected WTG]],'Basic Data'!$A$3:$E$56,3,0),"")</f>
        <v>MSEDCL</v>
      </c>
      <c r="J323" s="243">
        <f>IFERROR(VLOOKUP(WTG_BD[[#This Row],[Affected WTG]],'Basic Data'!$A$3:$E$56,5,0),"")</f>
        <v>2.564102564102564E-2</v>
      </c>
      <c r="K323" s="158" t="s">
        <v>466</v>
      </c>
      <c r="L323" s="247" t="str">
        <f>VLOOKUP(K323,'Basic Data'!T:U,2,0)</f>
        <v>Manual Stop - Safety Related</v>
      </c>
      <c r="M323" s="135" t="s">
        <v>467</v>
      </c>
      <c r="N323" s="256">
        <v>0</v>
      </c>
      <c r="O323" s="256">
        <v>0.99930555555555556</v>
      </c>
      <c r="P323" s="256">
        <v>0.99930555555555556</v>
      </c>
      <c r="Q323" s="253">
        <f>IF(WTG_BD[[#This Row],[Work Start TimeStamp]]="","",(WTG_BD[[#This Row],[Work Start TimeStamp]]-WTG_BD[[#This Row],[Fault Start TimeStamp]])*24)</f>
        <v>23.983333333333334</v>
      </c>
      <c r="R323" s="253">
        <f>(WTG_BD[[#This Row],[Fault Clearance time]]-WTG_BD[[#This Row],[Work Start TimeStamp]])*24</f>
        <v>0</v>
      </c>
      <c r="S323" s="253">
        <f>(WTG_BD[[#This Row],[Fault Clearance time]]-WTG_BD[[#This Row],[Fault Start TimeStamp]])*24</f>
        <v>23.983333333333334</v>
      </c>
      <c r="T323" s="135" t="s">
        <v>468</v>
      </c>
      <c r="U323" s="244" t="s">
        <v>469</v>
      </c>
      <c r="V323" s="246">
        <f>WTG_BD[[#This Row],[Breakdown Time]]*(1/39)</f>
        <v>0.61495726495726499</v>
      </c>
      <c r="W323" s="244" t="s">
        <v>141</v>
      </c>
      <c r="X323" s="250">
        <v>12168.082265142748</v>
      </c>
      <c r="Y323" s="135" t="s">
        <v>470</v>
      </c>
      <c r="Z323" s="135" t="s">
        <v>471</v>
      </c>
      <c r="AA323" s="273">
        <v>12176.538194444445</v>
      </c>
      <c r="AB323" s="249">
        <f>(WTG_BD[[#This Row],[Paired WTG Generation for loss calculation.]]/24)*WTG_BD[[#This Row],[Breakdown Time]]</f>
        <v>12168.082265142748</v>
      </c>
      <c r="AC323" s="135"/>
      <c r="AD323" s="245"/>
      <c r="AE323" s="3"/>
    </row>
    <row r="324" spans="1:31">
      <c r="A324" s="241">
        <f t="shared" si="11"/>
        <v>323</v>
      </c>
      <c r="B324" s="255">
        <v>45764</v>
      </c>
      <c r="C324" s="252">
        <v>2025</v>
      </c>
      <c r="D324" s="252">
        <f>YEAR(WTG_BD[[#This Row],[Date]])</f>
        <v>2025</v>
      </c>
      <c r="E324" s="251">
        <f t="shared" si="10"/>
        <v>45748</v>
      </c>
      <c r="F324" s="252" t="s">
        <v>465</v>
      </c>
      <c r="G324" s="248" t="s">
        <v>115</v>
      </c>
      <c r="H324" s="242" t="str">
        <f>IFERROR(VLOOKUP(WTG_BD[[#This Row],[Affected WTG]],'Basic Data'!$A$3:$E$56,2,0),"")</f>
        <v>PWEGPL</v>
      </c>
      <c r="I324" s="242" t="str">
        <f>IFERROR(VLOOKUP(WTG_BD[[#This Row],[Affected WTG]],'Basic Data'!$A$3:$E$56,3,0),"")</f>
        <v>MSEDCL</v>
      </c>
      <c r="J324" s="243">
        <f>IFERROR(VLOOKUP(WTG_BD[[#This Row],[Affected WTG]],'Basic Data'!$A$3:$E$56,5,0),"")</f>
        <v>2.564102564102564E-2</v>
      </c>
      <c r="K324" s="158">
        <v>207</v>
      </c>
      <c r="L324" s="247" t="str">
        <f>VLOOKUP(K324,'Basic Data'!T:U,2,0)</f>
        <v>Hydraulic Oil High Temperature</v>
      </c>
      <c r="M324" s="135" t="s">
        <v>472</v>
      </c>
      <c r="N324" s="256">
        <v>0.16805555555555557</v>
      </c>
      <c r="O324" s="256">
        <v>0.2013888888888889</v>
      </c>
      <c r="P324" s="256">
        <v>0.20277777777777778</v>
      </c>
      <c r="Q324" s="253">
        <f>IF(WTG_BD[[#This Row],[Work Start TimeStamp]]="","",(WTG_BD[[#This Row],[Work Start TimeStamp]]-WTG_BD[[#This Row],[Fault Start TimeStamp]])*24)</f>
        <v>0.79999999999999982</v>
      </c>
      <c r="R324" s="253">
        <f>(WTG_BD[[#This Row],[Fault Clearance time]]-WTG_BD[[#This Row],[Work Start TimeStamp]])*24</f>
        <v>3.3333333333333215E-2</v>
      </c>
      <c r="S324" s="253">
        <f>(WTG_BD[[#This Row],[Fault Clearance time]]-WTG_BD[[#This Row],[Fault Start TimeStamp]])*24</f>
        <v>0.83333333333333304</v>
      </c>
      <c r="T324" s="135" t="s">
        <v>482</v>
      </c>
      <c r="U324" s="244" t="s">
        <v>474</v>
      </c>
      <c r="V324" s="246">
        <f>WTG_BD[[#This Row],[Breakdown Time]]*(1/39)</f>
        <v>2.1367521367521358E-2</v>
      </c>
      <c r="W324" s="244" t="s">
        <v>121</v>
      </c>
      <c r="X324" s="250">
        <v>527.43055555555532</v>
      </c>
      <c r="Y324" s="135" t="s">
        <v>470</v>
      </c>
      <c r="Z324" s="135" t="s">
        <v>475</v>
      </c>
      <c r="AA324" s="249">
        <v>15190</v>
      </c>
      <c r="AB324" s="249">
        <f>(WTG_BD[[#This Row],[Paired WTG Generation for loss calculation.]]/24)*WTG_BD[[#This Row],[Breakdown Time]]</f>
        <v>527.43055555555532</v>
      </c>
      <c r="AC324" s="135"/>
      <c r="AD324" s="245"/>
      <c r="AE324" s="3"/>
    </row>
    <row r="325" spans="1:31">
      <c r="A325" s="241">
        <f t="shared" si="11"/>
        <v>324</v>
      </c>
      <c r="B325" s="255">
        <v>45764</v>
      </c>
      <c r="C325" s="252">
        <v>2025</v>
      </c>
      <c r="D325" s="252">
        <f>YEAR(WTG_BD[[#This Row],[Date]])</f>
        <v>2025</v>
      </c>
      <c r="E325" s="251">
        <f t="shared" si="10"/>
        <v>45748</v>
      </c>
      <c r="F325" s="252" t="s">
        <v>465</v>
      </c>
      <c r="G325" s="248" t="s">
        <v>115</v>
      </c>
      <c r="H325" s="242" t="str">
        <f>IFERROR(VLOOKUP(WTG_BD[[#This Row],[Affected WTG]],'Basic Data'!$A$3:$E$56,2,0),"")</f>
        <v>PWEGPL</v>
      </c>
      <c r="I325" s="242" t="str">
        <f>IFERROR(VLOOKUP(WTG_BD[[#This Row],[Affected WTG]],'Basic Data'!$A$3:$E$56,3,0),"")</f>
        <v>MSEDCL</v>
      </c>
      <c r="J325" s="243">
        <f>IFERROR(VLOOKUP(WTG_BD[[#This Row],[Affected WTG]],'Basic Data'!$A$3:$E$56,5,0),"")</f>
        <v>2.564102564102564E-2</v>
      </c>
      <c r="K325" s="158" t="s">
        <v>523</v>
      </c>
      <c r="L325" s="247" t="str">
        <f>VLOOKUP(K325,'Basic Data'!T:U,2,0)</f>
        <v>Manual Stop</v>
      </c>
      <c r="M325" s="135" t="s">
        <v>496</v>
      </c>
      <c r="N325" s="256">
        <v>0.47222222222222221</v>
      </c>
      <c r="O325" s="256">
        <v>0.47222222222222221</v>
      </c>
      <c r="P325" s="256">
        <v>0.54861111111111116</v>
      </c>
      <c r="Q325" s="253">
        <f>IF(WTG_BD[[#This Row],[Work Start TimeStamp]]="","",(WTG_BD[[#This Row],[Work Start TimeStamp]]-WTG_BD[[#This Row],[Fault Start TimeStamp]])*24)</f>
        <v>0</v>
      </c>
      <c r="R325" s="253">
        <f>(WTG_BD[[#This Row],[Fault Clearance time]]-WTG_BD[[#This Row],[Work Start TimeStamp]])*24</f>
        <v>1.8333333333333348</v>
      </c>
      <c r="S325" s="253">
        <f>(WTG_BD[[#This Row],[Fault Clearance time]]-WTG_BD[[#This Row],[Fault Start TimeStamp]])*24</f>
        <v>1.8333333333333348</v>
      </c>
      <c r="T325" s="135" t="s">
        <v>532</v>
      </c>
      <c r="U325" s="244" t="s">
        <v>474</v>
      </c>
      <c r="V325" s="246">
        <f>WTG_BD[[#This Row],[Breakdown Time]]*(1/39)</f>
        <v>4.7008547008547043E-2</v>
      </c>
      <c r="W325" s="244" t="s">
        <v>121</v>
      </c>
      <c r="X325" s="250">
        <v>1160.3472222222231</v>
      </c>
      <c r="Y325" s="135" t="s">
        <v>470</v>
      </c>
      <c r="Z325" s="135" t="s">
        <v>498</v>
      </c>
      <c r="AA325" s="249">
        <v>15190</v>
      </c>
      <c r="AB325" s="249">
        <f>(WTG_BD[[#This Row],[Paired WTG Generation for loss calculation.]]/24)*WTG_BD[[#This Row],[Breakdown Time]]</f>
        <v>1160.3472222222231</v>
      </c>
      <c r="AC325" s="135"/>
      <c r="AD325" s="245"/>
      <c r="AE325" s="3"/>
    </row>
    <row r="326" spans="1:31">
      <c r="A326" s="241">
        <f t="shared" si="11"/>
        <v>325</v>
      </c>
      <c r="B326" s="255">
        <v>45764</v>
      </c>
      <c r="C326" s="252">
        <v>2025</v>
      </c>
      <c r="D326" s="252">
        <f>YEAR(WTG_BD[[#This Row],[Date]])</f>
        <v>2025</v>
      </c>
      <c r="E326" s="251">
        <f t="shared" si="10"/>
        <v>45748</v>
      </c>
      <c r="F326" s="252" t="s">
        <v>465</v>
      </c>
      <c r="G326" s="248" t="s">
        <v>116</v>
      </c>
      <c r="H326" s="242" t="str">
        <f>IFERROR(VLOOKUP(WTG_BD[[#This Row],[Affected WTG]],'Basic Data'!$A$3:$E$56,2,0),"")</f>
        <v>PWEGPL</v>
      </c>
      <c r="I326" s="242" t="str">
        <f>IFERROR(VLOOKUP(WTG_BD[[#This Row],[Affected WTG]],'Basic Data'!$A$3:$E$56,3,0),"")</f>
        <v>MSEDCL</v>
      </c>
      <c r="J326" s="243">
        <f>IFERROR(VLOOKUP(WTG_BD[[#This Row],[Affected WTG]],'Basic Data'!$A$3:$E$56,5,0),"")</f>
        <v>2.564102564102564E-2</v>
      </c>
      <c r="K326" s="158">
        <v>502</v>
      </c>
      <c r="L326" s="247" t="str">
        <f>VLOOKUP(K326,'Basic Data'!T:U,2,0)</f>
        <v>Generator NDE Bearing High Temperature Alarm</v>
      </c>
      <c r="M326" s="135" t="s">
        <v>472</v>
      </c>
      <c r="N326" s="256">
        <v>0.17777777777777778</v>
      </c>
      <c r="O326" s="256">
        <v>0.21527777777777779</v>
      </c>
      <c r="P326" s="256">
        <v>0.21666666666666667</v>
      </c>
      <c r="Q326" s="253">
        <f>IF(WTG_BD[[#This Row],[Work Start TimeStamp]]="","",(WTG_BD[[#This Row],[Work Start TimeStamp]]-WTG_BD[[#This Row],[Fault Start TimeStamp]])*24)</f>
        <v>0.90000000000000013</v>
      </c>
      <c r="R326" s="253">
        <f>(WTG_BD[[#This Row],[Fault Clearance time]]-WTG_BD[[#This Row],[Work Start TimeStamp]])*24</f>
        <v>3.3333333333333215E-2</v>
      </c>
      <c r="S326" s="253">
        <f>(WTG_BD[[#This Row],[Fault Clearance time]]-WTG_BD[[#This Row],[Fault Start TimeStamp]])*24</f>
        <v>0.93333333333333335</v>
      </c>
      <c r="T326" s="135" t="s">
        <v>482</v>
      </c>
      <c r="U326" s="244" t="s">
        <v>474</v>
      </c>
      <c r="V326" s="246">
        <f>WTG_BD[[#This Row],[Breakdown Time]]*(1/39)</f>
        <v>2.393162393162393E-2</v>
      </c>
      <c r="W326" s="244" t="s">
        <v>118</v>
      </c>
      <c r="X326" s="250">
        <v>644.93333333333339</v>
      </c>
      <c r="Y326" s="135" t="s">
        <v>470</v>
      </c>
      <c r="Z326" s="135" t="s">
        <v>475</v>
      </c>
      <c r="AA326" s="249">
        <v>16584</v>
      </c>
      <c r="AB326" s="249">
        <f>(WTG_BD[[#This Row],[Paired WTG Generation for loss calculation.]]/24)*WTG_BD[[#This Row],[Breakdown Time]]</f>
        <v>644.93333333333339</v>
      </c>
      <c r="AC326" s="135"/>
      <c r="AD326" s="245"/>
      <c r="AE326" s="3"/>
    </row>
    <row r="327" spans="1:31">
      <c r="A327" s="241">
        <f t="shared" si="11"/>
        <v>326</v>
      </c>
      <c r="B327" s="255">
        <v>45764</v>
      </c>
      <c r="C327" s="252">
        <v>2025</v>
      </c>
      <c r="D327" s="252">
        <f>YEAR(WTG_BD[[#This Row],[Date]])</f>
        <v>2025</v>
      </c>
      <c r="E327" s="251">
        <f t="shared" si="10"/>
        <v>45748</v>
      </c>
      <c r="F327" s="252" t="s">
        <v>465</v>
      </c>
      <c r="G327" s="248" t="s">
        <v>116</v>
      </c>
      <c r="H327" s="242" t="str">
        <f>IFERROR(VLOOKUP(WTG_BD[[#This Row],[Affected WTG]],'Basic Data'!$A$3:$E$56,2,0),"")</f>
        <v>PWEGPL</v>
      </c>
      <c r="I327" s="242" t="str">
        <f>IFERROR(VLOOKUP(WTG_BD[[#This Row],[Affected WTG]],'Basic Data'!$A$3:$E$56,3,0),"")</f>
        <v>MSEDCL</v>
      </c>
      <c r="J327" s="243">
        <f>IFERROR(VLOOKUP(WTG_BD[[#This Row],[Affected WTG]],'Basic Data'!$A$3:$E$56,5,0),"")</f>
        <v>2.564102564102564E-2</v>
      </c>
      <c r="K327" s="158" t="s">
        <v>523</v>
      </c>
      <c r="L327" s="247" t="str">
        <f>VLOOKUP(K327,'Basic Data'!T:U,2,0)</f>
        <v>Manual Stop</v>
      </c>
      <c r="M327" s="135" t="s">
        <v>496</v>
      </c>
      <c r="N327" s="256">
        <v>0.55694444444444446</v>
      </c>
      <c r="O327" s="256">
        <v>0.55694444444444446</v>
      </c>
      <c r="P327" s="256">
        <v>0.60763888888888884</v>
      </c>
      <c r="Q327" s="253">
        <f>IF(WTG_BD[[#This Row],[Work Start TimeStamp]]="","",(WTG_BD[[#This Row],[Work Start TimeStamp]]-WTG_BD[[#This Row],[Fault Start TimeStamp]])*24)</f>
        <v>0</v>
      </c>
      <c r="R327" s="253">
        <f>(WTG_BD[[#This Row],[Fault Clearance time]]-WTG_BD[[#This Row],[Work Start TimeStamp]])*24</f>
        <v>1.216666666666665</v>
      </c>
      <c r="S327" s="253">
        <f>(WTG_BD[[#This Row],[Fault Clearance time]]-WTG_BD[[#This Row],[Fault Start TimeStamp]])*24</f>
        <v>1.216666666666665</v>
      </c>
      <c r="T327" s="135" t="s">
        <v>533</v>
      </c>
      <c r="U327" s="244" t="s">
        <v>474</v>
      </c>
      <c r="V327" s="246">
        <f>WTG_BD[[#This Row],[Breakdown Time]]*(1/39)</f>
        <v>3.1196581196581152E-2</v>
      </c>
      <c r="W327" s="244" t="s">
        <v>118</v>
      </c>
      <c r="X327" s="250">
        <v>840.71666666666556</v>
      </c>
      <c r="Y327" s="135" t="s">
        <v>470</v>
      </c>
      <c r="Z327" s="135" t="s">
        <v>498</v>
      </c>
      <c r="AA327" s="249">
        <v>16584</v>
      </c>
      <c r="AB327" s="249">
        <f>(WTG_BD[[#This Row],[Paired WTG Generation for loss calculation.]]/24)*WTG_BD[[#This Row],[Breakdown Time]]</f>
        <v>840.71666666666556</v>
      </c>
      <c r="AC327" s="135"/>
      <c r="AD327" s="245"/>
      <c r="AE327" s="3"/>
    </row>
    <row r="328" spans="1:31">
      <c r="A328" s="241">
        <f t="shared" si="11"/>
        <v>327</v>
      </c>
      <c r="B328" s="255">
        <v>45764</v>
      </c>
      <c r="C328" s="252">
        <v>2025</v>
      </c>
      <c r="D328" s="252">
        <f>YEAR(WTG_BD[[#This Row],[Date]])</f>
        <v>2025</v>
      </c>
      <c r="E328" s="251">
        <f t="shared" si="10"/>
        <v>45748</v>
      </c>
      <c r="F328" s="252" t="s">
        <v>465</v>
      </c>
      <c r="G328" s="248" t="s">
        <v>121</v>
      </c>
      <c r="H328" s="242" t="str">
        <f>IFERROR(VLOOKUP(WTG_BD[[#This Row],[Affected WTG]],'Basic Data'!$A$3:$E$56,2,0),"")</f>
        <v>PWEGPL</v>
      </c>
      <c r="I328" s="242" t="str">
        <f>IFERROR(VLOOKUP(WTG_BD[[#This Row],[Affected WTG]],'Basic Data'!$A$3:$E$56,3,0),"")</f>
        <v>MSEDCL</v>
      </c>
      <c r="J328" s="243">
        <f>IFERROR(VLOOKUP(WTG_BD[[#This Row],[Affected WTG]],'Basic Data'!$A$3:$E$56,5,0),"")</f>
        <v>2.564102564102564E-2</v>
      </c>
      <c r="K328" s="158">
        <v>403</v>
      </c>
      <c r="L328" s="247" t="str">
        <f>VLOOKUP(K328,'Basic Data'!T:U,2,0)</f>
        <v>High Gearbox Oil Temperature</v>
      </c>
      <c r="M328" s="135" t="s">
        <v>472</v>
      </c>
      <c r="N328" s="256">
        <v>0.1423611111111111</v>
      </c>
      <c r="O328" s="256">
        <v>0.16805555555555557</v>
      </c>
      <c r="P328" s="256">
        <v>0.1701388888888889</v>
      </c>
      <c r="Q328" s="253">
        <f>IF(WTG_BD[[#This Row],[Work Start TimeStamp]]="","",(WTG_BD[[#This Row],[Work Start TimeStamp]]-WTG_BD[[#This Row],[Fault Start TimeStamp]])*24)</f>
        <v>0.61666666666666714</v>
      </c>
      <c r="R328" s="253">
        <f>(WTG_BD[[#This Row],[Fault Clearance time]]-WTG_BD[[#This Row],[Work Start TimeStamp]])*24</f>
        <v>4.9999999999999822E-2</v>
      </c>
      <c r="S328" s="253">
        <f>(WTG_BD[[#This Row],[Fault Clearance time]]-WTG_BD[[#This Row],[Fault Start TimeStamp]])*24</f>
        <v>0.66666666666666696</v>
      </c>
      <c r="T328" s="135" t="s">
        <v>482</v>
      </c>
      <c r="U328" s="244" t="s">
        <v>474</v>
      </c>
      <c r="V328" s="246">
        <f>WTG_BD[[#This Row],[Breakdown Time]]*(1/39)</f>
        <v>1.7094017094017103E-2</v>
      </c>
      <c r="W328" s="244" t="s">
        <v>115</v>
      </c>
      <c r="X328" s="250">
        <v>420.91666666666686</v>
      </c>
      <c r="Y328" s="135" t="s">
        <v>470</v>
      </c>
      <c r="Z328" s="135" t="s">
        <v>475</v>
      </c>
      <c r="AA328" s="249">
        <v>15153</v>
      </c>
      <c r="AB328" s="249">
        <f>(WTG_BD[[#This Row],[Paired WTG Generation for loss calculation.]]/24)*WTG_BD[[#This Row],[Breakdown Time]]</f>
        <v>420.91666666666686</v>
      </c>
      <c r="AC328" s="135"/>
      <c r="AD328" s="245"/>
      <c r="AE328" s="3"/>
    </row>
    <row r="329" spans="1:31">
      <c r="A329" s="241">
        <f t="shared" si="11"/>
        <v>328</v>
      </c>
      <c r="B329" s="255">
        <v>45764</v>
      </c>
      <c r="C329" s="252">
        <v>2025</v>
      </c>
      <c r="D329" s="252">
        <f>YEAR(WTG_BD[[#This Row],[Date]])</f>
        <v>2025</v>
      </c>
      <c r="E329" s="251">
        <f t="shared" si="10"/>
        <v>45748</v>
      </c>
      <c r="F329" s="252" t="s">
        <v>465</v>
      </c>
      <c r="G329" s="248" t="s">
        <v>121</v>
      </c>
      <c r="H329" s="242" t="str">
        <f>IFERROR(VLOOKUP(WTG_BD[[#This Row],[Affected WTG]],'Basic Data'!$A$3:$E$56,2,0),"")</f>
        <v>PWEGPL</v>
      </c>
      <c r="I329" s="242" t="str">
        <f>IFERROR(VLOOKUP(WTG_BD[[#This Row],[Affected WTG]],'Basic Data'!$A$3:$E$56,3,0),"")</f>
        <v>MSEDCL</v>
      </c>
      <c r="J329" s="243">
        <f>IFERROR(VLOOKUP(WTG_BD[[#This Row],[Affected WTG]],'Basic Data'!$A$3:$E$56,5,0),"")</f>
        <v>2.564102564102564E-2</v>
      </c>
      <c r="K329" s="158" t="s">
        <v>523</v>
      </c>
      <c r="L329" s="247" t="str">
        <f>VLOOKUP(K329,'Basic Data'!T:U,2,0)</f>
        <v>Manual Stop</v>
      </c>
      <c r="M329" s="135" t="s">
        <v>496</v>
      </c>
      <c r="N329" s="256">
        <v>0.47152777777777777</v>
      </c>
      <c r="O329" s="256">
        <v>0.47152777777777777</v>
      </c>
      <c r="P329" s="256">
        <v>0.54583333333333328</v>
      </c>
      <c r="Q329" s="253">
        <f>IF(WTG_BD[[#This Row],[Work Start TimeStamp]]="","",(WTG_BD[[#This Row],[Work Start TimeStamp]]-WTG_BD[[#This Row],[Fault Start TimeStamp]])*24)</f>
        <v>0</v>
      </c>
      <c r="R329" s="253">
        <f>(WTG_BD[[#This Row],[Fault Clearance time]]-WTG_BD[[#This Row],[Work Start TimeStamp]])*24</f>
        <v>1.7833333333333323</v>
      </c>
      <c r="S329" s="253">
        <f>(WTG_BD[[#This Row],[Fault Clearance time]]-WTG_BD[[#This Row],[Fault Start TimeStamp]])*24</f>
        <v>1.7833333333333323</v>
      </c>
      <c r="T329" s="135" t="s">
        <v>534</v>
      </c>
      <c r="U329" s="244" t="s">
        <v>474</v>
      </c>
      <c r="V329" s="246">
        <f>WTG_BD[[#This Row],[Breakdown Time]]*(1/39)</f>
        <v>4.5726495726495696E-2</v>
      </c>
      <c r="W329" s="244" t="s">
        <v>115</v>
      </c>
      <c r="X329" s="250">
        <v>1125.9520833333327</v>
      </c>
      <c r="Y329" s="135" t="s">
        <v>470</v>
      </c>
      <c r="Z329" s="135" t="s">
        <v>498</v>
      </c>
      <c r="AA329" s="249">
        <v>15153</v>
      </c>
      <c r="AB329" s="249">
        <f>(WTG_BD[[#This Row],[Paired WTG Generation for loss calculation.]]/24)*WTG_BD[[#This Row],[Breakdown Time]]</f>
        <v>1125.9520833333327</v>
      </c>
      <c r="AC329" s="135"/>
      <c r="AD329" s="245"/>
      <c r="AE329" s="3"/>
    </row>
    <row r="330" spans="1:31">
      <c r="A330" s="241">
        <f t="shared" si="11"/>
        <v>329</v>
      </c>
      <c r="B330" s="255">
        <v>45764</v>
      </c>
      <c r="C330" s="252">
        <v>2025</v>
      </c>
      <c r="D330" s="252">
        <f>YEAR(WTG_BD[[#This Row],[Date]])</f>
        <v>2025</v>
      </c>
      <c r="E330" s="251">
        <f t="shared" si="10"/>
        <v>45748</v>
      </c>
      <c r="F330" s="252" t="s">
        <v>465</v>
      </c>
      <c r="G330" s="248" t="s">
        <v>123</v>
      </c>
      <c r="H330" s="242" t="str">
        <f>IFERROR(VLOOKUP(WTG_BD[[#This Row],[Affected WTG]],'Basic Data'!$A$3:$E$56,2,0),"")</f>
        <v>PWEGPL</v>
      </c>
      <c r="I330" s="242" t="str">
        <f>IFERROR(VLOOKUP(WTG_BD[[#This Row],[Affected WTG]],'Basic Data'!$A$3:$E$56,3,0),"")</f>
        <v>MSEDCL</v>
      </c>
      <c r="J330" s="243">
        <f>IFERROR(VLOOKUP(WTG_BD[[#This Row],[Affected WTG]],'Basic Data'!$A$3:$E$56,5,0),"")</f>
        <v>2.564102564102564E-2</v>
      </c>
      <c r="K330" s="158">
        <v>416</v>
      </c>
      <c r="L330" s="247" t="str">
        <f>VLOOKUP(K330,'Basic Data'!T:U,2,0)</f>
        <v>Vibration Sensor</v>
      </c>
      <c r="M330" s="135" t="s">
        <v>472</v>
      </c>
      <c r="N330" s="256">
        <v>0.32291666666666669</v>
      </c>
      <c r="O330" s="256">
        <v>0.3923611111111111</v>
      </c>
      <c r="P330" s="256">
        <v>0.39305555555555555</v>
      </c>
      <c r="Q330" s="253">
        <f>IF(WTG_BD[[#This Row],[Work Start TimeStamp]]="","",(WTG_BD[[#This Row],[Work Start TimeStamp]]-WTG_BD[[#This Row],[Fault Start TimeStamp]])*24)</f>
        <v>1.6666666666666661</v>
      </c>
      <c r="R330" s="253">
        <f>(WTG_BD[[#This Row],[Fault Clearance time]]-WTG_BD[[#This Row],[Work Start TimeStamp]])*24</f>
        <v>1.6666666666666607E-2</v>
      </c>
      <c r="S330" s="253">
        <f>(WTG_BD[[#This Row],[Fault Clearance time]]-WTG_BD[[#This Row],[Fault Start TimeStamp]])*24</f>
        <v>1.6833333333333327</v>
      </c>
      <c r="T330" s="135" t="s">
        <v>473</v>
      </c>
      <c r="U330" s="244" t="s">
        <v>474</v>
      </c>
      <c r="V330" s="246">
        <f>WTG_BD[[#This Row],[Breakdown Time]]*(1/39)</f>
        <v>4.3162393162393141E-2</v>
      </c>
      <c r="W330" s="244" t="s">
        <v>126</v>
      </c>
      <c r="X330" s="250">
        <v>1046.6826388888885</v>
      </c>
      <c r="Y330" s="135" t="s">
        <v>470</v>
      </c>
      <c r="Z330" s="135" t="s">
        <v>475</v>
      </c>
      <c r="AA330" s="249">
        <v>14923</v>
      </c>
      <c r="AB330" s="249">
        <f>(WTG_BD[[#This Row],[Paired WTG Generation for loss calculation.]]/24)*WTG_BD[[#This Row],[Breakdown Time]]</f>
        <v>1046.6826388888885</v>
      </c>
      <c r="AC330" s="135"/>
      <c r="AD330" s="245"/>
      <c r="AE330" s="3"/>
    </row>
    <row r="331" spans="1:31">
      <c r="A331" s="241">
        <f t="shared" si="11"/>
        <v>330</v>
      </c>
      <c r="B331" s="255">
        <v>45764</v>
      </c>
      <c r="C331" s="252">
        <v>2025</v>
      </c>
      <c r="D331" s="252">
        <f>YEAR(WTG_BD[[#This Row],[Date]])</f>
        <v>2025</v>
      </c>
      <c r="E331" s="251">
        <f t="shared" si="10"/>
        <v>45748</v>
      </c>
      <c r="F331" s="252" t="s">
        <v>465</v>
      </c>
      <c r="G331" s="248" t="s">
        <v>152</v>
      </c>
      <c r="H331" s="242" t="str">
        <f>IFERROR(VLOOKUP(WTG_BD[[#This Row],[Affected WTG]],'Basic Data'!$A$3:$E$56,2,0),"")</f>
        <v>PWEGPL</v>
      </c>
      <c r="I331" s="242" t="str">
        <f>IFERROR(VLOOKUP(WTG_BD[[#This Row],[Affected WTG]],'Basic Data'!$A$3:$E$56,3,0),"")</f>
        <v>MSEDCL</v>
      </c>
      <c r="J331" s="243">
        <f>IFERROR(VLOOKUP(WTG_BD[[#This Row],[Affected WTG]],'Basic Data'!$A$3:$E$56,5,0),"")</f>
        <v>2.564102564102564E-2</v>
      </c>
      <c r="K331" s="158">
        <v>5200</v>
      </c>
      <c r="L331" s="247" t="str">
        <f>VLOOKUP(K331,'Basic Data'!T:U,2,0)</f>
        <v>Magnetothermic Trigger Of The Line Protection</v>
      </c>
      <c r="M331" s="135" t="s">
        <v>472</v>
      </c>
      <c r="N331" s="256">
        <v>0.36458333333333331</v>
      </c>
      <c r="O331" s="256">
        <v>0.40833333333333333</v>
      </c>
      <c r="P331" s="256">
        <v>0.40972222222222221</v>
      </c>
      <c r="Q331" s="253">
        <f>IF(WTG_BD[[#This Row],[Work Start TimeStamp]]="","",(WTG_BD[[#This Row],[Work Start TimeStamp]]-WTG_BD[[#This Row],[Fault Start TimeStamp]])*24)</f>
        <v>1.0500000000000003</v>
      </c>
      <c r="R331" s="253">
        <f>(WTG_BD[[#This Row],[Fault Clearance time]]-WTG_BD[[#This Row],[Work Start TimeStamp]])*24</f>
        <v>3.3333333333333215E-2</v>
      </c>
      <c r="S331" s="253">
        <f>(WTG_BD[[#This Row],[Fault Clearance time]]-WTG_BD[[#This Row],[Fault Start TimeStamp]])*24</f>
        <v>1.0833333333333335</v>
      </c>
      <c r="T331" s="135" t="s">
        <v>482</v>
      </c>
      <c r="U331" s="244" t="s">
        <v>474</v>
      </c>
      <c r="V331" s="246">
        <f>WTG_BD[[#This Row],[Breakdown Time]]*(1/39)</f>
        <v>2.777777777777778E-2</v>
      </c>
      <c r="W331" s="244" t="s">
        <v>153</v>
      </c>
      <c r="X331" s="250">
        <v>567.57638888888891</v>
      </c>
      <c r="Y331" s="135" t="s">
        <v>470</v>
      </c>
      <c r="Z331" s="135" t="s">
        <v>475</v>
      </c>
      <c r="AA331" s="249">
        <v>12574</v>
      </c>
      <c r="AB331" s="249">
        <f>(WTG_BD[[#This Row],[Paired WTG Generation for loss calculation.]]/24)*WTG_BD[[#This Row],[Breakdown Time]]</f>
        <v>567.57638888888891</v>
      </c>
      <c r="AC331" s="135"/>
      <c r="AD331" s="245"/>
      <c r="AE331" s="3"/>
    </row>
    <row r="332" spans="1:31">
      <c r="A332" s="241">
        <f t="shared" si="11"/>
        <v>331</v>
      </c>
      <c r="B332" s="255">
        <v>45765</v>
      </c>
      <c r="C332" s="252">
        <v>2025</v>
      </c>
      <c r="D332" s="252">
        <f>YEAR(WTG_BD[[#This Row],[Date]])</f>
        <v>2025</v>
      </c>
      <c r="E332" s="251">
        <f t="shared" si="10"/>
        <v>45748</v>
      </c>
      <c r="F332" s="252" t="s">
        <v>465</v>
      </c>
      <c r="G332" s="248" t="s">
        <v>144</v>
      </c>
      <c r="H332" s="242" t="str">
        <f>IFERROR(VLOOKUP(WTG_BD[[#This Row],[Affected WTG]],'Basic Data'!$A$3:$E$56,2,0),"")</f>
        <v>PWEGPL</v>
      </c>
      <c r="I332" s="242" t="str">
        <f>IFERROR(VLOOKUP(WTG_BD[[#This Row],[Affected WTG]],'Basic Data'!$A$3:$E$56,3,0),"")</f>
        <v>MSEDCL</v>
      </c>
      <c r="J332" s="243">
        <f>IFERROR(VLOOKUP(WTG_BD[[#This Row],[Affected WTG]],'Basic Data'!$A$3:$E$56,5,0),"")</f>
        <v>2.564102564102564E-2</v>
      </c>
      <c r="K332" s="158" t="s">
        <v>466</v>
      </c>
      <c r="L332" s="247" t="str">
        <f>VLOOKUP(K332,'Basic Data'!T:U,2,0)</f>
        <v>Manual Stop - Safety Related</v>
      </c>
      <c r="M332" s="135" t="s">
        <v>467</v>
      </c>
      <c r="N332" s="256">
        <v>0</v>
      </c>
      <c r="O332" s="256">
        <v>0.99930555555555556</v>
      </c>
      <c r="P332" s="256">
        <v>0.99930555555555556</v>
      </c>
      <c r="Q332" s="253">
        <f>IF(WTG_BD[[#This Row],[Work Start TimeStamp]]="","",(WTG_BD[[#This Row],[Work Start TimeStamp]]-WTG_BD[[#This Row],[Fault Start TimeStamp]])*24)</f>
        <v>23.983333333333334</v>
      </c>
      <c r="R332" s="253">
        <f>(WTG_BD[[#This Row],[Fault Clearance time]]-WTG_BD[[#This Row],[Work Start TimeStamp]])*24</f>
        <v>0</v>
      </c>
      <c r="S332" s="253">
        <f>(WTG_BD[[#This Row],[Fault Clearance time]]-WTG_BD[[#This Row],[Fault Start TimeStamp]])*24</f>
        <v>23.983333333333334</v>
      </c>
      <c r="T332" s="135" t="s">
        <v>468</v>
      </c>
      <c r="U332" s="244" t="s">
        <v>469</v>
      </c>
      <c r="V332" s="246">
        <f>WTG_BD[[#This Row],[Breakdown Time]]*(1/39)</f>
        <v>0.61495726495726499</v>
      </c>
      <c r="W332" s="244" t="s">
        <v>141</v>
      </c>
      <c r="X332" s="250">
        <v>8817.8722222222223</v>
      </c>
      <c r="Y332" s="135" t="s">
        <v>470</v>
      </c>
      <c r="Z332" s="135" t="s">
        <v>471</v>
      </c>
      <c r="AA332" s="135">
        <v>8824</v>
      </c>
      <c r="AB332" s="249">
        <f>(WTG_BD[[#This Row],[Paired WTG Generation for loss calculation.]]/24)*WTG_BD[[#This Row],[Breakdown Time]]</f>
        <v>8817.8722222222223</v>
      </c>
      <c r="AC332" s="135"/>
      <c r="AD332" s="245"/>
      <c r="AE332" s="3"/>
    </row>
    <row r="333" spans="1:31">
      <c r="A333" s="241">
        <f t="shared" si="11"/>
        <v>332</v>
      </c>
      <c r="B333" s="255">
        <v>45765</v>
      </c>
      <c r="C333" s="252">
        <v>2025</v>
      </c>
      <c r="D333" s="252">
        <f>YEAR(WTG_BD[[#This Row],[Date]])</f>
        <v>2025</v>
      </c>
      <c r="E333" s="251">
        <f t="shared" si="10"/>
        <v>45748</v>
      </c>
      <c r="F333" s="252" t="s">
        <v>465</v>
      </c>
      <c r="G333" s="248" t="s">
        <v>142</v>
      </c>
      <c r="H333" s="242" t="str">
        <f>IFERROR(VLOOKUP(WTG_BD[[#This Row],[Affected WTG]],'Basic Data'!$A$3:$E$56,2,0),"")</f>
        <v>PWEGPL</v>
      </c>
      <c r="I333" s="242" t="str">
        <f>IFERROR(VLOOKUP(WTG_BD[[#This Row],[Affected WTG]],'Basic Data'!$A$3:$E$56,3,0),"")</f>
        <v>MSEDCL</v>
      </c>
      <c r="J333" s="243">
        <f>IFERROR(VLOOKUP(WTG_BD[[#This Row],[Affected WTG]],'Basic Data'!$A$3:$E$56,5,0),"")</f>
        <v>2.564102564102564E-2</v>
      </c>
      <c r="K333" s="158" t="s">
        <v>466</v>
      </c>
      <c r="L333" s="247" t="str">
        <f>VLOOKUP(K333,'Basic Data'!T:U,2,0)</f>
        <v>Manual Stop - Safety Related</v>
      </c>
      <c r="M333" s="135" t="s">
        <v>467</v>
      </c>
      <c r="N333" s="256">
        <v>0</v>
      </c>
      <c r="O333" s="256">
        <v>0.99930555555555556</v>
      </c>
      <c r="P333" s="256">
        <v>0.99930555555555556</v>
      </c>
      <c r="Q333" s="253">
        <f>IF(WTG_BD[[#This Row],[Work Start TimeStamp]]="","",(WTG_BD[[#This Row],[Work Start TimeStamp]]-WTG_BD[[#This Row],[Fault Start TimeStamp]])*24)</f>
        <v>23.983333333333334</v>
      </c>
      <c r="R333" s="253">
        <f>(WTG_BD[[#This Row],[Fault Clearance time]]-WTG_BD[[#This Row],[Work Start TimeStamp]])*24</f>
        <v>0</v>
      </c>
      <c r="S333" s="253">
        <f>(WTG_BD[[#This Row],[Fault Clearance time]]-WTG_BD[[#This Row],[Fault Start TimeStamp]])*24</f>
        <v>23.983333333333334</v>
      </c>
      <c r="T333" s="135" t="s">
        <v>468</v>
      </c>
      <c r="U333" s="244" t="s">
        <v>469</v>
      </c>
      <c r="V333" s="246">
        <f>WTG_BD[[#This Row],[Breakdown Time]]*(1/39)</f>
        <v>0.61495726495726499</v>
      </c>
      <c r="W333" s="244" t="s">
        <v>141</v>
      </c>
      <c r="X333" s="250">
        <v>8817.8722222222223</v>
      </c>
      <c r="Y333" s="135" t="s">
        <v>470</v>
      </c>
      <c r="Z333" s="135" t="s">
        <v>471</v>
      </c>
      <c r="AA333" s="135">
        <v>8824</v>
      </c>
      <c r="AB333" s="249">
        <f>(WTG_BD[[#This Row],[Paired WTG Generation for loss calculation.]]/24)*WTG_BD[[#This Row],[Breakdown Time]]</f>
        <v>8817.8722222222223</v>
      </c>
      <c r="AC333" s="135"/>
      <c r="AD333" s="245"/>
      <c r="AE333" s="3"/>
    </row>
    <row r="334" spans="1:31">
      <c r="A334" s="241">
        <f t="shared" si="11"/>
        <v>333</v>
      </c>
      <c r="B334" s="255">
        <v>45765</v>
      </c>
      <c r="C334" s="252">
        <v>2025</v>
      </c>
      <c r="D334" s="252">
        <f>YEAR(WTG_BD[[#This Row],[Date]])</f>
        <v>2025</v>
      </c>
      <c r="E334" s="251">
        <f t="shared" si="10"/>
        <v>45748</v>
      </c>
      <c r="F334" s="252" t="s">
        <v>465</v>
      </c>
      <c r="G334" s="248" t="s">
        <v>137</v>
      </c>
      <c r="H334" s="242" t="str">
        <f>IFERROR(VLOOKUP(WTG_BD[[#This Row],[Affected WTG]],'Basic Data'!$A$3:$E$56,2,0),"")</f>
        <v>PWEGPL</v>
      </c>
      <c r="I334" s="242" t="str">
        <f>IFERROR(VLOOKUP(WTG_BD[[#This Row],[Affected WTG]],'Basic Data'!$A$3:$E$56,3,0),"")</f>
        <v>MSEDCL</v>
      </c>
      <c r="J334" s="243">
        <f>IFERROR(VLOOKUP(WTG_BD[[#This Row],[Affected WTG]],'Basic Data'!$A$3:$E$56,5,0),"")</f>
        <v>2.564102564102564E-2</v>
      </c>
      <c r="K334" s="158">
        <v>2106</v>
      </c>
      <c r="L334" s="247" t="str">
        <f>VLOOKUP(K334,'Basic Data'!T:U,2,0)</f>
        <v>Temp. Measurement Module Failure</v>
      </c>
      <c r="M334" s="135" t="s">
        <v>472</v>
      </c>
      <c r="N334" s="256">
        <v>0.39930555555555558</v>
      </c>
      <c r="O334" s="256">
        <v>0.39930555555555558</v>
      </c>
      <c r="P334" s="256">
        <v>0.40277777777777779</v>
      </c>
      <c r="Q334" s="253">
        <f>IF(WTG_BD[[#This Row],[Work Start TimeStamp]]="","",(WTG_BD[[#This Row],[Work Start TimeStamp]]-WTG_BD[[#This Row],[Fault Start TimeStamp]])*24)</f>
        <v>0</v>
      </c>
      <c r="R334" s="253">
        <f>(WTG_BD[[#This Row],[Fault Clearance time]]-WTG_BD[[#This Row],[Work Start TimeStamp]])*24</f>
        <v>8.3333333333333037E-2</v>
      </c>
      <c r="S334" s="253">
        <f>(WTG_BD[[#This Row],[Fault Clearance time]]-WTG_BD[[#This Row],[Fault Start TimeStamp]])*24</f>
        <v>8.3333333333333037E-2</v>
      </c>
      <c r="T334" s="135" t="s">
        <v>476</v>
      </c>
      <c r="U334" s="244" t="s">
        <v>474</v>
      </c>
      <c r="V334" s="246">
        <f>WTG_BD[[#This Row],[Breakdown Time]]*(1/39)</f>
        <v>2.1367521367521292E-3</v>
      </c>
      <c r="W334" s="244" t="s">
        <v>136</v>
      </c>
      <c r="X334" s="250">
        <v>30.756944444444333</v>
      </c>
      <c r="Y334" s="135" t="s">
        <v>470</v>
      </c>
      <c r="Z334" s="135" t="s">
        <v>475</v>
      </c>
      <c r="AA334" s="135">
        <v>8858</v>
      </c>
      <c r="AB334" s="249">
        <f>(WTG_BD[[#This Row],[Paired WTG Generation for loss calculation.]]/24)*WTG_BD[[#This Row],[Breakdown Time]]</f>
        <v>30.756944444444333</v>
      </c>
      <c r="AC334" s="135"/>
      <c r="AD334" s="245"/>
      <c r="AE334" s="3"/>
    </row>
    <row r="335" spans="1:31">
      <c r="A335" s="241">
        <f t="shared" si="11"/>
        <v>334</v>
      </c>
      <c r="B335" s="255">
        <v>45765</v>
      </c>
      <c r="C335" s="252">
        <v>2025</v>
      </c>
      <c r="D335" s="252">
        <f>YEAR(WTG_BD[[#This Row],[Date]])</f>
        <v>2025</v>
      </c>
      <c r="E335" s="251">
        <f t="shared" si="10"/>
        <v>45748</v>
      </c>
      <c r="F335" s="252" t="s">
        <v>465</v>
      </c>
      <c r="G335" s="248" t="s">
        <v>137</v>
      </c>
      <c r="H335" s="242" t="str">
        <f>IFERROR(VLOOKUP(WTG_BD[[#This Row],[Affected WTG]],'Basic Data'!$A$3:$E$56,2,0),"")</f>
        <v>PWEGPL</v>
      </c>
      <c r="I335" s="242" t="str">
        <f>IFERROR(VLOOKUP(WTG_BD[[#This Row],[Affected WTG]],'Basic Data'!$A$3:$E$56,3,0),"")</f>
        <v>MSEDCL</v>
      </c>
      <c r="J335" s="243">
        <f>IFERROR(VLOOKUP(WTG_BD[[#This Row],[Affected WTG]],'Basic Data'!$A$3:$E$56,5,0),"")</f>
        <v>2.564102564102564E-2</v>
      </c>
      <c r="K335" s="158">
        <v>2106</v>
      </c>
      <c r="L335" s="247" t="str">
        <f>VLOOKUP(K335,'Basic Data'!T:U,2,0)</f>
        <v>Temp. Measurement Module Failure</v>
      </c>
      <c r="M335" s="135" t="s">
        <v>472</v>
      </c>
      <c r="N335" s="256">
        <v>0.42499999999999999</v>
      </c>
      <c r="O335" s="256">
        <v>0.42499999999999999</v>
      </c>
      <c r="P335" s="256">
        <v>0.4284722222222222</v>
      </c>
      <c r="Q335" s="253">
        <f>IF(WTG_BD[[#This Row],[Work Start TimeStamp]]="","",(WTG_BD[[#This Row],[Work Start TimeStamp]]-WTG_BD[[#This Row],[Fault Start TimeStamp]])*24)</f>
        <v>0</v>
      </c>
      <c r="R335" s="253">
        <f>(WTG_BD[[#This Row],[Fault Clearance time]]-WTG_BD[[#This Row],[Work Start TimeStamp]])*24</f>
        <v>8.3333333333333037E-2</v>
      </c>
      <c r="S335" s="253">
        <f>(WTG_BD[[#This Row],[Fault Clearance time]]-WTG_BD[[#This Row],[Fault Start TimeStamp]])*24</f>
        <v>8.3333333333333037E-2</v>
      </c>
      <c r="T335" s="135" t="s">
        <v>476</v>
      </c>
      <c r="U335" s="244" t="s">
        <v>474</v>
      </c>
      <c r="V335" s="246">
        <f>WTG_BD[[#This Row],[Breakdown Time]]*(1/39)</f>
        <v>2.1367521367521292E-3</v>
      </c>
      <c r="W335" s="244" t="s">
        <v>136</v>
      </c>
      <c r="X335" s="250">
        <v>30.756944444444333</v>
      </c>
      <c r="Y335" s="135" t="s">
        <v>470</v>
      </c>
      <c r="Z335" s="135" t="s">
        <v>475</v>
      </c>
      <c r="AA335" s="135">
        <v>8858</v>
      </c>
      <c r="AB335" s="249">
        <f>(WTG_BD[[#This Row],[Paired WTG Generation for loss calculation.]]/24)*WTG_BD[[#This Row],[Breakdown Time]]</f>
        <v>30.756944444444333</v>
      </c>
      <c r="AC335" s="135"/>
      <c r="AD335" s="245"/>
      <c r="AE335" s="3"/>
    </row>
    <row r="336" spans="1:31">
      <c r="A336" s="241">
        <f t="shared" si="11"/>
        <v>335</v>
      </c>
      <c r="B336" s="255">
        <v>45765</v>
      </c>
      <c r="C336" s="252">
        <v>2025</v>
      </c>
      <c r="D336" s="252">
        <f>YEAR(WTG_BD[[#This Row],[Date]])</f>
        <v>2025</v>
      </c>
      <c r="E336" s="251">
        <f t="shared" si="10"/>
        <v>45748</v>
      </c>
      <c r="F336" s="252" t="s">
        <v>465</v>
      </c>
      <c r="G336" s="248" t="s">
        <v>137</v>
      </c>
      <c r="H336" s="242" t="str">
        <f>IFERROR(VLOOKUP(WTG_BD[[#This Row],[Affected WTG]],'Basic Data'!$A$3:$E$56,2,0),"")</f>
        <v>PWEGPL</v>
      </c>
      <c r="I336" s="242" t="str">
        <f>IFERROR(VLOOKUP(WTG_BD[[#This Row],[Affected WTG]],'Basic Data'!$A$3:$E$56,3,0),"")</f>
        <v>MSEDCL</v>
      </c>
      <c r="J336" s="243">
        <f>IFERROR(VLOOKUP(WTG_BD[[#This Row],[Affected WTG]],'Basic Data'!$A$3:$E$56,5,0),"")</f>
        <v>2.564102564102564E-2</v>
      </c>
      <c r="K336" s="158">
        <v>2106</v>
      </c>
      <c r="L336" s="247" t="str">
        <f>VLOOKUP(K336,'Basic Data'!T:U,2,0)</f>
        <v>Temp. Measurement Module Failure</v>
      </c>
      <c r="M336" s="135" t="s">
        <v>472</v>
      </c>
      <c r="N336" s="256">
        <v>0.51041666666666663</v>
      </c>
      <c r="O336" s="256">
        <v>0.52222222222222225</v>
      </c>
      <c r="P336" s="256">
        <v>0.52430555555555558</v>
      </c>
      <c r="Q336" s="253">
        <f>IF(WTG_BD[[#This Row],[Work Start TimeStamp]]="","",(WTG_BD[[#This Row],[Work Start TimeStamp]]-WTG_BD[[#This Row],[Fault Start TimeStamp]])*24)</f>
        <v>0.28333333333333499</v>
      </c>
      <c r="R336" s="253">
        <f>(WTG_BD[[#This Row],[Fault Clearance time]]-WTG_BD[[#This Row],[Work Start TimeStamp]])*24</f>
        <v>4.9999999999999822E-2</v>
      </c>
      <c r="S336" s="253">
        <f>(WTG_BD[[#This Row],[Fault Clearance time]]-WTG_BD[[#This Row],[Fault Start TimeStamp]])*24</f>
        <v>0.33333333333333481</v>
      </c>
      <c r="T336" s="135" t="s">
        <v>482</v>
      </c>
      <c r="U336" s="244" t="s">
        <v>474</v>
      </c>
      <c r="V336" s="246">
        <f>WTG_BD[[#This Row],[Breakdown Time]]*(1/39)</f>
        <v>8.5470085470085843E-3</v>
      </c>
      <c r="W336" s="244" t="s">
        <v>136</v>
      </c>
      <c r="X336" s="250">
        <v>123.02777777777831</v>
      </c>
      <c r="Y336" s="135" t="s">
        <v>470</v>
      </c>
      <c r="Z336" s="135" t="s">
        <v>475</v>
      </c>
      <c r="AA336" s="135">
        <v>8858</v>
      </c>
      <c r="AB336" s="249">
        <f>(WTG_BD[[#This Row],[Paired WTG Generation for loss calculation.]]/24)*WTG_BD[[#This Row],[Breakdown Time]]</f>
        <v>123.02777777777831</v>
      </c>
      <c r="AC336" s="135"/>
      <c r="AD336" s="245"/>
      <c r="AE336" s="3"/>
    </row>
    <row r="337" spans="1:31">
      <c r="A337" s="241">
        <f t="shared" si="11"/>
        <v>336</v>
      </c>
      <c r="B337" s="255">
        <v>45765</v>
      </c>
      <c r="C337" s="252">
        <v>2025</v>
      </c>
      <c r="D337" s="252">
        <f>YEAR(WTG_BD[[#This Row],[Date]])</f>
        <v>2025</v>
      </c>
      <c r="E337" s="251">
        <f t="shared" si="10"/>
        <v>45748</v>
      </c>
      <c r="F337" s="252" t="s">
        <v>465</v>
      </c>
      <c r="G337" s="248" t="s">
        <v>143</v>
      </c>
      <c r="H337" s="242" t="str">
        <f>IFERROR(VLOOKUP(WTG_BD[[#This Row],[Affected WTG]],'Basic Data'!$A$3:$E$56,2,0),"")</f>
        <v>PWEGPL</v>
      </c>
      <c r="I337" s="242" t="str">
        <f>IFERROR(VLOOKUP(WTG_BD[[#This Row],[Affected WTG]],'Basic Data'!$A$3:$E$56,3,0),"")</f>
        <v>MSEDCL</v>
      </c>
      <c r="J337" s="243">
        <f>IFERROR(VLOOKUP(WTG_BD[[#This Row],[Affected WTG]],'Basic Data'!$A$3:$E$56,5,0),"")</f>
        <v>2.564102564102564E-2</v>
      </c>
      <c r="K337" s="158">
        <v>426</v>
      </c>
      <c r="L337" s="247" t="str">
        <f>VLOOKUP(K337,'Basic Data'!T:U,2,0)</f>
        <v>Rotor Speed Reading Failure</v>
      </c>
      <c r="M337" s="135" t="s">
        <v>472</v>
      </c>
      <c r="N337" s="256">
        <v>0.46180555555555558</v>
      </c>
      <c r="O337" s="256">
        <v>0.46180555555555558</v>
      </c>
      <c r="P337" s="256">
        <v>0.49583333333333335</v>
      </c>
      <c r="Q337" s="253">
        <f>IF(WTG_BD[[#This Row],[Work Start TimeStamp]]="","",(WTG_BD[[#This Row],[Work Start TimeStamp]]-WTG_BD[[#This Row],[Fault Start TimeStamp]])*24)</f>
        <v>0</v>
      </c>
      <c r="R337" s="253">
        <f>(WTG_BD[[#This Row],[Fault Clearance time]]-WTG_BD[[#This Row],[Work Start TimeStamp]])*24</f>
        <v>0.81666666666666643</v>
      </c>
      <c r="S337" s="253">
        <f>(WTG_BD[[#This Row],[Fault Clearance time]]-WTG_BD[[#This Row],[Fault Start TimeStamp]])*24</f>
        <v>0.81666666666666643</v>
      </c>
      <c r="T337" s="135" t="s">
        <v>535</v>
      </c>
      <c r="U337" s="244" t="s">
        <v>474</v>
      </c>
      <c r="V337" s="246">
        <f>WTG_BD[[#This Row],[Breakdown Time]]*(1/39)</f>
        <v>2.0940170940170932E-2</v>
      </c>
      <c r="W337" s="244" t="s">
        <v>141</v>
      </c>
      <c r="X337" s="250">
        <v>300.26111111111106</v>
      </c>
      <c r="Y337" s="135" t="s">
        <v>470</v>
      </c>
      <c r="Z337" s="135" t="s">
        <v>475</v>
      </c>
      <c r="AA337" s="135">
        <v>8824</v>
      </c>
      <c r="AB337" s="249">
        <f>(WTG_BD[[#This Row],[Paired WTG Generation for loss calculation.]]/24)*WTG_BD[[#This Row],[Breakdown Time]]</f>
        <v>300.26111111111106</v>
      </c>
      <c r="AC337" s="135"/>
      <c r="AD337" s="245"/>
      <c r="AE337" s="3"/>
    </row>
    <row r="338" spans="1:31">
      <c r="A338" s="241">
        <f t="shared" si="11"/>
        <v>337</v>
      </c>
      <c r="B338" s="255">
        <v>45765</v>
      </c>
      <c r="C338" s="252">
        <v>2025</v>
      </c>
      <c r="D338" s="252">
        <f>YEAR(WTG_BD[[#This Row],[Date]])</f>
        <v>2025</v>
      </c>
      <c r="E338" s="251">
        <f t="shared" si="10"/>
        <v>45748</v>
      </c>
      <c r="F338" s="252" t="s">
        <v>465</v>
      </c>
      <c r="G338" s="248" t="s">
        <v>149</v>
      </c>
      <c r="H338" s="242" t="str">
        <f>IFERROR(VLOOKUP(WTG_BD[[#This Row],[Affected WTG]],'Basic Data'!$A$3:$E$56,2,0),"")</f>
        <v>PWEGPL</v>
      </c>
      <c r="I338" s="242" t="str">
        <f>IFERROR(VLOOKUP(WTG_BD[[#This Row],[Affected WTG]],'Basic Data'!$A$3:$E$56,3,0),"")</f>
        <v>MSEDCL</v>
      </c>
      <c r="J338" s="243">
        <f>IFERROR(VLOOKUP(WTG_BD[[#This Row],[Affected WTG]],'Basic Data'!$A$3:$E$56,5,0),"")</f>
        <v>2.564102564102564E-2</v>
      </c>
      <c r="K338" s="158">
        <v>800</v>
      </c>
      <c r="L338" s="247" t="str">
        <f>VLOOKUP(K338,'Basic Data'!T:U,2,0)</f>
        <v>Pitch Drive Error</v>
      </c>
      <c r="M338" s="135" t="s">
        <v>472</v>
      </c>
      <c r="N338" s="256">
        <v>0.40625</v>
      </c>
      <c r="O338" s="256">
        <v>0.49652777777777779</v>
      </c>
      <c r="P338" s="256">
        <v>0.62847222222222221</v>
      </c>
      <c r="Q338" s="253">
        <f>IF(WTG_BD[[#This Row],[Work Start TimeStamp]]="","",(WTG_BD[[#This Row],[Work Start TimeStamp]]-WTG_BD[[#This Row],[Fault Start TimeStamp]])*24)</f>
        <v>2.166666666666667</v>
      </c>
      <c r="R338" s="253">
        <f>(WTG_BD[[#This Row],[Fault Clearance time]]-WTG_BD[[#This Row],[Work Start TimeStamp]])*24</f>
        <v>3.1666666666666661</v>
      </c>
      <c r="S338" s="253">
        <f>(WTG_BD[[#This Row],[Fault Clearance time]]-WTG_BD[[#This Row],[Fault Start TimeStamp]])*24</f>
        <v>5.333333333333333</v>
      </c>
      <c r="T338" s="135" t="s">
        <v>536</v>
      </c>
      <c r="U338" s="244" t="s">
        <v>474</v>
      </c>
      <c r="V338" s="246">
        <f>WTG_BD[[#This Row],[Breakdown Time]]*(1/39)</f>
        <v>0.13675213675213674</v>
      </c>
      <c r="W338" s="244" t="s">
        <v>148</v>
      </c>
      <c r="X338" s="250">
        <v>1769.5555555555557</v>
      </c>
      <c r="Y338" s="135" t="s">
        <v>470</v>
      </c>
      <c r="Z338" s="135" t="s">
        <v>475</v>
      </c>
      <c r="AA338" s="135">
        <v>7963</v>
      </c>
      <c r="AB338" s="249">
        <f>(WTG_BD[[#This Row],[Paired WTG Generation for loss calculation.]]/24)*WTG_BD[[#This Row],[Breakdown Time]]</f>
        <v>1769.5555555555557</v>
      </c>
      <c r="AC338" s="135"/>
      <c r="AD338" s="245"/>
      <c r="AE338" s="3"/>
    </row>
    <row r="339" spans="1:31">
      <c r="A339" s="241">
        <f t="shared" si="11"/>
        <v>338</v>
      </c>
      <c r="B339" s="255">
        <v>45765</v>
      </c>
      <c r="C339" s="252">
        <v>2025</v>
      </c>
      <c r="D339" s="252">
        <f>YEAR(WTG_BD[[#This Row],[Date]])</f>
        <v>2025</v>
      </c>
      <c r="E339" s="251">
        <f t="shared" si="10"/>
        <v>45748</v>
      </c>
      <c r="F339" s="252" t="s">
        <v>465</v>
      </c>
      <c r="G339" s="248" t="s">
        <v>148</v>
      </c>
      <c r="H339" s="242" t="str">
        <f>IFERROR(VLOOKUP(WTG_BD[[#This Row],[Affected WTG]],'Basic Data'!$A$3:$E$56,2,0),"")</f>
        <v>PWEGPL</v>
      </c>
      <c r="I339" s="242" t="str">
        <f>IFERROR(VLOOKUP(WTG_BD[[#This Row],[Affected WTG]],'Basic Data'!$A$3:$E$56,3,0),"")</f>
        <v>MSEDCL</v>
      </c>
      <c r="J339" s="243">
        <f>IFERROR(VLOOKUP(WTG_BD[[#This Row],[Affected WTG]],'Basic Data'!$A$3:$E$56,5,0),"")</f>
        <v>2.564102564102564E-2</v>
      </c>
      <c r="K339" s="158">
        <v>5201</v>
      </c>
      <c r="L339" s="247" t="str">
        <f>VLOOKUP(K339,'Basic Data'!T:U,2,0)</f>
        <v>Magnetothermic Trigger Of The Stator Protection</v>
      </c>
      <c r="M339" s="135" t="s">
        <v>472</v>
      </c>
      <c r="N339" s="256">
        <v>0.7</v>
      </c>
      <c r="O339" s="256">
        <v>0.73263888888888884</v>
      </c>
      <c r="P339" s="256">
        <v>0.73472222222222228</v>
      </c>
      <c r="Q339" s="253">
        <f>IF(WTG_BD[[#This Row],[Work Start TimeStamp]]="","",(WTG_BD[[#This Row],[Work Start TimeStamp]]-WTG_BD[[#This Row],[Fault Start TimeStamp]])*24)</f>
        <v>0.78333333333333321</v>
      </c>
      <c r="R339" s="253">
        <f>(WTG_BD[[#This Row],[Fault Clearance time]]-WTG_BD[[#This Row],[Work Start TimeStamp]])*24</f>
        <v>5.0000000000002487E-2</v>
      </c>
      <c r="S339" s="253">
        <f>(WTG_BD[[#This Row],[Fault Clearance time]]-WTG_BD[[#This Row],[Fault Start TimeStamp]])*24</f>
        <v>0.8333333333333357</v>
      </c>
      <c r="T339" s="135" t="s">
        <v>473</v>
      </c>
      <c r="U339" s="244" t="s">
        <v>474</v>
      </c>
      <c r="V339" s="246">
        <f>WTG_BD[[#This Row],[Breakdown Time]]*(1/39)</f>
        <v>2.1367521367521427E-2</v>
      </c>
      <c r="W339" s="244" t="s">
        <v>146</v>
      </c>
      <c r="X339" s="250">
        <v>283.64583333333417</v>
      </c>
      <c r="Y339" s="135" t="s">
        <v>470</v>
      </c>
      <c r="Z339" s="135" t="s">
        <v>475</v>
      </c>
      <c r="AA339" s="135">
        <v>8169</v>
      </c>
      <c r="AB339" s="249">
        <f>(WTG_BD[[#This Row],[Paired WTG Generation for loss calculation.]]/24)*WTG_BD[[#This Row],[Breakdown Time]]</f>
        <v>283.64583333333417</v>
      </c>
      <c r="AC339" s="135"/>
      <c r="AD339" s="245"/>
      <c r="AE339" s="3"/>
    </row>
    <row r="340" spans="1:31">
      <c r="A340" s="241">
        <f t="shared" si="11"/>
        <v>339</v>
      </c>
      <c r="B340" s="255">
        <v>45765</v>
      </c>
      <c r="C340" s="252">
        <v>2025</v>
      </c>
      <c r="D340" s="252">
        <f>YEAR(WTG_BD[[#This Row],[Date]])</f>
        <v>2025</v>
      </c>
      <c r="E340" s="251">
        <f t="shared" si="10"/>
        <v>45748</v>
      </c>
      <c r="F340" s="252" t="s">
        <v>465</v>
      </c>
      <c r="G340" s="248" t="s">
        <v>137</v>
      </c>
      <c r="H340" s="242" t="str">
        <f>IFERROR(VLOOKUP(WTG_BD[[#This Row],[Affected WTG]],'Basic Data'!$A$3:$E$56,2,0),"")</f>
        <v>PWEGPL</v>
      </c>
      <c r="I340" s="242" t="str">
        <f>IFERROR(VLOOKUP(WTG_BD[[#This Row],[Affected WTG]],'Basic Data'!$A$3:$E$56,3,0),"")</f>
        <v>MSEDCL</v>
      </c>
      <c r="J340" s="243">
        <f>IFERROR(VLOOKUP(WTG_BD[[#This Row],[Affected WTG]],'Basic Data'!$A$3:$E$56,5,0),"")</f>
        <v>2.564102564102564E-2</v>
      </c>
      <c r="K340" s="158">
        <v>2106</v>
      </c>
      <c r="L340" s="247" t="str">
        <f>VLOOKUP(K340,'Basic Data'!T:U,2,0)</f>
        <v>Temp. Measurement Module Failure</v>
      </c>
      <c r="M340" s="135" t="s">
        <v>472</v>
      </c>
      <c r="N340" s="256">
        <v>0.68055555555555558</v>
      </c>
      <c r="O340" s="256">
        <v>0.69791666666666663</v>
      </c>
      <c r="P340" s="256">
        <v>0.74097222222222225</v>
      </c>
      <c r="Q340" s="253">
        <f>IF(WTG_BD[[#This Row],[Work Start TimeStamp]]="","",(WTG_BD[[#This Row],[Work Start TimeStamp]]-WTG_BD[[#This Row],[Fault Start TimeStamp]])*24)</f>
        <v>0.41666666666666519</v>
      </c>
      <c r="R340" s="253">
        <f>(WTG_BD[[#This Row],[Fault Clearance time]]-WTG_BD[[#This Row],[Work Start TimeStamp]])*24</f>
        <v>1.033333333333335</v>
      </c>
      <c r="S340" s="253">
        <f>(WTG_BD[[#This Row],[Fault Clearance time]]-WTG_BD[[#This Row],[Fault Start TimeStamp]])*24</f>
        <v>1.4500000000000002</v>
      </c>
      <c r="T340" s="135" t="s">
        <v>537</v>
      </c>
      <c r="U340" s="244" t="s">
        <v>474</v>
      </c>
      <c r="V340" s="246">
        <f>WTG_BD[[#This Row],[Breakdown Time]]*(1/39)</f>
        <v>3.7179487179487186E-2</v>
      </c>
      <c r="W340" s="244" t="s">
        <v>136</v>
      </c>
      <c r="X340" s="250">
        <v>533.11666666666679</v>
      </c>
      <c r="Y340" s="135" t="s">
        <v>470</v>
      </c>
      <c r="Z340" s="135" t="s">
        <v>475</v>
      </c>
      <c r="AA340" s="135">
        <v>8824</v>
      </c>
      <c r="AB340" s="249">
        <f>(WTG_BD[[#This Row],[Paired WTG Generation for loss calculation.]]/24)*WTG_BD[[#This Row],[Breakdown Time]]</f>
        <v>533.11666666666679</v>
      </c>
      <c r="AC340" s="135"/>
      <c r="AD340" s="245"/>
      <c r="AE340" s="3"/>
    </row>
    <row r="341" spans="1:31">
      <c r="A341" s="241">
        <f t="shared" si="11"/>
        <v>340</v>
      </c>
      <c r="B341" s="255">
        <v>45766</v>
      </c>
      <c r="C341" s="252">
        <v>2025</v>
      </c>
      <c r="D341" s="252">
        <f>YEAR(WTG_BD[[#This Row],[Date]])</f>
        <v>2025</v>
      </c>
      <c r="E341" s="251">
        <f t="shared" ref="E341:E399" si="12">B341-DAY(B341)+1</f>
        <v>45748</v>
      </c>
      <c r="F341" s="252" t="s">
        <v>465</v>
      </c>
      <c r="G341" s="248" t="s">
        <v>144</v>
      </c>
      <c r="H341" s="242" t="str">
        <f>IFERROR(VLOOKUP(WTG_BD[[#This Row],[Affected WTG]],'Basic Data'!$A$3:$E$56,2,0),"")</f>
        <v>PWEGPL</v>
      </c>
      <c r="I341" s="242" t="str">
        <f>IFERROR(VLOOKUP(WTG_BD[[#This Row],[Affected WTG]],'Basic Data'!$A$3:$E$56,3,0),"")</f>
        <v>MSEDCL</v>
      </c>
      <c r="J341" s="243">
        <f>IFERROR(VLOOKUP(WTG_BD[[#This Row],[Affected WTG]],'Basic Data'!$A$3:$E$56,5,0),"")</f>
        <v>2.564102564102564E-2</v>
      </c>
      <c r="K341" s="158" t="s">
        <v>466</v>
      </c>
      <c r="L341" s="247" t="str">
        <f>VLOOKUP(K341,'Basic Data'!T:U,2,0)</f>
        <v>Manual Stop - Safety Related</v>
      </c>
      <c r="M341" s="135" t="s">
        <v>467</v>
      </c>
      <c r="N341" s="256">
        <v>0</v>
      </c>
      <c r="O341" s="256">
        <v>0.99930555555555556</v>
      </c>
      <c r="P341" s="256">
        <v>0.99930555555555556</v>
      </c>
      <c r="Q341" s="253">
        <f>IF(WTG_BD[[#This Row],[Work Start TimeStamp]]="","",(WTG_BD[[#This Row],[Work Start TimeStamp]]-WTG_BD[[#This Row],[Fault Start TimeStamp]])*24)</f>
        <v>23.983333333333334</v>
      </c>
      <c r="R341" s="253">
        <f>(WTG_BD[[#This Row],[Fault Clearance time]]-WTG_BD[[#This Row],[Work Start TimeStamp]])*24</f>
        <v>0</v>
      </c>
      <c r="S341" s="253">
        <f>(WTG_BD[[#This Row],[Fault Clearance time]]-WTG_BD[[#This Row],[Fault Start TimeStamp]])*24</f>
        <v>23.983333333333334</v>
      </c>
      <c r="T341" s="135" t="s">
        <v>468</v>
      </c>
      <c r="U341" s="244" t="s">
        <v>469</v>
      </c>
      <c r="V341" s="246">
        <f>WTG_BD[[#This Row],[Breakdown Time]]*(1/39)</f>
        <v>0.61495726495726499</v>
      </c>
      <c r="W341" s="244" t="s">
        <v>141</v>
      </c>
      <c r="X341" s="250">
        <v>10559.661805555557</v>
      </c>
      <c r="Y341" s="135" t="s">
        <v>470</v>
      </c>
      <c r="Z341" s="135" t="s">
        <v>471</v>
      </c>
      <c r="AA341" s="135">
        <v>10567</v>
      </c>
      <c r="AB341" s="249">
        <f>(WTG_BD[[#This Row],[Paired WTG Generation for loss calculation.]]/24)*WTG_BD[[#This Row],[Breakdown Time]]</f>
        <v>10559.661805555557</v>
      </c>
      <c r="AC341" s="135"/>
      <c r="AD341" s="245"/>
      <c r="AE341" s="3"/>
    </row>
    <row r="342" spans="1:31">
      <c r="A342" s="241">
        <f t="shared" si="11"/>
        <v>341</v>
      </c>
      <c r="B342" s="255">
        <v>45766</v>
      </c>
      <c r="C342" s="252">
        <v>2025</v>
      </c>
      <c r="D342" s="252">
        <f>YEAR(WTG_BD[[#This Row],[Date]])</f>
        <v>2025</v>
      </c>
      <c r="E342" s="251">
        <f t="shared" si="12"/>
        <v>45748</v>
      </c>
      <c r="F342" s="252" t="s">
        <v>465</v>
      </c>
      <c r="G342" s="248" t="s">
        <v>142</v>
      </c>
      <c r="H342" s="242" t="str">
        <f>IFERROR(VLOOKUP(WTG_BD[[#This Row],[Affected WTG]],'Basic Data'!$A$3:$E$56,2,0),"")</f>
        <v>PWEGPL</v>
      </c>
      <c r="I342" s="242" t="str">
        <f>IFERROR(VLOOKUP(WTG_BD[[#This Row],[Affected WTG]],'Basic Data'!$A$3:$E$56,3,0),"")</f>
        <v>MSEDCL</v>
      </c>
      <c r="J342" s="243">
        <f>IFERROR(VLOOKUP(WTG_BD[[#This Row],[Affected WTG]],'Basic Data'!$A$3:$E$56,5,0),"")</f>
        <v>2.564102564102564E-2</v>
      </c>
      <c r="K342" s="158" t="s">
        <v>466</v>
      </c>
      <c r="L342" s="247" t="str">
        <f>VLOOKUP(K342,'Basic Data'!T:U,2,0)</f>
        <v>Manual Stop - Safety Related</v>
      </c>
      <c r="M342" s="135" t="s">
        <v>467</v>
      </c>
      <c r="N342" s="256">
        <v>0</v>
      </c>
      <c r="O342" s="256">
        <v>0.99930555555555556</v>
      </c>
      <c r="P342" s="256">
        <v>0.99930555555555556</v>
      </c>
      <c r="Q342" s="253">
        <f>IF(WTG_BD[[#This Row],[Work Start TimeStamp]]="","",(WTG_BD[[#This Row],[Work Start TimeStamp]]-WTG_BD[[#This Row],[Fault Start TimeStamp]])*24)</f>
        <v>23.983333333333334</v>
      </c>
      <c r="R342" s="253">
        <f>(WTG_BD[[#This Row],[Fault Clearance time]]-WTG_BD[[#This Row],[Work Start TimeStamp]])*24</f>
        <v>0</v>
      </c>
      <c r="S342" s="253">
        <f>(WTG_BD[[#This Row],[Fault Clearance time]]-WTG_BD[[#This Row],[Fault Start TimeStamp]])*24</f>
        <v>23.983333333333334</v>
      </c>
      <c r="T342" s="135" t="s">
        <v>468</v>
      </c>
      <c r="U342" s="244" t="s">
        <v>469</v>
      </c>
      <c r="V342" s="246">
        <f>WTG_BD[[#This Row],[Breakdown Time]]*(1/39)</f>
        <v>0.61495726495726499</v>
      </c>
      <c r="W342" s="244" t="s">
        <v>141</v>
      </c>
      <c r="X342" s="250">
        <v>10559.661805555557</v>
      </c>
      <c r="Y342" s="135" t="s">
        <v>470</v>
      </c>
      <c r="Z342" s="135" t="s">
        <v>471</v>
      </c>
      <c r="AA342" s="135">
        <v>10567</v>
      </c>
      <c r="AB342" s="249">
        <f>(WTG_BD[[#This Row],[Paired WTG Generation for loss calculation.]]/24)*WTG_BD[[#This Row],[Breakdown Time]]</f>
        <v>10559.661805555557</v>
      </c>
      <c r="AC342" s="135"/>
      <c r="AD342" s="245"/>
      <c r="AE342" s="3"/>
    </row>
    <row r="343" spans="1:31">
      <c r="A343" s="241">
        <f t="shared" si="11"/>
        <v>342</v>
      </c>
      <c r="B343" s="255">
        <v>45766</v>
      </c>
      <c r="C343" s="252">
        <v>2025</v>
      </c>
      <c r="D343" s="252">
        <f>YEAR(WTG_BD[[#This Row],[Date]])</f>
        <v>2025</v>
      </c>
      <c r="E343" s="251">
        <f t="shared" si="12"/>
        <v>45748</v>
      </c>
      <c r="F343" s="252" t="s">
        <v>465</v>
      </c>
      <c r="G343" s="248" t="s">
        <v>127</v>
      </c>
      <c r="H343" s="242" t="str">
        <f>IFERROR(VLOOKUP(WTG_BD[[#This Row],[Affected WTG]],'Basic Data'!$A$3:$E$56,2,0),"")</f>
        <v>PWEGPL</v>
      </c>
      <c r="I343" s="242" t="str">
        <f>IFERROR(VLOOKUP(WTG_BD[[#This Row],[Affected WTG]],'Basic Data'!$A$3:$E$56,3,0),"")</f>
        <v>MSEDCL</v>
      </c>
      <c r="J343" s="243">
        <f>IFERROR(VLOOKUP(WTG_BD[[#This Row],[Affected WTG]],'Basic Data'!$A$3:$E$56,5,0),"")</f>
        <v>2.564102564102564E-2</v>
      </c>
      <c r="K343" s="158">
        <v>5210</v>
      </c>
      <c r="L343" s="247" t="str">
        <f>VLOOKUP(K343,'Basic Data'!T:U,2,0)</f>
        <v>Failure Of The Contactor's Rotor Power</v>
      </c>
      <c r="M343" s="135" t="s">
        <v>472</v>
      </c>
      <c r="N343" s="256">
        <v>0.62361111111111112</v>
      </c>
      <c r="O343" s="256">
        <v>0.63541666666666663</v>
      </c>
      <c r="P343" s="256">
        <v>0.63749999999999996</v>
      </c>
      <c r="Q343" s="253">
        <f>IF(WTG_BD[[#This Row],[Work Start TimeStamp]]="","",(WTG_BD[[#This Row],[Work Start TimeStamp]]-WTG_BD[[#This Row],[Fault Start TimeStamp]])*24)</f>
        <v>0.28333333333333233</v>
      </c>
      <c r="R343" s="253">
        <f>(WTG_BD[[#This Row],[Fault Clearance time]]-WTG_BD[[#This Row],[Work Start TimeStamp]])*24</f>
        <v>4.9999999999999822E-2</v>
      </c>
      <c r="S343" s="253">
        <f>(WTG_BD[[#This Row],[Fault Clearance time]]-WTG_BD[[#This Row],[Fault Start TimeStamp]])*24</f>
        <v>0.33333333333333215</v>
      </c>
      <c r="T343" s="135" t="s">
        <v>482</v>
      </c>
      <c r="U343" s="244" t="s">
        <v>474</v>
      </c>
      <c r="V343" s="246">
        <f>WTG_BD[[#This Row],[Breakdown Time]]*(1/39)</f>
        <v>8.5470085470085166E-3</v>
      </c>
      <c r="W343" s="244" t="s">
        <v>128</v>
      </c>
      <c r="X343" s="250">
        <v>158.0277777777772</v>
      </c>
      <c r="Y343" s="135" t="s">
        <v>470</v>
      </c>
      <c r="Z343" s="135" t="s">
        <v>475</v>
      </c>
      <c r="AA343" s="135">
        <v>11378</v>
      </c>
      <c r="AB343" s="249">
        <f>(WTG_BD[[#This Row],[Paired WTG Generation for loss calculation.]]/24)*WTG_BD[[#This Row],[Breakdown Time]]</f>
        <v>158.0277777777772</v>
      </c>
      <c r="AC343" s="135"/>
      <c r="AD343" s="245"/>
      <c r="AE343" s="3"/>
    </row>
    <row r="344" spans="1:31">
      <c r="A344" s="241">
        <f t="shared" si="11"/>
        <v>343</v>
      </c>
      <c r="B344" s="255">
        <v>45766</v>
      </c>
      <c r="C344" s="252">
        <v>2025</v>
      </c>
      <c r="D344" s="252">
        <f>YEAR(WTG_BD[[#This Row],[Date]])</f>
        <v>2025</v>
      </c>
      <c r="E344" s="251">
        <f t="shared" si="12"/>
        <v>45748</v>
      </c>
      <c r="F344" s="252" t="s">
        <v>465</v>
      </c>
      <c r="G344" s="248" t="s">
        <v>137</v>
      </c>
      <c r="H344" s="242" t="str">
        <f>IFERROR(VLOOKUP(WTG_BD[[#This Row],[Affected WTG]],'Basic Data'!$A$3:$E$56,2,0),"")</f>
        <v>PWEGPL</v>
      </c>
      <c r="I344" s="242" t="str">
        <f>IFERROR(VLOOKUP(WTG_BD[[#This Row],[Affected WTG]],'Basic Data'!$A$3:$E$56,3,0),"")</f>
        <v>MSEDCL</v>
      </c>
      <c r="J344" s="243">
        <f>IFERROR(VLOOKUP(WTG_BD[[#This Row],[Affected WTG]],'Basic Data'!$A$3:$E$56,5,0),"")</f>
        <v>2.564102564102564E-2</v>
      </c>
      <c r="K344" s="158" t="s">
        <v>514</v>
      </c>
      <c r="L344" s="247" t="str">
        <f>VLOOKUP(K344,'Basic Data'!T:U,2,0)</f>
        <v>General Work Stoppage</v>
      </c>
      <c r="M344" s="135" t="s">
        <v>496</v>
      </c>
      <c r="N344" s="256">
        <v>0.46875</v>
      </c>
      <c r="O344" s="256">
        <v>0.46875</v>
      </c>
      <c r="P344" s="256">
        <v>0.75208333333333333</v>
      </c>
      <c r="Q344" s="253">
        <f>IF(WTG_BD[[#This Row],[Work Start TimeStamp]]="","",(WTG_BD[[#This Row],[Work Start TimeStamp]]-WTG_BD[[#This Row],[Fault Start TimeStamp]])*24)</f>
        <v>0</v>
      </c>
      <c r="R344" s="253">
        <f>(WTG_BD[[#This Row],[Fault Clearance time]]-WTG_BD[[#This Row],[Work Start TimeStamp]])*24</f>
        <v>6.8</v>
      </c>
      <c r="S344" s="253">
        <f>(WTG_BD[[#This Row],[Fault Clearance time]]-WTG_BD[[#This Row],[Fault Start TimeStamp]])*24</f>
        <v>6.8</v>
      </c>
      <c r="T344" s="135" t="s">
        <v>515</v>
      </c>
      <c r="U344" s="244" t="s">
        <v>474</v>
      </c>
      <c r="V344" s="246">
        <f>WTG_BD[[#This Row],[Breakdown Time]]*(1/39)</f>
        <v>0.17435897435897435</v>
      </c>
      <c r="W344" s="244" t="s">
        <v>119</v>
      </c>
      <c r="X344" s="250">
        <v>3000.5</v>
      </c>
      <c r="Y344" s="135" t="s">
        <v>470</v>
      </c>
      <c r="Z344" s="135" t="s">
        <v>498</v>
      </c>
      <c r="AA344" s="135">
        <v>10590</v>
      </c>
      <c r="AB344" s="249">
        <f>(WTG_BD[[#This Row],[Paired WTG Generation for loss calculation.]]/24)*WTG_BD[[#This Row],[Breakdown Time]]</f>
        <v>3000.5</v>
      </c>
      <c r="AC344" s="135"/>
      <c r="AD344" s="245"/>
      <c r="AE344" s="3"/>
    </row>
    <row r="345" spans="1:31">
      <c r="A345" s="241">
        <f t="shared" si="11"/>
        <v>344</v>
      </c>
      <c r="B345" s="255">
        <v>45766</v>
      </c>
      <c r="C345" s="252">
        <v>2025</v>
      </c>
      <c r="D345" s="252">
        <f>YEAR(WTG_BD[[#This Row],[Date]])</f>
        <v>2025</v>
      </c>
      <c r="E345" s="251">
        <f t="shared" si="12"/>
        <v>45748</v>
      </c>
      <c r="F345" s="252" t="s">
        <v>465</v>
      </c>
      <c r="G345" s="248" t="s">
        <v>146</v>
      </c>
      <c r="H345" s="242" t="str">
        <f>IFERROR(VLOOKUP(WTG_BD[[#This Row],[Affected WTG]],'Basic Data'!$A$3:$E$56,2,0),"")</f>
        <v>PWEGPL</v>
      </c>
      <c r="I345" s="242" t="str">
        <f>IFERROR(VLOOKUP(WTG_BD[[#This Row],[Affected WTG]],'Basic Data'!$A$3:$E$56,3,0),"")</f>
        <v>MSEDCL</v>
      </c>
      <c r="J345" s="243">
        <f>IFERROR(VLOOKUP(WTG_BD[[#This Row],[Affected WTG]],'Basic Data'!$A$3:$E$56,5,0),"")</f>
        <v>2.564102564102564E-2</v>
      </c>
      <c r="K345" s="158">
        <v>2118</v>
      </c>
      <c r="L345" s="247" t="str">
        <f>VLOOKUP(K345,'Basic Data'!T:U,2,0)</f>
        <v>Bus Error - Interbus Failure</v>
      </c>
      <c r="M345" s="135" t="s">
        <v>472</v>
      </c>
      <c r="N345" s="256">
        <v>0.60902777777777772</v>
      </c>
      <c r="O345" s="256">
        <v>0.63402777777777775</v>
      </c>
      <c r="P345" s="256">
        <v>0.67361111111111116</v>
      </c>
      <c r="Q345" s="253">
        <f>IF(WTG_BD[[#This Row],[Work Start TimeStamp]]="","",(WTG_BD[[#This Row],[Work Start TimeStamp]]-WTG_BD[[#This Row],[Fault Start TimeStamp]])*24)</f>
        <v>0.60000000000000053</v>
      </c>
      <c r="R345" s="253">
        <f>(WTG_BD[[#This Row],[Fault Clearance time]]-WTG_BD[[#This Row],[Work Start TimeStamp]])*24</f>
        <v>0.95000000000000195</v>
      </c>
      <c r="S345" s="253">
        <f>(WTG_BD[[#This Row],[Fault Clearance time]]-WTG_BD[[#This Row],[Fault Start TimeStamp]])*24</f>
        <v>1.5500000000000025</v>
      </c>
      <c r="T345" s="135" t="s">
        <v>538</v>
      </c>
      <c r="U345" s="244" t="s">
        <v>474</v>
      </c>
      <c r="V345" s="246">
        <f>WTG_BD[[#This Row],[Breakdown Time]]*(1/39)</f>
        <v>3.9743589743589804E-2</v>
      </c>
      <c r="W345" s="244" t="s">
        <v>147</v>
      </c>
      <c r="X345" s="250">
        <v>664.56250000000102</v>
      </c>
      <c r="Y345" s="135" t="s">
        <v>470</v>
      </c>
      <c r="Z345" s="135" t="s">
        <v>475</v>
      </c>
      <c r="AA345" s="135">
        <v>10290</v>
      </c>
      <c r="AB345" s="249">
        <f>(WTG_BD[[#This Row],[Paired WTG Generation for loss calculation.]]/24)*WTG_BD[[#This Row],[Breakdown Time]]</f>
        <v>664.56250000000102</v>
      </c>
      <c r="AC345" s="135"/>
      <c r="AD345" s="245"/>
      <c r="AE345" s="3"/>
    </row>
    <row r="346" spans="1:31">
      <c r="A346" s="241">
        <f t="shared" si="11"/>
        <v>345</v>
      </c>
      <c r="B346" s="255">
        <v>45767</v>
      </c>
      <c r="C346" s="252">
        <v>2025</v>
      </c>
      <c r="D346" s="252">
        <f>YEAR(WTG_BD[[#This Row],[Date]])</f>
        <v>2025</v>
      </c>
      <c r="E346" s="251">
        <f t="shared" si="12"/>
        <v>45748</v>
      </c>
      <c r="F346" s="252" t="s">
        <v>465</v>
      </c>
      <c r="G346" s="248" t="s">
        <v>144</v>
      </c>
      <c r="H346" s="242" t="str">
        <f>IFERROR(VLOOKUP(WTG_BD[[#This Row],[Affected WTG]],'Basic Data'!$A$3:$E$56,2,0),"")</f>
        <v>PWEGPL</v>
      </c>
      <c r="I346" s="242" t="str">
        <f>IFERROR(VLOOKUP(WTG_BD[[#This Row],[Affected WTG]],'Basic Data'!$A$3:$E$56,3,0),"")</f>
        <v>MSEDCL</v>
      </c>
      <c r="J346" s="243">
        <f>IFERROR(VLOOKUP(WTG_BD[[#This Row],[Affected WTG]],'Basic Data'!$A$3:$E$56,5,0),"")</f>
        <v>2.564102564102564E-2</v>
      </c>
      <c r="K346" s="158" t="s">
        <v>466</v>
      </c>
      <c r="L346" s="247" t="str">
        <f>VLOOKUP(K346,'Basic Data'!T:U,2,0)</f>
        <v>Manual Stop - Safety Related</v>
      </c>
      <c r="M346" s="135" t="s">
        <v>467</v>
      </c>
      <c r="N346" s="256">
        <v>0</v>
      </c>
      <c r="O346" s="256">
        <v>0.99930555555555556</v>
      </c>
      <c r="P346" s="256">
        <v>0.99930555555555556</v>
      </c>
      <c r="Q346" s="253">
        <f>IF(WTG_BD[[#This Row],[Work Start TimeStamp]]="","",(WTG_BD[[#This Row],[Work Start TimeStamp]]-WTG_BD[[#This Row],[Fault Start TimeStamp]])*24)</f>
        <v>23.983333333333334</v>
      </c>
      <c r="R346" s="253">
        <f>(WTG_BD[[#This Row],[Fault Clearance time]]-WTG_BD[[#This Row],[Work Start TimeStamp]])*24</f>
        <v>0</v>
      </c>
      <c r="S346" s="253">
        <f>(WTG_BD[[#This Row],[Fault Clearance time]]-WTG_BD[[#This Row],[Fault Start TimeStamp]])*24</f>
        <v>23.983333333333334</v>
      </c>
      <c r="T346" s="135" t="s">
        <v>468</v>
      </c>
      <c r="U346" s="244" t="s">
        <v>469</v>
      </c>
      <c r="V346" s="246">
        <f>WTG_BD[[#This Row],[Breakdown Time]]*(1/39)</f>
        <v>0.61495726495726499</v>
      </c>
      <c r="W346" s="244" t="s">
        <v>141</v>
      </c>
      <c r="X346" s="250">
        <v>20848.511805555554</v>
      </c>
      <c r="Y346" s="135" t="s">
        <v>470</v>
      </c>
      <c r="Z346" s="135" t="s">
        <v>471</v>
      </c>
      <c r="AA346" s="135">
        <v>20863</v>
      </c>
      <c r="AB346" s="249">
        <f>(WTG_BD[[#This Row],[Paired WTG Generation for loss calculation.]]/24)*WTG_BD[[#This Row],[Breakdown Time]]</f>
        <v>20848.511805555554</v>
      </c>
      <c r="AC346" s="135"/>
      <c r="AD346" s="245"/>
      <c r="AE346" s="3"/>
    </row>
    <row r="347" spans="1:31">
      <c r="A347" s="241">
        <f t="shared" si="11"/>
        <v>346</v>
      </c>
      <c r="B347" s="255">
        <v>45767</v>
      </c>
      <c r="C347" s="252">
        <v>2025</v>
      </c>
      <c r="D347" s="252">
        <f>YEAR(WTG_BD[[#This Row],[Date]])</f>
        <v>2025</v>
      </c>
      <c r="E347" s="251">
        <f t="shared" si="12"/>
        <v>45748</v>
      </c>
      <c r="F347" s="252" t="s">
        <v>465</v>
      </c>
      <c r="G347" s="248" t="s">
        <v>142</v>
      </c>
      <c r="H347" s="242" t="str">
        <f>IFERROR(VLOOKUP(WTG_BD[[#This Row],[Affected WTG]],'Basic Data'!$A$3:$E$56,2,0),"")</f>
        <v>PWEGPL</v>
      </c>
      <c r="I347" s="242" t="str">
        <f>IFERROR(VLOOKUP(WTG_BD[[#This Row],[Affected WTG]],'Basic Data'!$A$3:$E$56,3,0),"")</f>
        <v>MSEDCL</v>
      </c>
      <c r="J347" s="243">
        <f>IFERROR(VLOOKUP(WTG_BD[[#This Row],[Affected WTG]],'Basic Data'!$A$3:$E$56,5,0),"")</f>
        <v>2.564102564102564E-2</v>
      </c>
      <c r="K347" s="158" t="s">
        <v>466</v>
      </c>
      <c r="L347" s="247" t="str">
        <f>VLOOKUP(K347,'Basic Data'!T:U,2,0)</f>
        <v>Manual Stop - Safety Related</v>
      </c>
      <c r="M347" s="135" t="s">
        <v>467</v>
      </c>
      <c r="N347" s="256">
        <v>0</v>
      </c>
      <c r="O347" s="256">
        <v>0.99930555555555556</v>
      </c>
      <c r="P347" s="256">
        <v>0.99930555555555556</v>
      </c>
      <c r="Q347" s="253">
        <f>IF(WTG_BD[[#This Row],[Work Start TimeStamp]]="","",(WTG_BD[[#This Row],[Work Start TimeStamp]]-WTG_BD[[#This Row],[Fault Start TimeStamp]])*24)</f>
        <v>23.983333333333334</v>
      </c>
      <c r="R347" s="253">
        <f>(WTG_BD[[#This Row],[Fault Clearance time]]-WTG_BD[[#This Row],[Work Start TimeStamp]])*24</f>
        <v>0</v>
      </c>
      <c r="S347" s="253">
        <f>(WTG_BD[[#This Row],[Fault Clearance time]]-WTG_BD[[#This Row],[Fault Start TimeStamp]])*24</f>
        <v>23.983333333333334</v>
      </c>
      <c r="T347" s="135" t="s">
        <v>468</v>
      </c>
      <c r="U347" s="244" t="s">
        <v>469</v>
      </c>
      <c r="V347" s="246">
        <f>WTG_BD[[#This Row],[Breakdown Time]]*(1/39)</f>
        <v>0.61495726495726499</v>
      </c>
      <c r="W347" s="244" t="s">
        <v>141</v>
      </c>
      <c r="X347" s="250">
        <v>20848.511805555554</v>
      </c>
      <c r="Y347" s="135" t="s">
        <v>470</v>
      </c>
      <c r="Z347" s="135" t="s">
        <v>471</v>
      </c>
      <c r="AA347" s="135">
        <v>20863</v>
      </c>
      <c r="AB347" s="249">
        <f>(WTG_BD[[#This Row],[Paired WTG Generation for loss calculation.]]/24)*WTG_BD[[#This Row],[Breakdown Time]]</f>
        <v>20848.511805555554</v>
      </c>
      <c r="AC347" s="135"/>
      <c r="AD347" s="245"/>
      <c r="AE347" s="3"/>
    </row>
    <row r="348" spans="1:31">
      <c r="A348" s="241">
        <f t="shared" si="11"/>
        <v>347</v>
      </c>
      <c r="B348" s="255">
        <v>45767</v>
      </c>
      <c r="C348" s="252">
        <v>2025</v>
      </c>
      <c r="D348" s="252">
        <f>YEAR(WTG_BD[[#This Row],[Date]])</f>
        <v>2025</v>
      </c>
      <c r="E348" s="251">
        <f t="shared" si="12"/>
        <v>45748</v>
      </c>
      <c r="F348" s="252" t="s">
        <v>465</v>
      </c>
      <c r="G348" s="248" t="s">
        <v>118</v>
      </c>
      <c r="H348" s="242" t="str">
        <f>IFERROR(VLOOKUP(WTG_BD[[#This Row],[Affected WTG]],'Basic Data'!$A$3:$E$56,2,0),"")</f>
        <v>PWEGPL</v>
      </c>
      <c r="I348" s="242" t="str">
        <f>IFERROR(VLOOKUP(WTG_BD[[#This Row],[Affected WTG]],'Basic Data'!$A$3:$E$56,3,0),"")</f>
        <v>MSEDCL</v>
      </c>
      <c r="J348" s="243">
        <f>IFERROR(VLOOKUP(WTG_BD[[#This Row],[Affected WTG]],'Basic Data'!$A$3:$E$56,5,0),"")</f>
        <v>2.564102564102564E-2</v>
      </c>
      <c r="K348" s="158">
        <v>719</v>
      </c>
      <c r="L348" s="247" t="str">
        <f>VLOOKUP(K348,'Basic Data'!T:U,2,0)</f>
        <v>Cup Anemometer Failure Warning</v>
      </c>
      <c r="M348" s="135" t="s">
        <v>472</v>
      </c>
      <c r="N348" s="256">
        <v>0.47916666666666669</v>
      </c>
      <c r="O348" s="256">
        <v>0.5083333333333333</v>
      </c>
      <c r="P348" s="256">
        <v>0.50902777777777775</v>
      </c>
      <c r="Q348" s="253">
        <f>IF(WTG_BD[[#This Row],[Work Start TimeStamp]]="","",(WTG_BD[[#This Row],[Work Start TimeStamp]]-WTG_BD[[#This Row],[Fault Start TimeStamp]])*24)</f>
        <v>0.69999999999999885</v>
      </c>
      <c r="R348" s="253">
        <f>(WTG_BD[[#This Row],[Fault Clearance time]]-WTG_BD[[#This Row],[Work Start TimeStamp]])*24</f>
        <v>1.6666666666666607E-2</v>
      </c>
      <c r="S348" s="253">
        <f>(WTG_BD[[#This Row],[Fault Clearance time]]-WTG_BD[[#This Row],[Fault Start TimeStamp]])*24</f>
        <v>0.71666666666666545</v>
      </c>
      <c r="T348" s="135" t="s">
        <v>473</v>
      </c>
      <c r="U348" s="244" t="s">
        <v>474</v>
      </c>
      <c r="V348" s="246">
        <f>WTG_BD[[#This Row],[Breakdown Time]]*(1/39)</f>
        <v>1.8376068376068345E-2</v>
      </c>
      <c r="W348" s="244" t="s">
        <v>117</v>
      </c>
      <c r="X348" s="250">
        <v>606.80763888888794</v>
      </c>
      <c r="Y348" s="135" t="s">
        <v>470</v>
      </c>
      <c r="Z348" s="135" t="s">
        <v>475</v>
      </c>
      <c r="AA348" s="135">
        <v>20321</v>
      </c>
      <c r="AB348" s="249">
        <f>(WTG_BD[[#This Row],[Paired WTG Generation for loss calculation.]]/24)*WTG_BD[[#This Row],[Breakdown Time]]</f>
        <v>606.80763888888794</v>
      </c>
      <c r="AC348" s="135"/>
      <c r="AD348" s="245"/>
      <c r="AE348" s="3"/>
    </row>
    <row r="349" spans="1:31">
      <c r="A349" s="241">
        <f t="shared" si="11"/>
        <v>348</v>
      </c>
      <c r="B349" s="255">
        <v>45767</v>
      </c>
      <c r="C349" s="252">
        <v>2025</v>
      </c>
      <c r="D349" s="252">
        <f>YEAR(WTG_BD[[#This Row],[Date]])</f>
        <v>2025</v>
      </c>
      <c r="E349" s="251">
        <f>B349-DAY(B349)+1</f>
        <v>45748</v>
      </c>
      <c r="F349" s="252" t="s">
        <v>465</v>
      </c>
      <c r="G349" s="248" t="s">
        <v>127</v>
      </c>
      <c r="H349" s="242" t="str">
        <f>IFERROR(VLOOKUP(WTG_BD[[#This Row],[Affected WTG]],'Basic Data'!$A$3:$E$56,2,0),"")</f>
        <v>PWEGPL</v>
      </c>
      <c r="I349" s="242" t="str">
        <f>IFERROR(VLOOKUP(WTG_BD[[#This Row],[Affected WTG]],'Basic Data'!$A$3:$E$56,3,0),"")</f>
        <v>MSEDCL</v>
      </c>
      <c r="J349" s="243">
        <f>IFERROR(VLOOKUP(WTG_BD[[#This Row],[Affected WTG]],'Basic Data'!$A$3:$E$56,5,0),"")</f>
        <v>2.564102564102564E-2</v>
      </c>
      <c r="K349" s="158">
        <v>500</v>
      </c>
      <c r="L349" s="247" t="str">
        <f>VLOOKUP(K349,'Basic Data'!T:U,2,0)</f>
        <v>High Generator Winding Temperature</v>
      </c>
      <c r="M349" s="135" t="s">
        <v>472</v>
      </c>
      <c r="N349" s="256">
        <v>0.1701388888888889</v>
      </c>
      <c r="O349" s="256">
        <v>0.1701388888888889</v>
      </c>
      <c r="P349" s="256">
        <v>0.1736111111111111</v>
      </c>
      <c r="Q349" s="253">
        <f>IF(WTG_BD[[#This Row],[Work Start TimeStamp]]="","",(WTG_BD[[#This Row],[Work Start TimeStamp]]-WTG_BD[[#This Row],[Fault Start TimeStamp]])*24)</f>
        <v>0</v>
      </c>
      <c r="R349" s="253">
        <f>(WTG_BD[[#This Row],[Fault Clearance time]]-WTG_BD[[#This Row],[Work Start TimeStamp]])*24</f>
        <v>8.3333333333333037E-2</v>
      </c>
      <c r="S349" s="253">
        <f>(WTG_BD[[#This Row],[Fault Clearance time]]-WTG_BD[[#This Row],[Fault Start TimeStamp]])*24</f>
        <v>8.3333333333333037E-2</v>
      </c>
      <c r="T349" s="135" t="s">
        <v>476</v>
      </c>
      <c r="U349" s="244" t="s">
        <v>474</v>
      </c>
      <c r="V349" s="246">
        <f>WTG_BD[[#This Row],[Breakdown Time]]*(1/39)</f>
        <v>2.1367521367521292E-3</v>
      </c>
      <c r="W349" s="244" t="s">
        <v>128</v>
      </c>
      <c r="X349" s="250">
        <v>73.534722222221959</v>
      </c>
      <c r="Y349" s="135" t="s">
        <v>470</v>
      </c>
      <c r="Z349" s="135" t="s">
        <v>475</v>
      </c>
      <c r="AA349" s="135">
        <v>21178</v>
      </c>
      <c r="AB349" s="249">
        <f>(WTG_BD[[#This Row],[Paired WTG Generation for loss calculation.]]/24)*WTG_BD[[#This Row],[Breakdown Time]]</f>
        <v>73.534722222221959</v>
      </c>
      <c r="AC349" s="135"/>
      <c r="AD349" s="245"/>
      <c r="AE349" s="3"/>
    </row>
    <row r="350" spans="1:31">
      <c r="A350" s="241">
        <f t="shared" si="11"/>
        <v>349</v>
      </c>
      <c r="B350" s="255">
        <v>45767</v>
      </c>
      <c r="C350" s="252">
        <v>2025</v>
      </c>
      <c r="D350" s="252">
        <f>YEAR(WTG_BD[[#This Row],[Date]])</f>
        <v>2025</v>
      </c>
      <c r="E350" s="251">
        <f>B350-DAY(B350)+1</f>
        <v>45748</v>
      </c>
      <c r="F350" s="252" t="s">
        <v>465</v>
      </c>
      <c r="G350" s="248" t="s">
        <v>127</v>
      </c>
      <c r="H350" s="242" t="str">
        <f>IFERROR(VLOOKUP(WTG_BD[[#This Row],[Affected WTG]],'Basic Data'!$A$3:$E$56,2,0),"")</f>
        <v>PWEGPL</v>
      </c>
      <c r="I350" s="242" t="str">
        <f>IFERROR(VLOOKUP(WTG_BD[[#This Row],[Affected WTG]],'Basic Data'!$A$3:$E$56,3,0),"")</f>
        <v>MSEDCL</v>
      </c>
      <c r="J350" s="243">
        <f>IFERROR(VLOOKUP(WTG_BD[[#This Row],[Affected WTG]],'Basic Data'!$A$3:$E$56,5,0),"")</f>
        <v>2.564102564102564E-2</v>
      </c>
      <c r="K350" s="158">
        <v>500</v>
      </c>
      <c r="L350" s="247" t="str">
        <f>VLOOKUP(K350,'Basic Data'!T:U,2,0)</f>
        <v>High Generator Winding Temperature</v>
      </c>
      <c r="M350" s="135" t="s">
        <v>472</v>
      </c>
      <c r="N350" s="256">
        <v>0.23194444444444445</v>
      </c>
      <c r="O350" s="256">
        <v>0.23194444444444445</v>
      </c>
      <c r="P350" s="256">
        <v>0.23541666666666666</v>
      </c>
      <c r="Q350" s="253">
        <f>IF(WTG_BD[[#This Row],[Work Start TimeStamp]]="","",(WTG_BD[[#This Row],[Work Start TimeStamp]]-WTG_BD[[#This Row],[Fault Start TimeStamp]])*24)</f>
        <v>0</v>
      </c>
      <c r="R350" s="253">
        <f>(WTG_BD[[#This Row],[Fault Clearance time]]-WTG_BD[[#This Row],[Work Start TimeStamp]])*24</f>
        <v>8.3333333333333037E-2</v>
      </c>
      <c r="S350" s="253">
        <f>(WTG_BD[[#This Row],[Fault Clearance time]]-WTG_BD[[#This Row],[Fault Start TimeStamp]])*24</f>
        <v>8.3333333333333037E-2</v>
      </c>
      <c r="T350" s="135" t="s">
        <v>476</v>
      </c>
      <c r="U350" s="244" t="s">
        <v>474</v>
      </c>
      <c r="V350" s="246">
        <f>WTG_BD[[#This Row],[Breakdown Time]]*(1/39)</f>
        <v>2.1367521367521292E-3</v>
      </c>
      <c r="W350" s="244" t="s">
        <v>128</v>
      </c>
      <c r="X350" s="250">
        <v>73.534722222221959</v>
      </c>
      <c r="Y350" s="135" t="s">
        <v>470</v>
      </c>
      <c r="Z350" s="135" t="s">
        <v>475</v>
      </c>
      <c r="AA350" s="135">
        <v>21178</v>
      </c>
      <c r="AB350" s="249">
        <f>(WTG_BD[[#This Row],[Paired WTG Generation for loss calculation.]]/24)*WTG_BD[[#This Row],[Breakdown Time]]</f>
        <v>73.534722222221959</v>
      </c>
      <c r="AC350" s="135"/>
      <c r="AD350" s="245"/>
      <c r="AE350" s="3"/>
    </row>
    <row r="351" spans="1:31">
      <c r="A351" s="241">
        <f t="shared" si="11"/>
        <v>350</v>
      </c>
      <c r="B351" s="255">
        <v>45767</v>
      </c>
      <c r="C351" s="252">
        <v>2025</v>
      </c>
      <c r="D351" s="252">
        <f>YEAR(WTG_BD[[#This Row],[Date]])</f>
        <v>2025</v>
      </c>
      <c r="E351" s="251">
        <f>B351-DAY(B351)+1</f>
        <v>45748</v>
      </c>
      <c r="F351" s="252" t="s">
        <v>465</v>
      </c>
      <c r="G351" s="248" t="s">
        <v>127</v>
      </c>
      <c r="H351" s="242" t="str">
        <f>IFERROR(VLOOKUP(WTG_BD[[#This Row],[Affected WTG]],'Basic Data'!$A$3:$E$56,2,0),"")</f>
        <v>PWEGPL</v>
      </c>
      <c r="I351" s="242" t="str">
        <f>IFERROR(VLOOKUP(WTG_BD[[#This Row],[Affected WTG]],'Basic Data'!$A$3:$E$56,3,0),"")</f>
        <v>MSEDCL</v>
      </c>
      <c r="J351" s="243">
        <f>IFERROR(VLOOKUP(WTG_BD[[#This Row],[Affected WTG]],'Basic Data'!$A$3:$E$56,5,0),"")</f>
        <v>2.564102564102564E-2</v>
      </c>
      <c r="K351" s="158">
        <v>500</v>
      </c>
      <c r="L351" s="247" t="str">
        <f>VLOOKUP(K351,'Basic Data'!T:U,2,0)</f>
        <v>High Generator Winding Temperature</v>
      </c>
      <c r="M351" s="135" t="s">
        <v>472</v>
      </c>
      <c r="N351" s="256">
        <v>0.28125</v>
      </c>
      <c r="O351" s="256">
        <v>0.28125</v>
      </c>
      <c r="P351" s="256">
        <v>0.28472222222222221</v>
      </c>
      <c r="Q351" s="253">
        <f>IF(WTG_BD[[#This Row],[Work Start TimeStamp]]="","",(WTG_BD[[#This Row],[Work Start TimeStamp]]-WTG_BD[[#This Row],[Fault Start TimeStamp]])*24)</f>
        <v>0</v>
      </c>
      <c r="R351" s="253">
        <f>(WTG_BD[[#This Row],[Fault Clearance time]]-WTG_BD[[#This Row],[Work Start TimeStamp]])*24</f>
        <v>8.3333333333333037E-2</v>
      </c>
      <c r="S351" s="253">
        <f>(WTG_BD[[#This Row],[Fault Clearance time]]-WTG_BD[[#This Row],[Fault Start TimeStamp]])*24</f>
        <v>8.3333333333333037E-2</v>
      </c>
      <c r="T351" s="135" t="s">
        <v>476</v>
      </c>
      <c r="U351" s="244" t="s">
        <v>474</v>
      </c>
      <c r="V351" s="246">
        <f>WTG_BD[[#This Row],[Breakdown Time]]*(1/39)</f>
        <v>2.1367521367521292E-3</v>
      </c>
      <c r="W351" s="244" t="s">
        <v>128</v>
      </c>
      <c r="X351" s="250">
        <v>73.534722222221959</v>
      </c>
      <c r="Y351" s="135" t="s">
        <v>470</v>
      </c>
      <c r="Z351" s="135" t="s">
        <v>475</v>
      </c>
      <c r="AA351" s="135">
        <v>21178</v>
      </c>
      <c r="AB351" s="249">
        <f>(WTG_BD[[#This Row],[Paired WTG Generation for loss calculation.]]/24)*WTG_BD[[#This Row],[Breakdown Time]]</f>
        <v>73.534722222221959</v>
      </c>
      <c r="AC351" s="135"/>
      <c r="AD351" s="245"/>
      <c r="AE351" s="3"/>
    </row>
    <row r="352" spans="1:31">
      <c r="A352" s="241">
        <f t="shared" si="11"/>
        <v>351</v>
      </c>
      <c r="B352" s="255">
        <v>45767</v>
      </c>
      <c r="C352" s="252">
        <v>2025</v>
      </c>
      <c r="D352" s="252">
        <f>YEAR(WTG_BD[[#This Row],[Date]])</f>
        <v>2025</v>
      </c>
      <c r="E352" s="251">
        <f t="shared" si="12"/>
        <v>45748</v>
      </c>
      <c r="F352" s="252" t="s">
        <v>465</v>
      </c>
      <c r="G352" s="248" t="s">
        <v>127</v>
      </c>
      <c r="H352" s="242" t="str">
        <f>IFERROR(VLOOKUP(WTG_BD[[#This Row],[Affected WTG]],'Basic Data'!$A$3:$E$56,2,0),"")</f>
        <v>PWEGPL</v>
      </c>
      <c r="I352" s="242" t="str">
        <f>IFERROR(VLOOKUP(WTG_BD[[#This Row],[Affected WTG]],'Basic Data'!$A$3:$E$56,3,0),"")</f>
        <v>MSEDCL</v>
      </c>
      <c r="J352" s="243">
        <f>IFERROR(VLOOKUP(WTG_BD[[#This Row],[Affected WTG]],'Basic Data'!$A$3:$E$56,5,0),"")</f>
        <v>2.564102564102564E-2</v>
      </c>
      <c r="K352" s="158" t="s">
        <v>523</v>
      </c>
      <c r="L352" s="247" t="str">
        <f>VLOOKUP(K352,'Basic Data'!T:U,2,0)</f>
        <v>Manual Stop</v>
      </c>
      <c r="M352" s="135" t="s">
        <v>496</v>
      </c>
      <c r="N352" s="256">
        <v>0.47569444444444442</v>
      </c>
      <c r="O352" s="256">
        <v>0.47569444444444442</v>
      </c>
      <c r="P352" s="256">
        <v>0.64097222222222228</v>
      </c>
      <c r="Q352" s="253">
        <f>IF(WTG_BD[[#This Row],[Work Start TimeStamp]]="","",(WTG_BD[[#This Row],[Work Start TimeStamp]]-WTG_BD[[#This Row],[Fault Start TimeStamp]])*24)</f>
        <v>0</v>
      </c>
      <c r="R352" s="253">
        <f>(WTG_BD[[#This Row],[Fault Clearance time]]-WTG_BD[[#This Row],[Work Start TimeStamp]])*24</f>
        <v>3.9666666666666686</v>
      </c>
      <c r="S352" s="253">
        <f>(WTG_BD[[#This Row],[Fault Clearance time]]-WTG_BD[[#This Row],[Fault Start TimeStamp]])*24</f>
        <v>3.9666666666666686</v>
      </c>
      <c r="T352" s="135" t="s">
        <v>539</v>
      </c>
      <c r="U352" s="244" t="s">
        <v>474</v>
      </c>
      <c r="V352" s="246">
        <f>WTG_BD[[#This Row],[Breakdown Time]]*(1/39)</f>
        <v>0.10170940170940175</v>
      </c>
      <c r="W352" s="244" t="s">
        <v>128</v>
      </c>
      <c r="X352" s="250">
        <v>3500.2527777777791</v>
      </c>
      <c r="Y352" s="135" t="s">
        <v>470</v>
      </c>
      <c r="Z352" s="135" t="s">
        <v>498</v>
      </c>
      <c r="AA352" s="135">
        <v>21178</v>
      </c>
      <c r="AB352" s="249">
        <f>(WTG_BD[[#This Row],[Paired WTG Generation for loss calculation.]]/24)*WTG_BD[[#This Row],[Breakdown Time]]</f>
        <v>3500.2527777777791</v>
      </c>
      <c r="AC352" s="135"/>
      <c r="AD352" s="245"/>
      <c r="AE352" s="3"/>
    </row>
    <row r="353" spans="1:31">
      <c r="A353" s="241">
        <f t="shared" si="11"/>
        <v>352</v>
      </c>
      <c r="B353" s="255">
        <v>45767</v>
      </c>
      <c r="C353" s="252">
        <v>2025</v>
      </c>
      <c r="D353" s="252">
        <f>YEAR(WTG_BD[[#This Row],[Date]])</f>
        <v>2025</v>
      </c>
      <c r="E353" s="251">
        <f t="shared" si="12"/>
        <v>45748</v>
      </c>
      <c r="F353" s="252" t="s">
        <v>465</v>
      </c>
      <c r="G353" s="248" t="s">
        <v>136</v>
      </c>
      <c r="H353" s="242" t="str">
        <f>IFERROR(VLOOKUP(WTG_BD[[#This Row],[Affected WTG]],'Basic Data'!$A$3:$E$56,2,0),"")</f>
        <v>PWEGPL</v>
      </c>
      <c r="I353" s="242" t="str">
        <f>IFERROR(VLOOKUP(WTG_BD[[#This Row],[Affected WTG]],'Basic Data'!$A$3:$E$56,3,0),"")</f>
        <v>MSEDCL</v>
      </c>
      <c r="J353" s="243">
        <f>IFERROR(VLOOKUP(WTG_BD[[#This Row],[Affected WTG]],'Basic Data'!$A$3:$E$56,5,0),"")</f>
        <v>2.564102564102564E-2</v>
      </c>
      <c r="K353" s="158">
        <v>813</v>
      </c>
      <c r="L353" s="247" t="str">
        <f>VLOOKUP(K353,'Basic Data'!T:U,2,0)</f>
        <v>Low Pressure Of Emergency Accumulators</v>
      </c>
      <c r="M353" s="135" t="s">
        <v>472</v>
      </c>
      <c r="N353" s="256">
        <v>0.68333333333333335</v>
      </c>
      <c r="O353" s="256">
        <v>0.70277777777777772</v>
      </c>
      <c r="P353" s="256">
        <v>0.70416666666666672</v>
      </c>
      <c r="Q353" s="253">
        <f>IF(WTG_BD[[#This Row],[Work Start TimeStamp]]="","",(WTG_BD[[#This Row],[Work Start TimeStamp]]-WTG_BD[[#This Row],[Fault Start TimeStamp]])*24)</f>
        <v>0.46666666666666501</v>
      </c>
      <c r="R353" s="253">
        <f>(WTG_BD[[#This Row],[Fault Clearance time]]-WTG_BD[[#This Row],[Work Start TimeStamp]])*24</f>
        <v>3.3333333333335879E-2</v>
      </c>
      <c r="S353" s="253">
        <f>(WTG_BD[[#This Row],[Fault Clearance time]]-WTG_BD[[#This Row],[Fault Start TimeStamp]])*24</f>
        <v>0.50000000000000089</v>
      </c>
      <c r="T353" s="135" t="s">
        <v>473</v>
      </c>
      <c r="U353" s="244" t="s">
        <v>474</v>
      </c>
      <c r="V353" s="246">
        <f>WTG_BD[[#This Row],[Breakdown Time]]*(1/39)</f>
        <v>1.2820512820512843E-2</v>
      </c>
      <c r="W353" s="244" t="s">
        <v>119</v>
      </c>
      <c r="X353" s="250">
        <v>434.91666666666748</v>
      </c>
      <c r="Y353" s="135" t="s">
        <v>470</v>
      </c>
      <c r="Z353" s="135" t="s">
        <v>475</v>
      </c>
      <c r="AA353" s="135">
        <v>20876</v>
      </c>
      <c r="AB353" s="249">
        <f>(WTG_BD[[#This Row],[Paired WTG Generation for loss calculation.]]/24)*WTG_BD[[#This Row],[Breakdown Time]]</f>
        <v>434.91666666666748</v>
      </c>
      <c r="AC353" s="135"/>
      <c r="AD353" s="245"/>
      <c r="AE353" s="3"/>
    </row>
    <row r="354" spans="1:31">
      <c r="A354" s="241">
        <f t="shared" si="11"/>
        <v>353</v>
      </c>
      <c r="B354" s="255">
        <v>45768</v>
      </c>
      <c r="C354" s="252">
        <v>2025</v>
      </c>
      <c r="D354" s="252">
        <f>YEAR(WTG_BD[[#This Row],[Date]])</f>
        <v>2025</v>
      </c>
      <c r="E354" s="251">
        <f t="shared" si="12"/>
        <v>45748</v>
      </c>
      <c r="F354" s="252" t="s">
        <v>465</v>
      </c>
      <c r="G354" s="248" t="s">
        <v>144</v>
      </c>
      <c r="H354" s="242" t="str">
        <f>IFERROR(VLOOKUP(WTG_BD[[#This Row],[Affected WTG]],'Basic Data'!$A$3:$E$56,2,0),"")</f>
        <v>PWEGPL</v>
      </c>
      <c r="I354" s="242" t="str">
        <f>IFERROR(VLOOKUP(WTG_BD[[#This Row],[Affected WTG]],'Basic Data'!$A$3:$E$56,3,0),"")</f>
        <v>MSEDCL</v>
      </c>
      <c r="J354" s="243">
        <f>IFERROR(VLOOKUP(WTG_BD[[#This Row],[Affected WTG]],'Basic Data'!$A$3:$E$56,5,0),"")</f>
        <v>2.564102564102564E-2</v>
      </c>
      <c r="K354" s="158" t="s">
        <v>466</v>
      </c>
      <c r="L354" s="247" t="str">
        <f>VLOOKUP(K354,'Basic Data'!T:U,2,0)</f>
        <v>Manual Stop - Safety Related</v>
      </c>
      <c r="M354" s="135" t="s">
        <v>467</v>
      </c>
      <c r="N354" s="256">
        <v>0</v>
      </c>
      <c r="O354" s="256">
        <v>0.99930555555555556</v>
      </c>
      <c r="P354" s="256">
        <v>0.99930555555555556</v>
      </c>
      <c r="Q354" s="253">
        <f>IF(WTG_BD[[#This Row],[Work Start TimeStamp]]="","",(WTG_BD[[#This Row],[Work Start TimeStamp]]-WTG_BD[[#This Row],[Fault Start TimeStamp]])*24)</f>
        <v>23.983333333333334</v>
      </c>
      <c r="R354" s="253">
        <f>(WTG_BD[[#This Row],[Fault Clearance time]]-WTG_BD[[#This Row],[Work Start TimeStamp]])*24</f>
        <v>0</v>
      </c>
      <c r="S354" s="253">
        <f>(WTG_BD[[#This Row],[Fault Clearance time]]-WTG_BD[[#This Row],[Fault Start TimeStamp]])*24</f>
        <v>23.983333333333334</v>
      </c>
      <c r="T354" s="135" t="s">
        <v>468</v>
      </c>
      <c r="U354" s="244" t="s">
        <v>469</v>
      </c>
      <c r="V354" s="246">
        <f>WTG_BD[[#This Row],[Breakdown Time]]*(1/39)</f>
        <v>0.61495726495726499</v>
      </c>
      <c r="W354" s="244" t="s">
        <v>141</v>
      </c>
      <c r="X354" s="250">
        <v>8028.4208333333336</v>
      </c>
      <c r="Y354" s="135" t="s">
        <v>470</v>
      </c>
      <c r="Z354" s="135" t="s">
        <v>471</v>
      </c>
      <c r="AA354" s="135">
        <v>8034</v>
      </c>
      <c r="AB354" s="249">
        <v>8028.4208333333336</v>
      </c>
      <c r="AC354" s="135"/>
      <c r="AD354" s="245"/>
      <c r="AE354" s="3"/>
    </row>
    <row r="355" spans="1:31">
      <c r="A355" s="241">
        <f t="shared" si="11"/>
        <v>354</v>
      </c>
      <c r="B355" s="255">
        <v>45768</v>
      </c>
      <c r="C355" s="252">
        <v>2025</v>
      </c>
      <c r="D355" s="252">
        <f>YEAR(WTG_BD[[#This Row],[Date]])</f>
        <v>2025</v>
      </c>
      <c r="E355" s="251">
        <f t="shared" si="12"/>
        <v>45748</v>
      </c>
      <c r="F355" s="252" t="s">
        <v>465</v>
      </c>
      <c r="G355" s="248" t="s">
        <v>142</v>
      </c>
      <c r="H355" s="242" t="str">
        <f>IFERROR(VLOOKUP(WTG_BD[[#This Row],[Affected WTG]],'Basic Data'!$A$3:$E$56,2,0),"")</f>
        <v>PWEGPL</v>
      </c>
      <c r="I355" s="242" t="str">
        <f>IFERROR(VLOOKUP(WTG_BD[[#This Row],[Affected WTG]],'Basic Data'!$A$3:$E$56,3,0),"")</f>
        <v>MSEDCL</v>
      </c>
      <c r="J355" s="243">
        <f>IFERROR(VLOOKUP(WTG_BD[[#This Row],[Affected WTG]],'Basic Data'!$A$3:$E$56,5,0),"")</f>
        <v>2.564102564102564E-2</v>
      </c>
      <c r="K355" s="158" t="s">
        <v>466</v>
      </c>
      <c r="L355" s="247" t="str">
        <f>VLOOKUP(K355,'Basic Data'!T:U,2,0)</f>
        <v>Manual Stop - Safety Related</v>
      </c>
      <c r="M355" s="135" t="s">
        <v>467</v>
      </c>
      <c r="N355" s="256">
        <v>0</v>
      </c>
      <c r="O355" s="256">
        <v>0.99930555555555556</v>
      </c>
      <c r="P355" s="256">
        <v>0.99930555555555556</v>
      </c>
      <c r="Q355" s="253">
        <f>IF(WTG_BD[[#This Row],[Work Start TimeStamp]]="","",(WTG_BD[[#This Row],[Work Start TimeStamp]]-WTG_BD[[#This Row],[Fault Start TimeStamp]])*24)</f>
        <v>23.983333333333334</v>
      </c>
      <c r="R355" s="253">
        <f>(WTG_BD[[#This Row],[Fault Clearance time]]-WTG_BD[[#This Row],[Work Start TimeStamp]])*24</f>
        <v>0</v>
      </c>
      <c r="S355" s="253">
        <f>(WTG_BD[[#This Row],[Fault Clearance time]]-WTG_BD[[#This Row],[Fault Start TimeStamp]])*24</f>
        <v>23.983333333333334</v>
      </c>
      <c r="T355" s="135" t="s">
        <v>468</v>
      </c>
      <c r="U355" s="244" t="s">
        <v>469</v>
      </c>
      <c r="V355" s="246">
        <f>WTG_BD[[#This Row],[Breakdown Time]]*(1/39)</f>
        <v>0.61495726495726499</v>
      </c>
      <c r="W355" s="244" t="s">
        <v>141</v>
      </c>
      <c r="X355" s="250">
        <v>8028.4208333333336</v>
      </c>
      <c r="Y355" s="135" t="s">
        <v>470</v>
      </c>
      <c r="Z355" s="135" t="s">
        <v>471</v>
      </c>
      <c r="AA355" s="135">
        <v>8034</v>
      </c>
      <c r="AB355" s="249">
        <v>8028.4208333333336</v>
      </c>
      <c r="AC355" s="135"/>
      <c r="AD355" s="245"/>
      <c r="AE355" s="3"/>
    </row>
    <row r="356" spans="1:31">
      <c r="A356" s="241">
        <f t="shared" si="11"/>
        <v>355</v>
      </c>
      <c r="B356" s="255">
        <v>45768</v>
      </c>
      <c r="C356" s="252">
        <v>2025</v>
      </c>
      <c r="D356" s="252">
        <f>YEAR(WTG_BD[[#This Row],[Date]])</f>
        <v>2025</v>
      </c>
      <c r="E356" s="251">
        <f t="shared" si="12"/>
        <v>45748</v>
      </c>
      <c r="F356" s="252" t="s">
        <v>465</v>
      </c>
      <c r="G356" s="248" t="s">
        <v>130</v>
      </c>
      <c r="H356" s="242" t="str">
        <f>IFERROR(VLOOKUP(WTG_BD[[#This Row],[Affected WTG]],'Basic Data'!$A$3:$E$56,2,0),"")</f>
        <v>PWEGPL</v>
      </c>
      <c r="I356" s="242" t="str">
        <f>IFERROR(VLOOKUP(WTG_BD[[#This Row],[Affected WTG]],'Basic Data'!$A$3:$E$56,3,0),"")</f>
        <v>MSEDCL</v>
      </c>
      <c r="J356" s="243">
        <f>IFERROR(VLOOKUP(WTG_BD[[#This Row],[Affected WTG]],'Basic Data'!$A$3:$E$56,5,0),"")</f>
        <v>2.564102564102564E-2</v>
      </c>
      <c r="K356" s="158" t="s">
        <v>514</v>
      </c>
      <c r="L356" s="247" t="str">
        <f>VLOOKUP(K356,'Basic Data'!T:U,2,0)</f>
        <v>General Work Stoppage</v>
      </c>
      <c r="M356" s="135" t="s">
        <v>496</v>
      </c>
      <c r="N356" s="256">
        <v>0.66111111111111109</v>
      </c>
      <c r="O356" s="256">
        <v>0.66111111111111109</v>
      </c>
      <c r="P356" s="256">
        <v>0.72916666666666663</v>
      </c>
      <c r="Q356" s="253">
        <f>IF(WTG_BD[[#This Row],[Work Start TimeStamp]]="","",(WTG_BD[[#This Row],[Work Start TimeStamp]]-WTG_BD[[#This Row],[Fault Start TimeStamp]])*24)</f>
        <v>0</v>
      </c>
      <c r="R356" s="253">
        <f>(WTG_BD[[#This Row],[Fault Clearance time]]-WTG_BD[[#This Row],[Work Start TimeStamp]])*24</f>
        <v>1.6333333333333329</v>
      </c>
      <c r="S356" s="253">
        <f>(WTG_BD[[#This Row],[Fault Clearance time]]-WTG_BD[[#This Row],[Fault Start TimeStamp]])*24</f>
        <v>1.6333333333333329</v>
      </c>
      <c r="T356" s="135" t="s">
        <v>540</v>
      </c>
      <c r="U356" s="244" t="s">
        <v>474</v>
      </c>
      <c r="V356" s="246">
        <f>WTG_BD[[#This Row],[Breakdown Time]]*(1/39)</f>
        <v>4.1880341880341863E-2</v>
      </c>
      <c r="W356" s="244" t="s">
        <v>131</v>
      </c>
      <c r="X356" s="250">
        <v>527.36249999999984</v>
      </c>
      <c r="Y356" s="135" t="s">
        <v>470</v>
      </c>
      <c r="Z356" s="135" t="s">
        <v>498</v>
      </c>
      <c r="AA356" s="135">
        <v>7749</v>
      </c>
      <c r="AB356" s="249">
        <v>527.36249999999984</v>
      </c>
      <c r="AC356" s="135"/>
      <c r="AD356" s="245"/>
      <c r="AE356" s="3"/>
    </row>
    <row r="357" spans="1:31">
      <c r="A357" s="241">
        <f t="shared" si="11"/>
        <v>356</v>
      </c>
      <c r="B357" s="255">
        <v>45768</v>
      </c>
      <c r="C357" s="252">
        <v>2025</v>
      </c>
      <c r="D357" s="252">
        <f>YEAR(WTG_BD[[#This Row],[Date]])</f>
        <v>2025</v>
      </c>
      <c r="E357" s="251">
        <f t="shared" si="12"/>
        <v>45748</v>
      </c>
      <c r="F357" s="252" t="s">
        <v>465</v>
      </c>
      <c r="G357" s="248" t="s">
        <v>145</v>
      </c>
      <c r="H357" s="242" t="str">
        <f>IFERROR(VLOOKUP(WTG_BD[[#This Row],[Affected WTG]],'Basic Data'!$A$3:$E$56,2,0),"")</f>
        <v>PWEGPL</v>
      </c>
      <c r="I357" s="242" t="str">
        <f>IFERROR(VLOOKUP(WTG_BD[[#This Row],[Affected WTG]],'Basic Data'!$A$3:$E$56,3,0),"")</f>
        <v>MSEDCL</v>
      </c>
      <c r="J357" s="243">
        <f>IFERROR(VLOOKUP(WTG_BD[[#This Row],[Affected WTG]],'Basic Data'!$A$3:$E$56,5,0),"")</f>
        <v>2.564102564102564E-2</v>
      </c>
      <c r="K357" s="158">
        <v>1824</v>
      </c>
      <c r="L357" s="247" t="str">
        <f>VLOOKUP(K357,'Basic Data'!T:U,2,0)</f>
        <v>Trafo Fan Thermal Relay</v>
      </c>
      <c r="M357" s="135" t="s">
        <v>472</v>
      </c>
      <c r="N357" s="256">
        <v>0.57847222222222228</v>
      </c>
      <c r="O357" s="256">
        <v>0.60763888888888884</v>
      </c>
      <c r="P357" s="256">
        <v>0.60833333333333328</v>
      </c>
      <c r="Q357" s="253">
        <f>IF(WTG_BD[[#This Row],[Work Start TimeStamp]]="","",(WTG_BD[[#This Row],[Work Start TimeStamp]]-WTG_BD[[#This Row],[Fault Start TimeStamp]])*24)</f>
        <v>0.69999999999999751</v>
      </c>
      <c r="R357" s="253">
        <f>(WTG_BD[[#This Row],[Fault Clearance time]]-WTG_BD[[#This Row],[Work Start TimeStamp]])*24</f>
        <v>1.6666666666666607E-2</v>
      </c>
      <c r="S357" s="253">
        <f>(WTG_BD[[#This Row],[Fault Clearance time]]-WTG_BD[[#This Row],[Fault Start TimeStamp]])*24</f>
        <v>0.71666666666666412</v>
      </c>
      <c r="T357" s="135" t="s">
        <v>473</v>
      </c>
      <c r="U357" s="244" t="s">
        <v>474</v>
      </c>
      <c r="V357" s="246">
        <f>WTG_BD[[#This Row],[Breakdown Time]]*(1/39)</f>
        <v>1.8376068376068311E-2</v>
      </c>
      <c r="W357" s="244" t="s">
        <v>139</v>
      </c>
      <c r="X357" s="250">
        <v>247.36944444444359</v>
      </c>
      <c r="Y357" s="135" t="s">
        <v>470</v>
      </c>
      <c r="Z357" s="135" t="s">
        <v>475</v>
      </c>
      <c r="AA357" s="135">
        <v>8284</v>
      </c>
      <c r="AB357" s="249">
        <v>247.36944444444359</v>
      </c>
      <c r="AC357" s="135"/>
      <c r="AD357" s="245"/>
      <c r="AE357" s="3"/>
    </row>
    <row r="358" spans="1:31">
      <c r="A358" s="241">
        <f t="shared" si="11"/>
        <v>357</v>
      </c>
      <c r="B358" s="255">
        <v>45768</v>
      </c>
      <c r="C358" s="252">
        <v>2025</v>
      </c>
      <c r="D358" s="252">
        <f>YEAR(WTG_BD[[#This Row],[Date]])</f>
        <v>2025</v>
      </c>
      <c r="E358" s="251">
        <f t="shared" si="12"/>
        <v>45748</v>
      </c>
      <c r="F358" s="252" t="s">
        <v>465</v>
      </c>
      <c r="G358" s="248" t="s">
        <v>139</v>
      </c>
      <c r="H358" s="242" t="str">
        <f>IFERROR(VLOOKUP(WTG_BD[[#This Row],[Affected WTG]],'Basic Data'!$A$3:$E$56,2,0),"")</f>
        <v>PWEGPL</v>
      </c>
      <c r="I358" s="242" t="str">
        <f>IFERROR(VLOOKUP(WTG_BD[[#This Row],[Affected WTG]],'Basic Data'!$A$3:$E$56,3,0),"")</f>
        <v>MSEDCL</v>
      </c>
      <c r="J358" s="243">
        <f>IFERROR(VLOOKUP(WTG_BD[[#This Row],[Affected WTG]],'Basic Data'!$A$3:$E$56,5,0),"")</f>
        <v>2.564102564102564E-2</v>
      </c>
      <c r="K358" s="158">
        <v>1824</v>
      </c>
      <c r="L358" s="247" t="str">
        <f>VLOOKUP(K358,'Basic Data'!T:U,2,0)</f>
        <v>Trafo Fan Thermal Relay</v>
      </c>
      <c r="M358" s="135" t="s">
        <v>472</v>
      </c>
      <c r="N358" s="256">
        <v>0.56388888888888888</v>
      </c>
      <c r="O358" s="256">
        <v>0.61250000000000004</v>
      </c>
      <c r="P358" s="256">
        <v>0.61319444444444449</v>
      </c>
      <c r="Q358" s="253">
        <f>IF(WTG_BD[[#This Row],[Work Start TimeStamp]]="","",(WTG_BD[[#This Row],[Work Start TimeStamp]]-WTG_BD[[#This Row],[Fault Start TimeStamp]])*24)</f>
        <v>1.1666666666666679</v>
      </c>
      <c r="R358" s="253">
        <f>(WTG_BD[[#This Row],[Fault Clearance time]]-WTG_BD[[#This Row],[Work Start TimeStamp]])*24</f>
        <v>1.6666666666666607E-2</v>
      </c>
      <c r="S358" s="253">
        <f>(WTG_BD[[#This Row],[Fault Clearance time]]-WTG_BD[[#This Row],[Fault Start TimeStamp]])*24</f>
        <v>1.1833333333333345</v>
      </c>
      <c r="T358" s="135" t="s">
        <v>473</v>
      </c>
      <c r="U358" s="244" t="s">
        <v>474</v>
      </c>
      <c r="V358" s="246">
        <f>WTG_BD[[#This Row],[Breakdown Time]]*(1/39)</f>
        <v>3.0341880341880369E-2</v>
      </c>
      <c r="W358" s="244" t="s">
        <v>153</v>
      </c>
      <c r="X358" s="250">
        <v>407.11597222222264</v>
      </c>
      <c r="Y358" s="135" t="s">
        <v>470</v>
      </c>
      <c r="Z358" s="135" t="s">
        <v>475</v>
      </c>
      <c r="AA358" s="135">
        <v>8257</v>
      </c>
      <c r="AB358" s="249">
        <v>407.11597222222264</v>
      </c>
      <c r="AC358" s="135"/>
      <c r="AD358" s="245"/>
      <c r="AE358" s="3"/>
    </row>
    <row r="359" spans="1:31">
      <c r="A359" s="241">
        <f t="shared" si="11"/>
        <v>358</v>
      </c>
      <c r="B359" s="255">
        <v>45768</v>
      </c>
      <c r="C359" s="252">
        <v>2025</v>
      </c>
      <c r="D359" s="252">
        <f>YEAR(WTG_BD[[#This Row],[Date]])</f>
        <v>2025</v>
      </c>
      <c r="E359" s="251">
        <f t="shared" si="12"/>
        <v>45748</v>
      </c>
      <c r="F359" s="252" t="s">
        <v>465</v>
      </c>
      <c r="G359" s="248" t="s">
        <v>153</v>
      </c>
      <c r="H359" s="242" t="str">
        <f>IFERROR(VLOOKUP(WTG_BD[[#This Row],[Affected WTG]],'Basic Data'!$A$3:$E$56,2,0),"")</f>
        <v>PWEGPL</v>
      </c>
      <c r="I359" s="242" t="str">
        <f>IFERROR(VLOOKUP(WTG_BD[[#This Row],[Affected WTG]],'Basic Data'!$A$3:$E$56,3,0),"")</f>
        <v>MSEDCL</v>
      </c>
      <c r="J359" s="243">
        <f>IFERROR(VLOOKUP(WTG_BD[[#This Row],[Affected WTG]],'Basic Data'!$A$3:$E$56,5,0),"")</f>
        <v>2.564102564102564E-2</v>
      </c>
      <c r="K359" s="158">
        <v>1824</v>
      </c>
      <c r="L359" s="247" t="str">
        <f>VLOOKUP(K359,'Basic Data'!T:U,2,0)</f>
        <v>Trafo Fan Thermal Relay</v>
      </c>
      <c r="M359" s="135" t="s">
        <v>472</v>
      </c>
      <c r="N359" s="256">
        <v>0.58680555555555558</v>
      </c>
      <c r="O359" s="256">
        <v>0.61875000000000002</v>
      </c>
      <c r="P359" s="256">
        <v>0.61944444444444446</v>
      </c>
      <c r="Q359" s="253">
        <f>IF(WTG_BD[[#This Row],[Work Start TimeStamp]]="","",(WTG_BD[[#This Row],[Work Start TimeStamp]]-WTG_BD[[#This Row],[Fault Start TimeStamp]])*24)</f>
        <v>0.76666666666666661</v>
      </c>
      <c r="R359" s="253">
        <f>(WTG_BD[[#This Row],[Fault Clearance time]]-WTG_BD[[#This Row],[Work Start TimeStamp]])*24</f>
        <v>1.6666666666666607E-2</v>
      </c>
      <c r="S359" s="253">
        <f>(WTG_BD[[#This Row],[Fault Clearance time]]-WTG_BD[[#This Row],[Fault Start TimeStamp]])*24</f>
        <v>0.78333333333333321</v>
      </c>
      <c r="T359" s="135" t="s">
        <v>473</v>
      </c>
      <c r="U359" s="244" t="s">
        <v>474</v>
      </c>
      <c r="V359" s="246">
        <f>WTG_BD[[#This Row],[Breakdown Time]]*(1/39)</f>
        <v>2.008547008547008E-2</v>
      </c>
      <c r="W359" s="244" t="s">
        <v>152</v>
      </c>
      <c r="X359" s="250">
        <v>276.22291666666661</v>
      </c>
      <c r="Y359" s="135" t="s">
        <v>470</v>
      </c>
      <c r="Z359" s="135" t="s">
        <v>475</v>
      </c>
      <c r="AA359" s="135">
        <v>8463</v>
      </c>
      <c r="AB359" s="249">
        <v>276.22291666666661</v>
      </c>
      <c r="AC359" s="135"/>
      <c r="AD359" s="245"/>
      <c r="AE359" s="3"/>
    </row>
    <row r="360" spans="1:31">
      <c r="A360" s="241">
        <f t="shared" si="11"/>
        <v>359</v>
      </c>
      <c r="B360" s="255">
        <v>45769</v>
      </c>
      <c r="C360" s="252">
        <v>2025</v>
      </c>
      <c r="D360" s="252">
        <f>YEAR(WTG_BD[[#This Row],[Date]])</f>
        <v>2025</v>
      </c>
      <c r="E360" s="251">
        <f t="shared" si="12"/>
        <v>45748</v>
      </c>
      <c r="F360" s="252" t="s">
        <v>465</v>
      </c>
      <c r="G360" s="248" t="s">
        <v>144</v>
      </c>
      <c r="H360" s="242" t="str">
        <f>IFERROR(VLOOKUP(WTG_BD[[#This Row],[Affected WTG]],'Basic Data'!$A$3:$E$56,2,0),"")</f>
        <v>PWEGPL</v>
      </c>
      <c r="I360" s="242" t="str">
        <f>IFERROR(VLOOKUP(WTG_BD[[#This Row],[Affected WTG]],'Basic Data'!$A$3:$E$56,3,0),"")</f>
        <v>MSEDCL</v>
      </c>
      <c r="J360" s="243">
        <f>IFERROR(VLOOKUP(WTG_BD[[#This Row],[Affected WTG]],'Basic Data'!$A$3:$E$56,5,0),"")</f>
        <v>2.564102564102564E-2</v>
      </c>
      <c r="K360" s="158" t="s">
        <v>466</v>
      </c>
      <c r="L360" s="247" t="str">
        <f>VLOOKUP(K360,'Basic Data'!T:U,2,0)</f>
        <v>Manual Stop - Safety Related</v>
      </c>
      <c r="M360" s="135" t="s">
        <v>467</v>
      </c>
      <c r="N360" s="256">
        <v>0</v>
      </c>
      <c r="O360" s="256">
        <v>0.99930555555555556</v>
      </c>
      <c r="P360" s="256">
        <v>0.99930555555555556</v>
      </c>
      <c r="Q360" s="253">
        <f>IF(WTG_BD[[#This Row],[Work Start TimeStamp]]="","",(WTG_BD[[#This Row],[Work Start TimeStamp]]-WTG_BD[[#This Row],[Fault Start TimeStamp]])*24)</f>
        <v>23.983333333333334</v>
      </c>
      <c r="R360" s="253">
        <f>(WTG_BD[[#This Row],[Fault Clearance time]]-WTG_BD[[#This Row],[Work Start TimeStamp]])*24</f>
        <v>0</v>
      </c>
      <c r="S360" s="253">
        <f>(WTG_BD[[#This Row],[Fault Clearance time]]-WTG_BD[[#This Row],[Fault Start TimeStamp]])*24</f>
        <v>23.983333333333334</v>
      </c>
      <c r="T360" s="135" t="s">
        <v>468</v>
      </c>
      <c r="U360" s="244" t="s">
        <v>469</v>
      </c>
      <c r="V360" s="246">
        <f>WTG_BD[[#This Row],[Breakdown Time]]*(1/39)</f>
        <v>0.61495726495726499</v>
      </c>
      <c r="W360" s="244" t="s">
        <v>141</v>
      </c>
      <c r="X360" s="250">
        <v>6327.6027777777772</v>
      </c>
      <c r="Y360" s="135" t="s">
        <v>470</v>
      </c>
      <c r="Z360" s="135" t="s">
        <v>471</v>
      </c>
      <c r="AA360" s="135">
        <v>6332</v>
      </c>
      <c r="AB360" s="249">
        <f>(WTG_BD[[#This Row],[Paired WTG Generation for loss calculation.]]/24)*WTG_BD[[#This Row],[Breakdown Time]]</f>
        <v>6327.6027777777772</v>
      </c>
      <c r="AC360" s="135"/>
      <c r="AD360" s="245"/>
      <c r="AE360" s="3"/>
    </row>
    <row r="361" spans="1:31">
      <c r="A361" s="241">
        <f t="shared" si="11"/>
        <v>360</v>
      </c>
      <c r="B361" s="255">
        <v>45769</v>
      </c>
      <c r="C361" s="252">
        <v>2025</v>
      </c>
      <c r="D361" s="252">
        <f>YEAR(WTG_BD[[#This Row],[Date]])</f>
        <v>2025</v>
      </c>
      <c r="E361" s="251">
        <f t="shared" si="12"/>
        <v>45748</v>
      </c>
      <c r="F361" s="252" t="s">
        <v>465</v>
      </c>
      <c r="G361" s="248" t="s">
        <v>142</v>
      </c>
      <c r="H361" s="242" t="str">
        <f>IFERROR(VLOOKUP(WTG_BD[[#This Row],[Affected WTG]],'Basic Data'!$A$3:$E$56,2,0),"")</f>
        <v>PWEGPL</v>
      </c>
      <c r="I361" s="242" t="str">
        <f>IFERROR(VLOOKUP(WTG_BD[[#This Row],[Affected WTG]],'Basic Data'!$A$3:$E$56,3,0),"")</f>
        <v>MSEDCL</v>
      </c>
      <c r="J361" s="243">
        <f>IFERROR(VLOOKUP(WTG_BD[[#This Row],[Affected WTG]],'Basic Data'!$A$3:$E$56,5,0),"")</f>
        <v>2.564102564102564E-2</v>
      </c>
      <c r="K361" s="158" t="s">
        <v>466</v>
      </c>
      <c r="L361" s="247" t="str">
        <f>VLOOKUP(K361,'Basic Data'!T:U,2,0)</f>
        <v>Manual Stop - Safety Related</v>
      </c>
      <c r="M361" s="135" t="s">
        <v>467</v>
      </c>
      <c r="N361" s="256">
        <v>0</v>
      </c>
      <c r="O361" s="256">
        <v>0.99930555555555556</v>
      </c>
      <c r="P361" s="256">
        <v>0.99930555555555556</v>
      </c>
      <c r="Q361" s="253">
        <f>IF(WTG_BD[[#This Row],[Work Start TimeStamp]]="","",(WTG_BD[[#This Row],[Work Start TimeStamp]]-WTG_BD[[#This Row],[Fault Start TimeStamp]])*24)</f>
        <v>23.983333333333334</v>
      </c>
      <c r="R361" s="253">
        <f>(WTG_BD[[#This Row],[Fault Clearance time]]-WTG_BD[[#This Row],[Work Start TimeStamp]])*24</f>
        <v>0</v>
      </c>
      <c r="S361" s="253">
        <f>(WTG_BD[[#This Row],[Fault Clearance time]]-WTG_BD[[#This Row],[Fault Start TimeStamp]])*24</f>
        <v>23.983333333333334</v>
      </c>
      <c r="T361" s="135" t="s">
        <v>468</v>
      </c>
      <c r="U361" s="244" t="s">
        <v>469</v>
      </c>
      <c r="V361" s="246">
        <f>WTG_BD[[#This Row],[Breakdown Time]]*(1/39)</f>
        <v>0.61495726495726499</v>
      </c>
      <c r="W361" s="244" t="s">
        <v>141</v>
      </c>
      <c r="X361" s="250">
        <v>6327.6027777777772</v>
      </c>
      <c r="Y361" s="135" t="s">
        <v>470</v>
      </c>
      <c r="Z361" s="135" t="s">
        <v>471</v>
      </c>
      <c r="AA361" s="135">
        <v>6332</v>
      </c>
      <c r="AB361" s="249">
        <f>(WTG_BD[[#This Row],[Paired WTG Generation for loss calculation.]]/24)*WTG_BD[[#This Row],[Breakdown Time]]</f>
        <v>6327.6027777777772</v>
      </c>
      <c r="AC361" s="135"/>
      <c r="AD361" s="245"/>
      <c r="AE361" s="3"/>
    </row>
    <row r="362" spans="1:31">
      <c r="A362" s="241">
        <f t="shared" si="11"/>
        <v>361</v>
      </c>
      <c r="B362" s="255">
        <v>45769</v>
      </c>
      <c r="C362" s="252">
        <v>2025</v>
      </c>
      <c r="D362" s="252">
        <f>YEAR(WTG_BD[[#This Row],[Date]])</f>
        <v>2025</v>
      </c>
      <c r="E362" s="251">
        <f t="shared" si="12"/>
        <v>45748</v>
      </c>
      <c r="F362" s="252" t="s">
        <v>465</v>
      </c>
      <c r="G362" s="248" t="s">
        <v>120</v>
      </c>
      <c r="H362" s="242" t="str">
        <f>IFERROR(VLOOKUP(WTG_BD[[#This Row],[Affected WTG]],'Basic Data'!$A$3:$E$56,2,0),"")</f>
        <v>PWEGPL</v>
      </c>
      <c r="I362" s="242" t="str">
        <f>IFERROR(VLOOKUP(WTG_BD[[#This Row],[Affected WTG]],'Basic Data'!$A$3:$E$56,3,0),"")</f>
        <v>MSEDCL</v>
      </c>
      <c r="J362" s="243">
        <f>IFERROR(VLOOKUP(WTG_BD[[#This Row],[Affected WTG]],'Basic Data'!$A$3:$E$56,5,0),"")</f>
        <v>2.564102564102564E-2</v>
      </c>
      <c r="K362" s="158">
        <v>2118</v>
      </c>
      <c r="L362" s="247" t="str">
        <f>VLOOKUP(K362,'Basic Data'!T:U,2,0)</f>
        <v>Bus Error - Interbus Failure</v>
      </c>
      <c r="M362" s="135" t="s">
        <v>472</v>
      </c>
      <c r="N362" s="256">
        <v>0.30138888888888887</v>
      </c>
      <c r="O362" s="256">
        <v>0.33402777777777776</v>
      </c>
      <c r="P362" s="256">
        <v>0.33541666666666664</v>
      </c>
      <c r="Q362" s="253">
        <f>IF(WTG_BD[[#This Row],[Work Start TimeStamp]]="","",(WTG_BD[[#This Row],[Work Start TimeStamp]]-WTG_BD[[#This Row],[Fault Start TimeStamp]])*24)</f>
        <v>0.78333333333333321</v>
      </c>
      <c r="R362" s="253">
        <f>(WTG_BD[[#This Row],[Fault Clearance time]]-WTG_BD[[#This Row],[Work Start TimeStamp]])*24</f>
        <v>3.3333333333333215E-2</v>
      </c>
      <c r="S362" s="253">
        <f>(WTG_BD[[#This Row],[Fault Clearance time]]-WTG_BD[[#This Row],[Fault Start TimeStamp]])*24</f>
        <v>0.81666666666666643</v>
      </c>
      <c r="T362" s="135" t="s">
        <v>482</v>
      </c>
      <c r="U362" s="244" t="s">
        <v>474</v>
      </c>
      <c r="V362" s="246">
        <f>WTG_BD[[#This Row],[Breakdown Time]]*(1/39)</f>
        <v>2.0940170940170932E-2</v>
      </c>
      <c r="W362" s="244" t="s">
        <v>117</v>
      </c>
      <c r="X362" s="250">
        <v>148.59930555555553</v>
      </c>
      <c r="Y362" s="135" t="s">
        <v>470</v>
      </c>
      <c r="Z362" s="135" t="s">
        <v>475</v>
      </c>
      <c r="AA362" s="135">
        <v>4367</v>
      </c>
      <c r="AB362" s="249">
        <f>(WTG_BD[[#This Row],[Paired WTG Generation for loss calculation.]]/24)*WTG_BD[[#This Row],[Breakdown Time]]</f>
        <v>148.59930555555553</v>
      </c>
      <c r="AC362" s="135"/>
      <c r="AD362" s="245"/>
      <c r="AE362" s="3"/>
    </row>
    <row r="363" spans="1:31">
      <c r="A363" s="241">
        <f t="shared" si="11"/>
        <v>362</v>
      </c>
      <c r="B363" s="255">
        <v>45769</v>
      </c>
      <c r="C363" s="252">
        <v>2025</v>
      </c>
      <c r="D363" s="252">
        <f>YEAR(WTG_BD[[#This Row],[Date]])</f>
        <v>2025</v>
      </c>
      <c r="E363" s="251">
        <f t="shared" si="12"/>
        <v>45748</v>
      </c>
      <c r="F363" s="252" t="s">
        <v>465</v>
      </c>
      <c r="G363" s="248" t="s">
        <v>120</v>
      </c>
      <c r="H363" s="242" t="str">
        <f>IFERROR(VLOOKUP(WTG_BD[[#This Row],[Affected WTG]],'Basic Data'!$A$3:$E$56,2,0),"")</f>
        <v>PWEGPL</v>
      </c>
      <c r="I363" s="242" t="str">
        <f>IFERROR(VLOOKUP(WTG_BD[[#This Row],[Affected WTG]],'Basic Data'!$A$3:$E$56,3,0),"")</f>
        <v>MSEDCL</v>
      </c>
      <c r="J363" s="243">
        <f>IFERROR(VLOOKUP(WTG_BD[[#This Row],[Affected WTG]],'Basic Data'!$A$3:$E$56,5,0),"")</f>
        <v>2.564102564102564E-2</v>
      </c>
      <c r="K363" s="158">
        <v>2118</v>
      </c>
      <c r="L363" s="247" t="str">
        <f>VLOOKUP(K363,'Basic Data'!T:U,2,0)</f>
        <v>Bus Error - Interbus Failure</v>
      </c>
      <c r="M363" s="135" t="s">
        <v>472</v>
      </c>
      <c r="N363" s="256">
        <v>0.59027777777777779</v>
      </c>
      <c r="O363" s="256">
        <v>0.61319444444444449</v>
      </c>
      <c r="P363" s="256">
        <v>0.61458333333333337</v>
      </c>
      <c r="Q363" s="253">
        <f>IF(WTG_BD[[#This Row],[Work Start TimeStamp]]="","",(WTG_BD[[#This Row],[Work Start TimeStamp]]-WTG_BD[[#This Row],[Fault Start TimeStamp]])*24)</f>
        <v>0.55000000000000071</v>
      </c>
      <c r="R363" s="253">
        <f>(WTG_BD[[#This Row],[Fault Clearance time]]-WTG_BD[[#This Row],[Work Start TimeStamp]])*24</f>
        <v>3.3333333333333215E-2</v>
      </c>
      <c r="S363" s="253">
        <f>(WTG_BD[[#This Row],[Fault Clearance time]]-WTG_BD[[#This Row],[Fault Start TimeStamp]])*24</f>
        <v>0.58333333333333393</v>
      </c>
      <c r="T363" s="135" t="s">
        <v>482</v>
      </c>
      <c r="U363" s="244" t="s">
        <v>474</v>
      </c>
      <c r="V363" s="246">
        <f>WTG_BD[[#This Row],[Breakdown Time]]*(1/39)</f>
        <v>1.4957264957264972E-2</v>
      </c>
      <c r="W363" s="244" t="s">
        <v>117</v>
      </c>
      <c r="X363" s="250">
        <v>106.14236111111123</v>
      </c>
      <c r="Y363" s="135" t="s">
        <v>470</v>
      </c>
      <c r="Z363" s="135" t="s">
        <v>475</v>
      </c>
      <c r="AA363" s="135">
        <v>4367</v>
      </c>
      <c r="AB363" s="249">
        <f>(WTG_BD[[#This Row],[Paired WTG Generation for loss calculation.]]/24)*WTG_BD[[#This Row],[Breakdown Time]]</f>
        <v>106.14236111111123</v>
      </c>
      <c r="AC363" s="135"/>
      <c r="AD363" s="245"/>
      <c r="AE363" s="3"/>
    </row>
    <row r="364" spans="1:31">
      <c r="A364" s="241">
        <f t="shared" si="11"/>
        <v>363</v>
      </c>
      <c r="B364" s="255">
        <v>45769</v>
      </c>
      <c r="C364" s="252">
        <v>2025</v>
      </c>
      <c r="D364" s="252">
        <f>YEAR(WTG_BD[[#This Row],[Date]])</f>
        <v>2025</v>
      </c>
      <c r="E364" s="251">
        <f t="shared" si="12"/>
        <v>45748</v>
      </c>
      <c r="F364" s="252" t="s">
        <v>465</v>
      </c>
      <c r="G364" s="248" t="s">
        <v>127</v>
      </c>
      <c r="H364" s="242" t="str">
        <f>IFERROR(VLOOKUP(WTG_BD[[#This Row],[Affected WTG]],'Basic Data'!$A$3:$E$56,2,0),"")</f>
        <v>PWEGPL</v>
      </c>
      <c r="I364" s="242" t="str">
        <f>IFERROR(VLOOKUP(WTG_BD[[#This Row],[Affected WTG]],'Basic Data'!$A$3:$E$56,3,0),"")</f>
        <v>MSEDCL</v>
      </c>
      <c r="J364" s="243">
        <f>IFERROR(VLOOKUP(WTG_BD[[#This Row],[Affected WTG]],'Basic Data'!$A$3:$E$56,5,0),"")</f>
        <v>2.564102564102564E-2</v>
      </c>
      <c r="K364" s="158" t="s">
        <v>523</v>
      </c>
      <c r="L364" s="247" t="str">
        <f>VLOOKUP(K364,'Basic Data'!T:U,2,0)</f>
        <v>Manual Stop</v>
      </c>
      <c r="M364" s="135" t="s">
        <v>496</v>
      </c>
      <c r="N364" s="256">
        <v>0.44305555555555554</v>
      </c>
      <c r="O364" s="256">
        <v>0.44305555555555554</v>
      </c>
      <c r="P364" s="256">
        <v>0.51527777777777772</v>
      </c>
      <c r="Q364" s="253">
        <f>IF(WTG_BD[[#This Row],[Work Start TimeStamp]]="","",(WTG_BD[[#This Row],[Work Start TimeStamp]]-WTG_BD[[#This Row],[Fault Start TimeStamp]])*24)</f>
        <v>0</v>
      </c>
      <c r="R364" s="253">
        <f>(WTG_BD[[#This Row],[Fault Clearance time]]-WTG_BD[[#This Row],[Work Start TimeStamp]])*24</f>
        <v>1.7333333333333325</v>
      </c>
      <c r="S364" s="253">
        <f>(WTG_BD[[#This Row],[Fault Clearance time]]-WTG_BD[[#This Row],[Fault Start TimeStamp]])*24</f>
        <v>1.7333333333333325</v>
      </c>
      <c r="T364" s="135" t="s">
        <v>541</v>
      </c>
      <c r="U364" s="244" t="s">
        <v>474</v>
      </c>
      <c r="V364" s="246">
        <f>WTG_BD[[#This Row],[Breakdown Time]]*(1/39)</f>
        <v>4.4444444444444418E-2</v>
      </c>
      <c r="W364" s="244" t="s">
        <v>128</v>
      </c>
      <c r="X364" s="250">
        <v>458.03333333333313</v>
      </c>
      <c r="Y364" s="135" t="s">
        <v>470</v>
      </c>
      <c r="Z364" s="135" t="s">
        <v>498</v>
      </c>
      <c r="AA364" s="135">
        <v>6342</v>
      </c>
      <c r="AB364" s="249">
        <f>(WTG_BD[[#This Row],[Paired WTG Generation for loss calculation.]]/24)*WTG_BD[[#This Row],[Breakdown Time]]</f>
        <v>458.03333333333313</v>
      </c>
      <c r="AC364" s="135"/>
      <c r="AD364" s="245"/>
      <c r="AE364" s="3"/>
    </row>
    <row r="365" spans="1:31">
      <c r="A365" s="241">
        <f t="shared" si="11"/>
        <v>364</v>
      </c>
      <c r="B365" s="255">
        <v>45769</v>
      </c>
      <c r="C365" s="252">
        <v>2025</v>
      </c>
      <c r="D365" s="252">
        <f>YEAR(WTG_BD[[#This Row],[Date]])</f>
        <v>2025</v>
      </c>
      <c r="E365" s="251">
        <f t="shared" si="12"/>
        <v>45748</v>
      </c>
      <c r="F365" s="252" t="s">
        <v>465</v>
      </c>
      <c r="G365" s="248" t="s">
        <v>145</v>
      </c>
      <c r="H365" s="242" t="str">
        <f>IFERROR(VLOOKUP(WTG_BD[[#This Row],[Affected WTG]],'Basic Data'!$A$3:$E$56,2,0),"")</f>
        <v>PWEGPL</v>
      </c>
      <c r="I365" s="242" t="str">
        <f>IFERROR(VLOOKUP(WTG_BD[[#This Row],[Affected WTG]],'Basic Data'!$A$3:$E$56,3,0),"")</f>
        <v>MSEDCL</v>
      </c>
      <c r="J365" s="243">
        <f>IFERROR(VLOOKUP(WTG_BD[[#This Row],[Affected WTG]],'Basic Data'!$A$3:$E$56,5,0),"")</f>
        <v>2.564102564102564E-2</v>
      </c>
      <c r="K365" s="158" t="s">
        <v>523</v>
      </c>
      <c r="L365" s="247" t="str">
        <f>VLOOKUP(K365,'Basic Data'!T:U,2,0)</f>
        <v>Manual Stop</v>
      </c>
      <c r="M365" s="135" t="s">
        <v>496</v>
      </c>
      <c r="N365" s="256">
        <v>0.46250000000000002</v>
      </c>
      <c r="O365" s="256">
        <v>0.46250000000000002</v>
      </c>
      <c r="P365" s="256">
        <v>0.67638888888888893</v>
      </c>
      <c r="Q365" s="253">
        <f>IF(WTG_BD[[#This Row],[Work Start TimeStamp]]="","",(WTG_BD[[#This Row],[Work Start TimeStamp]]-WTG_BD[[#This Row],[Fault Start TimeStamp]])*24)</f>
        <v>0</v>
      </c>
      <c r="R365" s="253">
        <f>(WTG_BD[[#This Row],[Fault Clearance time]]-WTG_BD[[#This Row],[Work Start TimeStamp]])*24</f>
        <v>5.1333333333333337</v>
      </c>
      <c r="S365" s="253">
        <f>(WTG_BD[[#This Row],[Fault Clearance time]]-WTG_BD[[#This Row],[Fault Start TimeStamp]])*24</f>
        <v>5.1333333333333337</v>
      </c>
      <c r="T365" s="135" t="s">
        <v>542</v>
      </c>
      <c r="U365" s="244" t="s">
        <v>474</v>
      </c>
      <c r="V365" s="246">
        <f>WTG_BD[[#This Row],[Breakdown Time]]*(1/39)</f>
        <v>0.13162393162393163</v>
      </c>
      <c r="W365" s="244" t="s">
        <v>139</v>
      </c>
      <c r="X365" s="250">
        <v>1379.5833333333335</v>
      </c>
      <c r="Y365" s="135" t="s">
        <v>470</v>
      </c>
      <c r="Z365" s="135" t="s">
        <v>498</v>
      </c>
      <c r="AA365" s="135">
        <v>6450</v>
      </c>
      <c r="AB365" s="249">
        <f>(WTG_BD[[#This Row],[Paired WTG Generation for loss calculation.]]/24)*WTG_BD[[#This Row],[Breakdown Time]]</f>
        <v>1379.5833333333335</v>
      </c>
      <c r="AC365" s="135"/>
      <c r="AD365" s="245"/>
      <c r="AE365" s="3"/>
    </row>
    <row r="366" spans="1:31">
      <c r="A366" s="241">
        <f t="shared" si="11"/>
        <v>365</v>
      </c>
      <c r="B366" s="255">
        <v>45769</v>
      </c>
      <c r="C366" s="252">
        <v>2025</v>
      </c>
      <c r="D366" s="252">
        <f>YEAR(WTG_BD[[#This Row],[Date]])</f>
        <v>2025</v>
      </c>
      <c r="E366" s="251">
        <f t="shared" si="12"/>
        <v>45748</v>
      </c>
      <c r="F366" s="252" t="s">
        <v>465</v>
      </c>
      <c r="G366" s="248" t="s">
        <v>146</v>
      </c>
      <c r="H366" s="242" t="str">
        <f>IFERROR(VLOOKUP(WTG_BD[[#This Row],[Affected WTG]],'Basic Data'!$A$3:$E$56,2,0),"")</f>
        <v>PWEGPL</v>
      </c>
      <c r="I366" s="242" t="str">
        <f>IFERROR(VLOOKUP(WTG_BD[[#This Row],[Affected WTG]],'Basic Data'!$A$3:$E$56,3,0),"")</f>
        <v>MSEDCL</v>
      </c>
      <c r="J366" s="243">
        <f>IFERROR(VLOOKUP(WTG_BD[[#This Row],[Affected WTG]],'Basic Data'!$A$3:$E$56,5,0),"")</f>
        <v>2.564102564102564E-2</v>
      </c>
      <c r="K366" s="158">
        <v>2118</v>
      </c>
      <c r="L366" s="247" t="str">
        <f>VLOOKUP(K366,'Basic Data'!T:U,2,0)</f>
        <v>Bus Error - Interbus Failure</v>
      </c>
      <c r="M366" s="135" t="s">
        <v>472</v>
      </c>
      <c r="N366" s="256">
        <v>0.71527777777777779</v>
      </c>
      <c r="O366" s="256">
        <v>0.73958333333333337</v>
      </c>
      <c r="P366" s="256">
        <v>0.74305555555555558</v>
      </c>
      <c r="Q366" s="253">
        <f>IF(WTG_BD[[#This Row],[Work Start TimeStamp]]="","",(WTG_BD[[#This Row],[Work Start TimeStamp]]-WTG_BD[[#This Row],[Fault Start TimeStamp]])*24)</f>
        <v>0.58333333333333393</v>
      </c>
      <c r="R366" s="253">
        <f>(WTG_BD[[#This Row],[Fault Clearance time]]-WTG_BD[[#This Row],[Work Start TimeStamp]])*24</f>
        <v>8.3333333333333037E-2</v>
      </c>
      <c r="S366" s="253">
        <f>(WTG_BD[[#This Row],[Fault Clearance time]]-WTG_BD[[#This Row],[Fault Start TimeStamp]])*24</f>
        <v>0.66666666666666696</v>
      </c>
      <c r="T366" s="135" t="s">
        <v>482</v>
      </c>
      <c r="U366" s="244" t="s">
        <v>474</v>
      </c>
      <c r="V366" s="246">
        <f>WTG_BD[[#This Row],[Breakdown Time]]*(1/39)</f>
        <v>1.7094017094017103E-2</v>
      </c>
      <c r="W366" s="244" t="s">
        <v>147</v>
      </c>
      <c r="X366" s="250">
        <v>180.19444444444454</v>
      </c>
      <c r="Y366" s="135" t="s">
        <v>470</v>
      </c>
      <c r="Z366" s="135" t="s">
        <v>475</v>
      </c>
      <c r="AA366" s="135">
        <v>6487</v>
      </c>
      <c r="AB366" s="249">
        <f>(WTG_BD[[#This Row],[Paired WTG Generation for loss calculation.]]/24)*WTG_BD[[#This Row],[Breakdown Time]]</f>
        <v>180.19444444444454</v>
      </c>
      <c r="AC366" s="135"/>
      <c r="AD366" s="245"/>
      <c r="AE366" s="3"/>
    </row>
    <row r="367" spans="1:31">
      <c r="A367" s="241">
        <f t="shared" si="11"/>
        <v>366</v>
      </c>
      <c r="B367" s="255">
        <v>45770</v>
      </c>
      <c r="C367" s="252">
        <v>2025</v>
      </c>
      <c r="D367" s="252">
        <f>YEAR(WTG_BD[[#This Row],[Date]])</f>
        <v>2025</v>
      </c>
      <c r="E367" s="251">
        <f t="shared" si="12"/>
        <v>45748</v>
      </c>
      <c r="F367" s="252" t="s">
        <v>465</v>
      </c>
      <c r="G367" s="248" t="s">
        <v>144</v>
      </c>
      <c r="H367" s="242" t="str">
        <f>IFERROR(VLOOKUP(WTG_BD[[#This Row],[Affected WTG]],'Basic Data'!$A$3:$E$56,2,0),"")</f>
        <v>PWEGPL</v>
      </c>
      <c r="I367" s="242" t="str">
        <f>IFERROR(VLOOKUP(WTG_BD[[#This Row],[Affected WTG]],'Basic Data'!$A$3:$E$56,3,0),"")</f>
        <v>MSEDCL</v>
      </c>
      <c r="J367" s="243">
        <f>IFERROR(VLOOKUP(WTG_BD[[#This Row],[Affected WTG]],'Basic Data'!$A$3:$E$56,5,0),"")</f>
        <v>2.564102564102564E-2</v>
      </c>
      <c r="K367" s="158" t="s">
        <v>466</v>
      </c>
      <c r="L367" s="247" t="str">
        <f>VLOOKUP(K367,'Basic Data'!T:U,2,0)</f>
        <v>Manual Stop - Safety Related</v>
      </c>
      <c r="M367" s="135" t="s">
        <v>467</v>
      </c>
      <c r="N367" s="256">
        <v>0</v>
      </c>
      <c r="O367" s="256">
        <v>0.99930555555555556</v>
      </c>
      <c r="P367" s="256">
        <v>0.99930555555555556</v>
      </c>
      <c r="Q367" s="253">
        <f>IF(WTG_BD[[#This Row],[Work Start TimeStamp]]="","",(WTG_BD[[#This Row],[Work Start TimeStamp]]-WTG_BD[[#This Row],[Fault Start TimeStamp]])*24)</f>
        <v>23.983333333333334</v>
      </c>
      <c r="R367" s="253">
        <f>(WTG_BD[[#This Row],[Fault Clearance time]]-WTG_BD[[#This Row],[Work Start TimeStamp]])*24</f>
        <v>0</v>
      </c>
      <c r="S367" s="253">
        <f>(WTG_BD[[#This Row],[Fault Clearance time]]-WTG_BD[[#This Row],[Fault Start TimeStamp]])*24</f>
        <v>23.983333333333334</v>
      </c>
      <c r="T367" s="135" t="s">
        <v>468</v>
      </c>
      <c r="U367" s="244" t="s">
        <v>469</v>
      </c>
      <c r="V367" s="246">
        <f>WTG_BD[[#This Row],[Breakdown Time]]*(1/39)</f>
        <v>0.61495726495726499</v>
      </c>
      <c r="W367" s="244" t="s">
        <v>141</v>
      </c>
      <c r="X367" s="250">
        <v>3175.7930555555554</v>
      </c>
      <c r="Y367" s="135" t="s">
        <v>470</v>
      </c>
      <c r="Z367" s="135" t="s">
        <v>471</v>
      </c>
      <c r="AA367" s="135">
        <v>3178</v>
      </c>
      <c r="AB367" s="249">
        <f>(WTG_BD[[#This Row],[Paired WTG Generation for loss calculation.]]/24)*WTG_BD[[#This Row],[Breakdown Time]]</f>
        <v>3175.7930555555554</v>
      </c>
      <c r="AC367" s="135"/>
      <c r="AD367" s="245"/>
      <c r="AE367" s="3"/>
    </row>
    <row r="368" spans="1:31">
      <c r="A368" s="241">
        <f t="shared" si="11"/>
        <v>367</v>
      </c>
      <c r="B368" s="255">
        <v>45770</v>
      </c>
      <c r="C368" s="252">
        <v>2025</v>
      </c>
      <c r="D368" s="252">
        <f>YEAR(WTG_BD[[#This Row],[Date]])</f>
        <v>2025</v>
      </c>
      <c r="E368" s="251">
        <f t="shared" si="12"/>
        <v>45748</v>
      </c>
      <c r="F368" s="252" t="s">
        <v>465</v>
      </c>
      <c r="G368" s="248" t="s">
        <v>142</v>
      </c>
      <c r="H368" s="242" t="str">
        <f>IFERROR(VLOOKUP(WTG_BD[[#This Row],[Affected WTG]],'Basic Data'!$A$3:$E$56,2,0),"")</f>
        <v>PWEGPL</v>
      </c>
      <c r="I368" s="242" t="str">
        <f>IFERROR(VLOOKUP(WTG_BD[[#This Row],[Affected WTG]],'Basic Data'!$A$3:$E$56,3,0),"")</f>
        <v>MSEDCL</v>
      </c>
      <c r="J368" s="243">
        <f>IFERROR(VLOOKUP(WTG_BD[[#This Row],[Affected WTG]],'Basic Data'!$A$3:$E$56,5,0),"")</f>
        <v>2.564102564102564E-2</v>
      </c>
      <c r="K368" s="158" t="s">
        <v>466</v>
      </c>
      <c r="L368" s="247" t="str">
        <f>VLOOKUP(K368,'Basic Data'!T:U,2,0)</f>
        <v>Manual Stop - Safety Related</v>
      </c>
      <c r="M368" s="135" t="s">
        <v>467</v>
      </c>
      <c r="N368" s="256">
        <v>0</v>
      </c>
      <c r="O368" s="256">
        <v>0.99930555555555556</v>
      </c>
      <c r="P368" s="256">
        <v>0.99930555555555556</v>
      </c>
      <c r="Q368" s="253">
        <f>IF(WTG_BD[[#This Row],[Work Start TimeStamp]]="","",(WTG_BD[[#This Row],[Work Start TimeStamp]]-WTG_BD[[#This Row],[Fault Start TimeStamp]])*24)</f>
        <v>23.983333333333334</v>
      </c>
      <c r="R368" s="253">
        <f>(WTG_BD[[#This Row],[Fault Clearance time]]-WTG_BD[[#This Row],[Work Start TimeStamp]])*24</f>
        <v>0</v>
      </c>
      <c r="S368" s="253">
        <f>(WTG_BD[[#This Row],[Fault Clearance time]]-WTG_BD[[#This Row],[Fault Start TimeStamp]])*24</f>
        <v>23.983333333333334</v>
      </c>
      <c r="T368" s="135" t="s">
        <v>468</v>
      </c>
      <c r="U368" s="244" t="s">
        <v>469</v>
      </c>
      <c r="V368" s="246">
        <f>WTG_BD[[#This Row],[Breakdown Time]]*(1/39)</f>
        <v>0.61495726495726499</v>
      </c>
      <c r="W368" s="244" t="s">
        <v>141</v>
      </c>
      <c r="X368" s="250">
        <v>3175.7930555555554</v>
      </c>
      <c r="Y368" s="135" t="s">
        <v>470</v>
      </c>
      <c r="Z368" s="135" t="s">
        <v>471</v>
      </c>
      <c r="AA368" s="135">
        <v>3178</v>
      </c>
      <c r="AB368" s="249">
        <f>(WTG_BD[[#This Row],[Paired WTG Generation for loss calculation.]]/24)*WTG_BD[[#This Row],[Breakdown Time]]</f>
        <v>3175.7930555555554</v>
      </c>
      <c r="AC368" s="135"/>
      <c r="AD368" s="245"/>
      <c r="AE368" s="3"/>
    </row>
    <row r="369" spans="1:31">
      <c r="A369" s="241">
        <f t="shared" si="11"/>
        <v>368</v>
      </c>
      <c r="B369" s="255">
        <v>45770</v>
      </c>
      <c r="C369" s="252">
        <v>2025</v>
      </c>
      <c r="D369" s="252">
        <f>YEAR(WTG_BD[[#This Row],[Date]])</f>
        <v>2025</v>
      </c>
      <c r="E369" s="251">
        <f t="shared" si="12"/>
        <v>45748</v>
      </c>
      <c r="F369" s="252" t="s">
        <v>465</v>
      </c>
      <c r="G369" s="248" t="s">
        <v>133</v>
      </c>
      <c r="H369" s="242" t="str">
        <f>IFERROR(VLOOKUP(WTG_BD[[#This Row],[Affected WTG]],'Basic Data'!$A$3:$E$56,2,0),"")</f>
        <v>PWEGPL</v>
      </c>
      <c r="I369" s="242" t="str">
        <f>IFERROR(VLOOKUP(WTG_BD[[#This Row],[Affected WTG]],'Basic Data'!$A$3:$E$56,3,0),"")</f>
        <v>MSEDCL</v>
      </c>
      <c r="J369" s="243">
        <f>IFERROR(VLOOKUP(WTG_BD[[#This Row],[Affected WTG]],'Basic Data'!$A$3:$E$56,5,0),"")</f>
        <v>2.564102564102564E-2</v>
      </c>
      <c r="K369" s="158">
        <v>118</v>
      </c>
      <c r="L369" s="247" t="str">
        <f>VLOOKUP(K369,'Basic Data'!T:U,2,0)</f>
        <v>Yaw Motors Error</v>
      </c>
      <c r="M369" s="135" t="s">
        <v>472</v>
      </c>
      <c r="N369" s="256">
        <v>0.76041666666666663</v>
      </c>
      <c r="O369" s="256">
        <v>0.78402777777777777</v>
      </c>
      <c r="P369" s="256">
        <v>0.78472222222222221</v>
      </c>
      <c r="Q369" s="253">
        <f>IF(WTG_BD[[#This Row],[Work Start TimeStamp]]="","",(WTG_BD[[#This Row],[Work Start TimeStamp]]-WTG_BD[[#This Row],[Fault Start TimeStamp]])*24)</f>
        <v>0.56666666666666732</v>
      </c>
      <c r="R369" s="253">
        <f>(WTG_BD[[#This Row],[Fault Clearance time]]-WTG_BD[[#This Row],[Work Start TimeStamp]])*24</f>
        <v>1.6666666666666607E-2</v>
      </c>
      <c r="S369" s="253">
        <f>(WTG_BD[[#This Row],[Fault Clearance time]]-WTG_BD[[#This Row],[Fault Start TimeStamp]])*24</f>
        <v>0.58333333333333393</v>
      </c>
      <c r="T369" s="135" t="s">
        <v>473</v>
      </c>
      <c r="U369" s="244" t="s">
        <v>474</v>
      </c>
      <c r="V369" s="246">
        <f>WTG_BD[[#This Row],[Breakdown Time]]*(1/39)</f>
        <v>1.4957264957264972E-2</v>
      </c>
      <c r="W369" s="244" t="s">
        <v>132</v>
      </c>
      <c r="X369" s="250">
        <v>96.177083333333428</v>
      </c>
      <c r="Y369" s="135" t="s">
        <v>470</v>
      </c>
      <c r="Z369" s="135" t="s">
        <v>475</v>
      </c>
      <c r="AA369" s="135">
        <v>3957</v>
      </c>
      <c r="AB369" s="249">
        <f>(WTG_BD[[#This Row],[Paired WTG Generation for loss calculation.]]/24)*WTG_BD[[#This Row],[Breakdown Time]]</f>
        <v>96.177083333333428</v>
      </c>
      <c r="AC369" s="135"/>
      <c r="AD369" s="245"/>
      <c r="AE369" s="3"/>
    </row>
    <row r="370" spans="1:31">
      <c r="A370" s="241">
        <f t="shared" si="11"/>
        <v>369</v>
      </c>
      <c r="B370" s="255">
        <v>45770</v>
      </c>
      <c r="C370" s="252">
        <v>2025</v>
      </c>
      <c r="D370" s="252">
        <f>YEAR(WTG_BD[[#This Row],[Date]])</f>
        <v>2025</v>
      </c>
      <c r="E370" s="251">
        <f t="shared" si="12"/>
        <v>45748</v>
      </c>
      <c r="F370" s="252" t="s">
        <v>465</v>
      </c>
      <c r="G370" s="248" t="s">
        <v>136</v>
      </c>
      <c r="H370" s="242" t="str">
        <f>IFERROR(VLOOKUP(WTG_BD[[#This Row],[Affected WTG]],'Basic Data'!$A$3:$E$56,2,0),"")</f>
        <v>PWEGPL</v>
      </c>
      <c r="I370" s="242" t="str">
        <f>IFERROR(VLOOKUP(WTG_BD[[#This Row],[Affected WTG]],'Basic Data'!$A$3:$E$56,3,0),"")</f>
        <v>MSEDCL</v>
      </c>
      <c r="J370" s="243">
        <f>IFERROR(VLOOKUP(WTG_BD[[#This Row],[Affected WTG]],'Basic Data'!$A$3:$E$56,5,0),"")</f>
        <v>2.564102564102564E-2</v>
      </c>
      <c r="K370" s="158">
        <v>813</v>
      </c>
      <c r="L370" s="247" t="str">
        <f>VLOOKUP(K370,'Basic Data'!T:U,2,0)</f>
        <v>Low Pressure Of Emergency Accumulators</v>
      </c>
      <c r="M370" s="135" t="s">
        <v>472</v>
      </c>
      <c r="N370" s="256">
        <v>0.75138888888888888</v>
      </c>
      <c r="O370" s="256">
        <v>0.78819444444444442</v>
      </c>
      <c r="P370" s="256">
        <v>0.78888888888888886</v>
      </c>
      <c r="Q370" s="253">
        <f>IF(WTG_BD[[#This Row],[Work Start TimeStamp]]="","",(WTG_BD[[#This Row],[Work Start TimeStamp]]-WTG_BD[[#This Row],[Fault Start TimeStamp]])*24)</f>
        <v>0.88333333333333286</v>
      </c>
      <c r="R370" s="253">
        <f>(WTG_BD[[#This Row],[Fault Clearance time]]-WTG_BD[[#This Row],[Work Start TimeStamp]])*24</f>
        <v>1.6666666666666607E-2</v>
      </c>
      <c r="S370" s="253">
        <f>(WTG_BD[[#This Row],[Fault Clearance time]]-WTG_BD[[#This Row],[Fault Start TimeStamp]])*24</f>
        <v>0.89999999999999947</v>
      </c>
      <c r="T370" s="135" t="s">
        <v>473</v>
      </c>
      <c r="U370" s="244" t="s">
        <v>474</v>
      </c>
      <c r="V370" s="246">
        <f>WTG_BD[[#This Row],[Breakdown Time]]*(1/39)</f>
        <v>2.3076923076923061E-2</v>
      </c>
      <c r="W370" s="244" t="s">
        <v>119</v>
      </c>
      <c r="X370" s="250">
        <v>118.23749999999993</v>
      </c>
      <c r="Y370" s="135" t="s">
        <v>470</v>
      </c>
      <c r="Z370" s="135" t="s">
        <v>475</v>
      </c>
      <c r="AA370" s="135">
        <v>3153</v>
      </c>
      <c r="AB370" s="249">
        <f>(WTG_BD[[#This Row],[Paired WTG Generation for loss calculation.]]/24)*WTG_BD[[#This Row],[Breakdown Time]]</f>
        <v>118.23749999999993</v>
      </c>
      <c r="AC370" s="135"/>
      <c r="AD370" s="245"/>
      <c r="AE370" s="3"/>
    </row>
    <row r="371" spans="1:31">
      <c r="A371" s="241">
        <f t="shared" si="11"/>
        <v>370</v>
      </c>
      <c r="B371" s="255">
        <v>45770</v>
      </c>
      <c r="C371" s="252">
        <v>2025</v>
      </c>
      <c r="D371" s="252">
        <f>YEAR(WTG_BD[[#This Row],[Date]])</f>
        <v>2025</v>
      </c>
      <c r="E371" s="251">
        <f t="shared" si="12"/>
        <v>45748</v>
      </c>
      <c r="F371" s="252" t="s">
        <v>465</v>
      </c>
      <c r="G371" s="248" t="s">
        <v>138</v>
      </c>
      <c r="H371" s="242" t="str">
        <f>IFERROR(VLOOKUP(WTG_BD[[#This Row],[Affected WTG]],'Basic Data'!$A$3:$E$56,2,0),"")</f>
        <v>PWEGPL</v>
      </c>
      <c r="I371" s="242" t="str">
        <f>IFERROR(VLOOKUP(WTG_BD[[#This Row],[Affected WTG]],'Basic Data'!$A$3:$E$56,3,0),"")</f>
        <v>MSEDCL</v>
      </c>
      <c r="J371" s="243">
        <f>IFERROR(VLOOKUP(WTG_BD[[#This Row],[Affected WTG]],'Basic Data'!$A$3:$E$56,5,0),"")</f>
        <v>2.564102564102564E-2</v>
      </c>
      <c r="K371" s="158" t="s">
        <v>523</v>
      </c>
      <c r="L371" s="247" t="str">
        <f>VLOOKUP(K371,'Basic Data'!T:U,2,0)</f>
        <v>Manual Stop</v>
      </c>
      <c r="M371" s="135" t="s">
        <v>496</v>
      </c>
      <c r="N371" s="256">
        <v>0.4548611111111111</v>
      </c>
      <c r="O371" s="256">
        <v>0.4548611111111111</v>
      </c>
      <c r="P371" s="256">
        <v>0.6875</v>
      </c>
      <c r="Q371" s="253">
        <f>IF(WTG_BD[[#This Row],[Work Start TimeStamp]]="","",(WTG_BD[[#This Row],[Work Start TimeStamp]]-WTG_BD[[#This Row],[Fault Start TimeStamp]])*24)</f>
        <v>0</v>
      </c>
      <c r="R371" s="253">
        <f>(WTG_BD[[#This Row],[Fault Clearance time]]-WTG_BD[[#This Row],[Work Start TimeStamp]])*24</f>
        <v>5.5833333333333339</v>
      </c>
      <c r="S371" s="253">
        <f>(WTG_BD[[#This Row],[Fault Clearance time]]-WTG_BD[[#This Row],[Fault Start TimeStamp]])*24</f>
        <v>5.5833333333333339</v>
      </c>
      <c r="T371" s="135" t="s">
        <v>542</v>
      </c>
      <c r="U371" s="244" t="s">
        <v>474</v>
      </c>
      <c r="V371" s="246">
        <f>WTG_BD[[#This Row],[Breakdown Time]]*(1/39)</f>
        <v>0.14316239316239318</v>
      </c>
      <c r="W371" s="244" t="s">
        <v>140</v>
      </c>
      <c r="X371" s="250">
        <v>734.44097222222229</v>
      </c>
      <c r="Y371" s="135" t="s">
        <v>470</v>
      </c>
      <c r="Z371" s="135" t="s">
        <v>498</v>
      </c>
      <c r="AA371" s="135">
        <v>3157</v>
      </c>
      <c r="AB371" s="249">
        <f>(WTG_BD[[#This Row],[Paired WTG Generation for loss calculation.]]/24)*WTG_BD[[#This Row],[Breakdown Time]]</f>
        <v>734.44097222222229</v>
      </c>
      <c r="AC371" s="135"/>
      <c r="AD371" s="245"/>
      <c r="AE371" s="3"/>
    </row>
    <row r="372" spans="1:31">
      <c r="A372" s="241">
        <f t="shared" si="11"/>
        <v>371</v>
      </c>
      <c r="B372" s="255">
        <v>45770</v>
      </c>
      <c r="C372" s="252">
        <v>2025</v>
      </c>
      <c r="D372" s="252">
        <f>YEAR(WTG_BD[[#This Row],[Date]])</f>
        <v>2025</v>
      </c>
      <c r="E372" s="251">
        <f t="shared" si="12"/>
        <v>45748</v>
      </c>
      <c r="F372" s="252" t="s">
        <v>465</v>
      </c>
      <c r="G372" s="248" t="s">
        <v>145</v>
      </c>
      <c r="H372" s="242" t="str">
        <f>IFERROR(VLOOKUP(WTG_BD[[#This Row],[Affected WTG]],'Basic Data'!$A$3:$E$56,2,0),"")</f>
        <v>PWEGPL</v>
      </c>
      <c r="I372" s="242" t="str">
        <f>IFERROR(VLOOKUP(WTG_BD[[#This Row],[Affected WTG]],'Basic Data'!$A$3:$E$56,3,0),"")</f>
        <v>MSEDCL</v>
      </c>
      <c r="J372" s="243">
        <f>IFERROR(VLOOKUP(WTG_BD[[#This Row],[Affected WTG]],'Basic Data'!$A$3:$E$56,5,0),"")</f>
        <v>2.564102564102564E-2</v>
      </c>
      <c r="K372" s="158">
        <v>525</v>
      </c>
      <c r="L372" s="247" t="str">
        <f>VLOOKUP(K372,'Basic Data'!T:U,2,0)</f>
        <v>High Ambient Temperature In The Converter</v>
      </c>
      <c r="M372" s="135" t="s">
        <v>472</v>
      </c>
      <c r="N372" s="256">
        <v>0.6791666666666667</v>
      </c>
      <c r="O372" s="256">
        <v>0.70902777777777781</v>
      </c>
      <c r="P372" s="256">
        <v>0.7104166666666667</v>
      </c>
      <c r="Q372" s="253">
        <f>IF(WTG_BD[[#This Row],[Work Start TimeStamp]]="","",(WTG_BD[[#This Row],[Work Start TimeStamp]]-WTG_BD[[#This Row],[Fault Start TimeStamp]])*24)</f>
        <v>0.71666666666666679</v>
      </c>
      <c r="R372" s="253">
        <f>(WTG_BD[[#This Row],[Fault Clearance time]]-WTG_BD[[#This Row],[Work Start TimeStamp]])*24</f>
        <v>3.3333333333333215E-2</v>
      </c>
      <c r="S372" s="253">
        <f>(WTG_BD[[#This Row],[Fault Clearance time]]-WTG_BD[[#This Row],[Fault Start TimeStamp]])*24</f>
        <v>0.75</v>
      </c>
      <c r="T372" s="135" t="s">
        <v>482</v>
      </c>
      <c r="U372" s="244" t="s">
        <v>474</v>
      </c>
      <c r="V372" s="246">
        <f>WTG_BD[[#This Row],[Breakdown Time]]*(1/39)</f>
        <v>1.9230769230769232E-2</v>
      </c>
      <c r="W372" s="244" t="s">
        <v>139</v>
      </c>
      <c r="X372" s="250">
        <v>96.9375</v>
      </c>
      <c r="Y372" s="135" t="s">
        <v>470</v>
      </c>
      <c r="Z372" s="135" t="s">
        <v>475</v>
      </c>
      <c r="AA372" s="135">
        <v>3102</v>
      </c>
      <c r="AB372" s="249">
        <f>(WTG_BD[[#This Row],[Paired WTG Generation for loss calculation.]]/24)*WTG_BD[[#This Row],[Breakdown Time]]</f>
        <v>96.9375</v>
      </c>
      <c r="AC372" s="135"/>
      <c r="AD372" s="245"/>
      <c r="AE372" s="3"/>
    </row>
    <row r="373" spans="1:31">
      <c r="A373" s="241">
        <f t="shared" si="11"/>
        <v>372</v>
      </c>
      <c r="B373" s="255">
        <v>45771</v>
      </c>
      <c r="C373" s="252">
        <v>2025</v>
      </c>
      <c r="D373" s="252">
        <f>YEAR(WTG_BD[[#This Row],[Date]])</f>
        <v>2025</v>
      </c>
      <c r="E373" s="251">
        <f t="shared" si="12"/>
        <v>45748</v>
      </c>
      <c r="F373" s="252" t="s">
        <v>465</v>
      </c>
      <c r="G373" s="248" t="s">
        <v>144</v>
      </c>
      <c r="H373" s="242" t="str">
        <f>IFERROR(VLOOKUP(WTG_BD[[#This Row],[Affected WTG]],'Basic Data'!$A$3:$E$56,2,0),"")</f>
        <v>PWEGPL</v>
      </c>
      <c r="I373" s="242" t="str">
        <f>IFERROR(VLOOKUP(WTG_BD[[#This Row],[Affected WTG]],'Basic Data'!$A$3:$E$56,3,0),"")</f>
        <v>MSEDCL</v>
      </c>
      <c r="J373" s="243">
        <f>IFERROR(VLOOKUP(WTG_BD[[#This Row],[Affected WTG]],'Basic Data'!$A$3:$E$56,5,0),"")</f>
        <v>2.564102564102564E-2</v>
      </c>
      <c r="K373" s="158" t="s">
        <v>466</v>
      </c>
      <c r="L373" s="247" t="str">
        <f>VLOOKUP(K373,'Basic Data'!T:U,2,0)</f>
        <v>Manual Stop - Safety Related</v>
      </c>
      <c r="M373" s="135" t="s">
        <v>467</v>
      </c>
      <c r="N373" s="256">
        <v>0</v>
      </c>
      <c r="O373" s="256">
        <v>0.99930555555555556</v>
      </c>
      <c r="P373" s="256">
        <v>0.99930555555555556</v>
      </c>
      <c r="Q373" s="253">
        <f>IF(WTG_BD[[#This Row],[Work Start TimeStamp]]="","",(WTG_BD[[#This Row],[Work Start TimeStamp]]-WTG_BD[[#This Row],[Fault Start TimeStamp]])*24)</f>
        <v>23.983333333333334</v>
      </c>
      <c r="R373" s="253">
        <f>(WTG_BD[[#This Row],[Fault Clearance time]]-WTG_BD[[#This Row],[Work Start TimeStamp]])*24</f>
        <v>0</v>
      </c>
      <c r="S373" s="253">
        <f>(WTG_BD[[#This Row],[Fault Clearance time]]-WTG_BD[[#This Row],[Fault Start TimeStamp]])*24</f>
        <v>23.983333333333334</v>
      </c>
      <c r="T373" s="135" t="s">
        <v>468</v>
      </c>
      <c r="U373" s="244" t="s">
        <v>469</v>
      </c>
      <c r="V373" s="246">
        <f>WTG_BD[[#This Row],[Breakdown Time]]*(1/39)</f>
        <v>0.61495726495726499</v>
      </c>
      <c r="W373" s="244" t="s">
        <v>141</v>
      </c>
      <c r="X373" s="250">
        <v>5480.1916666666666</v>
      </c>
      <c r="Y373" s="135" t="s">
        <v>470</v>
      </c>
      <c r="Z373" s="135" t="s">
        <v>471</v>
      </c>
      <c r="AA373" s="135">
        <v>5484</v>
      </c>
      <c r="AB373" s="249">
        <f>(WTG_BD[[#This Row],[Paired WTG Generation for loss calculation.]]/24)*WTG_BD[[#This Row],[Breakdown Time]]</f>
        <v>5480.1916666666666</v>
      </c>
      <c r="AC373" s="135"/>
      <c r="AD373" s="245"/>
      <c r="AE373" s="3"/>
    </row>
    <row r="374" spans="1:31">
      <c r="A374" s="241">
        <f t="shared" si="11"/>
        <v>373</v>
      </c>
      <c r="B374" s="255">
        <v>45771</v>
      </c>
      <c r="C374" s="252">
        <v>2025</v>
      </c>
      <c r="D374" s="252">
        <f>YEAR(WTG_BD[[#This Row],[Date]])</f>
        <v>2025</v>
      </c>
      <c r="E374" s="251">
        <f t="shared" si="12"/>
        <v>45748</v>
      </c>
      <c r="F374" s="252" t="s">
        <v>465</v>
      </c>
      <c r="G374" s="248" t="s">
        <v>142</v>
      </c>
      <c r="H374" s="242" t="str">
        <f>IFERROR(VLOOKUP(WTG_BD[[#This Row],[Affected WTG]],'Basic Data'!$A$3:$E$56,2,0),"")</f>
        <v>PWEGPL</v>
      </c>
      <c r="I374" s="242" t="str">
        <f>IFERROR(VLOOKUP(WTG_BD[[#This Row],[Affected WTG]],'Basic Data'!$A$3:$E$56,3,0),"")</f>
        <v>MSEDCL</v>
      </c>
      <c r="J374" s="243">
        <f>IFERROR(VLOOKUP(WTG_BD[[#This Row],[Affected WTG]],'Basic Data'!$A$3:$E$56,5,0),"")</f>
        <v>2.564102564102564E-2</v>
      </c>
      <c r="K374" s="158" t="s">
        <v>466</v>
      </c>
      <c r="L374" s="247" t="str">
        <f>VLOOKUP(K374,'Basic Data'!T:U,2,0)</f>
        <v>Manual Stop - Safety Related</v>
      </c>
      <c r="M374" s="135" t="s">
        <v>467</v>
      </c>
      <c r="N374" s="256">
        <v>0</v>
      </c>
      <c r="O374" s="256">
        <v>0.99930555555555556</v>
      </c>
      <c r="P374" s="256">
        <v>0.99930555555555556</v>
      </c>
      <c r="Q374" s="253">
        <f>IF(WTG_BD[[#This Row],[Work Start TimeStamp]]="","",(WTG_BD[[#This Row],[Work Start TimeStamp]]-WTG_BD[[#This Row],[Fault Start TimeStamp]])*24)</f>
        <v>23.983333333333334</v>
      </c>
      <c r="R374" s="253">
        <f>(WTG_BD[[#This Row],[Fault Clearance time]]-WTG_BD[[#This Row],[Work Start TimeStamp]])*24</f>
        <v>0</v>
      </c>
      <c r="S374" s="253">
        <f>(WTG_BD[[#This Row],[Fault Clearance time]]-WTG_BD[[#This Row],[Fault Start TimeStamp]])*24</f>
        <v>23.983333333333334</v>
      </c>
      <c r="T374" s="135" t="s">
        <v>468</v>
      </c>
      <c r="U374" s="244" t="s">
        <v>469</v>
      </c>
      <c r="V374" s="246">
        <f>WTG_BD[[#This Row],[Breakdown Time]]*(1/39)</f>
        <v>0.61495726495726499</v>
      </c>
      <c r="W374" s="244" t="s">
        <v>141</v>
      </c>
      <c r="X374" s="250">
        <v>5480.1916666666666</v>
      </c>
      <c r="Y374" s="135" t="s">
        <v>470</v>
      </c>
      <c r="Z374" s="135" t="s">
        <v>471</v>
      </c>
      <c r="AA374" s="135">
        <v>5484</v>
      </c>
      <c r="AB374" s="249">
        <f>(WTG_BD[[#This Row],[Paired WTG Generation for loss calculation.]]/24)*WTG_BD[[#This Row],[Breakdown Time]]</f>
        <v>5480.1916666666666</v>
      </c>
      <c r="AC374" s="135"/>
      <c r="AD374" s="245"/>
      <c r="AE374" s="3"/>
    </row>
    <row r="375" spans="1:31">
      <c r="A375" s="241">
        <f t="shared" si="11"/>
        <v>374</v>
      </c>
      <c r="B375" s="255">
        <v>45771</v>
      </c>
      <c r="C375" s="252">
        <v>2025</v>
      </c>
      <c r="D375" s="252">
        <f>YEAR(WTG_BD[[#This Row],[Date]])</f>
        <v>2025</v>
      </c>
      <c r="E375" s="251">
        <f t="shared" si="12"/>
        <v>45748</v>
      </c>
      <c r="F375" s="252" t="s">
        <v>465</v>
      </c>
      <c r="G375" s="248" t="s">
        <v>115</v>
      </c>
      <c r="H375" s="242" t="str">
        <f>IFERROR(VLOOKUP(WTG_BD[[#This Row],[Affected WTG]],'Basic Data'!$A$3:$E$56,2,0),"")</f>
        <v>PWEGPL</v>
      </c>
      <c r="I375" s="242" t="str">
        <f>IFERROR(VLOOKUP(WTG_BD[[#This Row],[Affected WTG]],'Basic Data'!$A$3:$E$56,3,0),"")</f>
        <v>MSEDCL</v>
      </c>
      <c r="J375" s="243">
        <f>IFERROR(VLOOKUP(WTG_BD[[#This Row],[Affected WTG]],'Basic Data'!$A$3:$E$56,5,0),"")</f>
        <v>2.564102564102564E-2</v>
      </c>
      <c r="K375" s="158">
        <v>2118</v>
      </c>
      <c r="L375" s="247" t="str">
        <f>VLOOKUP(K375,'Basic Data'!T:U,2,0)</f>
        <v>Bus Error - Interbus Failure</v>
      </c>
      <c r="M375" s="135" t="s">
        <v>472</v>
      </c>
      <c r="N375" s="256">
        <v>0.72430555555555554</v>
      </c>
      <c r="O375" s="256">
        <v>0.76736111111111116</v>
      </c>
      <c r="P375" s="256">
        <v>0.76875000000000004</v>
      </c>
      <c r="Q375" s="253">
        <f>IF(WTG_BD[[#This Row],[Work Start TimeStamp]]="","",(WTG_BD[[#This Row],[Work Start TimeStamp]]-WTG_BD[[#This Row],[Fault Start TimeStamp]])*24)</f>
        <v>1.033333333333335</v>
      </c>
      <c r="R375" s="253">
        <f>(WTG_BD[[#This Row],[Fault Clearance time]]-WTG_BD[[#This Row],[Work Start TimeStamp]])*24</f>
        <v>3.3333333333333215E-2</v>
      </c>
      <c r="S375" s="253">
        <f>(WTG_BD[[#This Row],[Fault Clearance time]]-WTG_BD[[#This Row],[Fault Start TimeStamp]])*24</f>
        <v>1.0666666666666682</v>
      </c>
      <c r="T375" s="135" t="s">
        <v>482</v>
      </c>
      <c r="U375" s="244" t="s">
        <v>474</v>
      </c>
      <c r="V375" s="246">
        <f>WTG_BD[[#This Row],[Breakdown Time]]*(1/39)</f>
        <v>2.7350427350427389E-2</v>
      </c>
      <c r="W375" s="244" t="s">
        <v>121</v>
      </c>
      <c r="X375" s="250">
        <v>234.08888888888924</v>
      </c>
      <c r="Y375" s="135" t="s">
        <v>470</v>
      </c>
      <c r="Z375" s="135" t="s">
        <v>475</v>
      </c>
      <c r="AA375" s="135">
        <v>5267</v>
      </c>
      <c r="AB375" s="249">
        <f>(WTG_BD[[#This Row],[Paired WTG Generation for loss calculation.]]/24)*WTG_BD[[#This Row],[Breakdown Time]]</f>
        <v>234.08888888888924</v>
      </c>
      <c r="AC375" s="135"/>
      <c r="AD375" s="245"/>
      <c r="AE375" s="3"/>
    </row>
    <row r="376" spans="1:31">
      <c r="A376" s="241">
        <f t="shared" si="11"/>
        <v>375</v>
      </c>
      <c r="B376" s="255">
        <v>45771</v>
      </c>
      <c r="C376" s="252">
        <v>2025</v>
      </c>
      <c r="D376" s="252">
        <f>YEAR(WTG_BD[[#This Row],[Date]])</f>
        <v>2025</v>
      </c>
      <c r="E376" s="251">
        <f t="shared" si="12"/>
        <v>45748</v>
      </c>
      <c r="F376" s="252" t="s">
        <v>465</v>
      </c>
      <c r="G376" s="248" t="s">
        <v>136</v>
      </c>
      <c r="H376" s="242" t="str">
        <f>IFERROR(VLOOKUP(WTG_BD[[#This Row],[Affected WTG]],'Basic Data'!$A$3:$E$56,2,0),"")</f>
        <v>PWEGPL</v>
      </c>
      <c r="I376" s="242" t="str">
        <f>IFERROR(VLOOKUP(WTG_BD[[#This Row],[Affected WTG]],'Basic Data'!$A$3:$E$56,3,0),"")</f>
        <v>MSEDCL</v>
      </c>
      <c r="J376" s="243">
        <f>IFERROR(VLOOKUP(WTG_BD[[#This Row],[Affected WTG]],'Basic Data'!$A$3:$E$56,5,0),"")</f>
        <v>2.564102564102564E-2</v>
      </c>
      <c r="K376" s="158">
        <v>813</v>
      </c>
      <c r="L376" s="247" t="str">
        <f>VLOOKUP(K376,'Basic Data'!T:U,2,0)</f>
        <v>Low Pressure Of Emergency Accumulators</v>
      </c>
      <c r="M376" s="135" t="s">
        <v>472</v>
      </c>
      <c r="N376" s="256">
        <v>0.7416666666666667</v>
      </c>
      <c r="O376" s="256">
        <v>0.76597222222222228</v>
      </c>
      <c r="P376" s="256">
        <v>0.76736111111111116</v>
      </c>
      <c r="Q376" s="253">
        <f>IF(WTG_BD[[#This Row],[Work Start TimeStamp]]="","",(WTG_BD[[#This Row],[Work Start TimeStamp]]-WTG_BD[[#This Row],[Fault Start TimeStamp]])*24)</f>
        <v>0.58333333333333393</v>
      </c>
      <c r="R376" s="253">
        <f>(WTG_BD[[#This Row],[Fault Clearance time]]-WTG_BD[[#This Row],[Work Start TimeStamp]])*24</f>
        <v>3.3333333333333215E-2</v>
      </c>
      <c r="S376" s="253">
        <f>(WTG_BD[[#This Row],[Fault Clearance time]]-WTG_BD[[#This Row],[Fault Start TimeStamp]])*24</f>
        <v>0.61666666666666714</v>
      </c>
      <c r="T376" s="135" t="s">
        <v>473</v>
      </c>
      <c r="U376" s="244" t="s">
        <v>474</v>
      </c>
      <c r="V376" s="246">
        <f>WTG_BD[[#This Row],[Breakdown Time]]*(1/39)</f>
        <v>1.5811965811965825E-2</v>
      </c>
      <c r="W376" s="244" t="s">
        <v>119</v>
      </c>
      <c r="X376" s="250">
        <v>139.34097222222235</v>
      </c>
      <c r="Y376" s="135" t="s">
        <v>470</v>
      </c>
      <c r="Z376" s="135" t="s">
        <v>475</v>
      </c>
      <c r="AA376" s="135">
        <v>5423</v>
      </c>
      <c r="AB376" s="249">
        <f>(WTG_BD[[#This Row],[Paired WTG Generation for loss calculation.]]/24)*WTG_BD[[#This Row],[Breakdown Time]]</f>
        <v>139.34097222222235</v>
      </c>
      <c r="AC376" s="135"/>
      <c r="AD376" s="245"/>
      <c r="AE376" s="3"/>
    </row>
    <row r="377" spans="1:31">
      <c r="A377" s="241">
        <f t="shared" si="11"/>
        <v>376</v>
      </c>
      <c r="B377" s="255">
        <v>45771</v>
      </c>
      <c r="C377" s="252">
        <v>2025</v>
      </c>
      <c r="D377" s="252">
        <f>YEAR(WTG_BD[[#This Row],[Date]])</f>
        <v>2025</v>
      </c>
      <c r="E377" s="251">
        <f t="shared" si="12"/>
        <v>45748</v>
      </c>
      <c r="F377" s="252" t="s">
        <v>465</v>
      </c>
      <c r="G377" s="248" t="s">
        <v>139</v>
      </c>
      <c r="H377" s="242" t="str">
        <f>IFERROR(VLOOKUP(WTG_BD[[#This Row],[Affected WTG]],'Basic Data'!$A$3:$E$56,2,0),"")</f>
        <v>PWEGPL</v>
      </c>
      <c r="I377" s="242" t="str">
        <f>IFERROR(VLOOKUP(WTG_BD[[#This Row],[Affected WTG]],'Basic Data'!$A$3:$E$56,3,0),"")</f>
        <v>MSEDCL</v>
      </c>
      <c r="J377" s="243">
        <f>IFERROR(VLOOKUP(WTG_BD[[#This Row],[Affected WTG]],'Basic Data'!$A$3:$E$56,5,0),"")</f>
        <v>2.564102564102564E-2</v>
      </c>
      <c r="K377" s="158" t="s">
        <v>523</v>
      </c>
      <c r="L377" s="247" t="str">
        <f>VLOOKUP(K377,'Basic Data'!T:U,2,0)</f>
        <v>Manual Stop</v>
      </c>
      <c r="M377" s="135" t="s">
        <v>496</v>
      </c>
      <c r="N377" s="254">
        <v>0.49305555555555558</v>
      </c>
      <c r="O377" s="254">
        <v>0.49305555555555558</v>
      </c>
      <c r="P377" s="254">
        <v>0.6791666666666667</v>
      </c>
      <c r="Q377" s="253">
        <f>IF(WTG_BD[[#This Row],[Work Start TimeStamp]]="","",(WTG_BD[[#This Row],[Work Start TimeStamp]]-WTG_BD[[#This Row],[Fault Start TimeStamp]])*24)</f>
        <v>0</v>
      </c>
      <c r="R377" s="253">
        <f>(WTG_BD[[#This Row],[Fault Clearance time]]-WTG_BD[[#This Row],[Work Start TimeStamp]])*24</f>
        <v>4.4666666666666668</v>
      </c>
      <c r="S377" s="253">
        <f>(WTG_BD[[#This Row],[Fault Clearance time]]-WTG_BD[[#This Row],[Fault Start TimeStamp]])*24</f>
        <v>4.4666666666666668</v>
      </c>
      <c r="T377" s="135" t="s">
        <v>542</v>
      </c>
      <c r="U377" s="244" t="s">
        <v>474</v>
      </c>
      <c r="V377" s="246">
        <f>WTG_BD[[#This Row],[Breakdown Time]]*(1/39)</f>
        <v>0.11452991452991453</v>
      </c>
      <c r="W377" s="244" t="s">
        <v>145</v>
      </c>
      <c r="X377" s="250">
        <v>1332.1833333333334</v>
      </c>
      <c r="Y377" s="135" t="s">
        <v>470</v>
      </c>
      <c r="Z377" s="135" t="s">
        <v>498</v>
      </c>
      <c r="AA377" s="135">
        <v>7158</v>
      </c>
      <c r="AB377" s="249">
        <f>(WTG_BD[[#This Row],[Paired WTG Generation for loss calculation.]]/24)*WTG_BD[[#This Row],[Breakdown Time]]</f>
        <v>1332.1833333333334</v>
      </c>
      <c r="AC377" s="135"/>
      <c r="AD377" s="245"/>
      <c r="AE377" s="3"/>
    </row>
    <row r="378" spans="1:31">
      <c r="A378" s="241">
        <f t="shared" si="11"/>
        <v>377</v>
      </c>
      <c r="B378" s="255">
        <v>45771</v>
      </c>
      <c r="C378" s="252">
        <v>2025</v>
      </c>
      <c r="D378" s="252">
        <f>YEAR(WTG_BD[[#This Row],[Date]])</f>
        <v>2025</v>
      </c>
      <c r="E378" s="251">
        <f t="shared" si="12"/>
        <v>45748</v>
      </c>
      <c r="F378" s="252" t="s">
        <v>465</v>
      </c>
      <c r="G378" s="248" t="s">
        <v>152</v>
      </c>
      <c r="H378" s="242" t="str">
        <f>IFERROR(VLOOKUP(WTG_BD[[#This Row],[Affected WTG]],'Basic Data'!$A$3:$E$56,2,0),"")</f>
        <v>PWEGPL</v>
      </c>
      <c r="I378" s="242" t="str">
        <f>IFERROR(VLOOKUP(WTG_BD[[#This Row],[Affected WTG]],'Basic Data'!$A$3:$E$56,3,0),"")</f>
        <v>MSEDCL</v>
      </c>
      <c r="J378" s="243">
        <f>IFERROR(VLOOKUP(WTG_BD[[#This Row],[Affected WTG]],'Basic Data'!$A$3:$E$56,5,0),"")</f>
        <v>2.564102564102564E-2</v>
      </c>
      <c r="K378" s="158" t="s">
        <v>466</v>
      </c>
      <c r="L378" s="247" t="str">
        <f>VLOOKUP(K378,'Basic Data'!T:U,2,0)</f>
        <v>Manual Stop - Safety Related</v>
      </c>
      <c r="M378" s="135" t="s">
        <v>467</v>
      </c>
      <c r="N378" s="256">
        <v>0.625</v>
      </c>
      <c r="O378" s="256">
        <v>0.625</v>
      </c>
      <c r="P378" s="256">
        <v>0.71319444444444446</v>
      </c>
      <c r="Q378" s="253">
        <f>IF(WTG_BD[[#This Row],[Work Start TimeStamp]]="","",(WTG_BD[[#This Row],[Work Start TimeStamp]]-WTG_BD[[#This Row],[Fault Start TimeStamp]])*24)</f>
        <v>0</v>
      </c>
      <c r="R378" s="253">
        <f>(WTG_BD[[#This Row],[Fault Clearance time]]-WTG_BD[[#This Row],[Work Start TimeStamp]])*24</f>
        <v>2.1166666666666671</v>
      </c>
      <c r="S378" s="253">
        <f>(WTG_BD[[#This Row],[Fault Clearance time]]-WTG_BD[[#This Row],[Fault Start TimeStamp]])*24</f>
        <v>2.1166666666666671</v>
      </c>
      <c r="T378" s="135" t="s">
        <v>503</v>
      </c>
      <c r="U378" s="244" t="s">
        <v>474</v>
      </c>
      <c r="V378" s="246">
        <f>WTG_BD[[#This Row],[Breakdown Time]]*(1/39)</f>
        <v>5.4273504273504282E-2</v>
      </c>
      <c r="W378" s="244" t="s">
        <v>151</v>
      </c>
      <c r="X378" s="250">
        <v>631.11944444444464</v>
      </c>
      <c r="Y378" s="135" t="s">
        <v>470</v>
      </c>
      <c r="Z378" s="135" t="s">
        <v>543</v>
      </c>
      <c r="AA378" s="135">
        <v>7156</v>
      </c>
      <c r="AB378" s="249">
        <f>(WTG_BD[[#This Row],[Paired WTG Generation for loss calculation.]]/24)*WTG_BD[[#This Row],[Breakdown Time]]</f>
        <v>631.11944444444464</v>
      </c>
      <c r="AC378" s="135"/>
      <c r="AD378" s="245"/>
      <c r="AE378" s="3"/>
    </row>
    <row r="379" spans="1:31">
      <c r="A379" s="241">
        <f t="shared" si="11"/>
        <v>378</v>
      </c>
      <c r="B379" s="255">
        <v>45771</v>
      </c>
      <c r="C379" s="252">
        <v>2025</v>
      </c>
      <c r="D379" s="252">
        <f>YEAR(WTG_BD[[#This Row],[Date]])</f>
        <v>2025</v>
      </c>
      <c r="E379" s="251">
        <f t="shared" si="12"/>
        <v>45748</v>
      </c>
      <c r="F379" s="252" t="s">
        <v>465</v>
      </c>
      <c r="G379" s="248" t="s">
        <v>153</v>
      </c>
      <c r="H379" s="242" t="str">
        <f>IFERROR(VLOOKUP(WTG_BD[[#This Row],[Affected WTG]],'Basic Data'!$A$3:$E$56,2,0),"")</f>
        <v>PWEGPL</v>
      </c>
      <c r="I379" s="242" t="str">
        <f>IFERROR(VLOOKUP(WTG_BD[[#This Row],[Affected WTG]],'Basic Data'!$A$3:$E$56,3,0),"")</f>
        <v>MSEDCL</v>
      </c>
      <c r="J379" s="243">
        <f>IFERROR(VLOOKUP(WTG_BD[[#This Row],[Affected WTG]],'Basic Data'!$A$3:$E$56,5,0),"")</f>
        <v>2.564102564102564E-2</v>
      </c>
      <c r="K379" s="158" t="s">
        <v>523</v>
      </c>
      <c r="L379" s="247" t="str">
        <f>VLOOKUP(K379,'Basic Data'!T:U,2,0)</f>
        <v>Manual Stop</v>
      </c>
      <c r="M379" s="135" t="s">
        <v>496</v>
      </c>
      <c r="N379" s="256">
        <v>0.4861111111111111</v>
      </c>
      <c r="O379" s="256">
        <v>0.4861111111111111</v>
      </c>
      <c r="P379" s="256">
        <v>0.68055555555555558</v>
      </c>
      <c r="Q379" s="253">
        <f>IF(WTG_BD[[#This Row],[Work Start TimeStamp]]="","",(WTG_BD[[#This Row],[Work Start TimeStamp]]-WTG_BD[[#This Row],[Fault Start TimeStamp]])*24)</f>
        <v>0</v>
      </c>
      <c r="R379" s="253">
        <f>(WTG_BD[[#This Row],[Fault Clearance time]]-WTG_BD[[#This Row],[Work Start TimeStamp]])*24</f>
        <v>4.6666666666666679</v>
      </c>
      <c r="S379" s="253">
        <f>(WTG_BD[[#This Row],[Fault Clearance time]]-WTG_BD[[#This Row],[Fault Start TimeStamp]])*24</f>
        <v>4.6666666666666679</v>
      </c>
      <c r="T379" s="135" t="s">
        <v>542</v>
      </c>
      <c r="U379" s="244" t="s">
        <v>474</v>
      </c>
      <c r="V379" s="246">
        <f>WTG_BD[[#This Row],[Breakdown Time]]*(1/39)</f>
        <v>0.11965811965811969</v>
      </c>
      <c r="W379" s="244" t="s">
        <v>151</v>
      </c>
      <c r="X379" s="250">
        <v>1391.4444444444448</v>
      </c>
      <c r="Y379" s="135" t="s">
        <v>470</v>
      </c>
      <c r="Z379" s="135" t="s">
        <v>498</v>
      </c>
      <c r="AA379" s="135">
        <v>7156</v>
      </c>
      <c r="AB379" s="249">
        <f>(WTG_BD[[#This Row],[Paired WTG Generation for loss calculation.]]/24)*WTG_BD[[#This Row],[Breakdown Time]]</f>
        <v>1391.4444444444448</v>
      </c>
      <c r="AC379" s="135"/>
      <c r="AD379" s="245"/>
      <c r="AE379" s="3"/>
    </row>
    <row r="380" spans="1:31">
      <c r="A380" s="241">
        <f t="shared" si="11"/>
        <v>379</v>
      </c>
      <c r="B380" s="255">
        <v>45772</v>
      </c>
      <c r="C380" s="252">
        <v>2025</v>
      </c>
      <c r="D380" s="252">
        <f>YEAR(WTG_BD[[#This Row],[Date]])</f>
        <v>2025</v>
      </c>
      <c r="E380" s="251">
        <f t="shared" si="12"/>
        <v>45748</v>
      </c>
      <c r="F380" s="252" t="s">
        <v>465</v>
      </c>
      <c r="G380" s="248" t="s">
        <v>144</v>
      </c>
      <c r="H380" s="242" t="str">
        <f>IFERROR(VLOOKUP(WTG_BD[[#This Row],[Affected WTG]],'Basic Data'!$A$3:$E$56,2,0),"")</f>
        <v>PWEGPL</v>
      </c>
      <c r="I380" s="242" t="str">
        <f>IFERROR(VLOOKUP(WTG_BD[[#This Row],[Affected WTG]],'Basic Data'!$A$3:$E$56,3,0),"")</f>
        <v>MSEDCL</v>
      </c>
      <c r="J380" s="243">
        <f>IFERROR(VLOOKUP(WTG_BD[[#This Row],[Affected WTG]],'Basic Data'!$A$3:$E$56,5,0),"")</f>
        <v>2.564102564102564E-2</v>
      </c>
      <c r="K380" s="158" t="s">
        <v>466</v>
      </c>
      <c r="L380" s="247" t="str">
        <f>VLOOKUP(K380,'Basic Data'!T:U,2,0)</f>
        <v>Manual Stop - Safety Related</v>
      </c>
      <c r="M380" s="135" t="s">
        <v>467</v>
      </c>
      <c r="N380" s="256">
        <v>0</v>
      </c>
      <c r="O380" s="256">
        <v>0.99930555555555556</v>
      </c>
      <c r="P380" s="256">
        <v>0.99930555555555556</v>
      </c>
      <c r="Q380" s="253">
        <f>IF(WTG_BD[[#This Row],[Work Start TimeStamp]]="","",(WTG_BD[[#This Row],[Work Start TimeStamp]]-WTG_BD[[#This Row],[Fault Start TimeStamp]])*24)</f>
        <v>23.983333333333334</v>
      </c>
      <c r="R380" s="253">
        <f>(WTG_BD[[#This Row],[Fault Clearance time]]-WTG_BD[[#This Row],[Work Start TimeStamp]])*24</f>
        <v>0</v>
      </c>
      <c r="S380" s="253">
        <f>(WTG_BD[[#This Row],[Fault Clearance time]]-WTG_BD[[#This Row],[Fault Start TimeStamp]])*24</f>
        <v>23.983333333333334</v>
      </c>
      <c r="T380" s="135" t="s">
        <v>468</v>
      </c>
      <c r="U380" s="244" t="s">
        <v>469</v>
      </c>
      <c r="V380" s="246">
        <f>WTG_BD[[#This Row],[Breakdown Time]]*(1/39)</f>
        <v>0.61495726495726499</v>
      </c>
      <c r="W380" s="244" t="s">
        <v>141</v>
      </c>
      <c r="X380" s="250">
        <v>6539.4555555555562</v>
      </c>
      <c r="Y380" s="135" t="s">
        <v>470</v>
      </c>
      <c r="Z380" s="135" t="s">
        <v>471</v>
      </c>
      <c r="AA380" s="135">
        <v>6544</v>
      </c>
      <c r="AB380" s="249">
        <f>(WTG_BD[[#This Row],[Paired WTG Generation for loss calculation.]]/24)*WTG_BD[[#This Row],[Breakdown Time]]</f>
        <v>6539.4555555555562</v>
      </c>
      <c r="AC380" s="135"/>
      <c r="AD380" s="245"/>
      <c r="AE380" s="3"/>
    </row>
    <row r="381" spans="1:31">
      <c r="A381" s="241">
        <f t="shared" si="11"/>
        <v>380</v>
      </c>
      <c r="B381" s="255">
        <v>45772</v>
      </c>
      <c r="C381" s="252">
        <v>2025</v>
      </c>
      <c r="D381" s="252">
        <f>YEAR(WTG_BD[[#This Row],[Date]])</f>
        <v>2025</v>
      </c>
      <c r="E381" s="251">
        <f t="shared" si="12"/>
        <v>45748</v>
      </c>
      <c r="F381" s="252" t="s">
        <v>465</v>
      </c>
      <c r="G381" s="248" t="s">
        <v>142</v>
      </c>
      <c r="H381" s="242" t="str">
        <f>IFERROR(VLOOKUP(WTG_BD[[#This Row],[Affected WTG]],'Basic Data'!$A$3:$E$56,2,0),"")</f>
        <v>PWEGPL</v>
      </c>
      <c r="I381" s="242" t="str">
        <f>IFERROR(VLOOKUP(WTG_BD[[#This Row],[Affected WTG]],'Basic Data'!$A$3:$E$56,3,0),"")</f>
        <v>MSEDCL</v>
      </c>
      <c r="J381" s="243">
        <f>IFERROR(VLOOKUP(WTG_BD[[#This Row],[Affected WTG]],'Basic Data'!$A$3:$E$56,5,0),"")</f>
        <v>2.564102564102564E-2</v>
      </c>
      <c r="K381" s="158" t="s">
        <v>466</v>
      </c>
      <c r="L381" s="247" t="str">
        <f>VLOOKUP(K381,'Basic Data'!T:U,2,0)</f>
        <v>Manual Stop - Safety Related</v>
      </c>
      <c r="M381" s="135" t="s">
        <v>467</v>
      </c>
      <c r="N381" s="256">
        <v>0</v>
      </c>
      <c r="O381" s="256">
        <v>0.99930555555555556</v>
      </c>
      <c r="P381" s="256">
        <v>0.99930555555555556</v>
      </c>
      <c r="Q381" s="253">
        <f>IF(WTG_BD[[#This Row],[Work Start TimeStamp]]="","",(WTG_BD[[#This Row],[Work Start TimeStamp]]-WTG_BD[[#This Row],[Fault Start TimeStamp]])*24)</f>
        <v>23.983333333333334</v>
      </c>
      <c r="R381" s="253">
        <f>(WTG_BD[[#This Row],[Fault Clearance time]]-WTG_BD[[#This Row],[Work Start TimeStamp]])*24</f>
        <v>0</v>
      </c>
      <c r="S381" s="253">
        <f>(WTG_BD[[#This Row],[Fault Clearance time]]-WTG_BD[[#This Row],[Fault Start TimeStamp]])*24</f>
        <v>23.983333333333334</v>
      </c>
      <c r="T381" s="135" t="s">
        <v>468</v>
      </c>
      <c r="U381" s="244" t="s">
        <v>469</v>
      </c>
      <c r="V381" s="246">
        <f>WTG_BD[[#This Row],[Breakdown Time]]*(1/39)</f>
        <v>0.61495726495726499</v>
      </c>
      <c r="W381" s="244" t="s">
        <v>141</v>
      </c>
      <c r="X381" s="250">
        <v>6539.4555555555562</v>
      </c>
      <c r="Y381" s="135" t="s">
        <v>470</v>
      </c>
      <c r="Z381" s="135" t="s">
        <v>471</v>
      </c>
      <c r="AA381" s="135">
        <v>6544</v>
      </c>
      <c r="AB381" s="249">
        <f>(WTG_BD[[#This Row],[Paired WTG Generation for loss calculation.]]/24)*WTG_BD[[#This Row],[Breakdown Time]]</f>
        <v>6539.4555555555562</v>
      </c>
      <c r="AC381" s="135"/>
      <c r="AD381" s="245"/>
      <c r="AE381" s="3"/>
    </row>
    <row r="382" spans="1:31">
      <c r="A382" s="241">
        <f t="shared" si="11"/>
        <v>381</v>
      </c>
      <c r="B382" s="255">
        <v>45772</v>
      </c>
      <c r="C382" s="252">
        <v>2025</v>
      </c>
      <c r="D382" s="252">
        <f>YEAR(WTG_BD[[#This Row],[Date]])</f>
        <v>2025</v>
      </c>
      <c r="E382" s="251">
        <f t="shared" si="12"/>
        <v>45748</v>
      </c>
      <c r="F382" s="252" t="s">
        <v>465</v>
      </c>
      <c r="G382" s="248" t="s">
        <v>118</v>
      </c>
      <c r="H382" s="242" t="str">
        <f>IFERROR(VLOOKUP(WTG_BD[[#This Row],[Affected WTG]],'Basic Data'!$A$3:$E$56,2,0),"")</f>
        <v>PWEGPL</v>
      </c>
      <c r="I382" s="242" t="str">
        <f>IFERROR(VLOOKUP(WTG_BD[[#This Row],[Affected WTG]],'Basic Data'!$A$3:$E$56,3,0),"")</f>
        <v>MSEDCL</v>
      </c>
      <c r="J382" s="243">
        <f>IFERROR(VLOOKUP(WTG_BD[[#This Row],[Affected WTG]],'Basic Data'!$A$3:$E$56,5,0),"")</f>
        <v>2.564102564102564E-2</v>
      </c>
      <c r="K382" s="158">
        <v>2118</v>
      </c>
      <c r="L382" s="247" t="str">
        <f>VLOOKUP(K382,'Basic Data'!T:U,2,0)</f>
        <v>Bus Error - Interbus Failure</v>
      </c>
      <c r="M382" s="135" t="s">
        <v>472</v>
      </c>
      <c r="N382" s="256">
        <v>0.60277777777777775</v>
      </c>
      <c r="O382" s="256">
        <v>0.63194444444444442</v>
      </c>
      <c r="P382" s="256">
        <v>0.6333333333333333</v>
      </c>
      <c r="Q382" s="253">
        <f>IF(WTG_BD[[#This Row],[Work Start TimeStamp]]="","",(WTG_BD[[#This Row],[Work Start TimeStamp]]-WTG_BD[[#This Row],[Fault Start TimeStamp]])*24)</f>
        <v>0.70000000000000018</v>
      </c>
      <c r="R382" s="253">
        <f>(WTG_BD[[#This Row],[Fault Clearance time]]-WTG_BD[[#This Row],[Work Start TimeStamp]])*24</f>
        <v>3.3333333333333215E-2</v>
      </c>
      <c r="S382" s="253">
        <f>(WTG_BD[[#This Row],[Fault Clearance time]]-WTG_BD[[#This Row],[Fault Start TimeStamp]])*24</f>
        <v>0.73333333333333339</v>
      </c>
      <c r="T382" s="135" t="s">
        <v>473</v>
      </c>
      <c r="U382" s="244" t="s">
        <v>474</v>
      </c>
      <c r="V382" s="246">
        <f>WTG_BD[[#This Row],[Breakdown Time]]*(1/39)</f>
        <v>1.8803418803418806E-2</v>
      </c>
      <c r="W382" s="244" t="s">
        <v>117</v>
      </c>
      <c r="X382" s="250">
        <v>215.14166666666668</v>
      </c>
      <c r="Y382" s="135" t="s">
        <v>470</v>
      </c>
      <c r="Z382" s="135" t="s">
        <v>475</v>
      </c>
      <c r="AA382" s="135">
        <v>7041</v>
      </c>
      <c r="AB382" s="249">
        <f>(WTG_BD[[#This Row],[Paired WTG Generation for loss calculation.]]/24)*WTG_BD[[#This Row],[Breakdown Time]]</f>
        <v>215.14166666666668</v>
      </c>
      <c r="AC382" s="135"/>
      <c r="AD382" s="245"/>
      <c r="AE382" s="3"/>
    </row>
    <row r="383" spans="1:31">
      <c r="A383" s="241">
        <f t="shared" si="11"/>
        <v>382</v>
      </c>
      <c r="B383" s="255">
        <v>45772</v>
      </c>
      <c r="C383" s="252">
        <v>2025</v>
      </c>
      <c r="D383" s="252">
        <f>YEAR(WTG_BD[[#This Row],[Date]])</f>
        <v>2025</v>
      </c>
      <c r="E383" s="251">
        <f t="shared" si="12"/>
        <v>45748</v>
      </c>
      <c r="F383" s="252" t="s">
        <v>465</v>
      </c>
      <c r="G383" s="248" t="s">
        <v>122</v>
      </c>
      <c r="H383" s="242" t="str">
        <f>IFERROR(VLOOKUP(WTG_BD[[#This Row],[Affected WTG]],'Basic Data'!$A$3:$E$56,2,0),"")</f>
        <v>PWEGPL</v>
      </c>
      <c r="I383" s="242" t="str">
        <f>IFERROR(VLOOKUP(WTG_BD[[#This Row],[Affected WTG]],'Basic Data'!$A$3:$E$56,3,0),"")</f>
        <v>MSEDCL</v>
      </c>
      <c r="J383" s="243">
        <f>IFERROR(VLOOKUP(WTG_BD[[#This Row],[Affected WTG]],'Basic Data'!$A$3:$E$56,5,0),"")</f>
        <v>2.564102564102564E-2</v>
      </c>
      <c r="K383" s="158" t="s">
        <v>514</v>
      </c>
      <c r="L383" s="247" t="str">
        <f>VLOOKUP(K383,'Basic Data'!T:U,2,0)</f>
        <v>General Work Stoppage</v>
      </c>
      <c r="M383" s="135" t="s">
        <v>496</v>
      </c>
      <c r="N383" s="256">
        <v>0.77777777777777779</v>
      </c>
      <c r="O383" s="256">
        <v>0.77777777777777779</v>
      </c>
      <c r="P383" s="256">
        <v>0.8125</v>
      </c>
      <c r="Q383" s="253">
        <f>IF(WTG_BD[[#This Row],[Work Start TimeStamp]]="","",(WTG_BD[[#This Row],[Work Start TimeStamp]]-WTG_BD[[#This Row],[Fault Start TimeStamp]])*24)</f>
        <v>0</v>
      </c>
      <c r="R383" s="253">
        <f>(WTG_BD[[#This Row],[Fault Clearance time]]-WTG_BD[[#This Row],[Work Start TimeStamp]])*24</f>
        <v>0.83333333333333304</v>
      </c>
      <c r="S383" s="253">
        <f>(WTG_BD[[#This Row],[Fault Clearance time]]-WTG_BD[[#This Row],[Fault Start TimeStamp]])*24</f>
        <v>0.83333333333333304</v>
      </c>
      <c r="T383" s="135" t="s">
        <v>544</v>
      </c>
      <c r="U383" s="244" t="s">
        <v>474</v>
      </c>
      <c r="V383" s="246">
        <f>WTG_BD[[#This Row],[Breakdown Time]]*(1/39)</f>
        <v>2.1367521367521358E-2</v>
      </c>
      <c r="W383" s="244" t="s">
        <v>117</v>
      </c>
      <c r="X383" s="250">
        <v>244.47916666666657</v>
      </c>
      <c r="Y383" s="135" t="s">
        <v>470</v>
      </c>
      <c r="Z383" s="135" t="s">
        <v>498</v>
      </c>
      <c r="AA383" s="135">
        <v>7041</v>
      </c>
      <c r="AB383" s="249">
        <f>(WTG_BD[[#This Row],[Paired WTG Generation for loss calculation.]]/24)*WTG_BD[[#This Row],[Breakdown Time]]</f>
        <v>244.47916666666657</v>
      </c>
      <c r="AC383" s="135"/>
      <c r="AD383" s="245"/>
      <c r="AE383" s="3"/>
    </row>
    <row r="384" spans="1:31">
      <c r="A384" s="241">
        <f t="shared" si="11"/>
        <v>383</v>
      </c>
      <c r="B384" s="255">
        <v>45772</v>
      </c>
      <c r="C384" s="252">
        <v>2025</v>
      </c>
      <c r="D384" s="252">
        <f>YEAR(WTG_BD[[#This Row],[Date]])</f>
        <v>2025</v>
      </c>
      <c r="E384" s="251">
        <f t="shared" si="12"/>
        <v>45748</v>
      </c>
      <c r="F384" s="252" t="s">
        <v>465</v>
      </c>
      <c r="G384" s="248" t="s">
        <v>123</v>
      </c>
      <c r="H384" s="242" t="str">
        <f>IFERROR(VLOOKUP(WTG_BD[[#This Row],[Affected WTG]],'Basic Data'!$A$3:$E$56,2,0),"")</f>
        <v>PWEGPL</v>
      </c>
      <c r="I384" s="242" t="str">
        <f>IFERROR(VLOOKUP(WTG_BD[[#This Row],[Affected WTG]],'Basic Data'!$A$3:$E$56,3,0),"")</f>
        <v>MSEDCL</v>
      </c>
      <c r="J384" s="243">
        <f>IFERROR(VLOOKUP(WTG_BD[[#This Row],[Affected WTG]],'Basic Data'!$A$3:$E$56,5,0),"")</f>
        <v>2.564102564102564E-2</v>
      </c>
      <c r="K384" s="158">
        <v>222</v>
      </c>
      <c r="L384" s="247" t="str">
        <f>VLOOKUP(K384,'Basic Data'!T:U,2,0)</f>
        <v>Very Low Pressure On Hydraulic Unit</v>
      </c>
      <c r="M384" s="135" t="s">
        <v>472</v>
      </c>
      <c r="N384" s="256">
        <v>0.40277777777777779</v>
      </c>
      <c r="O384" s="256">
        <v>0.43888888888888888</v>
      </c>
      <c r="P384" s="256">
        <v>0.43958333333333333</v>
      </c>
      <c r="Q384" s="253">
        <f>IF(WTG_BD[[#This Row],[Work Start TimeStamp]]="","",(WTG_BD[[#This Row],[Work Start TimeStamp]]-WTG_BD[[#This Row],[Fault Start TimeStamp]])*24)</f>
        <v>0.86666666666666625</v>
      </c>
      <c r="R384" s="253">
        <f>(WTG_BD[[#This Row],[Fault Clearance time]]-WTG_BD[[#This Row],[Work Start TimeStamp]])*24</f>
        <v>1.6666666666666607E-2</v>
      </c>
      <c r="S384" s="253">
        <f>(WTG_BD[[#This Row],[Fault Clearance time]]-WTG_BD[[#This Row],[Fault Start TimeStamp]])*24</f>
        <v>0.88333333333333286</v>
      </c>
      <c r="T384" s="135" t="s">
        <v>473</v>
      </c>
      <c r="U384" s="244" t="s">
        <v>474</v>
      </c>
      <c r="V384" s="246">
        <f>WTG_BD[[#This Row],[Breakdown Time]]*(1/39)</f>
        <v>2.2649572649572635E-2</v>
      </c>
      <c r="W384" s="244" t="s">
        <v>126</v>
      </c>
      <c r="X384" s="250">
        <v>223.15208333333322</v>
      </c>
      <c r="Y384" s="135" t="s">
        <v>470</v>
      </c>
      <c r="Z384" s="135" t="s">
        <v>475</v>
      </c>
      <c r="AA384" s="135">
        <v>6063</v>
      </c>
      <c r="AB384" s="249">
        <f>(WTG_BD[[#This Row],[Paired WTG Generation for loss calculation.]]/24)*WTG_BD[[#This Row],[Breakdown Time]]</f>
        <v>223.15208333333322</v>
      </c>
      <c r="AC384" s="135"/>
      <c r="AD384" s="245"/>
      <c r="AE384" s="3"/>
    </row>
    <row r="385" spans="1:31">
      <c r="A385" s="241">
        <f t="shared" si="11"/>
        <v>384</v>
      </c>
      <c r="B385" s="255">
        <v>45772</v>
      </c>
      <c r="C385" s="252">
        <v>2025</v>
      </c>
      <c r="D385" s="252">
        <f>YEAR(WTG_BD[[#This Row],[Date]])</f>
        <v>2025</v>
      </c>
      <c r="E385" s="251">
        <f t="shared" si="12"/>
        <v>45748</v>
      </c>
      <c r="F385" s="252" t="s">
        <v>465</v>
      </c>
      <c r="G385" s="248" t="s">
        <v>126</v>
      </c>
      <c r="H385" s="242" t="str">
        <f>IFERROR(VLOOKUP(WTG_BD[[#This Row],[Affected WTG]],'Basic Data'!$A$3:$E$56,2,0),"")</f>
        <v>PWEGPL</v>
      </c>
      <c r="I385" s="242" t="str">
        <f>IFERROR(VLOOKUP(WTG_BD[[#This Row],[Affected WTG]],'Basic Data'!$A$3:$E$56,3,0),"")</f>
        <v>MSEDCL</v>
      </c>
      <c r="J385" s="243">
        <f>IFERROR(VLOOKUP(WTG_BD[[#This Row],[Affected WTG]],'Basic Data'!$A$3:$E$56,5,0),"")</f>
        <v>2.564102564102564E-2</v>
      </c>
      <c r="K385" s="158">
        <v>2119</v>
      </c>
      <c r="L385" s="247" t="str">
        <f>VLOOKUP(K385,'Basic Data'!T:U,2,0)</f>
        <v>CTRL Error - Processor Stopped</v>
      </c>
      <c r="M385" s="135" t="s">
        <v>472</v>
      </c>
      <c r="N385" s="256">
        <v>0.3923611111111111</v>
      </c>
      <c r="O385" s="256">
        <v>0.43888888888888888</v>
      </c>
      <c r="P385" s="256">
        <v>0.48958333333333331</v>
      </c>
      <c r="Q385" s="253">
        <f>IF(WTG_BD[[#This Row],[Work Start TimeStamp]]="","",(WTG_BD[[#This Row],[Work Start TimeStamp]]-WTG_BD[[#This Row],[Fault Start TimeStamp]])*24)</f>
        <v>1.1166666666666667</v>
      </c>
      <c r="R385" s="253">
        <f>(WTG_BD[[#This Row],[Fault Clearance time]]-WTG_BD[[#This Row],[Work Start TimeStamp]])*24</f>
        <v>1.2166666666666663</v>
      </c>
      <c r="S385" s="253">
        <f>(WTG_BD[[#This Row],[Fault Clearance time]]-WTG_BD[[#This Row],[Fault Start TimeStamp]])*24</f>
        <v>2.333333333333333</v>
      </c>
      <c r="T385" s="135" t="s">
        <v>545</v>
      </c>
      <c r="U385" s="244" t="s">
        <v>474</v>
      </c>
      <c r="V385" s="246">
        <f>WTG_BD[[#This Row],[Breakdown Time]]*(1/39)</f>
        <v>5.9829059829059818E-2</v>
      </c>
      <c r="W385" s="244" t="s">
        <v>123</v>
      </c>
      <c r="X385" s="250">
        <v>586.44444444444434</v>
      </c>
      <c r="Y385" s="135" t="s">
        <v>470</v>
      </c>
      <c r="Z385" s="135" t="s">
        <v>475</v>
      </c>
      <c r="AA385" s="135">
        <v>6032</v>
      </c>
      <c r="AB385" s="249">
        <f>(WTG_BD[[#This Row],[Paired WTG Generation for loss calculation.]]/24)*WTG_BD[[#This Row],[Breakdown Time]]</f>
        <v>586.44444444444434</v>
      </c>
      <c r="AC385" s="135"/>
      <c r="AD385" s="245"/>
      <c r="AE385" s="3"/>
    </row>
    <row r="386" spans="1:31">
      <c r="A386" s="241">
        <f t="shared" si="11"/>
        <v>385</v>
      </c>
      <c r="B386" s="255">
        <v>45772</v>
      </c>
      <c r="C386" s="252">
        <v>2025</v>
      </c>
      <c r="D386" s="252">
        <f>YEAR(WTG_BD[[#This Row],[Date]])</f>
        <v>2025</v>
      </c>
      <c r="E386" s="251">
        <f t="shared" si="12"/>
        <v>45748</v>
      </c>
      <c r="F386" s="252" t="s">
        <v>465</v>
      </c>
      <c r="G386" s="248" t="s">
        <v>136</v>
      </c>
      <c r="H386" s="242" t="str">
        <f>IFERROR(VLOOKUP(WTG_BD[[#This Row],[Affected WTG]],'Basic Data'!$A$3:$E$56,2,0),"")</f>
        <v>PWEGPL</v>
      </c>
      <c r="I386" s="242" t="str">
        <f>IFERROR(VLOOKUP(WTG_BD[[#This Row],[Affected WTG]],'Basic Data'!$A$3:$E$56,3,0),"")</f>
        <v>MSEDCL</v>
      </c>
      <c r="J386" s="243">
        <f>IFERROR(VLOOKUP(WTG_BD[[#This Row],[Affected WTG]],'Basic Data'!$A$3:$E$56,5,0),"")</f>
        <v>2.564102564102564E-2</v>
      </c>
      <c r="K386" s="158" t="s">
        <v>523</v>
      </c>
      <c r="L386" s="247" t="str">
        <f>VLOOKUP(K386,'Basic Data'!T:U,2,0)</f>
        <v>Manual Stop</v>
      </c>
      <c r="M386" s="135" t="s">
        <v>496</v>
      </c>
      <c r="N386" s="256">
        <v>0.56805555555555554</v>
      </c>
      <c r="O386" s="256">
        <v>0.56805555555555554</v>
      </c>
      <c r="P386" s="256">
        <v>0.62638888888888888</v>
      </c>
      <c r="Q386" s="253">
        <f>IF(WTG_BD[[#This Row],[Work Start TimeStamp]]="","",(WTG_BD[[#This Row],[Work Start TimeStamp]]-WTG_BD[[#This Row],[Fault Start TimeStamp]])*24)</f>
        <v>0</v>
      </c>
      <c r="R386" s="253">
        <f>(WTG_BD[[#This Row],[Fault Clearance time]]-WTG_BD[[#This Row],[Work Start TimeStamp]])*24</f>
        <v>1.4000000000000004</v>
      </c>
      <c r="S386" s="253">
        <f>(WTG_BD[[#This Row],[Fault Clearance time]]-WTG_BD[[#This Row],[Fault Start TimeStamp]])*24</f>
        <v>1.4000000000000004</v>
      </c>
      <c r="T386" s="135" t="s">
        <v>546</v>
      </c>
      <c r="U386" s="244" t="s">
        <v>474</v>
      </c>
      <c r="V386" s="246">
        <f>WTG_BD[[#This Row],[Breakdown Time]]*(1/39)</f>
        <v>3.5897435897435909E-2</v>
      </c>
      <c r="W386" s="244" t="s">
        <v>119</v>
      </c>
      <c r="X386" s="250">
        <v>384.24166666666673</v>
      </c>
      <c r="Y386" s="135" t="s">
        <v>470</v>
      </c>
      <c r="Z386" s="135" t="s">
        <v>498</v>
      </c>
      <c r="AA386" s="135">
        <v>6587</v>
      </c>
      <c r="AB386" s="249">
        <f>(WTG_BD[[#This Row],[Paired WTG Generation for loss calculation.]]/24)*WTG_BD[[#This Row],[Breakdown Time]]</f>
        <v>384.24166666666673</v>
      </c>
      <c r="AC386" s="135"/>
      <c r="AD386" s="245"/>
      <c r="AE386" s="3"/>
    </row>
    <row r="387" spans="1:31">
      <c r="A387" s="241">
        <f t="shared" ref="A387:A450" si="13">A386+1</f>
        <v>386</v>
      </c>
      <c r="B387" s="255">
        <v>45772</v>
      </c>
      <c r="C387" s="252">
        <v>2025</v>
      </c>
      <c r="D387" s="252">
        <f>YEAR(WTG_BD[[#This Row],[Date]])</f>
        <v>2025</v>
      </c>
      <c r="E387" s="251">
        <f t="shared" si="12"/>
        <v>45748</v>
      </c>
      <c r="F387" s="252" t="s">
        <v>465</v>
      </c>
      <c r="G387" s="248" t="s">
        <v>147</v>
      </c>
      <c r="H387" s="242" t="str">
        <f>IFERROR(VLOOKUP(WTG_BD[[#This Row],[Affected WTG]],'Basic Data'!$A$3:$E$56,2,0),"")</f>
        <v>PWEGPL</v>
      </c>
      <c r="I387" s="242" t="str">
        <f>IFERROR(VLOOKUP(WTG_BD[[#This Row],[Affected WTG]],'Basic Data'!$A$3:$E$56,3,0),"")</f>
        <v>MSEDCL</v>
      </c>
      <c r="J387" s="243">
        <f>IFERROR(VLOOKUP(WTG_BD[[#This Row],[Affected WTG]],'Basic Data'!$A$3:$E$56,5,0),"")</f>
        <v>2.564102564102564E-2</v>
      </c>
      <c r="K387" s="158" t="s">
        <v>466</v>
      </c>
      <c r="L387" s="247" t="str">
        <f>VLOOKUP(K387,'Basic Data'!T:U,2,0)</f>
        <v>Manual Stop - Safety Related</v>
      </c>
      <c r="M387" s="135" t="s">
        <v>467</v>
      </c>
      <c r="N387" s="256">
        <v>0.61805555555555558</v>
      </c>
      <c r="O387" s="256">
        <v>0.61805555555555558</v>
      </c>
      <c r="P387" s="256">
        <v>0.69791666666666663</v>
      </c>
      <c r="Q387" s="253">
        <f>IF(WTG_BD[[#This Row],[Work Start TimeStamp]]="","",(WTG_BD[[#This Row],[Work Start TimeStamp]]-WTG_BD[[#This Row],[Fault Start TimeStamp]])*24)</f>
        <v>0</v>
      </c>
      <c r="R387" s="253">
        <f>(WTG_BD[[#This Row],[Fault Clearance time]]-WTG_BD[[#This Row],[Work Start TimeStamp]])*24</f>
        <v>1.9166666666666652</v>
      </c>
      <c r="S387" s="253">
        <f>(WTG_BD[[#This Row],[Fault Clearance time]]-WTG_BD[[#This Row],[Fault Start TimeStamp]])*24</f>
        <v>1.9166666666666652</v>
      </c>
      <c r="T387" s="135" t="s">
        <v>503</v>
      </c>
      <c r="U387" s="244" t="s">
        <v>474</v>
      </c>
      <c r="V387" s="246">
        <f>WTG_BD[[#This Row],[Breakdown Time]]*(1/39)</f>
        <v>4.9145299145299103E-2</v>
      </c>
      <c r="W387" s="244" t="s">
        <v>146</v>
      </c>
      <c r="X387" s="250">
        <v>546.40972222222172</v>
      </c>
      <c r="Y387" s="135" t="s">
        <v>470</v>
      </c>
      <c r="Z387" s="135" t="s">
        <v>543</v>
      </c>
      <c r="AA387" s="135">
        <v>6842</v>
      </c>
      <c r="AB387" s="249">
        <f>(WTG_BD[[#This Row],[Paired WTG Generation for loss calculation.]]/24)*WTG_BD[[#This Row],[Breakdown Time]]</f>
        <v>546.40972222222172</v>
      </c>
      <c r="AC387" s="135"/>
      <c r="AD387" s="245"/>
      <c r="AE387" s="3"/>
    </row>
    <row r="388" spans="1:31">
      <c r="A388" s="241">
        <f t="shared" si="13"/>
        <v>387</v>
      </c>
      <c r="B388" s="255">
        <v>45772</v>
      </c>
      <c r="C388" s="252">
        <v>2025</v>
      </c>
      <c r="D388" s="252">
        <f>YEAR(WTG_BD[[#This Row],[Date]])</f>
        <v>2025</v>
      </c>
      <c r="E388" s="251">
        <f t="shared" si="12"/>
        <v>45748</v>
      </c>
      <c r="F388" s="252" t="s">
        <v>465</v>
      </c>
      <c r="G388" s="248" t="s">
        <v>152</v>
      </c>
      <c r="H388" s="242" t="str">
        <f>IFERROR(VLOOKUP(WTG_BD[[#This Row],[Affected WTG]],'Basic Data'!$A$3:$E$56,2,0),"")</f>
        <v>PWEGPL</v>
      </c>
      <c r="I388" s="242" t="str">
        <f>IFERROR(VLOOKUP(WTG_BD[[#This Row],[Affected WTG]],'Basic Data'!$A$3:$E$56,3,0),"")</f>
        <v>MSEDCL</v>
      </c>
      <c r="J388" s="243">
        <f>IFERROR(VLOOKUP(WTG_BD[[#This Row],[Affected WTG]],'Basic Data'!$A$3:$E$56,5,0),"")</f>
        <v>2.564102564102564E-2</v>
      </c>
      <c r="K388" s="158" t="s">
        <v>523</v>
      </c>
      <c r="L388" s="247" t="str">
        <f>VLOOKUP(K388,'Basic Data'!T:U,2,0)</f>
        <v>Manual Stop</v>
      </c>
      <c r="M388" s="135" t="s">
        <v>496</v>
      </c>
      <c r="N388" s="256">
        <v>0.48125000000000001</v>
      </c>
      <c r="O388" s="256">
        <v>0.48125000000000001</v>
      </c>
      <c r="P388" s="256">
        <v>0.77430555555555558</v>
      </c>
      <c r="Q388" s="253">
        <f>IF(WTG_BD[[#This Row],[Work Start TimeStamp]]="","",(WTG_BD[[#This Row],[Work Start TimeStamp]]-WTG_BD[[#This Row],[Fault Start TimeStamp]])*24)</f>
        <v>0</v>
      </c>
      <c r="R388" s="253">
        <f>(WTG_BD[[#This Row],[Fault Clearance time]]-WTG_BD[[#This Row],[Work Start TimeStamp]])*24</f>
        <v>7.0333333333333332</v>
      </c>
      <c r="S388" s="253">
        <f>(WTG_BD[[#This Row],[Fault Clearance time]]-WTG_BD[[#This Row],[Fault Start TimeStamp]])*24</f>
        <v>7.0333333333333332</v>
      </c>
      <c r="T388" s="135" t="s">
        <v>547</v>
      </c>
      <c r="U388" s="244" t="s">
        <v>474</v>
      </c>
      <c r="V388" s="246">
        <f>WTG_BD[[#This Row],[Breakdown Time]]*(1/39)</f>
        <v>0.18034188034188034</v>
      </c>
      <c r="W388" s="244" t="s">
        <v>153</v>
      </c>
      <c r="X388" s="250">
        <v>2007.1375</v>
      </c>
      <c r="Y388" s="135" t="s">
        <v>470</v>
      </c>
      <c r="Z388" s="135" t="s">
        <v>498</v>
      </c>
      <c r="AA388" s="135">
        <v>6849</v>
      </c>
      <c r="AB388" s="249">
        <f>(WTG_BD[[#This Row],[Paired WTG Generation for loss calculation.]]/24)*WTG_BD[[#This Row],[Breakdown Time]]</f>
        <v>2007.1375</v>
      </c>
      <c r="AC388" s="135"/>
      <c r="AD388" s="245"/>
      <c r="AE388" s="3"/>
    </row>
    <row r="389" spans="1:31">
      <c r="A389" s="241">
        <f t="shared" si="13"/>
        <v>388</v>
      </c>
      <c r="B389" s="255">
        <v>45772</v>
      </c>
      <c r="C389" s="252">
        <v>2025</v>
      </c>
      <c r="D389" s="252">
        <f>YEAR(WTG_BD[[#This Row],[Date]])</f>
        <v>2025</v>
      </c>
      <c r="E389" s="251">
        <f t="shared" si="12"/>
        <v>45748</v>
      </c>
      <c r="F389" s="252" t="s">
        <v>465</v>
      </c>
      <c r="G389" s="248" t="s">
        <v>133</v>
      </c>
      <c r="H389" s="242" t="str">
        <f>IFERROR(VLOOKUP(WTG_BD[[#This Row],[Affected WTG]],'Basic Data'!$A$3:$E$56,2,0),"")</f>
        <v>PWEGPL</v>
      </c>
      <c r="I389" s="242" t="str">
        <f>IFERROR(VLOOKUP(WTG_BD[[#This Row],[Affected WTG]],'Basic Data'!$A$3:$E$56,3,0),"")</f>
        <v>MSEDCL</v>
      </c>
      <c r="J389" s="243">
        <f>IFERROR(VLOOKUP(WTG_BD[[#This Row],[Affected WTG]],'Basic Data'!$A$3:$E$56,5,0),"")</f>
        <v>2.564102564102564E-2</v>
      </c>
      <c r="K389" s="158">
        <v>110</v>
      </c>
      <c r="L389" s="247" t="str">
        <f>VLOOKUP(K389,'Basic Data'!T:U,2,0)</f>
        <v>Yaw Sensor Wiring Error</v>
      </c>
      <c r="M389" s="135" t="s">
        <v>472</v>
      </c>
      <c r="N389" s="256">
        <v>0.2638888888888889</v>
      </c>
      <c r="O389" s="256">
        <v>0.28749999999999998</v>
      </c>
      <c r="P389" s="256">
        <v>0.31597222222222221</v>
      </c>
      <c r="Q389" s="253">
        <f>IF(WTG_BD[[#This Row],[Work Start TimeStamp]]="","",(WTG_BD[[#This Row],[Work Start TimeStamp]]-WTG_BD[[#This Row],[Fault Start TimeStamp]])*24)</f>
        <v>0.56666666666666599</v>
      </c>
      <c r="R389" s="253">
        <f>(WTG_BD[[#This Row],[Fault Clearance time]]-WTG_BD[[#This Row],[Work Start TimeStamp]])*24</f>
        <v>0.68333333333333357</v>
      </c>
      <c r="S389" s="253">
        <f>(WTG_BD[[#This Row],[Fault Clearance time]]-WTG_BD[[#This Row],[Fault Start TimeStamp]])*24</f>
        <v>1.2499999999999996</v>
      </c>
      <c r="T389" s="135" t="s">
        <v>548</v>
      </c>
      <c r="U389" s="244" t="s">
        <v>474</v>
      </c>
      <c r="V389" s="246">
        <f>WTG_BD[[#This Row],[Breakdown Time]]*(1/39)</f>
        <v>3.2051282051282041E-2</v>
      </c>
      <c r="W389" s="244" t="s">
        <v>132</v>
      </c>
      <c r="X389" s="250">
        <v>330.46874999999989</v>
      </c>
      <c r="Y389" s="135" t="s">
        <v>470</v>
      </c>
      <c r="Z389" s="135" t="s">
        <v>475</v>
      </c>
      <c r="AA389" s="135">
        <v>6345</v>
      </c>
      <c r="AB389" s="249">
        <f>(WTG_BD[[#This Row],[Paired WTG Generation for loss calculation.]]/24)*WTG_BD[[#This Row],[Breakdown Time]]</f>
        <v>330.46874999999989</v>
      </c>
      <c r="AC389" s="135"/>
      <c r="AD389" s="245"/>
      <c r="AE389" s="3"/>
    </row>
    <row r="390" spans="1:31">
      <c r="A390" s="241">
        <f t="shared" si="13"/>
        <v>389</v>
      </c>
      <c r="B390" s="255">
        <v>45773</v>
      </c>
      <c r="C390" s="252">
        <v>2025</v>
      </c>
      <c r="D390" s="252">
        <f>YEAR(WTG_BD[[#This Row],[Date]])</f>
        <v>2025</v>
      </c>
      <c r="E390" s="251">
        <f t="shared" si="12"/>
        <v>45748</v>
      </c>
      <c r="F390" s="252" t="s">
        <v>465</v>
      </c>
      <c r="G390" s="248" t="s">
        <v>144</v>
      </c>
      <c r="H390" s="242" t="str">
        <f>IFERROR(VLOOKUP(WTG_BD[[#This Row],[Affected WTG]],'Basic Data'!$A$3:$E$56,2,0),"")</f>
        <v>PWEGPL</v>
      </c>
      <c r="I390" s="242" t="str">
        <f>IFERROR(VLOOKUP(WTG_BD[[#This Row],[Affected WTG]],'Basic Data'!$A$3:$E$56,3,0),"")</f>
        <v>MSEDCL</v>
      </c>
      <c r="J390" s="243">
        <f>IFERROR(VLOOKUP(WTG_BD[[#This Row],[Affected WTG]],'Basic Data'!$A$3:$E$56,5,0),"")</f>
        <v>2.564102564102564E-2</v>
      </c>
      <c r="K390" s="158" t="s">
        <v>466</v>
      </c>
      <c r="L390" s="247" t="str">
        <f>VLOOKUP(K390,'Basic Data'!T:U,2,0)</f>
        <v>Manual Stop - Safety Related</v>
      </c>
      <c r="M390" s="135" t="s">
        <v>467</v>
      </c>
      <c r="N390" s="256">
        <v>0</v>
      </c>
      <c r="O390" s="256">
        <v>0.99930555555555556</v>
      </c>
      <c r="P390" s="256">
        <v>0.99930555555555556</v>
      </c>
      <c r="Q390" s="253">
        <f>IF(WTG_BD[[#This Row],[Work Start TimeStamp]]="","",(WTG_BD[[#This Row],[Work Start TimeStamp]]-WTG_BD[[#This Row],[Fault Start TimeStamp]])*24)</f>
        <v>23.983333333333334</v>
      </c>
      <c r="R390" s="253">
        <f>(WTG_BD[[#This Row],[Fault Clearance time]]-WTG_BD[[#This Row],[Work Start TimeStamp]])*24</f>
        <v>0</v>
      </c>
      <c r="S390" s="253">
        <f>(WTG_BD[[#This Row],[Fault Clearance time]]-WTG_BD[[#This Row],[Fault Start TimeStamp]])*24</f>
        <v>23.983333333333334</v>
      </c>
      <c r="T390" s="135" t="s">
        <v>468</v>
      </c>
      <c r="U390" s="244" t="s">
        <v>469</v>
      </c>
      <c r="V390" s="246">
        <f>WTG_BD[[#This Row],[Breakdown Time]]*(1/39)</f>
        <v>0.61495726495726499</v>
      </c>
      <c r="W390" s="244" t="s">
        <v>141</v>
      </c>
      <c r="X390" s="250">
        <v>8832.8618055555562</v>
      </c>
      <c r="Y390" s="135" t="s">
        <v>470</v>
      </c>
      <c r="Z390" s="135" t="s">
        <v>471</v>
      </c>
      <c r="AA390" s="135">
        <v>8839</v>
      </c>
      <c r="AB390" s="249">
        <f>(WTG_BD[[#This Row],[Paired WTG Generation for loss calculation.]]/24)*WTG_BD[[#This Row],[Breakdown Time]]</f>
        <v>8832.8618055555562</v>
      </c>
      <c r="AC390" s="135"/>
      <c r="AD390" s="245"/>
      <c r="AE390" s="3"/>
    </row>
    <row r="391" spans="1:31">
      <c r="A391" s="241">
        <f t="shared" si="13"/>
        <v>390</v>
      </c>
      <c r="B391" s="255">
        <v>45773</v>
      </c>
      <c r="C391" s="252">
        <v>2025</v>
      </c>
      <c r="D391" s="252">
        <f>YEAR(WTG_BD[[#This Row],[Date]])</f>
        <v>2025</v>
      </c>
      <c r="E391" s="251">
        <f t="shared" si="12"/>
        <v>45748</v>
      </c>
      <c r="F391" s="252" t="s">
        <v>465</v>
      </c>
      <c r="G391" s="248" t="s">
        <v>142</v>
      </c>
      <c r="H391" s="242" t="str">
        <f>IFERROR(VLOOKUP(WTG_BD[[#This Row],[Affected WTG]],'Basic Data'!$A$3:$E$56,2,0),"")</f>
        <v>PWEGPL</v>
      </c>
      <c r="I391" s="242" t="str">
        <f>IFERROR(VLOOKUP(WTG_BD[[#This Row],[Affected WTG]],'Basic Data'!$A$3:$E$56,3,0),"")</f>
        <v>MSEDCL</v>
      </c>
      <c r="J391" s="243">
        <f>IFERROR(VLOOKUP(WTG_BD[[#This Row],[Affected WTG]],'Basic Data'!$A$3:$E$56,5,0),"")</f>
        <v>2.564102564102564E-2</v>
      </c>
      <c r="K391" s="158" t="s">
        <v>466</v>
      </c>
      <c r="L391" s="247" t="str">
        <f>VLOOKUP(K391,'Basic Data'!T:U,2,0)</f>
        <v>Manual Stop - Safety Related</v>
      </c>
      <c r="M391" s="135" t="s">
        <v>467</v>
      </c>
      <c r="N391" s="256">
        <v>0</v>
      </c>
      <c r="O391" s="256">
        <v>0.99930555555555556</v>
      </c>
      <c r="P391" s="256">
        <v>0.99930555555555556</v>
      </c>
      <c r="Q391" s="253">
        <f>IF(WTG_BD[[#This Row],[Work Start TimeStamp]]="","",(WTG_BD[[#This Row],[Work Start TimeStamp]]-WTG_BD[[#This Row],[Fault Start TimeStamp]])*24)</f>
        <v>23.983333333333334</v>
      </c>
      <c r="R391" s="253">
        <f>(WTG_BD[[#This Row],[Fault Clearance time]]-WTG_BD[[#This Row],[Work Start TimeStamp]])*24</f>
        <v>0</v>
      </c>
      <c r="S391" s="253">
        <f>(WTG_BD[[#This Row],[Fault Clearance time]]-WTG_BD[[#This Row],[Fault Start TimeStamp]])*24</f>
        <v>23.983333333333334</v>
      </c>
      <c r="T391" s="135" t="s">
        <v>468</v>
      </c>
      <c r="U391" s="244" t="s">
        <v>469</v>
      </c>
      <c r="V391" s="246">
        <f>WTG_BD[[#This Row],[Breakdown Time]]*(1/39)</f>
        <v>0.61495726495726499</v>
      </c>
      <c r="W391" s="244" t="s">
        <v>141</v>
      </c>
      <c r="X391" s="250">
        <v>8832.8618055555562</v>
      </c>
      <c r="Y391" s="135" t="s">
        <v>470</v>
      </c>
      <c r="Z391" s="135" t="s">
        <v>471</v>
      </c>
      <c r="AA391" s="135">
        <v>8839</v>
      </c>
      <c r="AB391" s="249">
        <f>(WTG_BD[[#This Row],[Paired WTG Generation for loss calculation.]]/24)*WTG_BD[[#This Row],[Breakdown Time]]</f>
        <v>8832.8618055555562</v>
      </c>
      <c r="AC391" s="135"/>
      <c r="AD391" s="245"/>
      <c r="AE391" s="3"/>
    </row>
    <row r="392" spans="1:31">
      <c r="A392" s="241">
        <f t="shared" si="13"/>
        <v>391</v>
      </c>
      <c r="B392" s="255">
        <v>45773</v>
      </c>
      <c r="C392" s="252">
        <v>2025</v>
      </c>
      <c r="D392" s="252">
        <f>YEAR(WTG_BD[[#This Row],[Date]])</f>
        <v>2025</v>
      </c>
      <c r="E392" s="251">
        <f t="shared" si="12"/>
        <v>45748</v>
      </c>
      <c r="F392" s="252" t="s">
        <v>465</v>
      </c>
      <c r="G392" s="248" t="s">
        <v>120</v>
      </c>
      <c r="H392" s="242" t="str">
        <f>IFERROR(VLOOKUP(WTG_BD[[#This Row],[Affected WTG]],'Basic Data'!$A$3:$E$56,2,0),"")</f>
        <v>PWEGPL</v>
      </c>
      <c r="I392" s="242" t="str">
        <f>IFERROR(VLOOKUP(WTG_BD[[#This Row],[Affected WTG]],'Basic Data'!$A$3:$E$56,3,0),"")</f>
        <v>MSEDCL</v>
      </c>
      <c r="J392" s="243">
        <f>IFERROR(VLOOKUP(WTG_BD[[#This Row],[Affected WTG]],'Basic Data'!$A$3:$E$56,5,0),"")</f>
        <v>2.564102564102564E-2</v>
      </c>
      <c r="K392" s="158" t="s">
        <v>523</v>
      </c>
      <c r="L392" s="247" t="str">
        <f>VLOOKUP(K392,'Basic Data'!T:U,2,0)</f>
        <v>Manual Stop</v>
      </c>
      <c r="M392" s="135" t="s">
        <v>496</v>
      </c>
      <c r="N392" s="256">
        <v>0.46180555555555558</v>
      </c>
      <c r="O392" s="256">
        <v>0.46180555555555558</v>
      </c>
      <c r="P392" s="256">
        <v>0.60069444444444442</v>
      </c>
      <c r="Q392" s="253">
        <f>IF(WTG_BD[[#This Row],[Work Start TimeStamp]]="","",(WTG_BD[[#This Row],[Work Start TimeStamp]]-WTG_BD[[#This Row],[Fault Start TimeStamp]])*24)</f>
        <v>0</v>
      </c>
      <c r="R392" s="253">
        <f>(WTG_BD[[#This Row],[Fault Clearance time]]-WTG_BD[[#This Row],[Work Start TimeStamp]])*24</f>
        <v>3.3333333333333321</v>
      </c>
      <c r="S392" s="253">
        <f>(WTG_BD[[#This Row],[Fault Clearance time]]-WTG_BD[[#This Row],[Fault Start TimeStamp]])*24</f>
        <v>3.3333333333333321</v>
      </c>
      <c r="T392" s="135" t="s">
        <v>542</v>
      </c>
      <c r="U392" s="244" t="s">
        <v>474</v>
      </c>
      <c r="V392" s="246">
        <f>WTG_BD[[#This Row],[Breakdown Time]]*(1/39)</f>
        <v>8.547008547008543E-2</v>
      </c>
      <c r="W392" s="244" t="s">
        <v>117</v>
      </c>
      <c r="X392" s="250">
        <v>1518.3333333333328</v>
      </c>
      <c r="Y392" s="135" t="s">
        <v>470</v>
      </c>
      <c r="Z392" s="135" t="s">
        <v>498</v>
      </c>
      <c r="AA392" s="135">
        <v>10932</v>
      </c>
      <c r="AB392" s="249">
        <f>(WTG_BD[[#This Row],[Paired WTG Generation for loss calculation.]]/24)*WTG_BD[[#This Row],[Breakdown Time]]</f>
        <v>1518.3333333333328</v>
      </c>
      <c r="AC392" s="135"/>
      <c r="AD392" s="245"/>
      <c r="AE392" s="3"/>
    </row>
    <row r="393" spans="1:31">
      <c r="A393" s="241">
        <f t="shared" si="13"/>
        <v>392</v>
      </c>
      <c r="B393" s="255">
        <v>45773</v>
      </c>
      <c r="C393" s="252">
        <v>2025</v>
      </c>
      <c r="D393" s="252">
        <f>YEAR(WTG_BD[[#This Row],[Date]])</f>
        <v>2025</v>
      </c>
      <c r="E393" s="251">
        <f t="shared" si="12"/>
        <v>45748</v>
      </c>
      <c r="F393" s="252" t="s">
        <v>465</v>
      </c>
      <c r="G393" s="248" t="s">
        <v>135</v>
      </c>
      <c r="H393" s="242" t="str">
        <f>IFERROR(VLOOKUP(WTG_BD[[#This Row],[Affected WTG]],'Basic Data'!$A$3:$E$56,2,0),"")</f>
        <v>PWEGPL</v>
      </c>
      <c r="I393" s="242" t="str">
        <f>IFERROR(VLOOKUP(WTG_BD[[#This Row],[Affected WTG]],'Basic Data'!$A$3:$E$56,3,0),"")</f>
        <v>MSEDCL</v>
      </c>
      <c r="J393" s="243">
        <f>IFERROR(VLOOKUP(WTG_BD[[#This Row],[Affected WTG]],'Basic Data'!$A$3:$E$56,5,0),"")</f>
        <v>2.564102564102564E-2</v>
      </c>
      <c r="K393" s="158" t="s">
        <v>466</v>
      </c>
      <c r="L393" s="247" t="str">
        <f>VLOOKUP(K393,'Basic Data'!T:U,2,0)</f>
        <v>Manual Stop - Safety Related</v>
      </c>
      <c r="M393" s="135" t="s">
        <v>467</v>
      </c>
      <c r="N393" s="256">
        <v>0.46875</v>
      </c>
      <c r="O393" s="256">
        <v>0.46875</v>
      </c>
      <c r="P393" s="256">
        <v>0.59027777777777779</v>
      </c>
      <c r="Q393" s="253">
        <f>IF(WTG_BD[[#This Row],[Work Start TimeStamp]]="","",(WTG_BD[[#This Row],[Work Start TimeStamp]]-WTG_BD[[#This Row],[Fault Start TimeStamp]])*24)</f>
        <v>0</v>
      </c>
      <c r="R393" s="253">
        <f>(WTG_BD[[#This Row],[Fault Clearance time]]-WTG_BD[[#This Row],[Work Start TimeStamp]])*24</f>
        <v>2.916666666666667</v>
      </c>
      <c r="S393" s="253">
        <f>(WTG_BD[[#This Row],[Fault Clearance time]]-WTG_BD[[#This Row],[Fault Start TimeStamp]])*24</f>
        <v>2.916666666666667</v>
      </c>
      <c r="T393" s="135" t="s">
        <v>503</v>
      </c>
      <c r="U393" s="244" t="s">
        <v>474</v>
      </c>
      <c r="V393" s="246">
        <f>WTG_BD[[#This Row],[Breakdown Time]]*(1/39)</f>
        <v>7.4786324786324798E-2</v>
      </c>
      <c r="W393" s="244" t="s">
        <v>136</v>
      </c>
      <c r="X393" s="250">
        <v>1040.6423611111113</v>
      </c>
      <c r="Y393" s="135" t="s">
        <v>470</v>
      </c>
      <c r="Z393" s="135" t="s">
        <v>471</v>
      </c>
      <c r="AA393" s="135">
        <v>8563</v>
      </c>
      <c r="AB393" s="249">
        <f>(WTG_BD[[#This Row],[Paired WTG Generation for loss calculation.]]/24)*WTG_BD[[#This Row],[Breakdown Time]]</f>
        <v>1040.6423611111113</v>
      </c>
      <c r="AC393" s="135"/>
      <c r="AD393" s="245"/>
      <c r="AE393" s="3"/>
    </row>
    <row r="394" spans="1:31">
      <c r="A394" s="241">
        <f t="shared" si="13"/>
        <v>393</v>
      </c>
      <c r="B394" s="255">
        <v>45773</v>
      </c>
      <c r="C394" s="252">
        <v>2025</v>
      </c>
      <c r="D394" s="252">
        <f>YEAR(WTG_BD[[#This Row],[Date]])</f>
        <v>2025</v>
      </c>
      <c r="E394" s="251">
        <f t="shared" si="12"/>
        <v>45748</v>
      </c>
      <c r="F394" s="252" t="s">
        <v>465</v>
      </c>
      <c r="G394" s="248" t="s">
        <v>136</v>
      </c>
      <c r="H394" s="242" t="str">
        <f>IFERROR(VLOOKUP(WTG_BD[[#This Row],[Affected WTG]],'Basic Data'!$A$3:$E$56,2,0),"")</f>
        <v>PWEGPL</v>
      </c>
      <c r="I394" s="242" t="str">
        <f>IFERROR(VLOOKUP(WTG_BD[[#This Row],[Affected WTG]],'Basic Data'!$A$3:$E$56,3,0),"")</f>
        <v>MSEDCL</v>
      </c>
      <c r="J394" s="243">
        <f>IFERROR(VLOOKUP(WTG_BD[[#This Row],[Affected WTG]],'Basic Data'!$A$3:$E$56,5,0),"")</f>
        <v>2.564102564102564E-2</v>
      </c>
      <c r="K394" s="158">
        <v>500</v>
      </c>
      <c r="L394" s="247" t="str">
        <f>VLOOKUP(K394,'Basic Data'!T:U,2,0)</f>
        <v>High Generator Winding Temperature</v>
      </c>
      <c r="M394" s="135" t="s">
        <v>472</v>
      </c>
      <c r="N394" s="256">
        <v>0.54513888888888884</v>
      </c>
      <c r="O394" s="256">
        <v>0.54513888888888884</v>
      </c>
      <c r="P394" s="256">
        <v>0.54861111111111116</v>
      </c>
      <c r="Q394" s="253">
        <f>IF(WTG_BD[[#This Row],[Work Start TimeStamp]]="","",(WTG_BD[[#This Row],[Work Start TimeStamp]]-WTG_BD[[#This Row],[Fault Start TimeStamp]])*24)</f>
        <v>0</v>
      </c>
      <c r="R394" s="253">
        <f>(WTG_BD[[#This Row],[Fault Clearance time]]-WTG_BD[[#This Row],[Work Start TimeStamp]])*24</f>
        <v>8.3333333333335702E-2</v>
      </c>
      <c r="S394" s="253">
        <f>(WTG_BD[[#This Row],[Fault Clearance time]]-WTG_BD[[#This Row],[Fault Start TimeStamp]])*24</f>
        <v>8.3333333333335702E-2</v>
      </c>
      <c r="T394" s="135" t="s">
        <v>476</v>
      </c>
      <c r="U394" s="244" t="s">
        <v>474</v>
      </c>
      <c r="V394" s="246">
        <f>WTG_BD[[#This Row],[Breakdown Time]]*(1/39)</f>
        <v>2.1367521367521972E-3</v>
      </c>
      <c r="W394" s="244" t="s">
        <v>135</v>
      </c>
      <c r="X394" s="250">
        <v>29.038194444445267</v>
      </c>
      <c r="Y394" s="135" t="s">
        <v>470</v>
      </c>
      <c r="Z394" s="135" t="s">
        <v>475</v>
      </c>
      <c r="AA394" s="135">
        <v>8363</v>
      </c>
      <c r="AB394" s="249">
        <f>(WTG_BD[[#This Row],[Paired WTG Generation for loss calculation.]]/24)*WTG_BD[[#This Row],[Breakdown Time]]</f>
        <v>29.038194444445267</v>
      </c>
      <c r="AC394" s="135"/>
      <c r="AD394" s="245"/>
      <c r="AE394" s="3"/>
    </row>
    <row r="395" spans="1:31">
      <c r="A395" s="241">
        <f t="shared" si="13"/>
        <v>394</v>
      </c>
      <c r="B395" s="255">
        <v>45773</v>
      </c>
      <c r="C395" s="252">
        <v>2025</v>
      </c>
      <c r="D395" s="252">
        <f>YEAR(WTG_BD[[#This Row],[Date]])</f>
        <v>2025</v>
      </c>
      <c r="E395" s="251">
        <f t="shared" si="12"/>
        <v>45748</v>
      </c>
      <c r="F395" s="252" t="s">
        <v>465</v>
      </c>
      <c r="G395" s="248" t="s">
        <v>136</v>
      </c>
      <c r="H395" s="242" t="str">
        <f>IFERROR(VLOOKUP(WTG_BD[[#This Row],[Affected WTG]],'Basic Data'!$A$3:$E$56,2,0),"")</f>
        <v>PWEGPL</v>
      </c>
      <c r="I395" s="242" t="str">
        <f>IFERROR(VLOOKUP(WTG_BD[[#This Row],[Affected WTG]],'Basic Data'!$A$3:$E$56,3,0),"")</f>
        <v>MSEDCL</v>
      </c>
      <c r="J395" s="243">
        <f>IFERROR(VLOOKUP(WTG_BD[[#This Row],[Affected WTG]],'Basic Data'!$A$3:$E$56,5,0),"")</f>
        <v>2.564102564102564E-2</v>
      </c>
      <c r="K395" s="158">
        <v>500</v>
      </c>
      <c r="L395" s="247" t="str">
        <f>VLOOKUP(K395,'Basic Data'!T:U,2,0)</f>
        <v>High Generator Winding Temperature</v>
      </c>
      <c r="M395" s="135" t="s">
        <v>472</v>
      </c>
      <c r="N395" s="256">
        <v>0.67361111111111116</v>
      </c>
      <c r="O395" s="256">
        <v>0.67361111111111116</v>
      </c>
      <c r="P395" s="256">
        <v>0.67708333333333337</v>
      </c>
      <c r="Q395" s="253">
        <f>IF(WTG_BD[[#This Row],[Work Start TimeStamp]]="","",(WTG_BD[[#This Row],[Work Start TimeStamp]]-WTG_BD[[#This Row],[Fault Start TimeStamp]])*24)</f>
        <v>0</v>
      </c>
      <c r="R395" s="253">
        <f>(WTG_BD[[#This Row],[Fault Clearance time]]-WTG_BD[[#This Row],[Work Start TimeStamp]])*24</f>
        <v>8.3333333333333037E-2</v>
      </c>
      <c r="S395" s="253">
        <f>(WTG_BD[[#This Row],[Fault Clearance time]]-WTG_BD[[#This Row],[Fault Start TimeStamp]])*24</f>
        <v>8.3333333333333037E-2</v>
      </c>
      <c r="T395" s="135" t="s">
        <v>476</v>
      </c>
      <c r="U395" s="244" t="s">
        <v>474</v>
      </c>
      <c r="V395" s="246">
        <f>WTG_BD[[#This Row],[Breakdown Time]]*(1/39)</f>
        <v>2.1367521367521292E-3</v>
      </c>
      <c r="W395" s="244" t="s">
        <v>135</v>
      </c>
      <c r="X395" s="250">
        <v>29.03819444444434</v>
      </c>
      <c r="Y395" s="135" t="s">
        <v>470</v>
      </c>
      <c r="Z395" s="135" t="s">
        <v>475</v>
      </c>
      <c r="AA395" s="135">
        <v>8363</v>
      </c>
      <c r="AB395" s="249">
        <f>(WTG_BD[[#This Row],[Paired WTG Generation for loss calculation.]]/24)*WTG_BD[[#This Row],[Breakdown Time]]</f>
        <v>29.03819444444434</v>
      </c>
      <c r="AC395" s="135"/>
      <c r="AD395" s="245"/>
      <c r="AE395" s="3"/>
    </row>
    <row r="396" spans="1:31">
      <c r="A396" s="241">
        <f t="shared" si="13"/>
        <v>395</v>
      </c>
      <c r="B396" s="255">
        <v>45773</v>
      </c>
      <c r="C396" s="252">
        <v>2025</v>
      </c>
      <c r="D396" s="252">
        <f>YEAR(WTG_BD[[#This Row],[Date]])</f>
        <v>2025</v>
      </c>
      <c r="E396" s="251">
        <f t="shared" si="12"/>
        <v>45748</v>
      </c>
      <c r="F396" s="252" t="s">
        <v>465</v>
      </c>
      <c r="G396" s="248" t="s">
        <v>138</v>
      </c>
      <c r="H396" s="242" t="str">
        <f>IFERROR(VLOOKUP(WTG_BD[[#This Row],[Affected WTG]],'Basic Data'!$A$3:$E$56,2,0),"")</f>
        <v>PWEGPL</v>
      </c>
      <c r="I396" s="242" t="str">
        <f>IFERROR(VLOOKUP(WTG_BD[[#This Row],[Affected WTG]],'Basic Data'!$A$3:$E$56,3,0),"")</f>
        <v>MSEDCL</v>
      </c>
      <c r="J396" s="243">
        <f>IFERROR(VLOOKUP(WTG_BD[[#This Row],[Affected WTG]],'Basic Data'!$A$3:$E$56,5,0),"")</f>
        <v>2.564102564102564E-2</v>
      </c>
      <c r="K396" s="158" t="s">
        <v>549</v>
      </c>
      <c r="L396" s="247" t="str">
        <f>VLOOKUP(K396,'Basic Data'!T:U,2,0)</f>
        <v>Manual Stop - Preventive Maintenance Activity</v>
      </c>
      <c r="M396" s="135" t="s">
        <v>550</v>
      </c>
      <c r="N396" s="256">
        <v>0.49652777777777779</v>
      </c>
      <c r="O396" s="256">
        <v>0.49652777777777779</v>
      </c>
      <c r="P396" s="256">
        <v>0.80555555555555558</v>
      </c>
      <c r="Q396" s="253">
        <f>IF(WTG_BD[[#This Row],[Work Start TimeStamp]]="","",(WTG_BD[[#This Row],[Work Start TimeStamp]]-WTG_BD[[#This Row],[Fault Start TimeStamp]])*24)</f>
        <v>0</v>
      </c>
      <c r="R396" s="253">
        <f>(WTG_BD[[#This Row],[Fault Clearance time]]-WTG_BD[[#This Row],[Work Start TimeStamp]])*24</f>
        <v>7.416666666666667</v>
      </c>
      <c r="S396" s="253">
        <f>(WTG_BD[[#This Row],[Fault Clearance time]]-WTG_BD[[#This Row],[Fault Start TimeStamp]])*24</f>
        <v>7.416666666666667</v>
      </c>
      <c r="T396" s="135" t="s">
        <v>551</v>
      </c>
      <c r="U396" s="244" t="s">
        <v>474</v>
      </c>
      <c r="V396" s="246">
        <f>WTG_BD[[#This Row],[Breakdown Time]]*(1/39)</f>
        <v>0.19017094017094016</v>
      </c>
      <c r="W396" s="244" t="s">
        <v>140</v>
      </c>
      <c r="X396" s="250">
        <v>2737.3680555555557</v>
      </c>
      <c r="Y396" s="135" t="s">
        <v>470</v>
      </c>
      <c r="Z396" s="135" t="s">
        <v>552</v>
      </c>
      <c r="AA396" s="135">
        <v>8858</v>
      </c>
      <c r="AB396" s="249">
        <f>(WTG_BD[[#This Row],[Paired WTG Generation for loss calculation.]]/24)*WTG_BD[[#This Row],[Breakdown Time]]</f>
        <v>2737.3680555555557</v>
      </c>
      <c r="AC396" s="135"/>
      <c r="AD396" s="245"/>
      <c r="AE396" s="3"/>
    </row>
    <row r="397" spans="1:31">
      <c r="A397" s="241">
        <f t="shared" si="13"/>
        <v>396</v>
      </c>
      <c r="B397" s="255">
        <v>45773</v>
      </c>
      <c r="C397" s="252">
        <v>2025</v>
      </c>
      <c r="D397" s="252">
        <f>YEAR(WTG_BD[[#This Row],[Date]])</f>
        <v>2025</v>
      </c>
      <c r="E397" s="251">
        <f t="shared" si="12"/>
        <v>45748</v>
      </c>
      <c r="F397" s="252" t="s">
        <v>465</v>
      </c>
      <c r="G397" s="248" t="s">
        <v>149</v>
      </c>
      <c r="H397" s="242" t="str">
        <f>IFERROR(VLOOKUP(WTG_BD[[#This Row],[Affected WTG]],'Basic Data'!$A$3:$E$56,2,0),"")</f>
        <v>PWEGPL</v>
      </c>
      <c r="I397" s="242" t="str">
        <f>IFERROR(VLOOKUP(WTG_BD[[#This Row],[Affected WTG]],'Basic Data'!$A$3:$E$56,3,0),"")</f>
        <v>MSEDCL</v>
      </c>
      <c r="J397" s="243">
        <f>IFERROR(VLOOKUP(WTG_BD[[#This Row],[Affected WTG]],'Basic Data'!$A$3:$E$56,5,0),"")</f>
        <v>2.564102564102564E-2</v>
      </c>
      <c r="K397" s="158">
        <v>2118</v>
      </c>
      <c r="L397" s="247" t="str">
        <f>VLOOKUP(K397,'Basic Data'!T:U,2,0)</f>
        <v>Bus Error - Interbus Failure</v>
      </c>
      <c r="M397" s="135" t="s">
        <v>472</v>
      </c>
      <c r="N397" s="256">
        <v>0.67361111111111116</v>
      </c>
      <c r="O397" s="256">
        <v>0.69930555555555551</v>
      </c>
      <c r="P397" s="256">
        <v>0.7006944444444444</v>
      </c>
      <c r="Q397" s="253">
        <f>IF(WTG_BD[[#This Row],[Work Start TimeStamp]]="","",(WTG_BD[[#This Row],[Work Start TimeStamp]]-WTG_BD[[#This Row],[Fault Start TimeStamp]])*24)</f>
        <v>0.61666666666666448</v>
      </c>
      <c r="R397" s="253">
        <f>(WTG_BD[[#This Row],[Fault Clearance time]]-WTG_BD[[#This Row],[Work Start TimeStamp]])*24</f>
        <v>3.3333333333333215E-2</v>
      </c>
      <c r="S397" s="253">
        <f>(WTG_BD[[#This Row],[Fault Clearance time]]-WTG_BD[[#This Row],[Fault Start TimeStamp]])*24</f>
        <v>0.64999999999999769</v>
      </c>
      <c r="T397" s="135" t="s">
        <v>482</v>
      </c>
      <c r="U397" s="244" t="s">
        <v>474</v>
      </c>
      <c r="V397" s="246">
        <f>WTG_BD[[#This Row],[Breakdown Time]]*(1/39)</f>
        <v>1.6666666666666607E-2</v>
      </c>
      <c r="W397" s="244" t="s">
        <v>148</v>
      </c>
      <c r="X397" s="250">
        <v>253.06666666666575</v>
      </c>
      <c r="Y397" s="135" t="s">
        <v>470</v>
      </c>
      <c r="Z397" s="135" t="s">
        <v>475</v>
      </c>
      <c r="AA397" s="135">
        <v>9344</v>
      </c>
      <c r="AB397" s="249">
        <f>(WTG_BD[[#This Row],[Paired WTG Generation for loss calculation.]]/24)*WTG_BD[[#This Row],[Breakdown Time]]</f>
        <v>253.06666666666575</v>
      </c>
      <c r="AC397" s="135"/>
      <c r="AD397" s="245"/>
      <c r="AE397" s="3"/>
    </row>
    <row r="398" spans="1:31">
      <c r="A398" s="241">
        <f t="shared" si="13"/>
        <v>397</v>
      </c>
      <c r="B398" s="255">
        <v>45774</v>
      </c>
      <c r="C398" s="252">
        <v>2025</v>
      </c>
      <c r="D398" s="252">
        <f>YEAR(WTG_BD[[#This Row],[Date]])</f>
        <v>2025</v>
      </c>
      <c r="E398" s="251">
        <f t="shared" si="12"/>
        <v>45748</v>
      </c>
      <c r="F398" s="252" t="s">
        <v>465</v>
      </c>
      <c r="G398" s="248" t="s">
        <v>144</v>
      </c>
      <c r="H398" s="242" t="str">
        <f>IFERROR(VLOOKUP(WTG_BD[[#This Row],[Affected WTG]],'Basic Data'!$A$3:$E$56,2,0),"")</f>
        <v>PWEGPL</v>
      </c>
      <c r="I398" s="242" t="str">
        <f>IFERROR(VLOOKUP(WTG_BD[[#This Row],[Affected WTG]],'Basic Data'!$A$3:$E$56,3,0),"")</f>
        <v>MSEDCL</v>
      </c>
      <c r="J398" s="243">
        <f>IFERROR(VLOOKUP(WTG_BD[[#This Row],[Affected WTG]],'Basic Data'!$A$3:$E$56,5,0),"")</f>
        <v>2.564102564102564E-2</v>
      </c>
      <c r="K398" s="158" t="s">
        <v>466</v>
      </c>
      <c r="L398" s="247" t="str">
        <f>VLOOKUP(K398,'Basic Data'!T:U,2,0)</f>
        <v>Manual Stop - Safety Related</v>
      </c>
      <c r="M398" s="135" t="s">
        <v>467</v>
      </c>
      <c r="N398" s="256">
        <v>0</v>
      </c>
      <c r="O398" s="256">
        <v>0.99930555555555556</v>
      </c>
      <c r="P398" s="256">
        <v>0.99930555555555556</v>
      </c>
      <c r="Q398" s="253">
        <f>IF(WTG_BD[[#This Row],[Work Start TimeStamp]]="","",(WTG_BD[[#This Row],[Work Start TimeStamp]]-WTG_BD[[#This Row],[Fault Start TimeStamp]])*24)</f>
        <v>23.983333333333334</v>
      </c>
      <c r="R398" s="253">
        <f>(WTG_BD[[#This Row],[Fault Clearance time]]-WTG_BD[[#This Row],[Work Start TimeStamp]])*24</f>
        <v>0</v>
      </c>
      <c r="S398" s="253">
        <f>(WTG_BD[[#This Row],[Fault Clearance time]]-WTG_BD[[#This Row],[Fault Start TimeStamp]])*24</f>
        <v>23.983333333333334</v>
      </c>
      <c r="T398" s="135" t="s">
        <v>468</v>
      </c>
      <c r="U398" s="244" t="s">
        <v>469</v>
      </c>
      <c r="V398" s="246">
        <f>WTG_BD[[#This Row],[Breakdown Time]]*(1/39)</f>
        <v>0.61495726495726499</v>
      </c>
      <c r="W398" s="244" t="s">
        <v>141</v>
      </c>
      <c r="X398" s="250">
        <v>4863.6201388888885</v>
      </c>
      <c r="Y398" s="135" t="s">
        <v>470</v>
      </c>
      <c r="Z398" s="135" t="s">
        <v>471</v>
      </c>
      <c r="AA398" s="135">
        <v>4867</v>
      </c>
      <c r="AB398" s="249">
        <f>(WTG_BD[[#This Row],[Paired WTG Generation for loss calculation.]]/24)*WTG_BD[[#This Row],[Breakdown Time]]</f>
        <v>4863.6201388888885</v>
      </c>
      <c r="AC398" s="135"/>
      <c r="AD398" s="245"/>
      <c r="AE398" s="3"/>
    </row>
    <row r="399" spans="1:31">
      <c r="A399" s="241">
        <f t="shared" si="13"/>
        <v>398</v>
      </c>
      <c r="B399" s="255">
        <v>45774</v>
      </c>
      <c r="C399" s="252">
        <v>2025</v>
      </c>
      <c r="D399" s="252">
        <f>YEAR(WTG_BD[[#This Row],[Date]])</f>
        <v>2025</v>
      </c>
      <c r="E399" s="251">
        <f t="shared" si="12"/>
        <v>45748</v>
      </c>
      <c r="F399" s="252" t="s">
        <v>465</v>
      </c>
      <c r="G399" s="248" t="s">
        <v>142</v>
      </c>
      <c r="H399" s="242" t="str">
        <f>IFERROR(VLOOKUP(WTG_BD[[#This Row],[Affected WTG]],'Basic Data'!$A$3:$E$56,2,0),"")</f>
        <v>PWEGPL</v>
      </c>
      <c r="I399" s="242" t="str">
        <f>IFERROR(VLOOKUP(WTG_BD[[#This Row],[Affected WTG]],'Basic Data'!$A$3:$E$56,3,0),"")</f>
        <v>MSEDCL</v>
      </c>
      <c r="J399" s="243">
        <f>IFERROR(VLOOKUP(WTG_BD[[#This Row],[Affected WTG]],'Basic Data'!$A$3:$E$56,5,0),"")</f>
        <v>2.564102564102564E-2</v>
      </c>
      <c r="K399" s="158" t="s">
        <v>466</v>
      </c>
      <c r="L399" s="247" t="str">
        <f>VLOOKUP(K399,'Basic Data'!T:U,2,0)</f>
        <v>Manual Stop - Safety Related</v>
      </c>
      <c r="M399" s="135" t="s">
        <v>467</v>
      </c>
      <c r="N399" s="256">
        <v>0</v>
      </c>
      <c r="O399" s="256">
        <v>0.99930555555555556</v>
      </c>
      <c r="P399" s="256">
        <v>0.99930555555555556</v>
      </c>
      <c r="Q399" s="253">
        <f>IF(WTG_BD[[#This Row],[Work Start TimeStamp]]="","",(WTG_BD[[#This Row],[Work Start TimeStamp]]-WTG_BD[[#This Row],[Fault Start TimeStamp]])*24)</f>
        <v>23.983333333333334</v>
      </c>
      <c r="R399" s="253">
        <f>(WTG_BD[[#This Row],[Fault Clearance time]]-WTG_BD[[#This Row],[Work Start TimeStamp]])*24</f>
        <v>0</v>
      </c>
      <c r="S399" s="253">
        <f>(WTG_BD[[#This Row],[Fault Clearance time]]-WTG_BD[[#This Row],[Fault Start TimeStamp]])*24</f>
        <v>23.983333333333334</v>
      </c>
      <c r="T399" s="135" t="s">
        <v>468</v>
      </c>
      <c r="U399" s="244" t="s">
        <v>469</v>
      </c>
      <c r="V399" s="246">
        <f>WTG_BD[[#This Row],[Breakdown Time]]*(1/39)</f>
        <v>0.61495726495726499</v>
      </c>
      <c r="W399" s="244" t="s">
        <v>141</v>
      </c>
      <c r="X399" s="250">
        <v>4863.6201388888885</v>
      </c>
      <c r="Y399" s="135" t="s">
        <v>470</v>
      </c>
      <c r="Z399" s="135" t="s">
        <v>471</v>
      </c>
      <c r="AA399" s="135">
        <v>4867</v>
      </c>
      <c r="AB399" s="249">
        <f>(WTG_BD[[#This Row],[Paired WTG Generation for loss calculation.]]/24)*WTG_BD[[#This Row],[Breakdown Time]]</f>
        <v>4863.6201388888885</v>
      </c>
      <c r="AC399" s="135"/>
      <c r="AD399" s="245"/>
      <c r="AE399" s="3"/>
    </row>
    <row r="400" spans="1:31">
      <c r="A400" s="241">
        <f t="shared" si="13"/>
        <v>399</v>
      </c>
      <c r="B400" s="255">
        <v>45774</v>
      </c>
      <c r="C400" s="252">
        <v>2025</v>
      </c>
      <c r="D400" s="252">
        <f>YEAR(WTG_BD[[#This Row],[Date]])</f>
        <v>2025</v>
      </c>
      <c r="E400" s="251">
        <f t="shared" ref="E400:E456" si="14">B400-DAY(B400)+1</f>
        <v>45748</v>
      </c>
      <c r="F400" s="252" t="s">
        <v>465</v>
      </c>
      <c r="G400" s="248" t="s">
        <v>118</v>
      </c>
      <c r="H400" s="242" t="str">
        <f>IFERROR(VLOOKUP(WTG_BD[[#This Row],[Affected WTG]],'Basic Data'!$A$3:$E$56,2,0),"")</f>
        <v>PWEGPL</v>
      </c>
      <c r="I400" s="242" t="str">
        <f>IFERROR(VLOOKUP(WTG_BD[[#This Row],[Affected WTG]],'Basic Data'!$A$3:$E$56,3,0),"")</f>
        <v>MSEDCL</v>
      </c>
      <c r="J400" s="243">
        <f>IFERROR(VLOOKUP(WTG_BD[[#This Row],[Affected WTG]],'Basic Data'!$A$3:$E$56,5,0),"")</f>
        <v>2.564102564102564E-2</v>
      </c>
      <c r="K400" s="158">
        <v>5201</v>
      </c>
      <c r="L400" s="247" t="str">
        <f>VLOOKUP(K400,'Basic Data'!T:U,2,0)</f>
        <v>Magnetothermic Trigger Of The Stator Protection</v>
      </c>
      <c r="M400" s="135" t="s">
        <v>472</v>
      </c>
      <c r="N400" s="256">
        <v>0.54027777777777775</v>
      </c>
      <c r="O400" s="256">
        <v>0.5625</v>
      </c>
      <c r="P400" s="256">
        <v>0.56388888888888888</v>
      </c>
      <c r="Q400" s="253">
        <f>IF(WTG_BD[[#This Row],[Work Start TimeStamp]]="","",(WTG_BD[[#This Row],[Work Start TimeStamp]]-WTG_BD[[#This Row],[Fault Start TimeStamp]])*24)</f>
        <v>0.5333333333333341</v>
      </c>
      <c r="R400" s="253">
        <f>(WTG_BD[[#This Row],[Fault Clearance time]]-WTG_BD[[#This Row],[Work Start TimeStamp]])*24</f>
        <v>3.3333333333333215E-2</v>
      </c>
      <c r="S400" s="253">
        <f>(WTG_BD[[#This Row],[Fault Clearance time]]-WTG_BD[[#This Row],[Fault Start TimeStamp]])*24</f>
        <v>0.56666666666666732</v>
      </c>
      <c r="T400" s="135" t="s">
        <v>473</v>
      </c>
      <c r="U400" s="244" t="s">
        <v>474</v>
      </c>
      <c r="V400" s="246">
        <f>WTG_BD[[#This Row],[Breakdown Time]]*(1/39)</f>
        <v>1.4529914529914546E-2</v>
      </c>
      <c r="W400" s="244" t="s">
        <v>117</v>
      </c>
      <c r="X400" s="250">
        <v>137.22777777777793</v>
      </c>
      <c r="Y400" s="135" t="s">
        <v>470</v>
      </c>
      <c r="Z400" s="135" t="s">
        <v>475</v>
      </c>
      <c r="AA400" s="135">
        <v>5812</v>
      </c>
      <c r="AB400" s="249">
        <f>(WTG_BD[[#This Row],[Paired WTG Generation for loss calculation.]]/24)*WTG_BD[[#This Row],[Breakdown Time]]</f>
        <v>137.22777777777793</v>
      </c>
      <c r="AC400" s="135"/>
      <c r="AD400" s="245"/>
      <c r="AE400" s="3"/>
    </row>
    <row r="401" spans="1:31">
      <c r="A401" s="241">
        <f t="shared" si="13"/>
        <v>400</v>
      </c>
      <c r="B401" s="255">
        <v>45774</v>
      </c>
      <c r="C401" s="252">
        <v>2025</v>
      </c>
      <c r="D401" s="252">
        <f>YEAR(WTG_BD[[#This Row],[Date]])</f>
        <v>2025</v>
      </c>
      <c r="E401" s="251">
        <f t="shared" si="14"/>
        <v>45748</v>
      </c>
      <c r="F401" s="252" t="s">
        <v>465</v>
      </c>
      <c r="G401" s="248" t="s">
        <v>121</v>
      </c>
      <c r="H401" s="242" t="str">
        <f>IFERROR(VLOOKUP(WTG_BD[[#This Row],[Affected WTG]],'Basic Data'!$A$3:$E$56,2,0),"")</f>
        <v>PWEGPL</v>
      </c>
      <c r="I401" s="242" t="str">
        <f>IFERROR(VLOOKUP(WTG_BD[[#This Row],[Affected WTG]],'Basic Data'!$A$3:$E$56,3,0),"")</f>
        <v>MSEDCL</v>
      </c>
      <c r="J401" s="243">
        <f>IFERROR(VLOOKUP(WTG_BD[[#This Row],[Affected WTG]],'Basic Data'!$A$3:$E$56,5,0),"")</f>
        <v>2.564102564102564E-2</v>
      </c>
      <c r="K401" s="158">
        <v>410</v>
      </c>
      <c r="L401" s="247" t="str">
        <f>VLOOKUP(K401,'Basic Data'!T:U,2,0)</f>
        <v>OGS</v>
      </c>
      <c r="M401" s="135" t="s">
        <v>472</v>
      </c>
      <c r="N401" s="256">
        <v>0.70138888888888884</v>
      </c>
      <c r="O401" s="256">
        <v>0.73333333333333328</v>
      </c>
      <c r="P401" s="256">
        <v>0.73472222222222228</v>
      </c>
      <c r="Q401" s="253">
        <f>IF(WTG_BD[[#This Row],[Work Start TimeStamp]]="","",(WTG_BD[[#This Row],[Work Start TimeStamp]]-WTG_BD[[#This Row],[Fault Start TimeStamp]])*24)</f>
        <v>0.76666666666666661</v>
      </c>
      <c r="R401" s="253">
        <f>(WTG_BD[[#This Row],[Fault Clearance time]]-WTG_BD[[#This Row],[Work Start TimeStamp]])*24</f>
        <v>3.3333333333335879E-2</v>
      </c>
      <c r="S401" s="253">
        <f>(WTG_BD[[#This Row],[Fault Clearance time]]-WTG_BD[[#This Row],[Fault Start TimeStamp]])*24</f>
        <v>0.80000000000000249</v>
      </c>
      <c r="T401" s="135" t="s">
        <v>553</v>
      </c>
      <c r="U401" s="244" t="s">
        <v>474</v>
      </c>
      <c r="V401" s="246">
        <f>WTG_BD[[#This Row],[Breakdown Time]]*(1/39)</f>
        <v>2.0512820512820575E-2</v>
      </c>
      <c r="W401" s="244" t="s">
        <v>115</v>
      </c>
      <c r="X401" s="250">
        <v>193.36666666666727</v>
      </c>
      <c r="Y401" s="135" t="s">
        <v>470</v>
      </c>
      <c r="Z401" s="135" t="s">
        <v>475</v>
      </c>
      <c r="AA401" s="135">
        <v>5801</v>
      </c>
      <c r="AB401" s="249">
        <f>(WTG_BD[[#This Row],[Paired WTG Generation for loss calculation.]]/24)*WTG_BD[[#This Row],[Breakdown Time]]</f>
        <v>193.36666666666727</v>
      </c>
      <c r="AC401" s="135"/>
      <c r="AD401" s="245"/>
      <c r="AE401" s="3"/>
    </row>
    <row r="402" spans="1:31">
      <c r="A402" s="241">
        <f t="shared" si="13"/>
        <v>401</v>
      </c>
      <c r="B402" s="255">
        <v>45774</v>
      </c>
      <c r="C402" s="252">
        <v>2025</v>
      </c>
      <c r="D402" s="252">
        <f>YEAR(WTG_BD[[#This Row],[Date]])</f>
        <v>2025</v>
      </c>
      <c r="E402" s="251">
        <f t="shared" si="14"/>
        <v>45748</v>
      </c>
      <c r="F402" s="252" t="s">
        <v>465</v>
      </c>
      <c r="G402" s="248" t="s">
        <v>128</v>
      </c>
      <c r="H402" s="242" t="str">
        <f>IFERROR(VLOOKUP(WTG_BD[[#This Row],[Affected WTG]],'Basic Data'!$A$3:$E$56,2,0),"")</f>
        <v>PWEGPL</v>
      </c>
      <c r="I402" s="242" t="str">
        <f>IFERROR(VLOOKUP(WTG_BD[[#This Row],[Affected WTG]],'Basic Data'!$A$3:$E$56,3,0),"")</f>
        <v>MSEDCL</v>
      </c>
      <c r="J402" s="243">
        <f>IFERROR(VLOOKUP(WTG_BD[[#This Row],[Affected WTG]],'Basic Data'!$A$3:$E$56,5,0),"")</f>
        <v>2.564102564102564E-2</v>
      </c>
      <c r="K402" s="158">
        <v>2118</v>
      </c>
      <c r="L402" s="247" t="str">
        <f>VLOOKUP(K402,'Basic Data'!T:U,2,0)</f>
        <v>Bus Error - Interbus Failure</v>
      </c>
      <c r="M402" s="135" t="s">
        <v>472</v>
      </c>
      <c r="N402" s="256">
        <v>0.64722222222222225</v>
      </c>
      <c r="O402" s="256">
        <v>0.67361111111111116</v>
      </c>
      <c r="P402" s="256">
        <v>0.70972222222222225</v>
      </c>
      <c r="Q402" s="253">
        <f>IF(WTG_BD[[#This Row],[Work Start TimeStamp]]="","",(WTG_BD[[#This Row],[Work Start TimeStamp]]-WTG_BD[[#This Row],[Fault Start TimeStamp]])*24)</f>
        <v>0.63333333333333375</v>
      </c>
      <c r="R402" s="253">
        <f>(WTG_BD[[#This Row],[Fault Clearance time]]-WTG_BD[[#This Row],[Work Start TimeStamp]])*24</f>
        <v>0.86666666666666625</v>
      </c>
      <c r="S402" s="253">
        <f>(WTG_BD[[#This Row],[Fault Clearance time]]-WTG_BD[[#This Row],[Fault Start TimeStamp]])*24</f>
        <v>1.5</v>
      </c>
      <c r="T402" s="135" t="s">
        <v>554</v>
      </c>
      <c r="U402" s="244" t="s">
        <v>474</v>
      </c>
      <c r="V402" s="246">
        <f>WTG_BD[[#This Row],[Breakdown Time]]*(1/39)</f>
        <v>3.8461538461538464E-2</v>
      </c>
      <c r="W402" s="244" t="s">
        <v>129</v>
      </c>
      <c r="X402" s="250">
        <v>352.625</v>
      </c>
      <c r="Y402" s="135" t="s">
        <v>470</v>
      </c>
      <c r="Z402" s="135" t="s">
        <v>475</v>
      </c>
      <c r="AA402" s="135">
        <v>5642</v>
      </c>
      <c r="AB402" s="249">
        <f>(WTG_BD[[#This Row],[Paired WTG Generation for loss calculation.]]/24)*WTG_BD[[#This Row],[Breakdown Time]]</f>
        <v>352.625</v>
      </c>
      <c r="AC402" s="135"/>
      <c r="AD402" s="245"/>
      <c r="AE402" s="3"/>
    </row>
    <row r="403" spans="1:31">
      <c r="A403" s="241">
        <f t="shared" si="13"/>
        <v>402</v>
      </c>
      <c r="B403" s="255">
        <v>45774</v>
      </c>
      <c r="C403" s="252">
        <v>2025</v>
      </c>
      <c r="D403" s="252">
        <f>YEAR(WTG_BD[[#This Row],[Date]])</f>
        <v>2025</v>
      </c>
      <c r="E403" s="251">
        <f t="shared" si="14"/>
        <v>45748</v>
      </c>
      <c r="F403" s="252" t="s">
        <v>465</v>
      </c>
      <c r="G403" s="248" t="s">
        <v>140</v>
      </c>
      <c r="H403" s="242" t="str">
        <f>IFERROR(VLOOKUP(WTG_BD[[#This Row],[Affected WTG]],'Basic Data'!$A$3:$E$56,2,0),"")</f>
        <v>PWEGPL</v>
      </c>
      <c r="I403" s="242" t="str">
        <f>IFERROR(VLOOKUP(WTG_BD[[#This Row],[Affected WTG]],'Basic Data'!$A$3:$E$56,3,0),"")</f>
        <v>MSEDCL</v>
      </c>
      <c r="J403" s="243">
        <f>IFERROR(VLOOKUP(WTG_BD[[#This Row],[Affected WTG]],'Basic Data'!$A$3:$E$56,5,0),"")</f>
        <v>2.564102564102564E-2</v>
      </c>
      <c r="K403" s="158" t="s">
        <v>549</v>
      </c>
      <c r="L403" s="247" t="str">
        <f>VLOOKUP(K403,'Basic Data'!T:U,2,0)</f>
        <v>Manual Stop - Preventive Maintenance Activity</v>
      </c>
      <c r="M403" s="135" t="s">
        <v>550</v>
      </c>
      <c r="N403" s="256">
        <v>0.46944444444444444</v>
      </c>
      <c r="O403" s="256">
        <v>0.46944444444444444</v>
      </c>
      <c r="P403" s="256">
        <v>0.74305555555555558</v>
      </c>
      <c r="Q403" s="253">
        <f>IF(WTG_BD[[#This Row],[Work Start TimeStamp]]="","",(WTG_BD[[#This Row],[Work Start TimeStamp]]-WTG_BD[[#This Row],[Fault Start TimeStamp]])*24)</f>
        <v>0</v>
      </c>
      <c r="R403" s="253">
        <f>(WTG_BD[[#This Row],[Fault Clearance time]]-WTG_BD[[#This Row],[Work Start TimeStamp]])*24</f>
        <v>6.5666666666666673</v>
      </c>
      <c r="S403" s="253">
        <f>(WTG_BD[[#This Row],[Fault Clearance time]]-WTG_BD[[#This Row],[Fault Start TimeStamp]])*24</f>
        <v>6.5666666666666673</v>
      </c>
      <c r="T403" s="135" t="s">
        <v>555</v>
      </c>
      <c r="U403" s="244" t="s">
        <v>474</v>
      </c>
      <c r="V403" s="246">
        <f>WTG_BD[[#This Row],[Breakdown Time]]*(1/39)</f>
        <v>0.16837606837606839</v>
      </c>
      <c r="W403" s="244" t="s">
        <v>138</v>
      </c>
      <c r="X403" s="250">
        <v>1328.1083333333336</v>
      </c>
      <c r="Y403" s="135" t="s">
        <v>470</v>
      </c>
      <c r="Z403" s="135" t="s">
        <v>552</v>
      </c>
      <c r="AA403" s="135">
        <v>4854</v>
      </c>
      <c r="AB403" s="249">
        <f>(WTG_BD[[#This Row],[Paired WTG Generation for loss calculation.]]/24)*WTG_BD[[#This Row],[Breakdown Time]]</f>
        <v>1328.1083333333336</v>
      </c>
      <c r="AC403" s="135"/>
      <c r="AD403" s="245"/>
      <c r="AE403" s="3"/>
    </row>
    <row r="404" spans="1:31">
      <c r="A404" s="241">
        <f t="shared" si="13"/>
        <v>403</v>
      </c>
      <c r="B404" s="255">
        <v>45774</v>
      </c>
      <c r="C404" s="252">
        <v>2025</v>
      </c>
      <c r="D404" s="252">
        <f>YEAR(WTG_BD[[#This Row],[Date]])</f>
        <v>2025</v>
      </c>
      <c r="E404" s="251">
        <f t="shared" si="14"/>
        <v>45748</v>
      </c>
      <c r="F404" s="252" t="s">
        <v>465</v>
      </c>
      <c r="G404" s="248" t="s">
        <v>149</v>
      </c>
      <c r="H404" s="242" t="str">
        <f>IFERROR(VLOOKUP(WTG_BD[[#This Row],[Affected WTG]],'Basic Data'!$A$3:$E$56,2,0),"")</f>
        <v>PWEGPL</v>
      </c>
      <c r="I404" s="242" t="str">
        <f>IFERROR(VLOOKUP(WTG_BD[[#This Row],[Affected WTG]],'Basic Data'!$A$3:$E$56,3,0),"")</f>
        <v>MSEDCL</v>
      </c>
      <c r="J404" s="243">
        <f>IFERROR(VLOOKUP(WTG_BD[[#This Row],[Affected WTG]],'Basic Data'!$A$3:$E$56,5,0),"")</f>
        <v>2.564102564102564E-2</v>
      </c>
      <c r="K404" s="158">
        <v>5210</v>
      </c>
      <c r="L404" s="247" t="str">
        <f>VLOOKUP(K404,'Basic Data'!T:U,2,0)</f>
        <v>Failure Of The Contactor's Rotor Power</v>
      </c>
      <c r="M404" s="135" t="s">
        <v>472</v>
      </c>
      <c r="N404" s="256">
        <v>0.2986111111111111</v>
      </c>
      <c r="O404" s="256">
        <v>0.33750000000000002</v>
      </c>
      <c r="P404" s="256">
        <v>0.33888888888888891</v>
      </c>
      <c r="Q404" s="253">
        <f>IF(WTG_BD[[#This Row],[Work Start TimeStamp]]="","",(WTG_BD[[#This Row],[Work Start TimeStamp]]-WTG_BD[[#This Row],[Fault Start TimeStamp]])*24)</f>
        <v>0.93333333333333401</v>
      </c>
      <c r="R404" s="253">
        <f>(WTG_BD[[#This Row],[Fault Clearance time]]-WTG_BD[[#This Row],[Work Start TimeStamp]])*24</f>
        <v>3.3333333333333215E-2</v>
      </c>
      <c r="S404" s="253">
        <f>(WTG_BD[[#This Row],[Fault Clearance time]]-WTG_BD[[#This Row],[Fault Start TimeStamp]])*24</f>
        <v>0.96666666666666723</v>
      </c>
      <c r="T404" s="135" t="s">
        <v>473</v>
      </c>
      <c r="U404" s="244" t="s">
        <v>474</v>
      </c>
      <c r="V404" s="246">
        <f>WTG_BD[[#This Row],[Breakdown Time]]*(1/39)</f>
        <v>2.4786324786324799E-2</v>
      </c>
      <c r="W404" s="244" t="s">
        <v>148</v>
      </c>
      <c r="X404" s="250">
        <v>183.50555555555567</v>
      </c>
      <c r="Y404" s="135" t="s">
        <v>470</v>
      </c>
      <c r="Z404" s="135" t="s">
        <v>475</v>
      </c>
      <c r="AA404" s="135">
        <v>4556</v>
      </c>
      <c r="AB404" s="249">
        <f>(WTG_BD[[#This Row],[Paired WTG Generation for loss calculation.]]/24)*WTG_BD[[#This Row],[Breakdown Time]]</f>
        <v>183.50555555555567</v>
      </c>
      <c r="AC404" s="135"/>
      <c r="AD404" s="245"/>
      <c r="AE404" s="3"/>
    </row>
    <row r="405" spans="1:31">
      <c r="A405" s="241">
        <f t="shared" si="13"/>
        <v>404</v>
      </c>
      <c r="B405" s="255">
        <v>45774</v>
      </c>
      <c r="C405" s="252">
        <v>2025</v>
      </c>
      <c r="D405" s="252">
        <f>YEAR(WTG_BD[[#This Row],[Date]])</f>
        <v>2025</v>
      </c>
      <c r="E405" s="251">
        <f t="shared" si="14"/>
        <v>45748</v>
      </c>
      <c r="F405" s="252" t="s">
        <v>465</v>
      </c>
      <c r="G405" s="248" t="s">
        <v>153</v>
      </c>
      <c r="H405" s="242" t="str">
        <f>IFERROR(VLOOKUP(WTG_BD[[#This Row],[Affected WTG]],'Basic Data'!$A$3:$E$56,2,0),"")</f>
        <v>PWEGPL</v>
      </c>
      <c r="I405" s="242" t="str">
        <f>IFERROR(VLOOKUP(WTG_BD[[#This Row],[Affected WTG]],'Basic Data'!$A$3:$E$56,3,0),"")</f>
        <v>MSEDCL</v>
      </c>
      <c r="J405" s="243">
        <f>IFERROR(VLOOKUP(WTG_BD[[#This Row],[Affected WTG]],'Basic Data'!$A$3:$E$56,5,0),"")</f>
        <v>2.564102564102564E-2</v>
      </c>
      <c r="K405" s="158" t="s">
        <v>466</v>
      </c>
      <c r="L405" s="247" t="str">
        <f>VLOOKUP(K405,'Basic Data'!T:U,2,0)</f>
        <v>Manual Stop - Safety Related</v>
      </c>
      <c r="M405" s="135" t="s">
        <v>467</v>
      </c>
      <c r="N405" s="256">
        <v>0.4597222222222222</v>
      </c>
      <c r="O405" s="256">
        <v>0.4597222222222222</v>
      </c>
      <c r="P405" s="256">
        <v>0.59722222222222221</v>
      </c>
      <c r="Q405" s="253">
        <f>IF(WTG_BD[[#This Row],[Work Start TimeStamp]]="","",(WTG_BD[[#This Row],[Work Start TimeStamp]]-WTG_BD[[#This Row],[Fault Start TimeStamp]])*24)</f>
        <v>0</v>
      </c>
      <c r="R405" s="253">
        <f>(WTG_BD[[#This Row],[Fault Clearance time]]-WTG_BD[[#This Row],[Work Start TimeStamp]])*24</f>
        <v>3.3000000000000003</v>
      </c>
      <c r="S405" s="253">
        <f>(WTG_BD[[#This Row],[Fault Clearance time]]-WTG_BD[[#This Row],[Fault Start TimeStamp]])*24</f>
        <v>3.3000000000000003</v>
      </c>
      <c r="T405" s="135" t="s">
        <v>503</v>
      </c>
      <c r="U405" s="244" t="s">
        <v>474</v>
      </c>
      <c r="V405" s="246">
        <f>WTG_BD[[#This Row],[Breakdown Time]]*(1/39)</f>
        <v>8.461538461538462E-2</v>
      </c>
      <c r="W405" s="244" t="s">
        <v>152</v>
      </c>
      <c r="X405" s="250">
        <v>627.96249999999998</v>
      </c>
      <c r="Y405" s="135" t="s">
        <v>470</v>
      </c>
      <c r="Z405" s="135" t="s">
        <v>471</v>
      </c>
      <c r="AA405" s="135">
        <v>4567</v>
      </c>
      <c r="AB405" s="249">
        <f>(WTG_BD[[#This Row],[Paired WTG Generation for loss calculation.]]/24)*WTG_BD[[#This Row],[Breakdown Time]]</f>
        <v>627.96249999999998</v>
      </c>
      <c r="AC405" s="135"/>
      <c r="AD405" s="245"/>
      <c r="AE405" s="3"/>
    </row>
    <row r="406" spans="1:31">
      <c r="A406" s="241">
        <f t="shared" si="13"/>
        <v>405</v>
      </c>
      <c r="B406" s="255">
        <v>45774</v>
      </c>
      <c r="C406" s="252">
        <v>2025</v>
      </c>
      <c r="D406" s="252">
        <f>YEAR(WTG_BD[[#This Row],[Date]])</f>
        <v>2025</v>
      </c>
      <c r="E406" s="251">
        <f t="shared" si="14"/>
        <v>45748</v>
      </c>
      <c r="F406" s="252" t="s">
        <v>465</v>
      </c>
      <c r="G406" s="248" t="s">
        <v>136</v>
      </c>
      <c r="H406" s="242" t="str">
        <f>IFERROR(VLOOKUP(WTG_BD[[#This Row],[Affected WTG]],'Basic Data'!$A$3:$E$56,2,0),"")</f>
        <v>PWEGPL</v>
      </c>
      <c r="I406" s="242" t="str">
        <f>IFERROR(VLOOKUP(WTG_BD[[#This Row],[Affected WTG]],'Basic Data'!$A$3:$E$56,3,0),"")</f>
        <v>MSEDCL</v>
      </c>
      <c r="J406" s="243">
        <f>IFERROR(VLOOKUP(WTG_BD[[#This Row],[Affected WTG]],'Basic Data'!$A$3:$E$56,5,0),"")</f>
        <v>2.564102564102564E-2</v>
      </c>
      <c r="K406" s="158">
        <v>800</v>
      </c>
      <c r="L406" s="247" t="str">
        <f>VLOOKUP(K406,'Basic Data'!T:U,2,0)</f>
        <v>Pitch Drive Error</v>
      </c>
      <c r="M406" s="135" t="s">
        <v>472</v>
      </c>
      <c r="N406" s="256">
        <v>0.71180555555555558</v>
      </c>
      <c r="O406" s="256">
        <v>0.78125</v>
      </c>
      <c r="P406" s="256">
        <v>0.78333333333333333</v>
      </c>
      <c r="Q406" s="253">
        <f>IF(WTG_BD[[#This Row],[Work Start TimeStamp]]="","",(WTG_BD[[#This Row],[Work Start TimeStamp]]-WTG_BD[[#This Row],[Fault Start TimeStamp]])*24)</f>
        <v>1.6666666666666661</v>
      </c>
      <c r="R406" s="253">
        <f>(WTG_BD[[#This Row],[Fault Clearance time]]-WTG_BD[[#This Row],[Work Start TimeStamp]])*24</f>
        <v>4.9999999999999822E-2</v>
      </c>
      <c r="S406" s="253">
        <f>(WTG_BD[[#This Row],[Fault Clearance time]]-WTG_BD[[#This Row],[Fault Start TimeStamp]])*24</f>
        <v>1.7166666666666659</v>
      </c>
      <c r="T406" s="135" t="s">
        <v>482</v>
      </c>
      <c r="U406" s="244" t="s">
        <v>474</v>
      </c>
      <c r="V406" s="246">
        <f>WTG_BD[[#This Row],[Breakdown Time]]*(1/39)</f>
        <v>4.4017094017093993E-2</v>
      </c>
      <c r="W406" s="244" t="s">
        <v>135</v>
      </c>
      <c r="X406" s="250">
        <v>346.5520833333332</v>
      </c>
      <c r="Y406" s="135" t="s">
        <v>470</v>
      </c>
      <c r="Z406" s="135" t="s">
        <v>475</v>
      </c>
      <c r="AA406" s="135">
        <v>4845</v>
      </c>
      <c r="AB406" s="249">
        <f>(WTG_BD[[#This Row],[Paired WTG Generation for loss calculation.]]/24)*WTG_BD[[#This Row],[Breakdown Time]]</f>
        <v>346.5520833333332</v>
      </c>
      <c r="AC406" s="135"/>
      <c r="AD406" s="245"/>
      <c r="AE406" s="3"/>
    </row>
    <row r="407" spans="1:31">
      <c r="A407" s="241">
        <f t="shared" si="13"/>
        <v>406</v>
      </c>
      <c r="B407" s="255">
        <v>45775</v>
      </c>
      <c r="C407" s="252">
        <v>2025</v>
      </c>
      <c r="D407" s="252">
        <f>YEAR(WTG_BD[[#This Row],[Date]])</f>
        <v>2025</v>
      </c>
      <c r="E407" s="251">
        <f t="shared" si="14"/>
        <v>45748</v>
      </c>
      <c r="F407" s="252" t="s">
        <v>465</v>
      </c>
      <c r="G407" s="248" t="s">
        <v>144</v>
      </c>
      <c r="H407" s="242" t="str">
        <f>IFERROR(VLOOKUP(WTG_BD[[#This Row],[Affected WTG]],'Basic Data'!$A$3:$E$56,2,0),"")</f>
        <v>PWEGPL</v>
      </c>
      <c r="I407" s="242" t="str">
        <f>IFERROR(VLOOKUP(WTG_BD[[#This Row],[Affected WTG]],'Basic Data'!$A$3:$E$56,3,0),"")</f>
        <v>MSEDCL</v>
      </c>
      <c r="J407" s="243">
        <f>IFERROR(VLOOKUP(WTG_BD[[#This Row],[Affected WTG]],'Basic Data'!$A$3:$E$56,5,0),"")</f>
        <v>2.564102564102564E-2</v>
      </c>
      <c r="K407" s="158" t="s">
        <v>466</v>
      </c>
      <c r="L407" s="247" t="str">
        <f>VLOOKUP(K407,'Basic Data'!T:U,2,0)</f>
        <v>Manual Stop - Safety Related</v>
      </c>
      <c r="M407" s="135" t="s">
        <v>467</v>
      </c>
      <c r="N407" s="256">
        <v>0</v>
      </c>
      <c r="O407" s="256">
        <v>0.99930555555555556</v>
      </c>
      <c r="P407" s="256">
        <v>0.99930555555555556</v>
      </c>
      <c r="Q407" s="253">
        <f>IF(WTG_BD[[#This Row],[Work Start TimeStamp]]="","",(WTG_BD[[#This Row],[Work Start TimeStamp]]-WTG_BD[[#This Row],[Fault Start TimeStamp]])*24)</f>
        <v>23.983333333333334</v>
      </c>
      <c r="R407" s="253">
        <f>(WTG_BD[[#This Row],[Fault Clearance time]]-WTG_BD[[#This Row],[Work Start TimeStamp]])*24</f>
        <v>0</v>
      </c>
      <c r="S407" s="253">
        <f>(WTG_BD[[#This Row],[Fault Clearance time]]-WTG_BD[[#This Row],[Fault Start TimeStamp]])*24</f>
        <v>23.983333333333334</v>
      </c>
      <c r="T407" s="135" t="s">
        <v>468</v>
      </c>
      <c r="U407" s="244" t="s">
        <v>469</v>
      </c>
      <c r="V407" s="246">
        <f>WTG_BD[[#This Row],[Breakdown Time]]*(1/39)</f>
        <v>0.61495726495726499</v>
      </c>
      <c r="W407" s="244" t="s">
        <v>141</v>
      </c>
      <c r="X407" s="250">
        <v>6649.3791666666666</v>
      </c>
      <c r="Y407" s="135" t="s">
        <v>470</v>
      </c>
      <c r="Z407" s="135" t="s">
        <v>471</v>
      </c>
      <c r="AA407" s="135">
        <v>6654</v>
      </c>
      <c r="AB407" s="249">
        <f>(WTG_BD[[#This Row],[Paired WTG Generation for loss calculation.]]/24)*WTG_BD[[#This Row],[Breakdown Time]]</f>
        <v>6649.3791666666666</v>
      </c>
      <c r="AC407" s="135"/>
      <c r="AD407" s="245"/>
      <c r="AE407" s="3"/>
    </row>
    <row r="408" spans="1:31">
      <c r="A408" s="241">
        <f t="shared" si="13"/>
        <v>407</v>
      </c>
      <c r="B408" s="255">
        <v>45775</v>
      </c>
      <c r="C408" s="252">
        <v>2025</v>
      </c>
      <c r="D408" s="252">
        <f>YEAR(WTG_BD[[#This Row],[Date]])</f>
        <v>2025</v>
      </c>
      <c r="E408" s="251">
        <f t="shared" si="14"/>
        <v>45748</v>
      </c>
      <c r="F408" s="252" t="s">
        <v>465</v>
      </c>
      <c r="G408" s="248" t="s">
        <v>142</v>
      </c>
      <c r="H408" s="242" t="str">
        <f>IFERROR(VLOOKUP(WTG_BD[[#This Row],[Affected WTG]],'Basic Data'!$A$3:$E$56,2,0),"")</f>
        <v>PWEGPL</v>
      </c>
      <c r="I408" s="242" t="str">
        <f>IFERROR(VLOOKUP(WTG_BD[[#This Row],[Affected WTG]],'Basic Data'!$A$3:$E$56,3,0),"")</f>
        <v>MSEDCL</v>
      </c>
      <c r="J408" s="243">
        <f>IFERROR(VLOOKUP(WTG_BD[[#This Row],[Affected WTG]],'Basic Data'!$A$3:$E$56,5,0),"")</f>
        <v>2.564102564102564E-2</v>
      </c>
      <c r="K408" s="158" t="s">
        <v>466</v>
      </c>
      <c r="L408" s="247" t="str">
        <f>VLOOKUP(K408,'Basic Data'!T:U,2,0)</f>
        <v>Manual Stop - Safety Related</v>
      </c>
      <c r="M408" s="135" t="s">
        <v>467</v>
      </c>
      <c r="N408" s="256">
        <v>0</v>
      </c>
      <c r="O408" s="256">
        <v>0.99930555555555556</v>
      </c>
      <c r="P408" s="256">
        <v>0.99930555555555556</v>
      </c>
      <c r="Q408" s="253">
        <f>IF(WTG_BD[[#This Row],[Work Start TimeStamp]]="","",(WTG_BD[[#This Row],[Work Start TimeStamp]]-WTG_BD[[#This Row],[Fault Start TimeStamp]])*24)</f>
        <v>23.983333333333334</v>
      </c>
      <c r="R408" s="253">
        <f>(WTG_BD[[#This Row],[Fault Clearance time]]-WTG_BD[[#This Row],[Work Start TimeStamp]])*24</f>
        <v>0</v>
      </c>
      <c r="S408" s="253">
        <f>(WTG_BD[[#This Row],[Fault Clearance time]]-WTG_BD[[#This Row],[Fault Start TimeStamp]])*24</f>
        <v>23.983333333333334</v>
      </c>
      <c r="T408" s="135" t="s">
        <v>468</v>
      </c>
      <c r="U408" s="244" t="s">
        <v>469</v>
      </c>
      <c r="V408" s="246">
        <f>WTG_BD[[#This Row],[Breakdown Time]]*(1/39)</f>
        <v>0.61495726495726499</v>
      </c>
      <c r="W408" s="244" t="s">
        <v>141</v>
      </c>
      <c r="X408" s="250">
        <v>6649.3791666666666</v>
      </c>
      <c r="Y408" s="135" t="s">
        <v>470</v>
      </c>
      <c r="Z408" s="135" t="s">
        <v>471</v>
      </c>
      <c r="AA408" s="135">
        <v>6654</v>
      </c>
      <c r="AB408" s="249">
        <f>(WTG_BD[[#This Row],[Paired WTG Generation for loss calculation.]]/24)*WTG_BD[[#This Row],[Breakdown Time]]</f>
        <v>6649.3791666666666</v>
      </c>
      <c r="AC408" s="135"/>
      <c r="AD408" s="245"/>
      <c r="AE408" s="3"/>
    </row>
    <row r="409" spans="1:31">
      <c r="A409" s="241">
        <f t="shared" si="13"/>
        <v>408</v>
      </c>
      <c r="B409" s="255">
        <v>45775</v>
      </c>
      <c r="C409" s="252">
        <v>2025</v>
      </c>
      <c r="D409" s="252">
        <f>YEAR(WTG_BD[[#This Row],[Date]])</f>
        <v>2025</v>
      </c>
      <c r="E409" s="251">
        <f t="shared" si="14"/>
        <v>45748</v>
      </c>
      <c r="F409" s="252" t="s">
        <v>465</v>
      </c>
      <c r="G409" s="248" t="s">
        <v>118</v>
      </c>
      <c r="H409" s="242" t="str">
        <f>IFERROR(VLOOKUP(WTG_BD[[#This Row],[Affected WTG]],'Basic Data'!$A$3:$E$56,2,0),"")</f>
        <v>PWEGPL</v>
      </c>
      <c r="I409" s="242" t="str">
        <f>IFERROR(VLOOKUP(WTG_BD[[#This Row],[Affected WTG]],'Basic Data'!$A$3:$E$56,3,0),"")</f>
        <v>MSEDCL</v>
      </c>
      <c r="J409" s="243">
        <f>IFERROR(VLOOKUP(WTG_BD[[#This Row],[Affected WTG]],'Basic Data'!$A$3:$E$56,5,0),"")</f>
        <v>2.564102564102564E-2</v>
      </c>
      <c r="K409" s="158" t="s">
        <v>466</v>
      </c>
      <c r="L409" s="247" t="str">
        <f>VLOOKUP(K409,'Basic Data'!T:U,2,0)</f>
        <v>Manual Stop - Safety Related</v>
      </c>
      <c r="M409" s="135" t="s">
        <v>467</v>
      </c>
      <c r="N409" s="256">
        <v>0.4597222222222222</v>
      </c>
      <c r="O409" s="256">
        <v>0.4597222222222222</v>
      </c>
      <c r="P409" s="256">
        <v>0.60069444444444442</v>
      </c>
      <c r="Q409" s="253">
        <f>IF(WTG_BD[[#This Row],[Work Start TimeStamp]]="","",(WTG_BD[[#This Row],[Work Start TimeStamp]]-WTG_BD[[#This Row],[Fault Start TimeStamp]])*24)</f>
        <v>0</v>
      </c>
      <c r="R409" s="253">
        <f>(WTG_BD[[#This Row],[Fault Clearance time]]-WTG_BD[[#This Row],[Work Start TimeStamp]])*24</f>
        <v>3.3833333333333333</v>
      </c>
      <c r="S409" s="253">
        <f>(WTG_BD[[#This Row],[Fault Clearance time]]-WTG_BD[[#This Row],[Fault Start TimeStamp]])*24</f>
        <v>3.3833333333333333</v>
      </c>
      <c r="T409" s="135" t="s">
        <v>503</v>
      </c>
      <c r="U409" s="244" t="s">
        <v>474</v>
      </c>
      <c r="V409" s="246">
        <f>WTG_BD[[#This Row],[Breakdown Time]]*(1/39)</f>
        <v>8.6752136752136749E-2</v>
      </c>
      <c r="W409" s="244" t="s">
        <v>117</v>
      </c>
      <c r="X409" s="250">
        <v>1134.9673611111111</v>
      </c>
      <c r="Y409" s="135" t="s">
        <v>470</v>
      </c>
      <c r="Z409" s="135" t="s">
        <v>471</v>
      </c>
      <c r="AA409" s="135">
        <v>8051</v>
      </c>
      <c r="AB409" s="249">
        <f>(WTG_BD[[#This Row],[Paired WTG Generation for loss calculation.]]/24)*WTG_BD[[#This Row],[Breakdown Time]]</f>
        <v>1134.9673611111111</v>
      </c>
      <c r="AC409" s="135"/>
      <c r="AD409" s="245"/>
      <c r="AE409" s="3"/>
    </row>
    <row r="410" spans="1:31">
      <c r="A410" s="241">
        <f t="shared" si="13"/>
        <v>409</v>
      </c>
      <c r="B410" s="255">
        <v>45775</v>
      </c>
      <c r="C410" s="252">
        <v>2025</v>
      </c>
      <c r="D410" s="252">
        <f>YEAR(WTG_BD[[#This Row],[Date]])</f>
        <v>2025</v>
      </c>
      <c r="E410" s="251">
        <f t="shared" si="14"/>
        <v>45748</v>
      </c>
      <c r="F410" s="252" t="s">
        <v>465</v>
      </c>
      <c r="G410" s="248" t="s">
        <v>134</v>
      </c>
      <c r="H410" s="242" t="str">
        <f>IFERROR(VLOOKUP(WTG_BD[[#This Row],[Affected WTG]],'Basic Data'!$A$3:$E$56,2,0),"")</f>
        <v>PWEGPL</v>
      </c>
      <c r="I410" s="242" t="str">
        <f>IFERROR(VLOOKUP(WTG_BD[[#This Row],[Affected WTG]],'Basic Data'!$A$3:$E$56,3,0),"")</f>
        <v>MSEDCL</v>
      </c>
      <c r="J410" s="243">
        <f>IFERROR(VLOOKUP(WTG_BD[[#This Row],[Affected WTG]],'Basic Data'!$A$3:$E$56,5,0),"")</f>
        <v>2.564102564102564E-2</v>
      </c>
      <c r="K410" s="158">
        <v>205</v>
      </c>
      <c r="L410" s="247" t="str">
        <f>VLOOKUP(K410,'Basic Data'!T:U,2,0)</f>
        <v>Low Level Hydraulic Group Refrigeration Oil</v>
      </c>
      <c r="M410" s="135" t="s">
        <v>472</v>
      </c>
      <c r="N410" s="256">
        <v>0.50277777777777777</v>
      </c>
      <c r="O410" s="256">
        <v>0.52638888888888891</v>
      </c>
      <c r="P410" s="256">
        <v>0.65208333333333335</v>
      </c>
      <c r="Q410" s="253">
        <f>IF(WTG_BD[[#This Row],[Work Start TimeStamp]]="","",(WTG_BD[[#This Row],[Work Start TimeStamp]]-WTG_BD[[#This Row],[Fault Start TimeStamp]])*24)</f>
        <v>0.56666666666666732</v>
      </c>
      <c r="R410" s="253">
        <f>(WTG_BD[[#This Row],[Fault Clearance time]]-WTG_BD[[#This Row],[Work Start TimeStamp]])*24</f>
        <v>3.0166666666666666</v>
      </c>
      <c r="S410" s="253">
        <f>(WTG_BD[[#This Row],[Fault Clearance time]]-WTG_BD[[#This Row],[Fault Start TimeStamp]])*24</f>
        <v>3.5833333333333339</v>
      </c>
      <c r="T410" s="135" t="s">
        <v>556</v>
      </c>
      <c r="U410" s="244" t="s">
        <v>474</v>
      </c>
      <c r="V410" s="246">
        <f>WTG_BD[[#This Row],[Breakdown Time]]*(1/39)</f>
        <v>9.1880341880341887E-2</v>
      </c>
      <c r="W410" s="244" t="s">
        <v>133</v>
      </c>
      <c r="X410" s="250">
        <v>1172.4965277777778</v>
      </c>
      <c r="Y410" s="135" t="s">
        <v>470</v>
      </c>
      <c r="Z410" s="135" t="s">
        <v>475</v>
      </c>
      <c r="AA410" s="135">
        <v>7853</v>
      </c>
      <c r="AB410" s="249">
        <f>(WTG_BD[[#This Row],[Paired WTG Generation for loss calculation.]]/24)*WTG_BD[[#This Row],[Breakdown Time]]</f>
        <v>1172.4965277777778</v>
      </c>
      <c r="AC410" s="135"/>
      <c r="AD410" s="245"/>
      <c r="AE410" s="3"/>
    </row>
    <row r="411" spans="1:31">
      <c r="A411" s="241">
        <f t="shared" si="13"/>
        <v>410</v>
      </c>
      <c r="B411" s="255">
        <v>45775</v>
      </c>
      <c r="C411" s="252">
        <v>2025</v>
      </c>
      <c r="D411" s="252">
        <f>YEAR(WTG_BD[[#This Row],[Date]])</f>
        <v>2025</v>
      </c>
      <c r="E411" s="251">
        <f t="shared" si="14"/>
        <v>45748</v>
      </c>
      <c r="F411" s="252" t="s">
        <v>465</v>
      </c>
      <c r="G411" s="248" t="s">
        <v>143</v>
      </c>
      <c r="H411" s="242" t="str">
        <f>IFERROR(VLOOKUP(WTG_BD[[#This Row],[Affected WTG]],'Basic Data'!$A$3:$E$56,2,0),"")</f>
        <v>PWEGPL</v>
      </c>
      <c r="I411" s="242" t="str">
        <f>IFERROR(VLOOKUP(WTG_BD[[#This Row],[Affected WTG]],'Basic Data'!$A$3:$E$56,3,0),"")</f>
        <v>MSEDCL</v>
      </c>
      <c r="J411" s="243">
        <f>IFERROR(VLOOKUP(WTG_BD[[#This Row],[Affected WTG]],'Basic Data'!$A$3:$E$56,5,0),"")</f>
        <v>2.564102564102564E-2</v>
      </c>
      <c r="K411" s="158" t="s">
        <v>523</v>
      </c>
      <c r="L411" s="247" t="str">
        <f>VLOOKUP(K411,'Basic Data'!T:U,2,0)</f>
        <v>Manual Stop</v>
      </c>
      <c r="M411" s="135" t="s">
        <v>550</v>
      </c>
      <c r="N411" s="256">
        <v>0.46875</v>
      </c>
      <c r="O411" s="256">
        <v>0.46875</v>
      </c>
      <c r="P411" s="256">
        <v>0.71180555555555558</v>
      </c>
      <c r="Q411" s="253">
        <f>IF(WTG_BD[[#This Row],[Work Start TimeStamp]]="","",(WTG_BD[[#This Row],[Work Start TimeStamp]]-WTG_BD[[#This Row],[Fault Start TimeStamp]])*24)</f>
        <v>0</v>
      </c>
      <c r="R411" s="253">
        <f>(WTG_BD[[#This Row],[Fault Clearance time]]-WTG_BD[[#This Row],[Work Start TimeStamp]])*24</f>
        <v>5.8333333333333339</v>
      </c>
      <c r="S411" s="253">
        <f>(WTG_BD[[#This Row],[Fault Clearance time]]-WTG_BD[[#This Row],[Fault Start TimeStamp]])*24</f>
        <v>5.8333333333333339</v>
      </c>
      <c r="T411" s="135" t="s">
        <v>555</v>
      </c>
      <c r="U411" s="244" t="s">
        <v>474</v>
      </c>
      <c r="V411" s="246">
        <f>WTG_BD[[#This Row],[Breakdown Time]]*(1/39)</f>
        <v>0.1495726495726496</v>
      </c>
      <c r="W411" s="244" t="s">
        <v>141</v>
      </c>
      <c r="X411" s="250">
        <v>1617.2916666666667</v>
      </c>
      <c r="Y411" s="135" t="s">
        <v>470</v>
      </c>
      <c r="Z411" s="135" t="s">
        <v>552</v>
      </c>
      <c r="AA411" s="135">
        <v>6654</v>
      </c>
      <c r="AB411" s="249">
        <f>(WTG_BD[[#This Row],[Paired WTG Generation for loss calculation.]]/24)*WTG_BD[[#This Row],[Breakdown Time]]</f>
        <v>1617.2916666666667</v>
      </c>
      <c r="AC411" s="135"/>
      <c r="AD411" s="245"/>
      <c r="AE411" s="3"/>
    </row>
    <row r="412" spans="1:31">
      <c r="A412" s="241">
        <f t="shared" si="13"/>
        <v>411</v>
      </c>
      <c r="B412" s="255">
        <v>45775</v>
      </c>
      <c r="C412" s="252">
        <v>2025</v>
      </c>
      <c r="D412" s="252">
        <f>YEAR(WTG_BD[[#This Row],[Date]])</f>
        <v>2025</v>
      </c>
      <c r="E412" s="251">
        <f t="shared" si="14"/>
        <v>45748</v>
      </c>
      <c r="F412" s="252" t="s">
        <v>465</v>
      </c>
      <c r="G412" s="248" t="s">
        <v>149</v>
      </c>
      <c r="H412" s="242" t="str">
        <f>IFERROR(VLOOKUP(WTG_BD[[#This Row],[Affected WTG]],'Basic Data'!$A$3:$E$56,2,0),"")</f>
        <v>PWEGPL</v>
      </c>
      <c r="I412" s="242" t="str">
        <f>IFERROR(VLOOKUP(WTG_BD[[#This Row],[Affected WTG]],'Basic Data'!$A$3:$E$56,3,0),"")</f>
        <v>MSEDCL</v>
      </c>
      <c r="J412" s="243">
        <f>IFERROR(VLOOKUP(WTG_BD[[#This Row],[Affected WTG]],'Basic Data'!$A$3:$E$56,5,0),"")</f>
        <v>2.564102564102564E-2</v>
      </c>
      <c r="K412" s="158">
        <v>110</v>
      </c>
      <c r="L412" s="247" t="str">
        <f>VLOOKUP(K412,'Basic Data'!T:U,2,0)</f>
        <v>Yaw Sensor Wiring Error</v>
      </c>
      <c r="M412" s="135" t="s">
        <v>472</v>
      </c>
      <c r="N412" s="256">
        <v>0.62847222222222221</v>
      </c>
      <c r="O412" s="256">
        <v>0.65416666666666667</v>
      </c>
      <c r="P412" s="256">
        <v>0.65486111111111112</v>
      </c>
      <c r="Q412" s="253">
        <f>IF(WTG_BD[[#This Row],[Work Start TimeStamp]]="","",(WTG_BD[[#This Row],[Work Start TimeStamp]]-WTG_BD[[#This Row],[Fault Start TimeStamp]])*24)</f>
        <v>0.61666666666666714</v>
      </c>
      <c r="R412" s="253">
        <f>(WTG_BD[[#This Row],[Fault Clearance time]]-WTG_BD[[#This Row],[Work Start TimeStamp]])*24</f>
        <v>1.6666666666666607E-2</v>
      </c>
      <c r="S412" s="253">
        <f>(WTG_BD[[#This Row],[Fault Clearance time]]-WTG_BD[[#This Row],[Fault Start TimeStamp]])*24</f>
        <v>0.63333333333333375</v>
      </c>
      <c r="T412" s="135" t="s">
        <v>473</v>
      </c>
      <c r="U412" s="244" t="s">
        <v>474</v>
      </c>
      <c r="V412" s="246">
        <f>WTG_BD[[#This Row],[Breakdown Time]]*(1/39)</f>
        <v>1.6239316239316251E-2</v>
      </c>
      <c r="W412" s="244" t="s">
        <v>148</v>
      </c>
      <c r="X412" s="250">
        <v>186.35833333333346</v>
      </c>
      <c r="Y412" s="135" t="s">
        <v>470</v>
      </c>
      <c r="Z412" s="135" t="s">
        <v>475</v>
      </c>
      <c r="AA412" s="135">
        <v>7062</v>
      </c>
      <c r="AB412" s="249">
        <f>(WTG_BD[[#This Row],[Paired WTG Generation for loss calculation.]]/24)*WTG_BD[[#This Row],[Breakdown Time]]</f>
        <v>186.35833333333346</v>
      </c>
      <c r="AC412" s="135"/>
      <c r="AD412" s="245"/>
      <c r="AE412" s="3"/>
    </row>
    <row r="413" spans="1:31">
      <c r="A413" s="241">
        <f t="shared" si="13"/>
        <v>412</v>
      </c>
      <c r="B413" s="255">
        <v>45776</v>
      </c>
      <c r="C413" s="252">
        <v>2025</v>
      </c>
      <c r="D413" s="252">
        <f>YEAR(WTG_BD[[#This Row],[Date]])</f>
        <v>2025</v>
      </c>
      <c r="E413" s="251">
        <f t="shared" si="14"/>
        <v>45748</v>
      </c>
      <c r="F413" s="252" t="s">
        <v>465</v>
      </c>
      <c r="G413" s="248" t="s">
        <v>144</v>
      </c>
      <c r="H413" s="242" t="str">
        <f>IFERROR(VLOOKUP(WTG_BD[[#This Row],[Affected WTG]],'Basic Data'!$A$3:$E$56,2,0),"")</f>
        <v>PWEGPL</v>
      </c>
      <c r="I413" s="242" t="str">
        <f>IFERROR(VLOOKUP(WTG_BD[[#This Row],[Affected WTG]],'Basic Data'!$A$3:$E$56,3,0),"")</f>
        <v>MSEDCL</v>
      </c>
      <c r="J413" s="243">
        <f>IFERROR(VLOOKUP(WTG_BD[[#This Row],[Affected WTG]],'Basic Data'!$A$3:$E$56,5,0),"")</f>
        <v>2.564102564102564E-2</v>
      </c>
      <c r="K413" s="158" t="s">
        <v>466</v>
      </c>
      <c r="L413" s="247" t="str">
        <f>VLOOKUP(K413,'Basic Data'!T:U,2,0)</f>
        <v>Manual Stop - Safety Related</v>
      </c>
      <c r="M413" s="135" t="s">
        <v>467</v>
      </c>
      <c r="N413" s="256">
        <v>0</v>
      </c>
      <c r="O413" s="256">
        <v>0.99930555555555556</v>
      </c>
      <c r="P413" s="256">
        <v>0.99930555555555556</v>
      </c>
      <c r="Q413" s="253">
        <f>IF(WTG_BD[[#This Row],[Work Start TimeStamp]]="","",(WTG_BD[[#This Row],[Work Start TimeStamp]]-WTG_BD[[#This Row],[Fault Start TimeStamp]])*24)</f>
        <v>23.983333333333334</v>
      </c>
      <c r="R413" s="253">
        <f>(WTG_BD[[#This Row],[Fault Clearance time]]-WTG_BD[[#This Row],[Work Start TimeStamp]])*24</f>
        <v>0</v>
      </c>
      <c r="S413" s="253">
        <f>(WTG_BD[[#This Row],[Fault Clearance time]]-WTG_BD[[#This Row],[Fault Start TimeStamp]])*24</f>
        <v>23.983333333333334</v>
      </c>
      <c r="T413" s="135" t="s">
        <v>468</v>
      </c>
      <c r="U413" s="244" t="s">
        <v>469</v>
      </c>
      <c r="V413" s="246">
        <f>WTG_BD[[#This Row],[Breakdown Time]]*(1/39)</f>
        <v>0.61495726495726499</v>
      </c>
      <c r="W413" s="244" t="s">
        <v>141</v>
      </c>
      <c r="X413" s="250">
        <v>5563.1340277777781</v>
      </c>
      <c r="Y413" s="135" t="s">
        <v>470</v>
      </c>
      <c r="Z413" s="135" t="s">
        <v>471</v>
      </c>
      <c r="AA413" s="135">
        <v>5567</v>
      </c>
      <c r="AB413" s="249">
        <f>(WTG_BD[[#This Row],[Paired WTG Generation for loss calculation.]]/24)*WTG_BD[[#This Row],[Breakdown Time]]</f>
        <v>5563.1340277777781</v>
      </c>
      <c r="AC413" s="135"/>
      <c r="AD413" s="245"/>
      <c r="AE413" s="3"/>
    </row>
    <row r="414" spans="1:31">
      <c r="A414" s="241">
        <f t="shared" si="13"/>
        <v>413</v>
      </c>
      <c r="B414" s="255">
        <v>45776</v>
      </c>
      <c r="C414" s="252">
        <v>2025</v>
      </c>
      <c r="D414" s="252">
        <f>YEAR(WTG_BD[[#This Row],[Date]])</f>
        <v>2025</v>
      </c>
      <c r="E414" s="251">
        <f t="shared" si="14"/>
        <v>45748</v>
      </c>
      <c r="F414" s="252" t="s">
        <v>465</v>
      </c>
      <c r="G414" s="248" t="s">
        <v>142</v>
      </c>
      <c r="H414" s="242" t="str">
        <f>IFERROR(VLOOKUP(WTG_BD[[#This Row],[Affected WTG]],'Basic Data'!$A$3:$E$56,2,0),"")</f>
        <v>PWEGPL</v>
      </c>
      <c r="I414" s="242" t="str">
        <f>IFERROR(VLOOKUP(WTG_BD[[#This Row],[Affected WTG]],'Basic Data'!$A$3:$E$56,3,0),"")</f>
        <v>MSEDCL</v>
      </c>
      <c r="J414" s="243">
        <f>IFERROR(VLOOKUP(WTG_BD[[#This Row],[Affected WTG]],'Basic Data'!$A$3:$E$56,5,0),"")</f>
        <v>2.564102564102564E-2</v>
      </c>
      <c r="K414" s="158" t="s">
        <v>466</v>
      </c>
      <c r="L414" s="247" t="str">
        <f>VLOOKUP(K414,'Basic Data'!T:U,2,0)</f>
        <v>Manual Stop - Safety Related</v>
      </c>
      <c r="M414" s="135" t="s">
        <v>467</v>
      </c>
      <c r="N414" s="256">
        <v>0</v>
      </c>
      <c r="O414" s="256">
        <v>0.99930555555555556</v>
      </c>
      <c r="P414" s="256">
        <v>0.99930555555555556</v>
      </c>
      <c r="Q414" s="253">
        <f>IF(WTG_BD[[#This Row],[Work Start TimeStamp]]="","",(WTG_BD[[#This Row],[Work Start TimeStamp]]-WTG_BD[[#This Row],[Fault Start TimeStamp]])*24)</f>
        <v>23.983333333333334</v>
      </c>
      <c r="R414" s="253">
        <f>(WTG_BD[[#This Row],[Fault Clearance time]]-WTG_BD[[#This Row],[Work Start TimeStamp]])*24</f>
        <v>0</v>
      </c>
      <c r="S414" s="253">
        <f>(WTG_BD[[#This Row],[Fault Clearance time]]-WTG_BD[[#This Row],[Fault Start TimeStamp]])*24</f>
        <v>23.983333333333334</v>
      </c>
      <c r="T414" s="135" t="s">
        <v>468</v>
      </c>
      <c r="U414" s="244" t="s">
        <v>469</v>
      </c>
      <c r="V414" s="246">
        <f>WTG_BD[[#This Row],[Breakdown Time]]*(1/39)</f>
        <v>0.61495726495726499</v>
      </c>
      <c r="W414" s="244" t="s">
        <v>141</v>
      </c>
      <c r="X414" s="250">
        <v>5563.1340277777781</v>
      </c>
      <c r="Y414" s="135" t="s">
        <v>470</v>
      </c>
      <c r="Z414" s="135" t="s">
        <v>471</v>
      </c>
      <c r="AA414" s="135">
        <v>5567</v>
      </c>
      <c r="AB414" s="249">
        <f>(WTG_BD[[#This Row],[Paired WTG Generation for loss calculation.]]/24)*WTG_BD[[#This Row],[Breakdown Time]]</f>
        <v>5563.1340277777781</v>
      </c>
      <c r="AC414" s="135"/>
      <c r="AD414" s="245"/>
      <c r="AE414" s="3"/>
    </row>
    <row r="415" spans="1:31">
      <c r="A415" s="241">
        <f t="shared" si="13"/>
        <v>414</v>
      </c>
      <c r="B415" s="255">
        <v>45776</v>
      </c>
      <c r="C415" s="252">
        <v>2025</v>
      </c>
      <c r="D415" s="252">
        <f>YEAR(WTG_BD[[#This Row],[Date]])</f>
        <v>2025</v>
      </c>
      <c r="E415" s="251">
        <f t="shared" si="14"/>
        <v>45748</v>
      </c>
      <c r="F415" s="252" t="s">
        <v>465</v>
      </c>
      <c r="G415" s="248" t="s">
        <v>121</v>
      </c>
      <c r="H415" s="242" t="str">
        <f>IFERROR(VLOOKUP(WTG_BD[[#This Row],[Affected WTG]],'Basic Data'!$A$3:$E$56,2,0),"")</f>
        <v>PWEGPL</v>
      </c>
      <c r="I415" s="242" t="str">
        <f>IFERROR(VLOOKUP(WTG_BD[[#This Row],[Affected WTG]],'Basic Data'!$A$3:$E$56,3,0),"")</f>
        <v>MSEDCL</v>
      </c>
      <c r="J415" s="243">
        <f>IFERROR(VLOOKUP(WTG_BD[[#This Row],[Affected WTG]],'Basic Data'!$A$3:$E$56,5,0),"")</f>
        <v>2.564102564102564E-2</v>
      </c>
      <c r="K415" s="158">
        <v>410</v>
      </c>
      <c r="L415" s="247" t="str">
        <f>VLOOKUP(K415,'Basic Data'!T:U,2,0)</f>
        <v>OGS</v>
      </c>
      <c r="M415" s="135" t="s">
        <v>472</v>
      </c>
      <c r="N415" s="256">
        <v>0.63888888888888884</v>
      </c>
      <c r="O415" s="256">
        <v>0.67152777777777772</v>
      </c>
      <c r="P415" s="256">
        <v>0.6875</v>
      </c>
      <c r="Q415" s="253">
        <f>IF(WTG_BD[[#This Row],[Work Start TimeStamp]]="","",(WTG_BD[[#This Row],[Work Start TimeStamp]]-WTG_BD[[#This Row],[Fault Start TimeStamp]])*24)</f>
        <v>0.78333333333333321</v>
      </c>
      <c r="R415" s="253">
        <f>(WTG_BD[[#This Row],[Fault Clearance time]]-WTG_BD[[#This Row],[Work Start TimeStamp]])*24</f>
        <v>0.38333333333333464</v>
      </c>
      <c r="S415" s="253">
        <f>(WTG_BD[[#This Row],[Fault Clearance time]]-WTG_BD[[#This Row],[Fault Start TimeStamp]])*24</f>
        <v>1.1666666666666679</v>
      </c>
      <c r="T415" s="135" t="s">
        <v>557</v>
      </c>
      <c r="U415" s="244" t="s">
        <v>474</v>
      </c>
      <c r="V415" s="246">
        <f>WTG_BD[[#This Row],[Breakdown Time]]*(1/39)</f>
        <v>2.9914529914529944E-2</v>
      </c>
      <c r="W415" s="244" t="s">
        <v>115</v>
      </c>
      <c r="X415" s="250">
        <v>313.97916666666697</v>
      </c>
      <c r="Y415" s="135" t="s">
        <v>470</v>
      </c>
      <c r="Z415" s="135" t="s">
        <v>475</v>
      </c>
      <c r="AA415" s="135">
        <v>6459</v>
      </c>
      <c r="AB415" s="249">
        <f>(WTG_BD[[#This Row],[Paired WTG Generation for loss calculation.]]/24)*WTG_BD[[#This Row],[Breakdown Time]]</f>
        <v>313.97916666666697</v>
      </c>
      <c r="AC415" s="135"/>
      <c r="AD415" s="245"/>
      <c r="AE415" s="3"/>
    </row>
    <row r="416" spans="1:31">
      <c r="A416" s="241">
        <f t="shared" si="13"/>
        <v>415</v>
      </c>
      <c r="B416" s="255">
        <v>45776</v>
      </c>
      <c r="C416" s="252">
        <v>2025</v>
      </c>
      <c r="D416" s="252">
        <f>YEAR(WTG_BD[[#This Row],[Date]])</f>
        <v>2025</v>
      </c>
      <c r="E416" s="251">
        <f t="shared" si="14"/>
        <v>45748</v>
      </c>
      <c r="F416" s="252" t="s">
        <v>465</v>
      </c>
      <c r="G416" s="248" t="s">
        <v>136</v>
      </c>
      <c r="H416" s="242" t="str">
        <f>IFERROR(VLOOKUP(WTG_BD[[#This Row],[Affected WTG]],'Basic Data'!$A$3:$E$56,2,0),"")</f>
        <v>PWEGPL</v>
      </c>
      <c r="I416" s="242" t="str">
        <f>IFERROR(VLOOKUP(WTG_BD[[#This Row],[Affected WTG]],'Basic Data'!$A$3:$E$56,3,0),"")</f>
        <v>MSEDCL</v>
      </c>
      <c r="J416" s="243">
        <f>IFERROR(VLOOKUP(WTG_BD[[#This Row],[Affected WTG]],'Basic Data'!$A$3:$E$56,5,0),"")</f>
        <v>2.564102564102564E-2</v>
      </c>
      <c r="K416" s="158">
        <v>205</v>
      </c>
      <c r="L416" s="247" t="str">
        <f>VLOOKUP(K416,'Basic Data'!T:U,2,0)</f>
        <v>Low Level Hydraulic Group Refrigeration Oil</v>
      </c>
      <c r="M416" s="135" t="s">
        <v>472</v>
      </c>
      <c r="N416" s="256">
        <v>0.38194444444444442</v>
      </c>
      <c r="O416" s="256">
        <v>0.42499999999999999</v>
      </c>
      <c r="P416" s="256">
        <v>0.71458333333333335</v>
      </c>
      <c r="Q416" s="253">
        <f>IF(WTG_BD[[#This Row],[Work Start TimeStamp]]="","",(WTG_BD[[#This Row],[Work Start TimeStamp]]-WTG_BD[[#This Row],[Fault Start TimeStamp]])*24)</f>
        <v>1.0333333333333337</v>
      </c>
      <c r="R416" s="253">
        <f>(WTG_BD[[#This Row],[Fault Clearance time]]-WTG_BD[[#This Row],[Work Start TimeStamp]])*24</f>
        <v>6.9500000000000011</v>
      </c>
      <c r="S416" s="253">
        <f>(WTG_BD[[#This Row],[Fault Clearance time]]-WTG_BD[[#This Row],[Fault Start TimeStamp]])*24</f>
        <v>7.9833333333333343</v>
      </c>
      <c r="T416" s="135" t="s">
        <v>558</v>
      </c>
      <c r="U416" s="244" t="s">
        <v>474</v>
      </c>
      <c r="V416" s="246">
        <f>WTG_BD[[#This Row],[Breakdown Time]]*(1/39)</f>
        <v>0.20470085470085472</v>
      </c>
      <c r="W416" s="244" t="s">
        <v>119</v>
      </c>
      <c r="X416" s="250">
        <v>2242.6513888888894</v>
      </c>
      <c r="Y416" s="135" t="s">
        <v>470</v>
      </c>
      <c r="Z416" s="135" t="s">
        <v>475</v>
      </c>
      <c r="AA416" s="135">
        <v>6742</v>
      </c>
      <c r="AB416" s="249">
        <f>(WTG_BD[[#This Row],[Paired WTG Generation for loss calculation.]]/24)*WTG_BD[[#This Row],[Breakdown Time]]</f>
        <v>2242.6513888888894</v>
      </c>
      <c r="AC416" s="135"/>
      <c r="AD416" s="245"/>
      <c r="AE416" s="3"/>
    </row>
    <row r="417" spans="1:31">
      <c r="A417" s="241">
        <f t="shared" si="13"/>
        <v>416</v>
      </c>
      <c r="B417" s="255">
        <v>45776</v>
      </c>
      <c r="C417" s="252">
        <v>2025</v>
      </c>
      <c r="D417" s="252">
        <f>YEAR(WTG_BD[[#This Row],[Date]])</f>
        <v>2025</v>
      </c>
      <c r="E417" s="251">
        <f t="shared" si="14"/>
        <v>45748</v>
      </c>
      <c r="F417" s="252" t="s">
        <v>465</v>
      </c>
      <c r="G417" s="248" t="s">
        <v>141</v>
      </c>
      <c r="H417" s="242" t="str">
        <f>IFERROR(VLOOKUP(WTG_BD[[#This Row],[Affected WTG]],'Basic Data'!$A$3:$E$56,2,0),"")</f>
        <v>PWEGPL</v>
      </c>
      <c r="I417" s="242" t="str">
        <f>IFERROR(VLOOKUP(WTG_BD[[#This Row],[Affected WTG]],'Basic Data'!$A$3:$E$56,3,0),"")</f>
        <v>MSEDCL</v>
      </c>
      <c r="J417" s="243">
        <f>IFERROR(VLOOKUP(WTG_BD[[#This Row],[Affected WTG]],'Basic Data'!$A$3:$E$56,5,0),"")</f>
        <v>2.564102564102564E-2</v>
      </c>
      <c r="K417" s="158" t="s">
        <v>523</v>
      </c>
      <c r="L417" s="247" t="str">
        <f>VLOOKUP(K417,'Basic Data'!T:U,2,0)</f>
        <v>Manual Stop</v>
      </c>
      <c r="M417" s="135" t="s">
        <v>550</v>
      </c>
      <c r="N417" s="256">
        <v>0.34166666666666667</v>
      </c>
      <c r="O417" s="256">
        <v>0.34166666666666667</v>
      </c>
      <c r="P417" s="256">
        <v>0.61458333333333337</v>
      </c>
      <c r="Q417" s="253">
        <f>IF(WTG_BD[[#This Row],[Work Start TimeStamp]]="","",(WTG_BD[[#This Row],[Work Start TimeStamp]]-WTG_BD[[#This Row],[Fault Start TimeStamp]])*24)</f>
        <v>0</v>
      </c>
      <c r="R417" s="253">
        <f>(WTG_BD[[#This Row],[Fault Clearance time]]-WTG_BD[[#This Row],[Work Start TimeStamp]])*24</f>
        <v>6.5500000000000007</v>
      </c>
      <c r="S417" s="253">
        <f>(WTG_BD[[#This Row],[Fault Clearance time]]-WTG_BD[[#This Row],[Fault Start TimeStamp]])*24</f>
        <v>6.5500000000000007</v>
      </c>
      <c r="T417" s="135" t="s">
        <v>555</v>
      </c>
      <c r="U417" s="244" t="s">
        <v>474</v>
      </c>
      <c r="V417" s="246">
        <f>WTG_BD[[#This Row],[Breakdown Time]]*(1/39)</f>
        <v>0.16794871794871796</v>
      </c>
      <c r="W417" s="244" t="s">
        <v>143</v>
      </c>
      <c r="X417" s="250">
        <v>1853.65</v>
      </c>
      <c r="Y417" s="135" t="s">
        <v>470</v>
      </c>
      <c r="Z417" s="135" t="s">
        <v>552</v>
      </c>
      <c r="AA417" s="135">
        <v>6792</v>
      </c>
      <c r="AB417" s="249">
        <f>(WTG_BD[[#This Row],[Paired WTG Generation for loss calculation.]]/24)*WTG_BD[[#This Row],[Breakdown Time]]</f>
        <v>1853.65</v>
      </c>
      <c r="AC417" s="135"/>
      <c r="AD417" s="245"/>
      <c r="AE417" s="3"/>
    </row>
    <row r="418" spans="1:31">
      <c r="A418" s="241">
        <f t="shared" si="13"/>
        <v>417</v>
      </c>
      <c r="B418" s="255">
        <v>45777</v>
      </c>
      <c r="C418" s="252">
        <v>2025</v>
      </c>
      <c r="D418" s="252">
        <f>YEAR(WTG_BD[[#This Row],[Date]])</f>
        <v>2025</v>
      </c>
      <c r="E418" s="251">
        <f t="shared" si="14"/>
        <v>45748</v>
      </c>
      <c r="F418" s="252" t="s">
        <v>465</v>
      </c>
      <c r="G418" s="248" t="s">
        <v>144</v>
      </c>
      <c r="H418" s="242" t="str">
        <f>IFERROR(VLOOKUP(WTG_BD[[#This Row],[Affected WTG]],'Basic Data'!$A$3:$E$56,2,0),"")</f>
        <v>PWEGPL</v>
      </c>
      <c r="I418" s="242" t="str">
        <f>IFERROR(VLOOKUP(WTG_BD[[#This Row],[Affected WTG]],'Basic Data'!$A$3:$E$56,3,0),"")</f>
        <v>MSEDCL</v>
      </c>
      <c r="J418" s="243">
        <f>IFERROR(VLOOKUP(WTG_BD[[#This Row],[Affected WTG]],'Basic Data'!$A$3:$E$56,5,0),"")</f>
        <v>2.564102564102564E-2</v>
      </c>
      <c r="K418" s="158" t="s">
        <v>466</v>
      </c>
      <c r="L418" s="247" t="str">
        <f>VLOOKUP(K418,'Basic Data'!T:U,2,0)</f>
        <v>Manual Stop - Safety Related</v>
      </c>
      <c r="M418" s="135" t="s">
        <v>467</v>
      </c>
      <c r="N418" s="256">
        <v>0</v>
      </c>
      <c r="O418" s="256">
        <v>0.99930555555555556</v>
      </c>
      <c r="P418" s="256">
        <v>0.99930555555555556</v>
      </c>
      <c r="Q418" s="253">
        <f>IF(WTG_BD[[#This Row],[Work Start TimeStamp]]="","",(WTG_BD[[#This Row],[Work Start TimeStamp]]-WTG_BD[[#This Row],[Fault Start TimeStamp]])*24)</f>
        <v>23.983333333333334</v>
      </c>
      <c r="R418" s="253">
        <f>(WTG_BD[[#This Row],[Fault Clearance time]]-WTG_BD[[#This Row],[Work Start TimeStamp]])*24</f>
        <v>0</v>
      </c>
      <c r="S418" s="253">
        <f>(WTG_BD[[#This Row],[Fault Clearance time]]-WTG_BD[[#This Row],[Fault Start TimeStamp]])*24</f>
        <v>23.983333333333334</v>
      </c>
      <c r="T418" s="135" t="s">
        <v>468</v>
      </c>
      <c r="U418" s="244" t="s">
        <v>469</v>
      </c>
      <c r="V418" s="246">
        <f>WTG_BD[[#This Row],[Breakdown Time]]*(1/39)</f>
        <v>0.61495726495726499</v>
      </c>
      <c r="W418" s="244" t="s">
        <v>141</v>
      </c>
      <c r="X418" s="250">
        <v>12773.123611111112</v>
      </c>
      <c r="Y418" s="135" t="s">
        <v>470</v>
      </c>
      <c r="Z418" s="135" t="s">
        <v>471</v>
      </c>
      <c r="AA418" s="135">
        <v>12782</v>
      </c>
      <c r="AB418" s="249">
        <f>(WTG_BD[[#This Row],[Paired WTG Generation for loss calculation.]]/24)*WTG_BD[[#This Row],[Breakdown Time]]</f>
        <v>12773.123611111112</v>
      </c>
      <c r="AC418" s="135"/>
      <c r="AD418" s="245"/>
      <c r="AE418" s="3"/>
    </row>
    <row r="419" spans="1:31">
      <c r="A419" s="241">
        <f t="shared" si="13"/>
        <v>418</v>
      </c>
      <c r="B419" s="255">
        <v>45777</v>
      </c>
      <c r="C419" s="252">
        <v>2025</v>
      </c>
      <c r="D419" s="252">
        <f>YEAR(WTG_BD[[#This Row],[Date]])</f>
        <v>2025</v>
      </c>
      <c r="E419" s="251">
        <f t="shared" si="14"/>
        <v>45748</v>
      </c>
      <c r="F419" s="252" t="s">
        <v>465</v>
      </c>
      <c r="G419" s="248" t="s">
        <v>142</v>
      </c>
      <c r="H419" s="242" t="str">
        <f>IFERROR(VLOOKUP(WTG_BD[[#This Row],[Affected WTG]],'Basic Data'!$A$3:$E$56,2,0),"")</f>
        <v>PWEGPL</v>
      </c>
      <c r="I419" s="242" t="str">
        <f>IFERROR(VLOOKUP(WTG_BD[[#This Row],[Affected WTG]],'Basic Data'!$A$3:$E$56,3,0),"")</f>
        <v>MSEDCL</v>
      </c>
      <c r="J419" s="243">
        <f>IFERROR(VLOOKUP(WTG_BD[[#This Row],[Affected WTG]],'Basic Data'!$A$3:$E$56,5,0),"")</f>
        <v>2.564102564102564E-2</v>
      </c>
      <c r="K419" s="158" t="s">
        <v>466</v>
      </c>
      <c r="L419" s="247" t="str">
        <f>VLOOKUP(K419,'Basic Data'!T:U,2,0)</f>
        <v>Manual Stop - Safety Related</v>
      </c>
      <c r="M419" s="135" t="s">
        <v>467</v>
      </c>
      <c r="N419" s="256">
        <v>0</v>
      </c>
      <c r="O419" s="256">
        <v>0.99930555555555556</v>
      </c>
      <c r="P419" s="256">
        <v>0.99930555555555556</v>
      </c>
      <c r="Q419" s="253">
        <f>IF(WTG_BD[[#This Row],[Work Start TimeStamp]]="","",(WTG_BD[[#This Row],[Work Start TimeStamp]]-WTG_BD[[#This Row],[Fault Start TimeStamp]])*24)</f>
        <v>23.983333333333334</v>
      </c>
      <c r="R419" s="253">
        <f>(WTG_BD[[#This Row],[Fault Clearance time]]-WTG_BD[[#This Row],[Work Start TimeStamp]])*24</f>
        <v>0</v>
      </c>
      <c r="S419" s="253">
        <f>(WTG_BD[[#This Row],[Fault Clearance time]]-WTG_BD[[#This Row],[Fault Start TimeStamp]])*24</f>
        <v>23.983333333333334</v>
      </c>
      <c r="T419" s="135" t="s">
        <v>468</v>
      </c>
      <c r="U419" s="244" t="s">
        <v>469</v>
      </c>
      <c r="V419" s="246">
        <f>WTG_BD[[#This Row],[Breakdown Time]]*(1/39)</f>
        <v>0.61495726495726499</v>
      </c>
      <c r="W419" s="244" t="s">
        <v>141</v>
      </c>
      <c r="X419" s="250">
        <v>12773.123611111112</v>
      </c>
      <c r="Y419" s="135" t="s">
        <v>470</v>
      </c>
      <c r="Z419" s="135" t="s">
        <v>471</v>
      </c>
      <c r="AA419" s="135">
        <v>12782</v>
      </c>
      <c r="AB419" s="249">
        <f>(WTG_BD[[#This Row],[Paired WTG Generation for loss calculation.]]/24)*WTG_BD[[#This Row],[Breakdown Time]]</f>
        <v>12773.123611111112</v>
      </c>
      <c r="AC419" s="135"/>
      <c r="AD419" s="245"/>
      <c r="AE419" s="3"/>
    </row>
    <row r="420" spans="1:31">
      <c r="A420" s="241">
        <f t="shared" si="13"/>
        <v>419</v>
      </c>
      <c r="B420" s="255">
        <v>45777</v>
      </c>
      <c r="C420" s="252">
        <v>2025</v>
      </c>
      <c r="D420" s="252">
        <f>YEAR(WTG_BD[[#This Row],[Date]])</f>
        <v>2025</v>
      </c>
      <c r="E420" s="251">
        <f t="shared" si="14"/>
        <v>45748</v>
      </c>
      <c r="F420" s="252" t="s">
        <v>465</v>
      </c>
      <c r="G420" s="248" t="s">
        <v>118</v>
      </c>
      <c r="H420" s="242" t="str">
        <f>IFERROR(VLOOKUP(WTG_BD[[#This Row],[Affected WTG]],'Basic Data'!$A$3:$E$56,2,0),"")</f>
        <v>PWEGPL</v>
      </c>
      <c r="I420" s="242" t="str">
        <f>IFERROR(VLOOKUP(WTG_BD[[#This Row],[Affected WTG]],'Basic Data'!$A$3:$E$56,3,0),"")</f>
        <v>MSEDCL</v>
      </c>
      <c r="J420" s="243">
        <f>IFERROR(VLOOKUP(WTG_BD[[#This Row],[Affected WTG]],'Basic Data'!$A$3:$E$56,5,0),"")</f>
        <v>2.564102564102564E-2</v>
      </c>
      <c r="K420" s="158">
        <v>203</v>
      </c>
      <c r="L420" s="247" t="str">
        <f>VLOOKUP(K420,'Basic Data'!T:U,2,0)</f>
        <v>Low Pressure On Hydraulic Group</v>
      </c>
      <c r="M420" s="135" t="s">
        <v>472</v>
      </c>
      <c r="N420" s="256">
        <v>0.26458333333333334</v>
      </c>
      <c r="O420" s="256">
        <v>0.33402777777777776</v>
      </c>
      <c r="P420" s="256">
        <v>0.64722222222222225</v>
      </c>
      <c r="Q420" s="253">
        <f>IF(WTG_BD[[#This Row],[Work Start TimeStamp]]="","",(WTG_BD[[#This Row],[Work Start TimeStamp]]-WTG_BD[[#This Row],[Fault Start TimeStamp]])*24)</f>
        <v>1.6666666666666661</v>
      </c>
      <c r="R420" s="253">
        <f>(WTG_BD[[#This Row],[Fault Clearance time]]-WTG_BD[[#This Row],[Work Start TimeStamp]])*24</f>
        <v>7.5166666666666675</v>
      </c>
      <c r="S420" s="253">
        <f>(WTG_BD[[#This Row],[Fault Clearance time]]-WTG_BD[[#This Row],[Fault Start TimeStamp]])*24</f>
        <v>9.1833333333333336</v>
      </c>
      <c r="T420" s="135" t="s">
        <v>559</v>
      </c>
      <c r="U420" s="244" t="s">
        <v>474</v>
      </c>
      <c r="V420" s="246">
        <f>WTG_BD[[#This Row],[Breakdown Time]]*(1/39)</f>
        <v>0.23547008547008547</v>
      </c>
      <c r="W420" s="244" t="s">
        <v>117</v>
      </c>
      <c r="X420" s="250">
        <v>6138.2930555555549</v>
      </c>
      <c r="Y420" s="135" t="s">
        <v>470</v>
      </c>
      <c r="Z420" s="135" t="s">
        <v>475</v>
      </c>
      <c r="AA420" s="135">
        <v>16042</v>
      </c>
      <c r="AB420" s="249">
        <f>(WTG_BD[[#This Row],[Paired WTG Generation for loss calculation.]]/24)*WTG_BD[[#This Row],[Breakdown Time]]</f>
        <v>6138.2930555555549</v>
      </c>
      <c r="AC420" s="135"/>
      <c r="AD420" s="245"/>
      <c r="AE420" s="3"/>
    </row>
    <row r="421" spans="1:31">
      <c r="A421" s="241">
        <f t="shared" si="13"/>
        <v>420</v>
      </c>
      <c r="B421" s="255">
        <v>45777</v>
      </c>
      <c r="C421" s="252">
        <v>2025</v>
      </c>
      <c r="D421" s="252">
        <f>YEAR(WTG_BD[[#This Row],[Date]])</f>
        <v>2025</v>
      </c>
      <c r="E421" s="251">
        <f>B421-DAY(B421)+1</f>
        <v>45748</v>
      </c>
      <c r="F421" s="252" t="s">
        <v>465</v>
      </c>
      <c r="G421" s="248" t="s">
        <v>125</v>
      </c>
      <c r="H421" s="242" t="str">
        <f>IFERROR(VLOOKUP(WTG_BD[[#This Row],[Affected WTG]],'Basic Data'!$A$3:$E$56,2,0),"")</f>
        <v>PWEGPL</v>
      </c>
      <c r="I421" s="242" t="str">
        <f>IFERROR(VLOOKUP(WTG_BD[[#This Row],[Affected WTG]],'Basic Data'!$A$3:$E$56,3,0),"")</f>
        <v>MSEDCL</v>
      </c>
      <c r="J421" s="243">
        <f>IFERROR(VLOOKUP(WTG_BD[[#This Row],[Affected WTG]],'Basic Data'!$A$3:$E$56,5,0),"")</f>
        <v>2.564102564102564E-2</v>
      </c>
      <c r="K421" s="158">
        <v>2118</v>
      </c>
      <c r="L421" s="247" t="str">
        <f>VLOOKUP(K421,'Basic Data'!T:U,2,0)</f>
        <v>Bus Error - Interbus Failure</v>
      </c>
      <c r="M421" s="135" t="s">
        <v>472</v>
      </c>
      <c r="N421" s="256">
        <v>0.29791666666666666</v>
      </c>
      <c r="O421" s="256">
        <v>0.34027777777777779</v>
      </c>
      <c r="P421" s="256">
        <v>0.34166666666666667</v>
      </c>
      <c r="Q421" s="253">
        <f>IF(WTG_BD[[#This Row],[Work Start TimeStamp]]="","",(WTG_BD[[#This Row],[Work Start TimeStamp]]-WTG_BD[[#This Row],[Fault Start TimeStamp]])*24)</f>
        <v>1.0166666666666671</v>
      </c>
      <c r="R421" s="253">
        <f>(WTG_BD[[#This Row],[Fault Clearance time]]-WTG_BD[[#This Row],[Work Start TimeStamp]])*24</f>
        <v>3.3333333333333215E-2</v>
      </c>
      <c r="S421" s="253">
        <f>(WTG_BD[[#This Row],[Fault Clearance time]]-WTG_BD[[#This Row],[Fault Start TimeStamp]])*24</f>
        <v>1.0500000000000003</v>
      </c>
      <c r="T421" s="135" t="s">
        <v>482</v>
      </c>
      <c r="U421" s="244" t="s">
        <v>474</v>
      </c>
      <c r="V421" s="246">
        <f>WTG_BD[[#This Row],[Breakdown Time]]*(1/39)</f>
        <v>2.6923076923076928E-2</v>
      </c>
      <c r="W421" s="244" t="s">
        <v>124</v>
      </c>
      <c r="X421" s="250">
        <v>703.45625000000018</v>
      </c>
      <c r="Y421" s="135" t="s">
        <v>470</v>
      </c>
      <c r="Z421" s="135" t="s">
        <v>475</v>
      </c>
      <c r="AA421" s="135">
        <v>16079</v>
      </c>
      <c r="AB421" s="249">
        <f>(WTG_BD[[#This Row],[Paired WTG Generation for loss calculation.]]/24)*WTG_BD[[#This Row],[Breakdown Time]]</f>
        <v>703.45625000000018</v>
      </c>
      <c r="AC421" s="135"/>
      <c r="AD421" s="245"/>
      <c r="AE421" s="3"/>
    </row>
    <row r="422" spans="1:31">
      <c r="A422" s="241">
        <f t="shared" si="13"/>
        <v>421</v>
      </c>
      <c r="B422" s="255">
        <v>45777</v>
      </c>
      <c r="C422" s="252">
        <v>2025</v>
      </c>
      <c r="D422" s="252">
        <f>YEAR(WTG_BD[[#This Row],[Date]])</f>
        <v>2025</v>
      </c>
      <c r="E422" s="251">
        <f t="shared" si="14"/>
        <v>45748</v>
      </c>
      <c r="F422" s="252" t="s">
        <v>465</v>
      </c>
      <c r="G422" s="248" t="s">
        <v>136</v>
      </c>
      <c r="H422" s="242" t="str">
        <f>IFERROR(VLOOKUP(WTG_BD[[#This Row],[Affected WTG]],'Basic Data'!$A$3:$E$56,2,0),"")</f>
        <v>PWEGPL</v>
      </c>
      <c r="I422" s="242" t="str">
        <f>IFERROR(VLOOKUP(WTG_BD[[#This Row],[Affected WTG]],'Basic Data'!$A$3:$E$56,3,0),"")</f>
        <v>MSEDCL</v>
      </c>
      <c r="J422" s="243">
        <f>IFERROR(VLOOKUP(WTG_BD[[#This Row],[Affected WTG]],'Basic Data'!$A$3:$E$56,5,0),"")</f>
        <v>2.564102564102564E-2</v>
      </c>
      <c r="K422" s="158">
        <v>2118</v>
      </c>
      <c r="L422" s="247" t="str">
        <f>VLOOKUP(K422,'Basic Data'!T:U,2,0)</f>
        <v>Bus Error - Interbus Failure</v>
      </c>
      <c r="M422" s="135" t="s">
        <v>472</v>
      </c>
      <c r="N422" s="256">
        <v>0.34722222222222221</v>
      </c>
      <c r="O422" s="256">
        <v>0.50486111111111109</v>
      </c>
      <c r="P422" s="256">
        <v>0.50694444444444442</v>
      </c>
      <c r="Q422" s="253">
        <f>IF(WTG_BD[[#This Row],[Work Start TimeStamp]]="","",(WTG_BD[[#This Row],[Work Start TimeStamp]]-WTG_BD[[#This Row],[Fault Start TimeStamp]])*24)</f>
        <v>3.7833333333333332</v>
      </c>
      <c r="R422" s="253">
        <f>(WTG_BD[[#This Row],[Fault Clearance time]]-WTG_BD[[#This Row],[Work Start TimeStamp]])*24</f>
        <v>4.9999999999999822E-2</v>
      </c>
      <c r="S422" s="253">
        <f>(WTG_BD[[#This Row],[Fault Clearance time]]-WTG_BD[[#This Row],[Fault Start TimeStamp]])*24</f>
        <v>3.833333333333333</v>
      </c>
      <c r="T422" s="135" t="s">
        <v>482</v>
      </c>
      <c r="U422" s="244" t="s">
        <v>474</v>
      </c>
      <c r="V422" s="246">
        <f>WTG_BD[[#This Row],[Breakdown Time]]*(1/39)</f>
        <v>9.8290598290598274E-2</v>
      </c>
      <c r="W422" s="244" t="s">
        <v>119</v>
      </c>
      <c r="X422" s="250">
        <v>2463.7152777777778</v>
      </c>
      <c r="Y422" s="135" t="s">
        <v>470</v>
      </c>
      <c r="Z422" s="135" t="s">
        <v>475</v>
      </c>
      <c r="AA422" s="135">
        <v>15425</v>
      </c>
      <c r="AB422" s="249">
        <f>(WTG_BD[[#This Row],[Paired WTG Generation for loss calculation.]]/24)*WTG_BD[[#This Row],[Breakdown Time]]</f>
        <v>2463.7152777777778</v>
      </c>
      <c r="AC422" s="135"/>
      <c r="AD422" s="245"/>
      <c r="AE422" s="3"/>
    </row>
    <row r="423" spans="1:31">
      <c r="A423" s="241">
        <f t="shared" si="13"/>
        <v>422</v>
      </c>
      <c r="B423" s="255">
        <v>45777</v>
      </c>
      <c r="C423" s="252">
        <v>2025</v>
      </c>
      <c r="D423" s="252">
        <f>YEAR(WTG_BD[[#This Row],[Date]])</f>
        <v>2025</v>
      </c>
      <c r="E423" s="251">
        <f t="shared" si="14"/>
        <v>45748</v>
      </c>
      <c r="F423" s="252" t="s">
        <v>465</v>
      </c>
      <c r="G423" s="158" t="s">
        <v>136</v>
      </c>
      <c r="H423" s="242" t="str">
        <f>IFERROR(VLOOKUP(WTG_BD[[#This Row],[Affected WTG]],'Basic Data'!$A$3:$E$56,2,0),"")</f>
        <v>PWEGPL</v>
      </c>
      <c r="I423" s="242" t="str">
        <f>IFERROR(VLOOKUP(WTG_BD[[#This Row],[Affected WTG]],'Basic Data'!$A$3:$E$56,3,0),"")</f>
        <v>MSEDCL</v>
      </c>
      <c r="J423" s="243">
        <f>IFERROR(VLOOKUP(WTG_BD[[#This Row],[Affected WTG]],'Basic Data'!$A$3:$E$56,5,0),"")</f>
        <v>2.564102564102564E-2</v>
      </c>
      <c r="K423" s="158">
        <v>500</v>
      </c>
      <c r="L423" s="247" t="str">
        <f>VLOOKUP(K423,'Basic Data'!T:U,2,0)</f>
        <v>High Generator Winding Temperature</v>
      </c>
      <c r="M423" s="135" t="s">
        <v>472</v>
      </c>
      <c r="N423" s="256">
        <v>0.59027777777777779</v>
      </c>
      <c r="O423" s="256">
        <v>0.60763888888888884</v>
      </c>
      <c r="P423" s="256">
        <v>0.63958333333333328</v>
      </c>
      <c r="Q423" s="253">
        <f>IF(WTG_BD[[#This Row],[Work Start TimeStamp]]="","",(WTG_BD[[#This Row],[Work Start TimeStamp]]-WTG_BD[[#This Row],[Fault Start TimeStamp]])*24)</f>
        <v>0.41666666666666519</v>
      </c>
      <c r="R423" s="253">
        <f>(WTG_BD[[#This Row],[Fault Clearance time]]-WTG_BD[[#This Row],[Work Start TimeStamp]])*24</f>
        <v>0.76666666666666661</v>
      </c>
      <c r="S423" s="253">
        <f>(WTG_BD[[#This Row],[Fault Clearance time]]-WTG_BD[[#This Row],[Fault Start TimeStamp]])*24</f>
        <v>1.1833333333333318</v>
      </c>
      <c r="T423" s="135" t="s">
        <v>560</v>
      </c>
      <c r="U423" s="244" t="s">
        <v>474</v>
      </c>
      <c r="V423" s="246">
        <f>WTG_BD[[#This Row],[Breakdown Time]]*(1/39)</f>
        <v>3.03418803418803E-2</v>
      </c>
      <c r="W423" s="244" t="s">
        <v>119</v>
      </c>
      <c r="X423" s="250">
        <v>760.53819444444355</v>
      </c>
      <c r="Y423" s="135" t="s">
        <v>470</v>
      </c>
      <c r="Z423" s="135" t="s">
        <v>475</v>
      </c>
      <c r="AA423" s="135">
        <v>15425</v>
      </c>
      <c r="AB423" s="249">
        <f>(WTG_BD[[#This Row],[Paired WTG Generation for loss calculation.]]/24)*WTG_BD[[#This Row],[Breakdown Time]]</f>
        <v>760.53819444444355</v>
      </c>
      <c r="AC423" s="135"/>
      <c r="AD423" s="245"/>
      <c r="AE423" s="3"/>
    </row>
    <row r="424" spans="1:31">
      <c r="A424" s="241">
        <f t="shared" si="13"/>
        <v>423</v>
      </c>
      <c r="B424" s="255">
        <v>45777</v>
      </c>
      <c r="C424" s="252">
        <v>2025</v>
      </c>
      <c r="D424" s="252">
        <f>YEAR(WTG_BD[[#This Row],[Date]])</f>
        <v>2025</v>
      </c>
      <c r="E424" s="251">
        <f t="shared" si="14"/>
        <v>45748</v>
      </c>
      <c r="F424" s="252" t="s">
        <v>465</v>
      </c>
      <c r="G424" s="248" t="s">
        <v>137</v>
      </c>
      <c r="H424" s="242" t="str">
        <f>IFERROR(VLOOKUP(WTG_BD[[#This Row],[Affected WTG]],'Basic Data'!$A$3:$E$56,2,0),"")</f>
        <v>PWEGPL</v>
      </c>
      <c r="I424" s="242" t="str">
        <f>IFERROR(VLOOKUP(WTG_BD[[#This Row],[Affected WTG]],'Basic Data'!$A$3:$E$56,3,0),"")</f>
        <v>MSEDCL</v>
      </c>
      <c r="J424" s="243">
        <f>IFERROR(VLOOKUP(WTG_BD[[#This Row],[Affected WTG]],'Basic Data'!$A$3:$E$56,5,0),"")</f>
        <v>2.564102564102564E-2</v>
      </c>
      <c r="K424" s="158">
        <v>2118</v>
      </c>
      <c r="L424" s="247" t="str">
        <f>VLOOKUP(K424,'Basic Data'!T:U,2,0)</f>
        <v>Bus Error - Interbus Failure</v>
      </c>
      <c r="M424" s="135" t="s">
        <v>472</v>
      </c>
      <c r="N424" s="256">
        <v>0.58819444444444446</v>
      </c>
      <c r="O424" s="256">
        <v>0.65625</v>
      </c>
      <c r="P424" s="256">
        <v>0.65763888888888888</v>
      </c>
      <c r="Q424" s="253">
        <f>IF(WTG_BD[[#This Row],[Work Start TimeStamp]]="","",(WTG_BD[[#This Row],[Work Start TimeStamp]]-WTG_BD[[#This Row],[Fault Start TimeStamp]])*24)</f>
        <v>1.6333333333333329</v>
      </c>
      <c r="R424" s="253">
        <f>(WTG_BD[[#This Row],[Fault Clearance time]]-WTG_BD[[#This Row],[Work Start TimeStamp]])*24</f>
        <v>3.3333333333333215E-2</v>
      </c>
      <c r="S424" s="253">
        <f>(WTG_BD[[#This Row],[Fault Clearance time]]-WTG_BD[[#This Row],[Fault Start TimeStamp]])*24</f>
        <v>1.6666666666666661</v>
      </c>
      <c r="T424" s="135" t="s">
        <v>482</v>
      </c>
      <c r="U424" s="244" t="s">
        <v>474</v>
      </c>
      <c r="V424" s="246">
        <f>WTG_BD[[#This Row],[Breakdown Time]]*(1/39)</f>
        <v>4.2735042735042715E-2</v>
      </c>
      <c r="W424" s="244" t="s">
        <v>119</v>
      </c>
      <c r="X424" s="250">
        <v>1071.1805555555552</v>
      </c>
      <c r="Y424" s="135" t="s">
        <v>470</v>
      </c>
      <c r="Z424" s="135" t="s">
        <v>475</v>
      </c>
      <c r="AA424" s="135">
        <v>15425</v>
      </c>
      <c r="AB424" s="249">
        <f>(WTG_BD[[#This Row],[Paired WTG Generation for loss calculation.]]/24)*WTG_BD[[#This Row],[Breakdown Time]]</f>
        <v>1071.1805555555552</v>
      </c>
      <c r="AC424" s="135"/>
      <c r="AD424" s="245"/>
      <c r="AE424" s="3"/>
    </row>
    <row r="425" spans="1:31">
      <c r="A425" s="241">
        <f t="shared" si="13"/>
        <v>424</v>
      </c>
      <c r="B425" s="255">
        <v>45777</v>
      </c>
      <c r="C425" s="252">
        <v>2025</v>
      </c>
      <c r="D425" s="252">
        <f>YEAR(WTG_BD[[#This Row],[Date]])</f>
        <v>2025</v>
      </c>
      <c r="E425" s="251">
        <f t="shared" si="14"/>
        <v>45748</v>
      </c>
      <c r="F425" s="252" t="s">
        <v>465</v>
      </c>
      <c r="G425" s="248" t="s">
        <v>141</v>
      </c>
      <c r="H425" s="242" t="str">
        <f>IFERROR(VLOOKUP(WTG_BD[[#This Row],[Affected WTG]],'Basic Data'!$A$3:$E$56,2,0),"")</f>
        <v>PWEGPL</v>
      </c>
      <c r="I425" s="242" t="str">
        <f>IFERROR(VLOOKUP(WTG_BD[[#This Row],[Affected WTG]],'Basic Data'!$A$3:$E$56,3,0),"")</f>
        <v>MSEDCL</v>
      </c>
      <c r="J425" s="243">
        <f>IFERROR(VLOOKUP(WTG_BD[[#This Row],[Affected WTG]],'Basic Data'!$A$3:$E$56,5,0),"")</f>
        <v>2.564102564102564E-2</v>
      </c>
      <c r="K425" s="158">
        <v>5212</v>
      </c>
      <c r="L425" s="247" t="str">
        <f>VLOOKUP(K425,'Basic Data'!T:U,2,0)</f>
        <v>Bus Preload Protection Thermal Relay Failure</v>
      </c>
      <c r="M425" s="135" t="s">
        <v>472</v>
      </c>
      <c r="N425" s="256">
        <v>0.27777777777777779</v>
      </c>
      <c r="O425" s="256">
        <v>0.42499999999999999</v>
      </c>
      <c r="P425" s="256">
        <v>0.52222222222222225</v>
      </c>
      <c r="Q425" s="253">
        <f>IF(WTG_BD[[#This Row],[Work Start TimeStamp]]="","",(WTG_BD[[#This Row],[Work Start TimeStamp]]-WTG_BD[[#This Row],[Fault Start TimeStamp]])*24)</f>
        <v>3.5333333333333328</v>
      </c>
      <c r="R425" s="253">
        <f>(WTG_BD[[#This Row],[Fault Clearance time]]-WTG_BD[[#This Row],[Work Start TimeStamp]])*24</f>
        <v>2.3333333333333344</v>
      </c>
      <c r="S425" s="253">
        <f>(WTG_BD[[#This Row],[Fault Clearance time]]-WTG_BD[[#This Row],[Fault Start TimeStamp]])*24</f>
        <v>5.8666666666666671</v>
      </c>
      <c r="T425" s="135" t="s">
        <v>561</v>
      </c>
      <c r="U425" s="244" t="s">
        <v>474</v>
      </c>
      <c r="V425" s="246">
        <f>WTG_BD[[#This Row],[Breakdown Time]]*(1/39)</f>
        <v>0.15042735042735045</v>
      </c>
      <c r="W425" s="244" t="s">
        <v>143</v>
      </c>
      <c r="X425" s="250">
        <v>3781.3111111111111</v>
      </c>
      <c r="Y425" s="135" t="s">
        <v>470</v>
      </c>
      <c r="Z425" s="135" t="s">
        <v>475</v>
      </c>
      <c r="AA425" s="135">
        <v>15469</v>
      </c>
      <c r="AB425" s="249">
        <f>(WTG_BD[[#This Row],[Paired WTG Generation for loss calculation.]]/24)*WTG_BD[[#This Row],[Breakdown Time]]</f>
        <v>3781.3111111111111</v>
      </c>
      <c r="AC425" s="135"/>
      <c r="AD425" s="245"/>
      <c r="AE425" s="3"/>
    </row>
    <row r="426" spans="1:31">
      <c r="A426" s="241">
        <f t="shared" si="13"/>
        <v>425</v>
      </c>
      <c r="B426" s="255">
        <v>45777</v>
      </c>
      <c r="C426" s="252">
        <v>2025</v>
      </c>
      <c r="D426" s="252">
        <f>YEAR(WTG_BD[[#This Row],[Date]])</f>
        <v>2025</v>
      </c>
      <c r="E426" s="251">
        <f t="shared" si="14"/>
        <v>45748</v>
      </c>
      <c r="F426" s="252" t="s">
        <v>465</v>
      </c>
      <c r="G426" s="248" t="s">
        <v>147</v>
      </c>
      <c r="H426" s="242" t="str">
        <f>IFERROR(VLOOKUP(WTG_BD[[#This Row],[Affected WTG]],'Basic Data'!$A$3:$E$56,2,0),"")</f>
        <v>PWEGPL</v>
      </c>
      <c r="I426" s="242" t="str">
        <f>IFERROR(VLOOKUP(WTG_BD[[#This Row],[Affected WTG]],'Basic Data'!$A$3:$E$56,3,0),"")</f>
        <v>MSEDCL</v>
      </c>
      <c r="J426" s="243">
        <f>IFERROR(VLOOKUP(WTG_BD[[#This Row],[Affected WTG]],'Basic Data'!$A$3:$E$56,5,0),"")</f>
        <v>2.564102564102564E-2</v>
      </c>
      <c r="K426" s="158" t="s">
        <v>523</v>
      </c>
      <c r="L426" s="247" t="str">
        <f>VLOOKUP(K426,'Basic Data'!T:U,2,0)</f>
        <v>Manual Stop</v>
      </c>
      <c r="M426" s="135" t="s">
        <v>550</v>
      </c>
      <c r="N426" s="256">
        <v>0.52777777777777779</v>
      </c>
      <c r="O426" s="256">
        <v>0.52777777777777779</v>
      </c>
      <c r="P426" s="256">
        <v>0.77083333333333337</v>
      </c>
      <c r="Q426" s="253">
        <f>IF(WTG_BD[[#This Row],[Work Start TimeStamp]]="","",(WTG_BD[[#This Row],[Work Start TimeStamp]]-WTG_BD[[#This Row],[Fault Start TimeStamp]])*24)</f>
        <v>0</v>
      </c>
      <c r="R426" s="253">
        <f>(WTG_BD[[#This Row],[Fault Clearance time]]-WTG_BD[[#This Row],[Work Start TimeStamp]])*24</f>
        <v>5.8333333333333339</v>
      </c>
      <c r="S426" s="253">
        <f>(WTG_BD[[#This Row],[Fault Clearance time]]-WTG_BD[[#This Row],[Fault Start TimeStamp]])*24</f>
        <v>5.8333333333333339</v>
      </c>
      <c r="T426" s="135" t="s">
        <v>555</v>
      </c>
      <c r="U426" s="244" t="s">
        <v>474</v>
      </c>
      <c r="V426" s="246">
        <f>WTG_BD[[#This Row],[Breakdown Time]]*(1/39)</f>
        <v>0.1495726495726496</v>
      </c>
      <c r="W426" s="244" t="s">
        <v>146</v>
      </c>
      <c r="X426" s="250">
        <v>3877.7083333333339</v>
      </c>
      <c r="Y426" s="135" t="s">
        <v>470</v>
      </c>
      <c r="Z426" s="135" t="s">
        <v>552</v>
      </c>
      <c r="AA426" s="135">
        <v>15954</v>
      </c>
      <c r="AB426" s="249">
        <f>(WTG_BD[[#This Row],[Paired WTG Generation for loss calculation.]]/24)*WTG_BD[[#This Row],[Breakdown Time]]</f>
        <v>3877.7083333333339</v>
      </c>
      <c r="AC426" s="135"/>
      <c r="AD426" s="245"/>
      <c r="AE426" s="3"/>
    </row>
    <row r="427" spans="1:31">
      <c r="A427" s="241">
        <f t="shared" si="13"/>
        <v>426</v>
      </c>
      <c r="B427" s="255">
        <v>45778</v>
      </c>
      <c r="C427" s="252">
        <v>2025</v>
      </c>
      <c r="D427" s="252">
        <f>YEAR(WTG_BD[[#This Row],[Date]])</f>
        <v>2025</v>
      </c>
      <c r="E427" s="251">
        <f t="shared" si="14"/>
        <v>45778</v>
      </c>
      <c r="F427" s="252" t="s">
        <v>465</v>
      </c>
      <c r="G427" s="248" t="s">
        <v>144</v>
      </c>
      <c r="H427" s="242" t="str">
        <f>IFERROR(VLOOKUP(WTG_BD[[#This Row],[Affected WTG]],'Basic Data'!$A$3:$E$56,2,0),"")</f>
        <v>PWEGPL</v>
      </c>
      <c r="I427" s="242" t="str">
        <f>IFERROR(VLOOKUP(WTG_BD[[#This Row],[Affected WTG]],'Basic Data'!$A$3:$E$56,3,0),"")</f>
        <v>MSEDCL</v>
      </c>
      <c r="J427" s="243">
        <f>IFERROR(VLOOKUP(WTG_BD[[#This Row],[Affected WTG]],'Basic Data'!$A$3:$E$56,5,0),"")</f>
        <v>2.564102564102564E-2</v>
      </c>
      <c r="K427" s="158" t="s">
        <v>466</v>
      </c>
      <c r="L427" s="247" t="str">
        <f>VLOOKUP(K427,'Basic Data'!T:U,2,0)</f>
        <v>Manual Stop - Safety Related</v>
      </c>
      <c r="M427" s="135" t="s">
        <v>467</v>
      </c>
      <c r="N427" s="256">
        <v>0</v>
      </c>
      <c r="O427" s="256">
        <v>0.99930555555555556</v>
      </c>
      <c r="P427" s="256">
        <v>0.99930555555555556</v>
      </c>
      <c r="Q427" s="253">
        <f>IF(WTG_BD[[#This Row],[Work Start TimeStamp]]="","",(WTG_BD[[#This Row],[Work Start TimeStamp]]-WTG_BD[[#This Row],[Fault Start TimeStamp]])*24)</f>
        <v>23.983333333333334</v>
      </c>
      <c r="R427" s="253">
        <f>(WTG_BD[[#This Row],[Fault Clearance time]]-WTG_BD[[#This Row],[Work Start TimeStamp]])*24</f>
        <v>0</v>
      </c>
      <c r="S427" s="253">
        <f>(WTG_BD[[#This Row],[Fault Clearance time]]-WTG_BD[[#This Row],[Fault Start TimeStamp]])*24</f>
        <v>23.983333333333334</v>
      </c>
      <c r="T427" s="135" t="s">
        <v>468</v>
      </c>
      <c r="U427" s="244" t="s">
        <v>469</v>
      </c>
      <c r="V427" s="246">
        <f>WTG_BD[[#This Row],[Breakdown Time]]*(1/39)</f>
        <v>0.61495726495726499</v>
      </c>
      <c r="W427" s="244" t="s">
        <v>141</v>
      </c>
      <c r="X427" s="250">
        <v>15515.218055555555</v>
      </c>
      <c r="Y427" s="135" t="s">
        <v>470</v>
      </c>
      <c r="Z427" s="135" t="s">
        <v>471</v>
      </c>
      <c r="AA427" s="135">
        <v>15526</v>
      </c>
      <c r="AB427" s="249">
        <f>(WTG_BD[[#This Row],[Paired WTG Generation for loss calculation.]]/24)*WTG_BD[[#This Row],[Breakdown Time]]</f>
        <v>15515.218055555555</v>
      </c>
      <c r="AC427" s="135"/>
      <c r="AD427" s="245"/>
      <c r="AE427" s="3"/>
    </row>
    <row r="428" spans="1:31">
      <c r="A428" s="241">
        <f t="shared" si="13"/>
        <v>427</v>
      </c>
      <c r="B428" s="255">
        <v>45778</v>
      </c>
      <c r="C428" s="252">
        <v>2025</v>
      </c>
      <c r="D428" s="252">
        <f>YEAR(WTG_BD[[#This Row],[Date]])</f>
        <v>2025</v>
      </c>
      <c r="E428" s="251">
        <f t="shared" si="14"/>
        <v>45778</v>
      </c>
      <c r="F428" s="252" t="s">
        <v>465</v>
      </c>
      <c r="G428" s="248" t="s">
        <v>142</v>
      </c>
      <c r="H428" s="242" t="str">
        <f>IFERROR(VLOOKUP(WTG_BD[[#This Row],[Affected WTG]],'Basic Data'!$A$3:$E$56,2,0),"")</f>
        <v>PWEGPL</v>
      </c>
      <c r="I428" s="242" t="str">
        <f>IFERROR(VLOOKUP(WTG_BD[[#This Row],[Affected WTG]],'Basic Data'!$A$3:$E$56,3,0),"")</f>
        <v>MSEDCL</v>
      </c>
      <c r="J428" s="243">
        <f>IFERROR(VLOOKUP(WTG_BD[[#This Row],[Affected WTG]],'Basic Data'!$A$3:$E$56,5,0),"")</f>
        <v>2.564102564102564E-2</v>
      </c>
      <c r="K428" s="158" t="s">
        <v>466</v>
      </c>
      <c r="L428" s="247" t="str">
        <f>VLOOKUP(K428,'Basic Data'!T:U,2,0)</f>
        <v>Manual Stop - Safety Related</v>
      </c>
      <c r="M428" s="135" t="s">
        <v>467</v>
      </c>
      <c r="N428" s="256">
        <v>0</v>
      </c>
      <c r="O428" s="256">
        <v>0.99930555555555556</v>
      </c>
      <c r="P428" s="256">
        <v>0.99930555555555556</v>
      </c>
      <c r="Q428" s="253">
        <f>IF(WTG_BD[[#This Row],[Work Start TimeStamp]]="","",(WTG_BD[[#This Row],[Work Start TimeStamp]]-WTG_BD[[#This Row],[Fault Start TimeStamp]])*24)</f>
        <v>23.983333333333334</v>
      </c>
      <c r="R428" s="253">
        <f>(WTG_BD[[#This Row],[Fault Clearance time]]-WTG_BD[[#This Row],[Work Start TimeStamp]])*24</f>
        <v>0</v>
      </c>
      <c r="S428" s="253">
        <f>(WTG_BD[[#This Row],[Fault Clearance time]]-WTG_BD[[#This Row],[Fault Start TimeStamp]])*24</f>
        <v>23.983333333333334</v>
      </c>
      <c r="T428" s="135" t="s">
        <v>468</v>
      </c>
      <c r="U428" s="244" t="s">
        <v>469</v>
      </c>
      <c r="V428" s="246">
        <f>WTG_BD[[#This Row],[Breakdown Time]]*(1/39)</f>
        <v>0.61495726495726499</v>
      </c>
      <c r="W428" s="244" t="s">
        <v>141</v>
      </c>
      <c r="X428" s="250">
        <v>15515.218055555555</v>
      </c>
      <c r="Y428" s="135" t="s">
        <v>470</v>
      </c>
      <c r="Z428" s="135" t="s">
        <v>471</v>
      </c>
      <c r="AA428" s="135">
        <v>15526</v>
      </c>
      <c r="AB428" s="249">
        <f>(WTG_BD[[#This Row],[Paired WTG Generation for loss calculation.]]/24)*WTG_BD[[#This Row],[Breakdown Time]]</f>
        <v>15515.218055555555</v>
      </c>
      <c r="AC428" s="135"/>
      <c r="AD428" s="245"/>
      <c r="AE428" s="3"/>
    </row>
    <row r="429" spans="1:31">
      <c r="A429" s="241">
        <f t="shared" si="13"/>
        <v>428</v>
      </c>
      <c r="B429" s="255">
        <v>45778</v>
      </c>
      <c r="C429" s="252">
        <v>2025</v>
      </c>
      <c r="D429" s="252">
        <f>YEAR(WTG_BD[[#This Row],[Date]])</f>
        <v>2025</v>
      </c>
      <c r="E429" s="251">
        <f t="shared" si="14"/>
        <v>45778</v>
      </c>
      <c r="F429" s="252" t="s">
        <v>465</v>
      </c>
      <c r="G429" s="248" t="s">
        <v>130</v>
      </c>
      <c r="H429" s="242" t="str">
        <f>IFERROR(VLOOKUP(WTG_BD[[#This Row],[Affected WTG]],'Basic Data'!$A$3:$E$56,2,0),"")</f>
        <v>PWEGPL</v>
      </c>
      <c r="I429" s="242" t="str">
        <f>IFERROR(VLOOKUP(WTG_BD[[#This Row],[Affected WTG]],'Basic Data'!$A$3:$E$56,3,0),"")</f>
        <v>MSEDCL</v>
      </c>
      <c r="J429" s="243">
        <f>IFERROR(VLOOKUP(WTG_BD[[#This Row],[Affected WTG]],'Basic Data'!$A$3:$E$56,5,0),"")</f>
        <v>2.564102564102564E-2</v>
      </c>
      <c r="K429" s="158">
        <v>203</v>
      </c>
      <c r="L429" s="247" t="str">
        <f>VLOOKUP(K429,'Basic Data'!T:U,2,0)</f>
        <v>Low Pressure On Hydraulic Group</v>
      </c>
      <c r="M429" s="135" t="s">
        <v>472</v>
      </c>
      <c r="N429" s="256">
        <v>0.34722222222222221</v>
      </c>
      <c r="O429" s="256">
        <v>0.38541666666666669</v>
      </c>
      <c r="P429" s="256">
        <v>0.38611111111111113</v>
      </c>
      <c r="Q429" s="253">
        <f>IF(WTG_BD[[#This Row],[Work Start TimeStamp]]="","",(WTG_BD[[#This Row],[Work Start TimeStamp]]-WTG_BD[[#This Row],[Fault Start TimeStamp]])*24)</f>
        <v>0.91666666666666741</v>
      </c>
      <c r="R429" s="253">
        <f>(WTG_BD[[#This Row],[Fault Clearance time]]-WTG_BD[[#This Row],[Work Start TimeStamp]])*24</f>
        <v>1.6666666666666607E-2</v>
      </c>
      <c r="S429" s="253">
        <f>(WTG_BD[[#This Row],[Fault Clearance time]]-WTG_BD[[#This Row],[Fault Start TimeStamp]])*24</f>
        <v>0.93333333333333401</v>
      </c>
      <c r="T429" s="135" t="s">
        <v>473</v>
      </c>
      <c r="U429" s="244" t="s">
        <v>474</v>
      </c>
      <c r="V429" s="246">
        <f>WTG_BD[[#This Row],[Breakdown Time]]*(1/39)</f>
        <v>2.3931623931623947E-2</v>
      </c>
      <c r="W429" s="244" t="s">
        <v>131</v>
      </c>
      <c r="X429" s="250">
        <v>642.79444444444493</v>
      </c>
      <c r="Y429" s="135" t="s">
        <v>470</v>
      </c>
      <c r="Z429" s="135" t="s">
        <v>475</v>
      </c>
      <c r="AA429" s="135">
        <v>16529</v>
      </c>
      <c r="AB429" s="249">
        <f>(WTG_BD[[#This Row],[Paired WTG Generation for loss calculation.]]/24)*WTG_BD[[#This Row],[Breakdown Time]]</f>
        <v>642.79444444444493</v>
      </c>
      <c r="AC429" s="135"/>
      <c r="AD429" s="245"/>
      <c r="AE429" s="3"/>
    </row>
    <row r="430" spans="1:31">
      <c r="A430" s="241">
        <f t="shared" si="13"/>
        <v>429</v>
      </c>
      <c r="B430" s="255">
        <v>45778</v>
      </c>
      <c r="C430" s="252">
        <v>2025</v>
      </c>
      <c r="D430" s="252">
        <f>YEAR(WTG_BD[[#This Row],[Date]])</f>
        <v>2025</v>
      </c>
      <c r="E430" s="251">
        <f t="shared" si="14"/>
        <v>45778</v>
      </c>
      <c r="F430" s="252" t="s">
        <v>465</v>
      </c>
      <c r="G430" s="248" t="s">
        <v>136</v>
      </c>
      <c r="H430" s="242" t="str">
        <f>IFERROR(VLOOKUP(WTG_BD[[#This Row],[Affected WTG]],'Basic Data'!$A$3:$E$56,2,0),"")</f>
        <v>PWEGPL</v>
      </c>
      <c r="I430" s="242" t="str">
        <f>IFERROR(VLOOKUP(WTG_BD[[#This Row],[Affected WTG]],'Basic Data'!$A$3:$E$56,3,0),"")</f>
        <v>MSEDCL</v>
      </c>
      <c r="J430" s="243">
        <f>IFERROR(VLOOKUP(WTG_BD[[#This Row],[Affected WTG]],'Basic Data'!$A$3:$E$56,5,0),"")</f>
        <v>2.564102564102564E-2</v>
      </c>
      <c r="K430" s="158">
        <v>2118</v>
      </c>
      <c r="L430" s="247" t="str">
        <f>VLOOKUP(K430,'Basic Data'!T:U,2,0)</f>
        <v>Bus Error - Interbus Failure</v>
      </c>
      <c r="M430" s="135" t="s">
        <v>472</v>
      </c>
      <c r="N430" s="256">
        <v>0.35555555555555557</v>
      </c>
      <c r="O430" s="256">
        <v>0.40625</v>
      </c>
      <c r="P430" s="256">
        <v>0.52777777777777779</v>
      </c>
      <c r="Q430" s="253">
        <f>IF(WTG_BD[[#This Row],[Work Start TimeStamp]]="","",(WTG_BD[[#This Row],[Work Start TimeStamp]]-WTG_BD[[#This Row],[Fault Start TimeStamp]])*24)</f>
        <v>1.2166666666666663</v>
      </c>
      <c r="R430" s="253">
        <f>(WTG_BD[[#This Row],[Fault Clearance time]]-WTG_BD[[#This Row],[Work Start TimeStamp]])*24</f>
        <v>2.916666666666667</v>
      </c>
      <c r="S430" s="253">
        <f>(WTG_BD[[#This Row],[Fault Clearance time]]-WTG_BD[[#This Row],[Fault Start TimeStamp]])*24</f>
        <v>4.1333333333333329</v>
      </c>
      <c r="T430" s="135" t="s">
        <v>562</v>
      </c>
      <c r="U430" s="244" t="s">
        <v>474</v>
      </c>
      <c r="V430" s="246">
        <f>WTG_BD[[#This Row],[Breakdown Time]]*(1/39)</f>
        <v>0.10598290598290597</v>
      </c>
      <c r="W430" s="244" t="s">
        <v>119</v>
      </c>
      <c r="X430" s="250">
        <v>2604.172222222222</v>
      </c>
      <c r="Y430" s="135" t="s">
        <v>470</v>
      </c>
      <c r="Z430" s="135" t="s">
        <v>475</v>
      </c>
      <c r="AA430" s="135">
        <v>15121</v>
      </c>
      <c r="AB430" s="249">
        <f>(WTG_BD[[#This Row],[Paired WTG Generation for loss calculation.]]/24)*WTG_BD[[#This Row],[Breakdown Time]]</f>
        <v>2604.172222222222</v>
      </c>
      <c r="AC430" s="135"/>
      <c r="AD430" s="245"/>
      <c r="AE430" s="3"/>
    </row>
    <row r="431" spans="1:31">
      <c r="A431" s="241">
        <f t="shared" si="13"/>
        <v>430</v>
      </c>
      <c r="B431" s="255">
        <v>45778</v>
      </c>
      <c r="C431" s="252">
        <v>2025</v>
      </c>
      <c r="D431" s="252">
        <f>YEAR(WTG_BD[[#This Row],[Date]])</f>
        <v>2025</v>
      </c>
      <c r="E431" s="251">
        <f t="shared" si="14"/>
        <v>45778</v>
      </c>
      <c r="F431" s="252" t="s">
        <v>465</v>
      </c>
      <c r="G431" s="248" t="s">
        <v>136</v>
      </c>
      <c r="H431" s="242" t="str">
        <f>IFERROR(VLOOKUP(WTG_BD[[#This Row],[Affected WTG]],'Basic Data'!$A$3:$E$56,2,0),"")</f>
        <v>PWEGPL</v>
      </c>
      <c r="I431" s="242" t="str">
        <f>IFERROR(VLOOKUP(WTG_BD[[#This Row],[Affected WTG]],'Basic Data'!$A$3:$E$56,3,0),"")</f>
        <v>MSEDCL</v>
      </c>
      <c r="J431" s="243">
        <f>IFERROR(VLOOKUP(WTG_BD[[#This Row],[Affected WTG]],'Basic Data'!$A$3:$E$56,5,0),"")</f>
        <v>2.564102564102564E-2</v>
      </c>
      <c r="K431" s="158">
        <v>208</v>
      </c>
      <c r="L431" s="247" t="str">
        <f>VLOOKUP(K431,'Basic Data'!T:U,2,0)</f>
        <v>HU Pump Drive Failure</v>
      </c>
      <c r="M431" s="135" t="s">
        <v>472</v>
      </c>
      <c r="N431" s="256">
        <v>0.54861111111111116</v>
      </c>
      <c r="O431" s="256">
        <v>0.5493055555555556</v>
      </c>
      <c r="P431" s="256">
        <v>0.59722222222222221</v>
      </c>
      <c r="Q431" s="253">
        <f>IF(WTG_BD[[#This Row],[Work Start TimeStamp]]="","",(WTG_BD[[#This Row],[Work Start TimeStamp]]-WTG_BD[[#This Row],[Fault Start TimeStamp]])*24)</f>
        <v>1.6666666666666607E-2</v>
      </c>
      <c r="R431" s="253">
        <f>(WTG_BD[[#This Row],[Fault Clearance time]]-WTG_BD[[#This Row],[Work Start TimeStamp]])*24</f>
        <v>1.1499999999999986</v>
      </c>
      <c r="S431" s="253">
        <f>(WTG_BD[[#This Row],[Fault Clearance time]]-WTG_BD[[#This Row],[Fault Start TimeStamp]])*24</f>
        <v>1.1666666666666652</v>
      </c>
      <c r="T431" s="135" t="s">
        <v>563</v>
      </c>
      <c r="U431" s="244" t="s">
        <v>474</v>
      </c>
      <c r="V431" s="246">
        <f>WTG_BD[[#This Row],[Breakdown Time]]*(1/39)</f>
        <v>2.9914529914529874E-2</v>
      </c>
      <c r="W431" s="244" t="s">
        <v>119</v>
      </c>
      <c r="X431" s="250">
        <v>735.04861111111018</v>
      </c>
      <c r="Y431" s="135" t="s">
        <v>470</v>
      </c>
      <c r="Z431" s="135" t="s">
        <v>475</v>
      </c>
      <c r="AA431" s="135">
        <v>15121</v>
      </c>
      <c r="AB431" s="249">
        <f>(WTG_BD[[#This Row],[Paired WTG Generation for loss calculation.]]/24)*WTG_BD[[#This Row],[Breakdown Time]]</f>
        <v>735.04861111111018</v>
      </c>
      <c r="AC431" s="135"/>
      <c r="AD431" s="245"/>
      <c r="AE431" s="3"/>
    </row>
    <row r="432" spans="1:31">
      <c r="A432" s="241">
        <f t="shared" si="13"/>
        <v>431</v>
      </c>
      <c r="B432" s="255">
        <v>45778</v>
      </c>
      <c r="C432" s="252">
        <v>2025</v>
      </c>
      <c r="D432" s="252">
        <f>YEAR(WTG_BD[[#This Row],[Date]])</f>
        <v>2025</v>
      </c>
      <c r="E432" s="251">
        <f t="shared" si="14"/>
        <v>45778</v>
      </c>
      <c r="F432" s="252" t="s">
        <v>465</v>
      </c>
      <c r="G432" s="248" t="s">
        <v>136</v>
      </c>
      <c r="H432" s="242" t="str">
        <f>IFERROR(VLOOKUP(WTG_BD[[#This Row],[Affected WTG]],'Basic Data'!$A$3:$E$56,2,0),"")</f>
        <v>PWEGPL</v>
      </c>
      <c r="I432" s="242" t="str">
        <f>IFERROR(VLOOKUP(WTG_BD[[#This Row],[Affected WTG]],'Basic Data'!$A$3:$E$56,3,0),"")</f>
        <v>MSEDCL</v>
      </c>
      <c r="J432" s="243">
        <f>IFERROR(VLOOKUP(WTG_BD[[#This Row],[Affected WTG]],'Basic Data'!$A$3:$E$56,5,0),"")</f>
        <v>2.564102564102564E-2</v>
      </c>
      <c r="K432" s="158">
        <v>5201</v>
      </c>
      <c r="L432" s="247" t="str">
        <f>VLOOKUP(K432,'Basic Data'!T:U,2,0)</f>
        <v>Magnetothermic Trigger Of The Stator Protection</v>
      </c>
      <c r="M432" s="135" t="s">
        <v>472</v>
      </c>
      <c r="N432" s="256">
        <v>0.6333333333333333</v>
      </c>
      <c r="O432" s="256">
        <v>0.63402777777777775</v>
      </c>
      <c r="P432" s="256">
        <v>0.67013888888888884</v>
      </c>
      <c r="Q432" s="253">
        <f>IF(WTG_BD[[#This Row],[Work Start TimeStamp]]="","",(WTG_BD[[#This Row],[Work Start TimeStamp]]-WTG_BD[[#This Row],[Fault Start TimeStamp]])*24)</f>
        <v>1.6666666666666607E-2</v>
      </c>
      <c r="R432" s="253">
        <f>(WTG_BD[[#This Row],[Fault Clearance time]]-WTG_BD[[#This Row],[Work Start TimeStamp]])*24</f>
        <v>0.86666666666666625</v>
      </c>
      <c r="S432" s="253">
        <f>(WTG_BD[[#This Row],[Fault Clearance time]]-WTG_BD[[#This Row],[Fault Start TimeStamp]])*24</f>
        <v>0.88333333333333286</v>
      </c>
      <c r="T432" s="135" t="s">
        <v>564</v>
      </c>
      <c r="U432" s="244" t="s">
        <v>474</v>
      </c>
      <c r="V432" s="246">
        <f>WTG_BD[[#This Row],[Breakdown Time]]*(1/39)</f>
        <v>2.2649572649572635E-2</v>
      </c>
      <c r="W432" s="244" t="s">
        <v>119</v>
      </c>
      <c r="X432" s="250">
        <v>556.53680555555525</v>
      </c>
      <c r="Y432" s="135" t="s">
        <v>470</v>
      </c>
      <c r="Z432" s="135" t="s">
        <v>475</v>
      </c>
      <c r="AA432" s="135">
        <v>15121</v>
      </c>
      <c r="AB432" s="249">
        <f>(WTG_BD[[#This Row],[Paired WTG Generation for loss calculation.]]/24)*WTG_BD[[#This Row],[Breakdown Time]]</f>
        <v>556.53680555555525</v>
      </c>
      <c r="AC432" s="135"/>
      <c r="AD432" s="245"/>
      <c r="AE432" s="3"/>
    </row>
    <row r="433" spans="1:31">
      <c r="A433" s="241">
        <f t="shared" si="13"/>
        <v>432</v>
      </c>
      <c r="B433" s="255">
        <v>45778</v>
      </c>
      <c r="C433" s="252">
        <v>2025</v>
      </c>
      <c r="D433" s="252">
        <f>YEAR(WTG_BD[[#This Row],[Date]])</f>
        <v>2025</v>
      </c>
      <c r="E433" s="251">
        <f t="shared" si="14"/>
        <v>45778</v>
      </c>
      <c r="F433" s="252" t="s">
        <v>465</v>
      </c>
      <c r="G433" s="248" t="s">
        <v>143</v>
      </c>
      <c r="H433" s="242" t="str">
        <f>IFERROR(VLOOKUP(WTG_BD[[#This Row],[Affected WTG]],'Basic Data'!$A$3:$E$56,2,0),"")</f>
        <v>PWEGPL</v>
      </c>
      <c r="I433" s="242" t="str">
        <f>IFERROR(VLOOKUP(WTG_BD[[#This Row],[Affected WTG]],'Basic Data'!$A$3:$E$56,3,0),"")</f>
        <v>MSEDCL</v>
      </c>
      <c r="J433" s="243">
        <f>IFERROR(VLOOKUP(WTG_BD[[#This Row],[Affected WTG]],'Basic Data'!$A$3:$E$56,5,0),"")</f>
        <v>2.564102564102564E-2</v>
      </c>
      <c r="K433" s="158" t="s">
        <v>466</v>
      </c>
      <c r="L433" s="247" t="str">
        <f>VLOOKUP(K433,'Basic Data'!T:U,2,0)</f>
        <v>Manual Stop - Safety Related</v>
      </c>
      <c r="M433" s="135" t="s">
        <v>467</v>
      </c>
      <c r="N433" s="256">
        <v>0.60069444444444442</v>
      </c>
      <c r="O433" s="256">
        <v>0.60069444444444442</v>
      </c>
      <c r="P433" s="256">
        <v>0.71319444444444446</v>
      </c>
      <c r="Q433" s="253">
        <f>IF(WTG_BD[[#This Row],[Work Start TimeStamp]]="","",(WTG_BD[[#This Row],[Work Start TimeStamp]]-WTG_BD[[#This Row],[Fault Start TimeStamp]])*24)</f>
        <v>0</v>
      </c>
      <c r="R433" s="253">
        <f>(WTG_BD[[#This Row],[Fault Clearance time]]-WTG_BD[[#This Row],[Work Start TimeStamp]])*24</f>
        <v>2.7000000000000011</v>
      </c>
      <c r="S433" s="253">
        <f>(WTG_BD[[#This Row],[Fault Clearance time]]-WTG_BD[[#This Row],[Fault Start TimeStamp]])*24</f>
        <v>2.7000000000000011</v>
      </c>
      <c r="T433" s="135" t="s">
        <v>503</v>
      </c>
      <c r="U433" s="244" t="s">
        <v>474</v>
      </c>
      <c r="V433" s="246">
        <f>WTG_BD[[#This Row],[Breakdown Time]]*(1/39)</f>
        <v>6.9230769230769262E-2</v>
      </c>
      <c r="W433" s="244" t="s">
        <v>141</v>
      </c>
      <c r="X433" s="250">
        <v>1746.6750000000006</v>
      </c>
      <c r="Y433" s="135" t="s">
        <v>470</v>
      </c>
      <c r="Z433" s="135" t="s">
        <v>471</v>
      </c>
      <c r="AA433" s="135">
        <v>15526</v>
      </c>
      <c r="AB433" s="249">
        <f>(WTG_BD[[#This Row],[Paired WTG Generation for loss calculation.]]/24)*WTG_BD[[#This Row],[Breakdown Time]]</f>
        <v>1746.6750000000006</v>
      </c>
      <c r="AC433" s="135"/>
      <c r="AD433" s="245"/>
      <c r="AE433" s="3"/>
    </row>
    <row r="434" spans="1:31">
      <c r="A434" s="241">
        <f t="shared" si="13"/>
        <v>433</v>
      </c>
      <c r="B434" s="255">
        <v>45778</v>
      </c>
      <c r="C434" s="252">
        <v>2025</v>
      </c>
      <c r="D434" s="252">
        <f>YEAR(WTG_BD[[#This Row],[Date]])</f>
        <v>2025</v>
      </c>
      <c r="E434" s="251">
        <f t="shared" si="14"/>
        <v>45778</v>
      </c>
      <c r="F434" s="252" t="s">
        <v>465</v>
      </c>
      <c r="G434" s="248" t="s">
        <v>146</v>
      </c>
      <c r="H434" s="242" t="str">
        <f>IFERROR(VLOOKUP(WTG_BD[[#This Row],[Affected WTG]],'Basic Data'!$A$3:$E$56,2,0),"")</f>
        <v>PWEGPL</v>
      </c>
      <c r="I434" s="242" t="str">
        <f>IFERROR(VLOOKUP(WTG_BD[[#This Row],[Affected WTG]],'Basic Data'!$A$3:$E$56,3,0),"")</f>
        <v>MSEDCL</v>
      </c>
      <c r="J434" s="243">
        <f>IFERROR(VLOOKUP(WTG_BD[[#This Row],[Affected WTG]],'Basic Data'!$A$3:$E$56,5,0),"")</f>
        <v>2.564102564102564E-2</v>
      </c>
      <c r="K434" s="158" t="s">
        <v>549</v>
      </c>
      <c r="L434" s="247" t="str">
        <f>VLOOKUP(K434,'Basic Data'!T:U,2,0)</f>
        <v>Manual Stop - Preventive Maintenance Activity</v>
      </c>
      <c r="M434" s="135" t="s">
        <v>550</v>
      </c>
      <c r="N434" s="256">
        <v>0.47291666666666665</v>
      </c>
      <c r="O434" s="256">
        <v>0.47291666666666665</v>
      </c>
      <c r="P434" s="256">
        <v>0.72569444444444442</v>
      </c>
      <c r="Q434" s="253">
        <f>IF(WTG_BD[[#This Row],[Work Start TimeStamp]]="","",(WTG_BD[[#This Row],[Work Start TimeStamp]]-WTG_BD[[#This Row],[Fault Start TimeStamp]])*24)</f>
        <v>0</v>
      </c>
      <c r="R434" s="253">
        <f>(WTG_BD[[#This Row],[Fault Clearance time]]-WTG_BD[[#This Row],[Work Start TimeStamp]])*24</f>
        <v>6.0666666666666664</v>
      </c>
      <c r="S434" s="253">
        <f>(WTG_BD[[#This Row],[Fault Clearance time]]-WTG_BD[[#This Row],[Fault Start TimeStamp]])*24</f>
        <v>6.0666666666666664</v>
      </c>
      <c r="T434" s="135" t="s">
        <v>555</v>
      </c>
      <c r="U434" s="244" t="s">
        <v>474</v>
      </c>
      <c r="V434" s="246">
        <f>WTG_BD[[#This Row],[Breakdown Time]]*(1/39)</f>
        <v>0.15555555555555553</v>
      </c>
      <c r="W434" s="244" t="s">
        <v>147</v>
      </c>
      <c r="X434" s="250">
        <v>3926.9027777777774</v>
      </c>
      <c r="Y434" s="135" t="s">
        <v>470</v>
      </c>
      <c r="Z434" s="135" t="s">
        <v>552</v>
      </c>
      <c r="AA434" s="135">
        <v>15535</v>
      </c>
      <c r="AB434" s="249">
        <f>(WTG_BD[[#This Row],[Paired WTG Generation for loss calculation.]]/24)*WTG_BD[[#This Row],[Breakdown Time]]</f>
        <v>3926.9027777777774</v>
      </c>
      <c r="AC434" s="135"/>
      <c r="AD434" s="245"/>
      <c r="AE434" s="3"/>
    </row>
    <row r="435" spans="1:31">
      <c r="A435" s="241">
        <f t="shared" si="13"/>
        <v>434</v>
      </c>
      <c r="B435" s="255">
        <v>45778</v>
      </c>
      <c r="C435" s="252">
        <v>2025</v>
      </c>
      <c r="D435" s="252">
        <f>YEAR(WTG_BD[[#This Row],[Date]])</f>
        <v>2025</v>
      </c>
      <c r="E435" s="251">
        <f t="shared" si="14"/>
        <v>45778</v>
      </c>
      <c r="F435" s="252" t="s">
        <v>465</v>
      </c>
      <c r="G435" s="248" t="s">
        <v>121</v>
      </c>
      <c r="H435" s="242" t="str">
        <f>IFERROR(VLOOKUP(WTG_BD[[#This Row],[Affected WTG]],'Basic Data'!$A$3:$E$56,2,0),"")</f>
        <v>PWEGPL</v>
      </c>
      <c r="I435" s="242" t="str">
        <f>IFERROR(VLOOKUP(WTG_BD[[#This Row],[Affected WTG]],'Basic Data'!$A$3:$E$56,3,0),"")</f>
        <v>MSEDCL</v>
      </c>
      <c r="J435" s="243">
        <f>IFERROR(VLOOKUP(WTG_BD[[#This Row],[Affected WTG]],'Basic Data'!$A$3:$E$56,5,0),"")</f>
        <v>2.564102564102564E-2</v>
      </c>
      <c r="K435" s="158" t="s">
        <v>514</v>
      </c>
      <c r="L435" s="247" t="str">
        <f>VLOOKUP(K435,'Basic Data'!T:U,2,0)</f>
        <v>General Work Stoppage</v>
      </c>
      <c r="M435" s="135" t="s">
        <v>496</v>
      </c>
      <c r="N435" s="256">
        <v>0.34791666666666665</v>
      </c>
      <c r="O435" s="256">
        <v>0.34791666666666665</v>
      </c>
      <c r="P435" s="256">
        <v>0.56388888888888888</v>
      </c>
      <c r="Q435" s="253">
        <f>IF(WTG_BD[[#This Row],[Work Start TimeStamp]]="","",(WTG_BD[[#This Row],[Work Start TimeStamp]]-WTG_BD[[#This Row],[Fault Start TimeStamp]])*24)</f>
        <v>0</v>
      </c>
      <c r="R435" s="253">
        <f>(WTG_BD[[#This Row],[Fault Clearance time]]-WTG_BD[[#This Row],[Work Start TimeStamp]])*24</f>
        <v>5.1833333333333336</v>
      </c>
      <c r="S435" s="253">
        <f>(WTG_BD[[#This Row],[Fault Clearance time]]-WTG_BD[[#This Row],[Fault Start TimeStamp]])*24</f>
        <v>5.1833333333333336</v>
      </c>
      <c r="T435" s="135" t="s">
        <v>565</v>
      </c>
      <c r="U435" s="244" t="s">
        <v>474</v>
      </c>
      <c r="V435" s="246">
        <f>WTG_BD[[#This Row],[Breakdown Time]]*(1/39)</f>
        <v>0.13290598290598291</v>
      </c>
      <c r="W435" s="244" t="s">
        <v>115</v>
      </c>
      <c r="X435" s="250">
        <v>3632.8687500000001</v>
      </c>
      <c r="Y435" s="135" t="s">
        <v>470</v>
      </c>
      <c r="Z435" s="135" t="s">
        <v>498</v>
      </c>
      <c r="AA435" s="135">
        <v>16821</v>
      </c>
      <c r="AB435" s="249">
        <f>(WTG_BD[[#This Row],[Paired WTG Generation for loss calculation.]]/24)*WTG_BD[[#This Row],[Breakdown Time]]</f>
        <v>3632.8687500000001</v>
      </c>
      <c r="AC435" s="135"/>
      <c r="AD435" s="245"/>
      <c r="AE435" s="3"/>
    </row>
    <row r="436" spans="1:31">
      <c r="A436" s="241">
        <f t="shared" si="13"/>
        <v>435</v>
      </c>
      <c r="B436" s="255">
        <v>45779</v>
      </c>
      <c r="C436" s="252">
        <v>2025</v>
      </c>
      <c r="D436" s="252">
        <f>YEAR(WTG_BD[[#This Row],[Date]])</f>
        <v>2025</v>
      </c>
      <c r="E436" s="251">
        <f t="shared" si="14"/>
        <v>45778</v>
      </c>
      <c r="F436" s="252" t="s">
        <v>465</v>
      </c>
      <c r="G436" s="248" t="s">
        <v>144</v>
      </c>
      <c r="H436" s="242" t="str">
        <f>IFERROR(VLOOKUP(WTG_BD[[#This Row],[Affected WTG]],'Basic Data'!$A$3:$E$56,2,0),"")</f>
        <v>PWEGPL</v>
      </c>
      <c r="I436" s="242" t="str">
        <f>IFERROR(VLOOKUP(WTG_BD[[#This Row],[Affected WTG]],'Basic Data'!$A$3:$E$56,3,0),"")</f>
        <v>MSEDCL</v>
      </c>
      <c r="J436" s="243">
        <f>IFERROR(VLOOKUP(WTG_BD[[#This Row],[Affected WTG]],'Basic Data'!$A$3:$E$56,5,0),"")</f>
        <v>2.564102564102564E-2</v>
      </c>
      <c r="K436" s="158" t="s">
        <v>466</v>
      </c>
      <c r="L436" s="247" t="str">
        <f>VLOOKUP(K436,'Basic Data'!T:U,2,0)</f>
        <v>Manual Stop - Safety Related</v>
      </c>
      <c r="M436" s="135" t="s">
        <v>467</v>
      </c>
      <c r="N436" s="256">
        <v>0</v>
      </c>
      <c r="O436" s="256">
        <v>0.99930555555555556</v>
      </c>
      <c r="P436" s="256">
        <v>0.99930555555555556</v>
      </c>
      <c r="Q436" s="253">
        <f>IF(WTG_BD[[#This Row],[Work Start TimeStamp]]="","",(WTG_BD[[#This Row],[Work Start TimeStamp]]-WTG_BD[[#This Row],[Fault Start TimeStamp]])*24)</f>
        <v>23.983333333333334</v>
      </c>
      <c r="R436" s="253">
        <f>(WTG_BD[[#This Row],[Fault Clearance time]]-WTG_BD[[#This Row],[Work Start TimeStamp]])*24</f>
        <v>0</v>
      </c>
      <c r="S436" s="253">
        <f>(WTG_BD[[#This Row],[Fault Clearance time]]-WTG_BD[[#This Row],[Fault Start TimeStamp]])*24</f>
        <v>23.983333333333334</v>
      </c>
      <c r="T436" s="135" t="s">
        <v>468</v>
      </c>
      <c r="U436" s="244" t="s">
        <v>469</v>
      </c>
      <c r="V436" s="246">
        <f>WTG_BD[[#This Row],[Breakdown Time]]*(1/39)</f>
        <v>0.61495726495726499</v>
      </c>
      <c r="W436" s="244" t="s">
        <v>141</v>
      </c>
      <c r="X436" s="250">
        <v>12835.080555555554</v>
      </c>
      <c r="Y436" s="135" t="s">
        <v>470</v>
      </c>
      <c r="Z436" s="135" t="s">
        <v>471</v>
      </c>
      <c r="AA436" s="135">
        <v>12844</v>
      </c>
      <c r="AB436" s="249">
        <f>(WTG_BD[[#This Row],[Paired WTG Generation for loss calculation.]]/24)*WTG_BD[[#This Row],[Breakdown Time]]</f>
        <v>12835.080555555554</v>
      </c>
      <c r="AC436" s="135"/>
      <c r="AD436" s="245"/>
      <c r="AE436" s="3"/>
    </row>
    <row r="437" spans="1:31">
      <c r="A437" s="241">
        <f t="shared" si="13"/>
        <v>436</v>
      </c>
      <c r="B437" s="255">
        <v>45779</v>
      </c>
      <c r="C437" s="252">
        <v>2025</v>
      </c>
      <c r="D437" s="252">
        <f>YEAR(WTG_BD[[#This Row],[Date]])</f>
        <v>2025</v>
      </c>
      <c r="E437" s="251">
        <f t="shared" si="14"/>
        <v>45778</v>
      </c>
      <c r="F437" s="252" t="s">
        <v>465</v>
      </c>
      <c r="G437" s="248" t="s">
        <v>142</v>
      </c>
      <c r="H437" s="242" t="str">
        <f>IFERROR(VLOOKUP(WTG_BD[[#This Row],[Affected WTG]],'Basic Data'!$A$3:$E$56,2,0),"")</f>
        <v>PWEGPL</v>
      </c>
      <c r="I437" s="242" t="str">
        <f>IFERROR(VLOOKUP(WTG_BD[[#This Row],[Affected WTG]],'Basic Data'!$A$3:$E$56,3,0),"")</f>
        <v>MSEDCL</v>
      </c>
      <c r="J437" s="243">
        <f>IFERROR(VLOOKUP(WTG_BD[[#This Row],[Affected WTG]],'Basic Data'!$A$3:$E$56,5,0),"")</f>
        <v>2.564102564102564E-2</v>
      </c>
      <c r="K437" s="158" t="s">
        <v>466</v>
      </c>
      <c r="L437" s="247" t="str">
        <f>VLOOKUP(K437,'Basic Data'!T:U,2,0)</f>
        <v>Manual Stop - Safety Related</v>
      </c>
      <c r="M437" s="135" t="s">
        <v>467</v>
      </c>
      <c r="N437" s="256">
        <v>0</v>
      </c>
      <c r="O437" s="256">
        <v>0.99930555555555556</v>
      </c>
      <c r="P437" s="256">
        <v>0.99930555555555556</v>
      </c>
      <c r="Q437" s="253">
        <f>IF(WTG_BD[[#This Row],[Work Start TimeStamp]]="","",(WTG_BD[[#This Row],[Work Start TimeStamp]]-WTG_BD[[#This Row],[Fault Start TimeStamp]])*24)</f>
        <v>23.983333333333334</v>
      </c>
      <c r="R437" s="253">
        <f>(WTG_BD[[#This Row],[Fault Clearance time]]-WTG_BD[[#This Row],[Work Start TimeStamp]])*24</f>
        <v>0</v>
      </c>
      <c r="S437" s="253">
        <f>(WTG_BD[[#This Row],[Fault Clearance time]]-WTG_BD[[#This Row],[Fault Start TimeStamp]])*24</f>
        <v>23.983333333333334</v>
      </c>
      <c r="T437" s="135" t="s">
        <v>468</v>
      </c>
      <c r="U437" s="244" t="s">
        <v>469</v>
      </c>
      <c r="V437" s="246">
        <f>WTG_BD[[#This Row],[Breakdown Time]]*(1/39)</f>
        <v>0.61495726495726499</v>
      </c>
      <c r="W437" s="244" t="s">
        <v>141</v>
      </c>
      <c r="X437" s="250">
        <v>12835.080555555554</v>
      </c>
      <c r="Y437" s="135" t="s">
        <v>470</v>
      </c>
      <c r="Z437" s="135" t="s">
        <v>471</v>
      </c>
      <c r="AA437" s="135">
        <v>12844</v>
      </c>
      <c r="AB437" s="249">
        <f>(WTG_BD[[#This Row],[Paired WTG Generation for loss calculation.]]/24)*WTG_BD[[#This Row],[Breakdown Time]]</f>
        <v>12835.080555555554</v>
      </c>
      <c r="AC437" s="135"/>
      <c r="AD437" s="245"/>
      <c r="AE437" s="3"/>
    </row>
    <row r="438" spans="1:31">
      <c r="A438" s="241">
        <f t="shared" si="13"/>
        <v>437</v>
      </c>
      <c r="B438" s="255">
        <v>45779</v>
      </c>
      <c r="C438" s="252">
        <v>2025</v>
      </c>
      <c r="D438" s="252">
        <f>YEAR(WTG_BD[[#This Row],[Date]])</f>
        <v>2025</v>
      </c>
      <c r="E438" s="251">
        <f t="shared" si="14"/>
        <v>45778</v>
      </c>
      <c r="F438" s="252" t="s">
        <v>465</v>
      </c>
      <c r="G438" s="248" t="s">
        <v>121</v>
      </c>
      <c r="H438" s="242" t="str">
        <f>IFERROR(VLOOKUP(WTG_BD[[#This Row],[Affected WTG]],'Basic Data'!$A$3:$E$56,2,0),"")</f>
        <v>PWEGPL</v>
      </c>
      <c r="I438" s="242" t="str">
        <f>IFERROR(VLOOKUP(WTG_BD[[#This Row],[Affected WTG]],'Basic Data'!$A$3:$E$56,3,0),"")</f>
        <v>MSEDCL</v>
      </c>
      <c r="J438" s="243">
        <f>IFERROR(VLOOKUP(WTG_BD[[#This Row],[Affected WTG]],'Basic Data'!$A$3:$E$56,5,0),"")</f>
        <v>2.564102564102564E-2</v>
      </c>
      <c r="K438" s="158">
        <v>205</v>
      </c>
      <c r="L438" s="247" t="str">
        <f>VLOOKUP(K438,'Basic Data'!T:U,2,0)</f>
        <v>Low Level Hydraulic Group Refrigeration Oil</v>
      </c>
      <c r="M438" s="135" t="s">
        <v>472</v>
      </c>
      <c r="N438" s="256">
        <v>0.1875</v>
      </c>
      <c r="O438" s="256">
        <v>0.35069444444444442</v>
      </c>
      <c r="P438" s="256">
        <v>0.62638888888888888</v>
      </c>
      <c r="Q438" s="253">
        <f>IF(WTG_BD[[#This Row],[Work Start TimeStamp]]="","",(WTG_BD[[#This Row],[Work Start TimeStamp]]-WTG_BD[[#This Row],[Fault Start TimeStamp]])*24)</f>
        <v>3.9166666666666661</v>
      </c>
      <c r="R438" s="253">
        <f>(WTG_BD[[#This Row],[Fault Clearance time]]-WTG_BD[[#This Row],[Work Start TimeStamp]])*24</f>
        <v>6.6166666666666671</v>
      </c>
      <c r="S438" s="253">
        <f>(WTG_BD[[#This Row],[Fault Clearance time]]-WTG_BD[[#This Row],[Fault Start TimeStamp]])*24</f>
        <v>10.533333333333333</v>
      </c>
      <c r="T438" s="135" t="s">
        <v>566</v>
      </c>
      <c r="U438" s="244" t="s">
        <v>474</v>
      </c>
      <c r="V438" s="246">
        <f>WTG_BD[[#This Row],[Breakdown Time]]*(1/39)</f>
        <v>0.27008547008547007</v>
      </c>
      <c r="W438" s="244" t="s">
        <v>115</v>
      </c>
      <c r="X438" s="250">
        <v>5956.6805555555566</v>
      </c>
      <c r="Y438" s="135" t="s">
        <v>470</v>
      </c>
      <c r="Z438" s="135" t="s">
        <v>498</v>
      </c>
      <c r="AA438" s="135">
        <v>14789</v>
      </c>
      <c r="AB438" s="249">
        <f>(WTG_BD[[#This Row],[Paired WTG Generation for loss calculation.]]/24)*WTG_BD[[#This Row],[Breakdown Time]]</f>
        <v>6490.7277777777781</v>
      </c>
      <c r="AC438" s="135"/>
      <c r="AD438" s="245"/>
      <c r="AE438" s="3"/>
    </row>
    <row r="439" spans="1:31">
      <c r="A439" s="241">
        <f t="shared" si="13"/>
        <v>438</v>
      </c>
      <c r="B439" s="255">
        <v>45779</v>
      </c>
      <c r="C439" s="252">
        <v>2025</v>
      </c>
      <c r="D439" s="252">
        <f>YEAR(WTG_BD[[#This Row],[Date]])</f>
        <v>2025</v>
      </c>
      <c r="E439" s="251">
        <f t="shared" si="14"/>
        <v>45778</v>
      </c>
      <c r="F439" s="252" t="s">
        <v>465</v>
      </c>
      <c r="G439" s="248" t="s">
        <v>132</v>
      </c>
      <c r="H439" s="242" t="str">
        <f>IFERROR(VLOOKUP(WTG_BD[[#This Row],[Affected WTG]],'Basic Data'!$A$3:$E$56,2,0),"")</f>
        <v>PWEGPL</v>
      </c>
      <c r="I439" s="242" t="str">
        <f>IFERROR(VLOOKUP(WTG_BD[[#This Row],[Affected WTG]],'Basic Data'!$A$3:$E$56,3,0),"")</f>
        <v>MSEDCL</v>
      </c>
      <c r="J439" s="243">
        <f>IFERROR(VLOOKUP(WTG_BD[[#This Row],[Affected WTG]],'Basic Data'!$A$3:$E$56,5,0),"")</f>
        <v>2.564102564102564E-2</v>
      </c>
      <c r="K439" s="158">
        <v>5236</v>
      </c>
      <c r="L439" s="247" t="str">
        <f>VLOOKUP(K439,'Basic Data'!T:U,2,0)</f>
        <v>Error In Phase R Of The Inverter</v>
      </c>
      <c r="M439" s="135" t="s">
        <v>472</v>
      </c>
      <c r="N439" s="256">
        <v>0.38194444444444442</v>
      </c>
      <c r="O439" s="256">
        <v>0.3972222222222222</v>
      </c>
      <c r="P439" s="256">
        <v>0.63958333333333328</v>
      </c>
      <c r="Q439" s="253">
        <f>IF(WTG_BD[[#This Row],[Work Start TimeStamp]]="","",(WTG_BD[[#This Row],[Work Start TimeStamp]]-WTG_BD[[#This Row],[Fault Start TimeStamp]])*24)</f>
        <v>0.3666666666666667</v>
      </c>
      <c r="R439" s="253">
        <f>(WTG_BD[[#This Row],[Fault Clearance time]]-WTG_BD[[#This Row],[Work Start TimeStamp]])*24</f>
        <v>5.8166666666666664</v>
      </c>
      <c r="S439" s="253">
        <f>(WTG_BD[[#This Row],[Fault Clearance time]]-WTG_BD[[#This Row],[Fault Start TimeStamp]])*24</f>
        <v>6.1833333333333327</v>
      </c>
      <c r="T439" s="135" t="s">
        <v>567</v>
      </c>
      <c r="U439" s="244" t="s">
        <v>474</v>
      </c>
      <c r="V439" s="246">
        <f>WTG_BD[[#This Row],[Breakdown Time]]*(1/39)</f>
        <v>0.15854700854700851</v>
      </c>
      <c r="W439" s="244" t="s">
        <v>133</v>
      </c>
      <c r="X439" s="250">
        <v>3810.2215277777777</v>
      </c>
      <c r="Y439" s="135" t="s">
        <v>470</v>
      </c>
      <c r="Z439" s="135" t="s">
        <v>475</v>
      </c>
      <c r="AA439" s="135">
        <v>14789</v>
      </c>
      <c r="AB439" s="249">
        <f>(WTG_BD[[#This Row],[Paired WTG Generation for loss calculation.]]/24)*WTG_BD[[#This Row],[Breakdown Time]]</f>
        <v>3810.2215277777777</v>
      </c>
      <c r="AC439" s="135"/>
      <c r="AD439" s="245"/>
      <c r="AE439" s="3"/>
    </row>
    <row r="440" spans="1:31">
      <c r="A440" s="241">
        <f t="shared" si="13"/>
        <v>439</v>
      </c>
      <c r="B440" s="255">
        <v>45779</v>
      </c>
      <c r="C440" s="252">
        <v>2025</v>
      </c>
      <c r="D440" s="252">
        <f>YEAR(WTG_BD[[#This Row],[Date]])</f>
        <v>2025</v>
      </c>
      <c r="E440" s="251">
        <f t="shared" si="14"/>
        <v>45778</v>
      </c>
      <c r="F440" s="252" t="s">
        <v>465</v>
      </c>
      <c r="G440" s="248" t="s">
        <v>136</v>
      </c>
      <c r="H440" s="242" t="str">
        <f>IFERROR(VLOOKUP(WTG_BD[[#This Row],[Affected WTG]],'Basic Data'!$A$3:$E$56,2,0),"")</f>
        <v>PWEGPL</v>
      </c>
      <c r="I440" s="242" t="str">
        <f>IFERROR(VLOOKUP(WTG_BD[[#This Row],[Affected WTG]],'Basic Data'!$A$3:$E$56,3,0),"")</f>
        <v>MSEDCL</v>
      </c>
      <c r="J440" s="243">
        <f>IFERROR(VLOOKUP(WTG_BD[[#This Row],[Affected WTG]],'Basic Data'!$A$3:$E$56,5,0),"")</f>
        <v>2.564102564102564E-2</v>
      </c>
      <c r="K440" s="158">
        <v>203</v>
      </c>
      <c r="L440" s="247" t="str">
        <f>VLOOKUP(K440,'Basic Data'!T:U,2,0)</f>
        <v>Low Pressure On Hydraulic Group</v>
      </c>
      <c r="M440" s="135" t="s">
        <v>472</v>
      </c>
      <c r="N440" s="256">
        <v>0.67013888888888884</v>
      </c>
      <c r="O440" s="256">
        <v>0.67013888888888884</v>
      </c>
      <c r="P440" s="256">
        <v>0.67361111111111116</v>
      </c>
      <c r="Q440" s="253">
        <f>IF(WTG_BD[[#This Row],[Work Start TimeStamp]]="","",(WTG_BD[[#This Row],[Work Start TimeStamp]]-WTG_BD[[#This Row],[Fault Start TimeStamp]])*24)</f>
        <v>0</v>
      </c>
      <c r="R440" s="253">
        <f>(WTG_BD[[#This Row],[Fault Clearance time]]-WTG_BD[[#This Row],[Work Start TimeStamp]])*24</f>
        <v>8.3333333333335702E-2</v>
      </c>
      <c r="S440" s="253">
        <f>(WTG_BD[[#This Row],[Fault Clearance time]]-WTG_BD[[#This Row],[Fault Start TimeStamp]])*24</f>
        <v>8.3333333333335702E-2</v>
      </c>
      <c r="T440" s="135" t="s">
        <v>476</v>
      </c>
      <c r="U440" s="244" t="s">
        <v>474</v>
      </c>
      <c r="V440" s="246">
        <f>WTG_BD[[#This Row],[Breakdown Time]]*(1/39)</f>
        <v>2.1367521367521972E-3</v>
      </c>
      <c r="W440" s="244" t="s">
        <v>119</v>
      </c>
      <c r="X440" s="250">
        <v>50.4791666666681</v>
      </c>
      <c r="Y440" s="135" t="s">
        <v>470</v>
      </c>
      <c r="Z440" s="135" t="s">
        <v>475</v>
      </c>
      <c r="AA440" s="135">
        <v>14538</v>
      </c>
      <c r="AB440" s="249">
        <f>(WTG_BD[[#This Row],[Paired WTG Generation for loss calculation.]]/24)*WTG_BD[[#This Row],[Breakdown Time]]</f>
        <v>50.4791666666681</v>
      </c>
      <c r="AC440" s="135"/>
      <c r="AD440" s="245"/>
      <c r="AE440" s="3"/>
    </row>
    <row r="441" spans="1:31">
      <c r="A441" s="241">
        <f t="shared" si="13"/>
        <v>440</v>
      </c>
      <c r="B441" s="255">
        <v>45779</v>
      </c>
      <c r="C441" s="252">
        <v>2025</v>
      </c>
      <c r="D441" s="252">
        <f>YEAR(WTG_BD[[#This Row],[Date]])</f>
        <v>2025</v>
      </c>
      <c r="E441" s="251">
        <f t="shared" si="14"/>
        <v>45778</v>
      </c>
      <c r="F441" s="252" t="s">
        <v>465</v>
      </c>
      <c r="G441" s="248" t="s">
        <v>140</v>
      </c>
      <c r="H441" s="242" t="str">
        <f>IFERROR(VLOOKUP(WTG_BD[[#This Row],[Affected WTG]],'Basic Data'!$A$3:$E$56,2,0),"")</f>
        <v>PWEGPL</v>
      </c>
      <c r="I441" s="242" t="str">
        <f>IFERROR(VLOOKUP(WTG_BD[[#This Row],[Affected WTG]],'Basic Data'!$A$3:$E$56,3,0),"")</f>
        <v>MSEDCL</v>
      </c>
      <c r="J441" s="243">
        <f>IFERROR(VLOOKUP(WTG_BD[[#This Row],[Affected WTG]],'Basic Data'!$A$3:$E$56,5,0),"")</f>
        <v>2.564102564102564E-2</v>
      </c>
      <c r="K441" s="158" t="s">
        <v>466</v>
      </c>
      <c r="L441" s="247" t="str">
        <f>VLOOKUP(K441,'Basic Data'!T:U,2,0)</f>
        <v>Manual Stop - Safety Related</v>
      </c>
      <c r="M441" s="135" t="s">
        <v>467</v>
      </c>
      <c r="N441" s="256">
        <v>0.49583333333333335</v>
      </c>
      <c r="O441" s="256">
        <v>0.49583333333333335</v>
      </c>
      <c r="P441" s="256">
        <v>0.64166666666666672</v>
      </c>
      <c r="Q441" s="253">
        <f>IF(WTG_BD[[#This Row],[Work Start TimeStamp]]="","",(WTG_BD[[#This Row],[Work Start TimeStamp]]-WTG_BD[[#This Row],[Fault Start TimeStamp]])*24)</f>
        <v>0</v>
      </c>
      <c r="R441" s="253">
        <f>(WTG_BD[[#This Row],[Fault Clearance time]]-WTG_BD[[#This Row],[Work Start TimeStamp]])*24</f>
        <v>3.5000000000000009</v>
      </c>
      <c r="S441" s="253">
        <f>(WTG_BD[[#This Row],[Fault Clearance time]]-WTG_BD[[#This Row],[Fault Start TimeStamp]])*24</f>
        <v>3.5000000000000009</v>
      </c>
      <c r="T441" s="135" t="s">
        <v>503</v>
      </c>
      <c r="U441" s="244" t="s">
        <v>474</v>
      </c>
      <c r="V441" s="246">
        <f>WTG_BD[[#This Row],[Breakdown Time]]*(1/39)</f>
        <v>8.9743589743589758E-2</v>
      </c>
      <c r="W441" s="244" t="s">
        <v>138</v>
      </c>
      <c r="X441" s="250">
        <v>1879.6458333333337</v>
      </c>
      <c r="Y441" s="135" t="s">
        <v>470</v>
      </c>
      <c r="Z441" s="135" t="s">
        <v>475</v>
      </c>
      <c r="AA441" s="135">
        <v>12889</v>
      </c>
      <c r="AB441" s="249">
        <f>(WTG_BD[[#This Row],[Paired WTG Generation for loss calculation.]]/24)*WTG_BD[[#This Row],[Breakdown Time]]</f>
        <v>1879.6458333333337</v>
      </c>
      <c r="AC441" s="135"/>
      <c r="AD441" s="245"/>
      <c r="AE441" s="3"/>
    </row>
    <row r="442" spans="1:31">
      <c r="A442" s="241">
        <f t="shared" si="13"/>
        <v>441</v>
      </c>
      <c r="B442" s="255">
        <v>45779</v>
      </c>
      <c r="C442" s="252">
        <v>2025</v>
      </c>
      <c r="D442" s="252">
        <f>YEAR(WTG_BD[[#This Row],[Date]])</f>
        <v>2025</v>
      </c>
      <c r="E442" s="251">
        <f t="shared" si="14"/>
        <v>45778</v>
      </c>
      <c r="F442" s="252" t="s">
        <v>465</v>
      </c>
      <c r="G442" s="248" t="s">
        <v>145</v>
      </c>
      <c r="H442" s="242" t="str">
        <f>IFERROR(VLOOKUP(WTG_BD[[#This Row],[Affected WTG]],'Basic Data'!$A$3:$E$56,2,0),"")</f>
        <v>PWEGPL</v>
      </c>
      <c r="I442" s="242" t="str">
        <f>IFERROR(VLOOKUP(WTG_BD[[#This Row],[Affected WTG]],'Basic Data'!$A$3:$E$56,3,0),"")</f>
        <v>MSEDCL</v>
      </c>
      <c r="J442" s="243">
        <f>IFERROR(VLOOKUP(WTG_BD[[#This Row],[Affected WTG]],'Basic Data'!$A$3:$E$56,5,0),"")</f>
        <v>2.564102564102564E-2</v>
      </c>
      <c r="K442" s="158">
        <v>119</v>
      </c>
      <c r="L442" s="247" t="str">
        <f>VLOOKUP(K442,'Basic Data'!T:U,2,0)</f>
        <v>Yaw Contactor Active</v>
      </c>
      <c r="M442" s="135" t="s">
        <v>472</v>
      </c>
      <c r="N442" s="256">
        <v>0.66388888888888886</v>
      </c>
      <c r="O442" s="256">
        <v>0.69097222222222221</v>
      </c>
      <c r="P442" s="256">
        <v>0.69236111111111109</v>
      </c>
      <c r="Q442" s="253">
        <f>IF(WTG_BD[[#This Row],[Work Start TimeStamp]]="","",(WTG_BD[[#This Row],[Work Start TimeStamp]]-WTG_BD[[#This Row],[Fault Start TimeStamp]])*24)</f>
        <v>0.65000000000000036</v>
      </c>
      <c r="R442" s="253">
        <f>(WTG_BD[[#This Row],[Fault Clearance time]]-WTG_BD[[#This Row],[Work Start TimeStamp]])*24</f>
        <v>3.3333333333333215E-2</v>
      </c>
      <c r="S442" s="253">
        <f>(WTG_BD[[#This Row],[Fault Clearance time]]-WTG_BD[[#This Row],[Fault Start TimeStamp]])*24</f>
        <v>0.68333333333333357</v>
      </c>
      <c r="T442" s="135" t="s">
        <v>482</v>
      </c>
      <c r="U442" s="244" t="s">
        <v>474</v>
      </c>
      <c r="V442" s="246">
        <f>WTG_BD[[#This Row],[Breakdown Time]]*(1/39)</f>
        <v>1.7521367521367529E-2</v>
      </c>
      <c r="W442" s="244" t="s">
        <v>139</v>
      </c>
      <c r="X442" s="250">
        <v>336.94027777777791</v>
      </c>
      <c r="Y442" s="135" t="s">
        <v>470</v>
      </c>
      <c r="Z442" s="135" t="s">
        <v>475</v>
      </c>
      <c r="AA442" s="135">
        <v>11834</v>
      </c>
      <c r="AB442" s="249">
        <f>(WTG_BD[[#This Row],[Paired WTG Generation for loss calculation.]]/24)*WTG_BD[[#This Row],[Breakdown Time]]</f>
        <v>336.94027777777791</v>
      </c>
      <c r="AC442" s="135"/>
      <c r="AD442" s="245"/>
      <c r="AE442" s="3"/>
    </row>
    <row r="443" spans="1:31">
      <c r="A443" s="241">
        <f t="shared" si="13"/>
        <v>442</v>
      </c>
      <c r="B443" s="255">
        <v>45780</v>
      </c>
      <c r="C443" s="252">
        <v>2025</v>
      </c>
      <c r="D443" s="252">
        <v>2025</v>
      </c>
      <c r="E443" s="251">
        <f t="shared" si="14"/>
        <v>45778</v>
      </c>
      <c r="F443" s="252" t="s">
        <v>465</v>
      </c>
      <c r="G443" s="248" t="s">
        <v>144</v>
      </c>
      <c r="H443" s="242" t="str">
        <f>IFERROR(VLOOKUP(WTG_BD[[#This Row],[Affected WTG]],'Basic Data'!$A$3:$E$56,2,0),"")</f>
        <v>PWEGPL</v>
      </c>
      <c r="I443" s="242" t="str">
        <f>IFERROR(VLOOKUP(WTG_BD[[#This Row],[Affected WTG]],'Basic Data'!$A$3:$E$56,3,0),"")</f>
        <v>MSEDCL</v>
      </c>
      <c r="J443" s="243">
        <f>IFERROR(VLOOKUP(WTG_BD[[#This Row],[Affected WTG]],'Basic Data'!$A$3:$E$56,5,0),"")</f>
        <v>2.564102564102564E-2</v>
      </c>
      <c r="K443" s="158" t="s">
        <v>466</v>
      </c>
      <c r="L443" s="247" t="str">
        <f>VLOOKUP(K443,'Basic Data'!T:U,2,0)</f>
        <v>Manual Stop - Safety Related</v>
      </c>
      <c r="M443" s="135" t="s">
        <v>467</v>
      </c>
      <c r="N443" s="256">
        <v>0</v>
      </c>
      <c r="O443" s="256">
        <v>0.99930555555555556</v>
      </c>
      <c r="P443" s="256">
        <v>0.99930555555555556</v>
      </c>
      <c r="Q443" s="253">
        <f>IF(WTG_BD[[#This Row],[Work Start TimeStamp]]="","",(WTG_BD[[#This Row],[Work Start TimeStamp]]-WTG_BD[[#This Row],[Fault Start TimeStamp]])*24)</f>
        <v>23.983333333333334</v>
      </c>
      <c r="R443" s="253">
        <f>(WTG_BD[[#This Row],[Fault Clearance time]]-WTG_BD[[#This Row],[Work Start TimeStamp]])*24</f>
        <v>0</v>
      </c>
      <c r="S443" s="253">
        <f>(WTG_BD[[#This Row],[Fault Clearance time]]-WTG_BD[[#This Row],[Fault Start TimeStamp]])*24</f>
        <v>23.983333333333334</v>
      </c>
      <c r="T443" s="135" t="s">
        <v>468</v>
      </c>
      <c r="U443" s="244" t="s">
        <v>469</v>
      </c>
      <c r="V443" s="246">
        <f>WTG_BD[[#This Row],[Breakdown Time]]*(1/39)</f>
        <v>0.61495726495726499</v>
      </c>
      <c r="W443" s="244" t="s">
        <v>141</v>
      </c>
      <c r="X443" s="250">
        <v>16550.498611111114</v>
      </c>
      <c r="Y443" s="135" t="s">
        <v>470</v>
      </c>
      <c r="Z443" s="135" t="s">
        <v>471</v>
      </c>
      <c r="AA443" s="135">
        <v>16562</v>
      </c>
      <c r="AB443" s="249">
        <f>(WTG_BD[[#This Row],[Paired WTG Generation for loss calculation.]]/24)*WTG_BD[[#This Row],[Breakdown Time]]</f>
        <v>16550.498611111114</v>
      </c>
      <c r="AC443" s="135"/>
      <c r="AD443" s="245"/>
      <c r="AE443" s="3"/>
    </row>
    <row r="444" spans="1:31">
      <c r="A444" s="241">
        <f t="shared" si="13"/>
        <v>443</v>
      </c>
      <c r="B444" s="255">
        <v>45780</v>
      </c>
      <c r="C444" s="252">
        <v>2025</v>
      </c>
      <c r="D444" s="252">
        <v>2025</v>
      </c>
      <c r="E444" s="251">
        <f t="shared" si="14"/>
        <v>45778</v>
      </c>
      <c r="F444" s="252" t="s">
        <v>465</v>
      </c>
      <c r="G444" s="248" t="s">
        <v>142</v>
      </c>
      <c r="H444" s="242" t="str">
        <f>IFERROR(VLOOKUP(WTG_BD[[#This Row],[Affected WTG]],'Basic Data'!$A$3:$E$56,2,0),"")</f>
        <v>PWEGPL</v>
      </c>
      <c r="I444" s="242" t="str">
        <f>IFERROR(VLOOKUP(WTG_BD[[#This Row],[Affected WTG]],'Basic Data'!$A$3:$E$56,3,0),"")</f>
        <v>MSEDCL</v>
      </c>
      <c r="J444" s="243">
        <f>IFERROR(VLOOKUP(WTG_BD[[#This Row],[Affected WTG]],'Basic Data'!$A$3:$E$56,5,0),"")</f>
        <v>2.564102564102564E-2</v>
      </c>
      <c r="K444" s="158" t="s">
        <v>466</v>
      </c>
      <c r="L444" s="247" t="str">
        <f>VLOOKUP(K444,'Basic Data'!T:U,2,0)</f>
        <v>Manual Stop - Safety Related</v>
      </c>
      <c r="M444" s="135" t="s">
        <v>467</v>
      </c>
      <c r="N444" s="256">
        <v>0</v>
      </c>
      <c r="O444" s="256">
        <v>0.99930555555555556</v>
      </c>
      <c r="P444" s="256">
        <v>0.99930555555555556</v>
      </c>
      <c r="Q444" s="253">
        <f>IF(WTG_BD[[#This Row],[Work Start TimeStamp]]="","",(WTG_BD[[#This Row],[Work Start TimeStamp]]-WTG_BD[[#This Row],[Fault Start TimeStamp]])*24)</f>
        <v>23.983333333333334</v>
      </c>
      <c r="R444" s="253">
        <f>(WTG_BD[[#This Row],[Fault Clearance time]]-WTG_BD[[#This Row],[Work Start TimeStamp]])*24</f>
        <v>0</v>
      </c>
      <c r="S444" s="253">
        <f>(WTG_BD[[#This Row],[Fault Clearance time]]-WTG_BD[[#This Row],[Fault Start TimeStamp]])*24</f>
        <v>23.983333333333334</v>
      </c>
      <c r="T444" s="135" t="s">
        <v>468</v>
      </c>
      <c r="U444" s="244" t="s">
        <v>469</v>
      </c>
      <c r="V444" s="246">
        <f>WTG_BD[[#This Row],[Breakdown Time]]*(1/39)</f>
        <v>0.61495726495726499</v>
      </c>
      <c r="W444" s="244" t="s">
        <v>141</v>
      </c>
      <c r="X444" s="250">
        <v>16550.498611111114</v>
      </c>
      <c r="Y444" s="135" t="s">
        <v>470</v>
      </c>
      <c r="Z444" s="135" t="s">
        <v>471</v>
      </c>
      <c r="AA444" s="135">
        <v>16562</v>
      </c>
      <c r="AB444" s="249">
        <f>(WTG_BD[[#This Row],[Paired WTG Generation for loss calculation.]]/24)*WTG_BD[[#This Row],[Breakdown Time]]</f>
        <v>16550.498611111114</v>
      </c>
      <c r="AC444" s="135"/>
      <c r="AD444" s="245"/>
      <c r="AE444" s="3"/>
    </row>
    <row r="445" spans="1:31">
      <c r="A445" s="241">
        <f t="shared" si="13"/>
        <v>444</v>
      </c>
      <c r="B445" s="255">
        <v>45780</v>
      </c>
      <c r="C445" s="252">
        <v>2025</v>
      </c>
      <c r="D445" s="252">
        <v>2025</v>
      </c>
      <c r="E445" s="251">
        <f t="shared" si="14"/>
        <v>45778</v>
      </c>
      <c r="F445" s="252" t="s">
        <v>465</v>
      </c>
      <c r="G445" s="248" t="s">
        <v>123</v>
      </c>
      <c r="H445" s="242" t="str">
        <f>IFERROR(VLOOKUP(WTG_BD[[#This Row],[Affected WTG]],'Basic Data'!$A$3:$E$56,2,0),"")</f>
        <v>PWEGPL</v>
      </c>
      <c r="I445" s="242" t="str">
        <f>IFERROR(VLOOKUP(WTG_BD[[#This Row],[Affected WTG]],'Basic Data'!$A$3:$E$56,3,0),"")</f>
        <v>MSEDCL</v>
      </c>
      <c r="J445" s="243">
        <f>IFERROR(VLOOKUP(WTG_BD[[#This Row],[Affected WTG]],'Basic Data'!$A$3:$E$56,5,0),"")</f>
        <v>2.564102564102564E-2</v>
      </c>
      <c r="K445" s="158">
        <v>222</v>
      </c>
      <c r="L445" s="247" t="str">
        <f>VLOOKUP(K445,'Basic Data'!T:U,2,0)</f>
        <v>Very Low Pressure On Hydraulic Unit</v>
      </c>
      <c r="M445" s="135" t="s">
        <v>472</v>
      </c>
      <c r="N445" s="256">
        <v>0.63194444444444442</v>
      </c>
      <c r="O445" s="256">
        <v>0.64930555555555558</v>
      </c>
      <c r="P445" s="256">
        <v>0.65</v>
      </c>
      <c r="Q445" s="253">
        <f>IF(WTG_BD[[#This Row],[Work Start TimeStamp]]="","",(WTG_BD[[#This Row],[Work Start TimeStamp]]-WTG_BD[[#This Row],[Fault Start TimeStamp]])*24)</f>
        <v>0.41666666666666785</v>
      </c>
      <c r="R445" s="253">
        <f>(WTG_BD[[#This Row],[Fault Clearance time]]-WTG_BD[[#This Row],[Work Start TimeStamp]])*24</f>
        <v>1.6666666666666607E-2</v>
      </c>
      <c r="S445" s="253">
        <f>(WTG_BD[[#This Row],[Fault Clearance time]]-WTG_BD[[#This Row],[Fault Start TimeStamp]])*24</f>
        <v>0.43333333333333446</v>
      </c>
      <c r="T445" s="135" t="s">
        <v>473</v>
      </c>
      <c r="U445" s="244" t="s">
        <v>474</v>
      </c>
      <c r="V445" s="246">
        <f>WTG_BD[[#This Row],[Breakdown Time]]*(1/39)</f>
        <v>1.1111111111111139E-2</v>
      </c>
      <c r="W445" s="244" t="s">
        <v>126</v>
      </c>
      <c r="X445" s="250">
        <v>320.07083333333418</v>
      </c>
      <c r="Y445" s="135" t="s">
        <v>470</v>
      </c>
      <c r="Z445" s="135" t="s">
        <v>475</v>
      </c>
      <c r="AA445" s="135">
        <v>17727</v>
      </c>
      <c r="AB445" s="249">
        <f>(WTG_BD[[#This Row],[Paired WTG Generation for loss calculation.]]/24)*WTG_BD[[#This Row],[Breakdown Time]]</f>
        <v>320.07083333333418</v>
      </c>
      <c r="AC445" s="135"/>
      <c r="AD445" s="245"/>
      <c r="AE445" s="3"/>
    </row>
    <row r="446" spans="1:31">
      <c r="A446" s="241">
        <f t="shared" si="13"/>
        <v>445</v>
      </c>
      <c r="B446" s="255">
        <v>45780</v>
      </c>
      <c r="C446" s="252">
        <v>2025</v>
      </c>
      <c r="D446" s="252">
        <v>2025</v>
      </c>
      <c r="E446" s="251">
        <f t="shared" si="14"/>
        <v>45778</v>
      </c>
      <c r="F446" s="252" t="s">
        <v>465</v>
      </c>
      <c r="G446" s="248" t="s">
        <v>126</v>
      </c>
      <c r="H446" s="242" t="str">
        <f>IFERROR(VLOOKUP(WTG_BD[[#This Row],[Affected WTG]],'Basic Data'!$A$3:$E$56,2,0),"")</f>
        <v>PWEGPL</v>
      </c>
      <c r="I446" s="242" t="str">
        <f>IFERROR(VLOOKUP(WTG_BD[[#This Row],[Affected WTG]],'Basic Data'!$A$3:$E$56,3,0),"")</f>
        <v>MSEDCL</v>
      </c>
      <c r="J446" s="243">
        <f>IFERROR(VLOOKUP(WTG_BD[[#This Row],[Affected WTG]],'Basic Data'!$A$3:$E$56,5,0),"")</f>
        <v>2.564102564102564E-2</v>
      </c>
      <c r="K446" s="158">
        <v>203</v>
      </c>
      <c r="L446" s="247" t="str">
        <f>VLOOKUP(K446,'Basic Data'!T:U,2,0)</f>
        <v>Low Pressure On Hydraulic Group</v>
      </c>
      <c r="M446" s="135" t="s">
        <v>472</v>
      </c>
      <c r="N446" s="256">
        <v>0.61250000000000004</v>
      </c>
      <c r="O446" s="256">
        <v>0.62638888888888888</v>
      </c>
      <c r="P446" s="256">
        <v>0.62708333333333333</v>
      </c>
      <c r="Q446" s="253">
        <f>IF(WTG_BD[[#This Row],[Work Start TimeStamp]]="","",(WTG_BD[[#This Row],[Work Start TimeStamp]]-WTG_BD[[#This Row],[Fault Start TimeStamp]])*24)</f>
        <v>0.33333333333333215</v>
      </c>
      <c r="R446" s="253">
        <f>(WTG_BD[[#This Row],[Fault Clearance time]]-WTG_BD[[#This Row],[Work Start TimeStamp]])*24</f>
        <v>1.6666666666666607E-2</v>
      </c>
      <c r="S446" s="253">
        <f>(WTG_BD[[#This Row],[Fault Clearance time]]-WTG_BD[[#This Row],[Fault Start TimeStamp]])*24</f>
        <v>0.34999999999999876</v>
      </c>
      <c r="T446" s="135" t="s">
        <v>473</v>
      </c>
      <c r="U446" s="244" t="s">
        <v>474</v>
      </c>
      <c r="V446" s="246">
        <f>WTG_BD[[#This Row],[Breakdown Time]]*(1/39)</f>
        <v>8.9743589743589425E-3</v>
      </c>
      <c r="W446" s="244" t="s">
        <v>127</v>
      </c>
      <c r="X446" s="250">
        <v>265.98541666666574</v>
      </c>
      <c r="Y446" s="135" t="s">
        <v>470</v>
      </c>
      <c r="Z446" s="135" t="s">
        <v>475</v>
      </c>
      <c r="AA446" s="135">
        <v>18239</v>
      </c>
      <c r="AB446" s="249">
        <f>(WTG_BD[[#This Row],[Paired WTG Generation for loss calculation.]]/24)*WTG_BD[[#This Row],[Breakdown Time]]</f>
        <v>265.98541666666574</v>
      </c>
      <c r="AC446" s="135"/>
      <c r="AD446" s="245"/>
      <c r="AE446" s="3"/>
    </row>
    <row r="447" spans="1:31">
      <c r="A447" s="241">
        <f t="shared" si="13"/>
        <v>446</v>
      </c>
      <c r="B447" s="255">
        <v>45780</v>
      </c>
      <c r="C447" s="252">
        <v>2025</v>
      </c>
      <c r="D447" s="252">
        <v>2025</v>
      </c>
      <c r="E447" s="251">
        <f t="shared" si="14"/>
        <v>45778</v>
      </c>
      <c r="F447" s="252" t="s">
        <v>465</v>
      </c>
      <c r="G447" s="248" t="s">
        <v>133</v>
      </c>
      <c r="H447" s="242" t="str">
        <f>IFERROR(VLOOKUP(WTG_BD[[#This Row],[Affected WTG]],'Basic Data'!$A$3:$E$56,2,0),"")</f>
        <v>PWEGPL</v>
      </c>
      <c r="I447" s="242" t="str">
        <f>IFERROR(VLOOKUP(WTG_BD[[#This Row],[Affected WTG]],'Basic Data'!$A$3:$E$56,3,0),"")</f>
        <v>MSEDCL</v>
      </c>
      <c r="J447" s="243">
        <f>IFERROR(VLOOKUP(WTG_BD[[#This Row],[Affected WTG]],'Basic Data'!$A$3:$E$56,5,0),"")</f>
        <v>2.564102564102564E-2</v>
      </c>
      <c r="K447" s="158" t="s">
        <v>523</v>
      </c>
      <c r="L447" s="247" t="str">
        <f>VLOOKUP(K447,'Basic Data'!T:U,2,0)</f>
        <v>Manual Stop</v>
      </c>
      <c r="M447" s="135" t="s">
        <v>496</v>
      </c>
      <c r="N447" s="256">
        <v>0.35416666666666669</v>
      </c>
      <c r="O447" s="256">
        <v>0.35416666666666669</v>
      </c>
      <c r="P447" s="256">
        <v>0.55625000000000002</v>
      </c>
      <c r="Q447" s="253">
        <f>IF(WTG_BD[[#This Row],[Work Start TimeStamp]]="","",(WTG_BD[[#This Row],[Work Start TimeStamp]]-WTG_BD[[#This Row],[Fault Start TimeStamp]])*24)</f>
        <v>0</v>
      </c>
      <c r="R447" s="253">
        <f>(WTG_BD[[#This Row],[Fault Clearance time]]-WTG_BD[[#This Row],[Work Start TimeStamp]])*24</f>
        <v>4.8499999999999996</v>
      </c>
      <c r="S447" s="253">
        <f>(WTG_BD[[#This Row],[Fault Clearance time]]-WTG_BD[[#This Row],[Fault Start TimeStamp]])*24</f>
        <v>4.8499999999999996</v>
      </c>
      <c r="T447" s="135" t="s">
        <v>568</v>
      </c>
      <c r="U447" s="244" t="s">
        <v>474</v>
      </c>
      <c r="V447" s="246">
        <f>WTG_BD[[#This Row],[Breakdown Time]]*(1/39)</f>
        <v>0.12435897435897435</v>
      </c>
      <c r="W447" s="244" t="s">
        <v>132</v>
      </c>
      <c r="X447" s="250">
        <v>3684.7874999999999</v>
      </c>
      <c r="Y447" s="135" t="s">
        <v>470</v>
      </c>
      <c r="Z447" s="135" t="s">
        <v>498</v>
      </c>
      <c r="AA447" s="135">
        <v>18234</v>
      </c>
      <c r="AB447" s="249">
        <f>(WTG_BD[[#This Row],[Paired WTG Generation for loss calculation.]]/24)*WTG_BD[[#This Row],[Breakdown Time]]</f>
        <v>3684.7874999999999</v>
      </c>
      <c r="AC447" s="135"/>
      <c r="AD447" s="245"/>
      <c r="AE447" s="3"/>
    </row>
    <row r="448" spans="1:31">
      <c r="A448" s="241">
        <f t="shared" si="13"/>
        <v>447</v>
      </c>
      <c r="B448" s="255">
        <v>45780</v>
      </c>
      <c r="C448" s="252">
        <v>2025</v>
      </c>
      <c r="D448" s="252">
        <v>2025</v>
      </c>
      <c r="E448" s="251">
        <f t="shared" si="14"/>
        <v>45778</v>
      </c>
      <c r="F448" s="252" t="s">
        <v>465</v>
      </c>
      <c r="G448" s="248" t="s">
        <v>145</v>
      </c>
      <c r="H448" s="242" t="str">
        <f>IFERROR(VLOOKUP(WTG_BD[[#This Row],[Affected WTG]],'Basic Data'!$A$3:$E$56,2,0),"")</f>
        <v>PWEGPL</v>
      </c>
      <c r="I448" s="242" t="str">
        <f>IFERROR(VLOOKUP(WTG_BD[[#This Row],[Affected WTG]],'Basic Data'!$A$3:$E$56,3,0),"")</f>
        <v>MSEDCL</v>
      </c>
      <c r="J448" s="243">
        <f>IFERROR(VLOOKUP(WTG_BD[[#This Row],[Affected WTG]],'Basic Data'!$A$3:$E$56,5,0),"")</f>
        <v>2.564102564102564E-2</v>
      </c>
      <c r="K448" s="158">
        <v>102</v>
      </c>
      <c r="L448" s="247" t="str">
        <f>VLOOKUP(K448,'Basic Data'!T:U,2,0)</f>
        <v>CW Feedback Failure</v>
      </c>
      <c r="M448" s="135" t="s">
        <v>472</v>
      </c>
      <c r="N448" s="256">
        <v>0.40625</v>
      </c>
      <c r="O448" s="256">
        <v>0.43055555555555558</v>
      </c>
      <c r="P448" s="256">
        <v>0.43125000000000002</v>
      </c>
      <c r="Q448" s="253">
        <f>IF(WTG_BD[[#This Row],[Work Start TimeStamp]]="","",(WTG_BD[[#This Row],[Work Start TimeStamp]]-WTG_BD[[#This Row],[Fault Start TimeStamp]])*24)</f>
        <v>0.58333333333333393</v>
      </c>
      <c r="R448" s="253">
        <f>(WTG_BD[[#This Row],[Fault Clearance time]]-WTG_BD[[#This Row],[Work Start TimeStamp]])*24</f>
        <v>1.6666666666666607E-2</v>
      </c>
      <c r="S448" s="253">
        <f>(WTG_BD[[#This Row],[Fault Clearance time]]-WTG_BD[[#This Row],[Fault Start TimeStamp]])*24</f>
        <v>0.60000000000000053</v>
      </c>
      <c r="T448" s="135" t="s">
        <v>473</v>
      </c>
      <c r="U448" s="244" t="s">
        <v>474</v>
      </c>
      <c r="V448" s="246">
        <f>WTG_BD[[#This Row],[Breakdown Time]]*(1/39)</f>
        <v>1.5384615384615398E-2</v>
      </c>
      <c r="W448" s="244" t="s">
        <v>139</v>
      </c>
      <c r="X448" s="250">
        <v>371.12500000000028</v>
      </c>
      <c r="Y448" s="135" t="s">
        <v>470</v>
      </c>
      <c r="Z448" s="135" t="s">
        <v>475</v>
      </c>
      <c r="AA448" s="135">
        <v>14845</v>
      </c>
      <c r="AB448" s="249">
        <f>(WTG_BD[[#This Row],[Paired WTG Generation for loss calculation.]]/24)*WTG_BD[[#This Row],[Breakdown Time]]</f>
        <v>371.12500000000028</v>
      </c>
      <c r="AC448" s="135"/>
      <c r="AD448" s="245"/>
      <c r="AE448" s="3"/>
    </row>
    <row r="449" spans="1:31">
      <c r="A449" s="241">
        <f t="shared" si="13"/>
        <v>448</v>
      </c>
      <c r="B449" s="255">
        <v>45780</v>
      </c>
      <c r="C449" s="252">
        <v>2025</v>
      </c>
      <c r="D449" s="252">
        <v>2025</v>
      </c>
      <c r="E449" s="251">
        <f t="shared" si="14"/>
        <v>45778</v>
      </c>
      <c r="F449" s="252" t="s">
        <v>465</v>
      </c>
      <c r="G449" s="248" t="s">
        <v>148</v>
      </c>
      <c r="H449" s="242" t="str">
        <f>IFERROR(VLOOKUP(WTG_BD[[#This Row],[Affected WTG]],'Basic Data'!$A$3:$E$56,2,0),"")</f>
        <v>PWEGPL</v>
      </c>
      <c r="I449" s="242" t="str">
        <f>IFERROR(VLOOKUP(WTG_BD[[#This Row],[Affected WTG]],'Basic Data'!$A$3:$E$56,3,0),"")</f>
        <v>MSEDCL</v>
      </c>
      <c r="J449" s="243">
        <f>IFERROR(VLOOKUP(WTG_BD[[#This Row],[Affected WTG]],'Basic Data'!$A$3:$E$56,5,0),"")</f>
        <v>2.564102564102564E-2</v>
      </c>
      <c r="K449" s="158" t="s">
        <v>549</v>
      </c>
      <c r="L449" s="247" t="str">
        <f>VLOOKUP(K449,'Basic Data'!T:U,2,0)</f>
        <v>Manual Stop - Preventive Maintenance Activity</v>
      </c>
      <c r="M449" s="135" t="s">
        <v>550</v>
      </c>
      <c r="N449" s="256">
        <v>0.47291666666666665</v>
      </c>
      <c r="O449" s="256">
        <v>0.47291666666666665</v>
      </c>
      <c r="P449" s="256">
        <v>0.72569444444444442</v>
      </c>
      <c r="Q449" s="253">
        <f>IF(WTG_BD[[#This Row],[Work Start TimeStamp]]="","",(WTG_BD[[#This Row],[Work Start TimeStamp]]-WTG_BD[[#This Row],[Fault Start TimeStamp]])*24)</f>
        <v>0</v>
      </c>
      <c r="R449" s="253">
        <f>(WTG_BD[[#This Row],[Fault Clearance time]]-WTG_BD[[#This Row],[Work Start TimeStamp]])*24</f>
        <v>6.0666666666666664</v>
      </c>
      <c r="S449" s="253">
        <f>(WTG_BD[[#This Row],[Fault Clearance time]]-WTG_BD[[#This Row],[Fault Start TimeStamp]])*24</f>
        <v>6.0666666666666664</v>
      </c>
      <c r="T449" s="135" t="s">
        <v>569</v>
      </c>
      <c r="U449" s="244" t="s">
        <v>474</v>
      </c>
      <c r="V449" s="246">
        <f>WTG_BD[[#This Row],[Breakdown Time]]*(1/39)</f>
        <v>0.15555555555555553</v>
      </c>
      <c r="W449" s="244" t="s">
        <v>149</v>
      </c>
      <c r="X449" s="250">
        <v>3752.9916666666663</v>
      </c>
      <c r="Y449" s="135" t="s">
        <v>470</v>
      </c>
      <c r="Z449" s="135" t="s">
        <v>552</v>
      </c>
      <c r="AA449" s="135">
        <v>14847</v>
      </c>
      <c r="AB449" s="249">
        <f>(WTG_BD[[#This Row],[Paired WTG Generation for loss calculation.]]/24)*WTG_BD[[#This Row],[Breakdown Time]]</f>
        <v>3752.9916666666663</v>
      </c>
      <c r="AC449" s="135"/>
      <c r="AD449" s="245"/>
      <c r="AE449" s="3"/>
    </row>
    <row r="450" spans="1:31">
      <c r="A450" s="241">
        <f t="shared" si="13"/>
        <v>449</v>
      </c>
      <c r="B450" s="255">
        <v>45780</v>
      </c>
      <c r="C450" s="252">
        <v>2025</v>
      </c>
      <c r="D450" s="252">
        <v>2025</v>
      </c>
      <c r="E450" s="251">
        <f t="shared" si="14"/>
        <v>45778</v>
      </c>
      <c r="F450" s="252" t="s">
        <v>465</v>
      </c>
      <c r="G450" s="248" t="s">
        <v>150</v>
      </c>
      <c r="H450" s="242" t="str">
        <f>IFERROR(VLOOKUP(WTG_BD[[#This Row],[Affected WTG]],'Basic Data'!$A$3:$E$56,2,0),"")</f>
        <v>PWEGPL</v>
      </c>
      <c r="I450" s="242" t="str">
        <f>IFERROR(VLOOKUP(WTG_BD[[#This Row],[Affected WTG]],'Basic Data'!$A$3:$E$56,3,0),"")</f>
        <v>MSEDCL</v>
      </c>
      <c r="J450" s="243">
        <f>IFERROR(VLOOKUP(WTG_BD[[#This Row],[Affected WTG]],'Basic Data'!$A$3:$E$56,5,0),"")</f>
        <v>2.564102564102564E-2</v>
      </c>
      <c r="K450" s="158">
        <v>2118</v>
      </c>
      <c r="L450" s="247" t="str">
        <f>VLOOKUP(K450,'Basic Data'!T:U,2,0)</f>
        <v>Bus Error - Interbus Failure</v>
      </c>
      <c r="M450" s="135" t="s">
        <v>472</v>
      </c>
      <c r="N450" s="256">
        <v>0.55625000000000002</v>
      </c>
      <c r="O450" s="256">
        <v>0.60555555555555551</v>
      </c>
      <c r="P450" s="256">
        <v>0.60763888888888884</v>
      </c>
      <c r="Q450" s="253">
        <f>IF(WTG_BD[[#This Row],[Work Start TimeStamp]]="","",(WTG_BD[[#This Row],[Work Start TimeStamp]]-WTG_BD[[#This Row],[Fault Start TimeStamp]])*24)</f>
        <v>1.1833333333333318</v>
      </c>
      <c r="R450" s="253">
        <f>(WTG_BD[[#This Row],[Fault Clearance time]]-WTG_BD[[#This Row],[Work Start TimeStamp]])*24</f>
        <v>4.9999999999999822E-2</v>
      </c>
      <c r="S450" s="253">
        <f>(WTG_BD[[#This Row],[Fault Clearance time]]-WTG_BD[[#This Row],[Fault Start TimeStamp]])*24</f>
        <v>1.2333333333333316</v>
      </c>
      <c r="T450" s="135" t="s">
        <v>482</v>
      </c>
      <c r="U450" s="244" t="s">
        <v>474</v>
      </c>
      <c r="V450" s="246">
        <f>WTG_BD[[#This Row],[Breakdown Time]]*(1/39)</f>
        <v>3.1623931623931581E-2</v>
      </c>
      <c r="W450" s="244" t="s">
        <v>149</v>
      </c>
      <c r="X450" s="250">
        <v>762.97083333333228</v>
      </c>
      <c r="Y450" s="135" t="s">
        <v>470</v>
      </c>
      <c r="Z450" s="135" t="s">
        <v>475</v>
      </c>
      <c r="AA450" s="135">
        <v>14847</v>
      </c>
      <c r="AB450" s="249">
        <f>(WTG_BD[[#This Row],[Paired WTG Generation for loss calculation.]]/24)*WTG_BD[[#This Row],[Breakdown Time]]</f>
        <v>762.97083333333228</v>
      </c>
      <c r="AC450" s="135"/>
      <c r="AD450" s="245"/>
      <c r="AE450" s="3"/>
    </row>
    <row r="451" spans="1:31">
      <c r="A451" s="241">
        <f t="shared" ref="A451:A514" si="15">A450+1</f>
        <v>450</v>
      </c>
      <c r="B451" s="255">
        <v>45781</v>
      </c>
      <c r="C451" s="252">
        <v>2025</v>
      </c>
      <c r="D451" s="252">
        <v>2025</v>
      </c>
      <c r="E451" s="251">
        <f t="shared" si="14"/>
        <v>45778</v>
      </c>
      <c r="F451" s="252" t="s">
        <v>465</v>
      </c>
      <c r="G451" s="248" t="s">
        <v>144</v>
      </c>
      <c r="H451" s="242" t="str">
        <f>IFERROR(VLOOKUP(WTG_BD[[#This Row],[Affected WTG]],'Basic Data'!$A$3:$E$56,2,0),"")</f>
        <v>PWEGPL</v>
      </c>
      <c r="I451" s="242" t="str">
        <f>IFERROR(VLOOKUP(WTG_BD[[#This Row],[Affected WTG]],'Basic Data'!$A$3:$E$56,3,0),"")</f>
        <v>MSEDCL</v>
      </c>
      <c r="J451" s="243">
        <f>IFERROR(VLOOKUP(WTG_BD[[#This Row],[Affected WTG]],'Basic Data'!$A$3:$E$56,5,0),"")</f>
        <v>2.564102564102564E-2</v>
      </c>
      <c r="K451" s="158" t="s">
        <v>466</v>
      </c>
      <c r="L451" s="247" t="str">
        <f>VLOOKUP(K451,'Basic Data'!T:U,2,0)</f>
        <v>Manual Stop - Safety Related</v>
      </c>
      <c r="M451" s="135" t="s">
        <v>467</v>
      </c>
      <c r="N451" s="256">
        <v>0</v>
      </c>
      <c r="O451" s="256">
        <v>0.99930555555555556</v>
      </c>
      <c r="P451" s="256">
        <v>0.99930555555555556</v>
      </c>
      <c r="Q451" s="253">
        <f>IF(WTG_BD[[#This Row],[Work Start TimeStamp]]="","",(WTG_BD[[#This Row],[Work Start TimeStamp]]-WTG_BD[[#This Row],[Fault Start TimeStamp]])*24)</f>
        <v>23.983333333333334</v>
      </c>
      <c r="R451" s="253">
        <f>(WTG_BD[[#This Row],[Fault Clearance time]]-WTG_BD[[#This Row],[Work Start TimeStamp]])*24</f>
        <v>0</v>
      </c>
      <c r="S451" s="253">
        <f>(WTG_BD[[#This Row],[Fault Clearance time]]-WTG_BD[[#This Row],[Fault Start TimeStamp]])*24</f>
        <v>23.983333333333334</v>
      </c>
      <c r="T451" s="135" t="s">
        <v>468</v>
      </c>
      <c r="U451" s="244" t="s">
        <v>469</v>
      </c>
      <c r="V451" s="246">
        <f>WTG_BD[[#This Row],[Breakdown Time]]*(1/39)</f>
        <v>0.61495726495726499</v>
      </c>
      <c r="W451" s="244" t="s">
        <v>141</v>
      </c>
      <c r="X451" s="250">
        <v>11144.255555555557</v>
      </c>
      <c r="Y451" s="135" t="s">
        <v>470</v>
      </c>
      <c r="Z451" s="135" t="s">
        <v>471</v>
      </c>
      <c r="AA451" s="135">
        <v>11152</v>
      </c>
      <c r="AB451" s="249">
        <f>(WTG_BD[[#This Row],[Paired WTG Generation for loss calculation.]]/24)*WTG_BD[[#This Row],[Breakdown Time]]</f>
        <v>11144.255555555557</v>
      </c>
      <c r="AC451" s="135"/>
      <c r="AD451" s="245"/>
      <c r="AE451" s="3"/>
    </row>
    <row r="452" spans="1:31">
      <c r="A452" s="241">
        <f t="shared" si="15"/>
        <v>451</v>
      </c>
      <c r="B452" s="255">
        <v>45781</v>
      </c>
      <c r="C452" s="252">
        <v>2025</v>
      </c>
      <c r="D452" s="252">
        <v>2025</v>
      </c>
      <c r="E452" s="251">
        <f t="shared" si="14"/>
        <v>45778</v>
      </c>
      <c r="F452" s="252" t="s">
        <v>465</v>
      </c>
      <c r="G452" s="248" t="s">
        <v>142</v>
      </c>
      <c r="H452" s="242" t="str">
        <f>IFERROR(VLOOKUP(WTG_BD[[#This Row],[Affected WTG]],'Basic Data'!$A$3:$E$56,2,0),"")</f>
        <v>PWEGPL</v>
      </c>
      <c r="I452" s="242" t="str">
        <f>IFERROR(VLOOKUP(WTG_BD[[#This Row],[Affected WTG]],'Basic Data'!$A$3:$E$56,3,0),"")</f>
        <v>MSEDCL</v>
      </c>
      <c r="J452" s="243">
        <f>IFERROR(VLOOKUP(WTG_BD[[#This Row],[Affected WTG]],'Basic Data'!$A$3:$E$56,5,0),"")</f>
        <v>2.564102564102564E-2</v>
      </c>
      <c r="K452" s="158" t="s">
        <v>466</v>
      </c>
      <c r="L452" s="247" t="str">
        <f>VLOOKUP(K452,'Basic Data'!T:U,2,0)</f>
        <v>Manual Stop - Safety Related</v>
      </c>
      <c r="M452" s="135" t="s">
        <v>467</v>
      </c>
      <c r="N452" s="256">
        <v>0</v>
      </c>
      <c r="O452" s="256">
        <v>0.99930555555555556</v>
      </c>
      <c r="P452" s="256">
        <v>0.99930555555555556</v>
      </c>
      <c r="Q452" s="253">
        <f>IF(WTG_BD[[#This Row],[Work Start TimeStamp]]="","",(WTG_BD[[#This Row],[Work Start TimeStamp]]-WTG_BD[[#This Row],[Fault Start TimeStamp]])*24)</f>
        <v>23.983333333333334</v>
      </c>
      <c r="R452" s="253">
        <f>(WTG_BD[[#This Row],[Fault Clearance time]]-WTG_BD[[#This Row],[Work Start TimeStamp]])*24</f>
        <v>0</v>
      </c>
      <c r="S452" s="253">
        <f>(WTG_BD[[#This Row],[Fault Clearance time]]-WTG_BD[[#This Row],[Fault Start TimeStamp]])*24</f>
        <v>23.983333333333334</v>
      </c>
      <c r="T452" s="135" t="s">
        <v>468</v>
      </c>
      <c r="U452" s="244" t="s">
        <v>469</v>
      </c>
      <c r="V452" s="246">
        <f>WTG_BD[[#This Row],[Breakdown Time]]*(1/39)</f>
        <v>0.61495726495726499</v>
      </c>
      <c r="W452" s="244" t="s">
        <v>141</v>
      </c>
      <c r="X452" s="250">
        <v>11144.255555555557</v>
      </c>
      <c r="Y452" s="135" t="s">
        <v>470</v>
      </c>
      <c r="Z452" s="135" t="s">
        <v>471</v>
      </c>
      <c r="AA452" s="135">
        <v>11152</v>
      </c>
      <c r="AB452" s="249">
        <f>(WTG_BD[[#This Row],[Paired WTG Generation for loss calculation.]]/24)*WTG_BD[[#This Row],[Breakdown Time]]</f>
        <v>11144.255555555557</v>
      </c>
      <c r="AC452" s="135"/>
      <c r="AD452" s="245"/>
      <c r="AE452" s="3"/>
    </row>
    <row r="453" spans="1:31">
      <c r="A453" s="241">
        <f t="shared" si="15"/>
        <v>452</v>
      </c>
      <c r="B453" s="255">
        <v>45781</v>
      </c>
      <c r="C453" s="252">
        <v>2025</v>
      </c>
      <c r="D453" s="252">
        <v>2025</v>
      </c>
      <c r="E453" s="251">
        <f t="shared" si="14"/>
        <v>45778</v>
      </c>
      <c r="F453" s="252" t="s">
        <v>465</v>
      </c>
      <c r="G453" s="248" t="s">
        <v>126</v>
      </c>
      <c r="H453" s="242" t="str">
        <f>IFERROR(VLOOKUP(WTG_BD[[#This Row],[Affected WTG]],'Basic Data'!$A$3:$E$56,2,0),"")</f>
        <v>PWEGPL</v>
      </c>
      <c r="I453" s="242" t="str">
        <f>IFERROR(VLOOKUP(WTG_BD[[#This Row],[Affected WTG]],'Basic Data'!$A$3:$E$56,3,0),"")</f>
        <v>MSEDCL</v>
      </c>
      <c r="J453" s="243">
        <f>IFERROR(VLOOKUP(WTG_BD[[#This Row],[Affected WTG]],'Basic Data'!$A$3:$E$56,5,0),"")</f>
        <v>2.564102564102564E-2</v>
      </c>
      <c r="K453" s="158">
        <v>203</v>
      </c>
      <c r="L453" s="247" t="str">
        <f>VLOOKUP(K453,'Basic Data'!T:U,2,0)</f>
        <v>Low Pressure On Hydraulic Group</v>
      </c>
      <c r="M453" s="135" t="s">
        <v>472</v>
      </c>
      <c r="N453" s="256">
        <v>0.5805555555555556</v>
      </c>
      <c r="O453" s="256">
        <v>0.59722222222222221</v>
      </c>
      <c r="P453" s="256">
        <v>0.59791666666666665</v>
      </c>
      <c r="Q453" s="253">
        <f>IF(WTG_BD[[#This Row],[Work Start TimeStamp]]="","",(WTG_BD[[#This Row],[Work Start TimeStamp]]-WTG_BD[[#This Row],[Fault Start TimeStamp]])*24)</f>
        <v>0.39999999999999858</v>
      </c>
      <c r="R453" s="253">
        <f>(WTG_BD[[#This Row],[Fault Clearance time]]-WTG_BD[[#This Row],[Work Start TimeStamp]])*24</f>
        <v>1.6666666666666607E-2</v>
      </c>
      <c r="S453" s="253">
        <f>(WTG_BD[[#This Row],[Fault Clearance time]]-WTG_BD[[#This Row],[Fault Start TimeStamp]])*24</f>
        <v>0.41666666666666519</v>
      </c>
      <c r="T453" s="135" t="s">
        <v>473</v>
      </c>
      <c r="U453" s="244" t="s">
        <v>474</v>
      </c>
      <c r="V453" s="246">
        <f>WTG_BD[[#This Row],[Breakdown Time]]*(1/39)</f>
        <v>1.0683760683760646E-2</v>
      </c>
      <c r="W453" s="244" t="s">
        <v>127</v>
      </c>
      <c r="X453" s="250">
        <v>235.72916666666583</v>
      </c>
      <c r="Y453" s="135" t="s">
        <v>470</v>
      </c>
      <c r="Z453" s="135" t="s">
        <v>475</v>
      </c>
      <c r="AA453" s="135">
        <v>13578</v>
      </c>
      <c r="AB453" s="249">
        <f>(WTG_BD[[#This Row],[Paired WTG Generation for loss calculation.]]/24)*WTG_BD[[#This Row],[Breakdown Time]]</f>
        <v>235.72916666666583</v>
      </c>
      <c r="AC453" s="135"/>
      <c r="AD453" s="245"/>
      <c r="AE453" s="3"/>
    </row>
    <row r="454" spans="1:31">
      <c r="A454" s="241">
        <f t="shared" si="15"/>
        <v>453</v>
      </c>
      <c r="B454" s="255">
        <v>45781</v>
      </c>
      <c r="C454" s="252">
        <v>2025</v>
      </c>
      <c r="D454" s="252">
        <v>2025</v>
      </c>
      <c r="E454" s="251">
        <f t="shared" si="14"/>
        <v>45778</v>
      </c>
      <c r="F454" s="252" t="s">
        <v>465</v>
      </c>
      <c r="G454" s="248" t="s">
        <v>136</v>
      </c>
      <c r="H454" s="242" t="str">
        <f>IFERROR(VLOOKUP(WTG_BD[[#This Row],[Affected WTG]],'Basic Data'!$A$3:$E$56,2,0),"")</f>
        <v>PWEGPL</v>
      </c>
      <c r="I454" s="242" t="str">
        <f>IFERROR(VLOOKUP(WTG_BD[[#This Row],[Affected WTG]],'Basic Data'!$A$3:$E$56,3,0),"")</f>
        <v>MSEDCL</v>
      </c>
      <c r="J454" s="243">
        <f>IFERROR(VLOOKUP(WTG_BD[[#This Row],[Affected WTG]],'Basic Data'!$A$3:$E$56,5,0),"")</f>
        <v>2.564102564102564E-2</v>
      </c>
      <c r="K454" s="158">
        <v>813</v>
      </c>
      <c r="L454" s="247" t="str">
        <f>VLOOKUP(K454,'Basic Data'!T:U,2,0)</f>
        <v>Low Pressure Of Emergency Accumulators</v>
      </c>
      <c r="M454" s="135" t="s">
        <v>472</v>
      </c>
      <c r="N454" s="256">
        <v>0.75347222222222221</v>
      </c>
      <c r="O454" s="256">
        <v>0.77916666666666667</v>
      </c>
      <c r="P454" s="256">
        <v>0.77986111111111112</v>
      </c>
      <c r="Q454" s="253">
        <f>IF(WTG_BD[[#This Row],[Work Start TimeStamp]]="","",(WTG_BD[[#This Row],[Work Start TimeStamp]]-WTG_BD[[#This Row],[Fault Start TimeStamp]])*24)</f>
        <v>0.61666666666666714</v>
      </c>
      <c r="R454" s="253">
        <f>(WTG_BD[[#This Row],[Fault Clearance time]]-WTG_BD[[#This Row],[Work Start TimeStamp]])*24</f>
        <v>1.6666666666666607E-2</v>
      </c>
      <c r="S454" s="253">
        <f>(WTG_BD[[#This Row],[Fault Clearance time]]-WTG_BD[[#This Row],[Fault Start TimeStamp]])*24</f>
        <v>0.63333333333333375</v>
      </c>
      <c r="T454" s="135" t="s">
        <v>473</v>
      </c>
      <c r="U454" s="244" t="s">
        <v>474</v>
      </c>
      <c r="V454" s="246">
        <f>WTG_BD[[#This Row],[Breakdown Time]]*(1/39)</f>
        <v>1.6239316239316251E-2</v>
      </c>
      <c r="W454" s="244" t="s">
        <v>119</v>
      </c>
      <c r="X454" s="250">
        <v>294.68472222222243</v>
      </c>
      <c r="Y454" s="135" t="s">
        <v>470</v>
      </c>
      <c r="Z454" s="135" t="s">
        <v>475</v>
      </c>
      <c r="AA454" s="135">
        <v>11167</v>
      </c>
      <c r="AB454" s="249">
        <f>(WTG_BD[[#This Row],[Paired WTG Generation for loss calculation.]]/24)*WTG_BD[[#This Row],[Breakdown Time]]</f>
        <v>294.68472222222243</v>
      </c>
      <c r="AC454" s="135"/>
      <c r="AD454" s="245"/>
      <c r="AE454" s="3"/>
    </row>
    <row r="455" spans="1:31">
      <c r="A455" s="241">
        <f t="shared" si="15"/>
        <v>454</v>
      </c>
      <c r="B455" s="255">
        <v>45781</v>
      </c>
      <c r="C455" s="252">
        <v>2025</v>
      </c>
      <c r="D455" s="252">
        <v>2025</v>
      </c>
      <c r="E455" s="251">
        <f t="shared" si="14"/>
        <v>45778</v>
      </c>
      <c r="F455" s="252" t="s">
        <v>465</v>
      </c>
      <c r="G455" s="248" t="s">
        <v>139</v>
      </c>
      <c r="H455" s="242" t="str">
        <f>IFERROR(VLOOKUP(WTG_BD[[#This Row],[Affected WTG]],'Basic Data'!$A$3:$E$56,2,0),"")</f>
        <v>PWEGPL</v>
      </c>
      <c r="I455" s="242" t="str">
        <f>IFERROR(VLOOKUP(WTG_BD[[#This Row],[Affected WTG]],'Basic Data'!$A$3:$E$56,3,0),"")</f>
        <v>MSEDCL</v>
      </c>
      <c r="J455" s="243">
        <f>IFERROR(VLOOKUP(WTG_BD[[#This Row],[Affected WTG]],'Basic Data'!$A$3:$E$56,5,0),"")</f>
        <v>2.564102564102564E-2</v>
      </c>
      <c r="K455" s="158" t="s">
        <v>523</v>
      </c>
      <c r="L455" s="247" t="str">
        <f>VLOOKUP(K455,'Basic Data'!T:U,2,0)</f>
        <v>Manual Stop</v>
      </c>
      <c r="M455" s="135" t="s">
        <v>496</v>
      </c>
      <c r="N455" s="256">
        <v>0.44791666666666669</v>
      </c>
      <c r="O455" s="256">
        <v>0.44791666666666669</v>
      </c>
      <c r="P455" s="256">
        <v>0.99930555555555556</v>
      </c>
      <c r="Q455" s="253">
        <f>IF(WTG_BD[[#This Row],[Work Start TimeStamp]]="","",(WTG_BD[[#This Row],[Work Start TimeStamp]]-WTG_BD[[#This Row],[Fault Start TimeStamp]])*24)</f>
        <v>0</v>
      </c>
      <c r="R455" s="253">
        <f>(WTG_BD[[#This Row],[Fault Clearance time]]-WTG_BD[[#This Row],[Work Start TimeStamp]])*24</f>
        <v>13.233333333333334</v>
      </c>
      <c r="S455" s="253">
        <f>(WTG_BD[[#This Row],[Fault Clearance time]]-WTG_BD[[#This Row],[Fault Start TimeStamp]])*24</f>
        <v>13.233333333333334</v>
      </c>
      <c r="T455" s="135" t="s">
        <v>570</v>
      </c>
      <c r="U455" s="244" t="s">
        <v>469</v>
      </c>
      <c r="V455" s="246">
        <f>WTG_BD[[#This Row],[Breakdown Time]]*(1/39)</f>
        <v>0.33931623931623933</v>
      </c>
      <c r="W455" s="244" t="s">
        <v>145</v>
      </c>
      <c r="X455" s="250">
        <v>4825.7555555555564</v>
      </c>
      <c r="Y455" s="135" t="s">
        <v>470</v>
      </c>
      <c r="Z455" s="135" t="s">
        <v>498</v>
      </c>
      <c r="AA455" s="135">
        <v>8752</v>
      </c>
      <c r="AB455" s="249">
        <f>(WTG_BD[[#This Row],[Paired WTG Generation for loss calculation.]]/24)*WTG_BD[[#This Row],[Breakdown Time]]</f>
        <v>4825.7555555555564</v>
      </c>
      <c r="AC455" s="135"/>
      <c r="AD455" s="245"/>
      <c r="AE455" s="3"/>
    </row>
    <row r="456" spans="1:31">
      <c r="A456" s="241">
        <f t="shared" si="15"/>
        <v>455</v>
      </c>
      <c r="B456" s="255">
        <v>45781</v>
      </c>
      <c r="C456" s="252">
        <v>2025</v>
      </c>
      <c r="D456" s="252">
        <v>2025</v>
      </c>
      <c r="E456" s="251">
        <f t="shared" si="14"/>
        <v>45778</v>
      </c>
      <c r="F456" s="252" t="s">
        <v>465</v>
      </c>
      <c r="G456" s="248" t="s">
        <v>149</v>
      </c>
      <c r="H456" s="242" t="str">
        <f>IFERROR(VLOOKUP(WTG_BD[[#This Row],[Affected WTG]],'Basic Data'!$A$3:$E$56,2,0),"")</f>
        <v>PWEGPL</v>
      </c>
      <c r="I456" s="242" t="str">
        <f>IFERROR(VLOOKUP(WTG_BD[[#This Row],[Affected WTG]],'Basic Data'!$A$3:$E$56,3,0),"")</f>
        <v>MSEDCL</v>
      </c>
      <c r="J456" s="243">
        <f>IFERROR(VLOOKUP(WTG_BD[[#This Row],[Affected WTG]],'Basic Data'!$A$3:$E$56,5,0),"")</f>
        <v>2.564102564102564E-2</v>
      </c>
      <c r="K456" s="158" t="s">
        <v>549</v>
      </c>
      <c r="L456" s="247" t="str">
        <f>VLOOKUP(K456,'Basic Data'!T:U,2,0)</f>
        <v>Manual Stop - Preventive Maintenance Activity</v>
      </c>
      <c r="M456" s="135" t="s">
        <v>550</v>
      </c>
      <c r="N456" s="256">
        <v>0.44097222222222221</v>
      </c>
      <c r="O456" s="256">
        <v>0.44097222222222221</v>
      </c>
      <c r="P456" s="256">
        <v>0.71527777777777779</v>
      </c>
      <c r="Q456" s="253">
        <f>IF(WTG_BD[[#This Row],[Work Start TimeStamp]]="","",(WTG_BD[[#This Row],[Work Start TimeStamp]]-WTG_BD[[#This Row],[Fault Start TimeStamp]])*24)</f>
        <v>0</v>
      </c>
      <c r="R456" s="253">
        <f>(WTG_BD[[#This Row],[Fault Clearance time]]-WTG_BD[[#This Row],[Work Start TimeStamp]])*24</f>
        <v>6.5833333333333339</v>
      </c>
      <c r="S456" s="253">
        <f>(WTG_BD[[#This Row],[Fault Clearance time]]-WTG_BD[[#This Row],[Fault Start TimeStamp]])*24</f>
        <v>6.5833333333333339</v>
      </c>
      <c r="T456" s="135" t="s">
        <v>571</v>
      </c>
      <c r="U456" s="244" t="s">
        <v>474</v>
      </c>
      <c r="V456" s="246">
        <f>WTG_BD[[#This Row],[Breakdown Time]]*(1/39)</f>
        <v>0.16880341880341881</v>
      </c>
      <c r="W456" s="244" t="s">
        <v>150</v>
      </c>
      <c r="X456" s="250">
        <v>2402.6423611111113</v>
      </c>
      <c r="Y456" s="135" t="s">
        <v>470</v>
      </c>
      <c r="Z456" s="135" t="s">
        <v>552</v>
      </c>
      <c r="AA456" s="135">
        <v>8759</v>
      </c>
      <c r="AB456" s="249">
        <f>(WTG_BD[[#This Row],[Paired WTG Generation for loss calculation.]]/24)*WTG_BD[[#This Row],[Breakdown Time]]</f>
        <v>2402.6423611111113</v>
      </c>
      <c r="AC456" s="135"/>
      <c r="AD456" s="245"/>
      <c r="AE456" s="3"/>
    </row>
    <row r="457" spans="1:31">
      <c r="A457" s="241">
        <f t="shared" si="15"/>
        <v>456</v>
      </c>
      <c r="B457" s="255">
        <v>45782</v>
      </c>
      <c r="C457" s="252">
        <v>2025</v>
      </c>
      <c r="D457" s="252">
        <v>2025</v>
      </c>
      <c r="E457" s="251">
        <f t="shared" ref="E457:E515" si="16">B457-DAY(B457)+1</f>
        <v>45778</v>
      </c>
      <c r="F457" s="252" t="s">
        <v>465</v>
      </c>
      <c r="G457" s="248" t="s">
        <v>144</v>
      </c>
      <c r="H457" s="242" t="str">
        <f>IFERROR(VLOOKUP(WTG_BD[[#This Row],[Affected WTG]],'Basic Data'!$A$3:$E$56,2,0),"")</f>
        <v>PWEGPL</v>
      </c>
      <c r="I457" s="242" t="str">
        <f>IFERROR(VLOOKUP(WTG_BD[[#This Row],[Affected WTG]],'Basic Data'!$A$3:$E$56,3,0),"")</f>
        <v>MSEDCL</v>
      </c>
      <c r="J457" s="243">
        <f>IFERROR(VLOOKUP(WTG_BD[[#This Row],[Affected WTG]],'Basic Data'!$A$3:$E$56,5,0),"")</f>
        <v>2.564102564102564E-2</v>
      </c>
      <c r="K457" s="158" t="s">
        <v>466</v>
      </c>
      <c r="L457" s="247" t="str">
        <f>VLOOKUP(K457,'Basic Data'!T:U,2,0)</f>
        <v>Manual Stop - Safety Related</v>
      </c>
      <c r="M457" s="135" t="s">
        <v>467</v>
      </c>
      <c r="N457" s="256">
        <v>0</v>
      </c>
      <c r="O457" s="256">
        <v>0.99930555555555556</v>
      </c>
      <c r="P457" s="256">
        <v>0.99930555555555556</v>
      </c>
      <c r="Q457" s="253">
        <f>IF(WTG_BD[[#This Row],[Work Start TimeStamp]]="","",(WTG_BD[[#This Row],[Work Start TimeStamp]]-WTG_BD[[#This Row],[Fault Start TimeStamp]])*24)</f>
        <v>23.983333333333334</v>
      </c>
      <c r="R457" s="253">
        <f>(WTG_BD[[#This Row],[Fault Clearance time]]-WTG_BD[[#This Row],[Work Start TimeStamp]])*24</f>
        <v>0</v>
      </c>
      <c r="S457" s="253">
        <f>(WTG_BD[[#This Row],[Fault Clearance time]]-WTG_BD[[#This Row],[Fault Start TimeStamp]])*24</f>
        <v>23.983333333333334</v>
      </c>
      <c r="T457" s="135" t="s">
        <v>468</v>
      </c>
      <c r="U457" s="244" t="s">
        <v>469</v>
      </c>
      <c r="V457" s="246">
        <f>WTG_BD[[#This Row],[Breakdown Time]]*(1/39)</f>
        <v>0.61495726495726499</v>
      </c>
      <c r="W457" s="244" t="s">
        <v>141</v>
      </c>
      <c r="X457" s="250">
        <v>7750.61388888889</v>
      </c>
      <c r="Y457" s="135" t="s">
        <v>470</v>
      </c>
      <c r="Z457" s="135" t="s">
        <v>471</v>
      </c>
      <c r="AA457" s="135">
        <v>7756</v>
      </c>
      <c r="AB457" s="249">
        <f>(WTG_BD[[#This Row],[Paired WTG Generation for loss calculation.]]/24)*WTG_BD[[#This Row],[Breakdown Time]]</f>
        <v>7750.61388888889</v>
      </c>
      <c r="AC457" s="135"/>
      <c r="AD457" s="245"/>
      <c r="AE457" s="3"/>
    </row>
    <row r="458" spans="1:31">
      <c r="A458" s="241">
        <f t="shared" si="15"/>
        <v>457</v>
      </c>
      <c r="B458" s="255">
        <v>45782</v>
      </c>
      <c r="C458" s="252">
        <v>2025</v>
      </c>
      <c r="D458" s="252">
        <v>2025</v>
      </c>
      <c r="E458" s="251">
        <f t="shared" si="16"/>
        <v>45778</v>
      </c>
      <c r="F458" s="252" t="s">
        <v>465</v>
      </c>
      <c r="G458" s="248" t="s">
        <v>142</v>
      </c>
      <c r="H458" s="242" t="str">
        <f>IFERROR(VLOOKUP(WTG_BD[[#This Row],[Affected WTG]],'Basic Data'!$A$3:$E$56,2,0),"")</f>
        <v>PWEGPL</v>
      </c>
      <c r="I458" s="242" t="str">
        <f>IFERROR(VLOOKUP(WTG_BD[[#This Row],[Affected WTG]],'Basic Data'!$A$3:$E$56,3,0),"")</f>
        <v>MSEDCL</v>
      </c>
      <c r="J458" s="243">
        <f>IFERROR(VLOOKUP(WTG_BD[[#This Row],[Affected WTG]],'Basic Data'!$A$3:$E$56,5,0),"")</f>
        <v>2.564102564102564E-2</v>
      </c>
      <c r="K458" s="158" t="s">
        <v>466</v>
      </c>
      <c r="L458" s="247" t="str">
        <f>VLOOKUP(K458,'Basic Data'!T:U,2,0)</f>
        <v>Manual Stop - Safety Related</v>
      </c>
      <c r="M458" s="135" t="s">
        <v>467</v>
      </c>
      <c r="N458" s="256">
        <v>0</v>
      </c>
      <c r="O458" s="256">
        <v>0.99930555555555556</v>
      </c>
      <c r="P458" s="256">
        <v>0.99930555555555556</v>
      </c>
      <c r="Q458" s="253">
        <f>IF(WTG_BD[[#This Row],[Work Start TimeStamp]]="","",(WTG_BD[[#This Row],[Work Start TimeStamp]]-WTG_BD[[#This Row],[Fault Start TimeStamp]])*24)</f>
        <v>23.983333333333334</v>
      </c>
      <c r="R458" s="253">
        <f>(WTG_BD[[#This Row],[Fault Clearance time]]-WTG_BD[[#This Row],[Work Start TimeStamp]])*24</f>
        <v>0</v>
      </c>
      <c r="S458" s="253">
        <f>(WTG_BD[[#This Row],[Fault Clearance time]]-WTG_BD[[#This Row],[Fault Start TimeStamp]])*24</f>
        <v>23.983333333333334</v>
      </c>
      <c r="T458" s="135" t="s">
        <v>468</v>
      </c>
      <c r="U458" s="244" t="s">
        <v>469</v>
      </c>
      <c r="V458" s="246">
        <f>WTG_BD[[#This Row],[Breakdown Time]]*(1/39)</f>
        <v>0.61495726495726499</v>
      </c>
      <c r="W458" s="244" t="s">
        <v>141</v>
      </c>
      <c r="X458" s="250">
        <v>7750.61388888889</v>
      </c>
      <c r="Y458" s="135" t="s">
        <v>470</v>
      </c>
      <c r="Z458" s="135" t="s">
        <v>471</v>
      </c>
      <c r="AA458" s="135">
        <v>7756</v>
      </c>
      <c r="AB458" s="249">
        <f>(WTG_BD[[#This Row],[Paired WTG Generation for loss calculation.]]/24)*WTG_BD[[#This Row],[Breakdown Time]]</f>
        <v>7750.61388888889</v>
      </c>
      <c r="AC458" s="135"/>
      <c r="AD458" s="245"/>
      <c r="AE458" s="3"/>
    </row>
    <row r="459" spans="1:31">
      <c r="A459" s="241">
        <f t="shared" si="15"/>
        <v>458</v>
      </c>
      <c r="B459" s="255">
        <v>45782</v>
      </c>
      <c r="C459" s="252">
        <v>2025</v>
      </c>
      <c r="D459" s="252">
        <v>2025</v>
      </c>
      <c r="E459" s="251">
        <f t="shared" si="16"/>
        <v>45778</v>
      </c>
      <c r="F459" s="252" t="s">
        <v>465</v>
      </c>
      <c r="G459" s="248" t="s">
        <v>115</v>
      </c>
      <c r="H459" s="242" t="str">
        <f>IFERROR(VLOOKUP(WTG_BD[[#This Row],[Affected WTG]],'Basic Data'!$A$3:$E$56,2,0),"")</f>
        <v>PWEGPL</v>
      </c>
      <c r="I459" s="242" t="str">
        <f>IFERROR(VLOOKUP(WTG_BD[[#This Row],[Affected WTG]],'Basic Data'!$A$3:$E$56,3,0),"")</f>
        <v>MSEDCL</v>
      </c>
      <c r="J459" s="243">
        <f>IFERROR(VLOOKUP(WTG_BD[[#This Row],[Affected WTG]],'Basic Data'!$A$3:$E$56,5,0),"")</f>
        <v>2.564102564102564E-2</v>
      </c>
      <c r="K459" s="158" t="s">
        <v>523</v>
      </c>
      <c r="L459" s="247" t="str">
        <f>VLOOKUP(K459,'Basic Data'!T:U,2,0)</f>
        <v>Manual Stop</v>
      </c>
      <c r="M459" s="135" t="s">
        <v>496</v>
      </c>
      <c r="N459" s="256">
        <v>0.40416666666666667</v>
      </c>
      <c r="O459" s="256">
        <v>0.40416666666666667</v>
      </c>
      <c r="P459" s="256">
        <v>0.71458333333333335</v>
      </c>
      <c r="Q459" s="253">
        <f>IF(WTG_BD[[#This Row],[Work Start TimeStamp]]="","",(WTG_BD[[#This Row],[Work Start TimeStamp]]-WTG_BD[[#This Row],[Fault Start TimeStamp]])*24)</f>
        <v>0</v>
      </c>
      <c r="R459" s="253">
        <f>(WTG_BD[[#This Row],[Fault Clearance time]]-WTG_BD[[#This Row],[Work Start TimeStamp]])*24</f>
        <v>7.45</v>
      </c>
      <c r="S459" s="253">
        <f>(WTG_BD[[#This Row],[Fault Clearance time]]-WTG_BD[[#This Row],[Fault Start TimeStamp]])*24</f>
        <v>7.45</v>
      </c>
      <c r="T459" s="135" t="s">
        <v>572</v>
      </c>
      <c r="U459" s="244" t="s">
        <v>474</v>
      </c>
      <c r="V459" s="246">
        <f>WTG_BD[[#This Row],[Breakdown Time]]*(1/39)</f>
        <v>0.19102564102564101</v>
      </c>
      <c r="W459" s="244" t="s">
        <v>121</v>
      </c>
      <c r="X459" s="250">
        <v>2590.7375000000002</v>
      </c>
      <c r="Y459" s="135" t="s">
        <v>470</v>
      </c>
      <c r="Z459" s="135" t="s">
        <v>498</v>
      </c>
      <c r="AA459" s="135">
        <v>8346</v>
      </c>
      <c r="AB459" s="249">
        <f>(WTG_BD[[#This Row],[Paired WTG Generation for loss calculation.]]/24)*WTG_BD[[#This Row],[Breakdown Time]]</f>
        <v>2590.7375000000002</v>
      </c>
      <c r="AC459" s="135"/>
      <c r="AD459" s="245"/>
      <c r="AE459" s="3"/>
    </row>
    <row r="460" spans="1:31">
      <c r="A460" s="241">
        <f t="shared" si="15"/>
        <v>459</v>
      </c>
      <c r="B460" s="255">
        <v>45782</v>
      </c>
      <c r="C460" s="252">
        <v>2025</v>
      </c>
      <c r="D460" s="252">
        <v>2025</v>
      </c>
      <c r="E460" s="251">
        <f t="shared" si="16"/>
        <v>45778</v>
      </c>
      <c r="F460" s="252" t="s">
        <v>465</v>
      </c>
      <c r="G460" s="248" t="s">
        <v>119</v>
      </c>
      <c r="H460" s="242" t="str">
        <f>IFERROR(VLOOKUP(WTG_BD[[#This Row],[Affected WTG]],'Basic Data'!$A$3:$E$56,2,0),"")</f>
        <v>PWEGPL</v>
      </c>
      <c r="I460" s="242" t="str">
        <f>IFERROR(VLOOKUP(WTG_BD[[#This Row],[Affected WTG]],'Basic Data'!$A$3:$E$56,3,0),"")</f>
        <v>MSEDCL</v>
      </c>
      <c r="J460" s="243">
        <f>IFERROR(VLOOKUP(WTG_BD[[#This Row],[Affected WTG]],'Basic Data'!$A$3:$E$56,5,0),"")</f>
        <v>2.564102564102564E-2</v>
      </c>
      <c r="K460" s="158" t="s">
        <v>523</v>
      </c>
      <c r="L460" s="247" t="str">
        <f>VLOOKUP(K460,'Basic Data'!T:U,2,0)</f>
        <v>Manual Stop</v>
      </c>
      <c r="M460" s="135" t="s">
        <v>573</v>
      </c>
      <c r="N460" s="256">
        <v>0.70902777777777781</v>
      </c>
      <c r="O460" s="256">
        <v>0.70902777777777781</v>
      </c>
      <c r="P460" s="256">
        <v>0.75347222222222221</v>
      </c>
      <c r="Q460" s="253">
        <f>IF(WTG_BD[[#This Row],[Work Start TimeStamp]]="","",(WTG_BD[[#This Row],[Work Start TimeStamp]]-WTG_BD[[#This Row],[Fault Start TimeStamp]])*24)</f>
        <v>0</v>
      </c>
      <c r="R460" s="253">
        <f>(WTG_BD[[#This Row],[Fault Clearance time]]-WTG_BD[[#This Row],[Work Start TimeStamp]])*24</f>
        <v>1.0666666666666655</v>
      </c>
      <c r="S460" s="253">
        <f>(WTG_BD[[#This Row],[Fault Clearance time]]-WTG_BD[[#This Row],[Fault Start TimeStamp]])*24</f>
        <v>1.0666666666666655</v>
      </c>
      <c r="T460" s="135" t="s">
        <v>574</v>
      </c>
      <c r="U460" s="244" t="s">
        <v>474</v>
      </c>
      <c r="V460" s="246">
        <f>WTG_BD[[#This Row],[Breakdown Time]]*(1/39)</f>
        <v>2.7350427350427319E-2</v>
      </c>
      <c r="W460" s="244" t="s">
        <v>136</v>
      </c>
      <c r="X460" s="250">
        <v>289.95555555555524</v>
      </c>
      <c r="Y460" s="135" t="s">
        <v>470</v>
      </c>
      <c r="Z460" s="135" t="s">
        <v>498</v>
      </c>
      <c r="AA460" s="135">
        <v>6524</v>
      </c>
      <c r="AB460" s="249">
        <f>(WTG_BD[[#This Row],[Paired WTG Generation for loss calculation.]]/24)*WTG_BD[[#This Row],[Breakdown Time]]</f>
        <v>289.95555555555524</v>
      </c>
      <c r="AC460" s="135"/>
      <c r="AD460" s="245"/>
      <c r="AE460" s="3"/>
    </row>
    <row r="461" spans="1:31">
      <c r="A461" s="241">
        <f t="shared" si="15"/>
        <v>460</v>
      </c>
      <c r="B461" s="255">
        <v>45782</v>
      </c>
      <c r="C461" s="252">
        <v>2025</v>
      </c>
      <c r="D461" s="252">
        <v>2025</v>
      </c>
      <c r="E461" s="251">
        <f t="shared" si="16"/>
        <v>45778</v>
      </c>
      <c r="F461" s="252" t="s">
        <v>465</v>
      </c>
      <c r="G461" s="248" t="s">
        <v>126</v>
      </c>
      <c r="H461" s="242" t="str">
        <f>IFERROR(VLOOKUP(WTG_BD[[#This Row],[Affected WTG]],'Basic Data'!$A$3:$E$56,2,0),"")</f>
        <v>PWEGPL</v>
      </c>
      <c r="I461" s="242" t="str">
        <f>IFERROR(VLOOKUP(WTG_BD[[#This Row],[Affected WTG]],'Basic Data'!$A$3:$E$56,3,0),"")</f>
        <v>MSEDCL</v>
      </c>
      <c r="J461" s="243">
        <f>IFERROR(VLOOKUP(WTG_BD[[#This Row],[Affected WTG]],'Basic Data'!$A$3:$E$56,5,0),"")</f>
        <v>2.564102564102564E-2</v>
      </c>
      <c r="K461" s="158">
        <v>203</v>
      </c>
      <c r="L461" s="247" t="str">
        <f>VLOOKUP(K461,'Basic Data'!T:U,2,0)</f>
        <v>Low Pressure On Hydraulic Group</v>
      </c>
      <c r="M461" s="135" t="s">
        <v>472</v>
      </c>
      <c r="N461" s="256">
        <v>0.71388888888888891</v>
      </c>
      <c r="O461" s="256">
        <v>0.73611111111111116</v>
      </c>
      <c r="P461" s="256">
        <v>0.7368055555555556</v>
      </c>
      <c r="Q461" s="253">
        <f>IF(WTG_BD[[#This Row],[Work Start TimeStamp]]="","",(WTG_BD[[#This Row],[Work Start TimeStamp]]-WTG_BD[[#This Row],[Fault Start TimeStamp]])*24)</f>
        <v>0.5333333333333341</v>
      </c>
      <c r="R461" s="253">
        <f>(WTG_BD[[#This Row],[Fault Clearance time]]-WTG_BD[[#This Row],[Work Start TimeStamp]])*24</f>
        <v>1.6666666666666607E-2</v>
      </c>
      <c r="S461" s="253">
        <f>(WTG_BD[[#This Row],[Fault Clearance time]]-WTG_BD[[#This Row],[Fault Start TimeStamp]])*24</f>
        <v>0.55000000000000071</v>
      </c>
      <c r="T461" s="135" t="s">
        <v>473</v>
      </c>
      <c r="U461" s="244" t="s">
        <v>474</v>
      </c>
      <c r="V461" s="246">
        <f>WTG_BD[[#This Row],[Breakdown Time]]*(1/39)</f>
        <v>1.410256410256412E-2</v>
      </c>
      <c r="W461" s="244" t="s">
        <v>123</v>
      </c>
      <c r="X461" s="250">
        <v>189.95625000000024</v>
      </c>
      <c r="Y461" s="135" t="s">
        <v>470</v>
      </c>
      <c r="Z461" s="135" t="s">
        <v>475</v>
      </c>
      <c r="AA461" s="135">
        <v>8289</v>
      </c>
      <c r="AB461" s="249">
        <f>(WTG_BD[[#This Row],[Paired WTG Generation for loss calculation.]]/24)*WTG_BD[[#This Row],[Breakdown Time]]</f>
        <v>189.95625000000024</v>
      </c>
      <c r="AC461" s="135"/>
      <c r="AD461" s="245"/>
      <c r="AE461" s="3"/>
    </row>
    <row r="462" spans="1:31">
      <c r="A462" s="241">
        <f t="shared" si="15"/>
        <v>461</v>
      </c>
      <c r="B462" s="255">
        <v>45782</v>
      </c>
      <c r="C462" s="252">
        <v>2025</v>
      </c>
      <c r="D462" s="252">
        <v>2025</v>
      </c>
      <c r="E462" s="251">
        <f t="shared" si="16"/>
        <v>45778</v>
      </c>
      <c r="F462" s="252" t="s">
        <v>465</v>
      </c>
      <c r="G462" s="248" t="s">
        <v>128</v>
      </c>
      <c r="H462" s="242" t="str">
        <f>IFERROR(VLOOKUP(WTG_BD[[#This Row],[Affected WTG]],'Basic Data'!$A$3:$E$56,2,0),"")</f>
        <v>PWEGPL</v>
      </c>
      <c r="I462" s="242" t="str">
        <f>IFERROR(VLOOKUP(WTG_BD[[#This Row],[Affected WTG]],'Basic Data'!$A$3:$E$56,3,0),"")</f>
        <v>MSEDCL</v>
      </c>
      <c r="J462" s="243">
        <f>IFERROR(VLOOKUP(WTG_BD[[#This Row],[Affected WTG]],'Basic Data'!$A$3:$E$56,5,0),"")</f>
        <v>2.564102564102564E-2</v>
      </c>
      <c r="K462" s="158">
        <v>2118</v>
      </c>
      <c r="L462" s="247" t="str">
        <f>VLOOKUP(K462,'Basic Data'!T:U,2,0)</f>
        <v>Bus Error - Interbus Failure</v>
      </c>
      <c r="M462" s="135" t="s">
        <v>472</v>
      </c>
      <c r="N462" s="256">
        <v>0.71180555555555558</v>
      </c>
      <c r="O462" s="256">
        <v>0.72916666666666663</v>
      </c>
      <c r="P462" s="256">
        <v>0.72986111111111107</v>
      </c>
      <c r="Q462" s="253">
        <f>IF(WTG_BD[[#This Row],[Work Start TimeStamp]]="","",(WTG_BD[[#This Row],[Work Start TimeStamp]]-WTG_BD[[#This Row],[Fault Start TimeStamp]])*24)</f>
        <v>0.41666666666666519</v>
      </c>
      <c r="R462" s="253">
        <f>(WTG_BD[[#This Row],[Fault Clearance time]]-WTG_BD[[#This Row],[Work Start TimeStamp]])*24</f>
        <v>1.6666666666666607E-2</v>
      </c>
      <c r="S462" s="253">
        <f>(WTG_BD[[#This Row],[Fault Clearance time]]-WTG_BD[[#This Row],[Fault Start TimeStamp]])*24</f>
        <v>0.43333333333333179</v>
      </c>
      <c r="T462" s="135" t="s">
        <v>473</v>
      </c>
      <c r="U462" s="244" t="s">
        <v>474</v>
      </c>
      <c r="V462" s="246">
        <f>WTG_BD[[#This Row],[Breakdown Time]]*(1/39)</f>
        <v>1.1111111111111072E-2</v>
      </c>
      <c r="W462" s="244" t="s">
        <v>129</v>
      </c>
      <c r="X462" s="250">
        <v>149.06666666666615</v>
      </c>
      <c r="Y462" s="135" t="s">
        <v>470</v>
      </c>
      <c r="Z462" s="135" t="s">
        <v>475</v>
      </c>
      <c r="AA462" s="135">
        <v>8256</v>
      </c>
      <c r="AB462" s="249">
        <f>(WTG_BD[[#This Row],[Paired WTG Generation for loss calculation.]]/24)*WTG_BD[[#This Row],[Breakdown Time]]</f>
        <v>149.06666666666615</v>
      </c>
      <c r="AC462" s="135"/>
      <c r="AD462" s="245"/>
      <c r="AE462" s="3"/>
    </row>
    <row r="463" spans="1:31">
      <c r="A463" s="241">
        <f t="shared" si="15"/>
        <v>462</v>
      </c>
      <c r="B463" s="255">
        <v>45782</v>
      </c>
      <c r="C463" s="252">
        <v>2025</v>
      </c>
      <c r="D463" s="252">
        <v>2025</v>
      </c>
      <c r="E463" s="251">
        <f t="shared" si="16"/>
        <v>45778</v>
      </c>
      <c r="F463" s="252" t="s">
        <v>465</v>
      </c>
      <c r="G463" s="248" t="s">
        <v>135</v>
      </c>
      <c r="H463" s="242" t="str">
        <f>IFERROR(VLOOKUP(WTG_BD[[#This Row],[Affected WTG]],'Basic Data'!$A$3:$E$56,2,0),"")</f>
        <v>PWEGPL</v>
      </c>
      <c r="I463" s="242" t="str">
        <f>IFERROR(VLOOKUP(WTG_BD[[#This Row],[Affected WTG]],'Basic Data'!$A$3:$E$56,3,0),"")</f>
        <v>MSEDCL</v>
      </c>
      <c r="J463" s="243">
        <f>IFERROR(VLOOKUP(WTG_BD[[#This Row],[Affected WTG]],'Basic Data'!$A$3:$E$56,5,0),"")</f>
        <v>2.564102564102564E-2</v>
      </c>
      <c r="K463" s="158" t="s">
        <v>523</v>
      </c>
      <c r="L463" s="247" t="str">
        <f>VLOOKUP(K463,'Basic Data'!T:U,2,0)</f>
        <v>Manual Stop</v>
      </c>
      <c r="M463" s="135" t="s">
        <v>573</v>
      </c>
      <c r="N463" s="256">
        <v>0.5</v>
      </c>
      <c r="O463" s="256">
        <v>0.5</v>
      </c>
      <c r="P463" s="256">
        <v>0.51666666666666672</v>
      </c>
      <c r="Q463" s="253">
        <f>IF(WTG_BD[[#This Row],[Work Start TimeStamp]]="","",(WTG_BD[[#This Row],[Work Start TimeStamp]]-WTG_BD[[#This Row],[Fault Start TimeStamp]])*24)</f>
        <v>0</v>
      </c>
      <c r="R463" s="253">
        <f>(WTG_BD[[#This Row],[Fault Clearance time]]-WTG_BD[[#This Row],[Work Start TimeStamp]])*24</f>
        <v>0.40000000000000124</v>
      </c>
      <c r="S463" s="253">
        <f>(WTG_BD[[#This Row],[Fault Clearance time]]-WTG_BD[[#This Row],[Fault Start TimeStamp]])*24</f>
        <v>0.40000000000000124</v>
      </c>
      <c r="T463" s="135" t="s">
        <v>574</v>
      </c>
      <c r="U463" s="244" t="s">
        <v>474</v>
      </c>
      <c r="V463" s="246">
        <f>WTG_BD[[#This Row],[Breakdown Time]]*(1/39)</f>
        <v>1.0256410256410288E-2</v>
      </c>
      <c r="W463" s="244" t="s">
        <v>136</v>
      </c>
      <c r="X463" s="250">
        <v>108.73333333333366</v>
      </c>
      <c r="Y463" s="135" t="s">
        <v>470</v>
      </c>
      <c r="Z463" s="135" t="s">
        <v>498</v>
      </c>
      <c r="AA463" s="135">
        <v>6524</v>
      </c>
      <c r="AB463" s="249">
        <f>(WTG_BD[[#This Row],[Paired WTG Generation for loss calculation.]]/24)*WTG_BD[[#This Row],[Breakdown Time]]</f>
        <v>108.73333333333366</v>
      </c>
      <c r="AC463" s="135"/>
      <c r="AD463" s="245"/>
      <c r="AE463" s="3"/>
    </row>
    <row r="464" spans="1:31">
      <c r="A464" s="241">
        <f t="shared" si="15"/>
        <v>463</v>
      </c>
      <c r="B464" s="255">
        <v>45782</v>
      </c>
      <c r="C464" s="252">
        <v>2025</v>
      </c>
      <c r="D464" s="252">
        <v>2025</v>
      </c>
      <c r="E464" s="251">
        <f t="shared" si="16"/>
        <v>45778</v>
      </c>
      <c r="F464" s="252" t="s">
        <v>465</v>
      </c>
      <c r="G464" s="248" t="s">
        <v>136</v>
      </c>
      <c r="H464" s="242" t="str">
        <f>IFERROR(VLOOKUP(WTG_BD[[#This Row],[Affected WTG]],'Basic Data'!$A$3:$E$56,2,0),"")</f>
        <v>PWEGPL</v>
      </c>
      <c r="I464" s="242" t="str">
        <f>IFERROR(VLOOKUP(WTG_BD[[#This Row],[Affected WTG]],'Basic Data'!$A$3:$E$56,3,0),"")</f>
        <v>MSEDCL</v>
      </c>
      <c r="J464" s="243">
        <f>IFERROR(VLOOKUP(WTG_BD[[#This Row],[Affected WTG]],'Basic Data'!$A$3:$E$56,5,0),"")</f>
        <v>2.564102564102564E-2</v>
      </c>
      <c r="K464" s="158" t="s">
        <v>523</v>
      </c>
      <c r="L464" s="247" t="str">
        <f>VLOOKUP(K464,'Basic Data'!T:U,2,0)</f>
        <v>Manual Stop</v>
      </c>
      <c r="M464" s="135" t="s">
        <v>573</v>
      </c>
      <c r="N464" s="256">
        <v>0.52569444444444446</v>
      </c>
      <c r="O464" s="256">
        <v>0.52569444444444446</v>
      </c>
      <c r="P464" s="256">
        <v>0.55555555555555558</v>
      </c>
      <c r="Q464" s="253">
        <f>IF(WTG_BD[[#This Row],[Work Start TimeStamp]]="","",(WTG_BD[[#This Row],[Work Start TimeStamp]]-WTG_BD[[#This Row],[Fault Start TimeStamp]])*24)</f>
        <v>0</v>
      </c>
      <c r="R464" s="253">
        <f>(WTG_BD[[#This Row],[Fault Clearance time]]-WTG_BD[[#This Row],[Work Start TimeStamp]])*24</f>
        <v>0.71666666666666679</v>
      </c>
      <c r="S464" s="253">
        <f>(WTG_BD[[#This Row],[Fault Clearance time]]-WTG_BD[[#This Row],[Fault Start TimeStamp]])*24</f>
        <v>0.71666666666666679</v>
      </c>
      <c r="T464" s="135" t="s">
        <v>574</v>
      </c>
      <c r="U464" s="244" t="s">
        <v>474</v>
      </c>
      <c r="V464" s="246">
        <f>WTG_BD[[#This Row],[Breakdown Time]]*(1/39)</f>
        <v>1.837606837606838E-2</v>
      </c>
      <c r="W464" s="244" t="s">
        <v>119</v>
      </c>
      <c r="X464" s="250">
        <v>194.09722222222223</v>
      </c>
      <c r="Y464" s="135" t="s">
        <v>470</v>
      </c>
      <c r="Z464" s="135" t="s">
        <v>498</v>
      </c>
      <c r="AA464" s="135">
        <v>6500</v>
      </c>
      <c r="AB464" s="249">
        <f>(WTG_BD[[#This Row],[Paired WTG Generation for loss calculation.]]/24)*WTG_BD[[#This Row],[Breakdown Time]]</f>
        <v>194.09722222222223</v>
      </c>
      <c r="AC464" s="135"/>
      <c r="AD464" s="245"/>
      <c r="AE464" s="3"/>
    </row>
    <row r="465" spans="1:31">
      <c r="A465" s="241">
        <f t="shared" si="15"/>
        <v>464</v>
      </c>
      <c r="B465" s="255">
        <v>45782</v>
      </c>
      <c r="C465" s="252">
        <v>2025</v>
      </c>
      <c r="D465" s="252">
        <v>2025</v>
      </c>
      <c r="E465" s="251">
        <f t="shared" si="16"/>
        <v>45778</v>
      </c>
      <c r="F465" s="252" t="s">
        <v>465</v>
      </c>
      <c r="G465" s="248" t="s">
        <v>139</v>
      </c>
      <c r="H465" s="242" t="str">
        <f>IFERROR(VLOOKUP(WTG_BD[[#This Row],[Affected WTG]],'Basic Data'!$A$3:$E$56,2,0),"")</f>
        <v>PWEGPL</v>
      </c>
      <c r="I465" s="242" t="str">
        <f>IFERROR(VLOOKUP(WTG_BD[[#This Row],[Affected WTG]],'Basic Data'!$A$3:$E$56,3,0),"")</f>
        <v>MSEDCL</v>
      </c>
      <c r="J465" s="243">
        <f>IFERROR(VLOOKUP(WTG_BD[[#This Row],[Affected WTG]],'Basic Data'!$A$3:$E$56,5,0),"")</f>
        <v>2.564102564102564E-2</v>
      </c>
      <c r="K465" s="158" t="s">
        <v>523</v>
      </c>
      <c r="L465" s="247" t="str">
        <f>VLOOKUP(K465,'Basic Data'!T:U,2,0)</f>
        <v>Manual Stop</v>
      </c>
      <c r="M465" s="135" t="s">
        <v>496</v>
      </c>
      <c r="N465" s="256">
        <v>0</v>
      </c>
      <c r="O465" s="256">
        <v>0</v>
      </c>
      <c r="P465" s="256">
        <v>0.99930555555555556</v>
      </c>
      <c r="Q465" s="253">
        <f>IF(WTG_BD[[#This Row],[Work Start TimeStamp]]="","",(WTG_BD[[#This Row],[Work Start TimeStamp]]-WTG_BD[[#This Row],[Fault Start TimeStamp]])*24)</f>
        <v>0</v>
      </c>
      <c r="R465" s="253">
        <f>(WTG_BD[[#This Row],[Fault Clearance time]]-WTG_BD[[#This Row],[Work Start TimeStamp]])*24</f>
        <v>23.983333333333334</v>
      </c>
      <c r="S465" s="253">
        <f>(WTG_BD[[#This Row],[Fault Clearance time]]-WTG_BD[[#This Row],[Fault Start TimeStamp]])*24</f>
        <v>23.983333333333334</v>
      </c>
      <c r="T465" s="135" t="s">
        <v>570</v>
      </c>
      <c r="U465" s="244" t="s">
        <v>469</v>
      </c>
      <c r="V465" s="246">
        <f>WTG_BD[[#This Row],[Breakdown Time]]*(1/39)</f>
        <v>0.61495726495726499</v>
      </c>
      <c r="W465" s="244" t="s">
        <v>145</v>
      </c>
      <c r="X465" s="250">
        <v>5827.95</v>
      </c>
      <c r="Y465" s="135" t="s">
        <v>470</v>
      </c>
      <c r="Z465" s="135" t="s">
        <v>475</v>
      </c>
      <c r="AA465" s="135">
        <v>5832</v>
      </c>
      <c r="AB465" s="249">
        <f>(WTG_BD[[#This Row],[Paired WTG Generation for loss calculation.]]/24)*WTG_BD[[#This Row],[Breakdown Time]]</f>
        <v>5827.95</v>
      </c>
      <c r="AC465" s="135"/>
      <c r="AD465" s="245"/>
      <c r="AE465" s="3"/>
    </row>
    <row r="466" spans="1:31">
      <c r="A466" s="241">
        <f t="shared" si="15"/>
        <v>465</v>
      </c>
      <c r="B466" s="255">
        <v>45782</v>
      </c>
      <c r="C466" s="252">
        <v>2025</v>
      </c>
      <c r="D466" s="252">
        <v>2025</v>
      </c>
      <c r="E466" s="251">
        <f t="shared" si="16"/>
        <v>45778</v>
      </c>
      <c r="F466" s="252" t="s">
        <v>465</v>
      </c>
      <c r="G466" s="248" t="s">
        <v>141</v>
      </c>
      <c r="H466" s="242" t="str">
        <f>IFERROR(VLOOKUP(WTG_BD[[#This Row],[Affected WTG]],'Basic Data'!$A$3:$E$56,2,0),"")</f>
        <v>PWEGPL</v>
      </c>
      <c r="I466" s="242" t="str">
        <f>IFERROR(VLOOKUP(WTG_BD[[#This Row],[Affected WTG]],'Basic Data'!$A$3:$E$56,3,0),"")</f>
        <v>MSEDCL</v>
      </c>
      <c r="J466" s="243">
        <f>IFERROR(VLOOKUP(WTG_BD[[#This Row],[Affected WTG]],'Basic Data'!$A$3:$E$56,5,0),"")</f>
        <v>2.564102564102564E-2</v>
      </c>
      <c r="K466" s="158" t="s">
        <v>466</v>
      </c>
      <c r="L466" s="247" t="str">
        <f>VLOOKUP(K466,'Basic Data'!T:U,2,0)</f>
        <v>Manual Stop - Safety Related</v>
      </c>
      <c r="M466" s="135" t="s">
        <v>467</v>
      </c>
      <c r="N466" s="256">
        <v>0.58194444444444449</v>
      </c>
      <c r="O466" s="256">
        <v>0.58194444444444449</v>
      </c>
      <c r="P466" s="256">
        <v>0.69791666666666663</v>
      </c>
      <c r="Q466" s="253">
        <f>IF(WTG_BD[[#This Row],[Work Start TimeStamp]]="","",(WTG_BD[[#This Row],[Work Start TimeStamp]]-WTG_BD[[#This Row],[Fault Start TimeStamp]])*24)</f>
        <v>0</v>
      </c>
      <c r="R466" s="253">
        <f>(WTG_BD[[#This Row],[Fault Clearance time]]-WTG_BD[[#This Row],[Work Start TimeStamp]])*24</f>
        <v>2.7833333333333314</v>
      </c>
      <c r="S466" s="253">
        <f>(WTG_BD[[#This Row],[Fault Clearance time]]-WTG_BD[[#This Row],[Fault Start TimeStamp]])*24</f>
        <v>2.7833333333333314</v>
      </c>
      <c r="T466" s="135" t="s">
        <v>503</v>
      </c>
      <c r="U466" s="244" t="s">
        <v>474</v>
      </c>
      <c r="V466" s="246">
        <f>WTG_BD[[#This Row],[Breakdown Time]]*(1/39)</f>
        <v>7.1367521367521322E-2</v>
      </c>
      <c r="W466" s="244" t="s">
        <v>143</v>
      </c>
      <c r="X466" s="250">
        <v>897.74097222222167</v>
      </c>
      <c r="Y466" s="135" t="s">
        <v>470</v>
      </c>
      <c r="Z466" s="135" t="s">
        <v>471</v>
      </c>
      <c r="AA466" s="135">
        <v>7741</v>
      </c>
      <c r="AB466" s="249">
        <f>(WTG_BD[[#This Row],[Paired WTG Generation for loss calculation.]]/24)*WTG_BD[[#This Row],[Breakdown Time]]</f>
        <v>897.74097222222167</v>
      </c>
      <c r="AC466" s="135"/>
      <c r="AD466" s="245"/>
      <c r="AE466" s="3"/>
    </row>
    <row r="467" spans="1:31">
      <c r="A467" s="241">
        <f t="shared" si="15"/>
        <v>466</v>
      </c>
      <c r="B467" s="255">
        <v>45783</v>
      </c>
      <c r="C467" s="252">
        <v>2025</v>
      </c>
      <c r="D467" s="252">
        <v>2025</v>
      </c>
      <c r="E467" s="251">
        <f t="shared" si="16"/>
        <v>45778</v>
      </c>
      <c r="F467" s="252" t="s">
        <v>465</v>
      </c>
      <c r="G467" s="248" t="s">
        <v>144</v>
      </c>
      <c r="H467" s="242" t="str">
        <f>IFERROR(VLOOKUP(WTG_BD[[#This Row],[Affected WTG]],'Basic Data'!$A$3:$E$56,2,0),"")</f>
        <v>PWEGPL</v>
      </c>
      <c r="I467" s="242" t="str">
        <f>IFERROR(VLOOKUP(WTG_BD[[#This Row],[Affected WTG]],'Basic Data'!$A$3:$E$56,3,0),"")</f>
        <v>MSEDCL</v>
      </c>
      <c r="J467" s="243">
        <f>IFERROR(VLOOKUP(WTG_BD[[#This Row],[Affected WTG]],'Basic Data'!$A$3:$E$56,5,0),"")</f>
        <v>2.564102564102564E-2</v>
      </c>
      <c r="K467" s="158" t="s">
        <v>466</v>
      </c>
      <c r="L467" s="247" t="str">
        <f>VLOOKUP(K467,'Basic Data'!T:U,2,0)</f>
        <v>Manual Stop - Safety Related</v>
      </c>
      <c r="M467" s="135" t="s">
        <v>467</v>
      </c>
      <c r="N467" s="256">
        <v>0</v>
      </c>
      <c r="O467" s="256">
        <v>0.99930555555555556</v>
      </c>
      <c r="P467" s="256">
        <v>0.99930555555555556</v>
      </c>
      <c r="Q467" s="253">
        <f>IF(WTG_BD[[#This Row],[Work Start TimeStamp]]="","",(WTG_BD[[#This Row],[Work Start TimeStamp]]-WTG_BD[[#This Row],[Fault Start TimeStamp]])*24)</f>
        <v>23.983333333333334</v>
      </c>
      <c r="R467" s="253">
        <f>(WTG_BD[[#This Row],[Fault Clearance time]]-WTG_BD[[#This Row],[Work Start TimeStamp]])*24</f>
        <v>0</v>
      </c>
      <c r="S467" s="253">
        <f>(WTG_BD[[#This Row],[Fault Clearance time]]-WTG_BD[[#This Row],[Fault Start TimeStamp]])*24</f>
        <v>23.983333333333334</v>
      </c>
      <c r="T467" s="135" t="s">
        <v>468</v>
      </c>
      <c r="U467" s="244" t="s">
        <v>469</v>
      </c>
      <c r="V467" s="246">
        <f>WTG_BD[[#This Row],[Breakdown Time]]*(1/39)</f>
        <v>0.61495726495726499</v>
      </c>
      <c r="W467" s="244" t="s">
        <v>141</v>
      </c>
      <c r="X467" s="250">
        <v>8370.1833333333343</v>
      </c>
      <c r="Y467" s="135" t="s">
        <v>470</v>
      </c>
      <c r="Z467" s="135" t="s">
        <v>471</v>
      </c>
      <c r="AA467" s="135">
        <v>8376</v>
      </c>
      <c r="AB467" s="249">
        <f>(WTG_BD[[#This Row],[Paired WTG Generation for loss calculation.]]/24)*WTG_BD[[#This Row],[Breakdown Time]]</f>
        <v>8370.1833333333343</v>
      </c>
      <c r="AC467" s="135"/>
      <c r="AD467" s="245"/>
      <c r="AE467" s="3"/>
    </row>
    <row r="468" spans="1:31">
      <c r="A468" s="241">
        <f t="shared" si="15"/>
        <v>467</v>
      </c>
      <c r="B468" s="255">
        <v>45783</v>
      </c>
      <c r="C468" s="252">
        <v>2025</v>
      </c>
      <c r="D468" s="252">
        <v>2025</v>
      </c>
      <c r="E468" s="251">
        <f t="shared" si="16"/>
        <v>45778</v>
      </c>
      <c r="F468" s="252" t="s">
        <v>465</v>
      </c>
      <c r="G468" s="248" t="s">
        <v>142</v>
      </c>
      <c r="H468" s="242" t="str">
        <f>IFERROR(VLOOKUP(WTG_BD[[#This Row],[Affected WTG]],'Basic Data'!$A$3:$E$56,2,0),"")</f>
        <v>PWEGPL</v>
      </c>
      <c r="I468" s="242" t="str">
        <f>IFERROR(VLOOKUP(WTG_BD[[#This Row],[Affected WTG]],'Basic Data'!$A$3:$E$56,3,0),"")</f>
        <v>MSEDCL</v>
      </c>
      <c r="J468" s="243">
        <f>IFERROR(VLOOKUP(WTG_BD[[#This Row],[Affected WTG]],'Basic Data'!$A$3:$E$56,5,0),"")</f>
        <v>2.564102564102564E-2</v>
      </c>
      <c r="K468" s="158" t="s">
        <v>466</v>
      </c>
      <c r="L468" s="247" t="str">
        <f>VLOOKUP(K468,'Basic Data'!T:U,2,0)</f>
        <v>Manual Stop - Safety Related</v>
      </c>
      <c r="M468" s="135" t="s">
        <v>467</v>
      </c>
      <c r="N468" s="256">
        <v>0</v>
      </c>
      <c r="O468" s="256">
        <v>0.99930555555555556</v>
      </c>
      <c r="P468" s="256">
        <v>0.99930555555555556</v>
      </c>
      <c r="Q468" s="253">
        <f>IF(WTG_BD[[#This Row],[Work Start TimeStamp]]="","",(WTG_BD[[#This Row],[Work Start TimeStamp]]-WTG_BD[[#This Row],[Fault Start TimeStamp]])*24)</f>
        <v>23.983333333333334</v>
      </c>
      <c r="R468" s="253">
        <f>(WTG_BD[[#This Row],[Fault Clearance time]]-WTG_BD[[#This Row],[Work Start TimeStamp]])*24</f>
        <v>0</v>
      </c>
      <c r="S468" s="253">
        <f>(WTG_BD[[#This Row],[Fault Clearance time]]-WTG_BD[[#This Row],[Fault Start TimeStamp]])*24</f>
        <v>23.983333333333334</v>
      </c>
      <c r="T468" s="135" t="s">
        <v>468</v>
      </c>
      <c r="U468" s="244" t="s">
        <v>469</v>
      </c>
      <c r="V468" s="246">
        <f>WTG_BD[[#This Row],[Breakdown Time]]*(1/39)</f>
        <v>0.61495726495726499</v>
      </c>
      <c r="W468" s="244" t="s">
        <v>141</v>
      </c>
      <c r="X468" s="250">
        <v>8370.1833333333343</v>
      </c>
      <c r="Y468" s="135" t="s">
        <v>470</v>
      </c>
      <c r="Z468" s="135" t="s">
        <v>471</v>
      </c>
      <c r="AA468" s="135">
        <v>8376</v>
      </c>
      <c r="AB468" s="249">
        <f>(WTG_BD[[#This Row],[Paired WTG Generation for loss calculation.]]/24)*WTG_BD[[#This Row],[Breakdown Time]]</f>
        <v>8370.1833333333343</v>
      </c>
      <c r="AC468" s="135"/>
      <c r="AD468" s="245"/>
      <c r="AE468" s="3"/>
    </row>
    <row r="469" spans="1:31">
      <c r="A469" s="241">
        <f t="shared" si="15"/>
        <v>468</v>
      </c>
      <c r="B469" s="255">
        <v>45783</v>
      </c>
      <c r="C469" s="252">
        <v>2025</v>
      </c>
      <c r="D469" s="252">
        <v>2025</v>
      </c>
      <c r="E469" s="251">
        <f t="shared" si="16"/>
        <v>45778</v>
      </c>
      <c r="F469" s="252" t="s">
        <v>465</v>
      </c>
      <c r="G469" s="248" t="s">
        <v>130</v>
      </c>
      <c r="H469" s="242" t="str">
        <f>IFERROR(VLOOKUP(WTG_BD[[#This Row],[Affected WTG]],'Basic Data'!$A$3:$E$56,2,0),"")</f>
        <v>PWEGPL</v>
      </c>
      <c r="I469" s="242" t="str">
        <f>IFERROR(VLOOKUP(WTG_BD[[#This Row],[Affected WTG]],'Basic Data'!$A$3:$E$56,3,0),"")</f>
        <v>MSEDCL</v>
      </c>
      <c r="J469" s="243">
        <f>IFERROR(VLOOKUP(WTG_BD[[#This Row],[Affected WTG]],'Basic Data'!$A$3:$E$56,5,0),"")</f>
        <v>2.564102564102564E-2</v>
      </c>
      <c r="K469" s="158">
        <v>203</v>
      </c>
      <c r="L469" s="247" t="str">
        <f>VLOOKUP(K469,'Basic Data'!T:U,2,0)</f>
        <v>Low Pressure On Hydraulic Group</v>
      </c>
      <c r="M469" s="135" t="s">
        <v>472</v>
      </c>
      <c r="N469" s="256">
        <v>0.58472222222222225</v>
      </c>
      <c r="O469" s="256">
        <v>0.60902777777777772</v>
      </c>
      <c r="P469" s="256">
        <v>0.60972222222222228</v>
      </c>
      <c r="Q469" s="253">
        <f>IF(WTG_BD[[#This Row],[Work Start TimeStamp]]="","",(WTG_BD[[#This Row],[Work Start TimeStamp]]-WTG_BD[[#This Row],[Fault Start TimeStamp]])*24)</f>
        <v>0.58333333333333126</v>
      </c>
      <c r="R469" s="253">
        <f>(WTG_BD[[#This Row],[Fault Clearance time]]-WTG_BD[[#This Row],[Work Start TimeStamp]])*24</f>
        <v>1.6666666666669272E-2</v>
      </c>
      <c r="S469" s="253">
        <f>(WTG_BD[[#This Row],[Fault Clearance time]]-WTG_BD[[#This Row],[Fault Start TimeStamp]])*24</f>
        <v>0.60000000000000053</v>
      </c>
      <c r="T469" s="135" t="s">
        <v>473</v>
      </c>
      <c r="U469" s="244" t="s">
        <v>474</v>
      </c>
      <c r="V469" s="246">
        <f>WTG_BD[[#This Row],[Breakdown Time]]*(1/39)</f>
        <v>1.5384615384615398E-2</v>
      </c>
      <c r="W469" s="244" t="s">
        <v>131</v>
      </c>
      <c r="X469" s="250">
        <v>241.10000000000019</v>
      </c>
      <c r="Y469" s="135" t="s">
        <v>470</v>
      </c>
      <c r="Z469" s="135" t="s">
        <v>475</v>
      </c>
      <c r="AA469" s="135">
        <v>9644</v>
      </c>
      <c r="AB469" s="249">
        <f>(WTG_BD[[#This Row],[Paired WTG Generation for loss calculation.]]/24)*WTG_BD[[#This Row],[Breakdown Time]]</f>
        <v>241.10000000000019</v>
      </c>
      <c r="AC469" s="135"/>
      <c r="AD469" s="245"/>
      <c r="AE469" s="3"/>
    </row>
    <row r="470" spans="1:31">
      <c r="A470" s="241">
        <f t="shared" si="15"/>
        <v>469</v>
      </c>
      <c r="B470" s="255">
        <v>45783</v>
      </c>
      <c r="C470" s="252">
        <v>2025</v>
      </c>
      <c r="D470" s="252">
        <v>2025</v>
      </c>
      <c r="E470" s="251">
        <f t="shared" si="16"/>
        <v>45778</v>
      </c>
      <c r="F470" s="252" t="s">
        <v>465</v>
      </c>
      <c r="G470" s="248" t="s">
        <v>133</v>
      </c>
      <c r="H470" s="242" t="str">
        <f>IFERROR(VLOOKUP(WTG_BD[[#This Row],[Affected WTG]],'Basic Data'!$A$3:$E$56,2,0),"")</f>
        <v>PWEGPL</v>
      </c>
      <c r="I470" s="242" t="str">
        <f>IFERROR(VLOOKUP(WTG_BD[[#This Row],[Affected WTG]],'Basic Data'!$A$3:$E$56,3,0),"")</f>
        <v>MSEDCL</v>
      </c>
      <c r="J470" s="243">
        <f>IFERROR(VLOOKUP(WTG_BD[[#This Row],[Affected WTG]],'Basic Data'!$A$3:$E$56,5,0),"")</f>
        <v>2.564102564102564E-2</v>
      </c>
      <c r="K470" s="158">
        <v>5216</v>
      </c>
      <c r="L470" s="247" t="str">
        <f>VLOOKUP(K470,'Basic Data'!T:U,2,0)</f>
        <v>Grid Voltage Failure</v>
      </c>
      <c r="M470" s="135" t="s">
        <v>472</v>
      </c>
      <c r="N470" s="256">
        <v>0.52222222222222225</v>
      </c>
      <c r="O470" s="256">
        <v>0.54861111111111116</v>
      </c>
      <c r="P470" s="256">
        <v>0.59166666666666667</v>
      </c>
      <c r="Q470" s="253">
        <f>IF(WTG_BD[[#This Row],[Work Start TimeStamp]]="","",(WTG_BD[[#This Row],[Work Start TimeStamp]]-WTG_BD[[#This Row],[Fault Start TimeStamp]])*24)</f>
        <v>0.63333333333333375</v>
      </c>
      <c r="R470" s="253">
        <f>(WTG_BD[[#This Row],[Fault Clearance time]]-WTG_BD[[#This Row],[Work Start TimeStamp]])*24</f>
        <v>1.0333333333333323</v>
      </c>
      <c r="S470" s="253">
        <f>(WTG_BD[[#This Row],[Fault Clearance time]]-WTG_BD[[#This Row],[Fault Start TimeStamp]])*24</f>
        <v>1.6666666666666661</v>
      </c>
      <c r="T470" s="135" t="s">
        <v>575</v>
      </c>
      <c r="U470" s="244" t="s">
        <v>474</v>
      </c>
      <c r="V470" s="246">
        <f>WTG_BD[[#This Row],[Breakdown Time]]*(1/39)</f>
        <v>4.2735042735042715E-2</v>
      </c>
      <c r="W470" s="244" t="s">
        <v>132</v>
      </c>
      <c r="X470" s="250">
        <v>669.44444444444423</v>
      </c>
      <c r="Y470" s="135" t="s">
        <v>470</v>
      </c>
      <c r="Z470" s="135" t="s">
        <v>475</v>
      </c>
      <c r="AA470" s="135">
        <v>9640</v>
      </c>
      <c r="AB470" s="249">
        <f>(WTG_BD[[#This Row],[Paired WTG Generation for loss calculation.]]/24)*WTG_BD[[#This Row],[Breakdown Time]]</f>
        <v>669.44444444444423</v>
      </c>
      <c r="AC470" s="135"/>
      <c r="AD470" s="245"/>
      <c r="AE470" s="3"/>
    </row>
    <row r="471" spans="1:31">
      <c r="A471" s="241">
        <f t="shared" si="15"/>
        <v>470</v>
      </c>
      <c r="B471" s="255">
        <v>45783</v>
      </c>
      <c r="C471" s="252">
        <v>2025</v>
      </c>
      <c r="D471" s="252">
        <v>2025</v>
      </c>
      <c r="E471" s="251">
        <f t="shared" si="16"/>
        <v>45778</v>
      </c>
      <c r="F471" s="252" t="s">
        <v>465</v>
      </c>
      <c r="G471" s="248" t="s">
        <v>136</v>
      </c>
      <c r="H471" s="242" t="str">
        <f>IFERROR(VLOOKUP(WTG_BD[[#This Row],[Affected WTG]],'Basic Data'!$A$3:$E$56,2,0),"")</f>
        <v>PWEGPL</v>
      </c>
      <c r="I471" s="242" t="str">
        <f>IFERROR(VLOOKUP(WTG_BD[[#This Row],[Affected WTG]],'Basic Data'!$A$3:$E$56,3,0),"")</f>
        <v>MSEDCL</v>
      </c>
      <c r="J471" s="243">
        <f>IFERROR(VLOOKUP(WTG_BD[[#This Row],[Affected WTG]],'Basic Data'!$A$3:$E$56,5,0),"")</f>
        <v>2.564102564102564E-2</v>
      </c>
      <c r="K471" s="158">
        <v>813</v>
      </c>
      <c r="L471" s="247" t="str">
        <f>VLOOKUP(K471,'Basic Data'!T:U,2,0)</f>
        <v>Low Pressure Of Emergency Accumulators</v>
      </c>
      <c r="M471" s="135" t="s">
        <v>472</v>
      </c>
      <c r="N471" s="256">
        <v>0.54513888888888884</v>
      </c>
      <c r="O471" s="256">
        <v>0.57777777777777772</v>
      </c>
      <c r="P471" s="256">
        <v>0.57847222222222228</v>
      </c>
      <c r="Q471" s="253">
        <f>IF(WTG_BD[[#This Row],[Work Start TimeStamp]]="","",(WTG_BD[[#This Row],[Work Start TimeStamp]]-WTG_BD[[#This Row],[Fault Start TimeStamp]])*24)</f>
        <v>0.78333333333333321</v>
      </c>
      <c r="R471" s="253">
        <f>(WTG_BD[[#This Row],[Fault Clearance time]]-WTG_BD[[#This Row],[Work Start TimeStamp]])*24</f>
        <v>1.6666666666669272E-2</v>
      </c>
      <c r="S471" s="253">
        <f>(WTG_BD[[#This Row],[Fault Clearance time]]-WTG_BD[[#This Row],[Fault Start TimeStamp]])*24</f>
        <v>0.80000000000000249</v>
      </c>
      <c r="T471" s="135" t="s">
        <v>473</v>
      </c>
      <c r="U471" s="244" t="s">
        <v>474</v>
      </c>
      <c r="V471" s="246">
        <f>WTG_BD[[#This Row],[Breakdown Time]]*(1/39)</f>
        <v>2.0512820512820575E-2</v>
      </c>
      <c r="W471" s="244" t="s">
        <v>119</v>
      </c>
      <c r="X471" s="250">
        <v>276.70000000000084</v>
      </c>
      <c r="Y471" s="135" t="s">
        <v>470</v>
      </c>
      <c r="Z471" s="135" t="s">
        <v>475</v>
      </c>
      <c r="AA471" s="135">
        <v>8301</v>
      </c>
      <c r="AB471" s="249">
        <f>(WTG_BD[[#This Row],[Paired WTG Generation for loss calculation.]]/24)*WTG_BD[[#This Row],[Breakdown Time]]</f>
        <v>276.70000000000084</v>
      </c>
      <c r="AC471" s="135"/>
      <c r="AD471" s="245"/>
      <c r="AE471" s="3"/>
    </row>
    <row r="472" spans="1:31">
      <c r="A472" s="241">
        <f t="shared" si="15"/>
        <v>471</v>
      </c>
      <c r="B472" s="255">
        <v>45783</v>
      </c>
      <c r="C472" s="252">
        <v>2025</v>
      </c>
      <c r="D472" s="252">
        <v>2025</v>
      </c>
      <c r="E472" s="251">
        <f t="shared" si="16"/>
        <v>45778</v>
      </c>
      <c r="F472" s="252" t="s">
        <v>465</v>
      </c>
      <c r="G472" s="248" t="s">
        <v>137</v>
      </c>
      <c r="H472" s="242" t="str">
        <f>IFERROR(VLOOKUP(WTG_BD[[#This Row],[Affected WTG]],'Basic Data'!$A$3:$E$56,2,0),"")</f>
        <v>PWEGPL</v>
      </c>
      <c r="I472" s="242" t="str">
        <f>IFERROR(VLOOKUP(WTG_BD[[#This Row],[Affected WTG]],'Basic Data'!$A$3:$E$56,3,0),"")</f>
        <v>MSEDCL</v>
      </c>
      <c r="J472" s="243">
        <f>IFERROR(VLOOKUP(WTG_BD[[#This Row],[Affected WTG]],'Basic Data'!$A$3:$E$56,5,0),"")</f>
        <v>2.564102564102564E-2</v>
      </c>
      <c r="K472" s="158">
        <v>2118</v>
      </c>
      <c r="L472" s="247" t="str">
        <f>VLOOKUP(K472,'Basic Data'!T:U,2,0)</f>
        <v>Bus Error - Interbus Failure</v>
      </c>
      <c r="M472" s="135" t="s">
        <v>472</v>
      </c>
      <c r="N472" s="256">
        <v>0.63888888888888884</v>
      </c>
      <c r="O472" s="256">
        <v>0.66805555555555551</v>
      </c>
      <c r="P472" s="256">
        <v>0.6694444444444444</v>
      </c>
      <c r="Q472" s="253">
        <f>IF(WTG_BD[[#This Row],[Work Start TimeStamp]]="","",(WTG_BD[[#This Row],[Work Start TimeStamp]]-WTG_BD[[#This Row],[Fault Start TimeStamp]])*24)</f>
        <v>0.70000000000000018</v>
      </c>
      <c r="R472" s="253">
        <f>(WTG_BD[[#This Row],[Fault Clearance time]]-WTG_BD[[#This Row],[Work Start TimeStamp]])*24</f>
        <v>3.3333333333333215E-2</v>
      </c>
      <c r="S472" s="253">
        <f>(WTG_BD[[#This Row],[Fault Clearance time]]-WTG_BD[[#This Row],[Fault Start TimeStamp]])*24</f>
        <v>0.73333333333333339</v>
      </c>
      <c r="T472" s="135" t="s">
        <v>482</v>
      </c>
      <c r="U472" s="244" t="s">
        <v>474</v>
      </c>
      <c r="V472" s="246">
        <f>WTG_BD[[#This Row],[Breakdown Time]]*(1/39)</f>
        <v>1.8803418803418806E-2</v>
      </c>
      <c r="W472" s="244" t="s">
        <v>119</v>
      </c>
      <c r="X472" s="250">
        <v>253.64166666666668</v>
      </c>
      <c r="Y472" s="135" t="s">
        <v>470</v>
      </c>
      <c r="Z472" s="135" t="s">
        <v>475</v>
      </c>
      <c r="AA472" s="135">
        <v>8301</v>
      </c>
      <c r="AB472" s="249">
        <f>(WTG_BD[[#This Row],[Paired WTG Generation for loss calculation.]]/24)*WTG_BD[[#This Row],[Breakdown Time]]</f>
        <v>253.64166666666668</v>
      </c>
      <c r="AC472" s="135"/>
      <c r="AD472" s="245"/>
      <c r="AE472" s="3"/>
    </row>
    <row r="473" spans="1:31">
      <c r="A473" s="241">
        <f t="shared" si="15"/>
        <v>472</v>
      </c>
      <c r="B473" s="255">
        <v>45783</v>
      </c>
      <c r="C473" s="252">
        <v>2025</v>
      </c>
      <c r="D473" s="252">
        <v>2025</v>
      </c>
      <c r="E473" s="251">
        <f t="shared" si="16"/>
        <v>45778</v>
      </c>
      <c r="F473" s="252" t="s">
        <v>465</v>
      </c>
      <c r="G473" s="248" t="s">
        <v>139</v>
      </c>
      <c r="H473" s="242" t="str">
        <f>IFERROR(VLOOKUP(WTG_BD[[#This Row],[Affected WTG]],'Basic Data'!$A$3:$E$56,2,0),"")</f>
        <v>PWEGPL</v>
      </c>
      <c r="I473" s="242" t="str">
        <f>IFERROR(VLOOKUP(WTG_BD[[#This Row],[Affected WTG]],'Basic Data'!$A$3:$E$56,3,0),"")</f>
        <v>MSEDCL</v>
      </c>
      <c r="J473" s="243">
        <f>IFERROR(VLOOKUP(WTG_BD[[#This Row],[Affected WTG]],'Basic Data'!$A$3:$E$56,5,0),"")</f>
        <v>2.564102564102564E-2</v>
      </c>
      <c r="K473" s="158" t="s">
        <v>523</v>
      </c>
      <c r="L473" s="247" t="str">
        <f>VLOOKUP(K473,'Basic Data'!T:U,2,0)</f>
        <v>Manual Stop</v>
      </c>
      <c r="M473" s="135" t="s">
        <v>496</v>
      </c>
      <c r="N473" s="256">
        <v>0</v>
      </c>
      <c r="O473" s="256">
        <v>0</v>
      </c>
      <c r="P473" s="256">
        <v>0.65486111111111112</v>
      </c>
      <c r="Q473" s="253">
        <f>IF(WTG_BD[[#This Row],[Work Start TimeStamp]]="","",(WTG_BD[[#This Row],[Work Start TimeStamp]]-WTG_BD[[#This Row],[Fault Start TimeStamp]])*24)</f>
        <v>0</v>
      </c>
      <c r="R473" s="253">
        <f>(WTG_BD[[#This Row],[Fault Clearance time]]-WTG_BD[[#This Row],[Work Start TimeStamp]])*24</f>
        <v>15.716666666666667</v>
      </c>
      <c r="S473" s="253">
        <f>(WTG_BD[[#This Row],[Fault Clearance time]]-WTG_BD[[#This Row],[Fault Start TimeStamp]])*24</f>
        <v>15.716666666666667</v>
      </c>
      <c r="T473" s="135" t="s">
        <v>576</v>
      </c>
      <c r="U473" s="244" t="s">
        <v>474</v>
      </c>
      <c r="V473" s="246">
        <f>WTG_BD[[#This Row],[Breakdown Time]]*(1/39)</f>
        <v>0.402991452991453</v>
      </c>
      <c r="W473" s="244" t="s">
        <v>145</v>
      </c>
      <c r="X473" s="250">
        <v>4565.6916666666666</v>
      </c>
      <c r="Y473" s="135" t="s">
        <v>470</v>
      </c>
      <c r="Z473" s="135" t="s">
        <v>498</v>
      </c>
      <c r="AA473" s="135">
        <v>6972</v>
      </c>
      <c r="AB473" s="249">
        <f>(WTG_BD[[#This Row],[Paired WTG Generation for loss calculation.]]/24)*WTG_BD[[#This Row],[Breakdown Time]]</f>
        <v>4565.6916666666666</v>
      </c>
      <c r="AC473" s="135"/>
      <c r="AD473" s="245"/>
      <c r="AE473" s="3"/>
    </row>
    <row r="474" spans="1:31">
      <c r="A474" s="241">
        <f t="shared" si="15"/>
        <v>473</v>
      </c>
      <c r="B474" s="255">
        <v>45783</v>
      </c>
      <c r="C474" s="252">
        <v>2025</v>
      </c>
      <c r="D474" s="252">
        <v>2025</v>
      </c>
      <c r="E474" s="251">
        <f t="shared" si="16"/>
        <v>45778</v>
      </c>
      <c r="F474" s="252" t="s">
        <v>465</v>
      </c>
      <c r="G474" s="248" t="s">
        <v>150</v>
      </c>
      <c r="H474" s="242" t="str">
        <f>IFERROR(VLOOKUP(WTG_BD[[#This Row],[Affected WTG]],'Basic Data'!$A$3:$E$56,2,0),"")</f>
        <v>PWEGPL</v>
      </c>
      <c r="I474" s="242" t="str">
        <f>IFERROR(VLOOKUP(WTG_BD[[#This Row],[Affected WTG]],'Basic Data'!$A$3:$E$56,3,0),"")</f>
        <v>MSEDCL</v>
      </c>
      <c r="J474" s="243">
        <f>IFERROR(VLOOKUP(WTG_BD[[#This Row],[Affected WTG]],'Basic Data'!$A$3:$E$56,5,0),"")</f>
        <v>2.564102564102564E-2</v>
      </c>
      <c r="K474" s="158" t="s">
        <v>549</v>
      </c>
      <c r="L474" s="247" t="str">
        <f>VLOOKUP(K474,'Basic Data'!T:U,2,0)</f>
        <v>Manual Stop - Preventive Maintenance Activity</v>
      </c>
      <c r="M474" s="135" t="s">
        <v>550</v>
      </c>
      <c r="N474" s="256">
        <v>0.47361111111111109</v>
      </c>
      <c r="O474" s="256">
        <v>0.47361111111111109</v>
      </c>
      <c r="P474" s="256">
        <v>0.76458333333333328</v>
      </c>
      <c r="Q474" s="253">
        <f>IF(WTG_BD[[#This Row],[Work Start TimeStamp]]="","",(WTG_BD[[#This Row],[Work Start TimeStamp]]-WTG_BD[[#This Row],[Fault Start TimeStamp]])*24)</f>
        <v>0</v>
      </c>
      <c r="R474" s="253">
        <f>(WTG_BD[[#This Row],[Fault Clearance time]]-WTG_BD[[#This Row],[Work Start TimeStamp]])*24</f>
        <v>6.9833333333333325</v>
      </c>
      <c r="S474" s="253">
        <f>(WTG_BD[[#This Row],[Fault Clearance time]]-WTG_BD[[#This Row],[Fault Start TimeStamp]])*24</f>
        <v>6.9833333333333325</v>
      </c>
      <c r="T474" s="135" t="s">
        <v>569</v>
      </c>
      <c r="U474" s="244" t="s">
        <v>474</v>
      </c>
      <c r="V474" s="246">
        <f>WTG_BD[[#This Row],[Breakdown Time]]*(1/39)</f>
        <v>0.17905982905982903</v>
      </c>
      <c r="W474" s="244" t="s">
        <v>149</v>
      </c>
      <c r="X474" s="250">
        <v>2023.1298611111108</v>
      </c>
      <c r="Y474" s="135" t="s">
        <v>470</v>
      </c>
      <c r="Z474" s="135" t="s">
        <v>552</v>
      </c>
      <c r="AA474" s="135">
        <v>6953</v>
      </c>
      <c r="AB474" s="249">
        <f>(WTG_BD[[#This Row],[Paired WTG Generation for loss calculation.]]/24)*WTG_BD[[#This Row],[Breakdown Time]]</f>
        <v>2023.1298611111108</v>
      </c>
      <c r="AC474" s="135"/>
      <c r="AD474" s="245"/>
      <c r="AE474" s="3"/>
    </row>
    <row r="475" spans="1:31">
      <c r="A475" s="241">
        <f t="shared" si="15"/>
        <v>474</v>
      </c>
      <c r="B475" s="255">
        <v>45784</v>
      </c>
      <c r="C475" s="252">
        <v>2025</v>
      </c>
      <c r="D475" s="252">
        <v>2025</v>
      </c>
      <c r="E475" s="251">
        <f t="shared" si="16"/>
        <v>45778</v>
      </c>
      <c r="F475" s="252" t="s">
        <v>465</v>
      </c>
      <c r="G475" s="248" t="s">
        <v>144</v>
      </c>
      <c r="H475" s="242" t="str">
        <f>IFERROR(VLOOKUP(WTG_BD[[#This Row],[Affected WTG]],'Basic Data'!$A$3:$E$56,2,0),"")</f>
        <v>PWEGPL</v>
      </c>
      <c r="I475" s="242" t="str">
        <f>IFERROR(VLOOKUP(WTG_BD[[#This Row],[Affected WTG]],'Basic Data'!$A$3:$E$56,3,0),"")</f>
        <v>MSEDCL</v>
      </c>
      <c r="J475" s="243">
        <f>IFERROR(VLOOKUP(WTG_BD[[#This Row],[Affected WTG]],'Basic Data'!$A$3:$E$56,5,0),"")</f>
        <v>2.564102564102564E-2</v>
      </c>
      <c r="K475" s="158" t="s">
        <v>466</v>
      </c>
      <c r="L475" s="247" t="str">
        <f>VLOOKUP(K475,'Basic Data'!T:U,2,0)</f>
        <v>Manual Stop - Safety Related</v>
      </c>
      <c r="M475" s="135" t="s">
        <v>467</v>
      </c>
      <c r="N475" s="256">
        <v>0</v>
      </c>
      <c r="O475" s="256">
        <v>0.99930555555555556</v>
      </c>
      <c r="P475" s="256">
        <v>0.99930555555555556</v>
      </c>
      <c r="Q475" s="253">
        <f>IF(WTG_BD[[#This Row],[Work Start TimeStamp]]="","",(WTG_BD[[#This Row],[Work Start TimeStamp]]-WTG_BD[[#This Row],[Fault Start TimeStamp]])*24)</f>
        <v>23.983333333333334</v>
      </c>
      <c r="R475" s="253">
        <f>(WTG_BD[[#This Row],[Fault Clearance time]]-WTG_BD[[#This Row],[Work Start TimeStamp]])*24</f>
        <v>0</v>
      </c>
      <c r="S475" s="253">
        <f>(WTG_BD[[#This Row],[Fault Clearance time]]-WTG_BD[[#This Row],[Fault Start TimeStamp]])*24</f>
        <v>23.983333333333334</v>
      </c>
      <c r="T475" s="135" t="s">
        <v>468</v>
      </c>
      <c r="U475" s="244" t="s">
        <v>469</v>
      </c>
      <c r="V475" s="246">
        <f>WTG_BD[[#This Row],[Breakdown Time]]*(1/39)</f>
        <v>0.61495726495726499</v>
      </c>
      <c r="W475" s="244" t="s">
        <v>141</v>
      </c>
      <c r="X475" s="250">
        <v>9446.4354166666672</v>
      </c>
      <c r="Y475" s="135" t="s">
        <v>470</v>
      </c>
      <c r="Z475" s="135" t="s">
        <v>471</v>
      </c>
      <c r="AA475" s="135">
        <v>9453</v>
      </c>
      <c r="AB475" s="249">
        <f>(WTG_BD[[#This Row],[Paired WTG Generation for loss calculation.]]/24)*WTG_BD[[#This Row],[Breakdown Time]]</f>
        <v>9446.4354166666672</v>
      </c>
      <c r="AC475" s="135"/>
      <c r="AD475" s="245"/>
      <c r="AE475" s="3"/>
    </row>
    <row r="476" spans="1:31">
      <c r="A476" s="241">
        <f t="shared" si="15"/>
        <v>475</v>
      </c>
      <c r="B476" s="255">
        <v>45784</v>
      </c>
      <c r="C476" s="252">
        <v>2025</v>
      </c>
      <c r="D476" s="252">
        <v>2025</v>
      </c>
      <c r="E476" s="251">
        <f t="shared" si="16"/>
        <v>45778</v>
      </c>
      <c r="F476" s="252" t="s">
        <v>465</v>
      </c>
      <c r="G476" s="248" t="s">
        <v>142</v>
      </c>
      <c r="H476" s="242" t="str">
        <f>IFERROR(VLOOKUP(WTG_BD[[#This Row],[Affected WTG]],'Basic Data'!$A$3:$E$56,2,0),"")</f>
        <v>PWEGPL</v>
      </c>
      <c r="I476" s="242" t="str">
        <f>IFERROR(VLOOKUP(WTG_BD[[#This Row],[Affected WTG]],'Basic Data'!$A$3:$E$56,3,0),"")</f>
        <v>MSEDCL</v>
      </c>
      <c r="J476" s="243">
        <f>IFERROR(VLOOKUP(WTG_BD[[#This Row],[Affected WTG]],'Basic Data'!$A$3:$E$56,5,0),"")</f>
        <v>2.564102564102564E-2</v>
      </c>
      <c r="K476" s="158" t="s">
        <v>466</v>
      </c>
      <c r="L476" s="247" t="str">
        <f>VLOOKUP(K476,'Basic Data'!T:U,2,0)</f>
        <v>Manual Stop - Safety Related</v>
      </c>
      <c r="M476" s="135" t="s">
        <v>467</v>
      </c>
      <c r="N476" s="256">
        <v>0</v>
      </c>
      <c r="O476" s="256">
        <v>0.99930555555555556</v>
      </c>
      <c r="P476" s="256">
        <v>0.99930555555555556</v>
      </c>
      <c r="Q476" s="253">
        <f>IF(WTG_BD[[#This Row],[Work Start TimeStamp]]="","",(WTG_BD[[#This Row],[Work Start TimeStamp]]-WTG_BD[[#This Row],[Fault Start TimeStamp]])*24)</f>
        <v>23.983333333333334</v>
      </c>
      <c r="R476" s="253">
        <f>(WTG_BD[[#This Row],[Fault Clearance time]]-WTG_BD[[#This Row],[Work Start TimeStamp]])*24</f>
        <v>0</v>
      </c>
      <c r="S476" s="253">
        <f>(WTG_BD[[#This Row],[Fault Clearance time]]-WTG_BD[[#This Row],[Fault Start TimeStamp]])*24</f>
        <v>23.983333333333334</v>
      </c>
      <c r="T476" s="135" t="s">
        <v>468</v>
      </c>
      <c r="U476" s="244" t="s">
        <v>469</v>
      </c>
      <c r="V476" s="246">
        <f>WTG_BD[[#This Row],[Breakdown Time]]*(1/39)</f>
        <v>0.61495726495726499</v>
      </c>
      <c r="W476" s="244" t="s">
        <v>141</v>
      </c>
      <c r="X476" s="250">
        <v>9446.4354166666672</v>
      </c>
      <c r="Y476" s="135" t="s">
        <v>470</v>
      </c>
      <c r="Z476" s="135" t="s">
        <v>471</v>
      </c>
      <c r="AA476" s="135">
        <v>9453</v>
      </c>
      <c r="AB476" s="249">
        <f>(WTG_BD[[#This Row],[Paired WTG Generation for loss calculation.]]/24)*WTG_BD[[#This Row],[Breakdown Time]]</f>
        <v>9446.4354166666672</v>
      </c>
      <c r="AC476" s="135"/>
      <c r="AD476" s="245"/>
      <c r="AE476" s="3"/>
    </row>
    <row r="477" spans="1:31">
      <c r="A477" s="241">
        <f t="shared" si="15"/>
        <v>476</v>
      </c>
      <c r="B477" s="255">
        <v>45784</v>
      </c>
      <c r="C477" s="252">
        <v>2025</v>
      </c>
      <c r="D477" s="252">
        <v>2025</v>
      </c>
      <c r="E477" s="251">
        <f t="shared" si="16"/>
        <v>45778</v>
      </c>
      <c r="F477" s="252" t="s">
        <v>465</v>
      </c>
      <c r="G477" s="248" t="s">
        <v>115</v>
      </c>
      <c r="H477" s="242" t="str">
        <f>IFERROR(VLOOKUP(WTG_BD[[#This Row],[Affected WTG]],'Basic Data'!$A$3:$E$56,2,0),"")</f>
        <v>PWEGPL</v>
      </c>
      <c r="I477" s="242" t="str">
        <f>IFERROR(VLOOKUP(WTG_BD[[#This Row],[Affected WTG]],'Basic Data'!$A$3:$E$56,3,0),"")</f>
        <v>MSEDCL</v>
      </c>
      <c r="J477" s="243">
        <f>IFERROR(VLOOKUP(WTG_BD[[#This Row],[Affected WTG]],'Basic Data'!$A$3:$E$56,5,0),"")</f>
        <v>2.564102564102564E-2</v>
      </c>
      <c r="K477" s="158">
        <v>2118</v>
      </c>
      <c r="L477" s="247" t="str">
        <f>VLOOKUP(K477,'Basic Data'!T:U,2,0)</f>
        <v>Bus Error - Interbus Failure</v>
      </c>
      <c r="M477" s="135" t="s">
        <v>472</v>
      </c>
      <c r="N477" s="256">
        <v>0.66180555555555554</v>
      </c>
      <c r="O477" s="256">
        <v>0.69097222222222221</v>
      </c>
      <c r="P477" s="256">
        <v>0.69236111111111109</v>
      </c>
      <c r="Q477" s="253">
        <f>IF(WTG_BD[[#This Row],[Work Start TimeStamp]]="","",(WTG_BD[[#This Row],[Work Start TimeStamp]]-WTG_BD[[#This Row],[Fault Start TimeStamp]])*24)</f>
        <v>0.70000000000000018</v>
      </c>
      <c r="R477" s="253">
        <f>(WTG_BD[[#This Row],[Fault Clearance time]]-WTG_BD[[#This Row],[Work Start TimeStamp]])*24</f>
        <v>3.3333333333333215E-2</v>
      </c>
      <c r="S477" s="253">
        <f>(WTG_BD[[#This Row],[Fault Clearance time]]-WTG_BD[[#This Row],[Fault Start TimeStamp]])*24</f>
        <v>0.73333333333333339</v>
      </c>
      <c r="T477" s="135" t="s">
        <v>482</v>
      </c>
      <c r="U477" s="244" t="s">
        <v>474</v>
      </c>
      <c r="V477" s="246">
        <f>WTG_BD[[#This Row],[Breakdown Time]]*(1/39)</f>
        <v>1.8803418803418806E-2</v>
      </c>
      <c r="W477" s="244" t="s">
        <v>121</v>
      </c>
      <c r="X477" s="250">
        <v>335.77500000000003</v>
      </c>
      <c r="Y477" s="135" t="s">
        <v>470</v>
      </c>
      <c r="Z477" s="135" t="s">
        <v>475</v>
      </c>
      <c r="AA477" s="135">
        <v>10989</v>
      </c>
      <c r="AB477" s="249">
        <f>(WTG_BD[[#This Row],[Paired WTG Generation for loss calculation.]]/24)*WTG_BD[[#This Row],[Breakdown Time]]</f>
        <v>335.77500000000003</v>
      </c>
      <c r="AC477" s="135"/>
      <c r="AD477" s="245"/>
      <c r="AE477" s="3"/>
    </row>
    <row r="478" spans="1:31">
      <c r="A478" s="241">
        <f t="shared" si="15"/>
        <v>477</v>
      </c>
      <c r="B478" s="255">
        <v>45784</v>
      </c>
      <c r="C478" s="252">
        <v>2025</v>
      </c>
      <c r="D478" s="252">
        <v>2025</v>
      </c>
      <c r="E478" s="251">
        <f t="shared" si="16"/>
        <v>45778</v>
      </c>
      <c r="F478" s="252" t="s">
        <v>465</v>
      </c>
      <c r="G478" s="248" t="s">
        <v>120</v>
      </c>
      <c r="H478" s="242" t="str">
        <f>IFERROR(VLOOKUP(WTG_BD[[#This Row],[Affected WTG]],'Basic Data'!$A$3:$E$56,2,0),"")</f>
        <v>PWEGPL</v>
      </c>
      <c r="I478" s="242" t="str">
        <f>IFERROR(VLOOKUP(WTG_BD[[#This Row],[Affected WTG]],'Basic Data'!$A$3:$E$56,3,0),"")</f>
        <v>MSEDCL</v>
      </c>
      <c r="J478" s="243">
        <f>IFERROR(VLOOKUP(WTG_BD[[#This Row],[Affected WTG]],'Basic Data'!$A$3:$E$56,5,0),"")</f>
        <v>2.564102564102564E-2</v>
      </c>
      <c r="K478" s="158">
        <v>2118</v>
      </c>
      <c r="L478" s="247" t="str">
        <f>VLOOKUP(K478,'Basic Data'!T:U,2,0)</f>
        <v>Bus Error - Interbus Failure</v>
      </c>
      <c r="M478" s="135" t="s">
        <v>472</v>
      </c>
      <c r="N478" s="256">
        <v>0.66180555555555554</v>
      </c>
      <c r="O478" s="256">
        <v>0.6875</v>
      </c>
      <c r="P478" s="256">
        <v>0.68888888888888888</v>
      </c>
      <c r="Q478" s="253">
        <f>IF(WTG_BD[[#This Row],[Work Start TimeStamp]]="","",(WTG_BD[[#This Row],[Work Start TimeStamp]]-WTG_BD[[#This Row],[Fault Start TimeStamp]])*24)</f>
        <v>0.61666666666666714</v>
      </c>
      <c r="R478" s="253">
        <f>(WTG_BD[[#This Row],[Fault Clearance time]]-WTG_BD[[#This Row],[Work Start TimeStamp]])*24</f>
        <v>3.3333333333333215E-2</v>
      </c>
      <c r="S478" s="253">
        <f>(WTG_BD[[#This Row],[Fault Clearance time]]-WTG_BD[[#This Row],[Fault Start TimeStamp]])*24</f>
        <v>0.65000000000000036</v>
      </c>
      <c r="T478" s="135" t="s">
        <v>482</v>
      </c>
      <c r="U478" s="244" t="s">
        <v>474</v>
      </c>
      <c r="V478" s="246">
        <f>WTG_BD[[#This Row],[Breakdown Time]]*(1/39)</f>
        <v>1.6666666666666677E-2</v>
      </c>
      <c r="W478" s="244" t="s">
        <v>117</v>
      </c>
      <c r="X478" s="250">
        <v>343.79583333333352</v>
      </c>
      <c r="Y478" s="135" t="s">
        <v>470</v>
      </c>
      <c r="Z478" s="135" t="s">
        <v>475</v>
      </c>
      <c r="AA478" s="135">
        <v>12694</v>
      </c>
      <c r="AB478" s="249">
        <f>(WTG_BD[[#This Row],[Paired WTG Generation for loss calculation.]]/24)*WTG_BD[[#This Row],[Breakdown Time]]</f>
        <v>343.79583333333352</v>
      </c>
      <c r="AC478" s="135"/>
      <c r="AD478" s="245"/>
      <c r="AE478" s="3"/>
    </row>
    <row r="479" spans="1:31">
      <c r="A479" s="241">
        <f t="shared" si="15"/>
        <v>478</v>
      </c>
      <c r="B479" s="255">
        <v>45784</v>
      </c>
      <c r="C479" s="252">
        <v>2025</v>
      </c>
      <c r="D479" s="252">
        <v>2025</v>
      </c>
      <c r="E479" s="251">
        <f t="shared" si="16"/>
        <v>45778</v>
      </c>
      <c r="F479" s="252" t="s">
        <v>465</v>
      </c>
      <c r="G479" s="248" t="s">
        <v>121</v>
      </c>
      <c r="H479" s="242" t="str">
        <f>IFERROR(VLOOKUP(WTG_BD[[#This Row],[Affected WTG]],'Basic Data'!$A$3:$E$56,2,0),"")</f>
        <v>PWEGPL</v>
      </c>
      <c r="I479" s="242" t="str">
        <f>IFERROR(VLOOKUP(WTG_BD[[#This Row],[Affected WTG]],'Basic Data'!$A$3:$E$56,3,0),"")</f>
        <v>MSEDCL</v>
      </c>
      <c r="J479" s="243">
        <f>IFERROR(VLOOKUP(WTG_BD[[#This Row],[Affected WTG]],'Basic Data'!$A$3:$E$56,5,0),"")</f>
        <v>2.564102564102564E-2</v>
      </c>
      <c r="K479" s="158">
        <v>2118</v>
      </c>
      <c r="L479" s="247" t="str">
        <f>VLOOKUP(K479,'Basic Data'!T:U,2,0)</f>
        <v>Bus Error - Interbus Failure</v>
      </c>
      <c r="M479" s="135" t="s">
        <v>472</v>
      </c>
      <c r="N479" s="256">
        <v>0.66249999999999998</v>
      </c>
      <c r="O479" s="256">
        <v>0.69791666666666663</v>
      </c>
      <c r="P479" s="256">
        <v>0.69930555555555551</v>
      </c>
      <c r="Q479" s="253">
        <f>IF(WTG_BD[[#This Row],[Work Start TimeStamp]]="","",(WTG_BD[[#This Row],[Work Start TimeStamp]]-WTG_BD[[#This Row],[Fault Start TimeStamp]])*24)</f>
        <v>0.84999999999999964</v>
      </c>
      <c r="R479" s="253">
        <f>(WTG_BD[[#This Row],[Fault Clearance time]]-WTG_BD[[#This Row],[Work Start TimeStamp]])*24</f>
        <v>3.3333333333333215E-2</v>
      </c>
      <c r="S479" s="253">
        <f>(WTG_BD[[#This Row],[Fault Clearance time]]-WTG_BD[[#This Row],[Fault Start TimeStamp]])*24</f>
        <v>0.88333333333333286</v>
      </c>
      <c r="T479" s="135" t="s">
        <v>482</v>
      </c>
      <c r="U479" s="244" t="s">
        <v>474</v>
      </c>
      <c r="V479" s="246">
        <f>WTG_BD[[#This Row],[Breakdown Time]]*(1/39)</f>
        <v>2.2649572649572635E-2</v>
      </c>
      <c r="W479" s="244" t="s">
        <v>115</v>
      </c>
      <c r="X479" s="250">
        <v>403.86736111111088</v>
      </c>
      <c r="Y479" s="135" t="s">
        <v>470</v>
      </c>
      <c r="Z479" s="135" t="s">
        <v>475</v>
      </c>
      <c r="AA479" s="135">
        <v>10973</v>
      </c>
      <c r="AB479" s="249">
        <f>(WTG_BD[[#This Row],[Paired WTG Generation for loss calculation.]]/24)*WTG_BD[[#This Row],[Breakdown Time]]</f>
        <v>403.86736111111088</v>
      </c>
      <c r="AC479" s="135"/>
      <c r="AD479" s="245"/>
      <c r="AE479" s="3"/>
    </row>
    <row r="480" spans="1:31">
      <c r="A480" s="241">
        <f t="shared" si="15"/>
        <v>479</v>
      </c>
      <c r="B480" s="255">
        <v>45784</v>
      </c>
      <c r="C480" s="252">
        <v>2025</v>
      </c>
      <c r="D480" s="252">
        <v>2025</v>
      </c>
      <c r="E480" s="251">
        <f t="shared" si="16"/>
        <v>45778</v>
      </c>
      <c r="F480" s="252" t="s">
        <v>465</v>
      </c>
      <c r="G480" s="248" t="s">
        <v>130</v>
      </c>
      <c r="H480" s="242" t="str">
        <f>IFERROR(VLOOKUP(WTG_BD[[#This Row],[Affected WTG]],'Basic Data'!$A$3:$E$56,2,0),"")</f>
        <v>PWEGPL</v>
      </c>
      <c r="I480" s="242" t="str">
        <f>IFERROR(VLOOKUP(WTG_BD[[#This Row],[Affected WTG]],'Basic Data'!$A$3:$E$56,3,0),"")</f>
        <v>MSEDCL</v>
      </c>
      <c r="J480" s="243">
        <f>IFERROR(VLOOKUP(WTG_BD[[#This Row],[Affected WTG]],'Basic Data'!$A$3:$E$56,5,0),"")</f>
        <v>2.564102564102564E-2</v>
      </c>
      <c r="K480" s="158">
        <v>2118</v>
      </c>
      <c r="L480" s="247" t="str">
        <f>VLOOKUP(K480,'Basic Data'!T:U,2,0)</f>
        <v>Bus Error - Interbus Failure</v>
      </c>
      <c r="M480" s="135" t="s">
        <v>472</v>
      </c>
      <c r="N480" s="256">
        <v>0.66597222222222219</v>
      </c>
      <c r="O480" s="256">
        <v>0.68055555555555558</v>
      </c>
      <c r="P480" s="256">
        <v>0.68194444444444446</v>
      </c>
      <c r="Q480" s="253">
        <f>IF(WTG_BD[[#This Row],[Work Start TimeStamp]]="","",(WTG_BD[[#This Row],[Work Start TimeStamp]]-WTG_BD[[#This Row],[Fault Start TimeStamp]])*24)</f>
        <v>0.35000000000000142</v>
      </c>
      <c r="R480" s="253">
        <f>(WTG_BD[[#This Row],[Fault Clearance time]]-WTG_BD[[#This Row],[Work Start TimeStamp]])*24</f>
        <v>3.3333333333333215E-2</v>
      </c>
      <c r="S480" s="253">
        <f>(WTG_BD[[#This Row],[Fault Clearance time]]-WTG_BD[[#This Row],[Fault Start TimeStamp]])*24</f>
        <v>0.38333333333333464</v>
      </c>
      <c r="T480" s="135" t="s">
        <v>482</v>
      </c>
      <c r="U480" s="244" t="s">
        <v>474</v>
      </c>
      <c r="V480" s="246">
        <f>WTG_BD[[#This Row],[Breakdown Time]]*(1/39)</f>
        <v>9.8290598290598618E-3</v>
      </c>
      <c r="W480" s="244" t="s">
        <v>131</v>
      </c>
      <c r="X480" s="250">
        <v>231.15000000000077</v>
      </c>
      <c r="Y480" s="135" t="s">
        <v>470</v>
      </c>
      <c r="Z480" s="135" t="s">
        <v>475</v>
      </c>
      <c r="AA480" s="135">
        <v>14472</v>
      </c>
      <c r="AB480" s="249">
        <f>(WTG_BD[[#This Row],[Paired WTG Generation for loss calculation.]]/24)*WTG_BD[[#This Row],[Breakdown Time]]</f>
        <v>231.15000000000077</v>
      </c>
      <c r="AC480" s="135"/>
      <c r="AD480" s="245"/>
      <c r="AE480" s="3"/>
    </row>
    <row r="481" spans="1:31">
      <c r="A481" s="241">
        <f t="shared" si="15"/>
        <v>480</v>
      </c>
      <c r="B481" s="255">
        <v>45784</v>
      </c>
      <c r="C481" s="252">
        <v>2025</v>
      </c>
      <c r="D481" s="252">
        <v>2025</v>
      </c>
      <c r="E481" s="251">
        <f t="shared" si="16"/>
        <v>45778</v>
      </c>
      <c r="F481" s="252" t="s">
        <v>465</v>
      </c>
      <c r="G481" s="248" t="s">
        <v>132</v>
      </c>
      <c r="H481" s="242" t="str">
        <f>IFERROR(VLOOKUP(WTG_BD[[#This Row],[Affected WTG]],'Basic Data'!$A$3:$E$56,2,0),"")</f>
        <v>PWEGPL</v>
      </c>
      <c r="I481" s="242" t="str">
        <f>IFERROR(VLOOKUP(WTG_BD[[#This Row],[Affected WTG]],'Basic Data'!$A$3:$E$56,3,0),"")</f>
        <v>MSEDCL</v>
      </c>
      <c r="J481" s="243">
        <f>IFERROR(VLOOKUP(WTG_BD[[#This Row],[Affected WTG]],'Basic Data'!$A$3:$E$56,5,0),"")</f>
        <v>2.564102564102564E-2</v>
      </c>
      <c r="K481" s="158">
        <v>5205</v>
      </c>
      <c r="L481" s="247" t="str">
        <f>VLOOKUP(K481,'Basic Data'!T:U,2,0)</f>
        <v>Magnetothermic Of The Stator Protection Failure Or Door Open</v>
      </c>
      <c r="M481" s="135" t="s">
        <v>472</v>
      </c>
      <c r="N481" s="256">
        <v>0.66319444444444442</v>
      </c>
      <c r="O481" s="256">
        <v>0.69097222222222221</v>
      </c>
      <c r="P481" s="256">
        <v>0.69722222222222219</v>
      </c>
      <c r="Q481" s="253">
        <f>IF(WTG_BD[[#This Row],[Work Start TimeStamp]]="","",(WTG_BD[[#This Row],[Work Start TimeStamp]]-WTG_BD[[#This Row],[Fault Start TimeStamp]])*24)</f>
        <v>0.66666666666666696</v>
      </c>
      <c r="R481" s="253">
        <f>(WTG_BD[[#This Row],[Fault Clearance time]]-WTG_BD[[#This Row],[Work Start TimeStamp]])*24</f>
        <v>0.14999999999999947</v>
      </c>
      <c r="S481" s="253">
        <f>(WTG_BD[[#This Row],[Fault Clearance time]]-WTG_BD[[#This Row],[Fault Start TimeStamp]])*24</f>
        <v>0.81666666666666643</v>
      </c>
      <c r="T481" s="135" t="s">
        <v>482</v>
      </c>
      <c r="U481" s="244" t="s">
        <v>474</v>
      </c>
      <c r="V481" s="246">
        <f>WTG_BD[[#This Row],[Breakdown Time]]*(1/39)</f>
        <v>2.0940170940170932E-2</v>
      </c>
      <c r="W481" s="244" t="s">
        <v>133</v>
      </c>
      <c r="X481" s="250">
        <v>494.59374999999983</v>
      </c>
      <c r="Y481" s="135" t="s">
        <v>470</v>
      </c>
      <c r="Z481" s="135" t="s">
        <v>475</v>
      </c>
      <c r="AA481" s="135">
        <v>14535</v>
      </c>
      <c r="AB481" s="249">
        <f>(WTG_BD[[#This Row],[Paired WTG Generation for loss calculation.]]/24)*WTG_BD[[#This Row],[Breakdown Time]]</f>
        <v>494.59374999999983</v>
      </c>
      <c r="AC481" s="135"/>
      <c r="AD481" s="245"/>
      <c r="AE481" s="3"/>
    </row>
    <row r="482" spans="1:31">
      <c r="A482" s="241">
        <f t="shared" si="15"/>
        <v>481</v>
      </c>
      <c r="B482" s="255">
        <v>45784</v>
      </c>
      <c r="C482" s="252">
        <v>2025</v>
      </c>
      <c r="D482" s="252">
        <v>2025</v>
      </c>
      <c r="E482" s="251">
        <f t="shared" si="16"/>
        <v>45778</v>
      </c>
      <c r="F482" s="252" t="s">
        <v>465</v>
      </c>
      <c r="G482" s="248" t="s">
        <v>135</v>
      </c>
      <c r="H482" s="242" t="str">
        <f>IFERROR(VLOOKUP(WTG_BD[[#This Row],[Affected WTG]],'Basic Data'!$A$3:$E$56,2,0),"")</f>
        <v>PWEGPL</v>
      </c>
      <c r="I482" s="242" t="str">
        <f>IFERROR(VLOOKUP(WTG_BD[[#This Row],[Affected WTG]],'Basic Data'!$A$3:$E$56,3,0),"")</f>
        <v>MSEDCL</v>
      </c>
      <c r="J482" s="243">
        <f>IFERROR(VLOOKUP(WTG_BD[[#This Row],[Affected WTG]],'Basic Data'!$A$3:$E$56,5,0),"")</f>
        <v>2.564102564102564E-2</v>
      </c>
      <c r="K482" s="158">
        <v>5219</v>
      </c>
      <c r="L482" s="247" t="str">
        <f>VLOOKUP(K482,'Basic Data'!T:U,2,0)</f>
        <v>Coolant Of The Coolant Circuit Failure</v>
      </c>
      <c r="M482" s="135" t="s">
        <v>472</v>
      </c>
      <c r="N482" s="256">
        <v>0.69027777777777777</v>
      </c>
      <c r="O482" s="256">
        <v>0.78472222222222221</v>
      </c>
      <c r="P482" s="256">
        <v>0.78611111111111109</v>
      </c>
      <c r="Q482" s="253">
        <f>IF(WTG_BD[[#This Row],[Work Start TimeStamp]]="","",(WTG_BD[[#This Row],[Work Start TimeStamp]]-WTG_BD[[#This Row],[Fault Start TimeStamp]])*24)</f>
        <v>2.2666666666666666</v>
      </c>
      <c r="R482" s="253">
        <f>(WTG_BD[[#This Row],[Fault Clearance time]]-WTG_BD[[#This Row],[Work Start TimeStamp]])*24</f>
        <v>3.3333333333333215E-2</v>
      </c>
      <c r="S482" s="253">
        <f>(WTG_BD[[#This Row],[Fault Clearance time]]-WTG_BD[[#This Row],[Fault Start TimeStamp]])*24</f>
        <v>2.2999999999999998</v>
      </c>
      <c r="T482" s="135" t="s">
        <v>482</v>
      </c>
      <c r="U482" s="244" t="s">
        <v>474</v>
      </c>
      <c r="V482" s="246">
        <f>WTG_BD[[#This Row],[Breakdown Time]]*(1/39)</f>
        <v>5.8974358974358966E-2</v>
      </c>
      <c r="W482" s="244" t="s">
        <v>136</v>
      </c>
      <c r="X482" s="250">
        <v>434.89166666666665</v>
      </c>
      <c r="Y482" s="135" t="s">
        <v>470</v>
      </c>
      <c r="Z482" s="135" t="s">
        <v>475</v>
      </c>
      <c r="AA482" s="135">
        <v>4538</v>
      </c>
      <c r="AB482" s="249">
        <f>(WTG_BD[[#This Row],[Paired WTG Generation for loss calculation.]]/24)*WTG_BD[[#This Row],[Breakdown Time]]</f>
        <v>434.89166666666665</v>
      </c>
      <c r="AC482" s="135"/>
      <c r="AD482" s="245"/>
      <c r="AE482" s="3"/>
    </row>
    <row r="483" spans="1:31">
      <c r="A483" s="241">
        <f t="shared" si="15"/>
        <v>482</v>
      </c>
      <c r="B483" s="255">
        <v>45784</v>
      </c>
      <c r="C483" s="252">
        <v>2025</v>
      </c>
      <c r="D483" s="252">
        <v>2025</v>
      </c>
      <c r="E483" s="251">
        <f t="shared" si="16"/>
        <v>45778</v>
      </c>
      <c r="F483" s="252" t="s">
        <v>465</v>
      </c>
      <c r="G483" s="248" t="s">
        <v>136</v>
      </c>
      <c r="H483" s="242" t="str">
        <f>IFERROR(VLOOKUP(WTG_BD[[#This Row],[Affected WTG]],'Basic Data'!$A$3:$E$56,2,0),"")</f>
        <v>PWEGPL</v>
      </c>
      <c r="I483" s="242" t="str">
        <f>IFERROR(VLOOKUP(WTG_BD[[#This Row],[Affected WTG]],'Basic Data'!$A$3:$E$56,3,0),"")</f>
        <v>MSEDCL</v>
      </c>
      <c r="J483" s="243">
        <f>IFERROR(VLOOKUP(WTG_BD[[#This Row],[Affected WTG]],'Basic Data'!$A$3:$E$56,5,0),"")</f>
        <v>2.564102564102564E-2</v>
      </c>
      <c r="K483" s="158">
        <v>5203</v>
      </c>
      <c r="L483" s="247" t="str">
        <f>VLOOKUP(K483,'Basic Data'!T:U,2,0)</f>
        <v>Heating/Coolant Thermal Magnetic Failure</v>
      </c>
      <c r="M483" s="135" t="s">
        <v>472</v>
      </c>
      <c r="N483" s="256">
        <v>0.64583333333333337</v>
      </c>
      <c r="O483" s="256">
        <v>0.6958333333333333</v>
      </c>
      <c r="P483" s="256">
        <v>0.8</v>
      </c>
      <c r="Q483" s="253">
        <f>IF(WTG_BD[[#This Row],[Work Start TimeStamp]]="","",(WTG_BD[[#This Row],[Work Start TimeStamp]]-WTG_BD[[#This Row],[Fault Start TimeStamp]])*24)</f>
        <v>1.1999999999999984</v>
      </c>
      <c r="R483" s="253">
        <f>(WTG_BD[[#This Row],[Fault Clearance time]]-WTG_BD[[#This Row],[Work Start TimeStamp]])*24</f>
        <v>2.5000000000000018</v>
      </c>
      <c r="S483" s="253">
        <f>(WTG_BD[[#This Row],[Fault Clearance time]]-WTG_BD[[#This Row],[Fault Start TimeStamp]])*24</f>
        <v>3.7</v>
      </c>
      <c r="T483" s="135" t="s">
        <v>577</v>
      </c>
      <c r="U483" s="244" t="s">
        <v>474</v>
      </c>
      <c r="V483" s="246">
        <f>WTG_BD[[#This Row],[Breakdown Time]]*(1/39)</f>
        <v>9.4871794871794868E-2</v>
      </c>
      <c r="W483" s="244" t="s">
        <v>119</v>
      </c>
      <c r="X483" s="250">
        <v>1304.4041666666667</v>
      </c>
      <c r="Y483" s="135" t="s">
        <v>470</v>
      </c>
      <c r="Z483" s="135" t="s">
        <v>475</v>
      </c>
      <c r="AA483" s="135">
        <v>8461</v>
      </c>
      <c r="AB483" s="249">
        <f>(WTG_BD[[#This Row],[Paired WTG Generation for loss calculation.]]/24)*WTG_BD[[#This Row],[Breakdown Time]]</f>
        <v>1304.4041666666667</v>
      </c>
      <c r="AC483" s="135"/>
      <c r="AD483" s="245"/>
      <c r="AE483" s="3"/>
    </row>
    <row r="484" spans="1:31">
      <c r="A484" s="241">
        <f t="shared" si="15"/>
        <v>483</v>
      </c>
      <c r="B484" s="255">
        <v>45784</v>
      </c>
      <c r="C484" s="252">
        <v>2025</v>
      </c>
      <c r="D484" s="252">
        <v>2025</v>
      </c>
      <c r="E484" s="251">
        <f t="shared" si="16"/>
        <v>45778</v>
      </c>
      <c r="F484" s="252" t="s">
        <v>465</v>
      </c>
      <c r="G484" s="248" t="s">
        <v>137</v>
      </c>
      <c r="H484" s="242" t="str">
        <f>IFERROR(VLOOKUP(WTG_BD[[#This Row],[Affected WTG]],'Basic Data'!$A$3:$E$56,2,0),"")</f>
        <v>PWEGPL</v>
      </c>
      <c r="I484" s="242" t="str">
        <f>IFERROR(VLOOKUP(WTG_BD[[#This Row],[Affected WTG]],'Basic Data'!$A$3:$E$56,3,0),"")</f>
        <v>MSEDCL</v>
      </c>
      <c r="J484" s="243">
        <f>IFERROR(VLOOKUP(WTG_BD[[#This Row],[Affected WTG]],'Basic Data'!$A$3:$E$56,5,0),"")</f>
        <v>2.564102564102564E-2</v>
      </c>
      <c r="K484" s="158">
        <v>2118</v>
      </c>
      <c r="L484" s="247" t="str">
        <f>VLOOKUP(K484,'Basic Data'!T:U,2,0)</f>
        <v>Bus Error - Interbus Failure</v>
      </c>
      <c r="M484" s="135" t="s">
        <v>472</v>
      </c>
      <c r="N484" s="256">
        <v>0.65972222222222221</v>
      </c>
      <c r="O484" s="256">
        <v>0.79097222222222219</v>
      </c>
      <c r="P484" s="256">
        <v>0.79236111111111107</v>
      </c>
      <c r="Q484" s="253">
        <f>IF(WTG_BD[[#This Row],[Work Start TimeStamp]]="","",(WTG_BD[[#This Row],[Work Start TimeStamp]]-WTG_BD[[#This Row],[Fault Start TimeStamp]])*24)</f>
        <v>3.1499999999999995</v>
      </c>
      <c r="R484" s="253">
        <f>(WTG_BD[[#This Row],[Fault Clearance time]]-WTG_BD[[#This Row],[Work Start TimeStamp]])*24</f>
        <v>3.3333333333333215E-2</v>
      </c>
      <c r="S484" s="253">
        <f>(WTG_BD[[#This Row],[Fault Clearance time]]-WTG_BD[[#This Row],[Fault Start TimeStamp]])*24</f>
        <v>3.1833333333333327</v>
      </c>
      <c r="T484" s="135" t="s">
        <v>482</v>
      </c>
      <c r="U484" s="244" t="s">
        <v>474</v>
      </c>
      <c r="V484" s="246">
        <f>WTG_BD[[#This Row],[Breakdown Time]]*(1/39)</f>
        <v>8.1623931623931598E-2</v>
      </c>
      <c r="W484" s="244" t="s">
        <v>119</v>
      </c>
      <c r="X484" s="250">
        <v>1122.2576388888888</v>
      </c>
      <c r="Y484" s="135" t="s">
        <v>470</v>
      </c>
      <c r="Z484" s="135" t="s">
        <v>475</v>
      </c>
      <c r="AA484" s="135">
        <v>8461</v>
      </c>
      <c r="AB484" s="249">
        <f>(WTG_BD[[#This Row],[Paired WTG Generation for loss calculation.]]/24)*WTG_BD[[#This Row],[Breakdown Time]]</f>
        <v>1122.2576388888888</v>
      </c>
      <c r="AC484" s="135"/>
      <c r="AD484" s="245"/>
      <c r="AE484" s="3"/>
    </row>
    <row r="485" spans="1:31">
      <c r="A485" s="241">
        <f t="shared" si="15"/>
        <v>484</v>
      </c>
      <c r="B485" s="255">
        <v>45784</v>
      </c>
      <c r="C485" s="252">
        <v>2025</v>
      </c>
      <c r="D485" s="252">
        <v>2025</v>
      </c>
      <c r="E485" s="251">
        <f t="shared" si="16"/>
        <v>45778</v>
      </c>
      <c r="F485" s="252" t="s">
        <v>465</v>
      </c>
      <c r="G485" s="248" t="s">
        <v>138</v>
      </c>
      <c r="H485" s="242" t="str">
        <f>IFERROR(VLOOKUP(WTG_BD[[#This Row],[Affected WTG]],'Basic Data'!$A$3:$E$56,2,0),"")</f>
        <v>PWEGPL</v>
      </c>
      <c r="I485" s="242" t="str">
        <f>IFERROR(VLOOKUP(WTG_BD[[#This Row],[Affected WTG]],'Basic Data'!$A$3:$E$56,3,0),"")</f>
        <v>MSEDCL</v>
      </c>
      <c r="J485" s="243">
        <f>IFERROR(VLOOKUP(WTG_BD[[#This Row],[Affected WTG]],'Basic Data'!$A$3:$E$56,5,0),"")</f>
        <v>2.564102564102564E-2</v>
      </c>
      <c r="K485" s="158" t="s">
        <v>466</v>
      </c>
      <c r="L485" s="247" t="str">
        <f>VLOOKUP(K485,'Basic Data'!T:U,2,0)</f>
        <v>Manual Stop - Safety Related</v>
      </c>
      <c r="M485" s="135" t="s">
        <v>467</v>
      </c>
      <c r="N485" s="256">
        <v>0.47916666666666669</v>
      </c>
      <c r="O485" s="256">
        <v>0.47916666666666669</v>
      </c>
      <c r="P485" s="256">
        <v>0.61597222222222225</v>
      </c>
      <c r="Q485" s="253">
        <f>IF(WTG_BD[[#This Row],[Work Start TimeStamp]]="","",(WTG_BD[[#This Row],[Work Start TimeStamp]]-WTG_BD[[#This Row],[Fault Start TimeStamp]])*24)</f>
        <v>0</v>
      </c>
      <c r="R485" s="253">
        <f>(WTG_BD[[#This Row],[Fault Clearance time]]-WTG_BD[[#This Row],[Work Start TimeStamp]])*24</f>
        <v>3.2833333333333337</v>
      </c>
      <c r="S485" s="253">
        <f>(WTG_BD[[#This Row],[Fault Clearance time]]-WTG_BD[[#This Row],[Fault Start TimeStamp]])*24</f>
        <v>3.2833333333333337</v>
      </c>
      <c r="T485" s="135" t="s">
        <v>503</v>
      </c>
      <c r="U485" s="244" t="s">
        <v>474</v>
      </c>
      <c r="V485" s="246">
        <f>WTG_BD[[#This Row],[Breakdown Time]]*(1/39)</f>
        <v>8.4188034188034194E-2</v>
      </c>
      <c r="W485" s="244" t="s">
        <v>140</v>
      </c>
      <c r="X485" s="250">
        <v>1295.8222222222223</v>
      </c>
      <c r="Y485" s="135" t="s">
        <v>470</v>
      </c>
      <c r="Z485" s="135" t="s">
        <v>471</v>
      </c>
      <c r="AA485" s="135">
        <v>9472</v>
      </c>
      <c r="AB485" s="249">
        <f>(WTG_BD[[#This Row],[Paired WTG Generation for loss calculation.]]/24)*WTG_BD[[#This Row],[Breakdown Time]]</f>
        <v>1295.8222222222223</v>
      </c>
      <c r="AC485" s="135"/>
      <c r="AD485" s="245"/>
      <c r="AE485" s="3"/>
    </row>
    <row r="486" spans="1:31">
      <c r="A486" s="241">
        <f t="shared" si="15"/>
        <v>485</v>
      </c>
      <c r="B486" s="255">
        <v>45784</v>
      </c>
      <c r="C486" s="252">
        <v>2025</v>
      </c>
      <c r="D486" s="252">
        <v>2025</v>
      </c>
      <c r="E486" s="251">
        <f t="shared" si="16"/>
        <v>45778</v>
      </c>
      <c r="F486" s="252" t="s">
        <v>465</v>
      </c>
      <c r="G486" s="248" t="s">
        <v>143</v>
      </c>
      <c r="H486" s="242" t="str">
        <f>IFERROR(VLOOKUP(WTG_BD[[#This Row],[Affected WTG]],'Basic Data'!$A$3:$E$56,2,0),"")</f>
        <v>PWEGPL</v>
      </c>
      <c r="I486" s="242" t="str">
        <f>IFERROR(VLOOKUP(WTG_BD[[#This Row],[Affected WTG]],'Basic Data'!$A$3:$E$56,3,0),"")</f>
        <v>MSEDCL</v>
      </c>
      <c r="J486" s="243">
        <f>IFERROR(VLOOKUP(WTG_BD[[#This Row],[Affected WTG]],'Basic Data'!$A$3:$E$56,5,0),"")</f>
        <v>2.564102564102564E-2</v>
      </c>
      <c r="K486" s="158">
        <v>2118</v>
      </c>
      <c r="L486" s="247" t="str">
        <f>VLOOKUP(K486,'Basic Data'!T:U,2,0)</f>
        <v>Bus Error - Interbus Failure</v>
      </c>
      <c r="M486" s="135" t="s">
        <v>472</v>
      </c>
      <c r="N486" s="256">
        <v>0.70138888888888884</v>
      </c>
      <c r="O486" s="256">
        <v>0.78125</v>
      </c>
      <c r="P486" s="256">
        <v>0.78263888888888888</v>
      </c>
      <c r="Q486" s="253">
        <f>IF(WTG_BD[[#This Row],[Work Start TimeStamp]]="","",(WTG_BD[[#This Row],[Work Start TimeStamp]]-WTG_BD[[#This Row],[Fault Start TimeStamp]])*24)</f>
        <v>1.9166666666666679</v>
      </c>
      <c r="R486" s="253">
        <f>(WTG_BD[[#This Row],[Fault Clearance time]]-WTG_BD[[#This Row],[Work Start TimeStamp]])*24</f>
        <v>3.3333333333333215E-2</v>
      </c>
      <c r="S486" s="253">
        <f>(WTG_BD[[#This Row],[Fault Clearance time]]-WTG_BD[[#This Row],[Fault Start TimeStamp]])*24</f>
        <v>1.9500000000000011</v>
      </c>
      <c r="T486" s="135" t="s">
        <v>482</v>
      </c>
      <c r="U486" s="244" t="s">
        <v>474</v>
      </c>
      <c r="V486" s="246">
        <f>WTG_BD[[#This Row],[Breakdown Time]]*(1/39)</f>
        <v>5.0000000000000024E-2</v>
      </c>
      <c r="W486" s="244" t="s">
        <v>141</v>
      </c>
      <c r="X486" s="250">
        <v>768.05625000000043</v>
      </c>
      <c r="Y486" s="135" t="s">
        <v>470</v>
      </c>
      <c r="Z486" s="135" t="s">
        <v>475</v>
      </c>
      <c r="AA486" s="135">
        <v>9453</v>
      </c>
      <c r="AB486" s="249">
        <f>(WTG_BD[[#This Row],[Paired WTG Generation for loss calculation.]]/24)*WTG_BD[[#This Row],[Breakdown Time]]</f>
        <v>768.05625000000043</v>
      </c>
      <c r="AC486" s="135"/>
      <c r="AD486" s="245"/>
      <c r="AE486" s="3"/>
    </row>
    <row r="487" spans="1:31">
      <c r="A487" s="241">
        <f t="shared" si="15"/>
        <v>486</v>
      </c>
      <c r="B487" s="255">
        <v>45784</v>
      </c>
      <c r="C487" s="252">
        <v>2025</v>
      </c>
      <c r="D487" s="252">
        <v>2025</v>
      </c>
      <c r="E487" s="251">
        <f t="shared" si="16"/>
        <v>45778</v>
      </c>
      <c r="F487" s="252" t="s">
        <v>465</v>
      </c>
      <c r="G487" s="248" t="s">
        <v>147</v>
      </c>
      <c r="H487" s="242" t="str">
        <f>IFERROR(VLOOKUP(WTG_BD[[#This Row],[Affected WTG]],'Basic Data'!$A$3:$E$56,2,0),"")</f>
        <v>PWEGPL</v>
      </c>
      <c r="I487" s="242" t="str">
        <f>IFERROR(VLOOKUP(WTG_BD[[#This Row],[Affected WTG]],'Basic Data'!$A$3:$E$56,3,0),"")</f>
        <v>MSEDCL</v>
      </c>
      <c r="J487" s="243">
        <f>IFERROR(VLOOKUP(WTG_BD[[#This Row],[Affected WTG]],'Basic Data'!$A$3:$E$56,5,0),"")</f>
        <v>2.564102564102564E-2</v>
      </c>
      <c r="K487" s="158">
        <v>2118</v>
      </c>
      <c r="L487" s="247" t="str">
        <f>VLOOKUP(K487,'Basic Data'!T:U,2,0)</f>
        <v>Bus Error - Interbus Failure</v>
      </c>
      <c r="M487" s="135" t="s">
        <v>472</v>
      </c>
      <c r="N487" s="256">
        <v>0.70694444444444449</v>
      </c>
      <c r="O487" s="256">
        <v>0.79166666666666663</v>
      </c>
      <c r="P487" s="256">
        <v>0.79305555555555551</v>
      </c>
      <c r="Q487" s="253">
        <f>IF(WTG_BD[[#This Row],[Work Start TimeStamp]]="","",(WTG_BD[[#This Row],[Work Start TimeStamp]]-WTG_BD[[#This Row],[Fault Start TimeStamp]])*24)</f>
        <v>2.0333333333333314</v>
      </c>
      <c r="R487" s="253">
        <f>(WTG_BD[[#This Row],[Fault Clearance time]]-WTG_BD[[#This Row],[Work Start TimeStamp]])*24</f>
        <v>3.3333333333333215E-2</v>
      </c>
      <c r="S487" s="253">
        <f>(WTG_BD[[#This Row],[Fault Clearance time]]-WTG_BD[[#This Row],[Fault Start TimeStamp]])*24</f>
        <v>2.0666666666666647</v>
      </c>
      <c r="T487" s="135" t="s">
        <v>482</v>
      </c>
      <c r="U487" s="244" t="s">
        <v>474</v>
      </c>
      <c r="V487" s="246">
        <f>WTG_BD[[#This Row],[Breakdown Time]]*(1/39)</f>
        <v>5.2991452991452935E-2</v>
      </c>
      <c r="W487" s="244" t="s">
        <v>146</v>
      </c>
      <c r="X487" s="250">
        <v>412.47222222222183</v>
      </c>
      <c r="Y487" s="135" t="s">
        <v>470</v>
      </c>
      <c r="Z487" s="135" t="s">
        <v>475</v>
      </c>
      <c r="AA487" s="135">
        <v>4790</v>
      </c>
      <c r="AB487" s="249">
        <f>(WTG_BD[[#This Row],[Paired WTG Generation for loss calculation.]]/24)*WTG_BD[[#This Row],[Breakdown Time]]</f>
        <v>412.47222222222183</v>
      </c>
      <c r="AC487" s="135"/>
      <c r="AD487" s="245"/>
      <c r="AE487" s="3"/>
    </row>
    <row r="488" spans="1:31">
      <c r="A488" s="241">
        <f t="shared" si="15"/>
        <v>487</v>
      </c>
      <c r="B488" s="255">
        <v>45784</v>
      </c>
      <c r="C488" s="252">
        <v>2025</v>
      </c>
      <c r="D488" s="252">
        <v>2025</v>
      </c>
      <c r="E488" s="251">
        <f t="shared" si="16"/>
        <v>45778</v>
      </c>
      <c r="F488" s="252" t="s">
        <v>465</v>
      </c>
      <c r="G488" s="248" t="s">
        <v>150</v>
      </c>
      <c r="H488" s="242" t="str">
        <f>IFERROR(VLOOKUP(WTG_BD[[#This Row],[Affected WTG]],'Basic Data'!$A$3:$E$56,2,0),"")</f>
        <v>PWEGPL</v>
      </c>
      <c r="I488" s="242" t="str">
        <f>IFERROR(VLOOKUP(WTG_BD[[#This Row],[Affected WTG]],'Basic Data'!$A$3:$E$56,3,0),"")</f>
        <v>MSEDCL</v>
      </c>
      <c r="J488" s="243">
        <f>IFERROR(VLOOKUP(WTG_BD[[#This Row],[Affected WTG]],'Basic Data'!$A$3:$E$56,5,0),"")</f>
        <v>2.564102564102564E-2</v>
      </c>
      <c r="K488" s="158">
        <v>205</v>
      </c>
      <c r="L488" s="247" t="str">
        <f>VLOOKUP(K488,'Basic Data'!T:U,2,0)</f>
        <v>Low Level Hydraulic Group Refrigeration Oil</v>
      </c>
      <c r="M488" s="135" t="s">
        <v>472</v>
      </c>
      <c r="N488" s="256">
        <v>0.6791666666666667</v>
      </c>
      <c r="O488" s="256">
        <v>0.80208333333333337</v>
      </c>
      <c r="P488" s="256">
        <v>0.80347222222222225</v>
      </c>
      <c r="Q488" s="253">
        <f>IF(WTG_BD[[#This Row],[Work Start TimeStamp]]="","",(WTG_BD[[#This Row],[Work Start TimeStamp]]-WTG_BD[[#This Row],[Fault Start TimeStamp]])*24)</f>
        <v>2.95</v>
      </c>
      <c r="R488" s="253">
        <f>(WTG_BD[[#This Row],[Fault Clearance time]]-WTG_BD[[#This Row],[Work Start TimeStamp]])*24</f>
        <v>3.3333333333333215E-2</v>
      </c>
      <c r="S488" s="253">
        <f>(WTG_BD[[#This Row],[Fault Clearance time]]-WTG_BD[[#This Row],[Fault Start TimeStamp]])*24</f>
        <v>2.9833333333333334</v>
      </c>
      <c r="T488" s="135" t="s">
        <v>473</v>
      </c>
      <c r="U488" s="244" t="s">
        <v>474</v>
      </c>
      <c r="V488" s="246">
        <f>WTG_BD[[#This Row],[Breakdown Time]]*(1/39)</f>
        <v>7.6495726495726502E-2</v>
      </c>
      <c r="W488" s="244" t="s">
        <v>149</v>
      </c>
      <c r="X488" s="250">
        <v>591.94305555555559</v>
      </c>
      <c r="Y488" s="135" t="s">
        <v>470</v>
      </c>
      <c r="Z488" s="135" t="s">
        <v>475</v>
      </c>
      <c r="AA488" s="135">
        <v>4762</v>
      </c>
      <c r="AB488" s="249">
        <f>(WTG_BD[[#This Row],[Paired WTG Generation for loss calculation.]]/24)*WTG_BD[[#This Row],[Breakdown Time]]</f>
        <v>591.94305555555559</v>
      </c>
      <c r="AC488" s="135"/>
      <c r="AD488" s="245"/>
      <c r="AE488" s="3"/>
    </row>
    <row r="489" spans="1:31">
      <c r="A489" s="241">
        <f t="shared" si="15"/>
        <v>488</v>
      </c>
      <c r="B489" s="255">
        <v>45784</v>
      </c>
      <c r="C489" s="252">
        <v>2025</v>
      </c>
      <c r="D489" s="252">
        <v>2025</v>
      </c>
      <c r="E489" s="251">
        <f t="shared" si="16"/>
        <v>45778</v>
      </c>
      <c r="F489" s="252" t="s">
        <v>465</v>
      </c>
      <c r="G489" s="248" t="s">
        <v>151</v>
      </c>
      <c r="H489" s="242" t="str">
        <f>IFERROR(VLOOKUP(WTG_BD[[#This Row],[Affected WTG]],'Basic Data'!$A$3:$E$56,2,0),"")</f>
        <v>PWEGPL</v>
      </c>
      <c r="I489" s="242" t="str">
        <f>IFERROR(VLOOKUP(WTG_BD[[#This Row],[Affected WTG]],'Basic Data'!$A$3:$E$56,3,0),"")</f>
        <v>MSEDCL</v>
      </c>
      <c r="J489" s="243">
        <f>IFERROR(VLOOKUP(WTG_BD[[#This Row],[Affected WTG]],'Basic Data'!$A$3:$E$56,5,0),"")</f>
        <v>2.564102564102564E-2</v>
      </c>
      <c r="K489" s="158" t="s">
        <v>549</v>
      </c>
      <c r="L489" s="247" t="str">
        <f>VLOOKUP(K489,'Basic Data'!T:U,2,0)</f>
        <v>Manual Stop - Preventive Maintenance Activity</v>
      </c>
      <c r="M489" s="135" t="s">
        <v>550</v>
      </c>
      <c r="N489" s="256">
        <v>0.47916666666666669</v>
      </c>
      <c r="O489" s="256">
        <v>0.47916666666666669</v>
      </c>
      <c r="P489" s="256">
        <v>0.7416666666666667</v>
      </c>
      <c r="Q489" s="253">
        <f>IF(WTG_BD[[#This Row],[Work Start TimeStamp]]="","",(WTG_BD[[#This Row],[Work Start TimeStamp]]-WTG_BD[[#This Row],[Fault Start TimeStamp]])*24)</f>
        <v>0</v>
      </c>
      <c r="R489" s="253">
        <f>(WTG_BD[[#This Row],[Fault Clearance time]]-WTG_BD[[#This Row],[Work Start TimeStamp]])*24</f>
        <v>6.3000000000000007</v>
      </c>
      <c r="S489" s="253">
        <f>(WTG_BD[[#This Row],[Fault Clearance time]]-WTG_BD[[#This Row],[Fault Start TimeStamp]])*24</f>
        <v>6.3000000000000007</v>
      </c>
      <c r="T489" s="135" t="s">
        <v>555</v>
      </c>
      <c r="U489" s="244" t="s">
        <v>474</v>
      </c>
      <c r="V489" s="246">
        <f>WTG_BD[[#This Row],[Breakdown Time]]*(1/39)</f>
        <v>0.16153846153846155</v>
      </c>
      <c r="W489" s="244" t="s">
        <v>152</v>
      </c>
      <c r="X489" s="250">
        <v>1783.4250000000002</v>
      </c>
      <c r="Y489" s="135" t="s">
        <v>470</v>
      </c>
      <c r="Z489" s="135" t="s">
        <v>552</v>
      </c>
      <c r="AA489" s="135">
        <v>6794</v>
      </c>
      <c r="AB489" s="249">
        <f>(WTG_BD[[#This Row],[Paired WTG Generation for loss calculation.]]/24)*WTG_BD[[#This Row],[Breakdown Time]]</f>
        <v>1783.4250000000002</v>
      </c>
      <c r="AC489" s="135"/>
      <c r="AD489" s="245"/>
      <c r="AE489" s="3"/>
    </row>
    <row r="490" spans="1:31">
      <c r="A490" s="241">
        <f t="shared" si="15"/>
        <v>489</v>
      </c>
      <c r="B490" s="255">
        <v>45785</v>
      </c>
      <c r="C490" s="252">
        <v>2025</v>
      </c>
      <c r="D490" s="252">
        <v>2025</v>
      </c>
      <c r="E490" s="251">
        <f t="shared" si="16"/>
        <v>45778</v>
      </c>
      <c r="F490" s="252" t="s">
        <v>465</v>
      </c>
      <c r="G490" s="248" t="s">
        <v>144</v>
      </c>
      <c r="H490" s="242" t="str">
        <f>IFERROR(VLOOKUP(WTG_BD[[#This Row],[Affected WTG]],'Basic Data'!$A$3:$E$56,2,0),"")</f>
        <v>PWEGPL</v>
      </c>
      <c r="I490" s="242" t="str">
        <f>IFERROR(VLOOKUP(WTG_BD[[#This Row],[Affected WTG]],'Basic Data'!$A$3:$E$56,3,0),"")</f>
        <v>MSEDCL</v>
      </c>
      <c r="J490" s="243">
        <f>IFERROR(VLOOKUP(WTG_BD[[#This Row],[Affected WTG]],'Basic Data'!$A$3:$E$56,5,0),"")</f>
        <v>2.564102564102564E-2</v>
      </c>
      <c r="K490" s="158" t="s">
        <v>466</v>
      </c>
      <c r="L490" s="247" t="str">
        <f>VLOOKUP(K490,'Basic Data'!T:U,2,0)</f>
        <v>Manual Stop - Safety Related</v>
      </c>
      <c r="M490" s="135" t="s">
        <v>467</v>
      </c>
      <c r="N490" s="256">
        <v>0</v>
      </c>
      <c r="O490" s="256">
        <v>0.99930555555555556</v>
      </c>
      <c r="P490" s="256">
        <v>0.99930555555555556</v>
      </c>
      <c r="Q490" s="253">
        <f>IF(WTG_BD[[#This Row],[Work Start TimeStamp]]="","",(WTG_BD[[#This Row],[Work Start TimeStamp]]-WTG_BD[[#This Row],[Fault Start TimeStamp]])*24)</f>
        <v>23.983333333333334</v>
      </c>
      <c r="R490" s="253">
        <f>(WTG_BD[[#This Row],[Fault Clearance time]]-WTG_BD[[#This Row],[Work Start TimeStamp]])*24</f>
        <v>0</v>
      </c>
      <c r="S490" s="253">
        <f>(WTG_BD[[#This Row],[Fault Clearance time]]-WTG_BD[[#This Row],[Fault Start TimeStamp]])*24</f>
        <v>23.983333333333334</v>
      </c>
      <c r="T490" s="135" t="s">
        <v>468</v>
      </c>
      <c r="U490" s="244" t="s">
        <v>469</v>
      </c>
      <c r="V490" s="246">
        <f>WTG_BD[[#This Row],[Breakdown Time]]*(1/39)</f>
        <v>0.61495726495726499</v>
      </c>
      <c r="W490" s="244" t="s">
        <v>141</v>
      </c>
      <c r="X490" s="250">
        <v>7363.8826388888892</v>
      </c>
      <c r="Y490" s="135" t="s">
        <v>470</v>
      </c>
      <c r="Z490" s="135" t="s">
        <v>471</v>
      </c>
      <c r="AA490" s="135">
        <v>7369</v>
      </c>
      <c r="AB490" s="249">
        <f>(WTG_BD[[#This Row],[Paired WTG Generation for loss calculation.]]/24)*WTG_BD[[#This Row],[Breakdown Time]]</f>
        <v>7363.8826388888892</v>
      </c>
      <c r="AC490" s="135"/>
      <c r="AD490" s="245"/>
      <c r="AE490" s="3"/>
    </row>
    <row r="491" spans="1:31">
      <c r="A491" s="241">
        <f t="shared" si="15"/>
        <v>490</v>
      </c>
      <c r="B491" s="255">
        <v>45785</v>
      </c>
      <c r="C491" s="252">
        <v>2025</v>
      </c>
      <c r="D491" s="252">
        <v>2025</v>
      </c>
      <c r="E491" s="251">
        <f t="shared" si="16"/>
        <v>45778</v>
      </c>
      <c r="F491" s="252" t="s">
        <v>465</v>
      </c>
      <c r="G491" s="248" t="s">
        <v>142</v>
      </c>
      <c r="H491" s="242" t="str">
        <f>IFERROR(VLOOKUP(WTG_BD[[#This Row],[Affected WTG]],'Basic Data'!$A$3:$E$56,2,0),"")</f>
        <v>PWEGPL</v>
      </c>
      <c r="I491" s="242" t="str">
        <f>IFERROR(VLOOKUP(WTG_BD[[#This Row],[Affected WTG]],'Basic Data'!$A$3:$E$56,3,0),"")</f>
        <v>MSEDCL</v>
      </c>
      <c r="J491" s="243">
        <f>IFERROR(VLOOKUP(WTG_BD[[#This Row],[Affected WTG]],'Basic Data'!$A$3:$E$56,5,0),"")</f>
        <v>2.564102564102564E-2</v>
      </c>
      <c r="K491" s="158" t="s">
        <v>466</v>
      </c>
      <c r="L491" s="247" t="str">
        <f>VLOOKUP(K491,'Basic Data'!T:U,2,0)</f>
        <v>Manual Stop - Safety Related</v>
      </c>
      <c r="M491" s="135" t="s">
        <v>467</v>
      </c>
      <c r="N491" s="256">
        <v>0</v>
      </c>
      <c r="O491" s="256">
        <v>0.99930555555555556</v>
      </c>
      <c r="P491" s="256">
        <v>0.99930555555555556</v>
      </c>
      <c r="Q491" s="253">
        <f>IF(WTG_BD[[#This Row],[Work Start TimeStamp]]="","",(WTG_BD[[#This Row],[Work Start TimeStamp]]-WTG_BD[[#This Row],[Fault Start TimeStamp]])*24)</f>
        <v>23.983333333333334</v>
      </c>
      <c r="R491" s="253">
        <f>(WTG_BD[[#This Row],[Fault Clearance time]]-WTG_BD[[#This Row],[Work Start TimeStamp]])*24</f>
        <v>0</v>
      </c>
      <c r="S491" s="253">
        <f>(WTG_BD[[#This Row],[Fault Clearance time]]-WTG_BD[[#This Row],[Fault Start TimeStamp]])*24</f>
        <v>23.983333333333334</v>
      </c>
      <c r="T491" s="135" t="s">
        <v>468</v>
      </c>
      <c r="U491" s="244" t="s">
        <v>469</v>
      </c>
      <c r="V491" s="246">
        <f>WTG_BD[[#This Row],[Breakdown Time]]*(1/39)</f>
        <v>0.61495726495726499</v>
      </c>
      <c r="W491" s="244" t="s">
        <v>141</v>
      </c>
      <c r="X491" s="250">
        <v>7363.8826388888892</v>
      </c>
      <c r="Y491" s="135" t="s">
        <v>470</v>
      </c>
      <c r="Z491" s="135" t="s">
        <v>471</v>
      </c>
      <c r="AA491" s="135">
        <v>7369</v>
      </c>
      <c r="AB491" s="249">
        <f>(WTG_BD[[#This Row],[Paired WTG Generation for loss calculation.]]/24)*WTG_BD[[#This Row],[Breakdown Time]]</f>
        <v>7363.8826388888892</v>
      </c>
      <c r="AC491" s="135"/>
      <c r="AD491" s="245"/>
      <c r="AE491" s="3"/>
    </row>
    <row r="492" spans="1:31">
      <c r="A492" s="241">
        <f t="shared" si="15"/>
        <v>491</v>
      </c>
      <c r="B492" s="255">
        <v>45785</v>
      </c>
      <c r="C492" s="252">
        <v>2025</v>
      </c>
      <c r="D492" s="252">
        <v>2025</v>
      </c>
      <c r="E492" s="251">
        <f t="shared" si="16"/>
        <v>45778</v>
      </c>
      <c r="F492" s="252" t="s">
        <v>465</v>
      </c>
      <c r="G492" s="248" t="s">
        <v>117</v>
      </c>
      <c r="H492" s="242" t="str">
        <f>IFERROR(VLOOKUP(WTG_BD[[#This Row],[Affected WTG]],'Basic Data'!$A$3:$E$56,2,0),"")</f>
        <v>PWEGPL</v>
      </c>
      <c r="I492" s="242" t="str">
        <f>IFERROR(VLOOKUP(WTG_BD[[#This Row],[Affected WTG]],'Basic Data'!$A$3:$E$56,3,0),"")</f>
        <v>MSEDCL</v>
      </c>
      <c r="J492" s="243">
        <f>IFERROR(VLOOKUP(WTG_BD[[#This Row],[Affected WTG]],'Basic Data'!$A$3:$E$56,5,0),"")</f>
        <v>2.564102564102564E-2</v>
      </c>
      <c r="K492" s="158">
        <v>2118</v>
      </c>
      <c r="L492" s="247" t="str">
        <f>VLOOKUP(K492,'Basic Data'!T:U,2,0)</f>
        <v>Bus Error - Interbus Failure</v>
      </c>
      <c r="M492" s="135" t="s">
        <v>472</v>
      </c>
      <c r="N492" s="256">
        <v>0.54305555555555551</v>
      </c>
      <c r="O492" s="256">
        <v>0.64583333333333337</v>
      </c>
      <c r="P492" s="256">
        <v>0.64722222222222225</v>
      </c>
      <c r="Q492" s="253">
        <f>IF(WTG_BD[[#This Row],[Work Start TimeStamp]]="","",(WTG_BD[[#This Row],[Work Start TimeStamp]]-WTG_BD[[#This Row],[Fault Start TimeStamp]])*24)</f>
        <v>2.4666666666666686</v>
      </c>
      <c r="R492" s="253">
        <f>(WTG_BD[[#This Row],[Fault Clearance time]]-WTG_BD[[#This Row],[Work Start TimeStamp]])*24</f>
        <v>3.3333333333333215E-2</v>
      </c>
      <c r="S492" s="253">
        <f>(WTG_BD[[#This Row],[Fault Clearance time]]-WTG_BD[[#This Row],[Fault Start TimeStamp]])*24</f>
        <v>2.5000000000000018</v>
      </c>
      <c r="T492" s="135" t="s">
        <v>482</v>
      </c>
      <c r="U492" s="244" t="s">
        <v>474</v>
      </c>
      <c r="V492" s="246">
        <f>WTG_BD[[#This Row],[Breakdown Time]]*(1/39)</f>
        <v>6.4102564102564152E-2</v>
      </c>
      <c r="W492" s="244" t="s">
        <v>118</v>
      </c>
      <c r="X492" s="250">
        <v>921.77083333333394</v>
      </c>
      <c r="Y492" s="135" t="s">
        <v>470</v>
      </c>
      <c r="Z492" s="135" t="s">
        <v>475</v>
      </c>
      <c r="AA492" s="135">
        <v>8849</v>
      </c>
      <c r="AB492" s="249">
        <f>(WTG_BD[[#This Row],[Paired WTG Generation for loss calculation.]]/24)*WTG_BD[[#This Row],[Breakdown Time]]</f>
        <v>921.77083333333394</v>
      </c>
      <c r="AC492" s="135"/>
      <c r="AD492" s="245"/>
      <c r="AE492" s="3"/>
    </row>
    <row r="493" spans="1:31">
      <c r="A493" s="241">
        <f t="shared" si="15"/>
        <v>492</v>
      </c>
      <c r="B493" s="255">
        <v>45785</v>
      </c>
      <c r="C493" s="252">
        <v>2025</v>
      </c>
      <c r="D493" s="252">
        <v>2025</v>
      </c>
      <c r="E493" s="251">
        <f t="shared" si="16"/>
        <v>45778</v>
      </c>
      <c r="F493" s="252" t="s">
        <v>465</v>
      </c>
      <c r="G493" s="248" t="s">
        <v>124</v>
      </c>
      <c r="H493" s="242" t="str">
        <f>IFERROR(VLOOKUP(WTG_BD[[#This Row],[Affected WTG]],'Basic Data'!$A$3:$E$56,2,0),"")</f>
        <v>PWEGPL</v>
      </c>
      <c r="I493" s="242" t="str">
        <f>IFERROR(VLOOKUP(WTG_BD[[#This Row],[Affected WTG]],'Basic Data'!$A$3:$E$56,3,0),"")</f>
        <v>MSEDCL</v>
      </c>
      <c r="J493" s="243">
        <f>IFERROR(VLOOKUP(WTG_BD[[#This Row],[Affected WTG]],'Basic Data'!$A$3:$E$56,5,0),"")</f>
        <v>2.564102564102564E-2</v>
      </c>
      <c r="K493" s="158">
        <v>1899</v>
      </c>
      <c r="L493" s="247" t="str">
        <f>VLOOKUP(K493,'Basic Data'!T:U,2,0)</f>
        <v>Automatic Secondaries Not OK</v>
      </c>
      <c r="M493" s="135" t="s">
        <v>472</v>
      </c>
      <c r="N493" s="256">
        <v>0.55208333333333337</v>
      </c>
      <c r="O493" s="256">
        <v>0.62638888888888888</v>
      </c>
      <c r="P493" s="256">
        <v>0.62708333333333333</v>
      </c>
      <c r="Q493" s="253">
        <f>IF(WTG_BD[[#This Row],[Work Start TimeStamp]]="","",(WTG_BD[[#This Row],[Work Start TimeStamp]]-WTG_BD[[#This Row],[Fault Start TimeStamp]])*24)</f>
        <v>1.7833333333333323</v>
      </c>
      <c r="R493" s="253">
        <f>(WTG_BD[[#This Row],[Fault Clearance time]]-WTG_BD[[#This Row],[Work Start TimeStamp]])*24</f>
        <v>1.6666666666666607E-2</v>
      </c>
      <c r="S493" s="253">
        <f>(WTG_BD[[#This Row],[Fault Clearance time]]-WTG_BD[[#This Row],[Fault Start TimeStamp]])*24</f>
        <v>1.7999999999999989</v>
      </c>
      <c r="T493" s="135" t="s">
        <v>473</v>
      </c>
      <c r="U493" s="244" t="s">
        <v>474</v>
      </c>
      <c r="V493" s="246">
        <f>WTG_BD[[#This Row],[Breakdown Time]]*(1/39)</f>
        <v>4.6153846153846122E-2</v>
      </c>
      <c r="W493" s="244" t="s">
        <v>125</v>
      </c>
      <c r="X493" s="250">
        <v>666.74999999999966</v>
      </c>
      <c r="Y493" s="135" t="s">
        <v>470</v>
      </c>
      <c r="Z493" s="135" t="s">
        <v>475</v>
      </c>
      <c r="AA493" s="135">
        <v>8890</v>
      </c>
      <c r="AB493" s="249">
        <f>(WTG_BD[[#This Row],[Paired WTG Generation for loss calculation.]]/24)*WTG_BD[[#This Row],[Breakdown Time]]</f>
        <v>666.74999999999966</v>
      </c>
      <c r="AC493" s="135"/>
      <c r="AD493" s="245"/>
      <c r="AE493" s="3"/>
    </row>
    <row r="494" spans="1:31">
      <c r="A494" s="241">
        <f t="shared" si="15"/>
        <v>493</v>
      </c>
      <c r="B494" s="255">
        <v>45785</v>
      </c>
      <c r="C494" s="252">
        <v>2025</v>
      </c>
      <c r="D494" s="252">
        <v>2025</v>
      </c>
      <c r="E494" s="251">
        <f t="shared" si="16"/>
        <v>45778</v>
      </c>
      <c r="F494" s="252" t="s">
        <v>465</v>
      </c>
      <c r="G494" s="248" t="s">
        <v>136</v>
      </c>
      <c r="H494" s="242" t="str">
        <f>IFERROR(VLOOKUP(WTG_BD[[#This Row],[Affected WTG]],'Basic Data'!$A$3:$E$56,2,0),"")</f>
        <v>PWEGPL</v>
      </c>
      <c r="I494" s="242" t="str">
        <f>IFERROR(VLOOKUP(WTG_BD[[#This Row],[Affected WTG]],'Basic Data'!$A$3:$E$56,3,0),"")</f>
        <v>MSEDCL</v>
      </c>
      <c r="J494" s="243">
        <f>IFERROR(VLOOKUP(WTG_BD[[#This Row],[Affected WTG]],'Basic Data'!$A$3:$E$56,5,0),"")</f>
        <v>2.564102564102564E-2</v>
      </c>
      <c r="K494" s="158">
        <v>5203</v>
      </c>
      <c r="L494" s="247" t="str">
        <f>VLOOKUP(K494,'Basic Data'!T:U,2,0)</f>
        <v>Heating/Coolant Thermal Magnetic Failure</v>
      </c>
      <c r="M494" s="135" t="s">
        <v>472</v>
      </c>
      <c r="N494" s="256">
        <v>0.38194444444444442</v>
      </c>
      <c r="O494" s="256">
        <v>0.40416666666666667</v>
      </c>
      <c r="P494" s="256">
        <v>0.5625</v>
      </c>
      <c r="Q494" s="253">
        <f>IF(WTG_BD[[#This Row],[Work Start TimeStamp]]="","",(WTG_BD[[#This Row],[Work Start TimeStamp]]-WTG_BD[[#This Row],[Fault Start TimeStamp]])*24)</f>
        <v>0.5333333333333341</v>
      </c>
      <c r="R494" s="253">
        <f>(WTG_BD[[#This Row],[Fault Clearance time]]-WTG_BD[[#This Row],[Work Start TimeStamp]])*24</f>
        <v>3.8</v>
      </c>
      <c r="S494" s="253">
        <f>(WTG_BD[[#This Row],[Fault Clearance time]]-WTG_BD[[#This Row],[Fault Start TimeStamp]])*24</f>
        <v>4.3333333333333339</v>
      </c>
      <c r="T494" s="135" t="s">
        <v>578</v>
      </c>
      <c r="U494" s="244" t="s">
        <v>474</v>
      </c>
      <c r="V494" s="246">
        <f>WTG_BD[[#This Row],[Breakdown Time]]*(1/39)</f>
        <v>0.11111111111111112</v>
      </c>
      <c r="W494" s="244" t="s">
        <v>119</v>
      </c>
      <c r="X494" s="250">
        <v>1426.5694444444446</v>
      </c>
      <c r="Y494" s="135" t="s">
        <v>470</v>
      </c>
      <c r="Z494" s="135" t="s">
        <v>475</v>
      </c>
      <c r="AA494" s="135">
        <v>7901</v>
      </c>
      <c r="AB494" s="249">
        <f>(WTG_BD[[#This Row],[Paired WTG Generation for loss calculation.]]/24)*WTG_BD[[#This Row],[Breakdown Time]]</f>
        <v>1426.5694444444446</v>
      </c>
      <c r="AC494" s="135"/>
      <c r="AD494" s="245"/>
      <c r="AE494" s="3"/>
    </row>
    <row r="495" spans="1:31">
      <c r="A495" s="241">
        <f t="shared" si="15"/>
        <v>494</v>
      </c>
      <c r="B495" s="255">
        <v>45785</v>
      </c>
      <c r="C495" s="252">
        <v>2025</v>
      </c>
      <c r="D495" s="252">
        <v>2025</v>
      </c>
      <c r="E495" s="251">
        <f t="shared" si="16"/>
        <v>45778</v>
      </c>
      <c r="F495" s="252" t="s">
        <v>465</v>
      </c>
      <c r="G495" s="248" t="s">
        <v>138</v>
      </c>
      <c r="H495" s="242" t="str">
        <f>IFERROR(VLOOKUP(WTG_BD[[#This Row],[Affected WTG]],'Basic Data'!$A$3:$E$56,2,0),"")</f>
        <v>PWEGPL</v>
      </c>
      <c r="I495" s="242" t="str">
        <f>IFERROR(VLOOKUP(WTG_BD[[#This Row],[Affected WTG]],'Basic Data'!$A$3:$E$56,3,0),"")</f>
        <v>MSEDCL</v>
      </c>
      <c r="J495" s="243">
        <f>IFERROR(VLOOKUP(WTG_BD[[#This Row],[Affected WTG]],'Basic Data'!$A$3:$E$56,5,0),"")</f>
        <v>2.564102564102564E-2</v>
      </c>
      <c r="K495" s="158" t="s">
        <v>523</v>
      </c>
      <c r="L495" s="247" t="str">
        <f>VLOOKUP(K495,'Basic Data'!T:U,2,0)</f>
        <v>Manual Stop</v>
      </c>
      <c r="M495" s="135" t="s">
        <v>573</v>
      </c>
      <c r="N495" s="256">
        <v>0.51249999999999996</v>
      </c>
      <c r="O495" s="256">
        <v>0.51249999999999996</v>
      </c>
      <c r="P495" s="256">
        <v>0.52361111111111114</v>
      </c>
      <c r="Q495" s="253">
        <f>IF(WTG_BD[[#This Row],[Work Start TimeStamp]]="","",(WTG_BD[[#This Row],[Work Start TimeStamp]]-WTG_BD[[#This Row],[Fault Start TimeStamp]])*24)</f>
        <v>0</v>
      </c>
      <c r="R495" s="253">
        <f>(WTG_BD[[#This Row],[Fault Clearance time]]-WTG_BD[[#This Row],[Work Start TimeStamp]])*24</f>
        <v>0.26666666666666838</v>
      </c>
      <c r="S495" s="253">
        <f>(WTG_BD[[#This Row],[Fault Clearance time]]-WTG_BD[[#This Row],[Fault Start TimeStamp]])*24</f>
        <v>0.26666666666666838</v>
      </c>
      <c r="T495" s="135" t="s">
        <v>574</v>
      </c>
      <c r="U495" s="244" t="s">
        <v>474</v>
      </c>
      <c r="V495" s="246">
        <f>WTG_BD[[#This Row],[Breakdown Time]]*(1/39)</f>
        <v>6.837606837606881E-3</v>
      </c>
      <c r="W495" s="244" t="s">
        <v>140</v>
      </c>
      <c r="X495" s="250">
        <v>88.011111111111688</v>
      </c>
      <c r="Y495" s="135" t="s">
        <v>470</v>
      </c>
      <c r="Z495" s="135" t="s">
        <v>498</v>
      </c>
      <c r="AA495" s="135">
        <v>7921</v>
      </c>
      <c r="AB495" s="249">
        <f>(WTG_BD[[#This Row],[Paired WTG Generation for loss calculation.]]/24)*WTG_BD[[#This Row],[Breakdown Time]]</f>
        <v>88.011111111111688</v>
      </c>
      <c r="AC495" s="135"/>
      <c r="AD495" s="245"/>
      <c r="AE495" s="3"/>
    </row>
    <row r="496" spans="1:31">
      <c r="A496" s="241">
        <f t="shared" si="15"/>
        <v>495</v>
      </c>
      <c r="B496" s="255">
        <v>45785</v>
      </c>
      <c r="C496" s="252">
        <v>2025</v>
      </c>
      <c r="D496" s="252">
        <v>2025</v>
      </c>
      <c r="E496" s="251">
        <f t="shared" si="16"/>
        <v>45778</v>
      </c>
      <c r="F496" s="252" t="s">
        <v>465</v>
      </c>
      <c r="G496" s="248" t="s">
        <v>141</v>
      </c>
      <c r="H496" s="242" t="str">
        <f>IFERROR(VLOOKUP(WTG_BD[[#This Row],[Affected WTG]],'Basic Data'!$A$3:$E$56,2,0),"")</f>
        <v>PWEGPL</v>
      </c>
      <c r="I496" s="242" t="str">
        <f>IFERROR(VLOOKUP(WTG_BD[[#This Row],[Affected WTG]],'Basic Data'!$A$3:$E$56,3,0),"")</f>
        <v>MSEDCL</v>
      </c>
      <c r="J496" s="243">
        <f>IFERROR(VLOOKUP(WTG_BD[[#This Row],[Affected WTG]],'Basic Data'!$A$3:$E$56,5,0),"")</f>
        <v>2.564102564102564E-2</v>
      </c>
      <c r="K496" s="158" t="s">
        <v>523</v>
      </c>
      <c r="L496" s="247" t="str">
        <f>VLOOKUP(K496,'Basic Data'!T:U,2,0)</f>
        <v>Manual Stop</v>
      </c>
      <c r="M496" s="135" t="s">
        <v>573</v>
      </c>
      <c r="N496" s="256">
        <v>0.48749999999999999</v>
      </c>
      <c r="O496" s="256">
        <v>0.48749999999999999</v>
      </c>
      <c r="P496" s="256">
        <v>0.50069444444444444</v>
      </c>
      <c r="Q496" s="253">
        <f>IF(WTG_BD[[#This Row],[Work Start TimeStamp]]="","",(WTG_BD[[#This Row],[Work Start TimeStamp]]-WTG_BD[[#This Row],[Fault Start TimeStamp]])*24)</f>
        <v>0</v>
      </c>
      <c r="R496" s="253">
        <f>(WTG_BD[[#This Row],[Fault Clearance time]]-WTG_BD[[#This Row],[Work Start TimeStamp]])*24</f>
        <v>0.31666666666666687</v>
      </c>
      <c r="S496" s="253">
        <f>(WTG_BD[[#This Row],[Fault Clearance time]]-WTG_BD[[#This Row],[Fault Start TimeStamp]])*24</f>
        <v>0.31666666666666687</v>
      </c>
      <c r="T496" s="135" t="s">
        <v>574</v>
      </c>
      <c r="U496" s="244" t="s">
        <v>474</v>
      </c>
      <c r="V496" s="246">
        <f>WTG_BD[[#This Row],[Breakdown Time]]*(1/39)</f>
        <v>8.1196581196581255E-3</v>
      </c>
      <c r="W496" s="244" t="s">
        <v>143</v>
      </c>
      <c r="X496" s="250">
        <v>104.79027777777785</v>
      </c>
      <c r="Y496" s="135" t="s">
        <v>470</v>
      </c>
      <c r="Z496" s="135" t="s">
        <v>498</v>
      </c>
      <c r="AA496" s="135">
        <v>7942</v>
      </c>
      <c r="AB496" s="249">
        <f>(WTG_BD[[#This Row],[Paired WTG Generation for loss calculation.]]/24)*WTG_BD[[#This Row],[Breakdown Time]]</f>
        <v>104.79027777777785</v>
      </c>
      <c r="AC496" s="135"/>
      <c r="AD496" s="245"/>
      <c r="AE496" s="3"/>
    </row>
    <row r="497" spans="1:31">
      <c r="A497" s="241">
        <f t="shared" si="15"/>
        <v>496</v>
      </c>
      <c r="B497" s="255">
        <v>45785</v>
      </c>
      <c r="C497" s="252">
        <v>2025</v>
      </c>
      <c r="D497" s="252">
        <v>2025</v>
      </c>
      <c r="E497" s="251">
        <f t="shared" si="16"/>
        <v>45778</v>
      </c>
      <c r="F497" s="252" t="s">
        <v>465</v>
      </c>
      <c r="G497" s="248" t="s">
        <v>148</v>
      </c>
      <c r="H497" s="242" t="str">
        <f>IFERROR(VLOOKUP(WTG_BD[[#This Row],[Affected WTG]],'Basic Data'!$A$3:$E$56,2,0),"")</f>
        <v>PWEGPL</v>
      </c>
      <c r="I497" s="242" t="str">
        <f>IFERROR(VLOOKUP(WTG_BD[[#This Row],[Affected WTG]],'Basic Data'!$A$3:$E$56,3,0),"")</f>
        <v>MSEDCL</v>
      </c>
      <c r="J497" s="243">
        <f>IFERROR(VLOOKUP(WTG_BD[[#This Row],[Affected WTG]],'Basic Data'!$A$3:$E$56,5,0),"")</f>
        <v>2.564102564102564E-2</v>
      </c>
      <c r="K497" s="158">
        <v>5220</v>
      </c>
      <c r="L497" s="247" t="str">
        <f>VLOOKUP(K497,'Basic Data'!T:U,2,0)</f>
        <v>Encoder Not OK</v>
      </c>
      <c r="M497" s="135" t="s">
        <v>472</v>
      </c>
      <c r="N497" s="256">
        <v>0.40833333333333333</v>
      </c>
      <c r="O497" s="256">
        <v>0.42152777777777778</v>
      </c>
      <c r="P497" s="256">
        <v>0.42222222222222222</v>
      </c>
      <c r="Q497" s="253">
        <f>IF(WTG_BD[[#This Row],[Work Start TimeStamp]]="","",(WTG_BD[[#This Row],[Work Start TimeStamp]]-WTG_BD[[#This Row],[Fault Start TimeStamp]])*24)</f>
        <v>0.31666666666666687</v>
      </c>
      <c r="R497" s="253">
        <f>(WTG_BD[[#This Row],[Fault Clearance time]]-WTG_BD[[#This Row],[Work Start TimeStamp]])*24</f>
        <v>1.6666666666666607E-2</v>
      </c>
      <c r="S497" s="253">
        <f>(WTG_BD[[#This Row],[Fault Clearance time]]-WTG_BD[[#This Row],[Fault Start TimeStamp]])*24</f>
        <v>0.33333333333333348</v>
      </c>
      <c r="T497" s="135" t="s">
        <v>473</v>
      </c>
      <c r="U497" s="244" t="s">
        <v>474</v>
      </c>
      <c r="V497" s="246">
        <f>WTG_BD[[#This Row],[Breakdown Time]]*(1/39)</f>
        <v>8.5470085470085513E-3</v>
      </c>
      <c r="W497" s="244" t="s">
        <v>149</v>
      </c>
      <c r="X497" s="250">
        <v>95.222222222222271</v>
      </c>
      <c r="Y497" s="135" t="s">
        <v>470</v>
      </c>
      <c r="Z497" s="135" t="s">
        <v>475</v>
      </c>
      <c r="AA497" s="135">
        <v>6856</v>
      </c>
      <c r="AB497" s="249">
        <f>(WTG_BD[[#This Row],[Paired WTG Generation for loss calculation.]]/24)*WTG_BD[[#This Row],[Breakdown Time]]</f>
        <v>95.222222222222271</v>
      </c>
      <c r="AC497" s="135"/>
      <c r="AD497" s="245"/>
      <c r="AE497" s="3"/>
    </row>
    <row r="498" spans="1:31">
      <c r="A498" s="241">
        <f t="shared" si="15"/>
        <v>497</v>
      </c>
      <c r="B498" s="255">
        <v>45785</v>
      </c>
      <c r="C498" s="252">
        <v>2025</v>
      </c>
      <c r="D498" s="252">
        <v>2025</v>
      </c>
      <c r="E498" s="251">
        <f t="shared" si="16"/>
        <v>45778</v>
      </c>
      <c r="F498" s="252" t="s">
        <v>465</v>
      </c>
      <c r="G498" s="248" t="s">
        <v>148</v>
      </c>
      <c r="H498" s="242" t="str">
        <f>IFERROR(VLOOKUP(WTG_BD[[#This Row],[Affected WTG]],'Basic Data'!$A$3:$E$56,2,0),"")</f>
        <v>PWEGPL</v>
      </c>
      <c r="I498" s="242" t="str">
        <f>IFERROR(VLOOKUP(WTG_BD[[#This Row],[Affected WTG]],'Basic Data'!$A$3:$E$56,3,0),"")</f>
        <v>MSEDCL</v>
      </c>
      <c r="J498" s="243">
        <f>IFERROR(VLOOKUP(WTG_BD[[#This Row],[Affected WTG]],'Basic Data'!$A$3:$E$56,5,0),"")</f>
        <v>2.564102564102564E-2</v>
      </c>
      <c r="K498" s="158">
        <v>5220</v>
      </c>
      <c r="L498" s="247" t="str">
        <f>VLOOKUP(K498,'Basic Data'!T:U,2,0)</f>
        <v>Encoder Not OK</v>
      </c>
      <c r="M498" s="135" t="s">
        <v>472</v>
      </c>
      <c r="N498" s="256">
        <v>0.54861111111111116</v>
      </c>
      <c r="O498" s="256">
        <v>0.58888888888888891</v>
      </c>
      <c r="P498" s="256">
        <v>0.59027777777777779</v>
      </c>
      <c r="Q498" s="253">
        <f>IF(WTG_BD[[#This Row],[Work Start TimeStamp]]="","",(WTG_BD[[#This Row],[Work Start TimeStamp]]-WTG_BD[[#This Row],[Fault Start TimeStamp]])*24)</f>
        <v>0.9666666666666659</v>
      </c>
      <c r="R498" s="253">
        <f>(WTG_BD[[#This Row],[Fault Clearance time]]-WTG_BD[[#This Row],[Work Start TimeStamp]])*24</f>
        <v>3.3333333333333215E-2</v>
      </c>
      <c r="S498" s="253">
        <f>(WTG_BD[[#This Row],[Fault Clearance time]]-WTG_BD[[#This Row],[Fault Start TimeStamp]])*24</f>
        <v>0.99999999999999911</v>
      </c>
      <c r="T498" s="135" t="s">
        <v>482</v>
      </c>
      <c r="U498" s="244" t="s">
        <v>474</v>
      </c>
      <c r="V498" s="246">
        <f>WTG_BD[[#This Row],[Breakdown Time]]*(1/39)</f>
        <v>2.5641025641025616E-2</v>
      </c>
      <c r="W498" s="244" t="s">
        <v>149</v>
      </c>
      <c r="X498" s="250">
        <v>285.66666666666646</v>
      </c>
      <c r="Y498" s="135" t="s">
        <v>470</v>
      </c>
      <c r="Z498" s="135" t="s">
        <v>475</v>
      </c>
      <c r="AA498" s="135">
        <v>6856</v>
      </c>
      <c r="AB498" s="249">
        <f>(WTG_BD[[#This Row],[Paired WTG Generation for loss calculation.]]/24)*WTG_BD[[#This Row],[Breakdown Time]]</f>
        <v>285.66666666666646</v>
      </c>
      <c r="AC498" s="135"/>
      <c r="AD498" s="245"/>
      <c r="AE498" s="3"/>
    </row>
    <row r="499" spans="1:31">
      <c r="A499" s="241">
        <f t="shared" si="15"/>
        <v>498</v>
      </c>
      <c r="B499" s="255">
        <v>45785</v>
      </c>
      <c r="C499" s="252">
        <v>2025</v>
      </c>
      <c r="D499" s="252">
        <v>2025</v>
      </c>
      <c r="E499" s="251">
        <f t="shared" si="16"/>
        <v>45778</v>
      </c>
      <c r="F499" s="252" t="s">
        <v>465</v>
      </c>
      <c r="G499" s="248" t="s">
        <v>150</v>
      </c>
      <c r="H499" s="242" t="str">
        <f>IFERROR(VLOOKUP(WTG_BD[[#This Row],[Affected WTG]],'Basic Data'!$A$3:$E$56,2,0),"")</f>
        <v>PWEGPL</v>
      </c>
      <c r="I499" s="242" t="str">
        <f>IFERROR(VLOOKUP(WTG_BD[[#This Row],[Affected WTG]],'Basic Data'!$A$3:$E$56,3,0),"")</f>
        <v>MSEDCL</v>
      </c>
      <c r="J499" s="243">
        <f>IFERROR(VLOOKUP(WTG_BD[[#This Row],[Affected WTG]],'Basic Data'!$A$3:$E$56,5,0),"")</f>
        <v>2.564102564102564E-2</v>
      </c>
      <c r="K499" s="158">
        <v>205</v>
      </c>
      <c r="L499" s="247" t="str">
        <f>VLOOKUP(K499,'Basic Data'!T:U,2,0)</f>
        <v>Low Level Hydraulic Group Refrigeration Oil</v>
      </c>
      <c r="M499" s="135" t="s">
        <v>472</v>
      </c>
      <c r="N499" s="256">
        <v>0.41041666666666665</v>
      </c>
      <c r="O499" s="256">
        <v>0.42708333333333331</v>
      </c>
      <c r="P499" s="256">
        <v>0.69236111111111109</v>
      </c>
      <c r="Q499" s="253">
        <f>IF(WTG_BD[[#This Row],[Work Start TimeStamp]]="","",(WTG_BD[[#This Row],[Work Start TimeStamp]]-WTG_BD[[#This Row],[Fault Start TimeStamp]])*24)</f>
        <v>0.39999999999999991</v>
      </c>
      <c r="R499" s="253">
        <f>(WTG_BD[[#This Row],[Fault Clearance time]]-WTG_BD[[#This Row],[Work Start TimeStamp]])*24</f>
        <v>6.3666666666666671</v>
      </c>
      <c r="S499" s="253">
        <f>(WTG_BD[[#This Row],[Fault Clearance time]]-WTG_BD[[#This Row],[Fault Start TimeStamp]])*24</f>
        <v>6.7666666666666666</v>
      </c>
      <c r="T499" s="135" t="s">
        <v>579</v>
      </c>
      <c r="U499" s="244" t="s">
        <v>474</v>
      </c>
      <c r="V499" s="246">
        <f>WTG_BD[[#This Row],[Breakdown Time]]*(1/39)</f>
        <v>0.1735042735042735</v>
      </c>
      <c r="W499" s="244" t="s">
        <v>149</v>
      </c>
      <c r="X499" s="250">
        <v>1933.0111111111112</v>
      </c>
      <c r="Y499" s="135" t="s">
        <v>470</v>
      </c>
      <c r="Z499" s="135" t="s">
        <v>475</v>
      </c>
      <c r="AA499" s="135">
        <v>6856</v>
      </c>
      <c r="AB499" s="249">
        <f>(WTG_BD[[#This Row],[Paired WTG Generation for loss calculation.]]/24)*WTG_BD[[#This Row],[Breakdown Time]]</f>
        <v>1933.0111111111112</v>
      </c>
      <c r="AC499" s="135"/>
      <c r="AD499" s="245"/>
      <c r="AE499" s="3"/>
    </row>
    <row r="500" spans="1:31">
      <c r="A500" s="241">
        <f t="shared" si="15"/>
        <v>499</v>
      </c>
      <c r="B500" s="255">
        <v>45785</v>
      </c>
      <c r="C500" s="252">
        <v>2025</v>
      </c>
      <c r="D500" s="252">
        <v>2025</v>
      </c>
      <c r="E500" s="251">
        <f t="shared" si="16"/>
        <v>45778</v>
      </c>
      <c r="F500" s="252" t="s">
        <v>465</v>
      </c>
      <c r="G500" s="248" t="s">
        <v>152</v>
      </c>
      <c r="H500" s="242" t="str">
        <f>IFERROR(VLOOKUP(WTG_BD[[#This Row],[Affected WTG]],'Basic Data'!$A$3:$E$56,2,0),"")</f>
        <v>PWEGPL</v>
      </c>
      <c r="I500" s="242" t="str">
        <f>IFERROR(VLOOKUP(WTG_BD[[#This Row],[Affected WTG]],'Basic Data'!$A$3:$E$56,3,0),"")</f>
        <v>MSEDCL</v>
      </c>
      <c r="J500" s="243">
        <f>IFERROR(VLOOKUP(WTG_BD[[#This Row],[Affected WTG]],'Basic Data'!$A$3:$E$56,5,0),"")</f>
        <v>2.564102564102564E-2</v>
      </c>
      <c r="K500" s="158">
        <v>5201</v>
      </c>
      <c r="L500" s="247" t="str">
        <f>VLOOKUP(K500,'Basic Data'!T:U,2,0)</f>
        <v>Magnetothermic Trigger Of The Stator Protection</v>
      </c>
      <c r="M500" s="135" t="s">
        <v>472</v>
      </c>
      <c r="N500" s="256">
        <v>0.42499999999999999</v>
      </c>
      <c r="O500" s="256">
        <v>0.44027777777777777</v>
      </c>
      <c r="P500" s="256">
        <v>0.44166666666666665</v>
      </c>
      <c r="Q500" s="253">
        <f>IF(WTG_BD[[#This Row],[Work Start TimeStamp]]="","",(WTG_BD[[#This Row],[Work Start TimeStamp]]-WTG_BD[[#This Row],[Fault Start TimeStamp]])*24)</f>
        <v>0.3666666666666667</v>
      </c>
      <c r="R500" s="253">
        <f>(WTG_BD[[#This Row],[Fault Clearance time]]-WTG_BD[[#This Row],[Work Start TimeStamp]])*24</f>
        <v>3.3333333333333215E-2</v>
      </c>
      <c r="S500" s="253">
        <f>(WTG_BD[[#This Row],[Fault Clearance time]]-WTG_BD[[#This Row],[Fault Start TimeStamp]])*24</f>
        <v>0.39999999999999991</v>
      </c>
      <c r="T500" s="135" t="s">
        <v>473</v>
      </c>
      <c r="U500" s="244" t="s">
        <v>474</v>
      </c>
      <c r="V500" s="246">
        <f>WTG_BD[[#This Row],[Breakdown Time]]*(1/39)</f>
        <v>1.0256410256410253E-2</v>
      </c>
      <c r="W500" s="244" t="s">
        <v>153</v>
      </c>
      <c r="X500" s="250">
        <v>114.2833333333333</v>
      </c>
      <c r="Y500" s="135" t="s">
        <v>470</v>
      </c>
      <c r="Z500" s="135" t="s">
        <v>475</v>
      </c>
      <c r="AA500" s="135">
        <v>6857</v>
      </c>
      <c r="AB500" s="249">
        <f>(WTG_BD[[#This Row],[Paired WTG Generation for loss calculation.]]/24)*WTG_BD[[#This Row],[Breakdown Time]]</f>
        <v>114.2833333333333</v>
      </c>
      <c r="AC500" s="135"/>
      <c r="AD500" s="245"/>
      <c r="AE500" s="3"/>
    </row>
    <row r="501" spans="1:31">
      <c r="A501" s="241">
        <f t="shared" si="15"/>
        <v>500</v>
      </c>
      <c r="B501" s="255">
        <v>45785</v>
      </c>
      <c r="C501" s="252">
        <v>2025</v>
      </c>
      <c r="D501" s="252">
        <v>2025</v>
      </c>
      <c r="E501" s="251">
        <f t="shared" si="16"/>
        <v>45778</v>
      </c>
      <c r="F501" s="252" t="s">
        <v>465</v>
      </c>
      <c r="G501" s="248" t="s">
        <v>152</v>
      </c>
      <c r="H501" s="242" t="str">
        <f>IFERROR(VLOOKUP(WTG_BD[[#This Row],[Affected WTG]],'Basic Data'!$A$3:$E$56,2,0),"")</f>
        <v>PWEGPL</v>
      </c>
      <c r="I501" s="242" t="str">
        <f>IFERROR(VLOOKUP(WTG_BD[[#This Row],[Affected WTG]],'Basic Data'!$A$3:$E$56,3,0),"")</f>
        <v>MSEDCL</v>
      </c>
      <c r="J501" s="243">
        <f>IFERROR(VLOOKUP(WTG_BD[[#This Row],[Affected WTG]],'Basic Data'!$A$3:$E$56,5,0),"")</f>
        <v>2.564102564102564E-2</v>
      </c>
      <c r="K501" s="158">
        <v>5201</v>
      </c>
      <c r="L501" s="247" t="str">
        <f>VLOOKUP(K501,'Basic Data'!T:U,2,0)</f>
        <v>Magnetothermic Trigger Of The Stator Protection</v>
      </c>
      <c r="M501" s="135" t="s">
        <v>472</v>
      </c>
      <c r="N501" s="256">
        <v>0.54305555555555551</v>
      </c>
      <c r="O501" s="256">
        <v>0.57986111111111116</v>
      </c>
      <c r="P501" s="256">
        <v>0.58125000000000004</v>
      </c>
      <c r="Q501" s="253">
        <f>IF(WTG_BD[[#This Row],[Work Start TimeStamp]]="","",(WTG_BD[[#This Row],[Work Start TimeStamp]]-WTG_BD[[#This Row],[Fault Start TimeStamp]])*24)</f>
        <v>0.88333333333333552</v>
      </c>
      <c r="R501" s="253">
        <f>(WTG_BD[[#This Row],[Fault Clearance time]]-WTG_BD[[#This Row],[Work Start TimeStamp]])*24</f>
        <v>3.3333333333333215E-2</v>
      </c>
      <c r="S501" s="253">
        <f>(WTG_BD[[#This Row],[Fault Clearance time]]-WTG_BD[[#This Row],[Fault Start TimeStamp]])*24</f>
        <v>0.91666666666666874</v>
      </c>
      <c r="T501" s="135" t="s">
        <v>482</v>
      </c>
      <c r="U501" s="244" t="s">
        <v>474</v>
      </c>
      <c r="V501" s="246">
        <f>WTG_BD[[#This Row],[Breakdown Time]]*(1/39)</f>
        <v>2.3504273504273556E-2</v>
      </c>
      <c r="W501" s="244" t="s">
        <v>153</v>
      </c>
      <c r="X501" s="250">
        <v>261.89930555555611</v>
      </c>
      <c r="Y501" s="135" t="s">
        <v>470</v>
      </c>
      <c r="Z501" s="135" t="s">
        <v>475</v>
      </c>
      <c r="AA501" s="135">
        <v>6857</v>
      </c>
      <c r="AB501" s="249">
        <f>(WTG_BD[[#This Row],[Paired WTG Generation for loss calculation.]]/24)*WTG_BD[[#This Row],[Breakdown Time]]</f>
        <v>261.89930555555611</v>
      </c>
      <c r="AC501" s="135"/>
      <c r="AD501" s="245"/>
      <c r="AE501" s="3"/>
    </row>
    <row r="502" spans="1:31">
      <c r="A502" s="241">
        <f t="shared" si="15"/>
        <v>501</v>
      </c>
      <c r="B502" s="255">
        <v>45786</v>
      </c>
      <c r="C502" s="252">
        <v>2025</v>
      </c>
      <c r="D502" s="252">
        <v>2025</v>
      </c>
      <c r="E502" s="251">
        <f t="shared" si="16"/>
        <v>45778</v>
      </c>
      <c r="F502" s="252" t="s">
        <v>465</v>
      </c>
      <c r="G502" s="248" t="s">
        <v>144</v>
      </c>
      <c r="H502" s="242" t="str">
        <f>IFERROR(VLOOKUP(WTG_BD[[#This Row],[Affected WTG]],'Basic Data'!$A$3:$E$56,2,0),"")</f>
        <v>PWEGPL</v>
      </c>
      <c r="I502" s="242" t="str">
        <f>IFERROR(VLOOKUP(WTG_BD[[#This Row],[Affected WTG]],'Basic Data'!$A$3:$E$56,3,0),"")</f>
        <v>MSEDCL</v>
      </c>
      <c r="J502" s="243">
        <f>IFERROR(VLOOKUP(WTG_BD[[#This Row],[Affected WTG]],'Basic Data'!$A$3:$E$56,5,0),"")</f>
        <v>2.564102564102564E-2</v>
      </c>
      <c r="K502" s="158" t="s">
        <v>466</v>
      </c>
      <c r="L502" s="247" t="str">
        <f>VLOOKUP(K502,'Basic Data'!T:U,2,0)</f>
        <v>Manual Stop - Safety Related</v>
      </c>
      <c r="M502" s="135" t="s">
        <v>467</v>
      </c>
      <c r="N502" s="256">
        <v>0</v>
      </c>
      <c r="O502" s="256">
        <v>0.99930555555555556</v>
      </c>
      <c r="P502" s="256">
        <v>0.99930555555555556</v>
      </c>
      <c r="Q502" s="253">
        <f>IF(WTG_BD[[#This Row],[Work Start TimeStamp]]="","",(WTG_BD[[#This Row],[Work Start TimeStamp]]-WTG_BD[[#This Row],[Fault Start TimeStamp]])*24)</f>
        <v>23.983333333333334</v>
      </c>
      <c r="R502" s="253">
        <f>(WTG_BD[[#This Row],[Fault Clearance time]]-WTG_BD[[#This Row],[Work Start TimeStamp]])*24</f>
        <v>0</v>
      </c>
      <c r="S502" s="253">
        <f>(WTG_BD[[#This Row],[Fault Clearance time]]-WTG_BD[[#This Row],[Fault Start TimeStamp]])*24</f>
        <v>23.983333333333334</v>
      </c>
      <c r="T502" s="135" t="s">
        <v>468</v>
      </c>
      <c r="U502" s="244" t="s">
        <v>469</v>
      </c>
      <c r="V502" s="246">
        <f>WTG_BD[[#This Row],[Breakdown Time]]*(1/39)</f>
        <v>0.61495726495726499</v>
      </c>
      <c r="W502" s="244" t="s">
        <v>141</v>
      </c>
      <c r="X502" s="250">
        <v>4522.8569444444447</v>
      </c>
      <c r="Y502" s="135" t="s">
        <v>470</v>
      </c>
      <c r="Z502" s="135" t="s">
        <v>471</v>
      </c>
      <c r="AA502" s="135">
        <v>4526</v>
      </c>
      <c r="AB502" s="249">
        <f>(WTG_BD[[#This Row],[Paired WTG Generation for loss calculation.]]/24)*WTG_BD[[#This Row],[Breakdown Time]]</f>
        <v>4522.8569444444447</v>
      </c>
      <c r="AC502" s="135"/>
      <c r="AD502" s="245"/>
      <c r="AE502" s="3"/>
    </row>
    <row r="503" spans="1:31">
      <c r="A503" s="241">
        <f t="shared" si="15"/>
        <v>502</v>
      </c>
      <c r="B503" s="255">
        <v>45786</v>
      </c>
      <c r="C503" s="252">
        <v>2025</v>
      </c>
      <c r="D503" s="252">
        <v>2025</v>
      </c>
      <c r="E503" s="251">
        <f t="shared" si="16"/>
        <v>45778</v>
      </c>
      <c r="F503" s="252" t="s">
        <v>465</v>
      </c>
      <c r="G503" s="248" t="s">
        <v>142</v>
      </c>
      <c r="H503" s="242" t="str">
        <f>IFERROR(VLOOKUP(WTG_BD[[#This Row],[Affected WTG]],'Basic Data'!$A$3:$E$56,2,0),"")</f>
        <v>PWEGPL</v>
      </c>
      <c r="I503" s="242" t="str">
        <f>IFERROR(VLOOKUP(WTG_BD[[#This Row],[Affected WTG]],'Basic Data'!$A$3:$E$56,3,0),"")</f>
        <v>MSEDCL</v>
      </c>
      <c r="J503" s="243">
        <f>IFERROR(VLOOKUP(WTG_BD[[#This Row],[Affected WTG]],'Basic Data'!$A$3:$E$56,5,0),"")</f>
        <v>2.564102564102564E-2</v>
      </c>
      <c r="K503" s="158" t="s">
        <v>466</v>
      </c>
      <c r="L503" s="247" t="str">
        <f>VLOOKUP(K503,'Basic Data'!T:U,2,0)</f>
        <v>Manual Stop - Safety Related</v>
      </c>
      <c r="M503" s="135" t="s">
        <v>467</v>
      </c>
      <c r="N503" s="256">
        <v>0</v>
      </c>
      <c r="O503" s="256">
        <v>0.99930555555555556</v>
      </c>
      <c r="P503" s="256">
        <v>0.99930555555555556</v>
      </c>
      <c r="Q503" s="253">
        <f>IF(WTG_BD[[#This Row],[Work Start TimeStamp]]="","",(WTG_BD[[#This Row],[Work Start TimeStamp]]-WTG_BD[[#This Row],[Fault Start TimeStamp]])*24)</f>
        <v>23.983333333333334</v>
      </c>
      <c r="R503" s="253">
        <f>(WTG_BD[[#This Row],[Fault Clearance time]]-WTG_BD[[#This Row],[Work Start TimeStamp]])*24</f>
        <v>0</v>
      </c>
      <c r="S503" s="253">
        <f>(WTG_BD[[#This Row],[Fault Clearance time]]-WTG_BD[[#This Row],[Fault Start TimeStamp]])*24</f>
        <v>23.983333333333334</v>
      </c>
      <c r="T503" s="135" t="s">
        <v>468</v>
      </c>
      <c r="U503" s="244" t="s">
        <v>469</v>
      </c>
      <c r="V503" s="246">
        <f>WTG_BD[[#This Row],[Breakdown Time]]*(1/39)</f>
        <v>0.61495726495726499</v>
      </c>
      <c r="W503" s="244" t="s">
        <v>141</v>
      </c>
      <c r="X503" s="250">
        <v>4522.8569444444447</v>
      </c>
      <c r="Y503" s="135" t="s">
        <v>470</v>
      </c>
      <c r="Z503" s="135" t="s">
        <v>471</v>
      </c>
      <c r="AA503" s="135">
        <v>4526</v>
      </c>
      <c r="AB503" s="249">
        <f>(WTG_BD[[#This Row],[Paired WTG Generation for loss calculation.]]/24)*WTG_BD[[#This Row],[Breakdown Time]]</f>
        <v>4522.8569444444447</v>
      </c>
      <c r="AC503" s="135"/>
      <c r="AD503" s="245"/>
      <c r="AE503" s="3"/>
    </row>
    <row r="504" spans="1:31">
      <c r="A504" s="241">
        <f t="shared" si="15"/>
        <v>503</v>
      </c>
      <c r="B504" s="255">
        <v>45786</v>
      </c>
      <c r="C504" s="252">
        <v>2025</v>
      </c>
      <c r="D504" s="252">
        <v>2025</v>
      </c>
      <c r="E504" s="251">
        <f t="shared" si="16"/>
        <v>45778</v>
      </c>
      <c r="F504" s="252" t="s">
        <v>465</v>
      </c>
      <c r="G504" s="248" t="s">
        <v>117</v>
      </c>
      <c r="H504" s="242" t="str">
        <f>IFERROR(VLOOKUP(WTG_BD[[#This Row],[Affected WTG]],'Basic Data'!$A$3:$E$56,2,0),"")</f>
        <v>PWEGPL</v>
      </c>
      <c r="I504" s="242" t="str">
        <f>IFERROR(VLOOKUP(WTG_BD[[#This Row],[Affected WTG]],'Basic Data'!$A$3:$E$56,3,0),"")</f>
        <v>MSEDCL</v>
      </c>
      <c r="J504" s="243">
        <f>IFERROR(VLOOKUP(WTG_BD[[#This Row],[Affected WTG]],'Basic Data'!$A$3:$E$56,5,0),"")</f>
        <v>2.564102564102564E-2</v>
      </c>
      <c r="K504" s="158" t="s">
        <v>523</v>
      </c>
      <c r="L504" s="247" t="str">
        <f>VLOOKUP(K504,'Basic Data'!T:U,2,0)</f>
        <v>Manual Stop</v>
      </c>
      <c r="M504" s="135" t="s">
        <v>573</v>
      </c>
      <c r="N504" s="256">
        <v>0.50486111111111109</v>
      </c>
      <c r="O504" s="256">
        <v>0.50486111111111109</v>
      </c>
      <c r="P504" s="256">
        <v>0.52083333333333337</v>
      </c>
      <c r="Q504" s="253">
        <f>IF(WTG_BD[[#This Row],[Work Start TimeStamp]]="","",(WTG_BD[[#This Row],[Work Start TimeStamp]]-WTG_BD[[#This Row],[Fault Start TimeStamp]])*24)</f>
        <v>0</v>
      </c>
      <c r="R504" s="253">
        <f>(WTG_BD[[#This Row],[Fault Clearance time]]-WTG_BD[[#This Row],[Work Start TimeStamp]])*24</f>
        <v>0.38333333333333464</v>
      </c>
      <c r="S504" s="253">
        <f>(WTG_BD[[#This Row],[Fault Clearance time]]-WTG_BD[[#This Row],[Fault Start TimeStamp]])*24</f>
        <v>0.38333333333333464</v>
      </c>
      <c r="T504" s="135" t="s">
        <v>574</v>
      </c>
      <c r="U504" s="244" t="s">
        <v>474</v>
      </c>
      <c r="V504" s="246">
        <f>WTG_BD[[#This Row],[Breakdown Time]]*(1/39)</f>
        <v>9.8290598290598618E-3</v>
      </c>
      <c r="W504" s="244" t="s">
        <v>118</v>
      </c>
      <c r="X504" s="250">
        <v>57.228472222222415</v>
      </c>
      <c r="Y504" s="135" t="s">
        <v>470</v>
      </c>
      <c r="Z504" s="135" t="s">
        <v>498</v>
      </c>
      <c r="AA504" s="135">
        <v>3583</v>
      </c>
      <c r="AB504" s="249">
        <f>(WTG_BD[[#This Row],[Paired WTG Generation for loss calculation.]]/24)*WTG_BD[[#This Row],[Breakdown Time]]</f>
        <v>57.228472222222415</v>
      </c>
      <c r="AC504" s="135"/>
      <c r="AD504" s="245"/>
      <c r="AE504" s="3"/>
    </row>
    <row r="505" spans="1:31">
      <c r="A505" s="241">
        <f t="shared" si="15"/>
        <v>504</v>
      </c>
      <c r="B505" s="255">
        <v>45786</v>
      </c>
      <c r="C505" s="252">
        <v>2025</v>
      </c>
      <c r="D505" s="252">
        <v>2025</v>
      </c>
      <c r="E505" s="251">
        <f t="shared" si="16"/>
        <v>45778</v>
      </c>
      <c r="F505" s="252" t="s">
        <v>465</v>
      </c>
      <c r="G505" s="248" t="s">
        <v>118</v>
      </c>
      <c r="H505" s="242" t="str">
        <f>IFERROR(VLOOKUP(WTG_BD[[#This Row],[Affected WTG]],'Basic Data'!$A$3:$E$56,2,0),"")</f>
        <v>PWEGPL</v>
      </c>
      <c r="I505" s="242" t="str">
        <f>IFERROR(VLOOKUP(WTG_BD[[#This Row],[Affected WTG]],'Basic Data'!$A$3:$E$56,3,0),"")</f>
        <v>MSEDCL</v>
      </c>
      <c r="J505" s="243">
        <f>IFERROR(VLOOKUP(WTG_BD[[#This Row],[Affected WTG]],'Basic Data'!$A$3:$E$56,5,0),"")</f>
        <v>2.564102564102564E-2</v>
      </c>
      <c r="K505" s="158" t="s">
        <v>523</v>
      </c>
      <c r="L505" s="247" t="str">
        <f>VLOOKUP(K505,'Basic Data'!T:U,2,0)</f>
        <v>Manual Stop</v>
      </c>
      <c r="M505" s="135" t="s">
        <v>573</v>
      </c>
      <c r="N505" s="256">
        <v>0.5395833333333333</v>
      </c>
      <c r="O505" s="256">
        <v>0.5395833333333333</v>
      </c>
      <c r="P505" s="256">
        <v>0.55555555555555558</v>
      </c>
      <c r="Q505" s="253">
        <f>IF(WTG_BD[[#This Row],[Work Start TimeStamp]]="","",(WTG_BD[[#This Row],[Work Start TimeStamp]]-WTG_BD[[#This Row],[Fault Start TimeStamp]])*24)</f>
        <v>0</v>
      </c>
      <c r="R505" s="253">
        <f>(WTG_BD[[#This Row],[Fault Clearance time]]-WTG_BD[[#This Row],[Work Start TimeStamp]])*24</f>
        <v>0.38333333333333464</v>
      </c>
      <c r="S505" s="253">
        <f>(WTG_BD[[#This Row],[Fault Clearance time]]-WTG_BD[[#This Row],[Fault Start TimeStamp]])*24</f>
        <v>0.38333333333333464</v>
      </c>
      <c r="T505" s="135" t="s">
        <v>574</v>
      </c>
      <c r="U505" s="244" t="s">
        <v>474</v>
      </c>
      <c r="V505" s="246">
        <f>WTG_BD[[#This Row],[Breakdown Time]]*(1/39)</f>
        <v>9.8290598290598618E-3</v>
      </c>
      <c r="W505" s="244" t="s">
        <v>117</v>
      </c>
      <c r="X505" s="250">
        <v>56.893055555555748</v>
      </c>
      <c r="Y505" s="135" t="s">
        <v>470</v>
      </c>
      <c r="Z505" s="135" t="s">
        <v>498</v>
      </c>
      <c r="AA505" s="135">
        <v>3562</v>
      </c>
      <c r="AB505" s="249">
        <f>(WTG_BD[[#This Row],[Paired WTG Generation for loss calculation.]]/24)*WTG_BD[[#This Row],[Breakdown Time]]</f>
        <v>56.893055555555748</v>
      </c>
      <c r="AC505" s="135"/>
      <c r="AD505" s="245"/>
      <c r="AE505" s="3"/>
    </row>
    <row r="506" spans="1:31">
      <c r="A506" s="241">
        <f t="shared" si="15"/>
        <v>505</v>
      </c>
      <c r="B506" s="255">
        <v>45786</v>
      </c>
      <c r="C506" s="252">
        <v>2025</v>
      </c>
      <c r="D506" s="252">
        <v>2025</v>
      </c>
      <c r="E506" s="251">
        <f t="shared" si="16"/>
        <v>45778</v>
      </c>
      <c r="F506" s="252" t="s">
        <v>465</v>
      </c>
      <c r="G506" s="248" t="s">
        <v>120</v>
      </c>
      <c r="H506" s="242" t="str">
        <f>IFERROR(VLOOKUP(WTG_BD[[#This Row],[Affected WTG]],'Basic Data'!$A$3:$E$56,2,0),"")</f>
        <v>PWEGPL</v>
      </c>
      <c r="I506" s="242" t="str">
        <f>IFERROR(VLOOKUP(WTG_BD[[#This Row],[Affected WTG]],'Basic Data'!$A$3:$E$56,3,0),"")</f>
        <v>MSEDCL</v>
      </c>
      <c r="J506" s="243">
        <f>IFERROR(VLOOKUP(WTG_BD[[#This Row],[Affected WTG]],'Basic Data'!$A$3:$E$56,5,0),"")</f>
        <v>2.564102564102564E-2</v>
      </c>
      <c r="K506" s="158" t="s">
        <v>523</v>
      </c>
      <c r="L506" s="247" t="str">
        <f>VLOOKUP(K506,'Basic Data'!T:U,2,0)</f>
        <v>Manual Stop</v>
      </c>
      <c r="M506" s="135" t="s">
        <v>573</v>
      </c>
      <c r="N506" s="256">
        <v>0.70625000000000004</v>
      </c>
      <c r="O506" s="256">
        <v>0.70625000000000004</v>
      </c>
      <c r="P506" s="256">
        <v>0.71944444444444444</v>
      </c>
      <c r="Q506" s="253">
        <f>IF(WTG_BD[[#This Row],[Work Start TimeStamp]]="","",(WTG_BD[[#This Row],[Work Start TimeStamp]]-WTG_BD[[#This Row],[Fault Start TimeStamp]])*24)</f>
        <v>0</v>
      </c>
      <c r="R506" s="253">
        <f>(WTG_BD[[#This Row],[Fault Clearance time]]-WTG_BD[[#This Row],[Work Start TimeStamp]])*24</f>
        <v>0.31666666666666554</v>
      </c>
      <c r="S506" s="253">
        <f>(WTG_BD[[#This Row],[Fault Clearance time]]-WTG_BD[[#This Row],[Fault Start TimeStamp]])*24</f>
        <v>0.31666666666666554</v>
      </c>
      <c r="T506" s="135" t="s">
        <v>574</v>
      </c>
      <c r="U506" s="244" t="s">
        <v>474</v>
      </c>
      <c r="V506" s="246">
        <f>WTG_BD[[#This Row],[Breakdown Time]]*(1/39)</f>
        <v>8.1196581196580908E-3</v>
      </c>
      <c r="W506" s="244" t="s">
        <v>117</v>
      </c>
      <c r="X506" s="250">
        <v>46.998611111110939</v>
      </c>
      <c r="Y506" s="135" t="s">
        <v>470</v>
      </c>
      <c r="Z506" s="135" t="s">
        <v>498</v>
      </c>
      <c r="AA506" s="135">
        <v>3562</v>
      </c>
      <c r="AB506" s="249">
        <f>(WTG_BD[[#This Row],[Paired WTG Generation for loss calculation.]]/24)*WTG_BD[[#This Row],[Breakdown Time]]</f>
        <v>46.998611111110939</v>
      </c>
      <c r="AC506" s="135"/>
      <c r="AD506" s="245"/>
      <c r="AE506" s="3"/>
    </row>
    <row r="507" spans="1:31">
      <c r="A507" s="241">
        <f t="shared" si="15"/>
        <v>506</v>
      </c>
      <c r="B507" s="255">
        <v>45786</v>
      </c>
      <c r="C507" s="252">
        <v>2025</v>
      </c>
      <c r="D507" s="252">
        <v>2025</v>
      </c>
      <c r="E507" s="251">
        <f t="shared" si="16"/>
        <v>45778</v>
      </c>
      <c r="F507" s="252" t="s">
        <v>465</v>
      </c>
      <c r="G507" s="248" t="s">
        <v>122</v>
      </c>
      <c r="H507" s="242" t="str">
        <f>IFERROR(VLOOKUP(WTG_BD[[#This Row],[Affected WTG]],'Basic Data'!$A$3:$E$56,2,0),"")</f>
        <v>PWEGPL</v>
      </c>
      <c r="I507" s="242" t="str">
        <f>IFERROR(VLOOKUP(WTG_BD[[#This Row],[Affected WTG]],'Basic Data'!$A$3:$E$56,3,0),"")</f>
        <v>MSEDCL</v>
      </c>
      <c r="J507" s="243">
        <f>IFERROR(VLOOKUP(WTG_BD[[#This Row],[Affected WTG]],'Basic Data'!$A$3:$E$56,5,0),"")</f>
        <v>2.564102564102564E-2</v>
      </c>
      <c r="K507" s="158" t="s">
        <v>523</v>
      </c>
      <c r="L507" s="247" t="str">
        <f>VLOOKUP(K507,'Basic Data'!T:U,2,0)</f>
        <v>Manual Stop</v>
      </c>
      <c r="M507" s="135" t="s">
        <v>573</v>
      </c>
      <c r="N507" s="256">
        <v>0.47083333333333333</v>
      </c>
      <c r="O507" s="256">
        <v>0.47083333333333333</v>
      </c>
      <c r="P507" s="256">
        <v>0.49513888888888891</v>
      </c>
      <c r="Q507" s="253">
        <f>IF(WTG_BD[[#This Row],[Work Start TimeStamp]]="","",(WTG_BD[[#This Row],[Work Start TimeStamp]]-WTG_BD[[#This Row],[Fault Start TimeStamp]])*24)</f>
        <v>0</v>
      </c>
      <c r="R507" s="253">
        <f>(WTG_BD[[#This Row],[Fault Clearance time]]-WTG_BD[[#This Row],[Work Start TimeStamp]])*24</f>
        <v>0.58333333333333393</v>
      </c>
      <c r="S507" s="253">
        <f>(WTG_BD[[#This Row],[Fault Clearance time]]-WTG_BD[[#This Row],[Fault Start TimeStamp]])*24</f>
        <v>0.58333333333333393</v>
      </c>
      <c r="T507" s="135" t="s">
        <v>574</v>
      </c>
      <c r="U507" s="244" t="s">
        <v>474</v>
      </c>
      <c r="V507" s="246">
        <f>WTG_BD[[#This Row],[Breakdown Time]]*(1/39)</f>
        <v>1.4957264957264972E-2</v>
      </c>
      <c r="W507" s="244" t="s">
        <v>117</v>
      </c>
      <c r="X507" s="250">
        <v>86.576388888888971</v>
      </c>
      <c r="Y507" s="135" t="s">
        <v>470</v>
      </c>
      <c r="Z507" s="135" t="s">
        <v>498</v>
      </c>
      <c r="AA507" s="135">
        <v>3562</v>
      </c>
      <c r="AB507" s="249">
        <f>(WTG_BD[[#This Row],[Paired WTG Generation for loss calculation.]]/24)*WTG_BD[[#This Row],[Breakdown Time]]</f>
        <v>86.576388888888971</v>
      </c>
      <c r="AC507" s="135"/>
      <c r="AD507" s="245"/>
      <c r="AE507" s="3"/>
    </row>
    <row r="508" spans="1:31">
      <c r="A508" s="241">
        <f t="shared" si="15"/>
        <v>507</v>
      </c>
      <c r="B508" s="255">
        <v>45786</v>
      </c>
      <c r="C508" s="252">
        <v>2025</v>
      </c>
      <c r="D508" s="252">
        <v>2025</v>
      </c>
      <c r="E508" s="251">
        <f t="shared" si="16"/>
        <v>45778</v>
      </c>
      <c r="F508" s="252" t="s">
        <v>465</v>
      </c>
      <c r="G508" s="248" t="s">
        <v>123</v>
      </c>
      <c r="H508" s="242" t="str">
        <f>IFERROR(VLOOKUP(WTG_BD[[#This Row],[Affected WTG]],'Basic Data'!$A$3:$E$56,2,0),"")</f>
        <v>PWEGPL</v>
      </c>
      <c r="I508" s="242" t="str">
        <f>IFERROR(VLOOKUP(WTG_BD[[#This Row],[Affected WTG]],'Basic Data'!$A$3:$E$56,3,0),"")</f>
        <v>MSEDCL</v>
      </c>
      <c r="J508" s="243">
        <f>IFERROR(VLOOKUP(WTG_BD[[#This Row],[Affected WTG]],'Basic Data'!$A$3:$E$56,5,0),"")</f>
        <v>2.564102564102564E-2</v>
      </c>
      <c r="K508" s="158" t="s">
        <v>523</v>
      </c>
      <c r="L508" s="247" t="str">
        <f>VLOOKUP(K508,'Basic Data'!T:U,2,0)</f>
        <v>Manual Stop</v>
      </c>
      <c r="M508" s="135" t="s">
        <v>573</v>
      </c>
      <c r="N508" s="256">
        <v>0.64722222222222225</v>
      </c>
      <c r="O508" s="256">
        <v>0.64722222222222225</v>
      </c>
      <c r="P508" s="256">
        <v>0.66319444444444442</v>
      </c>
      <c r="Q508" s="253">
        <f>IF(WTG_BD[[#This Row],[Work Start TimeStamp]]="","",(WTG_BD[[#This Row],[Work Start TimeStamp]]-WTG_BD[[#This Row],[Fault Start TimeStamp]])*24)</f>
        <v>0</v>
      </c>
      <c r="R508" s="253">
        <f>(WTG_BD[[#This Row],[Fault Clearance time]]-WTG_BD[[#This Row],[Work Start TimeStamp]])*24</f>
        <v>0.38333333333333197</v>
      </c>
      <c r="S508" s="253">
        <f>(WTG_BD[[#This Row],[Fault Clearance time]]-WTG_BD[[#This Row],[Fault Start TimeStamp]])*24</f>
        <v>0.38333333333333197</v>
      </c>
      <c r="T508" s="135" t="s">
        <v>574</v>
      </c>
      <c r="U508" s="244" t="s">
        <v>474</v>
      </c>
      <c r="V508" s="246">
        <f>WTG_BD[[#This Row],[Breakdown Time]]*(1/39)</f>
        <v>9.8290598290597941E-3</v>
      </c>
      <c r="W508" s="244" t="s">
        <v>126</v>
      </c>
      <c r="X508" s="250">
        <v>64.783333333333104</v>
      </c>
      <c r="Y508" s="135" t="s">
        <v>470</v>
      </c>
      <c r="Z508" s="135" t="s">
        <v>498</v>
      </c>
      <c r="AA508" s="135">
        <v>4056</v>
      </c>
      <c r="AB508" s="249">
        <f>(WTG_BD[[#This Row],[Paired WTG Generation for loss calculation.]]/24)*WTG_BD[[#This Row],[Breakdown Time]]</f>
        <v>64.783333333333104</v>
      </c>
      <c r="AC508" s="135"/>
      <c r="AD508" s="245"/>
      <c r="AE508" s="3"/>
    </row>
    <row r="509" spans="1:31">
      <c r="A509" s="241">
        <f t="shared" si="15"/>
        <v>508</v>
      </c>
      <c r="B509" s="255">
        <v>45786</v>
      </c>
      <c r="C509" s="252">
        <v>2025</v>
      </c>
      <c r="D509" s="252">
        <v>2025</v>
      </c>
      <c r="E509" s="251">
        <f t="shared" si="16"/>
        <v>45778</v>
      </c>
      <c r="F509" s="252" t="s">
        <v>465</v>
      </c>
      <c r="G509" s="248" t="s">
        <v>124</v>
      </c>
      <c r="H509" s="242" t="str">
        <f>IFERROR(VLOOKUP(WTG_BD[[#This Row],[Affected WTG]],'Basic Data'!$A$3:$E$56,2,0),"")</f>
        <v>PWEGPL</v>
      </c>
      <c r="I509" s="242" t="str">
        <f>IFERROR(VLOOKUP(WTG_BD[[#This Row],[Affected WTG]],'Basic Data'!$A$3:$E$56,3,0),"")</f>
        <v>MSEDCL</v>
      </c>
      <c r="J509" s="243">
        <f>IFERROR(VLOOKUP(WTG_BD[[#This Row],[Affected WTG]],'Basic Data'!$A$3:$E$56,5,0),"")</f>
        <v>2.564102564102564E-2</v>
      </c>
      <c r="K509" s="158" t="s">
        <v>523</v>
      </c>
      <c r="L509" s="247" t="str">
        <f>VLOOKUP(K509,'Basic Data'!T:U,2,0)</f>
        <v>Manual Stop</v>
      </c>
      <c r="M509" s="135" t="s">
        <v>573</v>
      </c>
      <c r="N509" s="256">
        <v>0.67777777777777781</v>
      </c>
      <c r="O509" s="256">
        <v>0.67777777777777781</v>
      </c>
      <c r="P509" s="256">
        <v>0.69166666666666665</v>
      </c>
      <c r="Q509" s="253">
        <f>IF(WTG_BD[[#This Row],[Work Start TimeStamp]]="","",(WTG_BD[[#This Row],[Work Start TimeStamp]]-WTG_BD[[#This Row],[Fault Start TimeStamp]])*24)</f>
        <v>0</v>
      </c>
      <c r="R509" s="253">
        <f>(WTG_BD[[#This Row],[Fault Clearance time]]-WTG_BD[[#This Row],[Work Start TimeStamp]])*24</f>
        <v>0.33333333333333215</v>
      </c>
      <c r="S509" s="253">
        <f>(WTG_BD[[#This Row],[Fault Clearance time]]-WTG_BD[[#This Row],[Fault Start TimeStamp]])*24</f>
        <v>0.33333333333333215</v>
      </c>
      <c r="T509" s="135" t="s">
        <v>574</v>
      </c>
      <c r="U509" s="244" t="s">
        <v>474</v>
      </c>
      <c r="V509" s="246">
        <f>WTG_BD[[#This Row],[Breakdown Time]]*(1/39)</f>
        <v>8.5470085470085166E-3</v>
      </c>
      <c r="W509" s="244" t="s">
        <v>125</v>
      </c>
      <c r="X509" s="250">
        <v>55.916666666666465</v>
      </c>
      <c r="Y509" s="135" t="s">
        <v>470</v>
      </c>
      <c r="Z509" s="135" t="s">
        <v>498</v>
      </c>
      <c r="AA509" s="135">
        <v>4026</v>
      </c>
      <c r="AB509" s="249">
        <f>(WTG_BD[[#This Row],[Paired WTG Generation for loss calculation.]]/24)*WTG_BD[[#This Row],[Breakdown Time]]</f>
        <v>55.916666666666465</v>
      </c>
      <c r="AC509" s="135"/>
      <c r="AD509" s="245"/>
      <c r="AE509" s="3"/>
    </row>
    <row r="510" spans="1:31">
      <c r="A510" s="241">
        <f t="shared" si="15"/>
        <v>509</v>
      </c>
      <c r="B510" s="255">
        <v>45786</v>
      </c>
      <c r="C510" s="252">
        <v>2025</v>
      </c>
      <c r="D510" s="252">
        <v>2025</v>
      </c>
      <c r="E510" s="251">
        <f t="shared" si="16"/>
        <v>45778</v>
      </c>
      <c r="F510" s="252" t="s">
        <v>465</v>
      </c>
      <c r="G510" s="248" t="s">
        <v>147</v>
      </c>
      <c r="H510" s="242" t="str">
        <f>IFERROR(VLOOKUP(WTG_BD[[#This Row],[Affected WTG]],'Basic Data'!$A$3:$E$56,2,0),"")</f>
        <v>PWEGPL</v>
      </c>
      <c r="I510" s="242" t="str">
        <f>IFERROR(VLOOKUP(WTG_BD[[#This Row],[Affected WTG]],'Basic Data'!$A$3:$E$56,3,0),"")</f>
        <v>MSEDCL</v>
      </c>
      <c r="J510" s="243">
        <f>IFERROR(VLOOKUP(WTG_BD[[#This Row],[Affected WTG]],'Basic Data'!$A$3:$E$56,5,0),"")</f>
        <v>2.564102564102564E-2</v>
      </c>
      <c r="K510" s="158" t="s">
        <v>514</v>
      </c>
      <c r="L510" s="247" t="str">
        <f>VLOOKUP(K510,'Basic Data'!T:U,2,0)</f>
        <v>General Work Stoppage</v>
      </c>
      <c r="M510" s="135" t="s">
        <v>496</v>
      </c>
      <c r="N510" s="256">
        <v>0.46527777777777779</v>
      </c>
      <c r="O510" s="256">
        <v>0.46527777777777779</v>
      </c>
      <c r="P510" s="256">
        <v>0.52083333333333337</v>
      </c>
      <c r="Q510" s="253">
        <f>IF(WTG_BD[[#This Row],[Work Start TimeStamp]]="","",(WTG_BD[[#This Row],[Work Start TimeStamp]]-WTG_BD[[#This Row],[Fault Start TimeStamp]])*24)</f>
        <v>0</v>
      </c>
      <c r="R510" s="253">
        <f>(WTG_BD[[#This Row],[Fault Clearance time]]-WTG_BD[[#This Row],[Work Start TimeStamp]])*24</f>
        <v>1.3333333333333339</v>
      </c>
      <c r="S510" s="253">
        <f>(WTG_BD[[#This Row],[Fault Clearance time]]-WTG_BD[[#This Row],[Fault Start TimeStamp]])*24</f>
        <v>1.3333333333333339</v>
      </c>
      <c r="T510" s="135" t="s">
        <v>580</v>
      </c>
      <c r="U510" s="244" t="s">
        <v>474</v>
      </c>
      <c r="V510" s="246">
        <f>WTG_BD[[#This Row],[Breakdown Time]]*(1/39)</f>
        <v>3.4188034188034205E-2</v>
      </c>
      <c r="W510" s="244" t="s">
        <v>146</v>
      </c>
      <c r="X510" s="250">
        <v>199.6111111111112</v>
      </c>
      <c r="Y510" s="135" t="s">
        <v>470</v>
      </c>
      <c r="Z510" s="135" t="s">
        <v>498</v>
      </c>
      <c r="AA510" s="135">
        <v>3593</v>
      </c>
      <c r="AB510" s="249">
        <f>(WTG_BD[[#This Row],[Paired WTG Generation for loss calculation.]]/24)*WTG_BD[[#This Row],[Breakdown Time]]</f>
        <v>199.6111111111112</v>
      </c>
      <c r="AC510" s="135"/>
      <c r="AD510" s="245"/>
      <c r="AE510" s="3"/>
    </row>
    <row r="511" spans="1:31">
      <c r="A511" s="241">
        <f t="shared" si="15"/>
        <v>510</v>
      </c>
      <c r="B511" s="255">
        <v>45786</v>
      </c>
      <c r="C511" s="252">
        <v>2025</v>
      </c>
      <c r="D511" s="252">
        <v>2025</v>
      </c>
      <c r="E511" s="251">
        <f t="shared" si="16"/>
        <v>45778</v>
      </c>
      <c r="F511" s="252" t="s">
        <v>465</v>
      </c>
      <c r="G511" s="248" t="s">
        <v>150</v>
      </c>
      <c r="H511" s="242" t="str">
        <f>IFERROR(VLOOKUP(WTG_BD[[#This Row],[Affected WTG]],'Basic Data'!$A$3:$E$56,2,0),"")</f>
        <v>PWEGPL</v>
      </c>
      <c r="I511" s="242" t="str">
        <f>IFERROR(VLOOKUP(WTG_BD[[#This Row],[Affected WTG]],'Basic Data'!$A$3:$E$56,3,0),"")</f>
        <v>MSEDCL</v>
      </c>
      <c r="J511" s="243">
        <f>IFERROR(VLOOKUP(WTG_BD[[#This Row],[Affected WTG]],'Basic Data'!$A$3:$E$56,5,0),"")</f>
        <v>2.564102564102564E-2</v>
      </c>
      <c r="K511" s="158">
        <v>1819</v>
      </c>
      <c r="L511" s="247" t="str">
        <f>VLOOKUP(K511,'Basic Data'!T:U,2,0)</f>
        <v>RC Filter Failure</v>
      </c>
      <c r="M511" s="135" t="s">
        <v>472</v>
      </c>
      <c r="N511" s="256">
        <v>0.6020833333333333</v>
      </c>
      <c r="O511" s="256">
        <v>0.62569444444444444</v>
      </c>
      <c r="P511" s="256">
        <v>0.72916666666666663</v>
      </c>
      <c r="Q511" s="253">
        <f>IF(WTG_BD[[#This Row],[Work Start TimeStamp]]="","",(WTG_BD[[#This Row],[Work Start TimeStamp]]-WTG_BD[[#This Row],[Fault Start TimeStamp]])*24)</f>
        <v>0.56666666666666732</v>
      </c>
      <c r="R511" s="253">
        <f>(WTG_BD[[#This Row],[Fault Clearance time]]-WTG_BD[[#This Row],[Work Start TimeStamp]])*24</f>
        <v>2.4833333333333325</v>
      </c>
      <c r="S511" s="253">
        <f>(WTG_BD[[#This Row],[Fault Clearance time]]-WTG_BD[[#This Row],[Fault Start TimeStamp]])*24</f>
        <v>3.05</v>
      </c>
      <c r="T511" s="135" t="s">
        <v>581</v>
      </c>
      <c r="U511" s="244" t="s">
        <v>474</v>
      </c>
      <c r="V511" s="246">
        <f>WTG_BD[[#This Row],[Breakdown Time]]*(1/39)</f>
        <v>7.8205128205128191E-2</v>
      </c>
      <c r="W511" s="244" t="s">
        <v>149</v>
      </c>
      <c r="X511" s="250">
        <v>454.70416666666665</v>
      </c>
      <c r="Y511" s="135" t="s">
        <v>470</v>
      </c>
      <c r="Z511" s="135" t="s">
        <v>475</v>
      </c>
      <c r="AA511" s="135">
        <v>3578</v>
      </c>
      <c r="AB511" s="249">
        <f>(WTG_BD[[#This Row],[Paired WTG Generation for loss calculation.]]/24)*WTG_BD[[#This Row],[Breakdown Time]]</f>
        <v>454.70416666666665</v>
      </c>
      <c r="AC511" s="135"/>
      <c r="AD511" s="245"/>
      <c r="AE511" s="3"/>
    </row>
    <row r="512" spans="1:31">
      <c r="A512" s="241">
        <f t="shared" si="15"/>
        <v>511</v>
      </c>
      <c r="B512" s="255">
        <v>45786</v>
      </c>
      <c r="C512" s="252">
        <v>2025</v>
      </c>
      <c r="D512" s="252">
        <v>2025</v>
      </c>
      <c r="E512" s="251">
        <f t="shared" si="16"/>
        <v>45778</v>
      </c>
      <c r="F512" s="252" t="s">
        <v>465</v>
      </c>
      <c r="G512" s="248" t="s">
        <v>152</v>
      </c>
      <c r="H512" s="242" t="str">
        <f>IFERROR(VLOOKUP(WTG_BD[[#This Row],[Affected WTG]],'Basic Data'!$A$3:$E$56,2,0),"")</f>
        <v>PWEGPL</v>
      </c>
      <c r="I512" s="242" t="str">
        <f>IFERROR(VLOOKUP(WTG_BD[[#This Row],[Affected WTG]],'Basic Data'!$A$3:$E$56,3,0),"")</f>
        <v>MSEDCL</v>
      </c>
      <c r="J512" s="243">
        <f>IFERROR(VLOOKUP(WTG_BD[[#This Row],[Affected WTG]],'Basic Data'!$A$3:$E$56,5,0),"")</f>
        <v>2.564102564102564E-2</v>
      </c>
      <c r="K512" s="158" t="s">
        <v>514</v>
      </c>
      <c r="L512" s="247" t="str">
        <f>VLOOKUP(K512,'Basic Data'!T:U,2,0)</f>
        <v>General Work Stoppage</v>
      </c>
      <c r="M512" s="135" t="s">
        <v>496</v>
      </c>
      <c r="N512" s="256">
        <v>0.47222222222222221</v>
      </c>
      <c r="O512" s="256">
        <v>0.47222222222222221</v>
      </c>
      <c r="P512" s="256">
        <v>0.53125</v>
      </c>
      <c r="Q512" s="253">
        <f>IF(WTG_BD[[#This Row],[Work Start TimeStamp]]="","",(WTG_BD[[#This Row],[Work Start TimeStamp]]-WTG_BD[[#This Row],[Fault Start TimeStamp]])*24)</f>
        <v>0</v>
      </c>
      <c r="R512" s="253">
        <f>(WTG_BD[[#This Row],[Fault Clearance time]]-WTG_BD[[#This Row],[Work Start TimeStamp]])*24</f>
        <v>1.416666666666667</v>
      </c>
      <c r="S512" s="253">
        <f>(WTG_BD[[#This Row],[Fault Clearance time]]-WTG_BD[[#This Row],[Fault Start TimeStamp]])*24</f>
        <v>1.416666666666667</v>
      </c>
      <c r="T512" s="135" t="s">
        <v>580</v>
      </c>
      <c r="U512" s="244" t="s">
        <v>474</v>
      </c>
      <c r="V512" s="246">
        <f>WTG_BD[[#This Row],[Breakdown Time]]*(1/39)</f>
        <v>3.6324786324786335E-2</v>
      </c>
      <c r="W512" s="244" t="s">
        <v>153</v>
      </c>
      <c r="X512" s="250">
        <v>210.4930555555556</v>
      </c>
      <c r="Y512" s="135" t="s">
        <v>470</v>
      </c>
      <c r="Z512" s="135" t="s">
        <v>498</v>
      </c>
      <c r="AA512" s="135">
        <v>3566</v>
      </c>
      <c r="AB512" s="249">
        <f>(WTG_BD[[#This Row],[Paired WTG Generation for loss calculation.]]/24)*WTG_BD[[#This Row],[Breakdown Time]]</f>
        <v>210.4930555555556</v>
      </c>
      <c r="AC512" s="135"/>
      <c r="AD512" s="245"/>
      <c r="AE512" s="3"/>
    </row>
    <row r="513" spans="1:31">
      <c r="A513" s="241">
        <f t="shared" si="15"/>
        <v>512</v>
      </c>
      <c r="B513" s="255">
        <v>45787</v>
      </c>
      <c r="C513" s="252">
        <v>2025</v>
      </c>
      <c r="D513" s="252">
        <v>2025</v>
      </c>
      <c r="E513" s="251">
        <f t="shared" si="16"/>
        <v>45778</v>
      </c>
      <c r="F513" s="252" t="s">
        <v>465</v>
      </c>
      <c r="G513" s="248" t="s">
        <v>144</v>
      </c>
      <c r="H513" s="242" t="str">
        <f>IFERROR(VLOOKUP(WTG_BD[[#This Row],[Affected WTG]],'Basic Data'!$A$3:$E$56,2,0),"")</f>
        <v>PWEGPL</v>
      </c>
      <c r="I513" s="242" t="str">
        <f>IFERROR(VLOOKUP(WTG_BD[[#This Row],[Affected WTG]],'Basic Data'!$A$3:$E$56,3,0),"")</f>
        <v>MSEDCL</v>
      </c>
      <c r="J513" s="243">
        <f>IFERROR(VLOOKUP(WTG_BD[[#This Row],[Affected WTG]],'Basic Data'!$A$3:$E$56,5,0),"")</f>
        <v>2.564102564102564E-2</v>
      </c>
      <c r="K513" s="158" t="s">
        <v>466</v>
      </c>
      <c r="L513" s="247" t="str">
        <f>VLOOKUP(K513,'Basic Data'!T:U,2,0)</f>
        <v>Manual Stop - Safety Related</v>
      </c>
      <c r="M513" s="135" t="s">
        <v>467</v>
      </c>
      <c r="N513" s="256">
        <v>0</v>
      </c>
      <c r="O513" s="256">
        <v>0.99930555555555556</v>
      </c>
      <c r="P513" s="256">
        <v>0.99930555555555556</v>
      </c>
      <c r="Q513" s="253">
        <f>IF(WTG_BD[[#This Row],[Work Start TimeStamp]]="","",(WTG_BD[[#This Row],[Work Start TimeStamp]]-WTG_BD[[#This Row],[Fault Start TimeStamp]])*24)</f>
        <v>23.983333333333334</v>
      </c>
      <c r="R513" s="253">
        <f>(WTG_BD[[#This Row],[Fault Clearance time]]-WTG_BD[[#This Row],[Work Start TimeStamp]])*24</f>
        <v>0</v>
      </c>
      <c r="S513" s="253">
        <f>(WTG_BD[[#This Row],[Fault Clearance time]]-WTG_BD[[#This Row],[Fault Start TimeStamp]])*24</f>
        <v>23.983333333333334</v>
      </c>
      <c r="T513" s="135" t="s">
        <v>468</v>
      </c>
      <c r="U513" s="244" t="s">
        <v>469</v>
      </c>
      <c r="V513" s="246">
        <f>WTG_BD[[#This Row],[Breakdown Time]]*(1/39)</f>
        <v>0.61495726495726499</v>
      </c>
      <c r="W513" s="244" t="s">
        <v>141</v>
      </c>
      <c r="X513" s="250">
        <v>4029.2000000000003</v>
      </c>
      <c r="Y513" s="135" t="s">
        <v>470</v>
      </c>
      <c r="Z513" s="135" t="s">
        <v>471</v>
      </c>
      <c r="AA513" s="135">
        <v>4032</v>
      </c>
      <c r="AB513" s="249">
        <f>(WTG_BD[[#This Row],[Paired WTG Generation for loss calculation.]]/24)*WTG_BD[[#This Row],[Breakdown Time]]</f>
        <v>4029.2000000000003</v>
      </c>
      <c r="AC513" s="135"/>
      <c r="AD513" s="245"/>
      <c r="AE513" s="3"/>
    </row>
    <row r="514" spans="1:31">
      <c r="A514" s="241">
        <f t="shared" si="15"/>
        <v>513</v>
      </c>
      <c r="B514" s="255">
        <v>45787</v>
      </c>
      <c r="C514" s="252">
        <v>2025</v>
      </c>
      <c r="D514" s="252">
        <v>2025</v>
      </c>
      <c r="E514" s="251">
        <f t="shared" si="16"/>
        <v>45778</v>
      </c>
      <c r="F514" s="252" t="s">
        <v>465</v>
      </c>
      <c r="G514" s="248" t="s">
        <v>142</v>
      </c>
      <c r="H514" s="242" t="str">
        <f>IFERROR(VLOOKUP(WTG_BD[[#This Row],[Affected WTG]],'Basic Data'!$A$3:$E$56,2,0),"")</f>
        <v>PWEGPL</v>
      </c>
      <c r="I514" s="242" t="str">
        <f>IFERROR(VLOOKUP(WTG_BD[[#This Row],[Affected WTG]],'Basic Data'!$A$3:$E$56,3,0),"")</f>
        <v>MSEDCL</v>
      </c>
      <c r="J514" s="243">
        <f>IFERROR(VLOOKUP(WTG_BD[[#This Row],[Affected WTG]],'Basic Data'!$A$3:$E$56,5,0),"")</f>
        <v>2.564102564102564E-2</v>
      </c>
      <c r="K514" s="158" t="s">
        <v>466</v>
      </c>
      <c r="L514" s="247" t="str">
        <f>VLOOKUP(K514,'Basic Data'!T:U,2,0)</f>
        <v>Manual Stop - Safety Related</v>
      </c>
      <c r="M514" s="135" t="s">
        <v>467</v>
      </c>
      <c r="N514" s="256">
        <v>0</v>
      </c>
      <c r="O514" s="256">
        <v>0.99930555555555556</v>
      </c>
      <c r="P514" s="256">
        <v>0.99930555555555556</v>
      </c>
      <c r="Q514" s="253">
        <f>IF(WTG_BD[[#This Row],[Work Start TimeStamp]]="","",(WTG_BD[[#This Row],[Work Start TimeStamp]]-WTG_BD[[#This Row],[Fault Start TimeStamp]])*24)</f>
        <v>23.983333333333334</v>
      </c>
      <c r="R514" s="253">
        <f>(WTG_BD[[#This Row],[Fault Clearance time]]-WTG_BD[[#This Row],[Work Start TimeStamp]])*24</f>
        <v>0</v>
      </c>
      <c r="S514" s="253">
        <f>(WTG_BD[[#This Row],[Fault Clearance time]]-WTG_BD[[#This Row],[Fault Start TimeStamp]])*24</f>
        <v>23.983333333333334</v>
      </c>
      <c r="T514" s="135" t="s">
        <v>468</v>
      </c>
      <c r="U514" s="244" t="s">
        <v>469</v>
      </c>
      <c r="V514" s="246">
        <f>WTG_BD[[#This Row],[Breakdown Time]]*(1/39)</f>
        <v>0.61495726495726499</v>
      </c>
      <c r="W514" s="244" t="s">
        <v>141</v>
      </c>
      <c r="X514" s="250">
        <v>4029.2000000000003</v>
      </c>
      <c r="Y514" s="135" t="s">
        <v>470</v>
      </c>
      <c r="Z514" s="135" t="s">
        <v>471</v>
      </c>
      <c r="AA514" s="135">
        <v>4032</v>
      </c>
      <c r="AB514" s="249">
        <f>(WTG_BD[[#This Row],[Paired WTG Generation for loss calculation.]]/24)*WTG_BD[[#This Row],[Breakdown Time]]</f>
        <v>4029.2000000000003</v>
      </c>
      <c r="AC514" s="135"/>
      <c r="AD514" s="245"/>
      <c r="AE514" s="3"/>
    </row>
    <row r="515" spans="1:31">
      <c r="A515" s="241">
        <f t="shared" ref="A515:A578" si="17">A514+1</f>
        <v>514</v>
      </c>
      <c r="B515" s="255">
        <v>45787</v>
      </c>
      <c r="C515" s="252">
        <v>2025</v>
      </c>
      <c r="D515" s="252">
        <v>2025</v>
      </c>
      <c r="E515" s="251">
        <f t="shared" si="16"/>
        <v>45778</v>
      </c>
      <c r="F515" s="252" t="s">
        <v>465</v>
      </c>
      <c r="G515" s="248" t="s">
        <v>118</v>
      </c>
      <c r="H515" s="242" t="str">
        <f>IFERROR(VLOOKUP(WTG_BD[[#This Row],[Affected WTG]],'Basic Data'!$A$3:$E$56,2,0),"")</f>
        <v>PWEGPL</v>
      </c>
      <c r="I515" s="242" t="str">
        <f>IFERROR(VLOOKUP(WTG_BD[[#This Row],[Affected WTG]],'Basic Data'!$A$3:$E$56,3,0),"")</f>
        <v>MSEDCL</v>
      </c>
      <c r="J515" s="243">
        <f>IFERROR(VLOOKUP(WTG_BD[[#This Row],[Affected WTG]],'Basic Data'!$A$3:$E$56,5,0),"")</f>
        <v>2.564102564102564E-2</v>
      </c>
      <c r="K515" s="158">
        <v>222</v>
      </c>
      <c r="L515" s="247" t="str">
        <f>VLOOKUP(K515,'Basic Data'!T:U,2,0)</f>
        <v>Very Low Pressure On Hydraulic Unit</v>
      </c>
      <c r="M515" s="135" t="s">
        <v>472</v>
      </c>
      <c r="N515" s="256">
        <v>0.45694444444444443</v>
      </c>
      <c r="O515" s="256">
        <v>0.49305555555555558</v>
      </c>
      <c r="P515" s="256">
        <v>0.99930555555555556</v>
      </c>
      <c r="Q515" s="253">
        <f>IF(WTG_BD[[#This Row],[Work Start TimeStamp]]="","",(WTG_BD[[#This Row],[Work Start TimeStamp]]-WTG_BD[[#This Row],[Fault Start TimeStamp]])*24)</f>
        <v>0.86666666666666758</v>
      </c>
      <c r="R515" s="253">
        <f>(WTG_BD[[#This Row],[Fault Clearance time]]-WTG_BD[[#This Row],[Work Start TimeStamp]])*24</f>
        <v>12.149999999999999</v>
      </c>
      <c r="S515" s="253">
        <f>(WTG_BD[[#This Row],[Fault Clearance time]]-WTG_BD[[#This Row],[Fault Start TimeStamp]])*24</f>
        <v>13.016666666666666</v>
      </c>
      <c r="T515" s="135" t="s">
        <v>486</v>
      </c>
      <c r="U515" s="244" t="s">
        <v>469</v>
      </c>
      <c r="V515" s="246">
        <f>WTG_BD[[#This Row],[Breakdown Time]]*(1/39)</f>
        <v>0.33376068376068374</v>
      </c>
      <c r="W515" s="244" t="s">
        <v>117</v>
      </c>
      <c r="X515" s="250">
        <v>3619.1756944444446</v>
      </c>
      <c r="Y515" s="135" t="s">
        <v>470</v>
      </c>
      <c r="Z515" s="135" t="s">
        <v>475</v>
      </c>
      <c r="AA515" s="135">
        <v>6673</v>
      </c>
      <c r="AB515" s="249">
        <f>(WTG_BD[[#This Row],[Paired WTG Generation for loss calculation.]]/24)*WTG_BD[[#This Row],[Breakdown Time]]</f>
        <v>3619.1756944444446</v>
      </c>
      <c r="AC515" s="135"/>
      <c r="AD515" s="245"/>
      <c r="AE515" s="3"/>
    </row>
    <row r="516" spans="1:31">
      <c r="A516" s="241">
        <f t="shared" si="17"/>
        <v>515</v>
      </c>
      <c r="B516" s="255">
        <v>45787</v>
      </c>
      <c r="C516" s="252">
        <v>2025</v>
      </c>
      <c r="D516" s="252">
        <v>2025</v>
      </c>
      <c r="E516" s="251">
        <f t="shared" ref="E516:E571" si="18">B516-DAY(B516)+1</f>
        <v>45778</v>
      </c>
      <c r="F516" s="252" t="s">
        <v>465</v>
      </c>
      <c r="G516" s="248" t="s">
        <v>123</v>
      </c>
      <c r="H516" s="242" t="str">
        <f>IFERROR(VLOOKUP(WTG_BD[[#This Row],[Affected WTG]],'Basic Data'!$A$3:$E$56,2,0),"")</f>
        <v>PWEGPL</v>
      </c>
      <c r="I516" s="242" t="str">
        <f>IFERROR(VLOOKUP(WTG_BD[[#This Row],[Affected WTG]],'Basic Data'!$A$3:$E$56,3,0),"")</f>
        <v>MSEDCL</v>
      </c>
      <c r="J516" s="243">
        <f>IFERROR(VLOOKUP(WTG_BD[[#This Row],[Affected WTG]],'Basic Data'!$A$3:$E$56,5,0),"")</f>
        <v>2.564102564102564E-2</v>
      </c>
      <c r="K516" s="158">
        <v>800</v>
      </c>
      <c r="L516" s="247" t="str">
        <f>VLOOKUP(K516,'Basic Data'!T:U,2,0)</f>
        <v>Pitch Drive Error</v>
      </c>
      <c r="M516" s="135" t="s">
        <v>472</v>
      </c>
      <c r="N516" s="256">
        <v>0.68472222222222223</v>
      </c>
      <c r="O516" s="256">
        <v>0.70486111111111116</v>
      </c>
      <c r="P516" s="256">
        <v>0.79027777777777775</v>
      </c>
      <c r="Q516" s="253">
        <f>IF(WTG_BD[[#This Row],[Work Start TimeStamp]]="","",(WTG_BD[[#This Row],[Work Start TimeStamp]]-WTG_BD[[#This Row],[Fault Start TimeStamp]])*24)</f>
        <v>0.48333333333333428</v>
      </c>
      <c r="R516" s="253">
        <f>(WTG_BD[[#This Row],[Fault Clearance time]]-WTG_BD[[#This Row],[Work Start TimeStamp]])*24</f>
        <v>2.049999999999998</v>
      </c>
      <c r="S516" s="253">
        <f>(WTG_BD[[#This Row],[Fault Clearance time]]-WTG_BD[[#This Row],[Fault Start TimeStamp]])*24</f>
        <v>2.5333333333333323</v>
      </c>
      <c r="T516" s="135" t="s">
        <v>582</v>
      </c>
      <c r="U516" s="244" t="s">
        <v>474</v>
      </c>
      <c r="V516" s="246">
        <f>WTG_BD[[#This Row],[Breakdown Time]]*(1/39)</f>
        <v>6.4957264957264935E-2</v>
      </c>
      <c r="W516" s="244" t="s">
        <v>126</v>
      </c>
      <c r="X516" s="250">
        <v>743.42777777777746</v>
      </c>
      <c r="Y516" s="135" t="s">
        <v>470</v>
      </c>
      <c r="Z516" s="135" t="s">
        <v>475</v>
      </c>
      <c r="AA516" s="135">
        <v>7043</v>
      </c>
      <c r="AB516" s="249">
        <f>(WTG_BD[[#This Row],[Paired WTG Generation for loss calculation.]]/24)*WTG_BD[[#This Row],[Breakdown Time]]</f>
        <v>743.42777777777746</v>
      </c>
      <c r="AC516" s="135"/>
      <c r="AD516" s="245"/>
      <c r="AE516" s="3"/>
    </row>
    <row r="517" spans="1:31">
      <c r="A517" s="241">
        <f t="shared" si="17"/>
        <v>516</v>
      </c>
      <c r="B517" s="255">
        <v>45788</v>
      </c>
      <c r="C517" s="252">
        <v>2025</v>
      </c>
      <c r="D517" s="252">
        <v>2025</v>
      </c>
      <c r="E517" s="251">
        <f t="shared" si="18"/>
        <v>45778</v>
      </c>
      <c r="F517" s="252" t="s">
        <v>465</v>
      </c>
      <c r="G517" s="248" t="s">
        <v>144</v>
      </c>
      <c r="H517" s="242" t="str">
        <f>IFERROR(VLOOKUP(WTG_BD[[#This Row],[Affected WTG]],'Basic Data'!$A$3:$E$56,2,0),"")</f>
        <v>PWEGPL</v>
      </c>
      <c r="I517" s="242" t="str">
        <f>IFERROR(VLOOKUP(WTG_BD[[#This Row],[Affected WTG]],'Basic Data'!$A$3:$E$56,3,0),"")</f>
        <v>MSEDCL</v>
      </c>
      <c r="J517" s="243">
        <f>IFERROR(VLOOKUP(WTG_BD[[#This Row],[Affected WTG]],'Basic Data'!$A$3:$E$56,5,0),"")</f>
        <v>2.564102564102564E-2</v>
      </c>
      <c r="K517" s="158" t="s">
        <v>466</v>
      </c>
      <c r="L517" s="247" t="str">
        <f>VLOOKUP(K517,'Basic Data'!T:U,2,0)</f>
        <v>Manual Stop - Safety Related</v>
      </c>
      <c r="M517" s="135" t="s">
        <v>467</v>
      </c>
      <c r="N517" s="256">
        <v>0</v>
      </c>
      <c r="O517" s="256">
        <v>0.99930555555555556</v>
      </c>
      <c r="P517" s="256">
        <v>0.99930555555555556</v>
      </c>
      <c r="Q517" s="253">
        <f>IF(WTG_BD[[#This Row],[Work Start TimeStamp]]="","",(WTG_BD[[#This Row],[Work Start TimeStamp]]-WTG_BD[[#This Row],[Fault Start TimeStamp]])*24)</f>
        <v>23.983333333333334</v>
      </c>
      <c r="R517" s="253">
        <f>(WTG_BD[[#This Row],[Fault Clearance time]]-WTG_BD[[#This Row],[Work Start TimeStamp]])*24</f>
        <v>0</v>
      </c>
      <c r="S517" s="253">
        <f>(WTG_BD[[#This Row],[Fault Clearance time]]-WTG_BD[[#This Row],[Fault Start TimeStamp]])*24</f>
        <v>23.983333333333334</v>
      </c>
      <c r="T517" s="135" t="s">
        <v>468</v>
      </c>
      <c r="U517" s="244" t="s">
        <v>469</v>
      </c>
      <c r="V517" s="246">
        <f>WTG_BD[[#This Row],[Breakdown Time]]*(1/39)</f>
        <v>0.61495726495726499</v>
      </c>
      <c r="W517" s="244" t="s">
        <v>141</v>
      </c>
      <c r="X517" s="250">
        <v>8511.0854166666668</v>
      </c>
      <c r="Y517" s="135" t="s">
        <v>470</v>
      </c>
      <c r="Z517" s="135" t="s">
        <v>471</v>
      </c>
      <c r="AA517" s="135">
        <v>8517</v>
      </c>
      <c r="AB517" s="249">
        <f>(WTG_BD[[#This Row],[Paired WTG Generation for loss calculation.]]/24)*WTG_BD[[#This Row],[Breakdown Time]]</f>
        <v>8511.0854166666668</v>
      </c>
      <c r="AC517" s="135"/>
      <c r="AD517" s="245"/>
      <c r="AE517" s="3"/>
    </row>
    <row r="518" spans="1:31">
      <c r="A518" s="241">
        <f t="shared" si="17"/>
        <v>517</v>
      </c>
      <c r="B518" s="255">
        <v>45788</v>
      </c>
      <c r="C518" s="252">
        <v>2025</v>
      </c>
      <c r="D518" s="252">
        <v>2025</v>
      </c>
      <c r="E518" s="251">
        <f t="shared" si="18"/>
        <v>45778</v>
      </c>
      <c r="F518" s="252" t="s">
        <v>465</v>
      </c>
      <c r="G518" s="248" t="s">
        <v>142</v>
      </c>
      <c r="H518" s="242" t="str">
        <f>IFERROR(VLOOKUP(WTG_BD[[#This Row],[Affected WTG]],'Basic Data'!$A$3:$E$56,2,0),"")</f>
        <v>PWEGPL</v>
      </c>
      <c r="I518" s="242" t="str">
        <f>IFERROR(VLOOKUP(WTG_BD[[#This Row],[Affected WTG]],'Basic Data'!$A$3:$E$56,3,0),"")</f>
        <v>MSEDCL</v>
      </c>
      <c r="J518" s="243">
        <f>IFERROR(VLOOKUP(WTG_BD[[#This Row],[Affected WTG]],'Basic Data'!$A$3:$E$56,5,0),"")</f>
        <v>2.564102564102564E-2</v>
      </c>
      <c r="K518" s="158" t="s">
        <v>466</v>
      </c>
      <c r="L518" s="247" t="str">
        <f>VLOOKUP(K518,'Basic Data'!T:U,2,0)</f>
        <v>Manual Stop - Safety Related</v>
      </c>
      <c r="M518" s="135" t="s">
        <v>467</v>
      </c>
      <c r="N518" s="256">
        <v>0</v>
      </c>
      <c r="O518" s="256">
        <v>0.99930555555555556</v>
      </c>
      <c r="P518" s="256">
        <v>0.99930555555555556</v>
      </c>
      <c r="Q518" s="253">
        <f>IF(WTG_BD[[#This Row],[Work Start TimeStamp]]="","",(WTG_BD[[#This Row],[Work Start TimeStamp]]-WTG_BD[[#This Row],[Fault Start TimeStamp]])*24)</f>
        <v>23.983333333333334</v>
      </c>
      <c r="R518" s="253">
        <f>(WTG_BD[[#This Row],[Fault Clearance time]]-WTG_BD[[#This Row],[Work Start TimeStamp]])*24</f>
        <v>0</v>
      </c>
      <c r="S518" s="253">
        <f>(WTG_BD[[#This Row],[Fault Clearance time]]-WTG_BD[[#This Row],[Fault Start TimeStamp]])*24</f>
        <v>23.983333333333334</v>
      </c>
      <c r="T518" s="135" t="s">
        <v>468</v>
      </c>
      <c r="U518" s="244" t="s">
        <v>469</v>
      </c>
      <c r="V518" s="246">
        <f>WTG_BD[[#This Row],[Breakdown Time]]*(1/39)</f>
        <v>0.61495726495726499</v>
      </c>
      <c r="W518" s="244" t="s">
        <v>141</v>
      </c>
      <c r="X518" s="250">
        <v>8511.0854166666668</v>
      </c>
      <c r="Y518" s="135" t="s">
        <v>470</v>
      </c>
      <c r="Z518" s="135" t="s">
        <v>471</v>
      </c>
      <c r="AA518" s="135">
        <v>8517</v>
      </c>
      <c r="AB518" s="249">
        <f>(WTG_BD[[#This Row],[Paired WTG Generation for loss calculation.]]/24)*WTG_BD[[#This Row],[Breakdown Time]]</f>
        <v>8511.0854166666668</v>
      </c>
      <c r="AC518" s="135"/>
      <c r="AD518" s="245"/>
      <c r="AE518" s="3"/>
    </row>
    <row r="519" spans="1:31">
      <c r="A519" s="241">
        <f t="shared" si="17"/>
        <v>518</v>
      </c>
      <c r="B519" s="255">
        <v>45788</v>
      </c>
      <c r="C519" s="252">
        <v>2025</v>
      </c>
      <c r="D519" s="252">
        <v>2025</v>
      </c>
      <c r="E519" s="251">
        <f t="shared" si="18"/>
        <v>45778</v>
      </c>
      <c r="F519" s="252" t="s">
        <v>465</v>
      </c>
      <c r="G519" s="248" t="s">
        <v>118</v>
      </c>
      <c r="H519" s="242" t="str">
        <f>IFERROR(VLOOKUP(WTG_BD[[#This Row],[Affected WTG]],'Basic Data'!$A$3:$E$56,2,0),"")</f>
        <v>PWEGPL</v>
      </c>
      <c r="I519" s="242" t="str">
        <f>IFERROR(VLOOKUP(WTG_BD[[#This Row],[Affected WTG]],'Basic Data'!$A$3:$E$56,3,0),"")</f>
        <v>MSEDCL</v>
      </c>
      <c r="J519" s="243">
        <f>IFERROR(VLOOKUP(WTG_BD[[#This Row],[Affected WTG]],'Basic Data'!$A$3:$E$56,5,0),"")</f>
        <v>2.564102564102564E-2</v>
      </c>
      <c r="K519" s="158">
        <v>222</v>
      </c>
      <c r="L519" s="247" t="str">
        <f>VLOOKUP(K519,'Basic Data'!T:U,2,0)</f>
        <v>Very Low Pressure On Hydraulic Unit</v>
      </c>
      <c r="M519" s="135" t="s">
        <v>472</v>
      </c>
      <c r="N519" s="256">
        <v>0</v>
      </c>
      <c r="O519" s="256">
        <v>0.51249999999999996</v>
      </c>
      <c r="P519" s="256">
        <v>0.5708333333333333</v>
      </c>
      <c r="Q519" s="253">
        <f>IF(WTG_BD[[#This Row],[Work Start TimeStamp]]="","",(WTG_BD[[#This Row],[Work Start TimeStamp]]-WTG_BD[[#This Row],[Fault Start TimeStamp]])*24)</f>
        <v>12.299999999999999</v>
      </c>
      <c r="R519" s="253">
        <f>(WTG_BD[[#This Row],[Fault Clearance time]]-WTG_BD[[#This Row],[Work Start TimeStamp]])*24</f>
        <v>1.4000000000000004</v>
      </c>
      <c r="S519" s="253">
        <f>(WTG_BD[[#This Row],[Fault Clearance time]]-WTG_BD[[#This Row],[Fault Start TimeStamp]])*24</f>
        <v>13.7</v>
      </c>
      <c r="T519" s="135" t="s">
        <v>583</v>
      </c>
      <c r="U519" s="244" t="s">
        <v>474</v>
      </c>
      <c r="V519" s="246">
        <f>WTG_BD[[#This Row],[Breakdown Time]]*(1/39)</f>
        <v>0.35128205128205126</v>
      </c>
      <c r="W519" s="244" t="s">
        <v>117</v>
      </c>
      <c r="X519" s="250">
        <v>6916.2166666666662</v>
      </c>
      <c r="Y519" s="135" t="s">
        <v>470</v>
      </c>
      <c r="Z519" s="135" t="s">
        <v>475</v>
      </c>
      <c r="AA519" s="135">
        <v>12116</v>
      </c>
      <c r="AB519" s="249">
        <f>(WTG_BD[[#This Row],[Paired WTG Generation for loss calculation.]]/24)*WTG_BD[[#This Row],[Breakdown Time]]</f>
        <v>6916.2166666666662</v>
      </c>
      <c r="AC519" s="135"/>
      <c r="AD519" s="245"/>
      <c r="AE519" s="3"/>
    </row>
    <row r="520" spans="1:31">
      <c r="A520" s="241">
        <f t="shared" si="17"/>
        <v>519</v>
      </c>
      <c r="B520" s="255">
        <v>45788</v>
      </c>
      <c r="C520" s="252">
        <v>2025</v>
      </c>
      <c r="D520" s="252">
        <v>2025</v>
      </c>
      <c r="E520" s="251">
        <f t="shared" si="18"/>
        <v>45778</v>
      </c>
      <c r="F520" s="252" t="s">
        <v>465</v>
      </c>
      <c r="G520" s="248" t="s">
        <v>135</v>
      </c>
      <c r="H520" s="242" t="str">
        <f>IFERROR(VLOOKUP(WTG_BD[[#This Row],[Affected WTG]],'Basic Data'!$A$3:$E$56,2,0),"")</f>
        <v>PWEGPL</v>
      </c>
      <c r="I520" s="242" t="str">
        <f>IFERROR(VLOOKUP(WTG_BD[[#This Row],[Affected WTG]],'Basic Data'!$A$3:$E$56,3,0),"")</f>
        <v>MSEDCL</v>
      </c>
      <c r="J520" s="243">
        <f>IFERROR(VLOOKUP(WTG_BD[[#This Row],[Affected WTG]],'Basic Data'!$A$3:$E$56,5,0),"")</f>
        <v>2.564102564102564E-2</v>
      </c>
      <c r="K520" s="158">
        <v>5228</v>
      </c>
      <c r="L520" s="247" t="str">
        <f>VLOOKUP(K520,'Basic Data'!T:U,2,0)</f>
        <v>Preload Failure</v>
      </c>
      <c r="M520" s="135" t="s">
        <v>472</v>
      </c>
      <c r="N520" s="256">
        <v>0.35416666666666669</v>
      </c>
      <c r="O520" s="256">
        <v>0.4236111111111111</v>
      </c>
      <c r="P520" s="256">
        <v>0.99930555555555556</v>
      </c>
      <c r="Q520" s="253">
        <f>IF(WTG_BD[[#This Row],[Work Start TimeStamp]]="","",(WTG_BD[[#This Row],[Work Start TimeStamp]]-WTG_BD[[#This Row],[Fault Start TimeStamp]])*24)</f>
        <v>1.6666666666666661</v>
      </c>
      <c r="R520" s="253">
        <f>(WTG_BD[[#This Row],[Fault Clearance time]]-WTG_BD[[#This Row],[Work Start TimeStamp]])*24</f>
        <v>13.816666666666668</v>
      </c>
      <c r="S520" s="253">
        <f>(WTG_BD[[#This Row],[Fault Clearance time]]-WTG_BD[[#This Row],[Fault Start TimeStamp]])*24</f>
        <v>15.483333333333334</v>
      </c>
      <c r="T520" s="135" t="s">
        <v>584</v>
      </c>
      <c r="U520" s="244" t="s">
        <v>469</v>
      </c>
      <c r="V520" s="246">
        <f>WTG_BD[[#This Row],[Breakdown Time]]*(1/39)</f>
        <v>0.39700854700854704</v>
      </c>
      <c r="W520" s="244" t="s">
        <v>136</v>
      </c>
      <c r="X520" s="250">
        <v>5585.6125000000002</v>
      </c>
      <c r="Y520" s="135" t="s">
        <v>470</v>
      </c>
      <c r="Z520" s="135" t="s">
        <v>475</v>
      </c>
      <c r="AA520" s="135">
        <v>8658</v>
      </c>
      <c r="AB520" s="249">
        <f>(WTG_BD[[#This Row],[Paired WTG Generation for loss calculation.]]/24)*WTG_BD[[#This Row],[Breakdown Time]]</f>
        <v>5585.6125000000002</v>
      </c>
      <c r="AC520" s="135"/>
      <c r="AD520" s="245"/>
      <c r="AE520" s="3"/>
    </row>
    <row r="521" spans="1:31">
      <c r="A521" s="241">
        <f t="shared" si="17"/>
        <v>520</v>
      </c>
      <c r="B521" s="255">
        <v>45788</v>
      </c>
      <c r="C521" s="252">
        <v>2025</v>
      </c>
      <c r="D521" s="252">
        <v>2025</v>
      </c>
      <c r="E521" s="251">
        <f t="shared" si="18"/>
        <v>45778</v>
      </c>
      <c r="F521" s="252" t="s">
        <v>465</v>
      </c>
      <c r="G521" s="248" t="s">
        <v>137</v>
      </c>
      <c r="H521" s="242" t="str">
        <f>IFERROR(VLOOKUP(WTG_BD[[#This Row],[Affected WTG]],'Basic Data'!$A$3:$E$56,2,0),"")</f>
        <v>PWEGPL</v>
      </c>
      <c r="I521" s="242" t="str">
        <f>IFERROR(VLOOKUP(WTG_BD[[#This Row],[Affected WTG]],'Basic Data'!$A$3:$E$56,3,0),"")</f>
        <v>MSEDCL</v>
      </c>
      <c r="J521" s="243">
        <f>IFERROR(VLOOKUP(WTG_BD[[#This Row],[Affected WTG]],'Basic Data'!$A$3:$E$56,5,0),"")</f>
        <v>2.564102564102564E-2</v>
      </c>
      <c r="K521" s="158">
        <v>2118</v>
      </c>
      <c r="L521" s="247" t="str">
        <f>VLOOKUP(K521,'Basic Data'!T:U,2,0)</f>
        <v>Bus Error - Interbus Failure</v>
      </c>
      <c r="M521" s="135" t="s">
        <v>472</v>
      </c>
      <c r="N521" s="256">
        <v>0.4375</v>
      </c>
      <c r="O521" s="256">
        <v>0.46875</v>
      </c>
      <c r="P521" s="256">
        <v>0.96111111111111114</v>
      </c>
      <c r="Q521" s="253">
        <f>IF(WTG_BD[[#This Row],[Work Start TimeStamp]]="","",(WTG_BD[[#This Row],[Work Start TimeStamp]]-WTG_BD[[#This Row],[Fault Start TimeStamp]])*24)</f>
        <v>0.75</v>
      </c>
      <c r="R521" s="253">
        <f>(WTG_BD[[#This Row],[Fault Clearance time]]-WTG_BD[[#This Row],[Work Start TimeStamp]])*24</f>
        <v>11.816666666666666</v>
      </c>
      <c r="S521" s="253">
        <f>(WTG_BD[[#This Row],[Fault Clearance time]]-WTG_BD[[#This Row],[Fault Start TimeStamp]])*24</f>
        <v>12.566666666666666</v>
      </c>
      <c r="T521" s="135" t="s">
        <v>585</v>
      </c>
      <c r="U521" s="244" t="s">
        <v>474</v>
      </c>
      <c r="V521" s="246">
        <f>WTG_BD[[#This Row],[Breakdown Time]]*(1/39)</f>
        <v>0.32222222222222219</v>
      </c>
      <c r="W521" s="244" t="s">
        <v>136</v>
      </c>
      <c r="X521" s="250">
        <v>4533.4250000000002</v>
      </c>
      <c r="Y521" s="135" t="s">
        <v>470</v>
      </c>
      <c r="Z521" s="135" t="s">
        <v>475</v>
      </c>
      <c r="AA521" s="135">
        <v>8658</v>
      </c>
      <c r="AB521" s="249">
        <f>(WTG_BD[[#This Row],[Paired WTG Generation for loss calculation.]]/24)*WTG_BD[[#This Row],[Breakdown Time]]</f>
        <v>4533.4250000000002</v>
      </c>
      <c r="AC521" s="135"/>
      <c r="AD521" s="245"/>
      <c r="AE521" s="3"/>
    </row>
    <row r="522" spans="1:31">
      <c r="A522" s="241">
        <f t="shared" si="17"/>
        <v>521</v>
      </c>
      <c r="B522" s="255">
        <v>45789</v>
      </c>
      <c r="C522" s="252">
        <v>2025</v>
      </c>
      <c r="D522" s="252">
        <v>2025</v>
      </c>
      <c r="E522" s="251">
        <f t="shared" si="18"/>
        <v>45778</v>
      </c>
      <c r="F522" s="252" t="s">
        <v>465</v>
      </c>
      <c r="G522" s="248" t="s">
        <v>144</v>
      </c>
      <c r="H522" s="242" t="str">
        <f>IFERROR(VLOOKUP(WTG_BD[[#This Row],[Affected WTG]],'Basic Data'!$A$3:$E$56,2,0),"")</f>
        <v>PWEGPL</v>
      </c>
      <c r="I522" s="242" t="str">
        <f>IFERROR(VLOOKUP(WTG_BD[[#This Row],[Affected WTG]],'Basic Data'!$A$3:$E$56,3,0),"")</f>
        <v>MSEDCL</v>
      </c>
      <c r="J522" s="243">
        <f>IFERROR(VLOOKUP(WTG_BD[[#This Row],[Affected WTG]],'Basic Data'!$A$3:$E$56,5,0),"")</f>
        <v>2.564102564102564E-2</v>
      </c>
      <c r="K522" s="158" t="s">
        <v>466</v>
      </c>
      <c r="L522" s="247" t="str">
        <f>VLOOKUP(K522,'Basic Data'!T:U,2,0)</f>
        <v>Manual Stop - Safety Related</v>
      </c>
      <c r="M522" s="135" t="s">
        <v>467</v>
      </c>
      <c r="N522" s="256">
        <v>0</v>
      </c>
      <c r="O522" s="256">
        <v>0.99930555555555556</v>
      </c>
      <c r="P522" s="256">
        <v>0.99930555555555556</v>
      </c>
      <c r="Q522" s="253">
        <f>IF(WTG_BD[[#This Row],[Work Start TimeStamp]]="","",(WTG_BD[[#This Row],[Work Start TimeStamp]]-WTG_BD[[#This Row],[Fault Start TimeStamp]])*24)</f>
        <v>23.983333333333334</v>
      </c>
      <c r="R522" s="253">
        <f>(WTG_BD[[#This Row],[Fault Clearance time]]-WTG_BD[[#This Row],[Work Start TimeStamp]])*24</f>
        <v>0</v>
      </c>
      <c r="S522" s="253">
        <f>(WTG_BD[[#This Row],[Fault Clearance time]]-WTG_BD[[#This Row],[Fault Start TimeStamp]])*24</f>
        <v>23.983333333333334</v>
      </c>
      <c r="T522" s="135" t="s">
        <v>468</v>
      </c>
      <c r="U522" s="244" t="s">
        <v>469</v>
      </c>
      <c r="V522" s="246">
        <f>WTG_BD[[#This Row],[Breakdown Time]]*(1/39)</f>
        <v>0.61495726495726499</v>
      </c>
      <c r="W522" s="244" t="s">
        <v>141</v>
      </c>
      <c r="X522" s="250">
        <v>4212.072916666667</v>
      </c>
      <c r="Y522" s="135" t="s">
        <v>470</v>
      </c>
      <c r="Z522" s="135" t="s">
        <v>471</v>
      </c>
      <c r="AA522" s="135">
        <v>4215</v>
      </c>
      <c r="AB522" s="249">
        <f>(WTG_BD[[#This Row],[Paired WTG Generation for loss calculation.]]/24)*WTG_BD[[#This Row],[Breakdown Time]]</f>
        <v>4212.072916666667</v>
      </c>
      <c r="AC522" s="135"/>
      <c r="AD522" s="245"/>
      <c r="AE522" s="3"/>
    </row>
    <row r="523" spans="1:31">
      <c r="A523" s="241">
        <f t="shared" si="17"/>
        <v>522</v>
      </c>
      <c r="B523" s="255">
        <v>45789</v>
      </c>
      <c r="C523" s="252">
        <v>2025</v>
      </c>
      <c r="D523" s="252">
        <v>2025</v>
      </c>
      <c r="E523" s="251">
        <f t="shared" si="18"/>
        <v>45778</v>
      </c>
      <c r="F523" s="252" t="s">
        <v>465</v>
      </c>
      <c r="G523" s="248" t="s">
        <v>142</v>
      </c>
      <c r="H523" s="242" t="str">
        <f>IFERROR(VLOOKUP(WTG_BD[[#This Row],[Affected WTG]],'Basic Data'!$A$3:$E$56,2,0),"")</f>
        <v>PWEGPL</v>
      </c>
      <c r="I523" s="242" t="str">
        <f>IFERROR(VLOOKUP(WTG_BD[[#This Row],[Affected WTG]],'Basic Data'!$A$3:$E$56,3,0),"")</f>
        <v>MSEDCL</v>
      </c>
      <c r="J523" s="243">
        <f>IFERROR(VLOOKUP(WTG_BD[[#This Row],[Affected WTG]],'Basic Data'!$A$3:$E$56,5,0),"")</f>
        <v>2.564102564102564E-2</v>
      </c>
      <c r="K523" s="158" t="s">
        <v>466</v>
      </c>
      <c r="L523" s="247" t="str">
        <f>VLOOKUP(K523,'Basic Data'!T:U,2,0)</f>
        <v>Manual Stop - Safety Related</v>
      </c>
      <c r="M523" s="135" t="s">
        <v>467</v>
      </c>
      <c r="N523" s="256">
        <v>0</v>
      </c>
      <c r="O523" s="256">
        <v>0.99930555555555556</v>
      </c>
      <c r="P523" s="256">
        <v>0.99930555555555556</v>
      </c>
      <c r="Q523" s="253">
        <f>IF(WTG_BD[[#This Row],[Work Start TimeStamp]]="","",(WTG_BD[[#This Row],[Work Start TimeStamp]]-WTG_BD[[#This Row],[Fault Start TimeStamp]])*24)</f>
        <v>23.983333333333334</v>
      </c>
      <c r="R523" s="253">
        <f>(WTG_BD[[#This Row],[Fault Clearance time]]-WTG_BD[[#This Row],[Work Start TimeStamp]])*24</f>
        <v>0</v>
      </c>
      <c r="S523" s="253">
        <f>(WTG_BD[[#This Row],[Fault Clearance time]]-WTG_BD[[#This Row],[Fault Start TimeStamp]])*24</f>
        <v>23.983333333333334</v>
      </c>
      <c r="T523" s="135" t="s">
        <v>468</v>
      </c>
      <c r="U523" s="244" t="s">
        <v>469</v>
      </c>
      <c r="V523" s="246">
        <f>WTG_BD[[#This Row],[Breakdown Time]]*(1/39)</f>
        <v>0.61495726495726499</v>
      </c>
      <c r="W523" s="244" t="s">
        <v>141</v>
      </c>
      <c r="X523" s="250">
        <v>4212.072916666667</v>
      </c>
      <c r="Y523" s="135" t="s">
        <v>470</v>
      </c>
      <c r="Z523" s="135" t="s">
        <v>471</v>
      </c>
      <c r="AA523" s="135">
        <v>4215</v>
      </c>
      <c r="AB523" s="249">
        <f>(WTG_BD[[#This Row],[Paired WTG Generation for loss calculation.]]/24)*WTG_BD[[#This Row],[Breakdown Time]]</f>
        <v>4212.072916666667</v>
      </c>
      <c r="AC523" s="135"/>
      <c r="AD523" s="245"/>
      <c r="AE523" s="3"/>
    </row>
    <row r="524" spans="1:31">
      <c r="A524" s="241">
        <f t="shared" si="17"/>
        <v>523</v>
      </c>
      <c r="B524" s="255">
        <v>45789</v>
      </c>
      <c r="C524" s="252">
        <v>2025</v>
      </c>
      <c r="D524" s="252">
        <v>2025</v>
      </c>
      <c r="E524" s="251">
        <f t="shared" si="18"/>
        <v>45778</v>
      </c>
      <c r="F524" s="252" t="s">
        <v>465</v>
      </c>
      <c r="G524" s="248" t="s">
        <v>118</v>
      </c>
      <c r="H524" s="242" t="str">
        <f>IFERROR(VLOOKUP(WTG_BD[[#This Row],[Affected WTG]],'Basic Data'!$A$3:$E$56,2,0),"")</f>
        <v>PWEGPL</v>
      </c>
      <c r="I524" s="242" t="str">
        <f>IFERROR(VLOOKUP(WTG_BD[[#This Row],[Affected WTG]],'Basic Data'!$A$3:$E$56,3,0),"")</f>
        <v>MSEDCL</v>
      </c>
      <c r="J524" s="243">
        <f>IFERROR(VLOOKUP(WTG_BD[[#This Row],[Affected WTG]],'Basic Data'!$A$3:$E$56,5,0),"")</f>
        <v>2.564102564102564E-2</v>
      </c>
      <c r="K524" s="158">
        <v>222</v>
      </c>
      <c r="L524" s="247" t="str">
        <f>VLOOKUP(K524,'Basic Data'!T:U,2,0)</f>
        <v>Very Low Pressure On Hydraulic Unit</v>
      </c>
      <c r="M524" s="135" t="s">
        <v>472</v>
      </c>
      <c r="N524" s="256">
        <v>0.38611111111111113</v>
      </c>
      <c r="O524" s="256">
        <v>0.49791666666666667</v>
      </c>
      <c r="P524" s="256">
        <v>0.5708333333333333</v>
      </c>
      <c r="Q524" s="253">
        <f>IF(WTG_BD[[#This Row],[Work Start TimeStamp]]="","",(WTG_BD[[#This Row],[Work Start TimeStamp]]-WTG_BD[[#This Row],[Fault Start TimeStamp]])*24)</f>
        <v>2.6833333333333331</v>
      </c>
      <c r="R524" s="253">
        <f>(WTG_BD[[#This Row],[Fault Clearance time]]-WTG_BD[[#This Row],[Work Start TimeStamp]])*24</f>
        <v>1.7499999999999991</v>
      </c>
      <c r="S524" s="253">
        <f>(WTG_BD[[#This Row],[Fault Clearance time]]-WTG_BD[[#This Row],[Fault Start TimeStamp]])*24</f>
        <v>4.4333333333333318</v>
      </c>
      <c r="T524" s="135" t="s">
        <v>586</v>
      </c>
      <c r="U524" s="244" t="s">
        <v>474</v>
      </c>
      <c r="V524" s="246">
        <f>WTG_BD[[#This Row],[Breakdown Time]]*(1/39)</f>
        <v>0.11367521367521363</v>
      </c>
      <c r="W524" s="244" t="s">
        <v>121</v>
      </c>
      <c r="X524" s="250">
        <v>574.3013888888886</v>
      </c>
      <c r="Y524" s="135" t="s">
        <v>470</v>
      </c>
      <c r="Z524" s="135" t="s">
        <v>475</v>
      </c>
      <c r="AA524" s="135">
        <v>3109</v>
      </c>
      <c r="AB524" s="249">
        <f>(WTG_BD[[#This Row],[Paired WTG Generation for loss calculation.]]/24)*WTG_BD[[#This Row],[Breakdown Time]]</f>
        <v>574.3013888888886</v>
      </c>
      <c r="AC524" s="135"/>
      <c r="AD524" s="245"/>
      <c r="AE524" s="3"/>
    </row>
    <row r="525" spans="1:31">
      <c r="A525" s="241">
        <f t="shared" si="17"/>
        <v>524</v>
      </c>
      <c r="B525" s="255">
        <v>45789</v>
      </c>
      <c r="C525" s="252">
        <v>2025</v>
      </c>
      <c r="D525" s="252">
        <v>2025</v>
      </c>
      <c r="E525" s="251">
        <f t="shared" si="18"/>
        <v>45778</v>
      </c>
      <c r="F525" s="252" t="s">
        <v>465</v>
      </c>
      <c r="G525" s="248" t="s">
        <v>117</v>
      </c>
      <c r="H525" s="242" t="str">
        <f>IFERROR(VLOOKUP(WTG_BD[[#This Row],[Affected WTG]],'Basic Data'!$A$3:$E$56,2,0),"")</f>
        <v>PWEGPL</v>
      </c>
      <c r="I525" s="242" t="str">
        <f>IFERROR(VLOOKUP(WTG_BD[[#This Row],[Affected WTG]],'Basic Data'!$A$3:$E$56,3,0),"")</f>
        <v>MSEDCL</v>
      </c>
      <c r="J525" s="243">
        <f>IFERROR(VLOOKUP(WTG_BD[[#This Row],[Affected WTG]],'Basic Data'!$A$3:$E$56,5,0),"")</f>
        <v>2.564102564102564E-2</v>
      </c>
      <c r="K525" s="158" t="s">
        <v>466</v>
      </c>
      <c r="L525" s="247" t="str">
        <f>VLOOKUP(K525,'Basic Data'!T:U,2,0)</f>
        <v>Manual Stop - Safety Related</v>
      </c>
      <c r="M525" s="135" t="s">
        <v>467</v>
      </c>
      <c r="N525" s="256">
        <v>0.47222222222222221</v>
      </c>
      <c r="O525" s="256">
        <v>0.47222222222222221</v>
      </c>
      <c r="P525" s="256">
        <v>0.56597222222222221</v>
      </c>
      <c r="Q525" s="253">
        <f>IF(WTG_BD[[#This Row],[Work Start TimeStamp]]="","",(WTG_BD[[#This Row],[Work Start TimeStamp]]-WTG_BD[[#This Row],[Fault Start TimeStamp]])*24)</f>
        <v>0</v>
      </c>
      <c r="R525" s="253">
        <f>(WTG_BD[[#This Row],[Fault Clearance time]]-WTG_BD[[#This Row],[Work Start TimeStamp]])*24</f>
        <v>2.25</v>
      </c>
      <c r="S525" s="253">
        <f>(WTG_BD[[#This Row],[Fault Clearance time]]-WTG_BD[[#This Row],[Fault Start TimeStamp]])*24</f>
        <v>2.25</v>
      </c>
      <c r="T525" s="135" t="s">
        <v>503</v>
      </c>
      <c r="U525" s="244" t="s">
        <v>474</v>
      </c>
      <c r="V525" s="246">
        <f>WTG_BD[[#This Row],[Breakdown Time]]*(1/39)</f>
        <v>5.7692307692307689E-2</v>
      </c>
      <c r="W525" s="244" t="s">
        <v>120</v>
      </c>
      <c r="X525" s="250">
        <v>289.3125</v>
      </c>
      <c r="Y525" s="135" t="s">
        <v>470</v>
      </c>
      <c r="Z525" s="135" t="s">
        <v>471</v>
      </c>
      <c r="AA525" s="135">
        <v>3086</v>
      </c>
      <c r="AB525" s="249">
        <f>(WTG_BD[[#This Row],[Paired WTG Generation for loss calculation.]]/24)*WTG_BD[[#This Row],[Breakdown Time]]</f>
        <v>289.3125</v>
      </c>
      <c r="AC525" s="135"/>
      <c r="AD525" s="245"/>
      <c r="AE525" s="3"/>
    </row>
    <row r="526" spans="1:31">
      <c r="A526" s="241">
        <f t="shared" si="17"/>
        <v>525</v>
      </c>
      <c r="B526" s="255">
        <v>45789</v>
      </c>
      <c r="C526" s="252">
        <v>2025</v>
      </c>
      <c r="D526" s="252">
        <v>2025</v>
      </c>
      <c r="E526" s="251">
        <f t="shared" si="18"/>
        <v>45778</v>
      </c>
      <c r="F526" s="252" t="s">
        <v>465</v>
      </c>
      <c r="G526" s="248" t="s">
        <v>137</v>
      </c>
      <c r="H526" s="242" t="str">
        <f>IFERROR(VLOOKUP(WTG_BD[[#This Row],[Affected WTG]],'Basic Data'!$A$3:$E$56,2,0),"")</f>
        <v>PWEGPL</v>
      </c>
      <c r="I526" s="242" t="str">
        <f>IFERROR(VLOOKUP(WTG_BD[[#This Row],[Affected WTG]],'Basic Data'!$A$3:$E$56,3,0),"")</f>
        <v>MSEDCL</v>
      </c>
      <c r="J526" s="243">
        <f>IFERROR(VLOOKUP(WTG_BD[[#This Row],[Affected WTG]],'Basic Data'!$A$3:$E$56,5,0),"")</f>
        <v>2.564102564102564E-2</v>
      </c>
      <c r="K526" s="158">
        <v>2118</v>
      </c>
      <c r="L526" s="247" t="str">
        <f>VLOOKUP(K526,'Basic Data'!T:U,2,0)</f>
        <v>Bus Error - Interbus Failure</v>
      </c>
      <c r="M526" s="135" t="s">
        <v>472</v>
      </c>
      <c r="N526" s="256">
        <v>0.38541666666666669</v>
      </c>
      <c r="O526" s="256">
        <v>0.47291666666666665</v>
      </c>
      <c r="P526" s="256">
        <v>0.72291666666666665</v>
      </c>
      <c r="Q526" s="253">
        <f>IF(WTG_BD[[#This Row],[Work Start TimeStamp]]="","",(WTG_BD[[#This Row],[Work Start TimeStamp]]-WTG_BD[[#This Row],[Fault Start TimeStamp]])*24)</f>
        <v>2.0999999999999992</v>
      </c>
      <c r="R526" s="253">
        <f>(WTG_BD[[#This Row],[Fault Clearance time]]-WTG_BD[[#This Row],[Work Start TimeStamp]])*24</f>
        <v>6</v>
      </c>
      <c r="S526" s="253">
        <f>(WTG_BD[[#This Row],[Fault Clearance time]]-WTG_BD[[#This Row],[Fault Start TimeStamp]])*24</f>
        <v>8.1</v>
      </c>
      <c r="T526" s="135" t="s">
        <v>587</v>
      </c>
      <c r="U526" s="244" t="s">
        <v>474</v>
      </c>
      <c r="V526" s="246">
        <f>WTG_BD[[#This Row],[Breakdown Time]]*(1/39)</f>
        <v>0.20769230769230768</v>
      </c>
      <c r="W526" s="244" t="s">
        <v>119</v>
      </c>
      <c r="X526" s="250">
        <v>1360.8</v>
      </c>
      <c r="Y526" s="135" t="s">
        <v>470</v>
      </c>
      <c r="Z526" s="135" t="s">
        <v>471</v>
      </c>
      <c r="AA526" s="135">
        <v>4032</v>
      </c>
      <c r="AB526" s="249">
        <f>(WTG_BD[[#This Row],[Paired WTG Generation for loss calculation.]]/24)*WTG_BD[[#This Row],[Breakdown Time]]</f>
        <v>1360.8</v>
      </c>
      <c r="AC526" s="135"/>
      <c r="AD526" s="245"/>
      <c r="AE526" s="3"/>
    </row>
    <row r="527" spans="1:31">
      <c r="A527" s="241">
        <f t="shared" si="17"/>
        <v>526</v>
      </c>
      <c r="B527" s="255">
        <v>45789</v>
      </c>
      <c r="C527" s="252">
        <v>2025</v>
      </c>
      <c r="D527" s="252">
        <v>2025</v>
      </c>
      <c r="E527" s="251">
        <f t="shared" si="18"/>
        <v>45778</v>
      </c>
      <c r="F527" s="252" t="s">
        <v>465</v>
      </c>
      <c r="G527" s="248" t="s">
        <v>136</v>
      </c>
      <c r="H527" s="242" t="str">
        <f>IFERROR(VLOOKUP(WTG_BD[[#This Row],[Affected WTG]],'Basic Data'!$A$3:$E$56,2,0),"")</f>
        <v>PWEGPL</v>
      </c>
      <c r="I527" s="242" t="str">
        <f>IFERROR(VLOOKUP(WTG_BD[[#This Row],[Affected WTG]],'Basic Data'!$A$3:$E$56,3,0),"")</f>
        <v>MSEDCL</v>
      </c>
      <c r="J527" s="243">
        <f>IFERROR(VLOOKUP(WTG_BD[[#This Row],[Affected WTG]],'Basic Data'!$A$3:$E$56,5,0),"")</f>
        <v>2.564102564102564E-2</v>
      </c>
      <c r="K527" s="158" t="s">
        <v>523</v>
      </c>
      <c r="L527" s="247" t="str">
        <f>VLOOKUP(K527,'Basic Data'!T:U,2,0)</f>
        <v>Manual Stop</v>
      </c>
      <c r="M527" s="135" t="s">
        <v>573</v>
      </c>
      <c r="N527" s="256">
        <v>0.48055555555555557</v>
      </c>
      <c r="O527" s="256">
        <v>0.48055555555555557</v>
      </c>
      <c r="P527" s="256">
        <v>0.56597222222222221</v>
      </c>
      <c r="Q527" s="253">
        <f>IF(WTG_BD[[#This Row],[Work Start TimeStamp]]="","",(WTG_BD[[#This Row],[Work Start TimeStamp]]-WTG_BD[[#This Row],[Fault Start TimeStamp]])*24)</f>
        <v>0</v>
      </c>
      <c r="R527" s="253">
        <f>(WTG_BD[[#This Row],[Fault Clearance time]]-WTG_BD[[#This Row],[Work Start TimeStamp]])*24</f>
        <v>2.0499999999999994</v>
      </c>
      <c r="S527" s="253">
        <f>(WTG_BD[[#This Row],[Fault Clearance time]]-WTG_BD[[#This Row],[Fault Start TimeStamp]])*24</f>
        <v>2.0499999999999994</v>
      </c>
      <c r="T527" s="135" t="s">
        <v>588</v>
      </c>
      <c r="U527" s="244" t="s">
        <v>474</v>
      </c>
      <c r="V527" s="246">
        <f>WTG_BD[[#This Row],[Breakdown Time]]*(1/39)</f>
        <v>5.2564102564102544E-2</v>
      </c>
      <c r="W527" s="244" t="s">
        <v>119</v>
      </c>
      <c r="X527" s="250">
        <v>344.39999999999992</v>
      </c>
      <c r="Y527" s="135" t="s">
        <v>470</v>
      </c>
      <c r="Z527" s="135" t="s">
        <v>498</v>
      </c>
      <c r="AA527" s="135">
        <v>4032</v>
      </c>
      <c r="AB527" s="249">
        <f>(WTG_BD[[#This Row],[Paired WTG Generation for loss calculation.]]/24)*WTG_BD[[#This Row],[Breakdown Time]]</f>
        <v>344.39999999999992</v>
      </c>
      <c r="AC527" s="135"/>
      <c r="AD527" s="245"/>
      <c r="AE527" s="3"/>
    </row>
    <row r="528" spans="1:31">
      <c r="A528" s="241">
        <f t="shared" si="17"/>
        <v>527</v>
      </c>
      <c r="B528" s="255">
        <v>45789</v>
      </c>
      <c r="C528" s="252">
        <v>2025</v>
      </c>
      <c r="D528" s="252">
        <v>2025</v>
      </c>
      <c r="E528" s="251">
        <f t="shared" si="18"/>
        <v>45778</v>
      </c>
      <c r="F528" s="252" t="s">
        <v>465</v>
      </c>
      <c r="G528" s="248" t="s">
        <v>135</v>
      </c>
      <c r="H528" s="242" t="str">
        <f>IFERROR(VLOOKUP(WTG_BD[[#This Row],[Affected WTG]],'Basic Data'!$A$3:$E$56,2,0),"")</f>
        <v>PWEGPL</v>
      </c>
      <c r="I528" s="242" t="str">
        <f>IFERROR(VLOOKUP(WTG_BD[[#This Row],[Affected WTG]],'Basic Data'!$A$3:$E$56,3,0),"")</f>
        <v>MSEDCL</v>
      </c>
      <c r="J528" s="243">
        <f>IFERROR(VLOOKUP(WTG_BD[[#This Row],[Affected WTG]],'Basic Data'!$A$3:$E$56,5,0),"")</f>
        <v>2.564102564102564E-2</v>
      </c>
      <c r="K528" s="158">
        <v>5228</v>
      </c>
      <c r="L528" s="247" t="str">
        <f>VLOOKUP(K528,'Basic Data'!T:U,2,0)</f>
        <v>Preload Failure</v>
      </c>
      <c r="M528" s="135" t="s">
        <v>472</v>
      </c>
      <c r="N528" s="256">
        <v>0</v>
      </c>
      <c r="O528" s="256">
        <v>0</v>
      </c>
      <c r="P528" s="256">
        <v>0.85833333333333328</v>
      </c>
      <c r="Q528" s="253">
        <f>IF(WTG_BD[[#This Row],[Work Start TimeStamp]]="","",(WTG_BD[[#This Row],[Work Start TimeStamp]]-WTG_BD[[#This Row],[Fault Start TimeStamp]])*24)</f>
        <v>0</v>
      </c>
      <c r="R528" s="253">
        <f>(WTG_BD[[#This Row],[Fault Clearance time]]-WTG_BD[[#This Row],[Work Start TimeStamp]])*24</f>
        <v>20.599999999999998</v>
      </c>
      <c r="S528" s="253">
        <f>(WTG_BD[[#This Row],[Fault Clearance time]]-WTG_BD[[#This Row],[Fault Start TimeStamp]])*24</f>
        <v>20.599999999999998</v>
      </c>
      <c r="T528" s="135" t="s">
        <v>589</v>
      </c>
      <c r="U528" s="244" t="s">
        <v>474</v>
      </c>
      <c r="V528" s="246">
        <f>WTG_BD[[#This Row],[Breakdown Time]]*(1/39)</f>
        <v>0.5282051282051281</v>
      </c>
      <c r="W528" s="244" t="s">
        <v>119</v>
      </c>
      <c r="X528" s="250">
        <v>3460.7999999999997</v>
      </c>
      <c r="Y528" s="135" t="s">
        <v>470</v>
      </c>
      <c r="Z528" s="135" t="s">
        <v>475</v>
      </c>
      <c r="AA528" s="135">
        <v>4032</v>
      </c>
      <c r="AB528" s="249">
        <f>(WTG_BD[[#This Row],[Paired WTG Generation for loss calculation.]]/24)*WTG_BD[[#This Row],[Breakdown Time]]</f>
        <v>3460.7999999999997</v>
      </c>
      <c r="AC528" s="135"/>
      <c r="AD528" s="245"/>
      <c r="AE528" s="3"/>
    </row>
    <row r="529" spans="1:31">
      <c r="A529" s="241">
        <f t="shared" si="17"/>
        <v>528</v>
      </c>
      <c r="B529" s="255">
        <v>45790</v>
      </c>
      <c r="C529" s="252">
        <v>2025</v>
      </c>
      <c r="D529" s="252">
        <v>2025</v>
      </c>
      <c r="E529" s="251">
        <f t="shared" si="18"/>
        <v>45778</v>
      </c>
      <c r="F529" s="252" t="s">
        <v>465</v>
      </c>
      <c r="G529" s="248" t="s">
        <v>144</v>
      </c>
      <c r="H529" s="242" t="str">
        <f>IFERROR(VLOOKUP(WTG_BD[[#This Row],[Affected WTG]],'Basic Data'!$A$3:$E$56,2,0),"")</f>
        <v>PWEGPL</v>
      </c>
      <c r="I529" s="242" t="str">
        <f>IFERROR(VLOOKUP(WTG_BD[[#This Row],[Affected WTG]],'Basic Data'!$A$3:$E$56,3,0),"")</f>
        <v>MSEDCL</v>
      </c>
      <c r="J529" s="243">
        <f>IFERROR(VLOOKUP(WTG_BD[[#This Row],[Affected WTG]],'Basic Data'!$A$3:$E$56,5,0),"")</f>
        <v>2.564102564102564E-2</v>
      </c>
      <c r="K529" s="158" t="s">
        <v>466</v>
      </c>
      <c r="L529" s="247" t="str">
        <f>VLOOKUP(K529,'Basic Data'!T:U,2,0)</f>
        <v>Manual Stop - Safety Related</v>
      </c>
      <c r="M529" s="135" t="s">
        <v>467</v>
      </c>
      <c r="N529" s="256">
        <v>0</v>
      </c>
      <c r="O529" s="256">
        <v>0.99930555555555556</v>
      </c>
      <c r="P529" s="256">
        <v>0.99930555555555556</v>
      </c>
      <c r="Q529" s="253">
        <f>IF(WTG_BD[[#This Row],[Work Start TimeStamp]]="","",(WTG_BD[[#This Row],[Work Start TimeStamp]]-WTG_BD[[#This Row],[Fault Start TimeStamp]])*24)</f>
        <v>23.983333333333334</v>
      </c>
      <c r="R529" s="253">
        <f>(WTG_BD[[#This Row],[Fault Clearance time]]-WTG_BD[[#This Row],[Work Start TimeStamp]])*24</f>
        <v>0</v>
      </c>
      <c r="S529" s="253">
        <f>(WTG_BD[[#This Row],[Fault Clearance time]]-WTG_BD[[#This Row],[Fault Start TimeStamp]])*24</f>
        <v>23.983333333333334</v>
      </c>
      <c r="T529" s="135" t="s">
        <v>468</v>
      </c>
      <c r="U529" s="244" t="s">
        <v>469</v>
      </c>
      <c r="V529" s="246">
        <f>WTG_BD[[#This Row],[Breakdown Time]]*(1/39)</f>
        <v>0.61495726495726499</v>
      </c>
      <c r="W529" s="244" t="s">
        <v>143</v>
      </c>
      <c r="X529" s="250">
        <v>4575.8201388888892</v>
      </c>
      <c r="Y529" s="135" t="s">
        <v>470</v>
      </c>
      <c r="Z529" s="135" t="s">
        <v>471</v>
      </c>
      <c r="AA529" s="135">
        <v>4579</v>
      </c>
      <c r="AB529" s="249">
        <f>(WTG_BD[[#This Row],[Paired WTG Generation for loss calculation.]]/24)*WTG_BD[[#This Row],[Breakdown Time]]</f>
        <v>4575.8201388888892</v>
      </c>
      <c r="AC529" s="135"/>
      <c r="AD529" s="245"/>
      <c r="AE529" s="3"/>
    </row>
    <row r="530" spans="1:31">
      <c r="A530" s="241">
        <f t="shared" si="17"/>
        <v>529</v>
      </c>
      <c r="B530" s="255">
        <v>45790</v>
      </c>
      <c r="C530" s="252">
        <v>2025</v>
      </c>
      <c r="D530" s="252">
        <v>2025</v>
      </c>
      <c r="E530" s="251">
        <f t="shared" si="18"/>
        <v>45778</v>
      </c>
      <c r="F530" s="252" t="s">
        <v>465</v>
      </c>
      <c r="G530" s="248" t="s">
        <v>142</v>
      </c>
      <c r="H530" s="242" t="str">
        <f>IFERROR(VLOOKUP(WTG_BD[[#This Row],[Affected WTG]],'Basic Data'!$A$3:$E$56,2,0),"")</f>
        <v>PWEGPL</v>
      </c>
      <c r="I530" s="242" t="str">
        <f>IFERROR(VLOOKUP(WTG_BD[[#This Row],[Affected WTG]],'Basic Data'!$A$3:$E$56,3,0),"")</f>
        <v>MSEDCL</v>
      </c>
      <c r="J530" s="243">
        <f>IFERROR(VLOOKUP(WTG_BD[[#This Row],[Affected WTG]],'Basic Data'!$A$3:$E$56,5,0),"")</f>
        <v>2.564102564102564E-2</v>
      </c>
      <c r="K530" s="158" t="s">
        <v>466</v>
      </c>
      <c r="L530" s="247" t="str">
        <f>VLOOKUP(K530,'Basic Data'!T:U,2,0)</f>
        <v>Manual Stop - Safety Related</v>
      </c>
      <c r="M530" s="135" t="s">
        <v>467</v>
      </c>
      <c r="N530" s="256">
        <v>0</v>
      </c>
      <c r="O530" s="256">
        <v>0.99930555555555556</v>
      </c>
      <c r="P530" s="256">
        <v>0.99930555555555556</v>
      </c>
      <c r="Q530" s="253">
        <f>IF(WTG_BD[[#This Row],[Work Start TimeStamp]]="","",(WTG_BD[[#This Row],[Work Start TimeStamp]]-WTG_BD[[#This Row],[Fault Start TimeStamp]])*24)</f>
        <v>23.983333333333334</v>
      </c>
      <c r="R530" s="253">
        <f>(WTG_BD[[#This Row],[Fault Clearance time]]-WTG_BD[[#This Row],[Work Start TimeStamp]])*24</f>
        <v>0</v>
      </c>
      <c r="S530" s="253">
        <f>(WTG_BD[[#This Row],[Fault Clearance time]]-WTG_BD[[#This Row],[Fault Start TimeStamp]])*24</f>
        <v>23.983333333333334</v>
      </c>
      <c r="T530" s="135" t="s">
        <v>468</v>
      </c>
      <c r="U530" s="244" t="s">
        <v>469</v>
      </c>
      <c r="V530" s="246">
        <f>WTG_BD[[#This Row],[Breakdown Time]]*(1/39)</f>
        <v>0.61495726495726499</v>
      </c>
      <c r="W530" s="244" t="s">
        <v>143</v>
      </c>
      <c r="X530" s="250">
        <v>4575.8201388888892</v>
      </c>
      <c r="Y530" s="135" t="s">
        <v>470</v>
      </c>
      <c r="Z530" s="135" t="s">
        <v>471</v>
      </c>
      <c r="AA530" s="135">
        <v>4579</v>
      </c>
      <c r="AB530" s="249">
        <f>(WTG_BD[[#This Row],[Paired WTG Generation for loss calculation.]]/24)*WTG_BD[[#This Row],[Breakdown Time]]</f>
        <v>4575.8201388888892</v>
      </c>
      <c r="AC530" s="135"/>
      <c r="AD530" s="245"/>
      <c r="AE530" s="3"/>
    </row>
    <row r="531" spans="1:31">
      <c r="A531" s="241">
        <f t="shared" si="17"/>
        <v>530</v>
      </c>
      <c r="B531" s="255">
        <v>45790</v>
      </c>
      <c r="C531" s="252">
        <v>2025</v>
      </c>
      <c r="D531" s="252">
        <v>2025</v>
      </c>
      <c r="E531" s="251">
        <f t="shared" si="18"/>
        <v>45778</v>
      </c>
      <c r="F531" s="252" t="s">
        <v>465</v>
      </c>
      <c r="G531" s="248" t="s">
        <v>118</v>
      </c>
      <c r="H531" s="242" t="str">
        <f>IFERROR(VLOOKUP(WTG_BD[[#This Row],[Affected WTG]],'Basic Data'!$A$3:$E$56,2,0),"")</f>
        <v>PWEGPL</v>
      </c>
      <c r="I531" s="242" t="str">
        <f>IFERROR(VLOOKUP(WTG_BD[[#This Row],[Affected WTG]],'Basic Data'!$A$3:$E$56,3,0),"")</f>
        <v>MSEDCL</v>
      </c>
      <c r="J531" s="243">
        <f>IFERROR(VLOOKUP(WTG_BD[[#This Row],[Affected WTG]],'Basic Data'!$A$3:$E$56,5,0),"")</f>
        <v>2.564102564102564E-2</v>
      </c>
      <c r="K531" s="158">
        <v>205</v>
      </c>
      <c r="L531" s="247" t="str">
        <f>VLOOKUP(K531,'Basic Data'!T:U,2,0)</f>
        <v>Low Level Hydraulic Group Refrigeration Oil</v>
      </c>
      <c r="M531" s="135" t="s">
        <v>472</v>
      </c>
      <c r="N531" s="256">
        <v>0.50277777777777777</v>
      </c>
      <c r="O531" s="256">
        <v>0.52638888888888891</v>
      </c>
      <c r="P531" s="256">
        <v>0.6381944444444444</v>
      </c>
      <c r="Q531" s="253">
        <f>IF(WTG_BD[[#This Row],[Work Start TimeStamp]]="","",(WTG_BD[[#This Row],[Work Start TimeStamp]]-WTG_BD[[#This Row],[Fault Start TimeStamp]])*24)</f>
        <v>0.56666666666666732</v>
      </c>
      <c r="R531" s="253">
        <f>(WTG_BD[[#This Row],[Fault Clearance time]]-WTG_BD[[#This Row],[Work Start TimeStamp]])*24</f>
        <v>2.6833333333333318</v>
      </c>
      <c r="S531" s="253">
        <f>(WTG_BD[[#This Row],[Fault Clearance time]]-WTG_BD[[#This Row],[Fault Start TimeStamp]])*24</f>
        <v>3.2499999999999991</v>
      </c>
      <c r="T531" s="135" t="s">
        <v>590</v>
      </c>
      <c r="U531" s="244" t="s">
        <v>474</v>
      </c>
      <c r="V531" s="246">
        <f>WTG_BD[[#This Row],[Breakdown Time]]*(1/39)</f>
        <v>8.3333333333333301E-2</v>
      </c>
      <c r="W531" s="244" t="s">
        <v>116</v>
      </c>
      <c r="X531" s="250">
        <v>911.89583333333303</v>
      </c>
      <c r="Y531" s="135" t="s">
        <v>470</v>
      </c>
      <c r="Z531" s="135" t="s">
        <v>475</v>
      </c>
      <c r="AA531" s="135">
        <v>6734</v>
      </c>
      <c r="AB531" s="249">
        <f>(WTG_BD[[#This Row],[Paired WTG Generation for loss calculation.]]/24)*WTG_BD[[#This Row],[Breakdown Time]]</f>
        <v>911.89583333333303</v>
      </c>
      <c r="AC531" s="135"/>
      <c r="AD531" s="245"/>
      <c r="AE531" s="3"/>
    </row>
    <row r="532" spans="1:31">
      <c r="A532" s="241">
        <f t="shared" si="17"/>
        <v>531</v>
      </c>
      <c r="B532" s="255">
        <v>45790</v>
      </c>
      <c r="C532" s="252">
        <v>2025</v>
      </c>
      <c r="D532" s="252">
        <v>2025</v>
      </c>
      <c r="E532" s="251">
        <f t="shared" si="18"/>
        <v>45778</v>
      </c>
      <c r="F532" s="252" t="s">
        <v>465</v>
      </c>
      <c r="G532" s="248" t="s">
        <v>121</v>
      </c>
      <c r="H532" s="242" t="str">
        <f>IFERROR(VLOOKUP(WTG_BD[[#This Row],[Affected WTG]],'Basic Data'!$A$3:$E$56,2,0),"")</f>
        <v>PWEGPL</v>
      </c>
      <c r="I532" s="242" t="str">
        <f>IFERROR(VLOOKUP(WTG_BD[[#This Row],[Affected WTG]],'Basic Data'!$A$3:$E$56,3,0),"")</f>
        <v>MSEDCL</v>
      </c>
      <c r="J532" s="243">
        <f>IFERROR(VLOOKUP(WTG_BD[[#This Row],[Affected WTG]],'Basic Data'!$A$3:$E$56,5,0),"")</f>
        <v>2.564102564102564E-2</v>
      </c>
      <c r="K532" s="158">
        <v>5236</v>
      </c>
      <c r="L532" s="247" t="str">
        <f>VLOOKUP(K532,'Basic Data'!T:U,2,0)</f>
        <v>Error In Phase R Of The Inverter</v>
      </c>
      <c r="M532" s="135" t="s">
        <v>472</v>
      </c>
      <c r="N532" s="256">
        <v>0.84305555555555556</v>
      </c>
      <c r="O532" s="256">
        <v>0.86319444444444449</v>
      </c>
      <c r="P532" s="256">
        <v>0.89722222222222225</v>
      </c>
      <c r="Q532" s="253">
        <f>IF(WTG_BD[[#This Row],[Work Start TimeStamp]]="","",(WTG_BD[[#This Row],[Work Start TimeStamp]]-WTG_BD[[#This Row],[Fault Start TimeStamp]])*24)</f>
        <v>0.48333333333333428</v>
      </c>
      <c r="R532" s="253">
        <f>(WTG_BD[[#This Row],[Fault Clearance time]]-WTG_BD[[#This Row],[Work Start TimeStamp]])*24</f>
        <v>0.81666666666666643</v>
      </c>
      <c r="S532" s="253">
        <f>(WTG_BD[[#This Row],[Fault Clearance time]]-WTG_BD[[#This Row],[Fault Start TimeStamp]])*24</f>
        <v>1.3000000000000007</v>
      </c>
      <c r="T532" s="135" t="s">
        <v>591</v>
      </c>
      <c r="U532" s="244" t="s">
        <v>474</v>
      </c>
      <c r="V532" s="246">
        <f>WTG_BD[[#This Row],[Breakdown Time]]*(1/39)</f>
        <v>3.3333333333333354E-2</v>
      </c>
      <c r="W532" s="244" t="s">
        <v>115</v>
      </c>
      <c r="X532" s="250">
        <v>367.35833333333352</v>
      </c>
      <c r="Y532" s="135" t="s">
        <v>470</v>
      </c>
      <c r="Z532" s="135" t="s">
        <v>475</v>
      </c>
      <c r="AA532" s="135">
        <v>6782</v>
      </c>
      <c r="AB532" s="249">
        <f>(WTG_BD[[#This Row],[Paired WTG Generation for loss calculation.]]/24)*WTG_BD[[#This Row],[Breakdown Time]]</f>
        <v>367.35833333333352</v>
      </c>
      <c r="AC532" s="135"/>
      <c r="AD532" s="245"/>
      <c r="AE532" s="3"/>
    </row>
    <row r="533" spans="1:31">
      <c r="A533" s="241">
        <f t="shared" si="17"/>
        <v>532</v>
      </c>
      <c r="B533" s="255">
        <v>45790</v>
      </c>
      <c r="C533" s="252">
        <v>2025</v>
      </c>
      <c r="D533" s="252">
        <v>2025</v>
      </c>
      <c r="E533" s="251">
        <f t="shared" si="18"/>
        <v>45778</v>
      </c>
      <c r="F533" s="252" t="s">
        <v>465</v>
      </c>
      <c r="G533" s="248" t="s">
        <v>128</v>
      </c>
      <c r="H533" s="242" t="str">
        <f>IFERROR(VLOOKUP(WTG_BD[[#This Row],[Affected WTG]],'Basic Data'!$A$3:$E$56,2,0),"")</f>
        <v>PWEGPL</v>
      </c>
      <c r="I533" s="242" t="str">
        <f>IFERROR(VLOOKUP(WTG_BD[[#This Row],[Affected WTG]],'Basic Data'!$A$3:$E$56,3,0),"")</f>
        <v>MSEDCL</v>
      </c>
      <c r="J533" s="243">
        <f>IFERROR(VLOOKUP(WTG_BD[[#This Row],[Affected WTG]],'Basic Data'!$A$3:$E$56,5,0),"")</f>
        <v>2.564102564102564E-2</v>
      </c>
      <c r="K533" s="158" t="s">
        <v>466</v>
      </c>
      <c r="L533" s="247" t="str">
        <f>VLOOKUP(K533,'Basic Data'!T:U,2,0)</f>
        <v>Manual Stop - Safety Related</v>
      </c>
      <c r="M533" s="135" t="s">
        <v>467</v>
      </c>
      <c r="N533" s="256">
        <v>0.72916666666666663</v>
      </c>
      <c r="O533" s="256">
        <v>0.72916666666666663</v>
      </c>
      <c r="P533" s="256">
        <v>0.90833333333333333</v>
      </c>
      <c r="Q533" s="253">
        <f>IF(WTG_BD[[#This Row],[Work Start TimeStamp]]="","",(WTG_BD[[#This Row],[Work Start TimeStamp]]-WTG_BD[[#This Row],[Fault Start TimeStamp]])*24)</f>
        <v>0</v>
      </c>
      <c r="R533" s="253">
        <f>(WTG_BD[[#This Row],[Fault Clearance time]]-WTG_BD[[#This Row],[Work Start TimeStamp]])*24</f>
        <v>4.3000000000000007</v>
      </c>
      <c r="S533" s="253">
        <f>(WTG_BD[[#This Row],[Fault Clearance time]]-WTG_BD[[#This Row],[Fault Start TimeStamp]])*24</f>
        <v>4.3000000000000007</v>
      </c>
      <c r="T533" s="135" t="s">
        <v>503</v>
      </c>
      <c r="U533" s="244" t="s">
        <v>474</v>
      </c>
      <c r="V533" s="246">
        <f>WTG_BD[[#This Row],[Breakdown Time]]*(1/39)</f>
        <v>0.11025641025641027</v>
      </c>
      <c r="W533" s="244" t="s">
        <v>129</v>
      </c>
      <c r="X533" s="250">
        <v>1315.8000000000002</v>
      </c>
      <c r="Y533" s="135" t="s">
        <v>470</v>
      </c>
      <c r="Z533" s="135" t="s">
        <v>471</v>
      </c>
      <c r="AA533" s="135">
        <v>7344</v>
      </c>
      <c r="AB533" s="249">
        <f>(WTG_BD[[#This Row],[Paired WTG Generation for loss calculation.]]/24)*WTG_BD[[#This Row],[Breakdown Time]]</f>
        <v>1315.8000000000002</v>
      </c>
      <c r="AC533" s="135"/>
      <c r="AD533" s="245"/>
      <c r="AE533" s="3"/>
    </row>
    <row r="534" spans="1:31">
      <c r="A534" s="241">
        <f t="shared" si="17"/>
        <v>533</v>
      </c>
      <c r="B534" s="255">
        <v>45790</v>
      </c>
      <c r="C534" s="252">
        <v>2025</v>
      </c>
      <c r="D534" s="252">
        <v>2025</v>
      </c>
      <c r="E534" s="251">
        <f t="shared" si="18"/>
        <v>45778</v>
      </c>
      <c r="F534" s="252" t="s">
        <v>465</v>
      </c>
      <c r="G534" s="248" t="s">
        <v>153</v>
      </c>
      <c r="H534" s="242" t="str">
        <f>IFERROR(VLOOKUP(WTG_BD[[#This Row],[Affected WTG]],'Basic Data'!$A$3:$E$56,2,0),"")</f>
        <v>PWEGPL</v>
      </c>
      <c r="I534" s="242" t="str">
        <f>IFERROR(VLOOKUP(WTG_BD[[#This Row],[Affected WTG]],'Basic Data'!$A$3:$E$56,3,0),"")</f>
        <v>MSEDCL</v>
      </c>
      <c r="J534" s="243">
        <f>IFERROR(VLOOKUP(WTG_BD[[#This Row],[Affected WTG]],'Basic Data'!$A$3:$E$56,5,0),"")</f>
        <v>2.564102564102564E-2</v>
      </c>
      <c r="K534" s="158">
        <v>5216</v>
      </c>
      <c r="L534" s="247" t="str">
        <f>VLOOKUP(K534,'Basic Data'!T:U,2,0)</f>
        <v>Grid Voltage Failure</v>
      </c>
      <c r="M534" s="135" t="s">
        <v>472</v>
      </c>
      <c r="N534" s="256">
        <v>0.23958333333333334</v>
      </c>
      <c r="O534" s="256">
        <v>0.53125</v>
      </c>
      <c r="P534" s="256">
        <v>0.99930555555555556</v>
      </c>
      <c r="Q534" s="253">
        <f>IF(WTG_BD[[#This Row],[Work Start TimeStamp]]="","",(WTG_BD[[#This Row],[Work Start TimeStamp]]-WTG_BD[[#This Row],[Fault Start TimeStamp]])*24)</f>
        <v>6.9999999999999991</v>
      </c>
      <c r="R534" s="253">
        <f>(WTG_BD[[#This Row],[Fault Clearance time]]-WTG_BD[[#This Row],[Work Start TimeStamp]])*24</f>
        <v>11.233333333333334</v>
      </c>
      <c r="S534" s="253">
        <f>(WTG_BD[[#This Row],[Fault Clearance time]]-WTG_BD[[#This Row],[Fault Start TimeStamp]])*24</f>
        <v>18.233333333333334</v>
      </c>
      <c r="T534" s="135" t="s">
        <v>592</v>
      </c>
      <c r="U534" s="244" t="s">
        <v>469</v>
      </c>
      <c r="V534" s="246">
        <f>WTG_BD[[#This Row],[Breakdown Time]]*(1/39)</f>
        <v>0.46752136752136753</v>
      </c>
      <c r="W534" s="244" t="s">
        <v>152</v>
      </c>
      <c r="X534" s="250">
        <v>3044.9666666666667</v>
      </c>
      <c r="Y534" s="135" t="s">
        <v>593</v>
      </c>
      <c r="Z534" s="135" t="s">
        <v>475</v>
      </c>
      <c r="AA534" s="135">
        <v>4008</v>
      </c>
      <c r="AB534" s="249">
        <f>(WTG_BD[[#This Row],[Paired WTG Generation for loss calculation.]]/24)*WTG_BD[[#This Row],[Breakdown Time]]</f>
        <v>3044.9666666666667</v>
      </c>
      <c r="AC534" s="135"/>
      <c r="AD534" s="245"/>
      <c r="AE534" s="3"/>
    </row>
    <row r="535" spans="1:31">
      <c r="A535" s="241">
        <f t="shared" si="17"/>
        <v>534</v>
      </c>
      <c r="B535" s="255">
        <v>45790</v>
      </c>
      <c r="C535" s="252">
        <v>2025</v>
      </c>
      <c r="D535" s="252">
        <v>2025</v>
      </c>
      <c r="E535" s="251">
        <f t="shared" si="18"/>
        <v>45778</v>
      </c>
      <c r="F535" s="252" t="s">
        <v>465</v>
      </c>
      <c r="G535" s="248" t="s">
        <v>141</v>
      </c>
      <c r="H535" s="242" t="str">
        <f>IFERROR(VLOOKUP(WTG_BD[[#This Row],[Affected WTG]],'Basic Data'!$A$3:$E$56,2,0),"")</f>
        <v>PWEGPL</v>
      </c>
      <c r="I535" s="242" t="str">
        <f>IFERROR(VLOOKUP(WTG_BD[[#This Row],[Affected WTG]],'Basic Data'!$A$3:$E$56,3,0),"")</f>
        <v>MSEDCL</v>
      </c>
      <c r="J535" s="243">
        <f>IFERROR(VLOOKUP(WTG_BD[[#This Row],[Affected WTG]],'Basic Data'!$A$3:$E$56,5,0),"")</f>
        <v>2.564102564102564E-2</v>
      </c>
      <c r="K535" s="158">
        <v>2114</v>
      </c>
      <c r="L535" s="247" t="str">
        <f>VLOOKUP(K535,'Basic Data'!T:U,2,0)</f>
        <v>Analogue Card Failure</v>
      </c>
      <c r="M535" s="135" t="s">
        <v>472</v>
      </c>
      <c r="N535" s="256">
        <v>0.51180555555555551</v>
      </c>
      <c r="O535" s="256">
        <v>0.52638888888888891</v>
      </c>
      <c r="P535" s="256">
        <v>0.54236111111111107</v>
      </c>
      <c r="Q535" s="253">
        <f>IF(WTG_BD[[#This Row],[Work Start TimeStamp]]="","",(WTG_BD[[#This Row],[Work Start TimeStamp]]-WTG_BD[[#This Row],[Fault Start TimeStamp]])*24)</f>
        <v>0.35000000000000142</v>
      </c>
      <c r="R535" s="253">
        <f>(WTG_BD[[#This Row],[Fault Clearance time]]-WTG_BD[[#This Row],[Work Start TimeStamp]])*24</f>
        <v>0.38333333333333197</v>
      </c>
      <c r="S535" s="253">
        <f>(WTG_BD[[#This Row],[Fault Clearance time]]-WTG_BD[[#This Row],[Fault Start TimeStamp]])*24</f>
        <v>0.73333333333333339</v>
      </c>
      <c r="T535" s="135" t="s">
        <v>473</v>
      </c>
      <c r="U535" s="244" t="s">
        <v>474</v>
      </c>
      <c r="V535" s="246">
        <f>WTG_BD[[#This Row],[Breakdown Time]]*(1/39)</f>
        <v>1.8803418803418806E-2</v>
      </c>
      <c r="W535" s="244" t="s">
        <v>143</v>
      </c>
      <c r="X535" s="250">
        <v>139.91388888888889</v>
      </c>
      <c r="Y535" s="135" t="s">
        <v>470</v>
      </c>
      <c r="Z535" s="135" t="s">
        <v>475</v>
      </c>
      <c r="AA535" s="135">
        <v>4579</v>
      </c>
      <c r="AB535" s="249">
        <f>(WTG_BD[[#This Row],[Paired WTG Generation for loss calculation.]]/24)*WTG_BD[[#This Row],[Breakdown Time]]</f>
        <v>139.91388888888889</v>
      </c>
      <c r="AC535" s="135"/>
      <c r="AD535" s="245"/>
      <c r="AE535" s="3"/>
    </row>
    <row r="536" spans="1:31">
      <c r="A536" s="241">
        <f t="shared" si="17"/>
        <v>535</v>
      </c>
      <c r="B536" s="255">
        <v>45790</v>
      </c>
      <c r="C536" s="252">
        <v>2025</v>
      </c>
      <c r="D536" s="252">
        <v>2025</v>
      </c>
      <c r="E536" s="251">
        <f t="shared" si="18"/>
        <v>45778</v>
      </c>
      <c r="F536" s="252" t="s">
        <v>465</v>
      </c>
      <c r="G536" s="248" t="s">
        <v>135</v>
      </c>
      <c r="H536" s="242" t="str">
        <f>IFERROR(VLOOKUP(WTG_BD[[#This Row],[Affected WTG]],'Basic Data'!$A$3:$E$56,2,0),"")</f>
        <v>PWEGPL</v>
      </c>
      <c r="I536" s="242" t="str">
        <f>IFERROR(VLOOKUP(WTG_BD[[#This Row],[Affected WTG]],'Basic Data'!$A$3:$E$56,3,0),"")</f>
        <v>MSEDCL</v>
      </c>
      <c r="J536" s="243">
        <f>IFERROR(VLOOKUP(WTG_BD[[#This Row],[Affected WTG]],'Basic Data'!$A$3:$E$56,5,0),"")</f>
        <v>2.564102564102564E-2</v>
      </c>
      <c r="K536" s="158">
        <v>5228</v>
      </c>
      <c r="L536" s="247" t="str">
        <f>VLOOKUP(K536,'Basic Data'!T:U,2,0)</f>
        <v>Preload Failure</v>
      </c>
      <c r="M536" s="135" t="s">
        <v>472</v>
      </c>
      <c r="N536" s="256">
        <v>0.25972222222222224</v>
      </c>
      <c r="O536" s="256">
        <v>0.42499999999999999</v>
      </c>
      <c r="P536" s="256">
        <v>0.42916666666666664</v>
      </c>
      <c r="Q536" s="253">
        <f>IF(WTG_BD[[#This Row],[Work Start TimeStamp]]="","",(WTG_BD[[#This Row],[Work Start TimeStamp]]-WTG_BD[[#This Row],[Fault Start TimeStamp]])*24)</f>
        <v>3.9666666666666659</v>
      </c>
      <c r="R536" s="253">
        <f>(WTG_BD[[#This Row],[Fault Clearance time]]-WTG_BD[[#This Row],[Work Start TimeStamp]])*24</f>
        <v>9.9999999999999645E-2</v>
      </c>
      <c r="S536" s="253">
        <f>(WTG_BD[[#This Row],[Fault Clearance time]]-WTG_BD[[#This Row],[Fault Start TimeStamp]])*24</f>
        <v>4.0666666666666655</v>
      </c>
      <c r="T536" s="135" t="s">
        <v>473</v>
      </c>
      <c r="U536" s="244" t="s">
        <v>474</v>
      </c>
      <c r="V536" s="246">
        <f>WTG_BD[[#This Row],[Breakdown Time]]*(1/39)</f>
        <v>0.10427350427350424</v>
      </c>
      <c r="W536" s="244" t="s">
        <v>136</v>
      </c>
      <c r="X536" s="250">
        <v>765.21111111111088</v>
      </c>
      <c r="Y536" s="135" t="s">
        <v>470</v>
      </c>
      <c r="Z536" s="135" t="s">
        <v>475</v>
      </c>
      <c r="AA536" s="135">
        <v>4516</v>
      </c>
      <c r="AB536" s="249">
        <f>(WTG_BD[[#This Row],[Paired WTG Generation for loss calculation.]]/24)*WTG_BD[[#This Row],[Breakdown Time]]</f>
        <v>765.21111111111088</v>
      </c>
      <c r="AC536" s="135"/>
      <c r="AD536" s="245"/>
      <c r="AE536" s="3"/>
    </row>
    <row r="537" spans="1:31">
      <c r="A537" s="241">
        <f t="shared" si="17"/>
        <v>536</v>
      </c>
      <c r="B537" s="255">
        <v>45791</v>
      </c>
      <c r="C537" s="252">
        <v>2025</v>
      </c>
      <c r="D537" s="252">
        <v>2025</v>
      </c>
      <c r="E537" s="251">
        <f t="shared" si="18"/>
        <v>45778</v>
      </c>
      <c r="F537" s="252" t="s">
        <v>465</v>
      </c>
      <c r="G537" s="248" t="s">
        <v>144</v>
      </c>
      <c r="H537" s="242" t="str">
        <f>IFERROR(VLOOKUP(WTG_BD[[#This Row],[Affected WTG]],'Basic Data'!$A$3:$E$56,2,0),"")</f>
        <v>PWEGPL</v>
      </c>
      <c r="I537" s="242" t="str">
        <f>IFERROR(VLOOKUP(WTG_BD[[#This Row],[Affected WTG]],'Basic Data'!$A$3:$E$56,3,0),"")</f>
        <v>MSEDCL</v>
      </c>
      <c r="J537" s="243">
        <f>IFERROR(VLOOKUP(WTG_BD[[#This Row],[Affected WTG]],'Basic Data'!$A$3:$E$56,5,0),"")</f>
        <v>2.564102564102564E-2</v>
      </c>
      <c r="K537" s="158" t="s">
        <v>466</v>
      </c>
      <c r="L537" s="247" t="str">
        <f>VLOOKUP(K537,'Basic Data'!T:U,2,0)</f>
        <v>Manual Stop - Safety Related</v>
      </c>
      <c r="M537" s="135" t="s">
        <v>467</v>
      </c>
      <c r="N537" s="256">
        <v>0</v>
      </c>
      <c r="O537" s="256">
        <v>0.99930555555555556</v>
      </c>
      <c r="P537" s="256">
        <v>0.99930555555555556</v>
      </c>
      <c r="Q537" s="253">
        <f>IF(WTG_BD[[#This Row],[Work Start TimeStamp]]="","",(WTG_BD[[#This Row],[Work Start TimeStamp]]-WTG_BD[[#This Row],[Fault Start TimeStamp]])*24)</f>
        <v>23.983333333333334</v>
      </c>
      <c r="R537" s="253">
        <f>(WTG_BD[[#This Row],[Fault Clearance time]]-WTG_BD[[#This Row],[Work Start TimeStamp]])*24</f>
        <v>0</v>
      </c>
      <c r="S537" s="253">
        <f>(WTG_BD[[#This Row],[Fault Clearance time]]-WTG_BD[[#This Row],[Fault Start TimeStamp]])*24</f>
        <v>23.983333333333334</v>
      </c>
      <c r="T537" s="135" t="s">
        <v>468</v>
      </c>
      <c r="U537" s="244" t="s">
        <v>469</v>
      </c>
      <c r="V537" s="246">
        <f>WTG_BD[[#This Row],[Breakdown Time]]*(1/39)</f>
        <v>0.61495726495726499</v>
      </c>
      <c r="W537" s="244" t="s">
        <v>143</v>
      </c>
      <c r="X537" s="250">
        <v>3265.7305555555554</v>
      </c>
      <c r="Y537" s="135" t="s">
        <v>470</v>
      </c>
      <c r="Z537" s="135" t="s">
        <v>471</v>
      </c>
      <c r="AA537" s="135">
        <v>3268</v>
      </c>
      <c r="AB537" s="249">
        <f>(WTG_BD[[#This Row],[Paired WTG Generation for loss calculation.]]/24)*WTG_BD[[#This Row],[Breakdown Time]]</f>
        <v>3265.7305555555554</v>
      </c>
      <c r="AC537" s="135"/>
      <c r="AD537" s="245"/>
      <c r="AE537" s="3"/>
    </row>
    <row r="538" spans="1:31">
      <c r="A538" s="241">
        <f t="shared" si="17"/>
        <v>537</v>
      </c>
      <c r="B538" s="255">
        <v>45791</v>
      </c>
      <c r="C538" s="252">
        <v>2025</v>
      </c>
      <c r="D538" s="252">
        <v>2025</v>
      </c>
      <c r="E538" s="251">
        <f t="shared" si="18"/>
        <v>45778</v>
      </c>
      <c r="F538" s="252" t="s">
        <v>465</v>
      </c>
      <c r="G538" s="248" t="s">
        <v>142</v>
      </c>
      <c r="H538" s="242" t="str">
        <f>IFERROR(VLOOKUP(WTG_BD[[#This Row],[Affected WTG]],'Basic Data'!$A$3:$E$56,2,0),"")</f>
        <v>PWEGPL</v>
      </c>
      <c r="I538" s="242" t="str">
        <f>IFERROR(VLOOKUP(WTG_BD[[#This Row],[Affected WTG]],'Basic Data'!$A$3:$E$56,3,0),"")</f>
        <v>MSEDCL</v>
      </c>
      <c r="J538" s="243">
        <f>IFERROR(VLOOKUP(WTG_BD[[#This Row],[Affected WTG]],'Basic Data'!$A$3:$E$56,5,0),"")</f>
        <v>2.564102564102564E-2</v>
      </c>
      <c r="K538" s="158" t="s">
        <v>466</v>
      </c>
      <c r="L538" s="247" t="str">
        <f>VLOOKUP(K538,'Basic Data'!T:U,2,0)</f>
        <v>Manual Stop - Safety Related</v>
      </c>
      <c r="M538" s="135" t="s">
        <v>467</v>
      </c>
      <c r="N538" s="256">
        <v>0</v>
      </c>
      <c r="O538" s="256">
        <v>0.99930555555555556</v>
      </c>
      <c r="P538" s="256">
        <v>0.99930555555555556</v>
      </c>
      <c r="Q538" s="253">
        <f>IF(WTG_BD[[#This Row],[Work Start TimeStamp]]="","",(WTG_BD[[#This Row],[Work Start TimeStamp]]-WTG_BD[[#This Row],[Fault Start TimeStamp]])*24)</f>
        <v>23.983333333333334</v>
      </c>
      <c r="R538" s="253">
        <f>(WTG_BD[[#This Row],[Fault Clearance time]]-WTG_BD[[#This Row],[Work Start TimeStamp]])*24</f>
        <v>0</v>
      </c>
      <c r="S538" s="253">
        <f>(WTG_BD[[#This Row],[Fault Clearance time]]-WTG_BD[[#This Row],[Fault Start TimeStamp]])*24</f>
        <v>23.983333333333334</v>
      </c>
      <c r="T538" s="135" t="s">
        <v>468</v>
      </c>
      <c r="U538" s="244" t="s">
        <v>469</v>
      </c>
      <c r="V538" s="246">
        <f>WTG_BD[[#This Row],[Breakdown Time]]*(1/39)</f>
        <v>0.61495726495726499</v>
      </c>
      <c r="W538" s="244" t="s">
        <v>143</v>
      </c>
      <c r="X538" s="250">
        <v>3265.7305555555554</v>
      </c>
      <c r="Y538" s="135" t="s">
        <v>470</v>
      </c>
      <c r="Z538" s="135" t="s">
        <v>471</v>
      </c>
      <c r="AA538" s="135">
        <v>3268</v>
      </c>
      <c r="AB538" s="249">
        <f>(WTG_BD[[#This Row],[Paired WTG Generation for loss calculation.]]/24)*WTG_BD[[#This Row],[Breakdown Time]]</f>
        <v>3265.7305555555554</v>
      </c>
      <c r="AC538" s="135"/>
      <c r="AD538" s="245"/>
      <c r="AE538" s="3"/>
    </row>
    <row r="539" spans="1:31">
      <c r="A539" s="241">
        <f t="shared" si="17"/>
        <v>538</v>
      </c>
      <c r="B539" s="255">
        <v>45791</v>
      </c>
      <c r="C539" s="252">
        <v>2025</v>
      </c>
      <c r="D539" s="252">
        <v>2025</v>
      </c>
      <c r="E539" s="251">
        <f t="shared" si="18"/>
        <v>45778</v>
      </c>
      <c r="F539" s="252" t="s">
        <v>465</v>
      </c>
      <c r="G539" s="248" t="s">
        <v>141</v>
      </c>
      <c r="H539" s="242" t="str">
        <f>IFERROR(VLOOKUP(WTG_BD[[#This Row],[Affected WTG]],'Basic Data'!$A$3:$E$56,2,0),"")</f>
        <v>PWEGPL</v>
      </c>
      <c r="I539" s="242" t="str">
        <f>IFERROR(VLOOKUP(WTG_BD[[#This Row],[Affected WTG]],'Basic Data'!$A$3:$E$56,3,0),"")</f>
        <v>MSEDCL</v>
      </c>
      <c r="J539" s="243">
        <f>IFERROR(VLOOKUP(WTG_BD[[#This Row],[Affected WTG]],'Basic Data'!$A$3:$E$56,5,0),"")</f>
        <v>2.564102564102564E-2</v>
      </c>
      <c r="K539" s="158">
        <v>803</v>
      </c>
      <c r="L539" s="247" t="str">
        <f>VLOOKUP(K539,'Basic Data'!T:U,2,0)</f>
        <v>Low Pitch Value In Stop Mode (1 Cylinder)</v>
      </c>
      <c r="M539" s="135" t="s">
        <v>472</v>
      </c>
      <c r="N539" s="256">
        <v>0.46527777777777779</v>
      </c>
      <c r="O539" s="256">
        <v>0.49652777777777779</v>
      </c>
      <c r="P539" s="256">
        <v>0.6</v>
      </c>
      <c r="Q539" s="253">
        <f>IF(WTG_BD[[#This Row],[Work Start TimeStamp]]="","",(WTG_BD[[#This Row],[Work Start TimeStamp]]-WTG_BD[[#This Row],[Fault Start TimeStamp]])*24)</f>
        <v>0.75</v>
      </c>
      <c r="R539" s="253">
        <f>(WTG_BD[[#This Row],[Fault Clearance time]]-WTG_BD[[#This Row],[Work Start TimeStamp]])*24</f>
        <v>2.4833333333333325</v>
      </c>
      <c r="S539" s="253">
        <f>(WTG_BD[[#This Row],[Fault Clearance time]]-WTG_BD[[#This Row],[Fault Start TimeStamp]])*24</f>
        <v>3.2333333333333325</v>
      </c>
      <c r="T539" s="135" t="s">
        <v>594</v>
      </c>
      <c r="U539" s="244" t="s">
        <v>474</v>
      </c>
      <c r="V539" s="246">
        <f>WTG_BD[[#This Row],[Breakdown Time]]*(1/39)</f>
        <v>8.2905982905982875E-2</v>
      </c>
      <c r="W539" s="244" t="s">
        <v>143</v>
      </c>
      <c r="X539" s="250">
        <v>440.27222222222207</v>
      </c>
      <c r="Y539" s="135" t="s">
        <v>470</v>
      </c>
      <c r="Z539" s="135" t="s">
        <v>475</v>
      </c>
      <c r="AA539" s="135">
        <v>3268</v>
      </c>
      <c r="AB539" s="249">
        <f>(WTG_BD[[#This Row],[Paired WTG Generation for loss calculation.]]/24)*WTG_BD[[#This Row],[Breakdown Time]]</f>
        <v>440.27222222222207</v>
      </c>
      <c r="AC539" s="135"/>
      <c r="AD539" s="245"/>
      <c r="AE539" s="3"/>
    </row>
    <row r="540" spans="1:31">
      <c r="A540" s="241">
        <f t="shared" si="17"/>
        <v>539</v>
      </c>
      <c r="B540" s="255">
        <v>45791</v>
      </c>
      <c r="C540" s="252">
        <v>2025</v>
      </c>
      <c r="D540" s="252">
        <v>2025</v>
      </c>
      <c r="E540" s="251">
        <f t="shared" si="18"/>
        <v>45778</v>
      </c>
      <c r="F540" s="252" t="s">
        <v>465</v>
      </c>
      <c r="G540" s="248" t="s">
        <v>153</v>
      </c>
      <c r="H540" s="242" t="str">
        <f>IFERROR(VLOOKUP(WTG_BD[[#This Row],[Affected WTG]],'Basic Data'!$A$3:$E$56,2,0),"")</f>
        <v>PWEGPL</v>
      </c>
      <c r="I540" s="242" t="str">
        <f>IFERROR(VLOOKUP(WTG_BD[[#This Row],[Affected WTG]],'Basic Data'!$A$3:$E$56,3,0),"")</f>
        <v>MSEDCL</v>
      </c>
      <c r="J540" s="243">
        <f>IFERROR(VLOOKUP(WTG_BD[[#This Row],[Affected WTG]],'Basic Data'!$A$3:$E$56,5,0),"")</f>
        <v>2.564102564102564E-2</v>
      </c>
      <c r="K540" s="158">
        <v>5216</v>
      </c>
      <c r="L540" s="247" t="str">
        <f>VLOOKUP(K540,'Basic Data'!T:U,2,0)</f>
        <v>Grid Voltage Failure</v>
      </c>
      <c r="M540" s="135" t="s">
        <v>472</v>
      </c>
      <c r="N540" s="256">
        <v>0</v>
      </c>
      <c r="O540" s="256">
        <v>0.99930555555555556</v>
      </c>
      <c r="P540" s="256">
        <v>0.99930555555555556</v>
      </c>
      <c r="Q540" s="253">
        <f>IF(WTG_BD[[#This Row],[Work Start TimeStamp]]="","",(WTG_BD[[#This Row],[Work Start TimeStamp]]-WTG_BD[[#This Row],[Fault Start TimeStamp]])*24)</f>
        <v>23.983333333333334</v>
      </c>
      <c r="R540" s="253">
        <f>(WTG_BD[[#This Row],[Fault Clearance time]]-WTG_BD[[#This Row],[Work Start TimeStamp]])*24</f>
        <v>0</v>
      </c>
      <c r="S540" s="253">
        <f>(WTG_BD[[#This Row],[Fault Clearance time]]-WTG_BD[[#This Row],[Fault Start TimeStamp]])*24</f>
        <v>23.983333333333334</v>
      </c>
      <c r="T540" s="135" t="s">
        <v>592</v>
      </c>
      <c r="U540" s="244" t="s">
        <v>469</v>
      </c>
      <c r="V540" s="246">
        <f>WTG_BD[[#This Row],[Breakdown Time]]*(1/39)</f>
        <v>0.61495726495726499</v>
      </c>
      <c r="W540" s="244" t="s">
        <v>152</v>
      </c>
      <c r="X540" s="250">
        <v>2898.9854166666669</v>
      </c>
      <c r="Y540" s="135" t="s">
        <v>593</v>
      </c>
      <c r="Z540" s="135" t="s">
        <v>475</v>
      </c>
      <c r="AA540" s="135">
        <v>2901</v>
      </c>
      <c r="AB540" s="249">
        <f>(WTG_BD[[#This Row],[Paired WTG Generation for loss calculation.]]/24)*WTG_BD[[#This Row],[Breakdown Time]]</f>
        <v>2898.9854166666669</v>
      </c>
      <c r="AC540" s="135"/>
      <c r="AD540" s="245"/>
      <c r="AE540" s="3"/>
    </row>
    <row r="541" spans="1:31">
      <c r="A541" s="241">
        <f t="shared" si="17"/>
        <v>540</v>
      </c>
      <c r="B541" s="255">
        <v>45791</v>
      </c>
      <c r="C541" s="252">
        <v>2025</v>
      </c>
      <c r="D541" s="252">
        <v>2025</v>
      </c>
      <c r="E541" s="251">
        <f t="shared" si="18"/>
        <v>45778</v>
      </c>
      <c r="F541" s="252" t="s">
        <v>465</v>
      </c>
      <c r="G541" s="248" t="s">
        <v>128</v>
      </c>
      <c r="H541" s="242" t="str">
        <f>IFERROR(VLOOKUP(WTG_BD[[#This Row],[Affected WTG]],'Basic Data'!$A$3:$E$56,2,0),"")</f>
        <v>PWEGPL</v>
      </c>
      <c r="I541" s="242" t="str">
        <f>IFERROR(VLOOKUP(WTG_BD[[#This Row],[Affected WTG]],'Basic Data'!$A$3:$E$56,3,0),"")</f>
        <v>MSEDCL</v>
      </c>
      <c r="J541" s="243">
        <f>IFERROR(VLOOKUP(WTG_BD[[#This Row],[Affected WTG]],'Basic Data'!$A$3:$E$56,5,0),"")</f>
        <v>2.564102564102564E-2</v>
      </c>
      <c r="K541" s="158">
        <v>5232</v>
      </c>
      <c r="L541" s="247" t="str">
        <f>VLOOKUP(K541,'Basic Data'!T:U,2,0)</f>
        <v>Error In Phase R Of The Rectifier</v>
      </c>
      <c r="M541" s="135" t="s">
        <v>472</v>
      </c>
      <c r="N541" s="256">
        <v>0.27083333333333331</v>
      </c>
      <c r="O541" s="256">
        <v>0.34097222222222223</v>
      </c>
      <c r="P541" s="256">
        <v>0.92361111111111116</v>
      </c>
      <c r="Q541" s="253">
        <f>IF(WTG_BD[[#This Row],[Work Start TimeStamp]]="","",(WTG_BD[[#This Row],[Work Start TimeStamp]]-WTG_BD[[#This Row],[Fault Start TimeStamp]])*24)</f>
        <v>1.683333333333334</v>
      </c>
      <c r="R541" s="253">
        <f>(WTG_BD[[#This Row],[Fault Clearance time]]-WTG_BD[[#This Row],[Work Start TimeStamp]])*24</f>
        <v>13.983333333333334</v>
      </c>
      <c r="S541" s="253">
        <f>(WTG_BD[[#This Row],[Fault Clearance time]]-WTG_BD[[#This Row],[Fault Start TimeStamp]])*24</f>
        <v>15.66666666666667</v>
      </c>
      <c r="T541" s="135" t="s">
        <v>595</v>
      </c>
      <c r="U541" s="244" t="s">
        <v>474</v>
      </c>
      <c r="V541" s="246">
        <f>WTG_BD[[#This Row],[Breakdown Time]]*(1/39)</f>
        <v>0.40170940170940178</v>
      </c>
      <c r="W541" s="244" t="s">
        <v>129</v>
      </c>
      <c r="X541" s="250">
        <v>3313.5000000000005</v>
      </c>
      <c r="Y541" s="135" t="s">
        <v>470</v>
      </c>
      <c r="Z541" s="135" t="s">
        <v>475</v>
      </c>
      <c r="AA541" s="135">
        <v>5076</v>
      </c>
      <c r="AB541" s="249">
        <f>(WTG_BD[[#This Row],[Paired WTG Generation for loss calculation.]]/24)*WTG_BD[[#This Row],[Breakdown Time]]</f>
        <v>3313.5000000000005</v>
      </c>
      <c r="AC541" s="135"/>
      <c r="AD541" s="245"/>
      <c r="AE541" s="3"/>
    </row>
    <row r="542" spans="1:31">
      <c r="A542" s="241">
        <f t="shared" si="17"/>
        <v>541</v>
      </c>
      <c r="B542" s="255">
        <v>45791</v>
      </c>
      <c r="C542" s="252">
        <v>2025</v>
      </c>
      <c r="D542" s="252">
        <v>2025</v>
      </c>
      <c r="E542" s="251">
        <f t="shared" si="18"/>
        <v>45778</v>
      </c>
      <c r="F542" s="252" t="s">
        <v>465</v>
      </c>
      <c r="G542" s="248" t="s">
        <v>118</v>
      </c>
      <c r="H542" s="242" t="str">
        <f>IFERROR(VLOOKUP(WTG_BD[[#This Row],[Affected WTG]],'Basic Data'!$A$3:$E$56,2,0),"")</f>
        <v>PWEGPL</v>
      </c>
      <c r="I542" s="242" t="str">
        <f>IFERROR(VLOOKUP(WTG_BD[[#This Row],[Affected WTG]],'Basic Data'!$A$3:$E$56,3,0),"")</f>
        <v>MSEDCL</v>
      </c>
      <c r="J542" s="243">
        <f>IFERROR(VLOOKUP(WTG_BD[[#This Row],[Affected WTG]],'Basic Data'!$A$3:$E$56,5,0),"")</f>
        <v>2.564102564102564E-2</v>
      </c>
      <c r="K542" s="158">
        <v>222</v>
      </c>
      <c r="L542" s="247" t="str">
        <f>VLOOKUP(K542,'Basic Data'!T:U,2,0)</f>
        <v>Very Low Pressure On Hydraulic Unit</v>
      </c>
      <c r="M542" s="135" t="s">
        <v>472</v>
      </c>
      <c r="N542" s="256">
        <v>0.74652777777777779</v>
      </c>
      <c r="O542" s="256">
        <v>0.79305555555555551</v>
      </c>
      <c r="P542" s="256">
        <v>0.85347222222222219</v>
      </c>
      <c r="Q542" s="253">
        <f>IF(WTG_BD[[#This Row],[Work Start TimeStamp]]="","",(WTG_BD[[#This Row],[Work Start TimeStamp]]-WTG_BD[[#This Row],[Fault Start TimeStamp]])*24)</f>
        <v>1.1166666666666654</v>
      </c>
      <c r="R542" s="253">
        <f>(WTG_BD[[#This Row],[Fault Clearance time]]-WTG_BD[[#This Row],[Work Start TimeStamp]])*24</f>
        <v>1.4500000000000002</v>
      </c>
      <c r="S542" s="253">
        <f>(WTG_BD[[#This Row],[Fault Clearance time]]-WTG_BD[[#This Row],[Fault Start TimeStamp]])*24</f>
        <v>2.5666666666666655</v>
      </c>
      <c r="T542" s="135" t="s">
        <v>596</v>
      </c>
      <c r="U542" s="244" t="s">
        <v>474</v>
      </c>
      <c r="V542" s="246">
        <f>WTG_BD[[#This Row],[Breakdown Time]]*(1/39)</f>
        <v>6.5811965811965786E-2</v>
      </c>
      <c r="W542" s="244" t="s">
        <v>116</v>
      </c>
      <c r="X542" s="250">
        <v>517.93194444444418</v>
      </c>
      <c r="Y542" s="135" t="s">
        <v>470</v>
      </c>
      <c r="Z542" s="135" t="s">
        <v>475</v>
      </c>
      <c r="AA542" s="135">
        <v>4843</v>
      </c>
      <c r="AB542" s="249">
        <f>(WTG_BD[[#This Row],[Paired WTG Generation for loss calculation.]]/24)*WTG_BD[[#This Row],[Breakdown Time]]</f>
        <v>517.93194444444418</v>
      </c>
      <c r="AC542" s="135"/>
      <c r="AD542" s="245"/>
      <c r="AE542" s="3"/>
    </row>
    <row r="543" spans="1:31">
      <c r="A543" s="241">
        <f t="shared" si="17"/>
        <v>542</v>
      </c>
      <c r="B543" s="255">
        <v>45791</v>
      </c>
      <c r="C543" s="252">
        <v>2025</v>
      </c>
      <c r="D543" s="252">
        <v>2025</v>
      </c>
      <c r="E543" s="251">
        <f t="shared" si="18"/>
        <v>45778</v>
      </c>
      <c r="F543" s="252" t="s">
        <v>465</v>
      </c>
      <c r="G543" s="248" t="s">
        <v>127</v>
      </c>
      <c r="H543" s="242" t="str">
        <f>IFERROR(VLOOKUP(WTG_BD[[#This Row],[Affected WTG]],'Basic Data'!$A$3:$E$56,2,0),"")</f>
        <v>PWEGPL</v>
      </c>
      <c r="I543" s="242" t="str">
        <f>IFERROR(VLOOKUP(WTG_BD[[#This Row],[Affected WTG]],'Basic Data'!$A$3:$E$56,3,0),"")</f>
        <v>MSEDCL</v>
      </c>
      <c r="J543" s="243">
        <f>IFERROR(VLOOKUP(WTG_BD[[#This Row],[Affected WTG]],'Basic Data'!$A$3:$E$56,5,0),"")</f>
        <v>2.564102564102564E-2</v>
      </c>
      <c r="K543" s="158" t="s">
        <v>466</v>
      </c>
      <c r="L543" s="247" t="str">
        <f>VLOOKUP(K543,'Basic Data'!T:U,2,0)</f>
        <v>Manual Stop - Safety Related</v>
      </c>
      <c r="M543" s="135" t="s">
        <v>467</v>
      </c>
      <c r="N543" s="256">
        <v>0.63541666666666663</v>
      </c>
      <c r="O543" s="256">
        <v>0.63541666666666663</v>
      </c>
      <c r="P543" s="256">
        <v>0.77083333333333337</v>
      </c>
      <c r="Q543" s="253">
        <f>IF(WTG_BD[[#This Row],[Work Start TimeStamp]]="","",(WTG_BD[[#This Row],[Work Start TimeStamp]]-WTG_BD[[#This Row],[Fault Start TimeStamp]])*24)</f>
        <v>0</v>
      </c>
      <c r="R543" s="253">
        <f>(WTG_BD[[#This Row],[Fault Clearance time]]-WTG_BD[[#This Row],[Work Start TimeStamp]])*24</f>
        <v>3.2500000000000018</v>
      </c>
      <c r="S543" s="253">
        <f>(WTG_BD[[#This Row],[Fault Clearance time]]-WTG_BD[[#This Row],[Fault Start TimeStamp]])*24</f>
        <v>3.2500000000000018</v>
      </c>
      <c r="T543" s="135" t="s">
        <v>503</v>
      </c>
      <c r="U543" s="244" t="s">
        <v>474</v>
      </c>
      <c r="V543" s="246">
        <f>WTG_BD[[#This Row],[Breakdown Time]]*(1/39)</f>
        <v>8.333333333333337E-2</v>
      </c>
      <c r="W543" s="244" t="s">
        <v>126</v>
      </c>
      <c r="X543" s="250">
        <v>678.70833333333371</v>
      </c>
      <c r="Y543" s="135" t="s">
        <v>470</v>
      </c>
      <c r="Z543" s="135" t="s">
        <v>471</v>
      </c>
      <c r="AA543" s="135">
        <v>5012</v>
      </c>
      <c r="AB543" s="249">
        <f>(WTG_BD[[#This Row],[Paired WTG Generation for loss calculation.]]/24)*WTG_BD[[#This Row],[Breakdown Time]]</f>
        <v>678.70833333333371</v>
      </c>
      <c r="AC543" s="135"/>
      <c r="AD543" s="245"/>
      <c r="AE543" s="3"/>
    </row>
    <row r="544" spans="1:31">
      <c r="A544" s="241">
        <f t="shared" si="17"/>
        <v>543</v>
      </c>
      <c r="B544" s="255">
        <v>45791</v>
      </c>
      <c r="C544" s="252">
        <v>2025</v>
      </c>
      <c r="D544" s="252">
        <v>2025</v>
      </c>
      <c r="E544" s="251">
        <f t="shared" si="18"/>
        <v>45778</v>
      </c>
      <c r="F544" s="252" t="s">
        <v>465</v>
      </c>
      <c r="G544" s="248" t="s">
        <v>135</v>
      </c>
      <c r="H544" s="242" t="str">
        <f>IFERROR(VLOOKUP(WTG_BD[[#This Row],[Affected WTG]],'Basic Data'!$A$3:$E$56,2,0),"")</f>
        <v>PWEGPL</v>
      </c>
      <c r="I544" s="242" t="str">
        <f>IFERROR(VLOOKUP(WTG_BD[[#This Row],[Affected WTG]],'Basic Data'!$A$3:$E$56,3,0),"")</f>
        <v>MSEDCL</v>
      </c>
      <c r="J544" s="243">
        <f>IFERROR(VLOOKUP(WTG_BD[[#This Row],[Affected WTG]],'Basic Data'!$A$3:$E$56,5,0),"")</f>
        <v>2.564102564102564E-2</v>
      </c>
      <c r="K544" s="158" t="s">
        <v>466</v>
      </c>
      <c r="L544" s="247" t="str">
        <f>VLOOKUP(K544,'Basic Data'!T:U,2,0)</f>
        <v>Manual Stop - Safety Related</v>
      </c>
      <c r="M544" s="135" t="s">
        <v>467</v>
      </c>
      <c r="N544" s="256">
        <v>0.31527777777777777</v>
      </c>
      <c r="O544" s="256">
        <v>0.48194444444444445</v>
      </c>
      <c r="P544" s="256">
        <v>0.5625</v>
      </c>
      <c r="Q544" s="253">
        <f>IF(WTG_BD[[#This Row],[Work Start TimeStamp]]="","",(WTG_BD[[#This Row],[Work Start TimeStamp]]-WTG_BD[[#This Row],[Fault Start TimeStamp]])*24)</f>
        <v>4</v>
      </c>
      <c r="R544" s="253">
        <f>(WTG_BD[[#This Row],[Fault Clearance time]]-WTG_BD[[#This Row],[Work Start TimeStamp]])*24</f>
        <v>1.9333333333333331</v>
      </c>
      <c r="S544" s="253">
        <f>(WTG_BD[[#This Row],[Fault Clearance time]]-WTG_BD[[#This Row],[Fault Start TimeStamp]])*24</f>
        <v>5.9333333333333336</v>
      </c>
      <c r="T544" s="135" t="s">
        <v>503</v>
      </c>
      <c r="U544" s="244" t="s">
        <v>474</v>
      </c>
      <c r="V544" s="246">
        <f>WTG_BD[[#This Row],[Breakdown Time]]*(1/39)</f>
        <v>0.15213675213675215</v>
      </c>
      <c r="W544" s="244" t="s">
        <v>136</v>
      </c>
      <c r="X544" s="250">
        <v>804.95555555555552</v>
      </c>
      <c r="Y544" s="135" t="s">
        <v>470</v>
      </c>
      <c r="Z544" s="135" t="s">
        <v>471</v>
      </c>
      <c r="AA544" s="135">
        <v>3256</v>
      </c>
      <c r="AB544" s="249">
        <f>(WTG_BD[[#This Row],[Paired WTG Generation for loss calculation.]]/24)*WTG_BD[[#This Row],[Breakdown Time]]</f>
        <v>804.95555555555552</v>
      </c>
      <c r="AC544" s="135"/>
      <c r="AD544" s="245"/>
      <c r="AE544" s="3"/>
    </row>
    <row r="545" spans="1:31">
      <c r="A545" s="241">
        <f t="shared" si="17"/>
        <v>544</v>
      </c>
      <c r="B545" s="255">
        <v>45791</v>
      </c>
      <c r="C545" s="252">
        <v>2025</v>
      </c>
      <c r="D545" s="252">
        <v>2025</v>
      </c>
      <c r="E545" s="251">
        <f t="shared" si="18"/>
        <v>45778</v>
      </c>
      <c r="F545" s="252" t="s">
        <v>465</v>
      </c>
      <c r="G545" s="248" t="s">
        <v>135</v>
      </c>
      <c r="H545" s="242" t="str">
        <f>IFERROR(VLOOKUP(WTG_BD[[#This Row],[Affected WTG]],'Basic Data'!$A$3:$E$56,2,0),"")</f>
        <v>PWEGPL</v>
      </c>
      <c r="I545" s="242" t="str">
        <f>IFERROR(VLOOKUP(WTG_BD[[#This Row],[Affected WTG]],'Basic Data'!$A$3:$E$56,3,0),"")</f>
        <v>MSEDCL</v>
      </c>
      <c r="J545" s="243">
        <f>IFERROR(VLOOKUP(WTG_BD[[#This Row],[Affected WTG]],'Basic Data'!$A$3:$E$56,5,0),"")</f>
        <v>2.564102564102564E-2</v>
      </c>
      <c r="K545" s="158" t="s">
        <v>523</v>
      </c>
      <c r="L545" s="247" t="str">
        <f>VLOOKUP(K545,'Basic Data'!T:U,2,0)</f>
        <v>Manual Stop</v>
      </c>
      <c r="M545" s="135" t="s">
        <v>467</v>
      </c>
      <c r="N545" s="256">
        <v>8.4722222222222227E-2</v>
      </c>
      <c r="O545" s="256">
        <v>8.4722222222222227E-2</v>
      </c>
      <c r="P545" s="256">
        <v>0.13750000000000001</v>
      </c>
      <c r="Q545" s="253">
        <f>IF(WTG_BD[[#This Row],[Work Start TimeStamp]]="","",(WTG_BD[[#This Row],[Work Start TimeStamp]]-WTG_BD[[#This Row],[Fault Start TimeStamp]])*24)</f>
        <v>0</v>
      </c>
      <c r="R545" s="253">
        <f>(WTG_BD[[#This Row],[Fault Clearance time]]-WTG_BD[[#This Row],[Work Start TimeStamp]])*24</f>
        <v>1.2666666666666668</v>
      </c>
      <c r="S545" s="253">
        <f>(WTG_BD[[#This Row],[Fault Clearance time]]-WTG_BD[[#This Row],[Fault Start TimeStamp]])*24</f>
        <v>1.2666666666666668</v>
      </c>
      <c r="T545" s="135" t="s">
        <v>597</v>
      </c>
      <c r="U545" s="244" t="s">
        <v>474</v>
      </c>
      <c r="V545" s="246">
        <f>WTG_BD[[#This Row],[Breakdown Time]]*(1/39)</f>
        <v>3.2478632478632481E-2</v>
      </c>
      <c r="W545" s="244" t="s">
        <v>136</v>
      </c>
      <c r="X545" s="250">
        <v>171.84444444444446</v>
      </c>
      <c r="Y545" s="135" t="s">
        <v>470</v>
      </c>
      <c r="Z545" s="135" t="s">
        <v>498</v>
      </c>
      <c r="AA545" s="135">
        <v>3256</v>
      </c>
      <c r="AB545" s="249">
        <f>(WTG_BD[[#This Row],[Paired WTG Generation for loss calculation.]]/24)*WTG_BD[[#This Row],[Breakdown Time]]</f>
        <v>171.84444444444446</v>
      </c>
      <c r="AC545" s="135"/>
      <c r="AD545" s="245"/>
      <c r="AE545" s="3"/>
    </row>
    <row r="546" spans="1:31">
      <c r="A546" s="241">
        <f t="shared" si="17"/>
        <v>545</v>
      </c>
      <c r="B546" s="255">
        <v>45792</v>
      </c>
      <c r="C546" s="252">
        <v>2025</v>
      </c>
      <c r="D546" s="252">
        <v>2025</v>
      </c>
      <c r="E546" s="251">
        <f t="shared" si="18"/>
        <v>45778</v>
      </c>
      <c r="F546" s="252" t="s">
        <v>465</v>
      </c>
      <c r="G546" s="248" t="s">
        <v>144</v>
      </c>
      <c r="H546" s="242" t="str">
        <f>IFERROR(VLOOKUP(WTG_BD[[#This Row],[Affected WTG]],'Basic Data'!$A$3:$E$56,2,0),"")</f>
        <v>PWEGPL</v>
      </c>
      <c r="I546" s="242" t="str">
        <f>IFERROR(VLOOKUP(WTG_BD[[#This Row],[Affected WTG]],'Basic Data'!$A$3:$E$56,3,0),"")</f>
        <v>MSEDCL</v>
      </c>
      <c r="J546" s="243">
        <f>IFERROR(VLOOKUP(WTG_BD[[#This Row],[Affected WTG]],'Basic Data'!$A$3:$E$56,5,0),"")</f>
        <v>2.564102564102564E-2</v>
      </c>
      <c r="K546" s="158" t="s">
        <v>466</v>
      </c>
      <c r="L546" s="247" t="str">
        <f>VLOOKUP(K546,'Basic Data'!T:U,2,0)</f>
        <v>Manual Stop - Safety Related</v>
      </c>
      <c r="M546" s="135" t="s">
        <v>467</v>
      </c>
      <c r="N546" s="256">
        <v>0</v>
      </c>
      <c r="O546" s="256">
        <v>0.99930555555555556</v>
      </c>
      <c r="P546" s="256">
        <v>0.99930555555555556</v>
      </c>
      <c r="Q546" s="253">
        <f>IF(WTG_BD[[#This Row],[Work Start TimeStamp]]="","",(WTG_BD[[#This Row],[Work Start TimeStamp]]-WTG_BD[[#This Row],[Fault Start TimeStamp]])*24)</f>
        <v>23.983333333333334</v>
      </c>
      <c r="R546" s="253">
        <f>(WTG_BD[[#This Row],[Fault Clearance time]]-WTG_BD[[#This Row],[Work Start TimeStamp]])*24</f>
        <v>0</v>
      </c>
      <c r="S546" s="253">
        <f>(WTG_BD[[#This Row],[Fault Clearance time]]-WTG_BD[[#This Row],[Fault Start TimeStamp]])*24</f>
        <v>23.983333333333334</v>
      </c>
      <c r="T546" s="135" t="s">
        <v>468</v>
      </c>
      <c r="U546" s="244" t="s">
        <v>469</v>
      </c>
      <c r="V546" s="246">
        <f>WTG_BD[[#This Row],[Breakdown Time]]*(1/39)</f>
        <v>0.61495726495726499</v>
      </c>
      <c r="W546" s="244" t="s">
        <v>141</v>
      </c>
      <c r="X546" s="250">
        <v>5038.4986111111111</v>
      </c>
      <c r="Y546" s="135" t="s">
        <v>470</v>
      </c>
      <c r="Z546" s="135" t="s">
        <v>471</v>
      </c>
      <c r="AA546" s="135">
        <v>5042</v>
      </c>
      <c r="AB546" s="249">
        <f>(WTG_BD[[#This Row],[Paired WTG Generation for loss calculation.]]/24)*WTG_BD[[#This Row],[Breakdown Time]]</f>
        <v>5038.4986111111111</v>
      </c>
      <c r="AC546" s="135"/>
      <c r="AD546" s="245"/>
      <c r="AE546" s="3"/>
    </row>
    <row r="547" spans="1:31">
      <c r="A547" s="241">
        <f t="shared" si="17"/>
        <v>546</v>
      </c>
      <c r="B547" s="255">
        <v>45792</v>
      </c>
      <c r="C547" s="252">
        <v>2025</v>
      </c>
      <c r="D547" s="252">
        <v>2025</v>
      </c>
      <c r="E547" s="251">
        <f t="shared" si="18"/>
        <v>45778</v>
      </c>
      <c r="F547" s="252" t="s">
        <v>465</v>
      </c>
      <c r="G547" s="248" t="s">
        <v>142</v>
      </c>
      <c r="H547" s="242" t="str">
        <f>IFERROR(VLOOKUP(WTG_BD[[#This Row],[Affected WTG]],'Basic Data'!$A$3:$E$56,2,0),"")</f>
        <v>PWEGPL</v>
      </c>
      <c r="I547" s="242" t="str">
        <f>IFERROR(VLOOKUP(WTG_BD[[#This Row],[Affected WTG]],'Basic Data'!$A$3:$E$56,3,0),"")</f>
        <v>MSEDCL</v>
      </c>
      <c r="J547" s="243">
        <f>IFERROR(VLOOKUP(WTG_BD[[#This Row],[Affected WTG]],'Basic Data'!$A$3:$E$56,5,0),"")</f>
        <v>2.564102564102564E-2</v>
      </c>
      <c r="K547" s="158" t="s">
        <v>466</v>
      </c>
      <c r="L547" s="247" t="str">
        <f>VLOOKUP(K547,'Basic Data'!T:U,2,0)</f>
        <v>Manual Stop - Safety Related</v>
      </c>
      <c r="M547" s="135" t="s">
        <v>467</v>
      </c>
      <c r="N547" s="256">
        <v>0</v>
      </c>
      <c r="O547" s="256">
        <v>0.99930555555555556</v>
      </c>
      <c r="P547" s="256">
        <v>0.99930555555555556</v>
      </c>
      <c r="Q547" s="253">
        <f>IF(WTG_BD[[#This Row],[Work Start TimeStamp]]="","",(WTG_BD[[#This Row],[Work Start TimeStamp]]-WTG_BD[[#This Row],[Fault Start TimeStamp]])*24)</f>
        <v>23.983333333333334</v>
      </c>
      <c r="R547" s="253">
        <f>(WTG_BD[[#This Row],[Fault Clearance time]]-WTG_BD[[#This Row],[Work Start TimeStamp]])*24</f>
        <v>0</v>
      </c>
      <c r="S547" s="253">
        <f>(WTG_BD[[#This Row],[Fault Clearance time]]-WTG_BD[[#This Row],[Fault Start TimeStamp]])*24</f>
        <v>23.983333333333334</v>
      </c>
      <c r="T547" s="135" t="s">
        <v>468</v>
      </c>
      <c r="U547" s="244" t="s">
        <v>469</v>
      </c>
      <c r="V547" s="246">
        <f>WTG_BD[[#This Row],[Breakdown Time]]*(1/39)</f>
        <v>0.61495726495726499</v>
      </c>
      <c r="W547" s="244" t="s">
        <v>141</v>
      </c>
      <c r="X547" s="250">
        <v>5038.4986111111111</v>
      </c>
      <c r="Y547" s="135" t="s">
        <v>470</v>
      </c>
      <c r="Z547" s="135" t="s">
        <v>471</v>
      </c>
      <c r="AA547" s="135">
        <v>5042</v>
      </c>
      <c r="AB547" s="249">
        <f>(WTG_BD[[#This Row],[Paired WTG Generation for loss calculation.]]/24)*WTG_BD[[#This Row],[Breakdown Time]]</f>
        <v>5038.4986111111111</v>
      </c>
      <c r="AC547" s="135"/>
      <c r="AD547" s="245"/>
      <c r="AE547" s="3"/>
    </row>
    <row r="548" spans="1:31">
      <c r="A548" s="241">
        <f t="shared" si="17"/>
        <v>547</v>
      </c>
      <c r="B548" s="255">
        <v>45792</v>
      </c>
      <c r="C548" s="252">
        <v>2025</v>
      </c>
      <c r="D548" s="252">
        <v>2025</v>
      </c>
      <c r="E548" s="251">
        <f t="shared" si="18"/>
        <v>45778</v>
      </c>
      <c r="F548" s="252" t="s">
        <v>465</v>
      </c>
      <c r="G548" s="248" t="s">
        <v>120</v>
      </c>
      <c r="H548" s="242" t="str">
        <f>IFERROR(VLOOKUP(WTG_BD[[#This Row],[Affected WTG]],'Basic Data'!$A$3:$E$56,2,0),"")</f>
        <v>PWEGPL</v>
      </c>
      <c r="I548" s="242" t="str">
        <f>IFERROR(VLOOKUP(WTG_BD[[#This Row],[Affected WTG]],'Basic Data'!$A$3:$E$56,3,0),"")</f>
        <v>MSEDCL</v>
      </c>
      <c r="J548" s="243">
        <f>IFERROR(VLOOKUP(WTG_BD[[#This Row],[Affected WTG]],'Basic Data'!$A$3:$E$56,5,0),"")</f>
        <v>2.564102564102564E-2</v>
      </c>
      <c r="K548" s="158" t="s">
        <v>523</v>
      </c>
      <c r="L548" s="247" t="str">
        <f>VLOOKUP(K548,'Basic Data'!T:U,2,0)</f>
        <v>Manual Stop</v>
      </c>
      <c r="M548" s="135" t="s">
        <v>573</v>
      </c>
      <c r="N548" s="256">
        <v>0.4777777777777778</v>
      </c>
      <c r="O548" s="256">
        <v>0.4777777777777778</v>
      </c>
      <c r="P548" s="256">
        <v>0.60138888888888886</v>
      </c>
      <c r="Q548" s="253">
        <f>IF(WTG_BD[[#This Row],[Work Start TimeStamp]]="","",(WTG_BD[[#This Row],[Work Start TimeStamp]]-WTG_BD[[#This Row],[Fault Start TimeStamp]])*24)</f>
        <v>0</v>
      </c>
      <c r="R548" s="253">
        <f>(WTG_BD[[#This Row],[Fault Clearance time]]-WTG_BD[[#This Row],[Work Start TimeStamp]])*24</f>
        <v>2.9666666666666655</v>
      </c>
      <c r="S548" s="253">
        <f>(WTG_BD[[#This Row],[Fault Clearance time]]-WTG_BD[[#This Row],[Fault Start TimeStamp]])*24</f>
        <v>2.9666666666666655</v>
      </c>
      <c r="T548" s="135" t="s">
        <v>574</v>
      </c>
      <c r="U548" s="244" t="s">
        <v>474</v>
      </c>
      <c r="V548" s="246">
        <f>WTG_BD[[#This Row],[Breakdown Time]]*(1/39)</f>
        <v>7.6068376068376034E-2</v>
      </c>
      <c r="W548" s="244" t="s">
        <v>117</v>
      </c>
      <c r="X548" s="250">
        <v>793.95416666666631</v>
      </c>
      <c r="Y548" s="135" t="s">
        <v>470</v>
      </c>
      <c r="Z548" s="135" t="s">
        <v>498</v>
      </c>
      <c r="AA548" s="135">
        <v>6423</v>
      </c>
      <c r="AB548" s="249">
        <f>(WTG_BD[[#This Row],[Paired WTG Generation for loss calculation.]]/24)*WTG_BD[[#This Row],[Breakdown Time]]</f>
        <v>793.95416666666631</v>
      </c>
      <c r="AC548" s="135"/>
      <c r="AD548" s="245"/>
      <c r="AE548" s="3"/>
    </row>
    <row r="549" spans="1:31">
      <c r="A549" s="241">
        <f t="shared" si="17"/>
        <v>548</v>
      </c>
      <c r="B549" s="255">
        <v>45792</v>
      </c>
      <c r="C549" s="252">
        <v>2025</v>
      </c>
      <c r="D549" s="252">
        <v>2025</v>
      </c>
      <c r="E549" s="251">
        <f t="shared" si="18"/>
        <v>45778</v>
      </c>
      <c r="F549" s="252" t="s">
        <v>465</v>
      </c>
      <c r="G549" s="248" t="s">
        <v>121</v>
      </c>
      <c r="H549" s="242" t="str">
        <f>IFERROR(VLOOKUP(WTG_BD[[#This Row],[Affected WTG]],'Basic Data'!$A$3:$E$56,2,0),"")</f>
        <v>PWEGPL</v>
      </c>
      <c r="I549" s="242" t="str">
        <f>IFERROR(VLOOKUP(WTG_BD[[#This Row],[Affected WTG]],'Basic Data'!$A$3:$E$56,3,0),"")</f>
        <v>MSEDCL</v>
      </c>
      <c r="J549" s="243">
        <f>IFERROR(VLOOKUP(WTG_BD[[#This Row],[Affected WTG]],'Basic Data'!$A$3:$E$56,5,0),"")</f>
        <v>2.564102564102564E-2</v>
      </c>
      <c r="K549" s="158" t="s">
        <v>523</v>
      </c>
      <c r="L549" s="247" t="str">
        <f>VLOOKUP(K549,'Basic Data'!T:U,2,0)</f>
        <v>Manual Stop</v>
      </c>
      <c r="M549" s="135" t="s">
        <v>573</v>
      </c>
      <c r="N549" s="256">
        <v>0.59375</v>
      </c>
      <c r="O549" s="256">
        <v>0.59375</v>
      </c>
      <c r="P549" s="256">
        <v>0.66666666666666663</v>
      </c>
      <c r="Q549" s="253">
        <f>IF(WTG_BD[[#This Row],[Work Start TimeStamp]]="","",(WTG_BD[[#This Row],[Work Start TimeStamp]]-WTG_BD[[#This Row],[Fault Start TimeStamp]])*24)</f>
        <v>0</v>
      </c>
      <c r="R549" s="253">
        <f>(WTG_BD[[#This Row],[Fault Clearance time]]-WTG_BD[[#This Row],[Work Start TimeStamp]])*24</f>
        <v>1.7499999999999991</v>
      </c>
      <c r="S549" s="253">
        <f>(WTG_BD[[#This Row],[Fault Clearance time]]-WTG_BD[[#This Row],[Fault Start TimeStamp]])*24</f>
        <v>1.7499999999999991</v>
      </c>
      <c r="T549" s="135" t="s">
        <v>574</v>
      </c>
      <c r="U549" s="244" t="s">
        <v>474</v>
      </c>
      <c r="V549" s="246">
        <f>WTG_BD[[#This Row],[Breakdown Time]]*(1/39)</f>
        <v>4.4871794871794844E-2</v>
      </c>
      <c r="W549" s="244" t="s">
        <v>115</v>
      </c>
      <c r="X549" s="250">
        <v>468.19791666666646</v>
      </c>
      <c r="Y549" s="135" t="s">
        <v>470</v>
      </c>
      <c r="Z549" s="135" t="s">
        <v>498</v>
      </c>
      <c r="AA549" s="135">
        <v>6421</v>
      </c>
      <c r="AB549" s="249">
        <f>(WTG_BD[[#This Row],[Paired WTG Generation for loss calculation.]]/24)*WTG_BD[[#This Row],[Breakdown Time]]</f>
        <v>468.19791666666646</v>
      </c>
      <c r="AC549" s="135"/>
      <c r="AD549" s="245"/>
      <c r="AE549" s="3"/>
    </row>
    <row r="550" spans="1:31">
      <c r="A550" s="241">
        <f t="shared" si="17"/>
        <v>549</v>
      </c>
      <c r="B550" s="255">
        <v>45792</v>
      </c>
      <c r="C550" s="252">
        <v>2025</v>
      </c>
      <c r="D550" s="252">
        <v>2025</v>
      </c>
      <c r="E550" s="251">
        <f t="shared" si="18"/>
        <v>45778</v>
      </c>
      <c r="F550" s="252" t="s">
        <v>465</v>
      </c>
      <c r="G550" s="248" t="s">
        <v>126</v>
      </c>
      <c r="H550" s="242" t="str">
        <f>IFERROR(VLOOKUP(WTG_BD[[#This Row],[Affected WTG]],'Basic Data'!$A$3:$E$56,2,0),"")</f>
        <v>PWEGPL</v>
      </c>
      <c r="I550" s="242" t="str">
        <f>IFERROR(VLOOKUP(WTG_BD[[#This Row],[Affected WTG]],'Basic Data'!$A$3:$E$56,3,0),"")</f>
        <v>MSEDCL</v>
      </c>
      <c r="J550" s="243">
        <f>IFERROR(VLOOKUP(WTG_BD[[#This Row],[Affected WTG]],'Basic Data'!$A$3:$E$56,5,0),"")</f>
        <v>2.564102564102564E-2</v>
      </c>
      <c r="K550" s="158" t="s">
        <v>466</v>
      </c>
      <c r="L550" s="247" t="str">
        <f>VLOOKUP(K550,'Basic Data'!T:U,2,0)</f>
        <v>Manual Stop - Safety Related</v>
      </c>
      <c r="M550" s="135" t="s">
        <v>467</v>
      </c>
      <c r="N550" s="256">
        <v>0.46875</v>
      </c>
      <c r="O550" s="256">
        <v>0.46875</v>
      </c>
      <c r="P550" s="256">
        <v>0.61111111111111116</v>
      </c>
      <c r="Q550" s="253">
        <f>IF(WTG_BD[[#This Row],[Work Start TimeStamp]]="","",(WTG_BD[[#This Row],[Work Start TimeStamp]]-WTG_BD[[#This Row],[Fault Start TimeStamp]])*24)</f>
        <v>0</v>
      </c>
      <c r="R550" s="253">
        <f>(WTG_BD[[#This Row],[Fault Clearance time]]-WTG_BD[[#This Row],[Work Start TimeStamp]])*24</f>
        <v>3.4166666666666679</v>
      </c>
      <c r="S550" s="253">
        <f>(WTG_BD[[#This Row],[Fault Clearance time]]-WTG_BD[[#This Row],[Fault Start TimeStamp]])*24</f>
        <v>3.4166666666666679</v>
      </c>
      <c r="T550" s="135" t="s">
        <v>503</v>
      </c>
      <c r="U550" s="244" t="s">
        <v>474</v>
      </c>
      <c r="V550" s="246">
        <f>WTG_BD[[#This Row],[Breakdown Time]]*(1/39)</f>
        <v>8.7606837606837629E-2</v>
      </c>
      <c r="W550" s="244" t="s">
        <v>127</v>
      </c>
      <c r="X550" s="250">
        <v>835.23263888888926</v>
      </c>
      <c r="Y550" s="135" t="s">
        <v>470</v>
      </c>
      <c r="Z550" s="135" t="s">
        <v>471</v>
      </c>
      <c r="AA550" s="135">
        <v>5867</v>
      </c>
      <c r="AB550" s="249">
        <f>(WTG_BD[[#This Row],[Paired WTG Generation for loss calculation.]]/24)*WTG_BD[[#This Row],[Breakdown Time]]</f>
        <v>835.23263888888926</v>
      </c>
      <c r="AC550" s="135"/>
      <c r="AD550" s="245"/>
      <c r="AE550" s="3"/>
    </row>
    <row r="551" spans="1:31">
      <c r="A551" s="241">
        <f t="shared" si="17"/>
        <v>550</v>
      </c>
      <c r="B551" s="255">
        <v>45792</v>
      </c>
      <c r="C551" s="252">
        <v>2025</v>
      </c>
      <c r="D551" s="252">
        <v>2025</v>
      </c>
      <c r="E551" s="251">
        <f t="shared" si="18"/>
        <v>45778</v>
      </c>
      <c r="F551" s="252" t="s">
        <v>465</v>
      </c>
      <c r="G551" s="248" t="s">
        <v>138</v>
      </c>
      <c r="H551" s="242" t="str">
        <f>IFERROR(VLOOKUP(WTG_BD[[#This Row],[Affected WTG]],'Basic Data'!$A$3:$E$56,2,0),"")</f>
        <v>PWEGPL</v>
      </c>
      <c r="I551" s="242" t="str">
        <f>IFERROR(VLOOKUP(WTG_BD[[#This Row],[Affected WTG]],'Basic Data'!$A$3:$E$56,3,0),"")</f>
        <v>MSEDCL</v>
      </c>
      <c r="J551" s="243">
        <f>IFERROR(VLOOKUP(WTG_BD[[#This Row],[Affected WTG]],'Basic Data'!$A$3:$E$56,5,0),"")</f>
        <v>2.564102564102564E-2</v>
      </c>
      <c r="K551" s="158">
        <v>205</v>
      </c>
      <c r="L551" s="247" t="str">
        <f>VLOOKUP(K551,'Basic Data'!T:U,2,0)</f>
        <v>Low Level Hydraulic Group Refrigeration Oil</v>
      </c>
      <c r="M551" s="135" t="s">
        <v>472</v>
      </c>
      <c r="N551" s="256">
        <v>0.55555555555555558</v>
      </c>
      <c r="O551" s="256">
        <v>0.58472222222222225</v>
      </c>
      <c r="P551" s="256">
        <v>0.65694444444444444</v>
      </c>
      <c r="Q551" s="253">
        <f>IF(WTG_BD[[#This Row],[Work Start TimeStamp]]="","",(WTG_BD[[#This Row],[Work Start TimeStamp]]-WTG_BD[[#This Row],[Fault Start TimeStamp]])*24)</f>
        <v>0.70000000000000018</v>
      </c>
      <c r="R551" s="253">
        <f>(WTG_BD[[#This Row],[Fault Clearance time]]-WTG_BD[[#This Row],[Work Start TimeStamp]])*24</f>
        <v>1.7333333333333325</v>
      </c>
      <c r="S551" s="253">
        <f>(WTG_BD[[#This Row],[Fault Clearance time]]-WTG_BD[[#This Row],[Fault Start TimeStamp]])*24</f>
        <v>2.4333333333333327</v>
      </c>
      <c r="T551" s="135" t="s">
        <v>527</v>
      </c>
      <c r="U551" s="244" t="s">
        <v>474</v>
      </c>
      <c r="V551" s="246">
        <f>WTG_BD[[#This Row],[Breakdown Time]]*(1/39)</f>
        <v>6.2393162393162373E-2</v>
      </c>
      <c r="W551" s="244" t="s">
        <v>140</v>
      </c>
      <c r="X551" s="250">
        <v>512.62222222222204</v>
      </c>
      <c r="Y551" s="135" t="s">
        <v>470</v>
      </c>
      <c r="Z551" s="135" t="s">
        <v>475</v>
      </c>
      <c r="AA551" s="135">
        <v>5056</v>
      </c>
      <c r="AB551" s="249">
        <f>(WTG_BD[[#This Row],[Paired WTG Generation for loss calculation.]]/24)*WTG_BD[[#This Row],[Breakdown Time]]</f>
        <v>512.62222222222204</v>
      </c>
      <c r="AC551" s="135"/>
      <c r="AD551" s="245"/>
      <c r="AE551" s="3"/>
    </row>
    <row r="552" spans="1:31">
      <c r="A552" s="241">
        <f t="shared" si="17"/>
        <v>551</v>
      </c>
      <c r="B552" s="255">
        <v>45792</v>
      </c>
      <c r="C552" s="252">
        <v>2025</v>
      </c>
      <c r="D552" s="252">
        <v>2025</v>
      </c>
      <c r="E552" s="251">
        <f t="shared" si="18"/>
        <v>45778</v>
      </c>
      <c r="F552" s="252" t="s">
        <v>465</v>
      </c>
      <c r="G552" s="248" t="s">
        <v>146</v>
      </c>
      <c r="H552" s="242" t="str">
        <f>IFERROR(VLOOKUP(WTG_BD[[#This Row],[Affected WTG]],'Basic Data'!$A$3:$E$56,2,0),"")</f>
        <v>PWEGPL</v>
      </c>
      <c r="I552" s="242" t="str">
        <f>IFERROR(VLOOKUP(WTG_BD[[#This Row],[Affected WTG]],'Basic Data'!$A$3:$E$56,3,0),"")</f>
        <v>MSEDCL</v>
      </c>
      <c r="J552" s="243">
        <f>IFERROR(VLOOKUP(WTG_BD[[#This Row],[Affected WTG]],'Basic Data'!$A$3:$E$56,5,0),"")</f>
        <v>2.564102564102564E-2</v>
      </c>
      <c r="K552" s="158" t="s">
        <v>514</v>
      </c>
      <c r="L552" s="247" t="str">
        <f>VLOOKUP(K552,'Basic Data'!T:U,2,0)</f>
        <v>General Work Stoppage</v>
      </c>
      <c r="M552" s="135" t="s">
        <v>496</v>
      </c>
      <c r="N552" s="254">
        <v>0.51944444444444449</v>
      </c>
      <c r="O552" s="254">
        <v>0.51944444444444449</v>
      </c>
      <c r="P552" s="254">
        <v>0.68541666666666667</v>
      </c>
      <c r="Q552" s="253">
        <f>IF(WTG_BD[[#This Row],[Work Start TimeStamp]]="","",(WTG_BD[[#This Row],[Work Start TimeStamp]]-WTG_BD[[#This Row],[Fault Start TimeStamp]])*24)</f>
        <v>0</v>
      </c>
      <c r="R552" s="253">
        <f>(WTG_BD[[#This Row],[Fault Clearance time]]-WTG_BD[[#This Row],[Work Start TimeStamp]])*24</f>
        <v>3.9833333333333325</v>
      </c>
      <c r="S552" s="253">
        <f>(WTG_BD[[#This Row],[Fault Clearance time]]-WTG_BD[[#This Row],[Fault Start TimeStamp]])*24</f>
        <v>3.9833333333333325</v>
      </c>
      <c r="T552" s="135" t="s">
        <v>598</v>
      </c>
      <c r="U552" s="244" t="s">
        <v>474</v>
      </c>
      <c r="V552" s="246">
        <f>WTG_BD[[#This Row],[Breakdown Time]]*(1/39)</f>
        <v>0.10213675213675211</v>
      </c>
      <c r="W552" s="244" t="s">
        <v>147</v>
      </c>
      <c r="X552" s="250">
        <v>758.82499999999982</v>
      </c>
      <c r="Y552" s="135" t="s">
        <v>470</v>
      </c>
      <c r="Z552" s="135" t="s">
        <v>498</v>
      </c>
      <c r="AA552" s="135">
        <v>4572</v>
      </c>
      <c r="AB552" s="249">
        <f>(WTG_BD[[#This Row],[Paired WTG Generation for loss calculation.]]/24)*WTG_BD[[#This Row],[Breakdown Time]]</f>
        <v>758.82499999999982</v>
      </c>
      <c r="AC552" s="135"/>
      <c r="AD552" s="245"/>
      <c r="AE552" s="3"/>
    </row>
    <row r="553" spans="1:31">
      <c r="A553" s="241">
        <f t="shared" si="17"/>
        <v>552</v>
      </c>
      <c r="B553" s="255">
        <v>45792</v>
      </c>
      <c r="C553" s="252">
        <v>2025</v>
      </c>
      <c r="D553" s="252">
        <v>2025</v>
      </c>
      <c r="E553" s="251">
        <f t="shared" si="18"/>
        <v>45778</v>
      </c>
      <c r="F553" s="252" t="s">
        <v>465</v>
      </c>
      <c r="G553" s="248" t="s">
        <v>152</v>
      </c>
      <c r="H553" s="242" t="str">
        <f>IFERROR(VLOOKUP(WTG_BD[[#This Row],[Affected WTG]],'Basic Data'!$A$3:$E$56,2,0),"")</f>
        <v>PWEGPL</v>
      </c>
      <c r="I553" s="242" t="str">
        <f>IFERROR(VLOOKUP(WTG_BD[[#This Row],[Affected WTG]],'Basic Data'!$A$3:$E$56,3,0),"")</f>
        <v>MSEDCL</v>
      </c>
      <c r="J553" s="243">
        <f>IFERROR(VLOOKUP(WTG_BD[[#This Row],[Affected WTG]],'Basic Data'!$A$3:$E$56,5,0),"")</f>
        <v>2.564102564102564E-2</v>
      </c>
      <c r="K553" s="158" t="s">
        <v>549</v>
      </c>
      <c r="L553" s="247" t="str">
        <f>VLOOKUP(K553,'Basic Data'!T:U,2,0)</f>
        <v>Manual Stop - Preventive Maintenance Activity</v>
      </c>
      <c r="M553" s="135" t="s">
        <v>550</v>
      </c>
      <c r="N553" s="256">
        <v>0.50486111111111109</v>
      </c>
      <c r="O553" s="256">
        <v>0.50486111111111109</v>
      </c>
      <c r="P553" s="256">
        <v>0.79027777777777775</v>
      </c>
      <c r="Q553" s="253">
        <f>IF(WTG_BD[[#This Row],[Work Start TimeStamp]]="","",(WTG_BD[[#This Row],[Work Start TimeStamp]]-WTG_BD[[#This Row],[Fault Start TimeStamp]])*24)</f>
        <v>0</v>
      </c>
      <c r="R553" s="253">
        <f>(WTG_BD[[#This Row],[Fault Clearance time]]-WTG_BD[[#This Row],[Work Start TimeStamp]])*24</f>
        <v>6.85</v>
      </c>
      <c r="S553" s="253">
        <f>(WTG_BD[[#This Row],[Fault Clearance time]]-WTG_BD[[#This Row],[Fault Start TimeStamp]])*24</f>
        <v>6.85</v>
      </c>
      <c r="T553" s="135" t="s">
        <v>571</v>
      </c>
      <c r="U553" s="244" t="s">
        <v>474</v>
      </c>
      <c r="V553" s="246">
        <f>WTG_BD[[#This Row],[Breakdown Time]]*(1/39)</f>
        <v>0.17564102564102563</v>
      </c>
      <c r="W553" s="244" t="s">
        <v>151</v>
      </c>
      <c r="X553" s="250">
        <v>1309.4916666666666</v>
      </c>
      <c r="Y553" s="135" t="s">
        <v>470</v>
      </c>
      <c r="Z553" s="135" t="s">
        <v>552</v>
      </c>
      <c r="AA553" s="135">
        <v>4588</v>
      </c>
      <c r="AB553" s="249">
        <f>(WTG_BD[[#This Row],[Paired WTG Generation for loss calculation.]]/24)*WTG_BD[[#This Row],[Breakdown Time]]</f>
        <v>1309.4916666666666</v>
      </c>
      <c r="AC553" s="135"/>
      <c r="AD553" s="245"/>
      <c r="AE553" s="3"/>
    </row>
    <row r="554" spans="1:31">
      <c r="A554" s="241">
        <f t="shared" si="17"/>
        <v>553</v>
      </c>
      <c r="B554" s="255">
        <v>45792</v>
      </c>
      <c r="C554" s="252">
        <v>2025</v>
      </c>
      <c r="D554" s="252">
        <v>2025</v>
      </c>
      <c r="E554" s="251">
        <f t="shared" si="18"/>
        <v>45778</v>
      </c>
      <c r="F554" s="252" t="s">
        <v>465</v>
      </c>
      <c r="G554" s="248" t="s">
        <v>153</v>
      </c>
      <c r="H554" s="242" t="str">
        <f>IFERROR(VLOOKUP(WTG_BD[[#This Row],[Affected WTG]],'Basic Data'!$A$3:$E$56,2,0),"")</f>
        <v>PWEGPL</v>
      </c>
      <c r="I554" s="242" t="str">
        <f>IFERROR(VLOOKUP(WTG_BD[[#This Row],[Affected WTG]],'Basic Data'!$A$3:$E$56,3,0),"")</f>
        <v>MSEDCL</v>
      </c>
      <c r="J554" s="243">
        <f>IFERROR(VLOOKUP(WTG_BD[[#This Row],[Affected WTG]],'Basic Data'!$A$3:$E$56,5,0),"")</f>
        <v>2.564102564102564E-2</v>
      </c>
      <c r="K554" s="158">
        <v>5216</v>
      </c>
      <c r="L554" s="247" t="str">
        <f>VLOOKUP(K554,'Basic Data'!T:U,2,0)</f>
        <v>Grid Voltage Failure</v>
      </c>
      <c r="M554" s="135" t="s">
        <v>472</v>
      </c>
      <c r="N554" s="256">
        <v>0</v>
      </c>
      <c r="O554" s="256">
        <v>0.81944444444444442</v>
      </c>
      <c r="P554" s="256">
        <v>0.85624999999999996</v>
      </c>
      <c r="Q554" s="253">
        <f>IF(WTG_BD[[#This Row],[Work Start TimeStamp]]="","",(WTG_BD[[#This Row],[Work Start TimeStamp]]-WTG_BD[[#This Row],[Fault Start TimeStamp]])*24)</f>
        <v>19.666666666666664</v>
      </c>
      <c r="R554" s="253">
        <f>(WTG_BD[[#This Row],[Fault Clearance time]]-WTG_BD[[#This Row],[Work Start TimeStamp]])*24</f>
        <v>0.88333333333333286</v>
      </c>
      <c r="S554" s="253">
        <f>(WTG_BD[[#This Row],[Fault Clearance time]]-WTG_BD[[#This Row],[Fault Start TimeStamp]])*24</f>
        <v>20.549999999999997</v>
      </c>
      <c r="T554" s="135" t="s">
        <v>599</v>
      </c>
      <c r="U554" s="244" t="s">
        <v>474</v>
      </c>
      <c r="V554" s="246">
        <f>WTG_BD[[#This Row],[Breakdown Time]]*(1/39)</f>
        <v>0.52692307692307683</v>
      </c>
      <c r="W554" s="244" t="s">
        <v>139</v>
      </c>
      <c r="X554" s="250">
        <v>3914.7749999999996</v>
      </c>
      <c r="Y554" s="135" t="s">
        <v>593</v>
      </c>
      <c r="Z554" s="135" t="s">
        <v>475</v>
      </c>
      <c r="AA554" s="135">
        <v>4572</v>
      </c>
      <c r="AB554" s="249">
        <f>(WTG_BD[[#This Row],[Paired WTG Generation for loss calculation.]]/24)*WTG_BD[[#This Row],[Breakdown Time]]</f>
        <v>3914.7749999999996</v>
      </c>
      <c r="AC554" s="135"/>
      <c r="AD554" s="245"/>
      <c r="AE554" s="3"/>
    </row>
    <row r="555" spans="1:31">
      <c r="A555" s="241">
        <f t="shared" si="17"/>
        <v>554</v>
      </c>
      <c r="B555" s="255">
        <v>45793</v>
      </c>
      <c r="C555" s="252">
        <v>2025</v>
      </c>
      <c r="D555" s="252">
        <v>2025</v>
      </c>
      <c r="E555" s="251">
        <f t="shared" si="18"/>
        <v>45778</v>
      </c>
      <c r="F555" s="252" t="s">
        <v>465</v>
      </c>
      <c r="G555" s="248" t="s">
        <v>144</v>
      </c>
      <c r="H555" s="242" t="str">
        <f>IFERROR(VLOOKUP(WTG_BD[[#This Row],[Affected WTG]],'Basic Data'!$A$3:$E$56,2,0),"")</f>
        <v>PWEGPL</v>
      </c>
      <c r="I555" s="242" t="str">
        <f>IFERROR(VLOOKUP(WTG_BD[[#This Row],[Affected WTG]],'Basic Data'!$A$3:$E$56,3,0),"")</f>
        <v>MSEDCL</v>
      </c>
      <c r="J555" s="243">
        <f>IFERROR(VLOOKUP(WTG_BD[[#This Row],[Affected WTG]],'Basic Data'!$A$3:$E$56,5,0),"")</f>
        <v>2.564102564102564E-2</v>
      </c>
      <c r="K555" s="158" t="s">
        <v>466</v>
      </c>
      <c r="L555" s="247" t="str">
        <f>VLOOKUP(K555,'Basic Data'!T:U,2,0)</f>
        <v>Manual Stop - Safety Related</v>
      </c>
      <c r="M555" s="135" t="s">
        <v>467</v>
      </c>
      <c r="N555" s="256">
        <v>0</v>
      </c>
      <c r="O555" s="256">
        <v>0.99930555555555556</v>
      </c>
      <c r="P555" s="256">
        <v>0.99930555555555556</v>
      </c>
      <c r="Q555" s="253">
        <f>IF(WTG_BD[[#This Row],[Work Start TimeStamp]]="","",(WTG_BD[[#This Row],[Work Start TimeStamp]]-WTG_BD[[#This Row],[Fault Start TimeStamp]])*24)</f>
        <v>23.983333333333334</v>
      </c>
      <c r="R555" s="253">
        <f>(WTG_BD[[#This Row],[Fault Clearance time]]-WTG_BD[[#This Row],[Work Start TimeStamp]])*24</f>
        <v>0</v>
      </c>
      <c r="S555" s="253">
        <f>(WTG_BD[[#This Row],[Fault Clearance time]]-WTG_BD[[#This Row],[Fault Start TimeStamp]])*24</f>
        <v>23.983333333333334</v>
      </c>
      <c r="T555" s="135" t="s">
        <v>468</v>
      </c>
      <c r="U555" s="244" t="s">
        <v>469</v>
      </c>
      <c r="V555" s="246">
        <f>WTG_BD[[#This Row],[Breakdown Time]]*(1/39)</f>
        <v>0.61495726495726499</v>
      </c>
      <c r="W555" s="244" t="s">
        <v>141</v>
      </c>
      <c r="X555" s="250">
        <v>8159.3298611111113</v>
      </c>
      <c r="Y555" s="135" t="s">
        <v>470</v>
      </c>
      <c r="Z555" s="135" t="s">
        <v>471</v>
      </c>
      <c r="AA555" s="135">
        <v>8165</v>
      </c>
      <c r="AB555" s="249">
        <f>(WTG_BD[[#This Row],[Paired WTG Generation for loss calculation.]]/24)*WTG_BD[[#This Row],[Breakdown Time]]</f>
        <v>8159.3298611111113</v>
      </c>
      <c r="AC555" s="135"/>
      <c r="AD555" s="245"/>
      <c r="AE555" s="3"/>
    </row>
    <row r="556" spans="1:31">
      <c r="A556" s="241">
        <f t="shared" si="17"/>
        <v>555</v>
      </c>
      <c r="B556" s="255">
        <v>45793</v>
      </c>
      <c r="C556" s="252">
        <v>2025</v>
      </c>
      <c r="D556" s="252">
        <v>2025</v>
      </c>
      <c r="E556" s="251">
        <f t="shared" si="18"/>
        <v>45778</v>
      </c>
      <c r="F556" s="252" t="s">
        <v>465</v>
      </c>
      <c r="G556" s="248" t="s">
        <v>142</v>
      </c>
      <c r="H556" s="242" t="str">
        <f>IFERROR(VLOOKUP(WTG_BD[[#This Row],[Affected WTG]],'Basic Data'!$A$3:$E$56,2,0),"")</f>
        <v>PWEGPL</v>
      </c>
      <c r="I556" s="242" t="str">
        <f>IFERROR(VLOOKUP(WTG_BD[[#This Row],[Affected WTG]],'Basic Data'!$A$3:$E$56,3,0),"")</f>
        <v>MSEDCL</v>
      </c>
      <c r="J556" s="243">
        <f>IFERROR(VLOOKUP(WTG_BD[[#This Row],[Affected WTG]],'Basic Data'!$A$3:$E$56,5,0),"")</f>
        <v>2.564102564102564E-2</v>
      </c>
      <c r="K556" s="158" t="s">
        <v>466</v>
      </c>
      <c r="L556" s="247" t="str">
        <f>VLOOKUP(K556,'Basic Data'!T:U,2,0)</f>
        <v>Manual Stop - Safety Related</v>
      </c>
      <c r="M556" s="135" t="s">
        <v>467</v>
      </c>
      <c r="N556" s="256">
        <v>0</v>
      </c>
      <c r="O556" s="256">
        <v>0.99930555555555556</v>
      </c>
      <c r="P556" s="256">
        <v>0.99930555555555556</v>
      </c>
      <c r="Q556" s="253">
        <f>IF(WTG_BD[[#This Row],[Work Start TimeStamp]]="","",(WTG_BD[[#This Row],[Work Start TimeStamp]]-WTG_BD[[#This Row],[Fault Start TimeStamp]])*24)</f>
        <v>23.983333333333334</v>
      </c>
      <c r="R556" s="253">
        <f>(WTG_BD[[#This Row],[Fault Clearance time]]-WTG_BD[[#This Row],[Work Start TimeStamp]])*24</f>
        <v>0</v>
      </c>
      <c r="S556" s="253">
        <f>(WTG_BD[[#This Row],[Fault Clearance time]]-WTG_BD[[#This Row],[Fault Start TimeStamp]])*24</f>
        <v>23.983333333333334</v>
      </c>
      <c r="T556" s="135" t="s">
        <v>468</v>
      </c>
      <c r="U556" s="244" t="s">
        <v>469</v>
      </c>
      <c r="V556" s="246">
        <f>WTG_BD[[#This Row],[Breakdown Time]]*(1/39)</f>
        <v>0.61495726495726499</v>
      </c>
      <c r="W556" s="244" t="s">
        <v>141</v>
      </c>
      <c r="X556" s="250">
        <v>8159.3298611111113</v>
      </c>
      <c r="Y556" s="135" t="s">
        <v>470</v>
      </c>
      <c r="Z556" s="135" t="s">
        <v>471</v>
      </c>
      <c r="AA556" s="135">
        <v>8165</v>
      </c>
      <c r="AB556" s="249">
        <f>(WTG_BD[[#This Row],[Paired WTG Generation for loss calculation.]]/24)*WTG_BD[[#This Row],[Breakdown Time]]</f>
        <v>8159.3298611111113</v>
      </c>
      <c r="AC556" s="135"/>
      <c r="AD556" s="245"/>
      <c r="AE556" s="3"/>
    </row>
    <row r="557" spans="1:31">
      <c r="A557" s="241">
        <f t="shared" si="17"/>
        <v>556</v>
      </c>
      <c r="B557" s="255">
        <v>45793</v>
      </c>
      <c r="C557" s="252">
        <v>2025</v>
      </c>
      <c r="D557" s="252">
        <v>2025</v>
      </c>
      <c r="E557" s="251">
        <f t="shared" si="18"/>
        <v>45778</v>
      </c>
      <c r="F557" s="252" t="s">
        <v>465</v>
      </c>
      <c r="G557" s="248" t="s">
        <v>115</v>
      </c>
      <c r="H557" s="242" t="str">
        <f>IFERROR(VLOOKUP(WTG_BD[[#This Row],[Affected WTG]],'Basic Data'!$A$3:$E$56,2,0),"")</f>
        <v>PWEGPL</v>
      </c>
      <c r="I557" s="242" t="str">
        <f>IFERROR(VLOOKUP(WTG_BD[[#This Row],[Affected WTG]],'Basic Data'!$A$3:$E$56,3,0),"")</f>
        <v>MSEDCL</v>
      </c>
      <c r="J557" s="243">
        <f>IFERROR(VLOOKUP(WTG_BD[[#This Row],[Affected WTG]],'Basic Data'!$A$3:$E$56,5,0),"")</f>
        <v>2.564102564102564E-2</v>
      </c>
      <c r="K557" s="158">
        <v>800</v>
      </c>
      <c r="L557" s="247" t="str">
        <f>VLOOKUP(K557,'Basic Data'!T:U,2,0)</f>
        <v>Pitch Drive Error</v>
      </c>
      <c r="M557" s="135" t="s">
        <v>472</v>
      </c>
      <c r="N557" s="256">
        <v>0.50069444444444444</v>
      </c>
      <c r="O557" s="256">
        <v>0.52430555555555558</v>
      </c>
      <c r="P557" s="256">
        <v>0.63472222222222219</v>
      </c>
      <c r="Q557" s="253">
        <f>IF(WTG_BD[[#This Row],[Work Start TimeStamp]]="","",(WTG_BD[[#This Row],[Work Start TimeStamp]]-WTG_BD[[#This Row],[Fault Start TimeStamp]])*24)</f>
        <v>0.56666666666666732</v>
      </c>
      <c r="R557" s="253">
        <f>(WTG_BD[[#This Row],[Fault Clearance time]]-WTG_BD[[#This Row],[Work Start TimeStamp]])*24</f>
        <v>2.6499999999999986</v>
      </c>
      <c r="S557" s="253">
        <f>(WTG_BD[[#This Row],[Fault Clearance time]]-WTG_BD[[#This Row],[Fault Start TimeStamp]])*24</f>
        <v>3.2166666666666659</v>
      </c>
      <c r="T557" s="135" t="s">
        <v>600</v>
      </c>
      <c r="U557" s="244" t="s">
        <v>474</v>
      </c>
      <c r="V557" s="246">
        <f>WTG_BD[[#This Row],[Breakdown Time]]*(1/39)</f>
        <v>8.2478632478632449E-2</v>
      </c>
      <c r="W557" s="244" t="s">
        <v>121</v>
      </c>
      <c r="X557" s="250">
        <v>1417.4777777777774</v>
      </c>
      <c r="Y557" s="135" t="s">
        <v>470</v>
      </c>
      <c r="Z557" s="135" t="s">
        <v>498</v>
      </c>
      <c r="AA557" s="135">
        <v>10576</v>
      </c>
      <c r="AB557" s="249">
        <f>(WTG_BD[[#This Row],[Paired WTG Generation for loss calculation.]]/24)*WTG_BD[[#This Row],[Breakdown Time]]</f>
        <v>1417.4777777777774</v>
      </c>
      <c r="AC557" s="135"/>
      <c r="AD557" s="245"/>
      <c r="AE557" s="3"/>
    </row>
    <row r="558" spans="1:31">
      <c r="A558" s="241">
        <f t="shared" si="17"/>
        <v>557</v>
      </c>
      <c r="B558" s="255">
        <v>45793</v>
      </c>
      <c r="C558" s="252">
        <v>2025</v>
      </c>
      <c r="D558" s="252">
        <v>2025</v>
      </c>
      <c r="E558" s="251">
        <f t="shared" si="18"/>
        <v>45778</v>
      </c>
      <c r="F558" s="252" t="s">
        <v>465</v>
      </c>
      <c r="G558" s="248" t="s">
        <v>116</v>
      </c>
      <c r="H558" s="242" t="str">
        <f>IFERROR(VLOOKUP(WTG_BD[[#This Row],[Affected WTG]],'Basic Data'!$A$3:$E$56,2,0),"")</f>
        <v>PWEGPL</v>
      </c>
      <c r="I558" s="242" t="str">
        <f>IFERROR(VLOOKUP(WTG_BD[[#This Row],[Affected WTG]],'Basic Data'!$A$3:$E$56,3,0),"")</f>
        <v>MSEDCL</v>
      </c>
      <c r="J558" s="243">
        <f>IFERROR(VLOOKUP(WTG_BD[[#This Row],[Affected WTG]],'Basic Data'!$A$3:$E$56,5,0),"")</f>
        <v>2.564102564102564E-2</v>
      </c>
      <c r="K558" s="158" t="s">
        <v>523</v>
      </c>
      <c r="L558" s="247" t="str">
        <f>VLOOKUP(K558,'Basic Data'!T:U,2,0)</f>
        <v>Manual Stop</v>
      </c>
      <c r="M558" s="135" t="s">
        <v>573</v>
      </c>
      <c r="N558" s="256">
        <v>0.52083333333333337</v>
      </c>
      <c r="O558" s="256">
        <v>0.52083333333333337</v>
      </c>
      <c r="P558" s="256">
        <v>0.59027777777777779</v>
      </c>
      <c r="Q558" s="253">
        <f>IF(WTG_BD[[#This Row],[Work Start TimeStamp]]="","",(WTG_BD[[#This Row],[Work Start TimeStamp]]-WTG_BD[[#This Row],[Fault Start TimeStamp]])*24)</f>
        <v>0</v>
      </c>
      <c r="R558" s="253">
        <f>(WTG_BD[[#This Row],[Fault Clearance time]]-WTG_BD[[#This Row],[Work Start TimeStamp]])*24</f>
        <v>1.6666666666666661</v>
      </c>
      <c r="S558" s="253">
        <f>(WTG_BD[[#This Row],[Fault Clearance time]]-WTG_BD[[#This Row],[Fault Start TimeStamp]])*24</f>
        <v>1.6666666666666661</v>
      </c>
      <c r="T558" s="135" t="s">
        <v>601</v>
      </c>
      <c r="U558" s="244" t="s">
        <v>474</v>
      </c>
      <c r="V558" s="246">
        <f>WTG_BD[[#This Row],[Breakdown Time]]*(1/39)</f>
        <v>4.2735042735042715E-2</v>
      </c>
      <c r="W558" s="244" t="s">
        <v>118</v>
      </c>
      <c r="X558" s="250">
        <v>686.6666666666664</v>
      </c>
      <c r="Y558" s="135" t="s">
        <v>470</v>
      </c>
      <c r="Z558" s="135" t="s">
        <v>498</v>
      </c>
      <c r="AA558" s="135">
        <v>9888</v>
      </c>
      <c r="AB558" s="249">
        <f>(WTG_BD[[#This Row],[Paired WTG Generation for loss calculation.]]/24)*WTG_BD[[#This Row],[Breakdown Time]]</f>
        <v>686.6666666666664</v>
      </c>
      <c r="AC558" s="135"/>
      <c r="AD558" s="245"/>
      <c r="AE558" s="3"/>
    </row>
    <row r="559" spans="1:31">
      <c r="A559" s="241">
        <f t="shared" si="17"/>
        <v>558</v>
      </c>
      <c r="B559" s="255">
        <v>45793</v>
      </c>
      <c r="C559" s="252">
        <v>2025</v>
      </c>
      <c r="D559" s="252">
        <v>2025</v>
      </c>
      <c r="E559" s="251">
        <f t="shared" si="18"/>
        <v>45778</v>
      </c>
      <c r="F559" s="252" t="s">
        <v>465</v>
      </c>
      <c r="G559" s="248" t="s">
        <v>118</v>
      </c>
      <c r="H559" s="242" t="str">
        <f>IFERROR(VLOOKUP(WTG_BD[[#This Row],[Affected WTG]],'Basic Data'!$A$3:$E$56,2,0),"")</f>
        <v>PWEGPL</v>
      </c>
      <c r="I559" s="242" t="str">
        <f>IFERROR(VLOOKUP(WTG_BD[[#This Row],[Affected WTG]],'Basic Data'!$A$3:$E$56,3,0),"")</f>
        <v>MSEDCL</v>
      </c>
      <c r="J559" s="243">
        <f>IFERROR(VLOOKUP(WTG_BD[[#This Row],[Affected WTG]],'Basic Data'!$A$3:$E$56,5,0),"")</f>
        <v>2.564102564102564E-2</v>
      </c>
      <c r="K559" s="158">
        <v>222</v>
      </c>
      <c r="L559" s="247" t="str">
        <f>VLOOKUP(K559,'Basic Data'!T:U,2,0)</f>
        <v>Very Low Pressure On Hydraulic Unit</v>
      </c>
      <c r="M559" s="135" t="s">
        <v>472</v>
      </c>
      <c r="N559" s="256">
        <v>0.68125000000000002</v>
      </c>
      <c r="O559" s="256">
        <v>0.69513888888888886</v>
      </c>
      <c r="P559" s="256">
        <v>0.77430555555555558</v>
      </c>
      <c r="Q559" s="253">
        <f>IF(WTG_BD[[#This Row],[Work Start TimeStamp]]="","",(WTG_BD[[#This Row],[Work Start TimeStamp]]-WTG_BD[[#This Row],[Fault Start TimeStamp]])*24)</f>
        <v>0.33333333333333215</v>
      </c>
      <c r="R559" s="253">
        <f>(WTG_BD[[#This Row],[Fault Clearance time]]-WTG_BD[[#This Row],[Work Start TimeStamp]])*24</f>
        <v>1.9000000000000012</v>
      </c>
      <c r="S559" s="253">
        <f>(WTG_BD[[#This Row],[Fault Clearance time]]-WTG_BD[[#This Row],[Fault Start TimeStamp]])*24</f>
        <v>2.2333333333333334</v>
      </c>
      <c r="T559" s="135" t="s">
        <v>602</v>
      </c>
      <c r="U559" s="244" t="s">
        <v>474</v>
      </c>
      <c r="V559" s="246">
        <f>WTG_BD[[#This Row],[Breakdown Time]]*(1/39)</f>
        <v>5.7264957264957263E-2</v>
      </c>
      <c r="W559" s="244" t="s">
        <v>117</v>
      </c>
      <c r="X559" s="250">
        <v>980.99166666666667</v>
      </c>
      <c r="Y559" s="135" t="s">
        <v>470</v>
      </c>
      <c r="Z559" s="135" t="s">
        <v>498</v>
      </c>
      <c r="AA559" s="135">
        <v>10542</v>
      </c>
      <c r="AB559" s="249">
        <f>(WTG_BD[[#This Row],[Paired WTG Generation for loss calculation.]]/24)*WTG_BD[[#This Row],[Breakdown Time]]</f>
        <v>980.99166666666667</v>
      </c>
      <c r="AC559" s="135"/>
      <c r="AD559" s="245"/>
      <c r="AE559" s="3"/>
    </row>
    <row r="560" spans="1:31">
      <c r="A560" s="241">
        <f t="shared" si="17"/>
        <v>559</v>
      </c>
      <c r="B560" s="255">
        <v>45793</v>
      </c>
      <c r="C560" s="252">
        <v>2025</v>
      </c>
      <c r="D560" s="252">
        <v>2025</v>
      </c>
      <c r="E560" s="251">
        <f t="shared" si="18"/>
        <v>45778</v>
      </c>
      <c r="F560" s="252" t="s">
        <v>465</v>
      </c>
      <c r="G560" s="248" t="s">
        <v>120</v>
      </c>
      <c r="H560" s="242" t="str">
        <f>IFERROR(VLOOKUP(WTG_BD[[#This Row],[Affected WTG]],'Basic Data'!$A$3:$E$56,2,0),"")</f>
        <v>PWEGPL</v>
      </c>
      <c r="I560" s="242" t="str">
        <f>IFERROR(VLOOKUP(WTG_BD[[#This Row],[Affected WTG]],'Basic Data'!$A$3:$E$56,3,0),"")</f>
        <v>MSEDCL</v>
      </c>
      <c r="J560" s="243">
        <f>IFERROR(VLOOKUP(WTG_BD[[#This Row],[Affected WTG]],'Basic Data'!$A$3:$E$56,5,0),"")</f>
        <v>2.564102564102564E-2</v>
      </c>
      <c r="K560" s="158">
        <v>2118</v>
      </c>
      <c r="L560" s="247" t="str">
        <f>VLOOKUP(K560,'Basic Data'!T:U,2,0)</f>
        <v>Bus Error - Interbus Failure</v>
      </c>
      <c r="M560" s="135" t="s">
        <v>472</v>
      </c>
      <c r="N560" s="254">
        <v>0.6875</v>
      </c>
      <c r="O560" s="254">
        <v>0.73958333333333337</v>
      </c>
      <c r="P560" s="254">
        <v>0.74305555555555558</v>
      </c>
      <c r="Q560" s="253">
        <f>IF(WTG_BD[[#This Row],[Work Start TimeStamp]]="","",(WTG_BD[[#This Row],[Work Start TimeStamp]]-WTG_BD[[#This Row],[Fault Start TimeStamp]])*24)</f>
        <v>1.2500000000000009</v>
      </c>
      <c r="R560" s="253">
        <f>(WTG_BD[[#This Row],[Fault Clearance time]]-WTG_BD[[#This Row],[Work Start TimeStamp]])*24</f>
        <v>8.3333333333333037E-2</v>
      </c>
      <c r="S560" s="253">
        <f>(WTG_BD[[#This Row],[Fault Clearance time]]-WTG_BD[[#This Row],[Fault Start TimeStamp]])*24</f>
        <v>1.3333333333333339</v>
      </c>
      <c r="T560" s="135" t="s">
        <v>473</v>
      </c>
      <c r="U560" s="244" t="s">
        <v>474</v>
      </c>
      <c r="V560" s="246">
        <f>WTG_BD[[#This Row],[Breakdown Time]]*(1/39)</f>
        <v>3.4188034188034205E-2</v>
      </c>
      <c r="W560" s="244" t="s">
        <v>117</v>
      </c>
      <c r="X560" s="250">
        <v>585.66666666666697</v>
      </c>
      <c r="Y560" s="135" t="s">
        <v>470</v>
      </c>
      <c r="Z560" s="135" t="s">
        <v>475</v>
      </c>
      <c r="AA560" s="135">
        <v>10542</v>
      </c>
      <c r="AB560" s="249">
        <f>(WTG_BD[[#This Row],[Paired WTG Generation for loss calculation.]]/24)*WTG_BD[[#This Row],[Breakdown Time]]</f>
        <v>585.66666666666697</v>
      </c>
      <c r="AC560" s="135"/>
      <c r="AD560" s="245"/>
      <c r="AE560" s="3"/>
    </row>
    <row r="561" spans="1:31">
      <c r="A561" s="241">
        <f t="shared" si="17"/>
        <v>560</v>
      </c>
      <c r="B561" s="255">
        <v>45793</v>
      </c>
      <c r="C561" s="252">
        <v>2025</v>
      </c>
      <c r="D561" s="252">
        <v>2025</v>
      </c>
      <c r="E561" s="251">
        <f t="shared" si="18"/>
        <v>45778</v>
      </c>
      <c r="F561" s="252" t="s">
        <v>465</v>
      </c>
      <c r="G561" s="248" t="s">
        <v>133</v>
      </c>
      <c r="H561" s="242" t="str">
        <f>IFERROR(VLOOKUP(WTG_BD[[#This Row],[Affected WTG]],'Basic Data'!$A$3:$E$56,2,0),"")</f>
        <v>PWEGPL</v>
      </c>
      <c r="I561" s="242" t="str">
        <f>IFERROR(VLOOKUP(WTG_BD[[#This Row],[Affected WTG]],'Basic Data'!$A$3:$E$56,3,0),"")</f>
        <v>MSEDCL</v>
      </c>
      <c r="J561" s="243">
        <f>IFERROR(VLOOKUP(WTG_BD[[#This Row],[Affected WTG]],'Basic Data'!$A$3:$E$56,5,0),"")</f>
        <v>2.564102564102564E-2</v>
      </c>
      <c r="K561" s="158" t="s">
        <v>523</v>
      </c>
      <c r="L561" s="247" t="str">
        <f>VLOOKUP(K561,'Basic Data'!T:U,2,0)</f>
        <v>Manual Stop</v>
      </c>
      <c r="M561" s="135" t="s">
        <v>496</v>
      </c>
      <c r="N561" s="256">
        <v>0.4861111111111111</v>
      </c>
      <c r="O561" s="256">
        <v>0.4861111111111111</v>
      </c>
      <c r="P561" s="256">
        <v>0.99930555555555556</v>
      </c>
      <c r="Q561" s="253">
        <f>IF(WTG_BD[[#This Row],[Work Start TimeStamp]]="","",(WTG_BD[[#This Row],[Work Start TimeStamp]]-WTG_BD[[#This Row],[Fault Start TimeStamp]])*24)</f>
        <v>0</v>
      </c>
      <c r="R561" s="253">
        <f>(WTG_BD[[#This Row],[Fault Clearance time]]-WTG_BD[[#This Row],[Work Start TimeStamp]])*24</f>
        <v>12.316666666666668</v>
      </c>
      <c r="S561" s="253">
        <f>(WTG_BD[[#This Row],[Fault Clearance time]]-WTG_BD[[#This Row],[Fault Start TimeStamp]])*24</f>
        <v>12.316666666666668</v>
      </c>
      <c r="T561" s="135" t="s">
        <v>603</v>
      </c>
      <c r="U561" s="244" t="s">
        <v>469</v>
      </c>
      <c r="V561" s="246">
        <f>WTG_BD[[#This Row],[Breakdown Time]]*(1/39)</f>
        <v>0.31581196581196586</v>
      </c>
      <c r="W561" s="244" t="s">
        <v>132</v>
      </c>
      <c r="X561" s="250">
        <v>5114.4958333333343</v>
      </c>
      <c r="Y561" s="135" t="s">
        <v>470</v>
      </c>
      <c r="Z561" s="135" t="s">
        <v>475</v>
      </c>
      <c r="AA561" s="135">
        <v>9966</v>
      </c>
      <c r="AB561" s="249">
        <f>(WTG_BD[[#This Row],[Paired WTG Generation for loss calculation.]]/24)*WTG_BD[[#This Row],[Breakdown Time]]</f>
        <v>5114.4958333333343</v>
      </c>
      <c r="AC561" s="135"/>
      <c r="AD561" s="245"/>
      <c r="AE561" s="3"/>
    </row>
    <row r="562" spans="1:31">
      <c r="A562" s="241">
        <f t="shared" si="17"/>
        <v>561</v>
      </c>
      <c r="B562" s="255">
        <v>45793</v>
      </c>
      <c r="C562" s="252">
        <v>2025</v>
      </c>
      <c r="D562" s="252">
        <v>2025</v>
      </c>
      <c r="E562" s="251">
        <f t="shared" si="18"/>
        <v>45778</v>
      </c>
      <c r="F562" s="252" t="s">
        <v>465</v>
      </c>
      <c r="G562" s="248" t="s">
        <v>153</v>
      </c>
      <c r="H562" s="242" t="str">
        <f>IFERROR(VLOOKUP(WTG_BD[[#This Row],[Affected WTG]],'Basic Data'!$A$3:$E$56,2,0),"")</f>
        <v>PWEGPL</v>
      </c>
      <c r="I562" s="242" t="str">
        <f>IFERROR(VLOOKUP(WTG_BD[[#This Row],[Affected WTG]],'Basic Data'!$A$3:$E$56,3,0),"")</f>
        <v>MSEDCL</v>
      </c>
      <c r="J562" s="243">
        <f>IFERROR(VLOOKUP(WTG_BD[[#This Row],[Affected WTG]],'Basic Data'!$A$3:$E$56,5,0),"")</f>
        <v>2.564102564102564E-2</v>
      </c>
      <c r="K562" s="158" t="s">
        <v>549</v>
      </c>
      <c r="L562" s="247" t="str">
        <f>VLOOKUP(K562,'Basic Data'!T:U,2,0)</f>
        <v>Manual Stop - Preventive Maintenance Activity</v>
      </c>
      <c r="M562" s="135" t="s">
        <v>550</v>
      </c>
      <c r="N562" s="254">
        <v>0.49027777777777776</v>
      </c>
      <c r="O562" s="254">
        <v>0.49027777777777776</v>
      </c>
      <c r="P562" s="254">
        <v>0.72777777777777775</v>
      </c>
      <c r="Q562" s="253">
        <f>IF(WTG_BD[[#This Row],[Work Start TimeStamp]]="","",(WTG_BD[[#This Row],[Work Start TimeStamp]]-WTG_BD[[#This Row],[Fault Start TimeStamp]])*24)</f>
        <v>0</v>
      </c>
      <c r="R562" s="253">
        <f>(WTG_BD[[#This Row],[Fault Clearance time]]-WTG_BD[[#This Row],[Work Start TimeStamp]])*24</f>
        <v>5.6999999999999993</v>
      </c>
      <c r="S562" s="253">
        <f>(WTG_BD[[#This Row],[Fault Clearance time]]-WTG_BD[[#This Row],[Fault Start TimeStamp]])*24</f>
        <v>5.6999999999999993</v>
      </c>
      <c r="T562" s="135" t="s">
        <v>571</v>
      </c>
      <c r="U562" s="244" t="s">
        <v>474</v>
      </c>
      <c r="V562" s="246">
        <f>WTG_BD[[#This Row],[Breakdown Time]]*(1/39)</f>
        <v>0.14615384615384613</v>
      </c>
      <c r="W562" s="244" t="s">
        <v>152</v>
      </c>
      <c r="X562" s="250">
        <v>1754.6499999999996</v>
      </c>
      <c r="Y562" s="135" t="s">
        <v>470</v>
      </c>
      <c r="Z562" s="135" t="s">
        <v>552</v>
      </c>
      <c r="AA562" s="135">
        <v>7388</v>
      </c>
      <c r="AB562" s="249">
        <f>(WTG_BD[[#This Row],[Paired WTG Generation for loss calculation.]]/24)*WTG_BD[[#This Row],[Breakdown Time]]</f>
        <v>1754.6499999999996</v>
      </c>
      <c r="AC562" s="135"/>
      <c r="AD562" s="245"/>
      <c r="AE562" s="3"/>
    </row>
    <row r="563" spans="1:31">
      <c r="A563" s="241">
        <f t="shared" si="17"/>
        <v>562</v>
      </c>
      <c r="B563" s="255">
        <v>45794</v>
      </c>
      <c r="C563" s="252">
        <v>2025</v>
      </c>
      <c r="D563" s="252">
        <v>2025</v>
      </c>
      <c r="E563" s="251">
        <f t="shared" si="18"/>
        <v>45778</v>
      </c>
      <c r="F563" s="252" t="s">
        <v>465</v>
      </c>
      <c r="G563" s="248" t="s">
        <v>144</v>
      </c>
      <c r="H563" s="242" t="str">
        <f>IFERROR(VLOOKUP(WTG_BD[[#This Row],[Affected WTG]],'Basic Data'!$A$3:$E$56,2,0),"")</f>
        <v>PWEGPL</v>
      </c>
      <c r="I563" s="242" t="str">
        <f>IFERROR(VLOOKUP(WTG_BD[[#This Row],[Affected WTG]],'Basic Data'!$A$3:$E$56,3,0),"")</f>
        <v>MSEDCL</v>
      </c>
      <c r="J563" s="243">
        <f>IFERROR(VLOOKUP(WTG_BD[[#This Row],[Affected WTG]],'Basic Data'!$A$3:$E$56,5,0),"")</f>
        <v>2.564102564102564E-2</v>
      </c>
      <c r="K563" s="158" t="s">
        <v>466</v>
      </c>
      <c r="L563" s="247" t="str">
        <f>VLOOKUP(K563,'Basic Data'!T:U,2,0)</f>
        <v>Manual Stop - Safety Related</v>
      </c>
      <c r="M563" s="135" t="s">
        <v>467</v>
      </c>
      <c r="N563" s="256">
        <v>0</v>
      </c>
      <c r="O563" s="256">
        <v>0.99930555555555556</v>
      </c>
      <c r="P563" s="256">
        <v>0.99930555555555556</v>
      </c>
      <c r="Q563" s="253">
        <f>IF(WTG_BD[[#This Row],[Work Start TimeStamp]]="","",(WTG_BD[[#This Row],[Work Start TimeStamp]]-WTG_BD[[#This Row],[Fault Start TimeStamp]])*24)</f>
        <v>23.983333333333334</v>
      </c>
      <c r="R563" s="253">
        <f>(WTG_BD[[#This Row],[Fault Clearance time]]-WTG_BD[[#This Row],[Work Start TimeStamp]])*24</f>
        <v>0</v>
      </c>
      <c r="S563" s="253">
        <f>(WTG_BD[[#This Row],[Fault Clearance time]]-WTG_BD[[#This Row],[Fault Start TimeStamp]])*24</f>
        <v>23.983333333333334</v>
      </c>
      <c r="T563" s="135" t="s">
        <v>468</v>
      </c>
      <c r="U563" s="244" t="s">
        <v>469</v>
      </c>
      <c r="V563" s="246">
        <f>WTG_BD[[#This Row],[Breakdown Time]]*(1/39)</f>
        <v>0.61495726495726499</v>
      </c>
      <c r="W563" s="244" t="s">
        <v>141</v>
      </c>
      <c r="X563" s="250">
        <v>4120.1368055555558</v>
      </c>
      <c r="Y563" s="135" t="s">
        <v>470</v>
      </c>
      <c r="Z563" s="135" t="s">
        <v>471</v>
      </c>
      <c r="AA563" s="286">
        <v>4123</v>
      </c>
      <c r="AB563" s="249">
        <f>(WTG_BD[[#This Row],[Paired WTG Generation for loss calculation.]]/24)*WTG_BD[[#This Row],[Breakdown Time]]</f>
        <v>4120.1368055555558</v>
      </c>
      <c r="AC563" s="135"/>
      <c r="AD563" s="245"/>
      <c r="AE563" s="3"/>
    </row>
    <row r="564" spans="1:31">
      <c r="A564" s="241">
        <f t="shared" si="17"/>
        <v>563</v>
      </c>
      <c r="B564" s="255">
        <v>45794</v>
      </c>
      <c r="C564" s="252">
        <v>2025</v>
      </c>
      <c r="D564" s="252">
        <v>2025</v>
      </c>
      <c r="E564" s="251">
        <f t="shared" si="18"/>
        <v>45778</v>
      </c>
      <c r="F564" s="252" t="s">
        <v>465</v>
      </c>
      <c r="G564" s="248" t="s">
        <v>142</v>
      </c>
      <c r="H564" s="242" t="str">
        <f>IFERROR(VLOOKUP(WTG_BD[[#This Row],[Affected WTG]],'Basic Data'!$A$3:$E$56,2,0),"")</f>
        <v>PWEGPL</v>
      </c>
      <c r="I564" s="242" t="str">
        <f>IFERROR(VLOOKUP(WTG_BD[[#This Row],[Affected WTG]],'Basic Data'!$A$3:$E$56,3,0),"")</f>
        <v>MSEDCL</v>
      </c>
      <c r="J564" s="243">
        <f>IFERROR(VLOOKUP(WTG_BD[[#This Row],[Affected WTG]],'Basic Data'!$A$3:$E$56,5,0),"")</f>
        <v>2.564102564102564E-2</v>
      </c>
      <c r="K564" s="158" t="s">
        <v>466</v>
      </c>
      <c r="L564" s="247" t="str">
        <f>VLOOKUP(K564,'Basic Data'!T:U,2,0)</f>
        <v>Manual Stop - Safety Related</v>
      </c>
      <c r="M564" s="135" t="s">
        <v>467</v>
      </c>
      <c r="N564" s="256">
        <v>0</v>
      </c>
      <c r="O564" s="256">
        <v>0.99930555555555556</v>
      </c>
      <c r="P564" s="256">
        <v>0.99930555555555556</v>
      </c>
      <c r="Q564" s="253">
        <f>IF(WTG_BD[[#This Row],[Work Start TimeStamp]]="","",(WTG_BD[[#This Row],[Work Start TimeStamp]]-WTG_BD[[#This Row],[Fault Start TimeStamp]])*24)</f>
        <v>23.983333333333334</v>
      </c>
      <c r="R564" s="253">
        <f>(WTG_BD[[#This Row],[Fault Clearance time]]-WTG_BD[[#This Row],[Work Start TimeStamp]])*24</f>
        <v>0</v>
      </c>
      <c r="S564" s="253">
        <f>(WTG_BD[[#This Row],[Fault Clearance time]]-WTG_BD[[#This Row],[Fault Start TimeStamp]])*24</f>
        <v>23.983333333333334</v>
      </c>
      <c r="T564" s="135" t="s">
        <v>468</v>
      </c>
      <c r="U564" s="244" t="s">
        <v>469</v>
      </c>
      <c r="V564" s="246">
        <f>WTG_BD[[#This Row],[Breakdown Time]]*(1/39)</f>
        <v>0.61495726495726499</v>
      </c>
      <c r="W564" s="244" t="s">
        <v>141</v>
      </c>
      <c r="X564" s="250">
        <v>4120.1368055555558</v>
      </c>
      <c r="Y564" s="135" t="s">
        <v>470</v>
      </c>
      <c r="Z564" s="135" t="s">
        <v>471</v>
      </c>
      <c r="AA564" s="286">
        <v>4123</v>
      </c>
      <c r="AB564" s="249">
        <f>(WTG_BD[[#This Row],[Paired WTG Generation for loss calculation.]]/24)*WTG_BD[[#This Row],[Breakdown Time]]</f>
        <v>4120.1368055555558</v>
      </c>
      <c r="AC564" s="135"/>
      <c r="AD564" s="245"/>
      <c r="AE564" s="3"/>
    </row>
    <row r="565" spans="1:31">
      <c r="A565" s="241">
        <f t="shared" si="17"/>
        <v>564</v>
      </c>
      <c r="B565" s="255">
        <v>45794</v>
      </c>
      <c r="C565" s="252">
        <v>2025</v>
      </c>
      <c r="D565" s="252">
        <v>2025</v>
      </c>
      <c r="E565" s="251">
        <f t="shared" si="18"/>
        <v>45778</v>
      </c>
      <c r="F565" s="252" t="s">
        <v>465</v>
      </c>
      <c r="G565" s="248" t="s">
        <v>120</v>
      </c>
      <c r="H565" s="242" t="str">
        <f>IFERROR(VLOOKUP(WTG_BD[[#This Row],[Affected WTG]],'Basic Data'!$A$3:$E$56,2,0),"")</f>
        <v>PWEGPL</v>
      </c>
      <c r="I565" s="242" t="str">
        <f>IFERROR(VLOOKUP(WTG_BD[[#This Row],[Affected WTG]],'Basic Data'!$A$3:$E$56,3,0),"")</f>
        <v>MSEDCL</v>
      </c>
      <c r="J565" s="243">
        <f>IFERROR(VLOOKUP(WTG_BD[[#This Row],[Affected WTG]],'Basic Data'!$A$3:$E$56,5,0),"")</f>
        <v>2.564102564102564E-2</v>
      </c>
      <c r="K565" s="158" t="s">
        <v>514</v>
      </c>
      <c r="L565" s="247" t="str">
        <f>VLOOKUP(K565,'Basic Data'!T:U,2,0)</f>
        <v>General Work Stoppage</v>
      </c>
      <c r="M565" s="135" t="s">
        <v>496</v>
      </c>
      <c r="N565" s="256">
        <v>0.48125000000000001</v>
      </c>
      <c r="O565" s="256">
        <v>0.48125000000000001</v>
      </c>
      <c r="P565" s="256">
        <v>0.61111111111111116</v>
      </c>
      <c r="Q565" s="253">
        <f>IF(WTG_BD[[#This Row],[Work Start TimeStamp]]="","",(WTG_BD[[#This Row],[Work Start TimeStamp]]-WTG_BD[[#This Row],[Fault Start TimeStamp]])*24)</f>
        <v>0</v>
      </c>
      <c r="R565" s="253">
        <f>(WTG_BD[[#This Row],[Fault Clearance time]]-WTG_BD[[#This Row],[Work Start TimeStamp]])*24</f>
        <v>3.1166666666666676</v>
      </c>
      <c r="S565" s="253">
        <f>(WTG_BD[[#This Row],[Fault Clearance time]]-WTG_BD[[#This Row],[Fault Start TimeStamp]])*24</f>
        <v>3.1166666666666676</v>
      </c>
      <c r="T565" s="135" t="s">
        <v>604</v>
      </c>
      <c r="U565" s="244" t="s">
        <v>474</v>
      </c>
      <c r="V565" s="246">
        <f>WTG_BD[[#This Row],[Breakdown Time]]*(1/39)</f>
        <v>7.9914529914529936E-2</v>
      </c>
      <c r="W565" s="244" t="s">
        <v>117</v>
      </c>
      <c r="X565" s="250">
        <v>738.13055555555582</v>
      </c>
      <c r="Y565" s="135" t="s">
        <v>470</v>
      </c>
      <c r="Z565" s="135" t="s">
        <v>498</v>
      </c>
      <c r="AA565" s="286">
        <v>5684</v>
      </c>
      <c r="AB565" s="249">
        <f>(WTG_BD[[#This Row],[Paired WTG Generation for loss calculation.]]/24)*WTG_BD[[#This Row],[Breakdown Time]]</f>
        <v>738.13055555555582</v>
      </c>
      <c r="AC565" s="135"/>
      <c r="AD565" s="245"/>
      <c r="AE565" s="3"/>
    </row>
    <row r="566" spans="1:31">
      <c r="A566" s="241">
        <f t="shared" si="17"/>
        <v>565</v>
      </c>
      <c r="B566" s="255">
        <v>45794</v>
      </c>
      <c r="C566" s="252">
        <v>2025</v>
      </c>
      <c r="D566" s="252">
        <v>2025</v>
      </c>
      <c r="E566" s="251">
        <f t="shared" si="18"/>
        <v>45778</v>
      </c>
      <c r="F566" s="252" t="s">
        <v>465</v>
      </c>
      <c r="G566" s="248" t="s">
        <v>133</v>
      </c>
      <c r="H566" s="242" t="str">
        <f>IFERROR(VLOOKUP(WTG_BD[[#This Row],[Affected WTG]],'Basic Data'!$A$3:$E$56,2,0),"")</f>
        <v>PWEGPL</v>
      </c>
      <c r="I566" s="242" t="str">
        <f>IFERROR(VLOOKUP(WTG_BD[[#This Row],[Affected WTG]],'Basic Data'!$A$3:$E$56,3,0),"")</f>
        <v>MSEDCL</v>
      </c>
      <c r="J566" s="243">
        <f>IFERROR(VLOOKUP(WTG_BD[[#This Row],[Affected WTG]],'Basic Data'!$A$3:$E$56,5,0),"")</f>
        <v>2.564102564102564E-2</v>
      </c>
      <c r="K566" s="158" t="s">
        <v>523</v>
      </c>
      <c r="L566" s="247" t="str">
        <f>VLOOKUP(K566,'Basic Data'!T:U,2,0)</f>
        <v>Manual Stop</v>
      </c>
      <c r="M566" s="135" t="s">
        <v>496</v>
      </c>
      <c r="N566" s="256">
        <v>0</v>
      </c>
      <c r="O566" s="256">
        <v>0</v>
      </c>
      <c r="P566" s="256">
        <v>0.94791666666666663</v>
      </c>
      <c r="Q566" s="253">
        <f>IF(WTG_BD[[#This Row],[Work Start TimeStamp]]="","",(WTG_BD[[#This Row],[Work Start TimeStamp]]-WTG_BD[[#This Row],[Fault Start TimeStamp]])*24)</f>
        <v>0</v>
      </c>
      <c r="R566" s="253">
        <f>(WTG_BD[[#This Row],[Fault Clearance time]]-WTG_BD[[#This Row],[Work Start TimeStamp]])*24</f>
        <v>22.75</v>
      </c>
      <c r="S566" s="253">
        <f>(WTG_BD[[#This Row],[Fault Clearance time]]-WTG_BD[[#This Row],[Fault Start TimeStamp]])*24</f>
        <v>22.75</v>
      </c>
      <c r="T566" s="135" t="s">
        <v>605</v>
      </c>
      <c r="U566" s="244" t="s">
        <v>474</v>
      </c>
      <c r="V566" s="246">
        <f>WTG_BD[[#This Row],[Breakdown Time]]*(1/39)</f>
        <v>0.58333333333333326</v>
      </c>
      <c r="W566" s="244" t="s">
        <v>132</v>
      </c>
      <c r="X566" s="250">
        <v>6137.760416666667</v>
      </c>
      <c r="Y566" s="135" t="s">
        <v>470</v>
      </c>
      <c r="Z566" s="135" t="s">
        <v>498</v>
      </c>
      <c r="AA566" s="286">
        <v>6475</v>
      </c>
      <c r="AB566" s="249">
        <f>(WTG_BD[[#This Row],[Paired WTG Generation for loss calculation.]]/24)*WTG_BD[[#This Row],[Breakdown Time]]</f>
        <v>6137.760416666667</v>
      </c>
      <c r="AC566" s="135"/>
      <c r="AD566" s="245"/>
      <c r="AE566" s="3"/>
    </row>
    <row r="567" spans="1:31">
      <c r="A567" s="241">
        <f t="shared" si="17"/>
        <v>566</v>
      </c>
      <c r="B567" s="255">
        <v>45794</v>
      </c>
      <c r="C567" s="252">
        <v>2025</v>
      </c>
      <c r="D567" s="252">
        <v>2025</v>
      </c>
      <c r="E567" s="251">
        <f t="shared" si="18"/>
        <v>45778</v>
      </c>
      <c r="F567" s="252" t="s">
        <v>465</v>
      </c>
      <c r="G567" s="248" t="s">
        <v>139</v>
      </c>
      <c r="H567" s="242" t="str">
        <f>IFERROR(VLOOKUP(WTG_BD[[#This Row],[Affected WTG]],'Basic Data'!$A$3:$E$56,2,0),"")</f>
        <v>PWEGPL</v>
      </c>
      <c r="I567" s="242" t="str">
        <f>IFERROR(VLOOKUP(WTG_BD[[#This Row],[Affected WTG]],'Basic Data'!$A$3:$E$56,3,0),"")</f>
        <v>MSEDCL</v>
      </c>
      <c r="J567" s="243">
        <f>IFERROR(VLOOKUP(WTG_BD[[#This Row],[Affected WTG]],'Basic Data'!$A$3:$E$56,5,0),"")</f>
        <v>2.564102564102564E-2</v>
      </c>
      <c r="K567" s="158" t="s">
        <v>549</v>
      </c>
      <c r="L567" s="247" t="str">
        <f>VLOOKUP(K567,'Basic Data'!T:U,2,0)</f>
        <v>Manual Stop - Preventive Maintenance Activity</v>
      </c>
      <c r="M567" s="135" t="s">
        <v>550</v>
      </c>
      <c r="N567" s="256">
        <v>0.51111111111111107</v>
      </c>
      <c r="O567" s="256">
        <v>0.51111111111111107</v>
      </c>
      <c r="P567" s="256">
        <v>0.82361111111111107</v>
      </c>
      <c r="Q567" s="253">
        <f>IF(WTG_BD[[#This Row],[Work Start TimeStamp]]="","",(WTG_BD[[#This Row],[Work Start TimeStamp]]-WTG_BD[[#This Row],[Fault Start TimeStamp]])*24)</f>
        <v>0</v>
      </c>
      <c r="R567" s="253">
        <f>(WTG_BD[[#This Row],[Fault Clearance time]]-WTG_BD[[#This Row],[Work Start TimeStamp]])*24</f>
        <v>7.5</v>
      </c>
      <c r="S567" s="253">
        <f>(WTG_BD[[#This Row],[Fault Clearance time]]-WTG_BD[[#This Row],[Fault Start TimeStamp]])*24</f>
        <v>7.5</v>
      </c>
      <c r="T567" s="135" t="s">
        <v>571</v>
      </c>
      <c r="U567" s="244" t="s">
        <v>474</v>
      </c>
      <c r="V567" s="246">
        <f>WTG_BD[[#This Row],[Breakdown Time]]*(1/39)</f>
        <v>0.19230769230769229</v>
      </c>
      <c r="W567" s="244" t="s">
        <v>145</v>
      </c>
      <c r="X567" s="250">
        <v>1100.3125</v>
      </c>
      <c r="Y567" s="135" t="s">
        <v>470</v>
      </c>
      <c r="Z567" s="135" t="s">
        <v>552</v>
      </c>
      <c r="AA567" s="286">
        <v>3521</v>
      </c>
      <c r="AB567" s="249">
        <f>(WTG_BD[[#This Row],[Paired WTG Generation for loss calculation.]]/24)*WTG_BD[[#This Row],[Breakdown Time]]</f>
        <v>1100.3125</v>
      </c>
      <c r="AC567" s="135"/>
      <c r="AD567" s="245"/>
      <c r="AE567" s="3"/>
    </row>
    <row r="568" spans="1:31">
      <c r="A568" s="241">
        <f t="shared" si="17"/>
        <v>567</v>
      </c>
      <c r="B568" s="255">
        <v>45794</v>
      </c>
      <c r="C568" s="252">
        <v>2025</v>
      </c>
      <c r="D568" s="252">
        <v>2025</v>
      </c>
      <c r="E568" s="251">
        <f t="shared" si="18"/>
        <v>45778</v>
      </c>
      <c r="F568" s="252" t="s">
        <v>465</v>
      </c>
      <c r="G568" s="248" t="s">
        <v>116</v>
      </c>
      <c r="H568" s="242" t="str">
        <f>IFERROR(VLOOKUP(WTG_BD[[#This Row],[Affected WTG]],'Basic Data'!$A$3:$E$56,2,0),"")</f>
        <v>PWEGPL</v>
      </c>
      <c r="I568" s="242" t="str">
        <f>IFERROR(VLOOKUP(WTG_BD[[#This Row],[Affected WTG]],'Basic Data'!$A$3:$E$56,3,0),"")</f>
        <v>MSEDCL</v>
      </c>
      <c r="J568" s="243">
        <f>IFERROR(VLOOKUP(WTG_BD[[#This Row],[Affected WTG]],'Basic Data'!$A$3:$E$56,5,0),"")</f>
        <v>2.564102564102564E-2</v>
      </c>
      <c r="K568" s="158">
        <v>5225</v>
      </c>
      <c r="L568" s="247" t="str">
        <f>VLOOKUP(K568,'Basic Data'!T:U,2,0)</f>
        <v>Fault In Analog Electronic Power Supply</v>
      </c>
      <c r="M568" s="135" t="s">
        <v>472</v>
      </c>
      <c r="N568" s="256">
        <v>0.6166666666666667</v>
      </c>
      <c r="O568" s="256">
        <v>0.63888888888888884</v>
      </c>
      <c r="P568" s="256">
        <v>0.64027777777777772</v>
      </c>
      <c r="Q568" s="253">
        <f>IF(WTG_BD[[#This Row],[Work Start TimeStamp]]="","",(WTG_BD[[#This Row],[Work Start TimeStamp]]-WTG_BD[[#This Row],[Fault Start TimeStamp]])*24)</f>
        <v>0.53333333333333144</v>
      </c>
      <c r="R568" s="253">
        <f>(WTG_BD[[#This Row],[Fault Clearance time]]-WTG_BD[[#This Row],[Work Start TimeStamp]])*24</f>
        <v>3.3333333333333215E-2</v>
      </c>
      <c r="S568" s="253">
        <f>(WTG_BD[[#This Row],[Fault Clearance time]]-WTG_BD[[#This Row],[Fault Start TimeStamp]])*24</f>
        <v>0.56666666666666465</v>
      </c>
      <c r="T568" s="135" t="s">
        <v>473</v>
      </c>
      <c r="U568" s="244" t="s">
        <v>474</v>
      </c>
      <c r="V568" s="246">
        <f>WTG_BD[[#This Row],[Breakdown Time]]*(1/39)</f>
        <v>1.4529914529914478E-2</v>
      </c>
      <c r="W568" s="244" t="s">
        <v>118</v>
      </c>
      <c r="X568" s="250">
        <v>134.13472222222174</v>
      </c>
      <c r="Y568" s="135" t="s">
        <v>470</v>
      </c>
      <c r="Z568" s="135" t="s">
        <v>475</v>
      </c>
      <c r="AA568" s="286">
        <v>5681</v>
      </c>
      <c r="AB568" s="249">
        <f>(WTG_BD[[#This Row],[Paired WTG Generation for loss calculation.]]/24)*WTG_BD[[#This Row],[Breakdown Time]]</f>
        <v>134.13472222222174</v>
      </c>
      <c r="AC568" s="135"/>
      <c r="AD568" s="245"/>
      <c r="AE568" s="3"/>
    </row>
    <row r="569" spans="1:31">
      <c r="A569" s="241">
        <f t="shared" si="17"/>
        <v>568</v>
      </c>
      <c r="B569" s="255">
        <v>45794</v>
      </c>
      <c r="C569" s="252">
        <v>2025</v>
      </c>
      <c r="D569" s="252">
        <v>2025</v>
      </c>
      <c r="E569" s="251">
        <f t="shared" si="18"/>
        <v>45778</v>
      </c>
      <c r="F569" s="252" t="s">
        <v>465</v>
      </c>
      <c r="G569" s="248" t="s">
        <v>121</v>
      </c>
      <c r="H569" s="242" t="str">
        <f>IFERROR(VLOOKUP(WTG_BD[[#This Row],[Affected WTG]],'Basic Data'!$A$3:$E$56,2,0),"")</f>
        <v>PWEGPL</v>
      </c>
      <c r="I569" s="242" t="str">
        <f>IFERROR(VLOOKUP(WTG_BD[[#This Row],[Affected WTG]],'Basic Data'!$A$3:$E$56,3,0),"")</f>
        <v>MSEDCL</v>
      </c>
      <c r="J569" s="243">
        <f>IFERROR(VLOOKUP(WTG_BD[[#This Row],[Affected WTG]],'Basic Data'!$A$3:$E$56,5,0),"")</f>
        <v>2.564102564102564E-2</v>
      </c>
      <c r="K569" s="158">
        <v>5225</v>
      </c>
      <c r="L569" s="247" t="str">
        <f>VLOOKUP(K569,'Basic Data'!T:U,2,0)</f>
        <v>Fault In Analog Electronic Power Supply</v>
      </c>
      <c r="M569" s="135" t="s">
        <v>472</v>
      </c>
      <c r="N569" s="256">
        <v>0.6166666666666667</v>
      </c>
      <c r="O569" s="256">
        <v>0.65069444444444446</v>
      </c>
      <c r="P569" s="256">
        <v>0.65208333333333335</v>
      </c>
      <c r="Q569" s="253">
        <f>IF(WTG_BD[[#This Row],[Work Start TimeStamp]]="","",(WTG_BD[[#This Row],[Work Start TimeStamp]]-WTG_BD[[#This Row],[Fault Start TimeStamp]])*24)</f>
        <v>0.81666666666666643</v>
      </c>
      <c r="R569" s="253">
        <f>(WTG_BD[[#This Row],[Fault Clearance time]]-WTG_BD[[#This Row],[Work Start TimeStamp]])*24</f>
        <v>3.3333333333333215E-2</v>
      </c>
      <c r="S569" s="253">
        <f>(WTG_BD[[#This Row],[Fault Clearance time]]-WTG_BD[[#This Row],[Fault Start TimeStamp]])*24</f>
        <v>0.84999999999999964</v>
      </c>
      <c r="T569" s="135" t="s">
        <v>473</v>
      </c>
      <c r="U569" s="244" t="s">
        <v>474</v>
      </c>
      <c r="V569" s="246">
        <f>WTG_BD[[#This Row],[Breakdown Time]]*(1/39)</f>
        <v>2.1794871794871783E-2</v>
      </c>
      <c r="W569" s="244" t="s">
        <v>115</v>
      </c>
      <c r="X569" s="250">
        <v>200.9187499999999</v>
      </c>
      <c r="Y569" s="135" t="s">
        <v>470</v>
      </c>
      <c r="Z569" s="135" t="s">
        <v>475</v>
      </c>
      <c r="AA569" s="286">
        <v>5673</v>
      </c>
      <c r="AB569" s="249">
        <f>(WTG_BD[[#This Row],[Paired WTG Generation for loss calculation.]]/24)*WTG_BD[[#This Row],[Breakdown Time]]</f>
        <v>200.9187499999999</v>
      </c>
      <c r="AC569" s="135"/>
      <c r="AD569" s="245"/>
      <c r="AE569" s="3"/>
    </row>
    <row r="570" spans="1:31">
      <c r="A570" s="241">
        <f t="shared" si="17"/>
        <v>569</v>
      </c>
      <c r="B570" s="255">
        <v>45795</v>
      </c>
      <c r="C570" s="252">
        <v>2025</v>
      </c>
      <c r="D570" s="252">
        <v>2025</v>
      </c>
      <c r="E570" s="251">
        <f t="shared" si="18"/>
        <v>45778</v>
      </c>
      <c r="F570" s="252" t="s">
        <v>465</v>
      </c>
      <c r="G570" s="248" t="s">
        <v>144</v>
      </c>
      <c r="H570" s="242" t="str">
        <f>IFERROR(VLOOKUP(WTG_BD[[#This Row],[Affected WTG]],'Basic Data'!$A$3:$E$56,2,0),"")</f>
        <v>PWEGPL</v>
      </c>
      <c r="I570" s="242" t="str">
        <f>IFERROR(VLOOKUP(WTG_BD[[#This Row],[Affected WTG]],'Basic Data'!$A$3:$E$56,3,0),"")</f>
        <v>MSEDCL</v>
      </c>
      <c r="J570" s="243">
        <f>IFERROR(VLOOKUP(WTG_BD[[#This Row],[Affected WTG]],'Basic Data'!$A$3:$E$56,5,0),"")</f>
        <v>2.564102564102564E-2</v>
      </c>
      <c r="K570" s="158" t="s">
        <v>466</v>
      </c>
      <c r="L570" s="247" t="str">
        <f>VLOOKUP(K570,'Basic Data'!T:U,2,0)</f>
        <v>Manual Stop - Safety Related</v>
      </c>
      <c r="M570" s="135" t="s">
        <v>467</v>
      </c>
      <c r="N570" s="256">
        <v>0</v>
      </c>
      <c r="O570" s="256">
        <v>0.99930555555555556</v>
      </c>
      <c r="P570" s="256">
        <v>0.99930555555555556</v>
      </c>
      <c r="Q570" s="253">
        <f>IF(WTG_BD[[#This Row],[Work Start TimeStamp]]="","",(WTG_BD[[#This Row],[Work Start TimeStamp]]-WTG_BD[[#This Row],[Fault Start TimeStamp]])*24)</f>
        <v>23.983333333333334</v>
      </c>
      <c r="R570" s="253">
        <f>(WTG_BD[[#This Row],[Fault Clearance time]]-WTG_BD[[#This Row],[Work Start TimeStamp]])*24</f>
        <v>0</v>
      </c>
      <c r="S570" s="253">
        <f>(WTG_BD[[#This Row],[Fault Clearance time]]-WTG_BD[[#This Row],[Fault Start TimeStamp]])*24</f>
        <v>23.983333333333334</v>
      </c>
      <c r="T570" s="135" t="s">
        <v>468</v>
      </c>
      <c r="U570" s="244" t="s">
        <v>469</v>
      </c>
      <c r="V570" s="246">
        <f>WTG_BD[[#This Row],[Breakdown Time]]*(1/39)</f>
        <v>0.61495726495726499</v>
      </c>
      <c r="W570" s="244" t="s">
        <v>141</v>
      </c>
      <c r="X570" s="250">
        <v>3540.5395833333337</v>
      </c>
      <c r="Y570" s="135" t="s">
        <v>470</v>
      </c>
      <c r="Z570" s="135" t="s">
        <v>471</v>
      </c>
      <c r="AA570" s="135">
        <v>3543</v>
      </c>
      <c r="AB570" s="249">
        <f>(WTG_BD[[#This Row],[Paired WTG Generation for loss calculation.]]/24)*WTG_BD[[#This Row],[Breakdown Time]]</f>
        <v>3540.5395833333337</v>
      </c>
      <c r="AC570" s="135"/>
      <c r="AD570" s="245"/>
      <c r="AE570" s="3"/>
    </row>
    <row r="571" spans="1:31">
      <c r="A571" s="241">
        <f t="shared" si="17"/>
        <v>570</v>
      </c>
      <c r="B571" s="255">
        <v>45795</v>
      </c>
      <c r="C571" s="252">
        <v>2025</v>
      </c>
      <c r="D571" s="252">
        <v>2025</v>
      </c>
      <c r="E571" s="251">
        <f t="shared" si="18"/>
        <v>45778</v>
      </c>
      <c r="F571" s="252" t="s">
        <v>465</v>
      </c>
      <c r="G571" s="248" t="s">
        <v>142</v>
      </c>
      <c r="H571" s="242" t="str">
        <f>IFERROR(VLOOKUP(WTG_BD[[#This Row],[Affected WTG]],'Basic Data'!$A$3:$E$56,2,0),"")</f>
        <v>PWEGPL</v>
      </c>
      <c r="I571" s="242" t="str">
        <f>IFERROR(VLOOKUP(WTG_BD[[#This Row],[Affected WTG]],'Basic Data'!$A$3:$E$56,3,0),"")</f>
        <v>MSEDCL</v>
      </c>
      <c r="J571" s="243">
        <f>IFERROR(VLOOKUP(WTG_BD[[#This Row],[Affected WTG]],'Basic Data'!$A$3:$E$56,5,0),"")</f>
        <v>2.564102564102564E-2</v>
      </c>
      <c r="K571" s="158" t="s">
        <v>466</v>
      </c>
      <c r="L571" s="247" t="str">
        <f>VLOOKUP(K571,'Basic Data'!T:U,2,0)</f>
        <v>Manual Stop - Safety Related</v>
      </c>
      <c r="M571" s="135" t="s">
        <v>467</v>
      </c>
      <c r="N571" s="256">
        <v>0</v>
      </c>
      <c r="O571" s="256">
        <v>0.99930555555555556</v>
      </c>
      <c r="P571" s="256">
        <v>0.99930555555555556</v>
      </c>
      <c r="Q571" s="253">
        <f>IF(WTG_BD[[#This Row],[Work Start TimeStamp]]="","",(WTG_BD[[#This Row],[Work Start TimeStamp]]-WTG_BD[[#This Row],[Fault Start TimeStamp]])*24)</f>
        <v>23.983333333333334</v>
      </c>
      <c r="R571" s="253">
        <f>(WTG_BD[[#This Row],[Fault Clearance time]]-WTG_BD[[#This Row],[Work Start TimeStamp]])*24</f>
        <v>0</v>
      </c>
      <c r="S571" s="253">
        <f>(WTG_BD[[#This Row],[Fault Clearance time]]-WTG_BD[[#This Row],[Fault Start TimeStamp]])*24</f>
        <v>23.983333333333334</v>
      </c>
      <c r="T571" s="135" t="s">
        <v>468</v>
      </c>
      <c r="U571" s="244" t="s">
        <v>469</v>
      </c>
      <c r="V571" s="246">
        <f>WTG_BD[[#This Row],[Breakdown Time]]*(1/39)</f>
        <v>0.61495726495726499</v>
      </c>
      <c r="W571" s="244" t="s">
        <v>141</v>
      </c>
      <c r="X571" s="250">
        <v>3569.5194444444446</v>
      </c>
      <c r="Y571" s="135" t="s">
        <v>470</v>
      </c>
      <c r="Z571" s="135" t="s">
        <v>471</v>
      </c>
      <c r="AA571" s="135">
        <v>3572</v>
      </c>
      <c r="AB571" s="249">
        <f>(WTG_BD[[#This Row],[Paired WTG Generation for loss calculation.]]/24)*WTG_BD[[#This Row],[Breakdown Time]]</f>
        <v>3569.5194444444446</v>
      </c>
      <c r="AC571" s="135"/>
      <c r="AD571" s="245"/>
      <c r="AE571" s="3"/>
    </row>
    <row r="572" spans="1:31">
      <c r="A572" s="241">
        <f t="shared" si="17"/>
        <v>571</v>
      </c>
      <c r="B572" s="255">
        <v>45795</v>
      </c>
      <c r="C572" s="252">
        <v>2025</v>
      </c>
      <c r="D572" s="252">
        <v>2025</v>
      </c>
      <c r="E572" s="251">
        <f t="shared" ref="E572:E628" si="19">B572-DAY(B572)+1</f>
        <v>45778</v>
      </c>
      <c r="F572" s="252" t="s">
        <v>465</v>
      </c>
      <c r="G572" s="248" t="s">
        <v>115</v>
      </c>
      <c r="H572" s="242" t="str">
        <f>IFERROR(VLOOKUP(WTG_BD[[#This Row],[Affected WTG]],'Basic Data'!$A$3:$E$56,2,0),"")</f>
        <v>PWEGPL</v>
      </c>
      <c r="I572" s="242" t="str">
        <f>IFERROR(VLOOKUP(WTG_BD[[#This Row],[Affected WTG]],'Basic Data'!$A$3:$E$56,3,0),"")</f>
        <v>MSEDCL</v>
      </c>
      <c r="J572" s="243">
        <f>IFERROR(VLOOKUP(WTG_BD[[#This Row],[Affected WTG]],'Basic Data'!$A$3:$E$56,5,0),"")</f>
        <v>2.564102564102564E-2</v>
      </c>
      <c r="K572" s="158">
        <v>2118</v>
      </c>
      <c r="L572" s="247" t="str">
        <f>VLOOKUP(K572,'Basic Data'!T:U,2,0)</f>
        <v>Bus Error - Interbus Failure</v>
      </c>
      <c r="M572" s="135" t="s">
        <v>472</v>
      </c>
      <c r="N572" s="256">
        <v>0.53819444444444442</v>
      </c>
      <c r="O572" s="256">
        <v>0.55347222222222225</v>
      </c>
      <c r="P572" s="256">
        <v>0.58680555555555558</v>
      </c>
      <c r="Q572" s="253">
        <f>IF(WTG_BD[[#This Row],[Work Start TimeStamp]]="","",(WTG_BD[[#This Row],[Work Start TimeStamp]]-WTG_BD[[#This Row],[Fault Start TimeStamp]])*24)</f>
        <v>0.36666666666666803</v>
      </c>
      <c r="R572" s="253">
        <f>(WTG_BD[[#This Row],[Fault Clearance time]]-WTG_BD[[#This Row],[Work Start TimeStamp]])*24</f>
        <v>0.79999999999999982</v>
      </c>
      <c r="S572" s="253">
        <f>(WTG_BD[[#This Row],[Fault Clearance time]]-WTG_BD[[#This Row],[Fault Start TimeStamp]])*24</f>
        <v>1.1666666666666679</v>
      </c>
      <c r="T572" s="135" t="s">
        <v>606</v>
      </c>
      <c r="U572" s="244" t="s">
        <v>474</v>
      </c>
      <c r="V572" s="246">
        <f>WTG_BD[[#This Row],[Breakdown Time]]*(1/39)</f>
        <v>2.9914529914529944E-2</v>
      </c>
      <c r="W572" s="244" t="s">
        <v>121</v>
      </c>
      <c r="X572" s="250">
        <v>171.93750000000017</v>
      </c>
      <c r="Y572" s="135" t="s">
        <v>470</v>
      </c>
      <c r="Z572" s="135" t="s">
        <v>475</v>
      </c>
      <c r="AA572" s="135">
        <v>3537</v>
      </c>
      <c r="AB572" s="249">
        <f>(WTG_BD[[#This Row],[Paired WTG Generation for loss calculation.]]/24)*WTG_BD[[#This Row],[Breakdown Time]]</f>
        <v>171.93750000000017</v>
      </c>
      <c r="AC572" s="135"/>
      <c r="AD572" s="245"/>
      <c r="AE572" s="3"/>
    </row>
    <row r="573" spans="1:31">
      <c r="A573" s="241">
        <f t="shared" si="17"/>
        <v>572</v>
      </c>
      <c r="B573" s="255">
        <v>45795</v>
      </c>
      <c r="C573" s="252">
        <v>2025</v>
      </c>
      <c r="D573" s="252">
        <v>2025</v>
      </c>
      <c r="E573" s="251">
        <f t="shared" si="19"/>
        <v>45778</v>
      </c>
      <c r="F573" s="252" t="s">
        <v>465</v>
      </c>
      <c r="G573" s="248" t="s">
        <v>145</v>
      </c>
      <c r="H573" s="242" t="str">
        <f>IFERROR(VLOOKUP(WTG_BD[[#This Row],[Affected WTG]],'Basic Data'!$A$3:$E$56,2,0),"")</f>
        <v>PWEGPL</v>
      </c>
      <c r="I573" s="242" t="str">
        <f>IFERROR(VLOOKUP(WTG_BD[[#This Row],[Affected WTG]],'Basic Data'!$A$3:$E$56,3,0),"")</f>
        <v>MSEDCL</v>
      </c>
      <c r="J573" s="243">
        <f>IFERROR(VLOOKUP(WTG_BD[[#This Row],[Affected WTG]],'Basic Data'!$A$3:$E$56,5,0),"")</f>
        <v>2.564102564102564E-2</v>
      </c>
      <c r="K573" s="158" t="s">
        <v>549</v>
      </c>
      <c r="L573" s="247" t="str">
        <f>VLOOKUP(K573,'Basic Data'!T:U,2,0)</f>
        <v>Manual Stop - Preventive Maintenance Activity</v>
      </c>
      <c r="M573" s="135" t="s">
        <v>550</v>
      </c>
      <c r="N573" s="256">
        <v>0.5180555555555556</v>
      </c>
      <c r="O573" s="256">
        <v>0.5180555555555556</v>
      </c>
      <c r="P573" s="256">
        <v>0.75208333333333333</v>
      </c>
      <c r="Q573" s="253">
        <f>IF(WTG_BD[[#This Row],[Work Start TimeStamp]]="","",(WTG_BD[[#This Row],[Work Start TimeStamp]]-WTG_BD[[#This Row],[Fault Start TimeStamp]])*24)</f>
        <v>0</v>
      </c>
      <c r="R573" s="253">
        <f>(WTG_BD[[#This Row],[Fault Clearance time]]-WTG_BD[[#This Row],[Work Start TimeStamp]])*24</f>
        <v>5.6166666666666654</v>
      </c>
      <c r="S573" s="253">
        <f>(WTG_BD[[#This Row],[Fault Clearance time]]-WTG_BD[[#This Row],[Fault Start TimeStamp]])*24</f>
        <v>5.6166666666666654</v>
      </c>
      <c r="T573" s="135" t="s">
        <v>571</v>
      </c>
      <c r="U573" s="244" t="s">
        <v>474</v>
      </c>
      <c r="V573" s="246">
        <f>WTG_BD[[#This Row],[Breakdown Time]]*(1/39)</f>
        <v>0.14401709401709398</v>
      </c>
      <c r="W573" s="244" t="s">
        <v>139</v>
      </c>
      <c r="X573" s="250">
        <v>739.99583333333317</v>
      </c>
      <c r="Y573" s="135" t="s">
        <v>470</v>
      </c>
      <c r="Z573" s="135" t="s">
        <v>552</v>
      </c>
      <c r="AA573" s="135">
        <v>3162</v>
      </c>
      <c r="AB573" s="249">
        <f>(WTG_BD[[#This Row],[Paired WTG Generation for loss calculation.]]/24)*WTG_BD[[#This Row],[Breakdown Time]]</f>
        <v>739.99583333333317</v>
      </c>
      <c r="AC573" s="135"/>
      <c r="AD573" s="245"/>
      <c r="AE573" s="3"/>
    </row>
    <row r="574" spans="1:31">
      <c r="A574" s="241">
        <f t="shared" si="17"/>
        <v>573</v>
      </c>
      <c r="B574" s="255">
        <v>45795</v>
      </c>
      <c r="C574" s="252">
        <v>2025</v>
      </c>
      <c r="D574" s="252">
        <v>2025</v>
      </c>
      <c r="E574" s="251">
        <f t="shared" si="19"/>
        <v>45778</v>
      </c>
      <c r="F574" s="252" t="s">
        <v>465</v>
      </c>
      <c r="G574" s="248" t="s">
        <v>146</v>
      </c>
      <c r="H574" s="242" t="str">
        <f>IFERROR(VLOOKUP(WTG_BD[[#This Row],[Affected WTG]],'Basic Data'!$A$3:$E$56,2,0),"")</f>
        <v>PWEGPL</v>
      </c>
      <c r="I574" s="242" t="str">
        <f>IFERROR(VLOOKUP(WTG_BD[[#This Row],[Affected WTG]],'Basic Data'!$A$3:$E$56,3,0),"")</f>
        <v>MSEDCL</v>
      </c>
      <c r="J574" s="243">
        <f>IFERROR(VLOOKUP(WTG_BD[[#This Row],[Affected WTG]],'Basic Data'!$A$3:$E$56,5,0),"")</f>
        <v>2.564102564102564E-2</v>
      </c>
      <c r="K574" s="158">
        <v>2118</v>
      </c>
      <c r="L574" s="247" t="str">
        <f>VLOOKUP(K574,'Basic Data'!T:U,2,0)</f>
        <v>Bus Error - Interbus Failure</v>
      </c>
      <c r="M574" s="135" t="s">
        <v>472</v>
      </c>
      <c r="N574" s="256">
        <v>0.67361111111111116</v>
      </c>
      <c r="O574" s="256">
        <v>0.6958333333333333</v>
      </c>
      <c r="P574" s="256">
        <v>0.69791666666666663</v>
      </c>
      <c r="Q574" s="253">
        <f>IF(WTG_BD[[#This Row],[Work Start TimeStamp]]="","",(WTG_BD[[#This Row],[Work Start TimeStamp]]-WTG_BD[[#This Row],[Fault Start TimeStamp]])*24)</f>
        <v>0.53333333333333144</v>
      </c>
      <c r="R574" s="253">
        <f>(WTG_BD[[#This Row],[Fault Clearance time]]-WTG_BD[[#This Row],[Work Start TimeStamp]])*24</f>
        <v>4.9999999999999822E-2</v>
      </c>
      <c r="S574" s="253">
        <f>(WTG_BD[[#This Row],[Fault Clearance time]]-WTG_BD[[#This Row],[Fault Start TimeStamp]])*24</f>
        <v>0.58333333333333126</v>
      </c>
      <c r="T574" s="135" t="s">
        <v>482</v>
      </c>
      <c r="U574" s="244" t="s">
        <v>474</v>
      </c>
      <c r="V574" s="246">
        <f>WTG_BD[[#This Row],[Breakdown Time]]*(1/39)</f>
        <v>1.4957264957264904E-2</v>
      </c>
      <c r="W574" s="244" t="s">
        <v>147</v>
      </c>
      <c r="X574" s="250">
        <v>75.857638888888616</v>
      </c>
      <c r="Y574" s="135" t="s">
        <v>470</v>
      </c>
      <c r="Z574" s="135" t="s">
        <v>475</v>
      </c>
      <c r="AA574" s="135">
        <v>3121</v>
      </c>
      <c r="AB574" s="249">
        <f>(WTG_BD[[#This Row],[Paired WTG Generation for loss calculation.]]/24)*WTG_BD[[#This Row],[Breakdown Time]]</f>
        <v>75.857638888888616</v>
      </c>
      <c r="AC574" s="135"/>
      <c r="AD574" s="245"/>
      <c r="AE574" s="3"/>
    </row>
    <row r="575" spans="1:31">
      <c r="A575" s="241">
        <f t="shared" si="17"/>
        <v>574</v>
      </c>
      <c r="B575" s="255">
        <v>45796</v>
      </c>
      <c r="C575" s="252">
        <v>2025</v>
      </c>
      <c r="D575" s="252">
        <v>2025</v>
      </c>
      <c r="E575" s="251">
        <f t="shared" si="19"/>
        <v>45778</v>
      </c>
      <c r="F575" s="252" t="s">
        <v>465</v>
      </c>
      <c r="G575" s="248" t="s">
        <v>144</v>
      </c>
      <c r="H575" s="242" t="str">
        <f>IFERROR(VLOOKUP(WTG_BD[[#This Row],[Affected WTG]],'Basic Data'!$A$3:$E$56,2,0),"")</f>
        <v>PWEGPL</v>
      </c>
      <c r="I575" s="242" t="str">
        <f>IFERROR(VLOOKUP(WTG_BD[[#This Row],[Affected WTG]],'Basic Data'!$A$3:$E$56,3,0),"")</f>
        <v>MSEDCL</v>
      </c>
      <c r="J575" s="243">
        <f>IFERROR(VLOOKUP(WTG_BD[[#This Row],[Affected WTG]],'Basic Data'!$A$3:$E$56,5,0),"")</f>
        <v>2.564102564102564E-2</v>
      </c>
      <c r="K575" s="158" t="s">
        <v>466</v>
      </c>
      <c r="L575" s="247" t="str">
        <f>VLOOKUP(K575,'Basic Data'!T:U,2,0)</f>
        <v>Manual Stop - Safety Related</v>
      </c>
      <c r="M575" s="135" t="s">
        <v>467</v>
      </c>
      <c r="N575" s="256">
        <v>0</v>
      </c>
      <c r="O575" s="256">
        <v>0.99930555555555556</v>
      </c>
      <c r="P575" s="256">
        <v>0.99930555555555556</v>
      </c>
      <c r="Q575" s="253">
        <f>IF(WTG_BD[[#This Row],[Work Start TimeStamp]]="","",(WTG_BD[[#This Row],[Work Start TimeStamp]]-WTG_BD[[#This Row],[Fault Start TimeStamp]])*24)</f>
        <v>23.983333333333334</v>
      </c>
      <c r="R575" s="253">
        <f>(WTG_BD[[#This Row],[Fault Clearance time]]-WTG_BD[[#This Row],[Work Start TimeStamp]])*24</f>
        <v>0</v>
      </c>
      <c r="S575" s="253">
        <f>(WTG_BD[[#This Row],[Fault Clearance time]]-WTG_BD[[#This Row],[Fault Start TimeStamp]])*24</f>
        <v>23.983333333333334</v>
      </c>
      <c r="T575" s="135" t="s">
        <v>468</v>
      </c>
      <c r="U575" s="244" t="s">
        <v>469</v>
      </c>
      <c r="V575" s="246">
        <f>WTG_BD[[#This Row],[Breakdown Time]]*(1/39)</f>
        <v>0.61495726495726499</v>
      </c>
      <c r="W575" s="244" t="s">
        <v>141</v>
      </c>
      <c r="X575" s="250">
        <v>4106.1465277777779</v>
      </c>
      <c r="Y575" s="135" t="s">
        <v>470</v>
      </c>
      <c r="Z575" s="135" t="s">
        <v>471</v>
      </c>
      <c r="AA575" s="135">
        <v>4109</v>
      </c>
      <c r="AB575" s="249">
        <f>(WTG_BD[[#This Row],[Paired WTG Generation for loss calculation.]]/24)*WTG_BD[[#This Row],[Breakdown Time]]</f>
        <v>4106.1465277777779</v>
      </c>
      <c r="AC575" s="135"/>
      <c r="AD575" s="245"/>
      <c r="AE575" s="3"/>
    </row>
    <row r="576" spans="1:31">
      <c r="A576" s="241">
        <f t="shared" si="17"/>
        <v>575</v>
      </c>
      <c r="B576" s="255">
        <v>45796</v>
      </c>
      <c r="C576" s="252">
        <v>2025</v>
      </c>
      <c r="D576" s="252">
        <v>2025</v>
      </c>
      <c r="E576" s="251">
        <f t="shared" si="19"/>
        <v>45778</v>
      </c>
      <c r="F576" s="252" t="s">
        <v>465</v>
      </c>
      <c r="G576" s="248" t="s">
        <v>142</v>
      </c>
      <c r="H576" s="242" t="str">
        <f>IFERROR(VLOOKUP(WTG_BD[[#This Row],[Affected WTG]],'Basic Data'!$A$3:$E$56,2,0),"")</f>
        <v>PWEGPL</v>
      </c>
      <c r="I576" s="242" t="str">
        <f>IFERROR(VLOOKUP(WTG_BD[[#This Row],[Affected WTG]],'Basic Data'!$A$3:$E$56,3,0),"")</f>
        <v>MSEDCL</v>
      </c>
      <c r="J576" s="243">
        <f>IFERROR(VLOOKUP(WTG_BD[[#This Row],[Affected WTG]],'Basic Data'!$A$3:$E$56,5,0),"")</f>
        <v>2.564102564102564E-2</v>
      </c>
      <c r="K576" s="158" t="s">
        <v>466</v>
      </c>
      <c r="L576" s="247" t="str">
        <f>VLOOKUP(K576,'Basic Data'!T:U,2,0)</f>
        <v>Manual Stop - Safety Related</v>
      </c>
      <c r="M576" s="135" t="s">
        <v>467</v>
      </c>
      <c r="N576" s="256">
        <v>0</v>
      </c>
      <c r="O576" s="256">
        <v>0.99930555555555556</v>
      </c>
      <c r="P576" s="256">
        <v>0.99930555555555556</v>
      </c>
      <c r="Q576" s="253">
        <f>IF(WTG_BD[[#This Row],[Work Start TimeStamp]]="","",(WTG_BD[[#This Row],[Work Start TimeStamp]]-WTG_BD[[#This Row],[Fault Start TimeStamp]])*24)</f>
        <v>23.983333333333334</v>
      </c>
      <c r="R576" s="253">
        <f>(WTG_BD[[#This Row],[Fault Clearance time]]-WTG_BD[[#This Row],[Work Start TimeStamp]])*24</f>
        <v>0</v>
      </c>
      <c r="S576" s="253">
        <f>(WTG_BD[[#This Row],[Fault Clearance time]]-WTG_BD[[#This Row],[Fault Start TimeStamp]])*24</f>
        <v>23.983333333333334</v>
      </c>
      <c r="T576" s="135" t="s">
        <v>468</v>
      </c>
      <c r="U576" s="244" t="s">
        <v>469</v>
      </c>
      <c r="V576" s="246">
        <f>WTG_BD[[#This Row],[Breakdown Time]]*(1/39)</f>
        <v>0.61495726495726499</v>
      </c>
      <c r="W576" s="244" t="s">
        <v>141</v>
      </c>
      <c r="X576" s="250">
        <v>4106.1465277777779</v>
      </c>
      <c r="Y576" s="135" t="s">
        <v>470</v>
      </c>
      <c r="Z576" s="135" t="s">
        <v>471</v>
      </c>
      <c r="AA576" s="135">
        <v>4109</v>
      </c>
      <c r="AB576" s="249">
        <f>(WTG_BD[[#This Row],[Paired WTG Generation for loss calculation.]]/24)*WTG_BD[[#This Row],[Breakdown Time]]</f>
        <v>4106.1465277777779</v>
      </c>
      <c r="AC576" s="135"/>
      <c r="AD576" s="245"/>
      <c r="AE576" s="3"/>
    </row>
    <row r="577" spans="1:31">
      <c r="A577" s="241">
        <f t="shared" si="17"/>
        <v>576</v>
      </c>
      <c r="B577" s="255">
        <v>45796</v>
      </c>
      <c r="C577" s="252">
        <v>2025</v>
      </c>
      <c r="D577" s="252">
        <v>2025</v>
      </c>
      <c r="E577" s="251">
        <f t="shared" si="19"/>
        <v>45778</v>
      </c>
      <c r="F577" s="252" t="s">
        <v>465</v>
      </c>
      <c r="G577" s="248" t="s">
        <v>119</v>
      </c>
      <c r="H577" s="242" t="str">
        <f>IFERROR(VLOOKUP(WTG_BD[[#This Row],[Affected WTG]],'Basic Data'!$A$3:$E$56,2,0),"")</f>
        <v>PWEGPL</v>
      </c>
      <c r="I577" s="242" t="str">
        <f>IFERROR(VLOOKUP(WTG_BD[[#This Row],[Affected WTG]],'Basic Data'!$A$3:$E$56,3,0),"")</f>
        <v>MSEDCL</v>
      </c>
      <c r="J577" s="243">
        <f>IFERROR(VLOOKUP(WTG_BD[[#This Row],[Affected WTG]],'Basic Data'!$A$3:$E$56,5,0),"")</f>
        <v>2.564102564102564E-2</v>
      </c>
      <c r="K577" s="158" t="s">
        <v>523</v>
      </c>
      <c r="L577" s="247" t="str">
        <f>VLOOKUP(K577,'Basic Data'!T:U,2,0)</f>
        <v>Manual Stop</v>
      </c>
      <c r="M577" s="135" t="s">
        <v>573</v>
      </c>
      <c r="N577" s="256">
        <v>0.46944444444444444</v>
      </c>
      <c r="O577" s="256">
        <v>0.46944444444444444</v>
      </c>
      <c r="P577" s="256">
        <v>0.51388888888888884</v>
      </c>
      <c r="Q577" s="253">
        <f>IF(WTG_BD[[#This Row],[Work Start TimeStamp]]="","",(WTG_BD[[#This Row],[Work Start TimeStamp]]-WTG_BD[[#This Row],[Fault Start TimeStamp]])*24)</f>
        <v>0</v>
      </c>
      <c r="R577" s="253">
        <f>(WTG_BD[[#This Row],[Fault Clearance time]]-WTG_BD[[#This Row],[Work Start TimeStamp]])*24</f>
        <v>1.0666666666666655</v>
      </c>
      <c r="S577" s="253">
        <f>(WTG_BD[[#This Row],[Fault Clearance time]]-WTG_BD[[#This Row],[Fault Start TimeStamp]])*24</f>
        <v>1.0666666666666655</v>
      </c>
      <c r="T577" s="135" t="s">
        <v>601</v>
      </c>
      <c r="U577" s="244" t="s">
        <v>474</v>
      </c>
      <c r="V577" s="246">
        <f>WTG_BD[[#This Row],[Breakdown Time]]*(1/39)</f>
        <v>2.7350427350427319E-2</v>
      </c>
      <c r="W577" s="244" t="s">
        <v>137</v>
      </c>
      <c r="X577" s="250">
        <v>868.7222222222224</v>
      </c>
      <c r="Y577" s="135" t="s">
        <v>470</v>
      </c>
      <c r="Z577" s="135" t="s">
        <v>498</v>
      </c>
      <c r="AA577" s="135">
        <v>4115</v>
      </c>
      <c r="AB577" s="249">
        <f>(WTG_BD[[#This Row],[Paired WTG Generation for loss calculation.]]/24)*WTG_BD[[#This Row],[Breakdown Time]]</f>
        <v>182.88888888888872</v>
      </c>
      <c r="AC577" s="135"/>
      <c r="AD577" s="245"/>
      <c r="AE577" s="3"/>
    </row>
    <row r="578" spans="1:31">
      <c r="A578" s="241">
        <f t="shared" si="17"/>
        <v>577</v>
      </c>
      <c r="B578" s="255">
        <v>45796</v>
      </c>
      <c r="C578" s="252">
        <v>2025</v>
      </c>
      <c r="D578" s="252">
        <v>2025</v>
      </c>
      <c r="E578" s="251">
        <f t="shared" si="19"/>
        <v>45778</v>
      </c>
      <c r="F578" s="252" t="s">
        <v>465</v>
      </c>
      <c r="G578" s="248" t="s">
        <v>136</v>
      </c>
      <c r="H578" s="242" t="str">
        <f>IFERROR(VLOOKUP(WTG_BD[[#This Row],[Affected WTG]],'Basic Data'!$A$3:$E$56,2,0),"")</f>
        <v>PWEGPL</v>
      </c>
      <c r="I578" s="242" t="str">
        <f>IFERROR(VLOOKUP(WTG_BD[[#This Row],[Affected WTG]],'Basic Data'!$A$3:$E$56,3,0),"")</f>
        <v>MSEDCL</v>
      </c>
      <c r="J578" s="243">
        <f>IFERROR(VLOOKUP(WTG_BD[[#This Row],[Affected WTG]],'Basic Data'!$A$3:$E$56,5,0),"")</f>
        <v>2.564102564102564E-2</v>
      </c>
      <c r="K578" s="158" t="s">
        <v>549</v>
      </c>
      <c r="L578" s="247" t="str">
        <f>VLOOKUP(K578,'Basic Data'!T:U,2,0)</f>
        <v>Manual Stop - Preventive Maintenance Activity</v>
      </c>
      <c r="M578" s="135" t="s">
        <v>550</v>
      </c>
      <c r="N578" s="256">
        <v>0.46111111111111114</v>
      </c>
      <c r="O578" s="256">
        <v>0.46111111111111114</v>
      </c>
      <c r="P578" s="256">
        <v>0.72916666666666663</v>
      </c>
      <c r="Q578" s="253">
        <f>IF(WTG_BD[[#This Row],[Work Start TimeStamp]]="","",(WTG_BD[[#This Row],[Work Start TimeStamp]]-WTG_BD[[#This Row],[Fault Start TimeStamp]])*24)</f>
        <v>0</v>
      </c>
      <c r="R578" s="253">
        <f>(WTG_BD[[#This Row],[Fault Clearance time]]-WTG_BD[[#This Row],[Work Start TimeStamp]])*24</f>
        <v>6.4333333333333318</v>
      </c>
      <c r="S578" s="253">
        <f>(WTG_BD[[#This Row],[Fault Clearance time]]-WTG_BD[[#This Row],[Fault Start TimeStamp]])*24</f>
        <v>6.4333333333333318</v>
      </c>
      <c r="T578" s="135" t="s">
        <v>571</v>
      </c>
      <c r="U578" s="244" t="s">
        <v>474</v>
      </c>
      <c r="V578" s="246">
        <f>WTG_BD[[#This Row],[Breakdown Time]]*(1/39)</f>
        <v>0.1649572649572649</v>
      </c>
      <c r="W578" s="244" t="s">
        <v>135</v>
      </c>
      <c r="X578" s="250">
        <v>1099.5638888888886</v>
      </c>
      <c r="Y578" s="135" t="s">
        <v>470</v>
      </c>
      <c r="Z578" s="135" t="s">
        <v>552</v>
      </c>
      <c r="AA578" s="135">
        <v>4102</v>
      </c>
      <c r="AB578" s="249">
        <f>(WTG_BD[[#This Row],[Paired WTG Generation for loss calculation.]]/24)*WTG_BD[[#This Row],[Breakdown Time]]</f>
        <v>1099.5638888888886</v>
      </c>
      <c r="AC578" s="135"/>
      <c r="AD578" s="245"/>
      <c r="AE578" s="3"/>
    </row>
    <row r="579" spans="1:31">
      <c r="A579" s="241">
        <f t="shared" ref="A579:A643" si="20">A578+1</f>
        <v>578</v>
      </c>
      <c r="B579" s="255">
        <v>45796</v>
      </c>
      <c r="C579" s="252">
        <v>2025</v>
      </c>
      <c r="D579" s="252">
        <v>2025</v>
      </c>
      <c r="E579" s="251">
        <f t="shared" si="19"/>
        <v>45778</v>
      </c>
      <c r="F579" s="252" t="s">
        <v>465</v>
      </c>
      <c r="G579" s="248" t="s">
        <v>141</v>
      </c>
      <c r="H579" s="242" t="str">
        <f>IFERROR(VLOOKUP(WTG_BD[[#This Row],[Affected WTG]],'Basic Data'!$A$3:$E$56,2,0),"")</f>
        <v>PWEGPL</v>
      </c>
      <c r="I579" s="242" t="str">
        <f>IFERROR(VLOOKUP(WTG_BD[[#This Row],[Affected WTG]],'Basic Data'!$A$3:$E$56,3,0),"")</f>
        <v>MSEDCL</v>
      </c>
      <c r="J579" s="243">
        <f>IFERROR(VLOOKUP(WTG_BD[[#This Row],[Affected WTG]],'Basic Data'!$A$3:$E$56,5,0),"")</f>
        <v>2.564102564102564E-2</v>
      </c>
      <c r="K579" s="158">
        <v>2102</v>
      </c>
      <c r="L579" s="247" t="str">
        <f>VLOOKUP(K579,'Basic Data'!T:U,2,0)</f>
        <v>PLC Module Failure</v>
      </c>
      <c r="M579" s="135" t="s">
        <v>472</v>
      </c>
      <c r="N579" s="256">
        <v>0.68194444444444446</v>
      </c>
      <c r="O579" s="256">
        <v>0.70694444444444449</v>
      </c>
      <c r="P579" s="256">
        <v>0.70902777777777781</v>
      </c>
      <c r="Q579" s="253">
        <f>IF(WTG_BD[[#This Row],[Work Start TimeStamp]]="","",(WTG_BD[[#This Row],[Work Start TimeStamp]]-WTG_BD[[#This Row],[Fault Start TimeStamp]])*24)</f>
        <v>0.60000000000000053</v>
      </c>
      <c r="R579" s="253">
        <f>(WTG_BD[[#This Row],[Fault Clearance time]]-WTG_BD[[#This Row],[Work Start TimeStamp]])*24</f>
        <v>4.9999999999999822E-2</v>
      </c>
      <c r="S579" s="253">
        <f>(WTG_BD[[#This Row],[Fault Clearance time]]-WTG_BD[[#This Row],[Fault Start TimeStamp]])*24</f>
        <v>0.65000000000000036</v>
      </c>
      <c r="T579" s="135" t="s">
        <v>482</v>
      </c>
      <c r="U579" s="244" t="s">
        <v>474</v>
      </c>
      <c r="V579" s="246">
        <f>WTG_BD[[#This Row],[Breakdown Time]]*(1/39)</f>
        <v>1.6666666666666677E-2</v>
      </c>
      <c r="W579" s="244" t="s">
        <v>143</v>
      </c>
      <c r="X579" s="250">
        <v>111.61041666666674</v>
      </c>
      <c r="Y579" s="135" t="s">
        <v>470</v>
      </c>
      <c r="Z579" s="135" t="s">
        <v>475</v>
      </c>
      <c r="AA579" s="135">
        <v>4121</v>
      </c>
      <c r="AB579" s="249">
        <f>(WTG_BD[[#This Row],[Paired WTG Generation for loss calculation.]]/24)*WTG_BD[[#This Row],[Breakdown Time]]</f>
        <v>111.61041666666674</v>
      </c>
      <c r="AC579" s="135"/>
      <c r="AD579" s="245"/>
      <c r="AE579" s="3"/>
    </row>
    <row r="580" spans="1:31">
      <c r="A580" s="241">
        <f t="shared" si="20"/>
        <v>579</v>
      </c>
      <c r="B580" s="255">
        <v>45797</v>
      </c>
      <c r="C580" s="252">
        <v>2025</v>
      </c>
      <c r="D580" s="252">
        <v>2025</v>
      </c>
      <c r="E580" s="251">
        <f t="shared" si="19"/>
        <v>45778</v>
      </c>
      <c r="F580" s="252" t="s">
        <v>465</v>
      </c>
      <c r="G580" s="248" t="s">
        <v>144</v>
      </c>
      <c r="H580" s="242" t="str">
        <f>IFERROR(VLOOKUP(WTG_BD[[#This Row],[Affected WTG]],'Basic Data'!$A$3:$E$56,2,0),"")</f>
        <v>PWEGPL</v>
      </c>
      <c r="I580" s="242" t="str">
        <f>IFERROR(VLOOKUP(WTG_BD[[#This Row],[Affected WTG]],'Basic Data'!$A$3:$E$56,3,0),"")</f>
        <v>MSEDCL</v>
      </c>
      <c r="J580" s="243">
        <f>IFERROR(VLOOKUP(WTG_BD[[#This Row],[Affected WTG]],'Basic Data'!$A$3:$E$56,5,0),"")</f>
        <v>2.564102564102564E-2</v>
      </c>
      <c r="K580" s="158" t="s">
        <v>466</v>
      </c>
      <c r="L580" s="247" t="str">
        <f>VLOOKUP(K580,'Basic Data'!T:U,2,0)</f>
        <v>Manual Stop - Safety Related</v>
      </c>
      <c r="M580" s="135" t="s">
        <v>467</v>
      </c>
      <c r="N580" s="256">
        <v>0</v>
      </c>
      <c r="O580" s="256">
        <v>0.99930555555555556</v>
      </c>
      <c r="P580" s="256">
        <v>0.99930555555555556</v>
      </c>
      <c r="Q580" s="253">
        <f>IF(WTG_BD[[#This Row],[Work Start TimeStamp]]="","",(WTG_BD[[#This Row],[Work Start TimeStamp]]-WTG_BD[[#This Row],[Fault Start TimeStamp]])*24)</f>
        <v>23.983333333333334</v>
      </c>
      <c r="R580" s="253">
        <f>(WTG_BD[[#This Row],[Fault Clearance time]]-WTG_BD[[#This Row],[Work Start TimeStamp]])*24</f>
        <v>0</v>
      </c>
      <c r="S580" s="253">
        <f>(WTG_BD[[#This Row],[Fault Clearance time]]-WTG_BD[[#This Row],[Fault Start TimeStamp]])*24</f>
        <v>23.983333333333334</v>
      </c>
      <c r="T580" s="135" t="s">
        <v>468</v>
      </c>
      <c r="U580" s="244" t="s">
        <v>469</v>
      </c>
      <c r="V580" s="246">
        <f>WTG_BD[[#This Row],[Breakdown Time]]*(1/39)</f>
        <v>0.61495726495726499</v>
      </c>
      <c r="W580" s="244" t="s">
        <v>141</v>
      </c>
      <c r="X580" s="250">
        <v>5238.3597222222224</v>
      </c>
      <c r="Y580" s="135" t="s">
        <v>470</v>
      </c>
      <c r="Z580" s="135" t="s">
        <v>471</v>
      </c>
      <c r="AA580" s="135">
        <v>5242</v>
      </c>
      <c r="AB580" s="249">
        <f>(WTG_BD[[#This Row],[Paired WTG Generation for loss calculation.]]/24)*WTG_BD[[#This Row],[Breakdown Time]]</f>
        <v>5238.3597222222224</v>
      </c>
      <c r="AC580" s="135"/>
      <c r="AD580" s="245"/>
      <c r="AE580" s="3"/>
    </row>
    <row r="581" spans="1:31">
      <c r="A581" s="241">
        <f t="shared" si="20"/>
        <v>580</v>
      </c>
      <c r="B581" s="255">
        <v>45797</v>
      </c>
      <c r="C581" s="252">
        <v>2025</v>
      </c>
      <c r="D581" s="252">
        <v>2025</v>
      </c>
      <c r="E581" s="251">
        <f t="shared" si="19"/>
        <v>45778</v>
      </c>
      <c r="F581" s="252" t="s">
        <v>465</v>
      </c>
      <c r="G581" s="248" t="s">
        <v>142</v>
      </c>
      <c r="H581" s="242" t="str">
        <f>IFERROR(VLOOKUP(WTG_BD[[#This Row],[Affected WTG]],'Basic Data'!$A$3:$E$56,2,0),"")</f>
        <v>PWEGPL</v>
      </c>
      <c r="I581" s="242" t="str">
        <f>IFERROR(VLOOKUP(WTG_BD[[#This Row],[Affected WTG]],'Basic Data'!$A$3:$E$56,3,0),"")</f>
        <v>MSEDCL</v>
      </c>
      <c r="J581" s="243">
        <f>IFERROR(VLOOKUP(WTG_BD[[#This Row],[Affected WTG]],'Basic Data'!$A$3:$E$56,5,0),"")</f>
        <v>2.564102564102564E-2</v>
      </c>
      <c r="K581" s="158" t="s">
        <v>466</v>
      </c>
      <c r="L581" s="247" t="str">
        <f>VLOOKUP(K581,'Basic Data'!T:U,2,0)</f>
        <v>Manual Stop - Safety Related</v>
      </c>
      <c r="M581" s="135" t="s">
        <v>467</v>
      </c>
      <c r="N581" s="256">
        <v>0</v>
      </c>
      <c r="O581" s="256">
        <v>0.99930555555555556</v>
      </c>
      <c r="P581" s="256">
        <v>0.99930555555555556</v>
      </c>
      <c r="Q581" s="253">
        <f>IF(WTG_BD[[#This Row],[Work Start TimeStamp]]="","",(WTG_BD[[#This Row],[Work Start TimeStamp]]-WTG_BD[[#This Row],[Fault Start TimeStamp]])*24)</f>
        <v>23.983333333333334</v>
      </c>
      <c r="R581" s="253">
        <f>(WTG_BD[[#This Row],[Fault Clearance time]]-WTG_BD[[#This Row],[Work Start TimeStamp]])*24</f>
        <v>0</v>
      </c>
      <c r="S581" s="253">
        <f>(WTG_BD[[#This Row],[Fault Clearance time]]-WTG_BD[[#This Row],[Fault Start TimeStamp]])*24</f>
        <v>23.983333333333334</v>
      </c>
      <c r="T581" s="135" t="s">
        <v>468</v>
      </c>
      <c r="U581" s="244" t="s">
        <v>469</v>
      </c>
      <c r="V581" s="246">
        <f>WTG_BD[[#This Row],[Breakdown Time]]*(1/39)</f>
        <v>0.61495726495726499</v>
      </c>
      <c r="W581" s="244" t="s">
        <v>141</v>
      </c>
      <c r="X581" s="250">
        <v>5238.3597222222224</v>
      </c>
      <c r="Y581" s="135" t="s">
        <v>470</v>
      </c>
      <c r="Z581" s="135" t="s">
        <v>471</v>
      </c>
      <c r="AA581" s="135">
        <v>5242</v>
      </c>
      <c r="AB581" s="249">
        <f>(WTG_BD[[#This Row],[Paired WTG Generation for loss calculation.]]/24)*WTG_BD[[#This Row],[Breakdown Time]]</f>
        <v>5238.3597222222224</v>
      </c>
      <c r="AC581" s="135"/>
      <c r="AD581" s="245"/>
      <c r="AE581" s="3"/>
    </row>
    <row r="582" spans="1:31">
      <c r="A582" s="241">
        <f t="shared" si="20"/>
        <v>581</v>
      </c>
      <c r="B582" s="255">
        <v>45797</v>
      </c>
      <c r="C582" s="252">
        <v>2025</v>
      </c>
      <c r="D582" s="252">
        <v>2025</v>
      </c>
      <c r="E582" s="251">
        <f t="shared" si="19"/>
        <v>45778</v>
      </c>
      <c r="F582" s="252" t="s">
        <v>465</v>
      </c>
      <c r="G582" s="248" t="s">
        <v>116</v>
      </c>
      <c r="H582" s="242" t="str">
        <f>IFERROR(VLOOKUP(WTG_BD[[#This Row],[Affected WTG]],'Basic Data'!$A$3:$E$56,2,0),"")</f>
        <v>PWEGPL</v>
      </c>
      <c r="I582" s="242" t="str">
        <f>IFERROR(VLOOKUP(WTG_BD[[#This Row],[Affected WTG]],'Basic Data'!$A$3:$E$56,3,0),"")</f>
        <v>MSEDCL</v>
      </c>
      <c r="J582" s="243">
        <f>IFERROR(VLOOKUP(WTG_BD[[#This Row],[Affected WTG]],'Basic Data'!$A$3:$E$56,5,0),"")</f>
        <v>2.564102564102564E-2</v>
      </c>
      <c r="K582" s="158">
        <v>203</v>
      </c>
      <c r="L582" s="247" t="str">
        <f>VLOOKUP(K582,'Basic Data'!T:U,2,0)</f>
        <v>Low Pressure On Hydraulic Group</v>
      </c>
      <c r="M582" s="135" t="s">
        <v>472</v>
      </c>
      <c r="N582" s="256">
        <v>0.66805555555555551</v>
      </c>
      <c r="O582" s="256">
        <v>0.69097222222222221</v>
      </c>
      <c r="P582" s="256">
        <v>0.69236111111111109</v>
      </c>
      <c r="Q582" s="253">
        <f>IF(WTG_BD[[#This Row],[Work Start TimeStamp]]="","",(WTG_BD[[#This Row],[Work Start TimeStamp]]-WTG_BD[[#This Row],[Fault Start TimeStamp]])*24)</f>
        <v>0.55000000000000071</v>
      </c>
      <c r="R582" s="253">
        <f>(WTG_BD[[#This Row],[Fault Clearance time]]-WTG_BD[[#This Row],[Work Start TimeStamp]])*24</f>
        <v>3.3333333333333215E-2</v>
      </c>
      <c r="S582" s="253">
        <f>(WTG_BD[[#This Row],[Fault Clearance time]]-WTG_BD[[#This Row],[Fault Start TimeStamp]])*24</f>
        <v>0.58333333333333393</v>
      </c>
      <c r="T582" s="135" t="s">
        <v>473</v>
      </c>
      <c r="U582" s="244" t="s">
        <v>474</v>
      </c>
      <c r="V582" s="246">
        <f>WTG_BD[[#This Row],[Breakdown Time]]*(1/39)</f>
        <v>1.4957264957264972E-2</v>
      </c>
      <c r="W582" s="244" t="s">
        <v>118</v>
      </c>
      <c r="X582" s="250">
        <v>135.50347222222234</v>
      </c>
      <c r="Y582" s="135" t="s">
        <v>470</v>
      </c>
      <c r="Z582" s="135" t="s">
        <v>475</v>
      </c>
      <c r="AA582" s="135">
        <v>5575</v>
      </c>
      <c r="AB582" s="249">
        <f>(WTG_BD[[#This Row],[Paired WTG Generation for loss calculation.]]/24)*WTG_BD[[#This Row],[Breakdown Time]]</f>
        <v>135.50347222222234</v>
      </c>
      <c r="AC582" s="135"/>
      <c r="AD582" s="245"/>
      <c r="AE582" s="3"/>
    </row>
    <row r="583" spans="1:31">
      <c r="A583" s="241">
        <f t="shared" si="20"/>
        <v>582</v>
      </c>
      <c r="B583" s="255">
        <v>45797</v>
      </c>
      <c r="C583" s="252">
        <v>2025</v>
      </c>
      <c r="D583" s="252">
        <v>2025</v>
      </c>
      <c r="E583" s="251">
        <f t="shared" si="19"/>
        <v>45778</v>
      </c>
      <c r="F583" s="252" t="s">
        <v>465</v>
      </c>
      <c r="G583" s="248" t="s">
        <v>117</v>
      </c>
      <c r="H583" s="242" t="str">
        <f>IFERROR(VLOOKUP(WTG_BD[[#This Row],[Affected WTG]],'Basic Data'!$A$3:$E$56,2,0),"")</f>
        <v>PWEGPL</v>
      </c>
      <c r="I583" s="242" t="str">
        <f>IFERROR(VLOOKUP(WTG_BD[[#This Row],[Affected WTG]],'Basic Data'!$A$3:$E$56,3,0),"")</f>
        <v>MSEDCL</v>
      </c>
      <c r="J583" s="243">
        <f>IFERROR(VLOOKUP(WTG_BD[[#This Row],[Affected WTG]],'Basic Data'!$A$3:$E$56,5,0),"")</f>
        <v>2.564102564102564E-2</v>
      </c>
      <c r="K583" s="158">
        <v>222</v>
      </c>
      <c r="L583" s="247" t="str">
        <f>VLOOKUP(K583,'Basic Data'!T:U,2,0)</f>
        <v>Very Low Pressure On Hydraulic Unit</v>
      </c>
      <c r="M583" s="135" t="s">
        <v>472</v>
      </c>
      <c r="N583" s="256">
        <v>0.67708333333333337</v>
      </c>
      <c r="O583" s="256">
        <v>0.70277777777777772</v>
      </c>
      <c r="P583" s="256">
        <v>0.70416666666666672</v>
      </c>
      <c r="Q583" s="253">
        <f>IF(WTG_BD[[#This Row],[Work Start TimeStamp]]="","",(WTG_BD[[#This Row],[Work Start TimeStamp]]-WTG_BD[[#This Row],[Fault Start TimeStamp]])*24)</f>
        <v>0.61666666666666448</v>
      </c>
      <c r="R583" s="253">
        <f>(WTG_BD[[#This Row],[Fault Clearance time]]-WTG_BD[[#This Row],[Work Start TimeStamp]])*24</f>
        <v>3.3333333333335879E-2</v>
      </c>
      <c r="S583" s="253">
        <f>(WTG_BD[[#This Row],[Fault Clearance time]]-WTG_BD[[#This Row],[Fault Start TimeStamp]])*24</f>
        <v>0.65000000000000036</v>
      </c>
      <c r="T583" s="135" t="s">
        <v>473</v>
      </c>
      <c r="U583" s="244" t="s">
        <v>474</v>
      </c>
      <c r="V583" s="246">
        <f>WTG_BD[[#This Row],[Breakdown Time]]*(1/39)</f>
        <v>1.6666666666666677E-2</v>
      </c>
      <c r="W583" s="244" t="s">
        <v>118</v>
      </c>
      <c r="X583" s="250">
        <v>150.9895833333334</v>
      </c>
      <c r="Y583" s="135" t="s">
        <v>470</v>
      </c>
      <c r="Z583" s="135" t="s">
        <v>475</v>
      </c>
      <c r="AA583" s="135">
        <v>5575</v>
      </c>
      <c r="AB583" s="249">
        <f>(WTG_BD[[#This Row],[Paired WTG Generation for loss calculation.]]/24)*WTG_BD[[#This Row],[Breakdown Time]]</f>
        <v>150.9895833333334</v>
      </c>
      <c r="AC583" s="135"/>
      <c r="AD583" s="245"/>
      <c r="AE583" s="3"/>
    </row>
    <row r="584" spans="1:31">
      <c r="A584" s="241">
        <f t="shared" si="20"/>
        <v>583</v>
      </c>
      <c r="B584" s="255">
        <v>45797</v>
      </c>
      <c r="C584" s="252">
        <v>2025</v>
      </c>
      <c r="D584" s="252">
        <v>2025</v>
      </c>
      <c r="E584" s="251">
        <f t="shared" si="19"/>
        <v>45778</v>
      </c>
      <c r="F584" s="252" t="s">
        <v>465</v>
      </c>
      <c r="G584" s="248" t="s">
        <v>123</v>
      </c>
      <c r="H584" s="242" t="str">
        <f>IFERROR(VLOOKUP(WTG_BD[[#This Row],[Affected WTG]],'Basic Data'!$A$3:$E$56,2,0),"")</f>
        <v>PWEGPL</v>
      </c>
      <c r="I584" s="242" t="str">
        <f>IFERROR(VLOOKUP(WTG_BD[[#This Row],[Affected WTG]],'Basic Data'!$A$3:$E$56,3,0),"")</f>
        <v>MSEDCL</v>
      </c>
      <c r="J584" s="243">
        <f>IFERROR(VLOOKUP(WTG_BD[[#This Row],[Affected WTG]],'Basic Data'!$A$3:$E$56,5,0),"")</f>
        <v>2.564102564102564E-2</v>
      </c>
      <c r="K584" s="158">
        <v>222</v>
      </c>
      <c r="L584" s="247" t="str">
        <f>VLOOKUP(K584,'Basic Data'!T:U,2,0)</f>
        <v>Very Low Pressure On Hydraulic Unit</v>
      </c>
      <c r="M584" s="135" t="s">
        <v>472</v>
      </c>
      <c r="N584" s="256">
        <v>0.67708333333333337</v>
      </c>
      <c r="O584" s="256">
        <v>0.70972222222222225</v>
      </c>
      <c r="P584" s="256">
        <v>0.71111111111111114</v>
      </c>
      <c r="Q584" s="253">
        <f>IF(WTG_BD[[#This Row],[Work Start TimeStamp]]="","",(WTG_BD[[#This Row],[Work Start TimeStamp]]-WTG_BD[[#This Row],[Fault Start TimeStamp]])*24)</f>
        <v>0.78333333333333321</v>
      </c>
      <c r="R584" s="253">
        <f>(WTG_BD[[#This Row],[Fault Clearance time]]-WTG_BD[[#This Row],[Work Start TimeStamp]])*24</f>
        <v>3.3333333333333215E-2</v>
      </c>
      <c r="S584" s="253">
        <f>(WTG_BD[[#This Row],[Fault Clearance time]]-WTG_BD[[#This Row],[Fault Start TimeStamp]])*24</f>
        <v>0.81666666666666643</v>
      </c>
      <c r="T584" s="135" t="s">
        <v>473</v>
      </c>
      <c r="U584" s="244" t="s">
        <v>474</v>
      </c>
      <c r="V584" s="246">
        <f>WTG_BD[[#This Row],[Breakdown Time]]*(1/39)</f>
        <v>2.0940170940170932E-2</v>
      </c>
      <c r="W584" s="244" t="s">
        <v>126</v>
      </c>
      <c r="X584" s="250">
        <v>181.77638888888885</v>
      </c>
      <c r="Y584" s="135" t="s">
        <v>470</v>
      </c>
      <c r="Z584" s="135" t="s">
        <v>475</v>
      </c>
      <c r="AA584" s="135">
        <v>5342</v>
      </c>
      <c r="AB584" s="249">
        <f>(WTG_BD[[#This Row],[Paired WTG Generation for loss calculation.]]/24)*WTG_BD[[#This Row],[Breakdown Time]]</f>
        <v>181.77638888888885</v>
      </c>
      <c r="AC584" s="135"/>
      <c r="AD584" s="245"/>
      <c r="AE584" s="3"/>
    </row>
    <row r="585" spans="1:31">
      <c r="A585" s="241">
        <f t="shared" si="20"/>
        <v>584</v>
      </c>
      <c r="B585" s="255">
        <v>45797</v>
      </c>
      <c r="C585" s="252">
        <v>2025</v>
      </c>
      <c r="D585" s="252">
        <v>2025</v>
      </c>
      <c r="E585" s="251">
        <f t="shared" si="19"/>
        <v>45778</v>
      </c>
      <c r="F585" s="252" t="s">
        <v>465</v>
      </c>
      <c r="G585" s="248" t="s">
        <v>124</v>
      </c>
      <c r="H585" s="242" t="str">
        <f>IFERROR(VLOOKUP(WTG_BD[[#This Row],[Affected WTG]],'Basic Data'!$A$3:$E$56,2,0),"")</f>
        <v>PWEGPL</v>
      </c>
      <c r="I585" s="242" t="str">
        <f>IFERROR(VLOOKUP(WTG_BD[[#This Row],[Affected WTG]],'Basic Data'!$A$3:$E$56,3,0),"")</f>
        <v>MSEDCL</v>
      </c>
      <c r="J585" s="243">
        <f>IFERROR(VLOOKUP(WTG_BD[[#This Row],[Affected WTG]],'Basic Data'!$A$3:$E$56,5,0),"")</f>
        <v>2.564102564102564E-2</v>
      </c>
      <c r="K585" s="158" t="s">
        <v>514</v>
      </c>
      <c r="L585" s="247" t="str">
        <f>VLOOKUP(K585,'Basic Data'!T:U,2,0)</f>
        <v>General Work Stoppage</v>
      </c>
      <c r="M585" s="135" t="s">
        <v>496</v>
      </c>
      <c r="N585" s="256">
        <v>0.47222222222222221</v>
      </c>
      <c r="O585" s="256">
        <v>0.47222222222222221</v>
      </c>
      <c r="P585" s="256">
        <v>0.67361111111111116</v>
      </c>
      <c r="Q585" s="253">
        <f>IF(WTG_BD[[#This Row],[Work Start TimeStamp]]="","",(WTG_BD[[#This Row],[Work Start TimeStamp]]-WTG_BD[[#This Row],[Fault Start TimeStamp]])*24)</f>
        <v>0</v>
      </c>
      <c r="R585" s="253">
        <f>(WTG_BD[[#This Row],[Fault Clearance time]]-WTG_BD[[#This Row],[Work Start TimeStamp]])*24</f>
        <v>4.8333333333333348</v>
      </c>
      <c r="S585" s="253">
        <f>(WTG_BD[[#This Row],[Fault Clearance time]]-WTG_BD[[#This Row],[Fault Start TimeStamp]])*24</f>
        <v>4.8333333333333348</v>
      </c>
      <c r="T585" s="135" t="s">
        <v>607</v>
      </c>
      <c r="U585" s="244" t="s">
        <v>474</v>
      </c>
      <c r="V585" s="246">
        <f>WTG_BD[[#This Row],[Breakdown Time]]*(1/39)</f>
        <v>0.12393162393162396</v>
      </c>
      <c r="W585" s="244" t="s">
        <v>125</v>
      </c>
      <c r="X585" s="250">
        <v>1116.2986111111115</v>
      </c>
      <c r="Y585" s="135" t="s">
        <v>470</v>
      </c>
      <c r="Z585" s="135" t="s">
        <v>498</v>
      </c>
      <c r="AA585" s="135">
        <v>5543</v>
      </c>
      <c r="AB585" s="249">
        <f>(WTG_BD[[#This Row],[Paired WTG Generation for loss calculation.]]/24)*WTG_BD[[#This Row],[Breakdown Time]]</f>
        <v>1116.2986111111115</v>
      </c>
      <c r="AC585" s="135"/>
      <c r="AD585" s="245"/>
      <c r="AE585" s="3"/>
    </row>
    <row r="586" spans="1:31">
      <c r="A586" s="241">
        <f t="shared" si="20"/>
        <v>585</v>
      </c>
      <c r="B586" s="255">
        <v>45797</v>
      </c>
      <c r="C586" s="252">
        <v>2025</v>
      </c>
      <c r="D586" s="252">
        <v>2025</v>
      </c>
      <c r="E586" s="251">
        <f t="shared" si="19"/>
        <v>45778</v>
      </c>
      <c r="F586" s="252" t="s">
        <v>465</v>
      </c>
      <c r="G586" s="248" t="s">
        <v>135</v>
      </c>
      <c r="H586" s="242" t="str">
        <f>IFERROR(VLOOKUP(WTG_BD[[#This Row],[Affected WTG]],'Basic Data'!$A$3:$E$56,2,0),"")</f>
        <v>PWEGPL</v>
      </c>
      <c r="I586" s="242" t="str">
        <f>IFERROR(VLOOKUP(WTG_BD[[#This Row],[Affected WTG]],'Basic Data'!$A$3:$E$56,3,0),"")</f>
        <v>MSEDCL</v>
      </c>
      <c r="J586" s="243">
        <f>IFERROR(VLOOKUP(WTG_BD[[#This Row],[Affected WTG]],'Basic Data'!$A$3:$E$56,5,0),"")</f>
        <v>2.564102564102564E-2</v>
      </c>
      <c r="K586" s="158" t="s">
        <v>549</v>
      </c>
      <c r="L586" s="247" t="str">
        <f>VLOOKUP(K586,'Basic Data'!T:U,2,0)</f>
        <v>Manual Stop - Preventive Maintenance Activity</v>
      </c>
      <c r="M586" s="135" t="s">
        <v>550</v>
      </c>
      <c r="N586" s="256">
        <v>0.4861111111111111</v>
      </c>
      <c r="O586" s="256">
        <v>0.4861111111111111</v>
      </c>
      <c r="P586" s="256">
        <v>0.7368055555555556</v>
      </c>
      <c r="Q586" s="253">
        <f>IF(WTG_BD[[#This Row],[Work Start TimeStamp]]="","",(WTG_BD[[#This Row],[Work Start TimeStamp]]-WTG_BD[[#This Row],[Fault Start TimeStamp]])*24)</f>
        <v>0</v>
      </c>
      <c r="R586" s="253">
        <f>(WTG_BD[[#This Row],[Fault Clearance time]]-WTG_BD[[#This Row],[Work Start TimeStamp]])*24</f>
        <v>6.0166666666666675</v>
      </c>
      <c r="S586" s="253">
        <f>(WTG_BD[[#This Row],[Fault Clearance time]]-WTG_BD[[#This Row],[Fault Start TimeStamp]])*24</f>
        <v>6.0166666666666675</v>
      </c>
      <c r="T586" s="135" t="s">
        <v>571</v>
      </c>
      <c r="U586" s="244" t="s">
        <v>474</v>
      </c>
      <c r="V586" s="246">
        <f>WTG_BD[[#This Row],[Breakdown Time]]*(1/39)</f>
        <v>0.15427350427350428</v>
      </c>
      <c r="W586" s="244" t="s">
        <v>136</v>
      </c>
      <c r="X586" s="250">
        <v>1303.6111111111113</v>
      </c>
      <c r="Y586" s="135" t="s">
        <v>470</v>
      </c>
      <c r="Z586" s="135" t="s">
        <v>552</v>
      </c>
      <c r="AA586" s="135">
        <v>5200</v>
      </c>
      <c r="AB586" s="249">
        <f>(WTG_BD[[#This Row],[Paired WTG Generation for loss calculation.]]/24)*WTG_BD[[#This Row],[Breakdown Time]]</f>
        <v>1303.6111111111113</v>
      </c>
      <c r="AC586" s="135"/>
      <c r="AD586" s="245"/>
      <c r="AE586" s="3"/>
    </row>
    <row r="587" spans="1:31">
      <c r="A587" s="241">
        <f t="shared" si="20"/>
        <v>586</v>
      </c>
      <c r="B587" s="255">
        <v>45797</v>
      </c>
      <c r="C587" s="252">
        <v>2025</v>
      </c>
      <c r="D587" s="252">
        <v>2025</v>
      </c>
      <c r="E587" s="251">
        <f t="shared" si="19"/>
        <v>45778</v>
      </c>
      <c r="F587" s="252" t="s">
        <v>465</v>
      </c>
      <c r="G587" s="248" t="s">
        <v>145</v>
      </c>
      <c r="H587" s="242" t="str">
        <f>IFERROR(VLOOKUP(WTG_BD[[#This Row],[Affected WTG]],'Basic Data'!$A$3:$E$56,2,0),"")</f>
        <v>PWEGPL</v>
      </c>
      <c r="I587" s="242" t="str">
        <f>IFERROR(VLOOKUP(WTG_BD[[#This Row],[Affected WTG]],'Basic Data'!$A$3:$E$56,3,0),"")</f>
        <v>MSEDCL</v>
      </c>
      <c r="J587" s="243">
        <f>IFERROR(VLOOKUP(WTG_BD[[#This Row],[Affected WTG]],'Basic Data'!$A$3:$E$56,5,0),"")</f>
        <v>2.564102564102564E-2</v>
      </c>
      <c r="K587" s="158">
        <v>5201</v>
      </c>
      <c r="L587" s="247" t="str">
        <f>VLOOKUP(K587,'Basic Data'!T:U,2,0)</f>
        <v>Magnetothermic Trigger Of The Stator Protection</v>
      </c>
      <c r="M587" s="135" t="s">
        <v>472</v>
      </c>
      <c r="N587" s="256">
        <v>0.60069444444444442</v>
      </c>
      <c r="O587" s="256">
        <v>0.63194444444444442</v>
      </c>
      <c r="P587" s="256">
        <v>0.6333333333333333</v>
      </c>
      <c r="Q587" s="253">
        <f>IF(WTG_BD[[#This Row],[Work Start TimeStamp]]="","",(WTG_BD[[#This Row],[Work Start TimeStamp]]-WTG_BD[[#This Row],[Fault Start TimeStamp]])*24)</f>
        <v>0.75</v>
      </c>
      <c r="R587" s="253">
        <f>(WTG_BD[[#This Row],[Fault Clearance time]]-WTG_BD[[#This Row],[Work Start TimeStamp]])*24</f>
        <v>3.3333333333333215E-2</v>
      </c>
      <c r="S587" s="253">
        <f>(WTG_BD[[#This Row],[Fault Clearance time]]-WTG_BD[[#This Row],[Fault Start TimeStamp]])*24</f>
        <v>0.78333333333333321</v>
      </c>
      <c r="T587" s="135" t="s">
        <v>473</v>
      </c>
      <c r="U587" s="244" t="s">
        <v>474</v>
      </c>
      <c r="V587" s="246">
        <f>WTG_BD[[#This Row],[Breakdown Time]]*(1/39)</f>
        <v>2.008547008547008E-2</v>
      </c>
      <c r="W587" s="244" t="s">
        <v>139</v>
      </c>
      <c r="X587" s="250">
        <v>114.26874999999998</v>
      </c>
      <c r="Y587" s="135" t="s">
        <v>470</v>
      </c>
      <c r="Z587" s="135" t="s">
        <v>475</v>
      </c>
      <c r="AA587" s="135">
        <v>3501</v>
      </c>
      <c r="AB587" s="249">
        <f>(WTG_BD[[#This Row],[Paired WTG Generation for loss calculation.]]/24)*WTG_BD[[#This Row],[Breakdown Time]]</f>
        <v>114.26874999999998</v>
      </c>
      <c r="AC587" s="135"/>
      <c r="AD587" s="245"/>
      <c r="AE587" s="3"/>
    </row>
    <row r="588" spans="1:31">
      <c r="A588" s="241">
        <f t="shared" si="20"/>
        <v>587</v>
      </c>
      <c r="B588" s="255">
        <v>45797</v>
      </c>
      <c r="C588" s="252">
        <v>2025</v>
      </c>
      <c r="D588" s="252">
        <v>2025</v>
      </c>
      <c r="E588" s="251">
        <f t="shared" si="19"/>
        <v>45778</v>
      </c>
      <c r="F588" s="252" t="s">
        <v>465</v>
      </c>
      <c r="G588" s="248" t="s">
        <v>139</v>
      </c>
      <c r="H588" s="242" t="str">
        <f>IFERROR(VLOOKUP(WTG_BD[[#This Row],[Affected WTG]],'Basic Data'!$A$3:$E$56,2,0),"")</f>
        <v>PWEGPL</v>
      </c>
      <c r="I588" s="242" t="str">
        <f>IFERROR(VLOOKUP(WTG_BD[[#This Row],[Affected WTG]],'Basic Data'!$A$3:$E$56,3,0),"")</f>
        <v>MSEDCL</v>
      </c>
      <c r="J588" s="243">
        <f>IFERROR(VLOOKUP(WTG_BD[[#This Row],[Affected WTG]],'Basic Data'!$A$3:$E$56,5,0),"")</f>
        <v>2.564102564102564E-2</v>
      </c>
      <c r="K588" s="158">
        <v>5201</v>
      </c>
      <c r="L588" s="247" t="str">
        <f>VLOOKUP(K588,'Basic Data'!T:U,2,0)</f>
        <v>Magnetothermic Trigger Of The Stator Protection</v>
      </c>
      <c r="M588" s="135" t="s">
        <v>472</v>
      </c>
      <c r="N588" s="256">
        <v>0.60069444444444442</v>
      </c>
      <c r="O588" s="256">
        <v>0.64236111111111116</v>
      </c>
      <c r="P588" s="256">
        <v>0.64375000000000004</v>
      </c>
      <c r="Q588" s="253">
        <f>IF(WTG_BD[[#This Row],[Work Start TimeStamp]]="","",(WTG_BD[[#This Row],[Work Start TimeStamp]]-WTG_BD[[#This Row],[Fault Start TimeStamp]])*24)</f>
        <v>1.0000000000000018</v>
      </c>
      <c r="R588" s="253">
        <f>(WTG_BD[[#This Row],[Fault Clearance time]]-WTG_BD[[#This Row],[Work Start TimeStamp]])*24</f>
        <v>3.3333333333333215E-2</v>
      </c>
      <c r="S588" s="253">
        <f>(WTG_BD[[#This Row],[Fault Clearance time]]-WTG_BD[[#This Row],[Fault Start TimeStamp]])*24</f>
        <v>1.033333333333335</v>
      </c>
      <c r="T588" s="135" t="s">
        <v>473</v>
      </c>
      <c r="U588" s="244" t="s">
        <v>474</v>
      </c>
      <c r="V588" s="246">
        <f>WTG_BD[[#This Row],[Breakdown Time]]*(1/39)</f>
        <v>2.6495726495726537E-2</v>
      </c>
      <c r="W588" s="244" t="s">
        <v>153</v>
      </c>
      <c r="X588" s="250">
        <v>159.13333333333358</v>
      </c>
      <c r="Y588" s="135" t="s">
        <v>470</v>
      </c>
      <c r="Z588" s="135" t="s">
        <v>475</v>
      </c>
      <c r="AA588" s="135">
        <v>3696</v>
      </c>
      <c r="AB588" s="249">
        <f>(WTG_BD[[#This Row],[Paired WTG Generation for loss calculation.]]/24)*WTG_BD[[#This Row],[Breakdown Time]]</f>
        <v>159.13333333333358</v>
      </c>
      <c r="AC588" s="135"/>
      <c r="AD588" s="245"/>
      <c r="AE588" s="3"/>
    </row>
    <row r="589" spans="1:31">
      <c r="A589" s="241">
        <f t="shared" si="20"/>
        <v>588</v>
      </c>
      <c r="B589" s="255">
        <v>45797</v>
      </c>
      <c r="C589" s="252">
        <v>2025</v>
      </c>
      <c r="D589" s="252">
        <v>2025</v>
      </c>
      <c r="E589" s="251">
        <f t="shared" si="19"/>
        <v>45778</v>
      </c>
      <c r="F589" s="252" t="s">
        <v>465</v>
      </c>
      <c r="G589" s="248" t="s">
        <v>152</v>
      </c>
      <c r="H589" s="242" t="str">
        <f>IFERROR(VLOOKUP(WTG_BD[[#This Row],[Affected WTG]],'Basic Data'!$A$3:$E$56,2,0),"")</f>
        <v>PWEGPL</v>
      </c>
      <c r="I589" s="242" t="str">
        <f>IFERROR(VLOOKUP(WTG_BD[[#This Row],[Affected WTG]],'Basic Data'!$A$3:$E$56,3,0),"")</f>
        <v>MSEDCL</v>
      </c>
      <c r="J589" s="243">
        <f>IFERROR(VLOOKUP(WTG_BD[[#This Row],[Affected WTG]],'Basic Data'!$A$3:$E$56,5,0),"")</f>
        <v>2.564102564102564E-2</v>
      </c>
      <c r="K589" s="158">
        <v>5201</v>
      </c>
      <c r="L589" s="247" t="str">
        <f>VLOOKUP(K589,'Basic Data'!T:U,2,0)</f>
        <v>Magnetothermic Trigger Of The Stator Protection</v>
      </c>
      <c r="M589" s="135" t="s">
        <v>472</v>
      </c>
      <c r="N589" s="256">
        <v>0.60069444444444442</v>
      </c>
      <c r="O589" s="256">
        <v>0.65555555555555556</v>
      </c>
      <c r="P589" s="256">
        <v>0.65694444444444444</v>
      </c>
      <c r="Q589" s="253">
        <f>IF(WTG_BD[[#This Row],[Work Start TimeStamp]]="","",(WTG_BD[[#This Row],[Work Start TimeStamp]]-WTG_BD[[#This Row],[Fault Start TimeStamp]])*24)</f>
        <v>1.3166666666666673</v>
      </c>
      <c r="R589" s="253">
        <f>(WTG_BD[[#This Row],[Fault Clearance time]]-WTG_BD[[#This Row],[Work Start TimeStamp]])*24</f>
        <v>3.3333333333333215E-2</v>
      </c>
      <c r="S589" s="253">
        <f>(WTG_BD[[#This Row],[Fault Clearance time]]-WTG_BD[[#This Row],[Fault Start TimeStamp]])*24</f>
        <v>1.3500000000000005</v>
      </c>
      <c r="T589" s="135" t="s">
        <v>473</v>
      </c>
      <c r="U589" s="244" t="s">
        <v>474</v>
      </c>
      <c r="V589" s="246">
        <f>WTG_BD[[#This Row],[Breakdown Time]]*(1/39)</f>
        <v>3.4615384615384631E-2</v>
      </c>
      <c r="W589" s="244" t="s">
        <v>153</v>
      </c>
      <c r="X589" s="250">
        <v>207.90000000000009</v>
      </c>
      <c r="Y589" s="135" t="s">
        <v>470</v>
      </c>
      <c r="Z589" s="135" t="s">
        <v>475</v>
      </c>
      <c r="AA589" s="135">
        <v>3696</v>
      </c>
      <c r="AB589" s="249">
        <f>(WTG_BD[[#This Row],[Paired WTG Generation for loss calculation.]]/24)*WTG_BD[[#This Row],[Breakdown Time]]</f>
        <v>207.90000000000009</v>
      </c>
      <c r="AC589" s="135"/>
      <c r="AD589" s="245"/>
      <c r="AE589" s="3"/>
    </row>
    <row r="590" spans="1:31">
      <c r="A590" s="241">
        <f t="shared" si="20"/>
        <v>589</v>
      </c>
      <c r="B590" s="255">
        <v>45798</v>
      </c>
      <c r="C590" s="252">
        <v>2025</v>
      </c>
      <c r="D590" s="252">
        <v>2025</v>
      </c>
      <c r="E590" s="251">
        <f t="shared" si="19"/>
        <v>45778</v>
      </c>
      <c r="F590" s="252" t="s">
        <v>465</v>
      </c>
      <c r="G590" s="248" t="s">
        <v>144</v>
      </c>
      <c r="H590" s="242" t="str">
        <f>IFERROR(VLOOKUP(WTG_BD[[#This Row],[Affected WTG]],'Basic Data'!$A$3:$E$56,2,0),"")</f>
        <v>PWEGPL</v>
      </c>
      <c r="I590" s="242" t="str">
        <f>IFERROR(VLOOKUP(WTG_BD[[#This Row],[Affected WTG]],'Basic Data'!$A$3:$E$56,3,0),"")</f>
        <v>MSEDCL</v>
      </c>
      <c r="J590" s="243">
        <f>IFERROR(VLOOKUP(WTG_BD[[#This Row],[Affected WTG]],'Basic Data'!$A$3:$E$56,5,0),"")</f>
        <v>2.564102564102564E-2</v>
      </c>
      <c r="K590" s="158" t="s">
        <v>466</v>
      </c>
      <c r="L590" s="247" t="str">
        <f>VLOOKUP(K590,'Basic Data'!T:U,2,0)</f>
        <v>Manual Stop - Safety Related</v>
      </c>
      <c r="M590" s="135" t="s">
        <v>467</v>
      </c>
      <c r="N590" s="256">
        <v>0</v>
      </c>
      <c r="O590" s="256">
        <v>0.99930555555555556</v>
      </c>
      <c r="P590" s="256">
        <v>0.99930555555555556</v>
      </c>
      <c r="Q590" s="253">
        <f>IF(WTG_BD[[#This Row],[Work Start TimeStamp]]="","",(WTG_BD[[#This Row],[Work Start TimeStamp]]-WTG_BD[[#This Row],[Fault Start TimeStamp]])*24)</f>
        <v>23.983333333333334</v>
      </c>
      <c r="R590" s="253">
        <f>(WTG_BD[[#This Row],[Fault Clearance time]]-WTG_BD[[#This Row],[Work Start TimeStamp]])*24</f>
        <v>0</v>
      </c>
      <c r="S590" s="253">
        <f>(WTG_BD[[#This Row],[Fault Clearance time]]-WTG_BD[[#This Row],[Fault Start TimeStamp]])*24</f>
        <v>23.983333333333334</v>
      </c>
      <c r="T590" s="135" t="s">
        <v>468</v>
      </c>
      <c r="U590" s="244" t="s">
        <v>469</v>
      </c>
      <c r="V590" s="246">
        <f>WTG_BD[[#This Row],[Breakdown Time]]*(1/39)</f>
        <v>0.61495726495726499</v>
      </c>
      <c r="W590" s="244" t="s">
        <v>141</v>
      </c>
      <c r="X590" s="250">
        <v>5640.0805555555553</v>
      </c>
      <c r="Y590" s="135" t="s">
        <v>470</v>
      </c>
      <c r="Z590" s="135" t="s">
        <v>471</v>
      </c>
      <c r="AA590" s="135">
        <v>5644</v>
      </c>
      <c r="AB590" s="249">
        <f>(WTG_BD[[#This Row],[Paired WTG Generation for loss calculation.]]/24)*WTG_BD[[#This Row],[Breakdown Time]]</f>
        <v>5640.0805555555553</v>
      </c>
      <c r="AC590" s="135"/>
      <c r="AD590" s="245"/>
      <c r="AE590" s="3"/>
    </row>
    <row r="591" spans="1:31">
      <c r="A591" s="241">
        <f t="shared" si="20"/>
        <v>590</v>
      </c>
      <c r="B591" s="255">
        <v>45798</v>
      </c>
      <c r="C591" s="252">
        <v>2025</v>
      </c>
      <c r="D591" s="252">
        <v>2025</v>
      </c>
      <c r="E591" s="251">
        <f t="shared" si="19"/>
        <v>45778</v>
      </c>
      <c r="F591" s="252" t="s">
        <v>465</v>
      </c>
      <c r="G591" s="248" t="s">
        <v>142</v>
      </c>
      <c r="H591" s="242" t="str">
        <f>IFERROR(VLOOKUP(WTG_BD[[#This Row],[Affected WTG]],'Basic Data'!$A$3:$E$56,2,0),"")</f>
        <v>PWEGPL</v>
      </c>
      <c r="I591" s="242" t="str">
        <f>IFERROR(VLOOKUP(WTG_BD[[#This Row],[Affected WTG]],'Basic Data'!$A$3:$E$56,3,0),"")</f>
        <v>MSEDCL</v>
      </c>
      <c r="J591" s="243">
        <f>IFERROR(VLOOKUP(WTG_BD[[#This Row],[Affected WTG]],'Basic Data'!$A$3:$E$56,5,0),"")</f>
        <v>2.564102564102564E-2</v>
      </c>
      <c r="K591" s="158" t="s">
        <v>466</v>
      </c>
      <c r="L591" s="247" t="str">
        <f>VLOOKUP(K591,'Basic Data'!T:U,2,0)</f>
        <v>Manual Stop - Safety Related</v>
      </c>
      <c r="M591" s="135" t="s">
        <v>467</v>
      </c>
      <c r="N591" s="256">
        <v>0</v>
      </c>
      <c r="O591" s="256">
        <v>0.99930555555555556</v>
      </c>
      <c r="P591" s="256">
        <v>0.99930555555555556</v>
      </c>
      <c r="Q591" s="253">
        <f>IF(WTG_BD[[#This Row],[Work Start TimeStamp]]="","",(WTG_BD[[#This Row],[Work Start TimeStamp]]-WTG_BD[[#This Row],[Fault Start TimeStamp]])*24)</f>
        <v>23.983333333333334</v>
      </c>
      <c r="R591" s="253">
        <f>(WTG_BD[[#This Row],[Fault Clearance time]]-WTG_BD[[#This Row],[Work Start TimeStamp]])*24</f>
        <v>0</v>
      </c>
      <c r="S591" s="253">
        <f>(WTG_BD[[#This Row],[Fault Clearance time]]-WTG_BD[[#This Row],[Fault Start TimeStamp]])*24</f>
        <v>23.983333333333334</v>
      </c>
      <c r="T591" s="135" t="s">
        <v>468</v>
      </c>
      <c r="U591" s="244" t="s">
        <v>469</v>
      </c>
      <c r="V591" s="246">
        <f>WTG_BD[[#This Row],[Breakdown Time]]*(1/39)</f>
        <v>0.61495726495726499</v>
      </c>
      <c r="W591" s="244" t="s">
        <v>141</v>
      </c>
      <c r="X591" s="250">
        <v>5640.0805555555553</v>
      </c>
      <c r="Y591" s="135" t="s">
        <v>470</v>
      </c>
      <c r="Z591" s="135" t="s">
        <v>471</v>
      </c>
      <c r="AA591" s="135">
        <v>5644</v>
      </c>
      <c r="AB591" s="249">
        <f>(WTG_BD[[#This Row],[Paired WTG Generation for loss calculation.]]/24)*WTG_BD[[#This Row],[Breakdown Time]]</f>
        <v>5640.0805555555553</v>
      </c>
      <c r="AC591" s="135"/>
      <c r="AD591" s="245"/>
      <c r="AE591" s="3"/>
    </row>
    <row r="592" spans="1:31">
      <c r="A592" s="241">
        <f t="shared" si="20"/>
        <v>591</v>
      </c>
      <c r="B592" s="255">
        <v>45798</v>
      </c>
      <c r="C592" s="252">
        <v>2025</v>
      </c>
      <c r="D592" s="252">
        <v>2025</v>
      </c>
      <c r="E592" s="251">
        <f t="shared" si="19"/>
        <v>45778</v>
      </c>
      <c r="F592" s="252" t="s">
        <v>465</v>
      </c>
      <c r="G592" s="158" t="s">
        <v>115</v>
      </c>
      <c r="H592" s="242" t="str">
        <f>IFERROR(VLOOKUP(WTG_BD[[#This Row],[Affected WTG]],'Basic Data'!$A$3:$E$56,2,0),"")</f>
        <v>PWEGPL</v>
      </c>
      <c r="I592" s="242" t="str">
        <f>IFERROR(VLOOKUP(WTG_BD[[#This Row],[Affected WTG]],'Basic Data'!$A$3:$E$56,3,0),"")</f>
        <v>MSEDCL</v>
      </c>
      <c r="J592" s="243">
        <f>IFERROR(VLOOKUP(WTG_BD[[#This Row],[Affected WTG]],'Basic Data'!$A$3:$E$56,5,0),"")</f>
        <v>2.564102564102564E-2</v>
      </c>
      <c r="K592" s="158" t="s">
        <v>523</v>
      </c>
      <c r="L592" s="247" t="str">
        <f>VLOOKUP(K592,'Basic Data'!T:U,2,0)</f>
        <v>Manual Stop</v>
      </c>
      <c r="M592" s="135" t="s">
        <v>573</v>
      </c>
      <c r="N592" s="256">
        <v>0.49513888888888891</v>
      </c>
      <c r="O592" s="256">
        <v>0.49513888888888891</v>
      </c>
      <c r="P592" s="256">
        <v>0.53125</v>
      </c>
      <c r="Q592" s="253">
        <f>IF(WTG_BD[[#This Row],[Work Start TimeStamp]]="","",(WTG_BD[[#This Row],[Work Start TimeStamp]]-WTG_BD[[#This Row],[Fault Start TimeStamp]])*24)</f>
        <v>0</v>
      </c>
      <c r="R592" s="253">
        <f>(WTG_BD[[#This Row],[Fault Clearance time]]-WTG_BD[[#This Row],[Work Start TimeStamp]])*24</f>
        <v>0.86666666666666625</v>
      </c>
      <c r="S592" s="253">
        <f>(WTG_BD[[#This Row],[Fault Clearance time]]-WTG_BD[[#This Row],[Fault Start TimeStamp]])*24</f>
        <v>0.86666666666666625</v>
      </c>
      <c r="T592" s="135" t="s">
        <v>601</v>
      </c>
      <c r="U592" s="244" t="s">
        <v>474</v>
      </c>
      <c r="V592" s="246">
        <f>WTG_BD[[#This Row],[Breakdown Time]]*(1/39)</f>
        <v>2.2222222222222209E-2</v>
      </c>
      <c r="W592" s="244" t="s">
        <v>121</v>
      </c>
      <c r="X592" s="250">
        <v>203.41388888888881</v>
      </c>
      <c r="Y592" s="135" t="s">
        <v>470</v>
      </c>
      <c r="Z592" s="135" t="s">
        <v>498</v>
      </c>
      <c r="AA592" s="135">
        <v>5633</v>
      </c>
      <c r="AB592" s="249">
        <f>(WTG_BD[[#This Row],[Paired WTG Generation for loss calculation.]]/24)*WTG_BD[[#This Row],[Breakdown Time]]</f>
        <v>203.41388888888881</v>
      </c>
      <c r="AC592" s="135"/>
      <c r="AD592" s="245"/>
      <c r="AE592" s="3"/>
    </row>
    <row r="593" spans="1:31">
      <c r="A593" s="241">
        <f t="shared" si="20"/>
        <v>592</v>
      </c>
      <c r="B593" s="255">
        <v>45798</v>
      </c>
      <c r="C593" s="252">
        <v>2025</v>
      </c>
      <c r="D593" s="252">
        <v>2025</v>
      </c>
      <c r="E593" s="251">
        <f t="shared" si="19"/>
        <v>45778</v>
      </c>
      <c r="F593" s="252" t="s">
        <v>465</v>
      </c>
      <c r="G593" s="248" t="s">
        <v>120</v>
      </c>
      <c r="H593" s="242" t="str">
        <f>IFERROR(VLOOKUP(WTG_BD[[#This Row],[Affected WTG]],'Basic Data'!$A$3:$E$56,2,0),"")</f>
        <v>PWEGPL</v>
      </c>
      <c r="I593" s="242" t="str">
        <f>IFERROR(VLOOKUP(WTG_BD[[#This Row],[Affected WTG]],'Basic Data'!$A$3:$E$56,3,0),"")</f>
        <v>MSEDCL</v>
      </c>
      <c r="J593" s="243">
        <f>IFERROR(VLOOKUP(WTG_BD[[#This Row],[Affected WTG]],'Basic Data'!$A$3:$E$56,5,0),"")</f>
        <v>2.564102564102564E-2</v>
      </c>
      <c r="K593" s="158">
        <v>5216</v>
      </c>
      <c r="L593" s="247" t="str">
        <f>VLOOKUP(K593,'Basic Data'!T:U,2,0)</f>
        <v>Grid Voltage Failure</v>
      </c>
      <c r="M593" s="135" t="s">
        <v>472</v>
      </c>
      <c r="N593" s="256">
        <v>0.58819444444444446</v>
      </c>
      <c r="O593" s="256">
        <v>0.61875000000000002</v>
      </c>
      <c r="P593" s="256">
        <v>0.66319444444444442</v>
      </c>
      <c r="Q593" s="253">
        <f>IF(WTG_BD[[#This Row],[Work Start TimeStamp]]="","",(WTG_BD[[#This Row],[Work Start TimeStamp]]-WTG_BD[[#This Row],[Fault Start TimeStamp]])*24)</f>
        <v>0.73333333333333339</v>
      </c>
      <c r="R593" s="253">
        <f>(WTG_BD[[#This Row],[Fault Clearance time]]-WTG_BD[[#This Row],[Work Start TimeStamp]])*24</f>
        <v>1.0666666666666655</v>
      </c>
      <c r="S593" s="253">
        <f>(WTG_BD[[#This Row],[Fault Clearance time]]-WTG_BD[[#This Row],[Fault Start TimeStamp]])*24</f>
        <v>1.7999999999999989</v>
      </c>
      <c r="T593" s="135" t="s">
        <v>479</v>
      </c>
      <c r="U593" s="244" t="s">
        <v>474</v>
      </c>
      <c r="V593" s="246">
        <f>WTG_BD[[#This Row],[Breakdown Time]]*(1/39)</f>
        <v>4.6153846153846122E-2</v>
      </c>
      <c r="W593" s="244" t="s">
        <v>117</v>
      </c>
      <c r="X593" s="250">
        <v>422.39999999999975</v>
      </c>
      <c r="Y593" s="135" t="s">
        <v>470</v>
      </c>
      <c r="Z593" s="135" t="s">
        <v>475</v>
      </c>
      <c r="AA593" s="135">
        <v>5632</v>
      </c>
      <c r="AB593" s="249">
        <f>(WTG_BD[[#This Row],[Paired WTG Generation for loss calculation.]]/24)*WTG_BD[[#This Row],[Breakdown Time]]</f>
        <v>422.39999999999975</v>
      </c>
      <c r="AC593" s="135"/>
      <c r="AD593" s="245"/>
      <c r="AE593" s="3"/>
    </row>
    <row r="594" spans="1:31">
      <c r="A594" s="241">
        <f t="shared" si="20"/>
        <v>593</v>
      </c>
      <c r="B594" s="255">
        <v>45798</v>
      </c>
      <c r="C594" s="252">
        <v>2025</v>
      </c>
      <c r="D594" s="252">
        <v>2025</v>
      </c>
      <c r="E594" s="251">
        <f t="shared" si="19"/>
        <v>45778</v>
      </c>
      <c r="F594" s="252" t="s">
        <v>465</v>
      </c>
      <c r="G594" s="248" t="s">
        <v>137</v>
      </c>
      <c r="H594" s="242" t="str">
        <f>IFERROR(VLOOKUP(WTG_BD[[#This Row],[Affected WTG]],'Basic Data'!$A$3:$E$56,2,0),"")</f>
        <v>PWEGPL</v>
      </c>
      <c r="I594" s="242" t="str">
        <f>IFERROR(VLOOKUP(WTG_BD[[#This Row],[Affected WTG]],'Basic Data'!$A$3:$E$56,3,0),"")</f>
        <v>MSEDCL</v>
      </c>
      <c r="J594" s="243">
        <f>IFERROR(VLOOKUP(WTG_BD[[#This Row],[Affected WTG]],'Basic Data'!$A$3:$E$56,5,0),"")</f>
        <v>2.564102564102564E-2</v>
      </c>
      <c r="K594" s="158" t="s">
        <v>549</v>
      </c>
      <c r="L594" s="247" t="str">
        <f>VLOOKUP(K594,'Basic Data'!T:U,2,0)</f>
        <v>Manual Stop - Preventive Maintenance Activity</v>
      </c>
      <c r="M594" s="135" t="s">
        <v>550</v>
      </c>
      <c r="N594" s="256">
        <v>0.50694444444444442</v>
      </c>
      <c r="O594" s="256">
        <v>0.50694444444444442</v>
      </c>
      <c r="P594" s="256">
        <v>0.79166666666666663</v>
      </c>
      <c r="Q594" s="253">
        <f>IF(WTG_BD[[#This Row],[Work Start TimeStamp]]="","",(WTG_BD[[#This Row],[Work Start TimeStamp]]-WTG_BD[[#This Row],[Fault Start TimeStamp]])*24)</f>
        <v>0</v>
      </c>
      <c r="R594" s="253">
        <f>(WTG_BD[[#This Row],[Fault Clearance time]]-WTG_BD[[#This Row],[Work Start TimeStamp]])*24</f>
        <v>6.833333333333333</v>
      </c>
      <c r="S594" s="253">
        <f>(WTG_BD[[#This Row],[Fault Clearance time]]-WTG_BD[[#This Row],[Fault Start TimeStamp]])*24</f>
        <v>6.833333333333333</v>
      </c>
      <c r="T594" s="135" t="s">
        <v>571</v>
      </c>
      <c r="U594" s="244" t="s">
        <v>474</v>
      </c>
      <c r="V594" s="246">
        <f>WTG_BD[[#This Row],[Breakdown Time]]*(1/39)</f>
        <v>0.1752136752136752</v>
      </c>
      <c r="W594" s="244" t="s">
        <v>119</v>
      </c>
      <c r="X594" s="250">
        <v>1594.7291666666665</v>
      </c>
      <c r="Y594" s="135" t="s">
        <v>470</v>
      </c>
      <c r="Z594" s="135" t="s">
        <v>552</v>
      </c>
      <c r="AA594" s="135">
        <v>5601</v>
      </c>
      <c r="AB594" s="249">
        <f>(WTG_BD[[#This Row],[Paired WTG Generation for loss calculation.]]/24)*WTG_BD[[#This Row],[Breakdown Time]]</f>
        <v>1594.7291666666665</v>
      </c>
      <c r="AC594" s="135"/>
      <c r="AD594" s="245"/>
      <c r="AE594" s="3"/>
    </row>
    <row r="595" spans="1:31">
      <c r="A595" s="241">
        <f t="shared" si="20"/>
        <v>594</v>
      </c>
      <c r="B595" s="255">
        <v>45798</v>
      </c>
      <c r="C595" s="252">
        <v>2025</v>
      </c>
      <c r="D595" s="252">
        <v>2025</v>
      </c>
      <c r="E595" s="251">
        <f t="shared" si="19"/>
        <v>45778</v>
      </c>
      <c r="F595" s="252" t="s">
        <v>465</v>
      </c>
      <c r="G595" s="248" t="s">
        <v>146</v>
      </c>
      <c r="H595" s="242" t="str">
        <f>IFERROR(VLOOKUP(WTG_BD[[#This Row],[Affected WTG]],'Basic Data'!$A$3:$E$56,2,0),"")</f>
        <v>PWEGPL</v>
      </c>
      <c r="I595" s="242" t="str">
        <f>IFERROR(VLOOKUP(WTG_BD[[#This Row],[Affected WTG]],'Basic Data'!$A$3:$E$56,3,0),"")</f>
        <v>MSEDCL</v>
      </c>
      <c r="J595" s="243">
        <f>IFERROR(VLOOKUP(WTG_BD[[#This Row],[Affected WTG]],'Basic Data'!$A$3:$E$56,5,0),"")</f>
        <v>2.564102564102564E-2</v>
      </c>
      <c r="K595" s="158">
        <v>205</v>
      </c>
      <c r="L595" s="247" t="str">
        <f>VLOOKUP(K595,'Basic Data'!T:U,2,0)</f>
        <v>Low Level Hydraulic Group Refrigeration Oil</v>
      </c>
      <c r="M595" s="135" t="s">
        <v>472</v>
      </c>
      <c r="N595" s="256">
        <v>0.75486111111111109</v>
      </c>
      <c r="O595" s="256">
        <v>0.77916666666666667</v>
      </c>
      <c r="P595" s="256">
        <v>0.90208333333333335</v>
      </c>
      <c r="Q595" s="253">
        <f>IF(WTG_BD[[#This Row],[Work Start TimeStamp]]="","",(WTG_BD[[#This Row],[Work Start TimeStamp]]-WTG_BD[[#This Row],[Fault Start TimeStamp]])*24)</f>
        <v>0.58333333333333393</v>
      </c>
      <c r="R595" s="253">
        <f>(WTG_BD[[#This Row],[Fault Clearance time]]-WTG_BD[[#This Row],[Work Start TimeStamp]])*24</f>
        <v>2.95</v>
      </c>
      <c r="S595" s="253">
        <f>(WTG_BD[[#This Row],[Fault Clearance time]]-WTG_BD[[#This Row],[Fault Start TimeStamp]])*24</f>
        <v>3.5333333333333341</v>
      </c>
      <c r="T595" s="135" t="s">
        <v>608</v>
      </c>
      <c r="U595" s="244" t="s">
        <v>474</v>
      </c>
      <c r="V595" s="246">
        <f>WTG_BD[[#This Row],[Breakdown Time]]*(1/39)</f>
        <v>9.0598290598290609E-2</v>
      </c>
      <c r="W595" s="244" t="s">
        <v>147</v>
      </c>
      <c r="X595" s="250">
        <v>683.84722222222229</v>
      </c>
      <c r="Y595" s="135" t="s">
        <v>470</v>
      </c>
      <c r="Z595" s="135" t="s">
        <v>475</v>
      </c>
      <c r="AA595" s="135">
        <v>4645</v>
      </c>
      <c r="AB595" s="249">
        <f>(WTG_BD[[#This Row],[Paired WTG Generation for loss calculation.]]/24)*WTG_BD[[#This Row],[Breakdown Time]]</f>
        <v>683.84722222222229</v>
      </c>
      <c r="AC595" s="135"/>
      <c r="AD595" s="245"/>
      <c r="AE595" s="3"/>
    </row>
    <row r="596" spans="1:31">
      <c r="A596" s="241">
        <f t="shared" si="20"/>
        <v>595</v>
      </c>
      <c r="B596" s="255">
        <v>45799</v>
      </c>
      <c r="C596" s="252">
        <v>2025</v>
      </c>
      <c r="D596" s="252">
        <v>2025</v>
      </c>
      <c r="E596" s="251">
        <f t="shared" si="19"/>
        <v>45778</v>
      </c>
      <c r="F596" s="252" t="s">
        <v>465</v>
      </c>
      <c r="G596" s="248" t="s">
        <v>144</v>
      </c>
      <c r="H596" s="242" t="str">
        <f>IFERROR(VLOOKUP(WTG_BD[[#This Row],[Affected WTG]],'Basic Data'!$A$3:$E$56,2,0),"")</f>
        <v>PWEGPL</v>
      </c>
      <c r="I596" s="242" t="str">
        <f>IFERROR(VLOOKUP(WTG_BD[[#This Row],[Affected WTG]],'Basic Data'!$A$3:$E$56,3,0),"")</f>
        <v>MSEDCL</v>
      </c>
      <c r="J596" s="243">
        <f>IFERROR(VLOOKUP(WTG_BD[[#This Row],[Affected WTG]],'Basic Data'!$A$3:$E$56,5,0),"")</f>
        <v>2.564102564102564E-2</v>
      </c>
      <c r="K596" s="158" t="s">
        <v>466</v>
      </c>
      <c r="L596" s="247" t="str">
        <f>VLOOKUP(K596,'Basic Data'!T:U,2,0)</f>
        <v>Manual Stop - Safety Related</v>
      </c>
      <c r="M596" s="135" t="s">
        <v>467</v>
      </c>
      <c r="N596" s="256">
        <v>0</v>
      </c>
      <c r="O596" s="256">
        <v>0.99930555555555556</v>
      </c>
      <c r="P596" s="256">
        <v>0.99930555555555556</v>
      </c>
      <c r="Q596" s="253">
        <f>IF(WTG_BD[[#This Row],[Work Start TimeStamp]]="","",(WTG_BD[[#This Row],[Work Start TimeStamp]]-WTG_BD[[#This Row],[Fault Start TimeStamp]])*24)</f>
        <v>23.983333333333334</v>
      </c>
      <c r="R596" s="253">
        <f>(WTG_BD[[#This Row],[Fault Clearance time]]-WTG_BD[[#This Row],[Work Start TimeStamp]])*24</f>
        <v>0</v>
      </c>
      <c r="S596" s="253">
        <f>(WTG_BD[[#This Row],[Fault Clearance time]]-WTG_BD[[#This Row],[Fault Start TimeStamp]])*24</f>
        <v>23.983333333333334</v>
      </c>
      <c r="T596" s="135" t="s">
        <v>468</v>
      </c>
      <c r="U596" s="244" t="s">
        <v>469</v>
      </c>
      <c r="V596" s="246">
        <f>WTG_BD[[#This Row],[Breakdown Time]]*(1/39)</f>
        <v>0.61495726495726499</v>
      </c>
      <c r="W596" s="244" t="s">
        <v>141</v>
      </c>
      <c r="X596" s="250">
        <v>8845.8527777777781</v>
      </c>
      <c r="Y596" s="135" t="s">
        <v>470</v>
      </c>
      <c r="Z596" s="135" t="s">
        <v>471</v>
      </c>
      <c r="AA596" s="135">
        <v>8852</v>
      </c>
      <c r="AB596" s="249">
        <f>(WTG_BD[[#This Row],[Paired WTG Generation for loss calculation.]]/24)*WTG_BD[[#This Row],[Breakdown Time]]</f>
        <v>8845.8527777777781</v>
      </c>
      <c r="AC596" s="135"/>
      <c r="AD596" s="245"/>
      <c r="AE596" s="3"/>
    </row>
    <row r="597" spans="1:31">
      <c r="A597" s="241">
        <f t="shared" si="20"/>
        <v>596</v>
      </c>
      <c r="B597" s="255">
        <v>45799</v>
      </c>
      <c r="C597" s="252">
        <v>2025</v>
      </c>
      <c r="D597" s="252">
        <v>2025</v>
      </c>
      <c r="E597" s="251">
        <f t="shared" si="19"/>
        <v>45778</v>
      </c>
      <c r="F597" s="252" t="s">
        <v>465</v>
      </c>
      <c r="G597" s="248" t="s">
        <v>142</v>
      </c>
      <c r="H597" s="242" t="str">
        <f>IFERROR(VLOOKUP(WTG_BD[[#This Row],[Affected WTG]],'Basic Data'!$A$3:$E$56,2,0),"")</f>
        <v>PWEGPL</v>
      </c>
      <c r="I597" s="242" t="str">
        <f>IFERROR(VLOOKUP(WTG_BD[[#This Row],[Affected WTG]],'Basic Data'!$A$3:$E$56,3,0),"")</f>
        <v>MSEDCL</v>
      </c>
      <c r="J597" s="243">
        <f>IFERROR(VLOOKUP(WTG_BD[[#This Row],[Affected WTG]],'Basic Data'!$A$3:$E$56,5,0),"")</f>
        <v>2.564102564102564E-2</v>
      </c>
      <c r="K597" s="158" t="s">
        <v>466</v>
      </c>
      <c r="L597" s="247" t="str">
        <f>VLOOKUP(K597,'Basic Data'!T:U,2,0)</f>
        <v>Manual Stop - Safety Related</v>
      </c>
      <c r="M597" s="135" t="s">
        <v>467</v>
      </c>
      <c r="N597" s="256">
        <v>0</v>
      </c>
      <c r="O597" s="256">
        <v>0.99930555555555556</v>
      </c>
      <c r="P597" s="256">
        <v>0.99930555555555556</v>
      </c>
      <c r="Q597" s="253">
        <f>IF(WTG_BD[[#This Row],[Work Start TimeStamp]]="","",(WTG_BD[[#This Row],[Work Start TimeStamp]]-WTG_BD[[#This Row],[Fault Start TimeStamp]])*24)</f>
        <v>23.983333333333334</v>
      </c>
      <c r="R597" s="253">
        <f>(WTG_BD[[#This Row],[Fault Clearance time]]-WTG_BD[[#This Row],[Work Start TimeStamp]])*24</f>
        <v>0</v>
      </c>
      <c r="S597" s="253">
        <f>(WTG_BD[[#This Row],[Fault Clearance time]]-WTG_BD[[#This Row],[Fault Start TimeStamp]])*24</f>
        <v>23.983333333333334</v>
      </c>
      <c r="T597" s="135" t="s">
        <v>468</v>
      </c>
      <c r="U597" s="244" t="s">
        <v>469</v>
      </c>
      <c r="V597" s="246">
        <f>WTG_BD[[#This Row],[Breakdown Time]]*(1/39)</f>
        <v>0.61495726495726499</v>
      </c>
      <c r="W597" s="244" t="s">
        <v>141</v>
      </c>
      <c r="X597" s="250">
        <v>8845.8527777777781</v>
      </c>
      <c r="Y597" s="135" t="s">
        <v>470</v>
      </c>
      <c r="Z597" s="135" t="s">
        <v>471</v>
      </c>
      <c r="AA597" s="135">
        <v>8852</v>
      </c>
      <c r="AB597" s="249">
        <f>(WTG_BD[[#This Row],[Paired WTG Generation for loss calculation.]]/24)*WTG_BD[[#This Row],[Breakdown Time]]</f>
        <v>8845.8527777777781</v>
      </c>
      <c r="AC597" s="135"/>
      <c r="AD597" s="245"/>
      <c r="AE597" s="3"/>
    </row>
    <row r="598" spans="1:31">
      <c r="A598" s="241">
        <f t="shared" si="20"/>
        <v>597</v>
      </c>
      <c r="B598" s="255">
        <v>45799</v>
      </c>
      <c r="C598" s="252">
        <v>2025</v>
      </c>
      <c r="D598" s="252">
        <v>2025</v>
      </c>
      <c r="E598" s="251">
        <f t="shared" si="19"/>
        <v>45778</v>
      </c>
      <c r="F598" s="252" t="s">
        <v>465</v>
      </c>
      <c r="G598" s="248" t="s">
        <v>117</v>
      </c>
      <c r="H598" s="242" t="str">
        <f>IFERROR(VLOOKUP(WTG_BD[[#This Row],[Affected WTG]],'Basic Data'!$A$3:$E$56,2,0),"")</f>
        <v>PWEGPL</v>
      </c>
      <c r="I598" s="242" t="str">
        <f>IFERROR(VLOOKUP(WTG_BD[[#This Row],[Affected WTG]],'Basic Data'!$A$3:$E$56,3,0),"")</f>
        <v>MSEDCL</v>
      </c>
      <c r="J598" s="243">
        <f>IFERROR(VLOOKUP(WTG_BD[[#This Row],[Affected WTG]],'Basic Data'!$A$3:$E$56,5,0),"")</f>
        <v>2.564102564102564E-2</v>
      </c>
      <c r="K598" s="158" t="s">
        <v>523</v>
      </c>
      <c r="L598" s="247" t="str">
        <f>VLOOKUP(K598,'Basic Data'!T:U,2,0)</f>
        <v>Manual Stop</v>
      </c>
      <c r="M598" s="135" t="s">
        <v>573</v>
      </c>
      <c r="N598" s="254">
        <v>0.65069444444444446</v>
      </c>
      <c r="O598" s="254">
        <v>0.65069444444444446</v>
      </c>
      <c r="P598" s="254">
        <v>0.71180555555555558</v>
      </c>
      <c r="Q598" s="253">
        <f>IF(WTG_BD[[#This Row],[Work Start TimeStamp]]="","",(WTG_BD[[#This Row],[Work Start TimeStamp]]-WTG_BD[[#This Row],[Fault Start TimeStamp]])*24)</f>
        <v>0</v>
      </c>
      <c r="R598" s="253">
        <f>(WTG_BD[[#This Row],[Fault Clearance time]]-WTG_BD[[#This Row],[Work Start TimeStamp]])*24</f>
        <v>1.4666666666666668</v>
      </c>
      <c r="S598" s="253">
        <f>(WTG_BD[[#This Row],[Fault Clearance time]]-WTG_BD[[#This Row],[Fault Start TimeStamp]])*24</f>
        <v>1.4666666666666668</v>
      </c>
      <c r="T598" s="135" t="s">
        <v>601</v>
      </c>
      <c r="U598" s="244" t="s">
        <v>474</v>
      </c>
      <c r="V598" s="246">
        <f>WTG_BD[[#This Row],[Breakdown Time]]*(1/39)</f>
        <v>3.7606837606837612E-2</v>
      </c>
      <c r="W598" s="244" t="s">
        <v>118</v>
      </c>
      <c r="X598" s="250">
        <v>382.73888888888888</v>
      </c>
      <c r="Y598" s="135" t="s">
        <v>470</v>
      </c>
      <c r="Z598" s="135" t="s">
        <v>498</v>
      </c>
      <c r="AA598" s="135">
        <v>6263</v>
      </c>
      <c r="AB598" s="249">
        <f>(WTG_BD[[#This Row],[Paired WTG Generation for loss calculation.]]/24)*WTG_BD[[#This Row],[Breakdown Time]]</f>
        <v>382.73888888888888</v>
      </c>
      <c r="AC598" s="135"/>
      <c r="AD598" s="245"/>
      <c r="AE598" s="3"/>
    </row>
    <row r="599" spans="1:31">
      <c r="A599" s="241">
        <f t="shared" si="20"/>
        <v>598</v>
      </c>
      <c r="B599" s="255">
        <v>45799</v>
      </c>
      <c r="C599" s="252">
        <v>2025</v>
      </c>
      <c r="D599" s="252">
        <v>2025</v>
      </c>
      <c r="E599" s="251">
        <f t="shared" si="19"/>
        <v>45778</v>
      </c>
      <c r="F599" s="252" t="s">
        <v>465</v>
      </c>
      <c r="G599" s="248" t="s">
        <v>118</v>
      </c>
      <c r="H599" s="242" t="str">
        <f>IFERROR(VLOOKUP(WTG_BD[[#This Row],[Affected WTG]],'Basic Data'!$A$3:$E$56,2,0),"")</f>
        <v>PWEGPL</v>
      </c>
      <c r="I599" s="242" t="str">
        <f>IFERROR(VLOOKUP(WTG_BD[[#This Row],[Affected WTG]],'Basic Data'!$A$3:$E$56,3,0),"")</f>
        <v>MSEDCL</v>
      </c>
      <c r="J599" s="243">
        <f>IFERROR(VLOOKUP(WTG_BD[[#This Row],[Affected WTG]],'Basic Data'!$A$3:$E$56,5,0),"")</f>
        <v>2.564102564102564E-2</v>
      </c>
      <c r="K599" s="158" t="s">
        <v>523</v>
      </c>
      <c r="L599" s="247" t="str">
        <f>VLOOKUP(K599,'Basic Data'!T:U,2,0)</f>
        <v>Manual Stop</v>
      </c>
      <c r="M599" s="135" t="s">
        <v>573</v>
      </c>
      <c r="N599" s="256">
        <v>0.60763888888888884</v>
      </c>
      <c r="O599" s="256">
        <v>0.60763888888888884</v>
      </c>
      <c r="P599" s="256">
        <v>0.64236111111111116</v>
      </c>
      <c r="Q599" s="253">
        <f>IF(WTG_BD[[#This Row],[Work Start TimeStamp]]="","",(WTG_BD[[#This Row],[Work Start TimeStamp]]-WTG_BD[[#This Row],[Fault Start TimeStamp]])*24)</f>
        <v>0</v>
      </c>
      <c r="R599" s="253">
        <f>(WTG_BD[[#This Row],[Fault Clearance time]]-WTG_BD[[#This Row],[Work Start TimeStamp]])*24</f>
        <v>0.8333333333333357</v>
      </c>
      <c r="S599" s="253">
        <f>(WTG_BD[[#This Row],[Fault Clearance time]]-WTG_BD[[#This Row],[Fault Start TimeStamp]])*24</f>
        <v>0.8333333333333357</v>
      </c>
      <c r="T599" s="135" t="s">
        <v>601</v>
      </c>
      <c r="U599" s="244" t="s">
        <v>474</v>
      </c>
      <c r="V599" s="246">
        <f>WTG_BD[[#This Row],[Breakdown Time]]*(1/39)</f>
        <v>2.1367521367521427E-2</v>
      </c>
      <c r="W599" s="244" t="s">
        <v>117</v>
      </c>
      <c r="X599" s="250">
        <v>218.02083333333394</v>
      </c>
      <c r="Y599" s="135" t="s">
        <v>470</v>
      </c>
      <c r="Z599" s="135" t="s">
        <v>498</v>
      </c>
      <c r="AA599" s="135">
        <v>6279</v>
      </c>
      <c r="AB599" s="249">
        <f>(WTG_BD[[#This Row],[Paired WTG Generation for loss calculation.]]/24)*WTG_BD[[#This Row],[Breakdown Time]]</f>
        <v>218.02083333333394</v>
      </c>
      <c r="AC599" s="135"/>
      <c r="AD599" s="245"/>
      <c r="AE599" s="3"/>
    </row>
    <row r="600" spans="1:31">
      <c r="A600" s="241">
        <f t="shared" si="20"/>
        <v>599</v>
      </c>
      <c r="B600" s="255">
        <v>45799</v>
      </c>
      <c r="C600" s="252">
        <v>2025</v>
      </c>
      <c r="D600" s="252">
        <v>2025</v>
      </c>
      <c r="E600" s="251">
        <f t="shared" si="19"/>
        <v>45778</v>
      </c>
      <c r="F600" s="252" t="s">
        <v>465</v>
      </c>
      <c r="G600" s="248" t="s">
        <v>119</v>
      </c>
      <c r="H600" s="242" t="str">
        <f>IFERROR(VLOOKUP(WTG_BD[[#This Row],[Affected WTG]],'Basic Data'!$A$3:$E$56,2,0),"")</f>
        <v>PWEGPL</v>
      </c>
      <c r="I600" s="242" t="str">
        <f>IFERROR(VLOOKUP(WTG_BD[[#This Row],[Affected WTG]],'Basic Data'!$A$3:$E$56,3,0),"")</f>
        <v>MSEDCL</v>
      </c>
      <c r="J600" s="243">
        <f>IFERROR(VLOOKUP(WTG_BD[[#This Row],[Affected WTG]],'Basic Data'!$A$3:$E$56,5,0),"")</f>
        <v>2.564102564102564E-2</v>
      </c>
      <c r="K600" s="158" t="s">
        <v>549</v>
      </c>
      <c r="L600" s="247" t="str">
        <f>VLOOKUP(K600,'Basic Data'!T:U,2,0)</f>
        <v>Manual Stop - Preventive Maintenance Activity</v>
      </c>
      <c r="M600" s="135" t="s">
        <v>550</v>
      </c>
      <c r="N600" s="256">
        <v>0.49375000000000002</v>
      </c>
      <c r="O600" s="256">
        <v>0.49375000000000002</v>
      </c>
      <c r="P600" s="256">
        <v>0.75763888888888886</v>
      </c>
      <c r="Q600" s="253">
        <f>IF(WTG_BD[[#This Row],[Work Start TimeStamp]]="","",(WTG_BD[[#This Row],[Work Start TimeStamp]]-WTG_BD[[#This Row],[Fault Start TimeStamp]])*24)</f>
        <v>0</v>
      </c>
      <c r="R600" s="253">
        <f>(WTG_BD[[#This Row],[Fault Clearance time]]-WTG_BD[[#This Row],[Work Start TimeStamp]])*24</f>
        <v>6.3333333333333321</v>
      </c>
      <c r="S600" s="253">
        <f>(WTG_BD[[#This Row],[Fault Clearance time]]-WTG_BD[[#This Row],[Fault Start TimeStamp]])*24</f>
        <v>6.3333333333333321</v>
      </c>
      <c r="T600" s="135" t="s">
        <v>571</v>
      </c>
      <c r="U600" s="244" t="s">
        <v>474</v>
      </c>
      <c r="V600" s="246">
        <f>WTG_BD[[#This Row],[Breakdown Time]]*(1/39)</f>
        <v>0.16239316239316234</v>
      </c>
      <c r="W600" s="244" t="s">
        <v>136</v>
      </c>
      <c r="X600" s="250">
        <v>2333.3055555555552</v>
      </c>
      <c r="Y600" s="135" t="s">
        <v>470</v>
      </c>
      <c r="Z600" s="135" t="s">
        <v>552</v>
      </c>
      <c r="AA600" s="135">
        <v>8842</v>
      </c>
      <c r="AB600" s="249">
        <f>(WTG_BD[[#This Row],[Paired WTG Generation for loss calculation.]]/24)*WTG_BD[[#This Row],[Breakdown Time]]</f>
        <v>2333.3055555555552</v>
      </c>
      <c r="AC600" s="135"/>
      <c r="AD600" s="245"/>
      <c r="AE600" s="3"/>
    </row>
    <row r="601" spans="1:31">
      <c r="A601" s="241">
        <f t="shared" si="20"/>
        <v>600</v>
      </c>
      <c r="B601" s="255">
        <v>45799</v>
      </c>
      <c r="C601" s="252">
        <v>2025</v>
      </c>
      <c r="D601" s="252">
        <v>2025</v>
      </c>
      <c r="E601" s="251">
        <f t="shared" si="19"/>
        <v>45778</v>
      </c>
      <c r="F601" s="252" t="s">
        <v>465</v>
      </c>
      <c r="G601" s="248" t="s">
        <v>145</v>
      </c>
      <c r="H601" s="242" t="str">
        <f>IFERROR(VLOOKUP(WTG_BD[[#This Row],[Affected WTG]],'Basic Data'!$A$3:$E$56,2,0),"")</f>
        <v>PWEGPL</v>
      </c>
      <c r="I601" s="242" t="str">
        <f>IFERROR(VLOOKUP(WTG_BD[[#This Row],[Affected WTG]],'Basic Data'!$A$3:$E$56,3,0),"")</f>
        <v>MSEDCL</v>
      </c>
      <c r="J601" s="243">
        <f>IFERROR(VLOOKUP(WTG_BD[[#This Row],[Affected WTG]],'Basic Data'!$A$3:$E$56,5,0),"")</f>
        <v>2.564102564102564E-2</v>
      </c>
      <c r="K601" s="158">
        <v>2118</v>
      </c>
      <c r="L601" s="247" t="str">
        <f>VLOOKUP(K601,'Basic Data'!T:U,2,0)</f>
        <v>Bus Error - Interbus Failure</v>
      </c>
      <c r="M601" s="135" t="s">
        <v>472</v>
      </c>
      <c r="N601" s="256">
        <v>0.52083333333333337</v>
      </c>
      <c r="O601" s="256">
        <v>0.5625</v>
      </c>
      <c r="P601" s="256">
        <v>0.56388888888888888</v>
      </c>
      <c r="Q601" s="253">
        <f>IF(WTG_BD[[#This Row],[Work Start TimeStamp]]="","",(WTG_BD[[#This Row],[Work Start TimeStamp]]-WTG_BD[[#This Row],[Fault Start TimeStamp]])*24)</f>
        <v>0.99999999999999911</v>
      </c>
      <c r="R601" s="253">
        <f>(WTG_BD[[#This Row],[Fault Clearance time]]-WTG_BD[[#This Row],[Work Start TimeStamp]])*24</f>
        <v>3.3333333333333215E-2</v>
      </c>
      <c r="S601" s="253">
        <f>(WTG_BD[[#This Row],[Fault Clearance time]]-WTG_BD[[#This Row],[Fault Start TimeStamp]])*24</f>
        <v>1.0333333333333323</v>
      </c>
      <c r="T601" s="135" t="s">
        <v>473</v>
      </c>
      <c r="U601" s="244" t="s">
        <v>474</v>
      </c>
      <c r="V601" s="246">
        <f>WTG_BD[[#This Row],[Breakdown Time]]*(1/39)</f>
        <v>2.6495726495726468E-2</v>
      </c>
      <c r="W601" s="244" t="s">
        <v>139</v>
      </c>
      <c r="X601" s="250">
        <v>260.09861111111087</v>
      </c>
      <c r="Y601" s="135" t="s">
        <v>470</v>
      </c>
      <c r="Z601" s="135" t="s">
        <v>475</v>
      </c>
      <c r="AA601" s="135">
        <v>6041</v>
      </c>
      <c r="AB601" s="249">
        <f>(WTG_BD[[#This Row],[Paired WTG Generation for loss calculation.]]/24)*WTG_BD[[#This Row],[Breakdown Time]]</f>
        <v>260.09861111111087</v>
      </c>
      <c r="AC601" s="135"/>
      <c r="AD601" s="245"/>
      <c r="AE601" s="3"/>
    </row>
    <row r="602" spans="1:31">
      <c r="A602" s="241">
        <f t="shared" si="20"/>
        <v>601</v>
      </c>
      <c r="B602" s="255">
        <v>45799</v>
      </c>
      <c r="C602" s="252">
        <v>2025</v>
      </c>
      <c r="D602" s="252">
        <v>2025</v>
      </c>
      <c r="E602" s="251">
        <f t="shared" si="19"/>
        <v>45778</v>
      </c>
      <c r="F602" s="252" t="s">
        <v>465</v>
      </c>
      <c r="G602" s="248" t="s">
        <v>151</v>
      </c>
      <c r="H602" s="242" t="str">
        <f>IFERROR(VLOOKUP(WTG_BD[[#This Row],[Affected WTG]],'Basic Data'!$A$3:$E$56,2,0),"")</f>
        <v>PWEGPL</v>
      </c>
      <c r="I602" s="242" t="str">
        <f>IFERROR(VLOOKUP(WTG_BD[[#This Row],[Affected WTG]],'Basic Data'!$A$3:$E$56,3,0),"")</f>
        <v>MSEDCL</v>
      </c>
      <c r="J602" s="243">
        <f>IFERROR(VLOOKUP(WTG_BD[[#This Row],[Affected WTG]],'Basic Data'!$A$3:$E$56,5,0),"")</f>
        <v>2.564102564102564E-2</v>
      </c>
      <c r="K602" s="158" t="s">
        <v>523</v>
      </c>
      <c r="L602" s="247" t="str">
        <f>VLOOKUP(K602,'Basic Data'!T:U,2,0)</f>
        <v>Manual Stop</v>
      </c>
      <c r="M602" s="135" t="s">
        <v>496</v>
      </c>
      <c r="N602" s="256">
        <v>0.46111111111111114</v>
      </c>
      <c r="O602" s="256">
        <v>0.46111111111111114</v>
      </c>
      <c r="P602" s="256">
        <v>0.55138888888888893</v>
      </c>
      <c r="Q602" s="253">
        <f>IF(WTG_BD[[#This Row],[Work Start TimeStamp]]="","",(WTG_BD[[#This Row],[Work Start TimeStamp]]-WTG_BD[[#This Row],[Fault Start TimeStamp]])*24)</f>
        <v>0</v>
      </c>
      <c r="R602" s="253">
        <f>(WTG_BD[[#This Row],[Fault Clearance time]]-WTG_BD[[#This Row],[Work Start TimeStamp]])*24</f>
        <v>2.166666666666667</v>
      </c>
      <c r="S602" s="253">
        <f>(WTG_BD[[#This Row],[Fault Clearance time]]-WTG_BD[[#This Row],[Fault Start TimeStamp]])*24</f>
        <v>2.166666666666667</v>
      </c>
      <c r="T602" s="135" t="s">
        <v>609</v>
      </c>
      <c r="U602" s="244" t="s">
        <v>474</v>
      </c>
      <c r="V602" s="246">
        <f>WTG_BD[[#This Row],[Breakdown Time]]*(1/39)</f>
        <v>5.5555555555555559E-2</v>
      </c>
      <c r="W602" s="244" t="s">
        <v>152</v>
      </c>
      <c r="X602" s="250">
        <v>546.09027777777783</v>
      </c>
      <c r="Y602" s="135" t="s">
        <v>470</v>
      </c>
      <c r="Z602" s="135" t="s">
        <v>498</v>
      </c>
      <c r="AA602" s="135">
        <v>6049</v>
      </c>
      <c r="AB602" s="249">
        <f>(WTG_BD[[#This Row],[Paired WTG Generation for loss calculation.]]/24)*WTG_BD[[#This Row],[Breakdown Time]]</f>
        <v>546.09027777777783</v>
      </c>
      <c r="AC602" s="135"/>
      <c r="AD602" s="245"/>
      <c r="AE602" s="3"/>
    </row>
    <row r="603" spans="1:31">
      <c r="A603" s="241">
        <f t="shared" si="20"/>
        <v>602</v>
      </c>
      <c r="B603" s="255">
        <v>45800</v>
      </c>
      <c r="C603" s="252">
        <v>2025</v>
      </c>
      <c r="D603" s="252">
        <v>2025</v>
      </c>
      <c r="E603" s="251">
        <f t="shared" si="19"/>
        <v>45778</v>
      </c>
      <c r="F603" s="252" t="s">
        <v>465</v>
      </c>
      <c r="G603" s="248" t="s">
        <v>144</v>
      </c>
      <c r="H603" s="242" t="str">
        <f>IFERROR(VLOOKUP(WTG_BD[[#This Row],[Affected WTG]],'Basic Data'!$A$3:$E$56,2,0),"")</f>
        <v>PWEGPL</v>
      </c>
      <c r="I603" s="242" t="str">
        <f>IFERROR(VLOOKUP(WTG_BD[[#This Row],[Affected WTG]],'Basic Data'!$A$3:$E$56,3,0),"")</f>
        <v>MSEDCL</v>
      </c>
      <c r="J603" s="243">
        <f>IFERROR(VLOOKUP(WTG_BD[[#This Row],[Affected WTG]],'Basic Data'!$A$3:$E$56,5,0),"")</f>
        <v>2.564102564102564E-2</v>
      </c>
      <c r="K603" s="158" t="s">
        <v>466</v>
      </c>
      <c r="L603" s="247" t="str">
        <f>VLOOKUP(K603,'Basic Data'!T:U,2,0)</f>
        <v>Manual Stop - Safety Related</v>
      </c>
      <c r="M603" s="135" t="s">
        <v>467</v>
      </c>
      <c r="N603" s="256">
        <v>0</v>
      </c>
      <c r="O603" s="256">
        <v>0.99930555555555556</v>
      </c>
      <c r="P603" s="256">
        <v>0.99930555555555556</v>
      </c>
      <c r="Q603" s="253">
        <f>IF(WTG_BD[[#This Row],[Work Start TimeStamp]]="","",(WTG_BD[[#This Row],[Work Start TimeStamp]]-WTG_BD[[#This Row],[Fault Start TimeStamp]])*24)</f>
        <v>23.983333333333334</v>
      </c>
      <c r="R603" s="253">
        <f>(WTG_BD[[#This Row],[Fault Clearance time]]-WTG_BD[[#This Row],[Work Start TimeStamp]])*24</f>
        <v>0</v>
      </c>
      <c r="S603" s="253">
        <f>(WTG_BD[[#This Row],[Fault Clearance time]]-WTG_BD[[#This Row],[Fault Start TimeStamp]])*24</f>
        <v>23.983333333333334</v>
      </c>
      <c r="T603" s="135" t="s">
        <v>468</v>
      </c>
      <c r="U603" s="244" t="s">
        <v>469</v>
      </c>
      <c r="V603" s="246">
        <f>WTG_BD[[#This Row],[Breakdown Time]]*(1/39)</f>
        <v>0.61495726495726499</v>
      </c>
      <c r="W603" s="244" t="s">
        <v>141</v>
      </c>
      <c r="X603" s="250">
        <v>2036.5847222222224</v>
      </c>
      <c r="Y603" s="135" t="s">
        <v>470</v>
      </c>
      <c r="Z603" s="135" t="s">
        <v>471</v>
      </c>
      <c r="AA603" s="135">
        <v>2038</v>
      </c>
      <c r="AB603" s="249">
        <f>(WTG_BD[[#This Row],[Paired WTG Generation for loss calculation.]]/24)*WTG_BD[[#This Row],[Breakdown Time]]</f>
        <v>2036.5847222222224</v>
      </c>
      <c r="AC603" s="135"/>
      <c r="AD603" s="245"/>
      <c r="AE603" s="3"/>
    </row>
    <row r="604" spans="1:31">
      <c r="A604" s="241">
        <f t="shared" si="20"/>
        <v>603</v>
      </c>
      <c r="B604" s="255">
        <v>45800</v>
      </c>
      <c r="C604" s="252">
        <v>2025</v>
      </c>
      <c r="D604" s="252">
        <v>2025</v>
      </c>
      <c r="E604" s="251">
        <f t="shared" si="19"/>
        <v>45778</v>
      </c>
      <c r="F604" s="252" t="s">
        <v>465</v>
      </c>
      <c r="G604" s="248" t="s">
        <v>142</v>
      </c>
      <c r="H604" s="242" t="str">
        <f>IFERROR(VLOOKUP(WTG_BD[[#This Row],[Affected WTG]],'Basic Data'!$A$3:$E$56,2,0),"")</f>
        <v>PWEGPL</v>
      </c>
      <c r="I604" s="242" t="str">
        <f>IFERROR(VLOOKUP(WTG_BD[[#This Row],[Affected WTG]],'Basic Data'!$A$3:$E$56,3,0),"")</f>
        <v>MSEDCL</v>
      </c>
      <c r="J604" s="243">
        <f>IFERROR(VLOOKUP(WTG_BD[[#This Row],[Affected WTG]],'Basic Data'!$A$3:$E$56,5,0),"")</f>
        <v>2.564102564102564E-2</v>
      </c>
      <c r="K604" s="158" t="s">
        <v>466</v>
      </c>
      <c r="L604" s="247" t="str">
        <f>VLOOKUP(K604,'Basic Data'!T:U,2,0)</f>
        <v>Manual Stop - Safety Related</v>
      </c>
      <c r="M604" s="135" t="s">
        <v>467</v>
      </c>
      <c r="N604" s="256">
        <v>0</v>
      </c>
      <c r="O604" s="256">
        <v>0.99930555555555556</v>
      </c>
      <c r="P604" s="256">
        <v>0.99930555555555556</v>
      </c>
      <c r="Q604" s="253">
        <f>IF(WTG_BD[[#This Row],[Work Start TimeStamp]]="","",(WTG_BD[[#This Row],[Work Start TimeStamp]]-WTG_BD[[#This Row],[Fault Start TimeStamp]])*24)</f>
        <v>23.983333333333334</v>
      </c>
      <c r="R604" s="253">
        <f>(WTG_BD[[#This Row],[Fault Clearance time]]-WTG_BD[[#This Row],[Work Start TimeStamp]])*24</f>
        <v>0</v>
      </c>
      <c r="S604" s="253">
        <f>(WTG_BD[[#This Row],[Fault Clearance time]]-WTG_BD[[#This Row],[Fault Start TimeStamp]])*24</f>
        <v>23.983333333333334</v>
      </c>
      <c r="T604" s="135" t="s">
        <v>468</v>
      </c>
      <c r="U604" s="244" t="s">
        <v>469</v>
      </c>
      <c r="V604" s="246">
        <f>WTG_BD[[#This Row],[Breakdown Time]]*(1/39)</f>
        <v>0.61495726495726499</v>
      </c>
      <c r="W604" s="244" t="s">
        <v>141</v>
      </c>
      <c r="X604" s="250">
        <v>2036.5847222222224</v>
      </c>
      <c r="Y604" s="135" t="s">
        <v>470</v>
      </c>
      <c r="Z604" s="135" t="s">
        <v>471</v>
      </c>
      <c r="AA604" s="135">
        <v>2038</v>
      </c>
      <c r="AB604" s="249">
        <f>(WTG_BD[[#This Row],[Paired WTG Generation for loss calculation.]]/24)*WTG_BD[[#This Row],[Breakdown Time]]</f>
        <v>2036.5847222222224</v>
      </c>
      <c r="AC604" s="135"/>
      <c r="AD604" s="245"/>
      <c r="AE604" s="3"/>
    </row>
    <row r="605" spans="1:31">
      <c r="A605" s="241">
        <f t="shared" si="20"/>
        <v>604</v>
      </c>
      <c r="B605" s="255">
        <v>45800</v>
      </c>
      <c r="C605" s="252">
        <v>2025</v>
      </c>
      <c r="D605" s="252">
        <v>2025</v>
      </c>
      <c r="E605" s="251">
        <f t="shared" si="19"/>
        <v>45778</v>
      </c>
      <c r="F605" s="252" t="s">
        <v>465</v>
      </c>
      <c r="G605" s="248" t="s">
        <v>125</v>
      </c>
      <c r="H605" s="242" t="str">
        <f>IFERROR(VLOOKUP(WTG_BD[[#This Row],[Affected WTG]],'Basic Data'!$A$3:$E$56,2,0),"")</f>
        <v>PWEGPL</v>
      </c>
      <c r="I605" s="242" t="str">
        <f>IFERROR(VLOOKUP(WTG_BD[[#This Row],[Affected WTG]],'Basic Data'!$A$3:$E$56,3,0),"")</f>
        <v>MSEDCL</v>
      </c>
      <c r="J605" s="243">
        <f>IFERROR(VLOOKUP(WTG_BD[[#This Row],[Affected WTG]],'Basic Data'!$A$3:$E$56,5,0),"")</f>
        <v>2.564102564102564E-2</v>
      </c>
      <c r="K605" s="158">
        <v>2118</v>
      </c>
      <c r="L605" s="247" t="str">
        <f>VLOOKUP(K605,'Basic Data'!T:U,2,0)</f>
        <v>Bus Error - Interbus Failure</v>
      </c>
      <c r="M605" s="135" t="s">
        <v>472</v>
      </c>
      <c r="N605" s="256">
        <v>0.62291666666666667</v>
      </c>
      <c r="O605" s="256">
        <v>0.65416666666666667</v>
      </c>
      <c r="P605" s="256">
        <v>0.65625</v>
      </c>
      <c r="Q605" s="253">
        <f>IF(WTG_BD[[#This Row],[Work Start TimeStamp]]="","",(WTG_BD[[#This Row],[Work Start TimeStamp]]-WTG_BD[[#This Row],[Fault Start TimeStamp]])*24)</f>
        <v>0.75</v>
      </c>
      <c r="R605" s="253">
        <f>(WTG_BD[[#This Row],[Fault Clearance time]]-WTG_BD[[#This Row],[Work Start TimeStamp]])*24</f>
        <v>4.9999999999999822E-2</v>
      </c>
      <c r="S605" s="253">
        <f>(WTG_BD[[#This Row],[Fault Clearance time]]-WTG_BD[[#This Row],[Fault Start TimeStamp]])*24</f>
        <v>0.79999999999999982</v>
      </c>
      <c r="T605" s="135" t="s">
        <v>473</v>
      </c>
      <c r="U605" s="244" t="s">
        <v>474</v>
      </c>
      <c r="V605" s="246">
        <f>WTG_BD[[#This Row],[Breakdown Time]]*(1/39)</f>
        <v>2.0512820512820506E-2</v>
      </c>
      <c r="W605" s="244" t="s">
        <v>124</v>
      </c>
      <c r="X605" s="250">
        <v>94.333333333333314</v>
      </c>
      <c r="Y605" s="135" t="s">
        <v>470</v>
      </c>
      <c r="Z605" s="135" t="s">
        <v>475</v>
      </c>
      <c r="AA605" s="135">
        <v>2830</v>
      </c>
      <c r="AB605" s="249">
        <f>(WTG_BD[[#This Row],[Paired WTG Generation for loss calculation.]]/24)*WTG_BD[[#This Row],[Breakdown Time]]</f>
        <v>94.333333333333314</v>
      </c>
      <c r="AC605" s="135"/>
      <c r="AD605" s="245"/>
      <c r="AE605" s="3"/>
    </row>
    <row r="606" spans="1:31">
      <c r="A606" s="241">
        <f t="shared" si="20"/>
        <v>605</v>
      </c>
      <c r="B606" s="255">
        <v>45800</v>
      </c>
      <c r="C606" s="252">
        <v>2025</v>
      </c>
      <c r="D606" s="252">
        <v>2025</v>
      </c>
      <c r="E606" s="251">
        <f t="shared" si="19"/>
        <v>45778</v>
      </c>
      <c r="F606" s="252" t="s">
        <v>465</v>
      </c>
      <c r="G606" s="248" t="s">
        <v>126</v>
      </c>
      <c r="H606" s="242" t="str">
        <f>IFERROR(VLOOKUP(WTG_BD[[#This Row],[Affected WTG]],'Basic Data'!$A$3:$E$56,2,0),"")</f>
        <v>PWEGPL</v>
      </c>
      <c r="I606" s="242" t="str">
        <f>IFERROR(VLOOKUP(WTG_BD[[#This Row],[Affected WTG]],'Basic Data'!$A$3:$E$56,3,0),"")</f>
        <v>MSEDCL</v>
      </c>
      <c r="J606" s="243">
        <f>IFERROR(VLOOKUP(WTG_BD[[#This Row],[Affected WTG]],'Basic Data'!$A$3:$E$56,5,0),"")</f>
        <v>2.564102564102564E-2</v>
      </c>
      <c r="K606" s="158">
        <v>5210</v>
      </c>
      <c r="L606" s="247" t="str">
        <f>VLOOKUP(K606,'Basic Data'!T:U,2,0)</f>
        <v>Failure Of The Contactor's Rotor Power</v>
      </c>
      <c r="M606" s="135" t="s">
        <v>496</v>
      </c>
      <c r="N606" s="256">
        <v>0.47222222222222221</v>
      </c>
      <c r="O606" s="256">
        <v>0.47222222222222221</v>
      </c>
      <c r="P606" s="256">
        <v>0.5625</v>
      </c>
      <c r="Q606" s="253">
        <f>IF(WTG_BD[[#This Row],[Work Start TimeStamp]]="","",(WTG_BD[[#This Row],[Work Start TimeStamp]]-WTG_BD[[#This Row],[Fault Start TimeStamp]])*24)</f>
        <v>0</v>
      </c>
      <c r="R606" s="253">
        <f>(WTG_BD[[#This Row],[Fault Clearance time]]-WTG_BD[[#This Row],[Work Start TimeStamp]])*24</f>
        <v>2.166666666666667</v>
      </c>
      <c r="S606" s="253">
        <f>(WTG_BD[[#This Row],[Fault Clearance time]]-WTG_BD[[#This Row],[Fault Start TimeStamp]])*24</f>
        <v>2.166666666666667</v>
      </c>
      <c r="T606" s="135" t="s">
        <v>610</v>
      </c>
      <c r="U606" s="244" t="s">
        <v>474</v>
      </c>
      <c r="V606" s="246">
        <f>WTG_BD[[#This Row],[Breakdown Time]]*(1/39)</f>
        <v>5.5555555555555559E-2</v>
      </c>
      <c r="W606" s="244" t="s">
        <v>127</v>
      </c>
      <c r="X606" s="250">
        <v>280.4930555555556</v>
      </c>
      <c r="Y606" s="135" t="s">
        <v>470</v>
      </c>
      <c r="Z606" s="135" t="s">
        <v>498</v>
      </c>
      <c r="AA606" s="135">
        <v>3107</v>
      </c>
      <c r="AB606" s="249">
        <f>(WTG_BD[[#This Row],[Paired WTG Generation for loss calculation.]]/24)*WTG_BD[[#This Row],[Breakdown Time]]</f>
        <v>280.4930555555556</v>
      </c>
      <c r="AC606" s="135"/>
      <c r="AD606" s="245"/>
      <c r="AE606" s="3"/>
    </row>
    <row r="607" spans="1:31">
      <c r="A607" s="241">
        <f t="shared" si="20"/>
        <v>606</v>
      </c>
      <c r="B607" s="255">
        <v>45800</v>
      </c>
      <c r="C607" s="252">
        <v>2025</v>
      </c>
      <c r="D607" s="252">
        <v>2025</v>
      </c>
      <c r="E607" s="251">
        <f t="shared" si="19"/>
        <v>45778</v>
      </c>
      <c r="F607" s="252" t="s">
        <v>465</v>
      </c>
      <c r="G607" s="248" t="s">
        <v>129</v>
      </c>
      <c r="H607" s="242" t="str">
        <f>IFERROR(VLOOKUP(WTG_BD[[#This Row],[Affected WTG]],'Basic Data'!$A$3:$E$56,2,0),"")</f>
        <v>PWEGPL</v>
      </c>
      <c r="I607" s="242" t="str">
        <f>IFERROR(VLOOKUP(WTG_BD[[#This Row],[Affected WTG]],'Basic Data'!$A$3:$E$56,3,0),"")</f>
        <v>MSEDCL</v>
      </c>
      <c r="J607" s="243">
        <f>IFERROR(VLOOKUP(WTG_BD[[#This Row],[Affected WTG]],'Basic Data'!$A$3:$E$56,5,0),"")</f>
        <v>2.564102564102564E-2</v>
      </c>
      <c r="K607" s="158" t="s">
        <v>549</v>
      </c>
      <c r="L607" s="247" t="str">
        <f>VLOOKUP(K607,'Basic Data'!T:U,2,0)</f>
        <v>Manual Stop - Preventive Maintenance Activity</v>
      </c>
      <c r="M607" s="135" t="s">
        <v>550</v>
      </c>
      <c r="N607" s="256">
        <v>0.47013888888888888</v>
      </c>
      <c r="O607" s="256">
        <v>0.47013888888888888</v>
      </c>
      <c r="P607" s="256">
        <v>0.74791666666666667</v>
      </c>
      <c r="Q607" s="253">
        <f>IF(WTG_BD[[#This Row],[Work Start TimeStamp]]="","",(WTG_BD[[#This Row],[Work Start TimeStamp]]-WTG_BD[[#This Row],[Fault Start TimeStamp]])*24)</f>
        <v>0</v>
      </c>
      <c r="R607" s="253">
        <f>(WTG_BD[[#This Row],[Fault Clearance time]]-WTG_BD[[#This Row],[Work Start TimeStamp]])*24</f>
        <v>6.666666666666667</v>
      </c>
      <c r="S607" s="253">
        <f>(WTG_BD[[#This Row],[Fault Clearance time]]-WTG_BD[[#This Row],[Fault Start TimeStamp]])*24</f>
        <v>6.666666666666667</v>
      </c>
      <c r="T607" s="135" t="s">
        <v>571</v>
      </c>
      <c r="U607" s="244" t="s">
        <v>474</v>
      </c>
      <c r="V607" s="246">
        <f>WTG_BD[[#This Row],[Breakdown Time]]*(1/39)</f>
        <v>0.17094017094017094</v>
      </c>
      <c r="W607" s="244" t="s">
        <v>130</v>
      </c>
      <c r="X607" s="250">
        <v>863.61111111111109</v>
      </c>
      <c r="Y607" s="135" t="s">
        <v>470</v>
      </c>
      <c r="Z607" s="135" t="s">
        <v>552</v>
      </c>
      <c r="AA607" s="135">
        <v>3109</v>
      </c>
      <c r="AB607" s="249">
        <f>(WTG_BD[[#This Row],[Paired WTG Generation for loss calculation.]]/24)*WTG_BD[[#This Row],[Breakdown Time]]</f>
        <v>863.61111111111109</v>
      </c>
      <c r="AC607" s="135"/>
      <c r="AD607" s="245"/>
      <c r="AE607" s="3"/>
    </row>
    <row r="608" spans="1:31">
      <c r="A608" s="241">
        <f t="shared" si="20"/>
        <v>607</v>
      </c>
      <c r="B608" s="255">
        <v>45800</v>
      </c>
      <c r="C608" s="252">
        <v>2025</v>
      </c>
      <c r="D608" s="252">
        <v>2025</v>
      </c>
      <c r="E608" s="251">
        <f t="shared" si="19"/>
        <v>45778</v>
      </c>
      <c r="F608" s="252" t="s">
        <v>465</v>
      </c>
      <c r="G608" s="248" t="s">
        <v>130</v>
      </c>
      <c r="H608" s="242" t="str">
        <f>IFERROR(VLOOKUP(WTG_BD[[#This Row],[Affected WTG]],'Basic Data'!$A$3:$E$56,2,0),"")</f>
        <v>PWEGPL</v>
      </c>
      <c r="I608" s="242" t="str">
        <f>IFERROR(VLOOKUP(WTG_BD[[#This Row],[Affected WTG]],'Basic Data'!$A$3:$E$56,3,0),"")</f>
        <v>MSEDCL</v>
      </c>
      <c r="J608" s="243">
        <f>IFERROR(VLOOKUP(WTG_BD[[#This Row],[Affected WTG]],'Basic Data'!$A$3:$E$56,5,0),"")</f>
        <v>2.564102564102564E-2</v>
      </c>
      <c r="K608" s="158">
        <v>5225</v>
      </c>
      <c r="L608" s="247" t="str">
        <f>VLOOKUP(K608,'Basic Data'!T:U,2,0)</f>
        <v>Fault In Analog Electronic Power Supply</v>
      </c>
      <c r="M608" s="135" t="s">
        <v>472</v>
      </c>
      <c r="N608" s="256">
        <v>0.66736111111111107</v>
      </c>
      <c r="O608" s="256">
        <v>0.68402777777777779</v>
      </c>
      <c r="P608" s="256">
        <v>0.68541666666666667</v>
      </c>
      <c r="Q608" s="253">
        <f>IF(WTG_BD[[#This Row],[Work Start TimeStamp]]="","",(WTG_BD[[#This Row],[Work Start TimeStamp]]-WTG_BD[[#This Row],[Fault Start TimeStamp]])*24)</f>
        <v>0.40000000000000124</v>
      </c>
      <c r="R608" s="253">
        <f>(WTG_BD[[#This Row],[Fault Clearance time]]-WTG_BD[[#This Row],[Work Start TimeStamp]])*24</f>
        <v>3.3333333333333215E-2</v>
      </c>
      <c r="S608" s="253">
        <f>(WTG_BD[[#This Row],[Fault Clearance time]]-WTG_BD[[#This Row],[Fault Start TimeStamp]])*24</f>
        <v>0.43333333333333446</v>
      </c>
      <c r="T608" s="135" t="s">
        <v>473</v>
      </c>
      <c r="U608" s="244" t="s">
        <v>474</v>
      </c>
      <c r="V608" s="246">
        <f>WTG_BD[[#This Row],[Breakdown Time]]*(1/39)</f>
        <v>1.1111111111111139E-2</v>
      </c>
      <c r="W608" s="244" t="s">
        <v>131</v>
      </c>
      <c r="X608" s="250">
        <v>56.170833333333476</v>
      </c>
      <c r="Y608" s="135" t="s">
        <v>470</v>
      </c>
      <c r="Z608" s="135" t="s">
        <v>475</v>
      </c>
      <c r="AA608" s="135">
        <v>3111</v>
      </c>
      <c r="AB608" s="249">
        <f>(WTG_BD[[#This Row],[Paired WTG Generation for loss calculation.]]/24)*WTG_BD[[#This Row],[Breakdown Time]]</f>
        <v>56.170833333333476</v>
      </c>
      <c r="AC608" s="135"/>
      <c r="AD608" s="245"/>
      <c r="AE608" s="3"/>
    </row>
    <row r="609" spans="1:31">
      <c r="A609" s="241">
        <f t="shared" si="20"/>
        <v>608</v>
      </c>
      <c r="B609" s="255">
        <v>45800</v>
      </c>
      <c r="C609" s="252">
        <v>2025</v>
      </c>
      <c r="D609" s="252">
        <v>2025</v>
      </c>
      <c r="E609" s="251">
        <f>B609-DAY(B609)+1</f>
        <v>45778</v>
      </c>
      <c r="F609" s="252" t="s">
        <v>465</v>
      </c>
      <c r="G609" s="248" t="s">
        <v>138</v>
      </c>
      <c r="H609" s="242" t="str">
        <f>IFERROR(VLOOKUP(WTG_BD[[#This Row],[Affected WTG]],'Basic Data'!$A$3:$E$56,2,0),"")</f>
        <v>PWEGPL</v>
      </c>
      <c r="I609" s="242" t="str">
        <f>IFERROR(VLOOKUP(WTG_BD[[#This Row],[Affected WTG]],'Basic Data'!$A$3:$E$56,3,0),"")</f>
        <v>MSEDCL</v>
      </c>
      <c r="J609" s="243">
        <f>IFERROR(VLOOKUP(WTG_BD[[#This Row],[Affected WTG]],'Basic Data'!$A$3:$E$56,5,0),"")</f>
        <v>2.564102564102564E-2</v>
      </c>
      <c r="K609" s="158" t="s">
        <v>523</v>
      </c>
      <c r="L609" s="247" t="str">
        <f>VLOOKUP(K609,'Basic Data'!T:U,2,0)</f>
        <v>Manual Stop</v>
      </c>
      <c r="M609" s="135" t="s">
        <v>573</v>
      </c>
      <c r="N609" s="256">
        <v>0.59375</v>
      </c>
      <c r="O609" s="256">
        <v>0.59375</v>
      </c>
      <c r="P609" s="256">
        <v>0.625</v>
      </c>
      <c r="Q609" s="253">
        <f>IF(WTG_BD[[#This Row],[Work Start TimeStamp]]="","",(WTG_BD[[#This Row],[Work Start TimeStamp]]-WTG_BD[[#This Row],[Fault Start TimeStamp]])*24)</f>
        <v>0</v>
      </c>
      <c r="R609" s="253">
        <f>(WTG_BD[[#This Row],[Fault Clearance time]]-WTG_BD[[#This Row],[Work Start TimeStamp]])*24</f>
        <v>0.75</v>
      </c>
      <c r="S609" s="253">
        <f>(WTG_BD[[#This Row],[Fault Clearance time]]-WTG_BD[[#This Row],[Fault Start TimeStamp]])*24</f>
        <v>0.75</v>
      </c>
      <c r="T609" s="135" t="s">
        <v>611</v>
      </c>
      <c r="U609" s="244" t="s">
        <v>474</v>
      </c>
      <c r="V609" s="246">
        <f>WTG_BD[[#This Row],[Breakdown Time]]*(1/39)</f>
        <v>1.9230769230769232E-2</v>
      </c>
      <c r="W609" s="244" t="s">
        <v>140</v>
      </c>
      <c r="X609" s="250">
        <v>62.9375</v>
      </c>
      <c r="Y609" s="135" t="s">
        <v>470</v>
      </c>
      <c r="Z609" s="135" t="s">
        <v>498</v>
      </c>
      <c r="AA609" s="135">
        <v>2014</v>
      </c>
      <c r="AB609" s="249">
        <f>(WTG_BD[[#This Row],[Paired WTG Generation for loss calculation.]]/24)*WTG_BD[[#This Row],[Breakdown Time]]</f>
        <v>62.9375</v>
      </c>
      <c r="AC609" s="135"/>
      <c r="AD609" s="245"/>
      <c r="AE609" s="3"/>
    </row>
    <row r="610" spans="1:31">
      <c r="A610" s="241">
        <f t="shared" si="20"/>
        <v>609</v>
      </c>
      <c r="B610" s="255">
        <v>45801</v>
      </c>
      <c r="C610" s="252">
        <v>2025</v>
      </c>
      <c r="D610" s="252">
        <v>2025</v>
      </c>
      <c r="E610" s="251">
        <f t="shared" si="19"/>
        <v>45778</v>
      </c>
      <c r="F610" s="252" t="s">
        <v>465</v>
      </c>
      <c r="G610" s="248" t="s">
        <v>144</v>
      </c>
      <c r="H610" s="242" t="str">
        <f>IFERROR(VLOOKUP(WTG_BD[[#This Row],[Affected WTG]],'Basic Data'!$A$3:$E$56,2,0),"")</f>
        <v>PWEGPL</v>
      </c>
      <c r="I610" s="242" t="str">
        <f>IFERROR(VLOOKUP(WTG_BD[[#This Row],[Affected WTG]],'Basic Data'!$A$3:$E$56,3,0),"")</f>
        <v>MSEDCL</v>
      </c>
      <c r="J610" s="243">
        <f>IFERROR(VLOOKUP(WTG_BD[[#This Row],[Affected WTG]],'Basic Data'!$A$3:$E$56,5,0),"")</f>
        <v>2.564102564102564E-2</v>
      </c>
      <c r="K610" s="158" t="s">
        <v>466</v>
      </c>
      <c r="L610" s="247" t="str">
        <f>VLOOKUP(K610,'Basic Data'!T:U,2,0)</f>
        <v>Manual Stop - Safety Related</v>
      </c>
      <c r="M610" s="135" t="s">
        <v>467</v>
      </c>
      <c r="N610" s="256">
        <v>0</v>
      </c>
      <c r="O610" s="256">
        <v>0.99930555555555556</v>
      </c>
      <c r="P610" s="256">
        <v>0.99930555555555556</v>
      </c>
      <c r="Q610" s="253">
        <f>IF(WTG_BD[[#This Row],[Work Start TimeStamp]]="","",(WTG_BD[[#This Row],[Work Start TimeStamp]]-WTG_BD[[#This Row],[Fault Start TimeStamp]])*24)</f>
        <v>23.983333333333334</v>
      </c>
      <c r="R610" s="253">
        <f>(WTG_BD[[#This Row],[Fault Clearance time]]-WTG_BD[[#This Row],[Work Start TimeStamp]])*24</f>
        <v>0</v>
      </c>
      <c r="S610" s="253">
        <f>(WTG_BD[[#This Row],[Fault Clearance time]]-WTG_BD[[#This Row],[Fault Start TimeStamp]])*24</f>
        <v>23.983333333333334</v>
      </c>
      <c r="T610" s="135" t="s">
        <v>468</v>
      </c>
      <c r="U610" s="244" t="s">
        <v>469</v>
      </c>
      <c r="V610" s="246">
        <f>WTG_BD[[#This Row],[Breakdown Time]]*(1/39)</f>
        <v>0.61495726495726499</v>
      </c>
      <c r="W610" s="244" t="s">
        <v>141</v>
      </c>
      <c r="X610" s="250">
        <v>7766.6027777777772</v>
      </c>
      <c r="Y610" s="135" t="s">
        <v>470</v>
      </c>
      <c r="Z610" s="135" t="s">
        <v>471</v>
      </c>
      <c r="AA610" s="135">
        <v>7772</v>
      </c>
      <c r="AB610" s="249">
        <f>(WTG_BD[[#This Row],[Paired WTG Generation for loss calculation.]]/24)*WTG_BD[[#This Row],[Breakdown Time]]</f>
        <v>7766.6027777777772</v>
      </c>
      <c r="AC610" s="135"/>
      <c r="AD610" s="245"/>
      <c r="AE610" s="3"/>
    </row>
    <row r="611" spans="1:31">
      <c r="A611" s="241">
        <f t="shared" si="20"/>
        <v>610</v>
      </c>
      <c r="B611" s="255">
        <v>45801</v>
      </c>
      <c r="C611" s="252">
        <v>2025</v>
      </c>
      <c r="D611" s="252">
        <v>2025</v>
      </c>
      <c r="E611" s="251">
        <f t="shared" si="19"/>
        <v>45778</v>
      </c>
      <c r="F611" s="252" t="s">
        <v>465</v>
      </c>
      <c r="G611" s="248" t="s">
        <v>142</v>
      </c>
      <c r="H611" s="242" t="str">
        <f>IFERROR(VLOOKUP(WTG_BD[[#This Row],[Affected WTG]],'Basic Data'!$A$3:$E$56,2,0),"")</f>
        <v>PWEGPL</v>
      </c>
      <c r="I611" s="242" t="str">
        <f>IFERROR(VLOOKUP(WTG_BD[[#This Row],[Affected WTG]],'Basic Data'!$A$3:$E$56,3,0),"")</f>
        <v>MSEDCL</v>
      </c>
      <c r="J611" s="243">
        <f>IFERROR(VLOOKUP(WTG_BD[[#This Row],[Affected WTG]],'Basic Data'!$A$3:$E$56,5,0),"")</f>
        <v>2.564102564102564E-2</v>
      </c>
      <c r="K611" s="158" t="s">
        <v>466</v>
      </c>
      <c r="L611" s="247" t="str">
        <f>VLOOKUP(K611,'Basic Data'!T:U,2,0)</f>
        <v>Manual Stop - Safety Related</v>
      </c>
      <c r="M611" s="135" t="s">
        <v>467</v>
      </c>
      <c r="N611" s="256">
        <v>0</v>
      </c>
      <c r="O611" s="256">
        <v>0.99930555555555556</v>
      </c>
      <c r="P611" s="256">
        <v>0.99930555555555556</v>
      </c>
      <c r="Q611" s="253">
        <f>IF(WTG_BD[[#This Row],[Work Start TimeStamp]]="","",(WTG_BD[[#This Row],[Work Start TimeStamp]]-WTG_BD[[#This Row],[Fault Start TimeStamp]])*24)</f>
        <v>23.983333333333334</v>
      </c>
      <c r="R611" s="253">
        <f>(WTG_BD[[#This Row],[Fault Clearance time]]-WTG_BD[[#This Row],[Work Start TimeStamp]])*24</f>
        <v>0</v>
      </c>
      <c r="S611" s="253">
        <f>(WTG_BD[[#This Row],[Fault Clearance time]]-WTG_BD[[#This Row],[Fault Start TimeStamp]])*24</f>
        <v>23.983333333333334</v>
      </c>
      <c r="T611" s="135" t="s">
        <v>468</v>
      </c>
      <c r="U611" s="244" t="s">
        <v>469</v>
      </c>
      <c r="V611" s="246">
        <f>WTG_BD[[#This Row],[Breakdown Time]]*(1/39)</f>
        <v>0.61495726495726499</v>
      </c>
      <c r="W611" s="244" t="s">
        <v>141</v>
      </c>
      <c r="X611" s="250">
        <v>7766.6027777777772</v>
      </c>
      <c r="Y611" s="135" t="s">
        <v>470</v>
      </c>
      <c r="Z611" s="135" t="s">
        <v>471</v>
      </c>
      <c r="AA611" s="135">
        <v>7772</v>
      </c>
      <c r="AB611" s="249">
        <f>(WTG_BD[[#This Row],[Paired WTG Generation for loss calculation.]]/24)*WTG_BD[[#This Row],[Breakdown Time]]</f>
        <v>7766.6027777777772</v>
      </c>
      <c r="AC611" s="135"/>
      <c r="AD611" s="245"/>
      <c r="AE611" s="3"/>
    </row>
    <row r="612" spans="1:31">
      <c r="A612" s="241">
        <f t="shared" si="20"/>
        <v>611</v>
      </c>
      <c r="B612" s="255">
        <v>45801</v>
      </c>
      <c r="C612" s="252">
        <v>2025</v>
      </c>
      <c r="D612" s="252">
        <v>2025</v>
      </c>
      <c r="E612" s="251">
        <f t="shared" si="19"/>
        <v>45778</v>
      </c>
      <c r="F612" s="252" t="s">
        <v>465</v>
      </c>
      <c r="G612" s="248" t="s">
        <v>130</v>
      </c>
      <c r="H612" s="242" t="str">
        <f>IFERROR(VLOOKUP(WTG_BD[[#This Row],[Affected WTG]],'Basic Data'!$A$3:$E$56,2,0),"")</f>
        <v>PWEGPL</v>
      </c>
      <c r="I612" s="242" t="str">
        <f>IFERROR(VLOOKUP(WTG_BD[[#This Row],[Affected WTG]],'Basic Data'!$A$3:$E$56,3,0),"")</f>
        <v>MSEDCL</v>
      </c>
      <c r="J612" s="243">
        <f>IFERROR(VLOOKUP(WTG_BD[[#This Row],[Affected WTG]],'Basic Data'!$A$3:$E$56,5,0),"")</f>
        <v>2.564102564102564E-2</v>
      </c>
      <c r="K612" s="158" t="s">
        <v>549</v>
      </c>
      <c r="L612" s="247" t="str">
        <f>VLOOKUP(K612,'Basic Data'!T:U,2,0)</f>
        <v>Manual Stop - Preventive Maintenance Activity</v>
      </c>
      <c r="M612" s="135" t="s">
        <v>550</v>
      </c>
      <c r="N612" s="256">
        <v>0.50694444444444442</v>
      </c>
      <c r="O612" s="256">
        <v>0.50694444444444442</v>
      </c>
      <c r="P612" s="256">
        <v>0.82986111111111116</v>
      </c>
      <c r="Q612" s="253">
        <f>IF(WTG_BD[[#This Row],[Work Start TimeStamp]]="","",(WTG_BD[[#This Row],[Work Start TimeStamp]]-WTG_BD[[#This Row],[Fault Start TimeStamp]])*24)</f>
        <v>0</v>
      </c>
      <c r="R612" s="253">
        <f>(WTG_BD[[#This Row],[Fault Clearance time]]-WTG_BD[[#This Row],[Work Start TimeStamp]])*24</f>
        <v>7.7500000000000018</v>
      </c>
      <c r="S612" s="253">
        <f>(WTG_BD[[#This Row],[Fault Clearance time]]-WTG_BD[[#This Row],[Fault Start TimeStamp]])*24</f>
        <v>7.7500000000000018</v>
      </c>
      <c r="T612" s="135" t="s">
        <v>571</v>
      </c>
      <c r="U612" s="244" t="s">
        <v>474</v>
      </c>
      <c r="V612" s="246">
        <f>WTG_BD[[#This Row],[Breakdown Time]]*(1/39)</f>
        <v>0.19871794871794876</v>
      </c>
      <c r="W612" s="244" t="s">
        <v>131</v>
      </c>
      <c r="X612" s="250">
        <v>2378.2812500000005</v>
      </c>
      <c r="Y612" s="135" t="s">
        <v>470</v>
      </c>
      <c r="Z612" s="135" t="s">
        <v>552</v>
      </c>
      <c r="AA612" s="135">
        <v>7365</v>
      </c>
      <c r="AB612" s="249">
        <f>(WTG_BD[[#This Row],[Paired WTG Generation for loss calculation.]]/24)*WTG_BD[[#This Row],[Breakdown Time]]</f>
        <v>2378.2812500000005</v>
      </c>
      <c r="AC612" s="135"/>
      <c r="AD612" s="245"/>
      <c r="AE612" s="3"/>
    </row>
    <row r="613" spans="1:31">
      <c r="A613" s="241">
        <f t="shared" si="20"/>
        <v>612</v>
      </c>
      <c r="B613" s="255">
        <v>45801</v>
      </c>
      <c r="C613" s="252">
        <v>2025</v>
      </c>
      <c r="D613" s="252">
        <v>2025</v>
      </c>
      <c r="E613" s="251">
        <f t="shared" si="19"/>
        <v>45778</v>
      </c>
      <c r="F613" s="252" t="s">
        <v>465</v>
      </c>
      <c r="G613" s="248" t="s">
        <v>139</v>
      </c>
      <c r="H613" s="242" t="str">
        <f>IFERROR(VLOOKUP(WTG_BD[[#This Row],[Affected WTG]],'Basic Data'!$A$3:$E$56,2,0),"")</f>
        <v>PWEGPL</v>
      </c>
      <c r="I613" s="242" t="str">
        <f>IFERROR(VLOOKUP(WTG_BD[[#This Row],[Affected WTG]],'Basic Data'!$A$3:$E$56,3,0),"")</f>
        <v>MSEDCL</v>
      </c>
      <c r="J613" s="243">
        <f>IFERROR(VLOOKUP(WTG_BD[[#This Row],[Affected WTG]],'Basic Data'!$A$3:$E$56,5,0),"")</f>
        <v>2.564102564102564E-2</v>
      </c>
      <c r="K613" s="158" t="s">
        <v>514</v>
      </c>
      <c r="L613" s="247" t="str">
        <f>VLOOKUP(K613,'Basic Data'!T:U,2,0)</f>
        <v>General Work Stoppage</v>
      </c>
      <c r="M613" s="135" t="s">
        <v>550</v>
      </c>
      <c r="N613" s="256">
        <v>0.57986111111111116</v>
      </c>
      <c r="O613" s="256">
        <v>0.57986111111111116</v>
      </c>
      <c r="P613" s="256">
        <v>0.66736111111111107</v>
      </c>
      <c r="Q613" s="253">
        <f>IF(WTG_BD[[#This Row],[Work Start TimeStamp]]="","",(WTG_BD[[#This Row],[Work Start TimeStamp]]-WTG_BD[[#This Row],[Fault Start TimeStamp]])*24)</f>
        <v>0</v>
      </c>
      <c r="R613" s="253">
        <f>(WTG_BD[[#This Row],[Fault Clearance time]]-WTG_BD[[#This Row],[Work Start TimeStamp]])*24</f>
        <v>2.0999999999999979</v>
      </c>
      <c r="S613" s="253">
        <f>(WTG_BD[[#This Row],[Fault Clearance time]]-WTG_BD[[#This Row],[Fault Start TimeStamp]])*24</f>
        <v>2.0999999999999979</v>
      </c>
      <c r="T613" s="135" t="s">
        <v>612</v>
      </c>
      <c r="U613" s="244" t="s">
        <v>474</v>
      </c>
      <c r="V613" s="246">
        <f>WTG_BD[[#This Row],[Breakdown Time]]*(1/39)</f>
        <v>5.3846153846153787E-2</v>
      </c>
      <c r="W613" s="244" t="s">
        <v>145</v>
      </c>
      <c r="X613" s="250">
        <v>565.86249999999939</v>
      </c>
      <c r="Y613" s="135" t="s">
        <v>470</v>
      </c>
      <c r="Z613" s="135" t="s">
        <v>498</v>
      </c>
      <c r="AA613" s="135">
        <v>6467</v>
      </c>
      <c r="AB613" s="249">
        <f>(WTG_BD[[#This Row],[Paired WTG Generation for loss calculation.]]/24)*WTG_BD[[#This Row],[Breakdown Time]]</f>
        <v>565.86249999999939</v>
      </c>
      <c r="AC613" s="135"/>
      <c r="AD613" s="245"/>
      <c r="AE613" s="3"/>
    </row>
    <row r="614" spans="1:31">
      <c r="A614" s="241">
        <f t="shared" si="20"/>
        <v>613</v>
      </c>
      <c r="B614" s="255">
        <v>45801</v>
      </c>
      <c r="C614" s="252">
        <v>2025</v>
      </c>
      <c r="D614" s="252">
        <v>2025</v>
      </c>
      <c r="E614" s="251">
        <f t="shared" si="19"/>
        <v>45778</v>
      </c>
      <c r="F614" s="252" t="s">
        <v>465</v>
      </c>
      <c r="G614" s="248" t="s">
        <v>147</v>
      </c>
      <c r="H614" s="242" t="str">
        <f>IFERROR(VLOOKUP(WTG_BD[[#This Row],[Affected WTG]],'Basic Data'!$A$3:$E$56,2,0),"")</f>
        <v>PWEGPL</v>
      </c>
      <c r="I614" s="242" t="str">
        <f>IFERROR(VLOOKUP(WTG_BD[[#This Row],[Affected WTG]],'Basic Data'!$A$3:$E$56,3,0),"")</f>
        <v>MSEDCL</v>
      </c>
      <c r="J614" s="243">
        <f>IFERROR(VLOOKUP(WTG_BD[[#This Row],[Affected WTG]],'Basic Data'!$A$3:$E$56,5,0),"")</f>
        <v>2.564102564102564E-2</v>
      </c>
      <c r="K614" s="158">
        <v>205</v>
      </c>
      <c r="L614" s="247" t="str">
        <f>VLOOKUP(K614,'Basic Data'!T:U,2,0)</f>
        <v>Low Level Hydraulic Group Refrigeration Oil</v>
      </c>
      <c r="M614" s="135" t="s">
        <v>472</v>
      </c>
      <c r="N614" s="256">
        <v>0.51388888888888884</v>
      </c>
      <c r="O614" s="256">
        <v>0.54027777777777775</v>
      </c>
      <c r="P614" s="256">
        <v>0.54166666666666663</v>
      </c>
      <c r="Q614" s="253">
        <f>IF(WTG_BD[[#This Row],[Work Start TimeStamp]]="","",(WTG_BD[[#This Row],[Work Start TimeStamp]]-WTG_BD[[#This Row],[Fault Start TimeStamp]])*24)</f>
        <v>0.63333333333333375</v>
      </c>
      <c r="R614" s="253">
        <f>(WTG_BD[[#This Row],[Fault Clearance time]]-WTG_BD[[#This Row],[Work Start TimeStamp]])*24</f>
        <v>3.3333333333333215E-2</v>
      </c>
      <c r="S614" s="253">
        <f>(WTG_BD[[#This Row],[Fault Clearance time]]-WTG_BD[[#This Row],[Fault Start TimeStamp]])*24</f>
        <v>0.66666666666666696</v>
      </c>
      <c r="T614" s="135" t="s">
        <v>473</v>
      </c>
      <c r="U614" s="244" t="s">
        <v>474</v>
      </c>
      <c r="V614" s="246">
        <f>WTG_BD[[#This Row],[Breakdown Time]]*(1/39)</f>
        <v>1.7094017094017103E-2</v>
      </c>
      <c r="W614" s="244" t="s">
        <v>146</v>
      </c>
      <c r="X614" s="250">
        <v>179.3611111111112</v>
      </c>
      <c r="Y614" s="135" t="s">
        <v>470</v>
      </c>
      <c r="Z614" s="135" t="s">
        <v>475</v>
      </c>
      <c r="AA614" s="135">
        <v>6457</v>
      </c>
      <c r="AB614" s="249">
        <f>(WTG_BD[[#This Row],[Paired WTG Generation for loss calculation.]]/24)*WTG_BD[[#This Row],[Breakdown Time]]</f>
        <v>179.3611111111112</v>
      </c>
      <c r="AC614" s="135"/>
      <c r="AD614" s="245"/>
      <c r="AE614" s="3"/>
    </row>
    <row r="615" spans="1:31">
      <c r="A615" s="241">
        <f t="shared" si="20"/>
        <v>614</v>
      </c>
      <c r="B615" s="255">
        <v>45802</v>
      </c>
      <c r="C615" s="252">
        <v>2025</v>
      </c>
      <c r="D615" s="252">
        <v>2025</v>
      </c>
      <c r="E615" s="251">
        <f t="shared" si="19"/>
        <v>45778</v>
      </c>
      <c r="F615" s="252" t="s">
        <v>465</v>
      </c>
      <c r="G615" s="248" t="s">
        <v>144</v>
      </c>
      <c r="H615" s="242" t="str">
        <f>IFERROR(VLOOKUP(WTG_BD[[#This Row],[Affected WTG]],'Basic Data'!$A$3:$E$56,2,0),"")</f>
        <v>PWEGPL</v>
      </c>
      <c r="I615" s="242" t="str">
        <f>IFERROR(VLOOKUP(WTG_BD[[#This Row],[Affected WTG]],'Basic Data'!$A$3:$E$56,3,0),"")</f>
        <v>MSEDCL</v>
      </c>
      <c r="J615" s="243">
        <f>IFERROR(VLOOKUP(WTG_BD[[#This Row],[Affected WTG]],'Basic Data'!$A$3:$E$56,5,0),"")</f>
        <v>2.564102564102564E-2</v>
      </c>
      <c r="K615" s="158" t="s">
        <v>466</v>
      </c>
      <c r="L615" s="247" t="str">
        <f>VLOOKUP(K615,'Basic Data'!T:U,2,0)</f>
        <v>Manual Stop - Safety Related</v>
      </c>
      <c r="M615" s="135" t="s">
        <v>467</v>
      </c>
      <c r="N615" s="256">
        <v>0</v>
      </c>
      <c r="O615" s="256">
        <v>0.99930555555555556</v>
      </c>
      <c r="P615" s="256">
        <v>0.99930555555555556</v>
      </c>
      <c r="Q615" s="253">
        <f>IF(WTG_BD[[#This Row],[Work Start TimeStamp]]="","",(WTG_BD[[#This Row],[Work Start TimeStamp]]-WTG_BD[[#This Row],[Fault Start TimeStamp]])*24)</f>
        <v>23.983333333333334</v>
      </c>
      <c r="R615" s="253">
        <f>(WTG_BD[[#This Row],[Fault Clearance time]]-WTG_BD[[#This Row],[Work Start TimeStamp]])*24</f>
        <v>0</v>
      </c>
      <c r="S615" s="253">
        <f>(WTG_BD[[#This Row],[Fault Clearance time]]-WTG_BD[[#This Row],[Fault Start TimeStamp]])*24</f>
        <v>23.983333333333334</v>
      </c>
      <c r="T615" s="135" t="s">
        <v>468</v>
      </c>
      <c r="U615" s="244" t="s">
        <v>469</v>
      </c>
      <c r="V615" s="246">
        <f>WTG_BD[[#This Row],[Breakdown Time]]*(1/39)</f>
        <v>0.61495726495726499</v>
      </c>
      <c r="W615" s="244" t="s">
        <v>141</v>
      </c>
      <c r="X615" s="250">
        <v>5524.1611111111115</v>
      </c>
      <c r="Y615" s="135" t="s">
        <v>470</v>
      </c>
      <c r="Z615" s="135" t="s">
        <v>471</v>
      </c>
      <c r="AA615" s="135">
        <v>5528</v>
      </c>
      <c r="AB615" s="249">
        <f>(WTG_BD[[#This Row],[Paired WTG Generation for loss calculation.]]/24)*WTG_BD[[#This Row],[Breakdown Time]]</f>
        <v>5524.1611111111115</v>
      </c>
      <c r="AC615" s="135"/>
      <c r="AD615" s="245"/>
      <c r="AE615" s="3"/>
    </row>
    <row r="616" spans="1:31">
      <c r="A616" s="241">
        <f t="shared" si="20"/>
        <v>615</v>
      </c>
      <c r="B616" s="255">
        <v>45802</v>
      </c>
      <c r="C616" s="252">
        <v>2025</v>
      </c>
      <c r="D616" s="252">
        <v>2025</v>
      </c>
      <c r="E616" s="251">
        <f t="shared" si="19"/>
        <v>45778</v>
      </c>
      <c r="F616" s="252" t="s">
        <v>465</v>
      </c>
      <c r="G616" s="248" t="s">
        <v>142</v>
      </c>
      <c r="H616" s="242" t="str">
        <f>IFERROR(VLOOKUP(WTG_BD[[#This Row],[Affected WTG]],'Basic Data'!$A$3:$E$56,2,0),"")</f>
        <v>PWEGPL</v>
      </c>
      <c r="I616" s="242" t="str">
        <f>IFERROR(VLOOKUP(WTG_BD[[#This Row],[Affected WTG]],'Basic Data'!$A$3:$E$56,3,0),"")</f>
        <v>MSEDCL</v>
      </c>
      <c r="J616" s="243">
        <f>IFERROR(VLOOKUP(WTG_BD[[#This Row],[Affected WTG]],'Basic Data'!$A$3:$E$56,5,0),"")</f>
        <v>2.564102564102564E-2</v>
      </c>
      <c r="K616" s="158" t="s">
        <v>466</v>
      </c>
      <c r="L616" s="247" t="str">
        <f>VLOOKUP(K616,'Basic Data'!T:U,2,0)</f>
        <v>Manual Stop - Safety Related</v>
      </c>
      <c r="M616" s="135" t="s">
        <v>467</v>
      </c>
      <c r="N616" s="256">
        <v>0</v>
      </c>
      <c r="O616" s="256">
        <v>0.99930555555555556</v>
      </c>
      <c r="P616" s="256">
        <v>0.99930555555555556</v>
      </c>
      <c r="Q616" s="253">
        <f>IF(WTG_BD[[#This Row],[Work Start TimeStamp]]="","",(WTG_BD[[#This Row],[Work Start TimeStamp]]-WTG_BD[[#This Row],[Fault Start TimeStamp]])*24)</f>
        <v>23.983333333333334</v>
      </c>
      <c r="R616" s="253">
        <f>(WTG_BD[[#This Row],[Fault Clearance time]]-WTG_BD[[#This Row],[Work Start TimeStamp]])*24</f>
        <v>0</v>
      </c>
      <c r="S616" s="253">
        <f>(WTG_BD[[#This Row],[Fault Clearance time]]-WTG_BD[[#This Row],[Fault Start TimeStamp]])*24</f>
        <v>23.983333333333334</v>
      </c>
      <c r="T616" s="135" t="s">
        <v>468</v>
      </c>
      <c r="U616" s="244" t="s">
        <v>469</v>
      </c>
      <c r="V616" s="246">
        <f>WTG_BD[[#This Row],[Breakdown Time]]*(1/39)</f>
        <v>0.61495726495726499</v>
      </c>
      <c r="W616" s="244" t="s">
        <v>141</v>
      </c>
      <c r="X616" s="250">
        <v>5524.1611111111115</v>
      </c>
      <c r="Y616" s="135" t="s">
        <v>470</v>
      </c>
      <c r="Z616" s="135" t="s">
        <v>471</v>
      </c>
      <c r="AA616" s="135">
        <v>5528</v>
      </c>
      <c r="AB616" s="249">
        <f>(WTG_BD[[#This Row],[Paired WTG Generation for loss calculation.]]/24)*WTG_BD[[#This Row],[Breakdown Time]]</f>
        <v>5524.1611111111115</v>
      </c>
      <c r="AC616" s="135"/>
      <c r="AD616" s="245"/>
      <c r="AE616" s="3"/>
    </row>
    <row r="617" spans="1:31">
      <c r="A617" s="241">
        <f t="shared" si="20"/>
        <v>616</v>
      </c>
      <c r="B617" s="255">
        <v>45802</v>
      </c>
      <c r="C617" s="252">
        <v>2025</v>
      </c>
      <c r="D617" s="252">
        <v>2025</v>
      </c>
      <c r="E617" s="251">
        <f t="shared" si="19"/>
        <v>45778</v>
      </c>
      <c r="F617" s="252" t="s">
        <v>465</v>
      </c>
      <c r="G617" s="248" t="s">
        <v>124</v>
      </c>
      <c r="H617" s="242" t="str">
        <f>IFERROR(VLOOKUP(WTG_BD[[#This Row],[Affected WTG]],'Basic Data'!$A$3:$E$56,2,0),"")</f>
        <v>PWEGPL</v>
      </c>
      <c r="I617" s="242" t="str">
        <f>IFERROR(VLOOKUP(WTG_BD[[#This Row],[Affected WTG]],'Basic Data'!$A$3:$E$56,3,0),"")</f>
        <v>MSEDCL</v>
      </c>
      <c r="J617" s="243">
        <f>IFERROR(VLOOKUP(WTG_BD[[#This Row],[Affected WTG]],'Basic Data'!$A$3:$E$56,5,0),"")</f>
        <v>2.564102564102564E-2</v>
      </c>
      <c r="K617" s="158">
        <v>5201</v>
      </c>
      <c r="L617" s="247" t="str">
        <f>VLOOKUP(K617,'Basic Data'!T:U,2,0)</f>
        <v>Magnetothermic Trigger Of The Stator Protection</v>
      </c>
      <c r="M617" s="135" t="s">
        <v>472</v>
      </c>
      <c r="N617" s="256">
        <v>0.45833333333333331</v>
      </c>
      <c r="O617" s="256">
        <v>0.47916666666666669</v>
      </c>
      <c r="P617" s="256">
        <v>0.47986111111111113</v>
      </c>
      <c r="Q617" s="253">
        <f>IF(WTG_BD[[#This Row],[Work Start TimeStamp]]="","",(WTG_BD[[#This Row],[Work Start TimeStamp]]-WTG_BD[[#This Row],[Fault Start TimeStamp]])*24)</f>
        <v>0.50000000000000089</v>
      </c>
      <c r="R617" s="253">
        <f>(WTG_BD[[#This Row],[Fault Clearance time]]-WTG_BD[[#This Row],[Work Start TimeStamp]])*24</f>
        <v>1.6666666666666607E-2</v>
      </c>
      <c r="S617" s="253">
        <f>(WTG_BD[[#This Row],[Fault Clearance time]]-WTG_BD[[#This Row],[Fault Start TimeStamp]])*24</f>
        <v>0.5166666666666675</v>
      </c>
      <c r="T617" s="135" t="s">
        <v>473</v>
      </c>
      <c r="U617" s="244" t="s">
        <v>474</v>
      </c>
      <c r="V617" s="246">
        <f>WTG_BD[[#This Row],[Breakdown Time]]*(1/39)</f>
        <v>1.3247863247863268E-2</v>
      </c>
      <c r="W617" s="244" t="s">
        <v>125</v>
      </c>
      <c r="X617" s="250">
        <v>154.22500000000025</v>
      </c>
      <c r="Y617" s="135" t="s">
        <v>470</v>
      </c>
      <c r="Z617" s="135" t="s">
        <v>475</v>
      </c>
      <c r="AA617" s="135">
        <v>7164</v>
      </c>
      <c r="AB617" s="249">
        <f>(WTG_BD[[#This Row],[Paired WTG Generation for loss calculation.]]/24)*WTG_BD[[#This Row],[Breakdown Time]]</f>
        <v>154.22500000000025</v>
      </c>
      <c r="AC617" s="135"/>
      <c r="AD617" s="245"/>
      <c r="AE617" s="3"/>
    </row>
    <row r="618" spans="1:31">
      <c r="A618" s="241">
        <f t="shared" si="20"/>
        <v>617</v>
      </c>
      <c r="B618" s="255">
        <v>45802</v>
      </c>
      <c r="C618" s="252">
        <v>2025</v>
      </c>
      <c r="D618" s="252">
        <v>2025</v>
      </c>
      <c r="E618" s="251">
        <f t="shared" si="19"/>
        <v>45778</v>
      </c>
      <c r="F618" s="252" t="s">
        <v>465</v>
      </c>
      <c r="G618" s="248" t="s">
        <v>130</v>
      </c>
      <c r="H618" s="242" t="str">
        <f>IFERROR(VLOOKUP(WTG_BD[[#This Row],[Affected WTG]],'Basic Data'!$A$3:$E$56,2,0),"")</f>
        <v>PWEGPL</v>
      </c>
      <c r="I618" s="242" t="str">
        <f>IFERROR(VLOOKUP(WTG_BD[[#This Row],[Affected WTG]],'Basic Data'!$A$3:$E$56,3,0),"")</f>
        <v>MSEDCL</v>
      </c>
      <c r="J618" s="243">
        <f>IFERROR(VLOOKUP(WTG_BD[[#This Row],[Affected WTG]],'Basic Data'!$A$3:$E$56,5,0),"")</f>
        <v>2.564102564102564E-2</v>
      </c>
      <c r="K618" s="158">
        <v>2118</v>
      </c>
      <c r="L618" s="247" t="str">
        <f>VLOOKUP(K618,'Basic Data'!T:U,2,0)</f>
        <v>Bus Error - Interbus Failure</v>
      </c>
      <c r="M618" s="135" t="s">
        <v>472</v>
      </c>
      <c r="N618" s="256">
        <v>0.22430555555555556</v>
      </c>
      <c r="O618" s="256">
        <v>0.27986111111111112</v>
      </c>
      <c r="P618" s="256">
        <v>0.28125</v>
      </c>
      <c r="Q618" s="253">
        <f>IF(WTG_BD[[#This Row],[Work Start TimeStamp]]="","",(WTG_BD[[#This Row],[Work Start TimeStamp]]-WTG_BD[[#This Row],[Fault Start TimeStamp]])*24)</f>
        <v>1.3333333333333333</v>
      </c>
      <c r="R618" s="253">
        <f>(WTG_BD[[#This Row],[Fault Clearance time]]-WTG_BD[[#This Row],[Work Start TimeStamp]])*24</f>
        <v>3.3333333333333215E-2</v>
      </c>
      <c r="S618" s="253">
        <f>(WTG_BD[[#This Row],[Fault Clearance time]]-WTG_BD[[#This Row],[Fault Start TimeStamp]])*24</f>
        <v>1.3666666666666665</v>
      </c>
      <c r="T618" s="135" t="s">
        <v>482</v>
      </c>
      <c r="U618" s="244" t="s">
        <v>474</v>
      </c>
      <c r="V618" s="246">
        <f>WTG_BD[[#This Row],[Breakdown Time]]*(1/39)</f>
        <v>3.5042735042735036E-2</v>
      </c>
      <c r="W618" s="244" t="s">
        <v>129</v>
      </c>
      <c r="X618" s="250">
        <v>405.95694444444439</v>
      </c>
      <c r="Y618" s="135" t="s">
        <v>470</v>
      </c>
      <c r="Z618" s="135" t="s">
        <v>475</v>
      </c>
      <c r="AA618" s="135">
        <v>7129</v>
      </c>
      <c r="AB618" s="249">
        <f>(WTG_BD[[#This Row],[Paired WTG Generation for loss calculation.]]/24)*WTG_BD[[#This Row],[Breakdown Time]]</f>
        <v>405.95694444444439</v>
      </c>
      <c r="AC618" s="135"/>
      <c r="AD618" s="245"/>
      <c r="AE618" s="3"/>
    </row>
    <row r="619" spans="1:31">
      <c r="A619" s="241">
        <f t="shared" si="20"/>
        <v>618</v>
      </c>
      <c r="B619" s="255">
        <v>45802</v>
      </c>
      <c r="C619" s="252">
        <v>2025</v>
      </c>
      <c r="D619" s="252">
        <v>2025</v>
      </c>
      <c r="E619" s="251">
        <f t="shared" si="19"/>
        <v>45778</v>
      </c>
      <c r="F619" s="252" t="s">
        <v>465</v>
      </c>
      <c r="G619" s="248" t="s">
        <v>131</v>
      </c>
      <c r="H619" s="242" t="str">
        <f>IFERROR(VLOOKUP(WTG_BD[[#This Row],[Affected WTG]],'Basic Data'!$A$3:$E$56,2,0),"")</f>
        <v>PWEGPL</v>
      </c>
      <c r="I619" s="242" t="str">
        <f>IFERROR(VLOOKUP(WTG_BD[[#This Row],[Affected WTG]],'Basic Data'!$A$3:$E$56,3,0),"")</f>
        <v>MSEDCL</v>
      </c>
      <c r="J619" s="243">
        <f>IFERROR(VLOOKUP(WTG_BD[[#This Row],[Affected WTG]],'Basic Data'!$A$3:$E$56,5,0),"")</f>
        <v>2.564102564102564E-2</v>
      </c>
      <c r="K619" s="158" t="s">
        <v>549</v>
      </c>
      <c r="L619" s="247" t="str">
        <f>VLOOKUP(K619,'Basic Data'!T:U,2,0)</f>
        <v>Manual Stop - Preventive Maintenance Activity</v>
      </c>
      <c r="M619" s="135" t="s">
        <v>550</v>
      </c>
      <c r="N619" s="256">
        <v>0.45694444444444443</v>
      </c>
      <c r="O619" s="256">
        <v>0.45694444444444443</v>
      </c>
      <c r="P619" s="256">
        <v>0.74930555555555556</v>
      </c>
      <c r="Q619" s="253">
        <f>IF(WTG_BD[[#This Row],[Work Start TimeStamp]]="","",(WTG_BD[[#This Row],[Work Start TimeStamp]]-WTG_BD[[#This Row],[Fault Start TimeStamp]])*24)</f>
        <v>0</v>
      </c>
      <c r="R619" s="253">
        <f>(WTG_BD[[#This Row],[Fault Clearance time]]-WTG_BD[[#This Row],[Work Start TimeStamp]])*24</f>
        <v>7.0166666666666675</v>
      </c>
      <c r="S619" s="253">
        <f>(WTG_BD[[#This Row],[Fault Clearance time]]-WTG_BD[[#This Row],[Fault Start TimeStamp]])*24</f>
        <v>7.0166666666666675</v>
      </c>
      <c r="T619" s="135" t="s">
        <v>571</v>
      </c>
      <c r="U619" s="244" t="s">
        <v>474</v>
      </c>
      <c r="V619" s="246">
        <f>WTG_BD[[#This Row],[Breakdown Time]]*(1/39)</f>
        <v>0.17991452991452994</v>
      </c>
      <c r="W619" s="244" t="s">
        <v>130</v>
      </c>
      <c r="X619" s="250">
        <v>2016.7069444444448</v>
      </c>
      <c r="Y619" s="135" t="s">
        <v>470</v>
      </c>
      <c r="Z619" s="135" t="s">
        <v>552</v>
      </c>
      <c r="AA619" s="135">
        <v>6898</v>
      </c>
      <c r="AB619" s="249">
        <f>(WTG_BD[[#This Row],[Paired WTG Generation for loss calculation.]]/24)*WTG_BD[[#This Row],[Breakdown Time]]</f>
        <v>2016.7069444444448</v>
      </c>
      <c r="AC619" s="135"/>
      <c r="AD619" s="245"/>
      <c r="AE619" s="3"/>
    </row>
    <row r="620" spans="1:31">
      <c r="A620" s="241">
        <f t="shared" si="20"/>
        <v>619</v>
      </c>
      <c r="B620" s="255">
        <v>45802</v>
      </c>
      <c r="C620" s="252">
        <v>2025</v>
      </c>
      <c r="D620" s="252">
        <v>2025</v>
      </c>
      <c r="E620" s="251">
        <f t="shared" si="19"/>
        <v>45778</v>
      </c>
      <c r="F620" s="252" t="s">
        <v>465</v>
      </c>
      <c r="G620" s="248" t="s">
        <v>145</v>
      </c>
      <c r="H620" s="242" t="str">
        <f>IFERROR(VLOOKUP(WTG_BD[[#This Row],[Affected WTG]],'Basic Data'!$A$3:$E$56,2,0),"")</f>
        <v>PWEGPL</v>
      </c>
      <c r="I620" s="242" t="str">
        <f>IFERROR(VLOOKUP(WTG_BD[[#This Row],[Affected WTG]],'Basic Data'!$A$3:$E$56,3,0),"")</f>
        <v>MSEDCL</v>
      </c>
      <c r="J620" s="243">
        <f>IFERROR(VLOOKUP(WTG_BD[[#This Row],[Affected WTG]],'Basic Data'!$A$3:$E$56,5,0),"")</f>
        <v>2.564102564102564E-2</v>
      </c>
      <c r="K620" s="158" t="s">
        <v>466</v>
      </c>
      <c r="L620" s="247" t="str">
        <f>VLOOKUP(K620,'Basic Data'!T:U,2,0)</f>
        <v>Manual Stop - Safety Related</v>
      </c>
      <c r="M620" s="135" t="s">
        <v>467</v>
      </c>
      <c r="N620" s="256">
        <v>0.52500000000000002</v>
      </c>
      <c r="O620" s="256">
        <v>0.52500000000000002</v>
      </c>
      <c r="P620" s="256">
        <v>0.58680555555555558</v>
      </c>
      <c r="Q620" s="253">
        <f>IF(WTG_BD[[#This Row],[Work Start TimeStamp]]="","",(WTG_BD[[#This Row],[Work Start TimeStamp]]-WTG_BD[[#This Row],[Fault Start TimeStamp]])*24)</f>
        <v>0</v>
      </c>
      <c r="R620" s="253">
        <f>(WTG_BD[[#This Row],[Fault Clearance time]]-WTG_BD[[#This Row],[Work Start TimeStamp]])*24</f>
        <v>1.4833333333333334</v>
      </c>
      <c r="S620" s="253">
        <f>(WTG_BD[[#This Row],[Fault Clearance time]]-WTG_BD[[#This Row],[Fault Start TimeStamp]])*24</f>
        <v>1.4833333333333334</v>
      </c>
      <c r="T620" s="135" t="s">
        <v>503</v>
      </c>
      <c r="U620" s="244" t="s">
        <v>474</v>
      </c>
      <c r="V620" s="246">
        <f>WTG_BD[[#This Row],[Breakdown Time]]*(1/39)</f>
        <v>3.8034188034188038E-2</v>
      </c>
      <c r="W620" s="244" t="s">
        <v>139</v>
      </c>
      <c r="X620" s="250">
        <v>361.06805555555553</v>
      </c>
      <c r="Y620" s="135" t="s">
        <v>470</v>
      </c>
      <c r="Z620" s="135" t="s">
        <v>471</v>
      </c>
      <c r="AA620" s="135">
        <v>5842</v>
      </c>
      <c r="AB620" s="249">
        <f>(WTG_BD[[#This Row],[Paired WTG Generation for loss calculation.]]/24)*WTG_BD[[#This Row],[Breakdown Time]]</f>
        <v>361.06805555555553</v>
      </c>
      <c r="AC620" s="135"/>
      <c r="AD620" s="245"/>
      <c r="AE620" s="3"/>
    </row>
    <row r="621" spans="1:31">
      <c r="A621" s="241">
        <f t="shared" si="20"/>
        <v>620</v>
      </c>
      <c r="B621" s="255">
        <v>45803</v>
      </c>
      <c r="C621" s="252">
        <v>2025</v>
      </c>
      <c r="D621" s="252">
        <v>2025</v>
      </c>
      <c r="E621" s="251">
        <f t="shared" si="19"/>
        <v>45778</v>
      </c>
      <c r="F621" s="252" t="s">
        <v>465</v>
      </c>
      <c r="G621" s="248" t="s">
        <v>144</v>
      </c>
      <c r="H621" s="242" t="str">
        <f>IFERROR(VLOOKUP(WTG_BD[[#This Row],[Affected WTG]],'Basic Data'!$A$3:$E$56,2,0),"")</f>
        <v>PWEGPL</v>
      </c>
      <c r="I621" s="242" t="str">
        <f>IFERROR(VLOOKUP(WTG_BD[[#This Row],[Affected WTG]],'Basic Data'!$A$3:$E$56,3,0),"")</f>
        <v>MSEDCL</v>
      </c>
      <c r="J621" s="243">
        <f>IFERROR(VLOOKUP(WTG_BD[[#This Row],[Affected WTG]],'Basic Data'!$A$3:$E$56,5,0),"")</f>
        <v>2.564102564102564E-2</v>
      </c>
      <c r="K621" s="158" t="s">
        <v>466</v>
      </c>
      <c r="L621" s="247" t="str">
        <f>VLOOKUP(K621,'Basic Data'!T:U,2,0)</f>
        <v>Manual Stop - Safety Related</v>
      </c>
      <c r="M621" s="135" t="s">
        <v>467</v>
      </c>
      <c r="N621" s="256">
        <v>0</v>
      </c>
      <c r="O621" s="256">
        <v>0.99930555555555556</v>
      </c>
      <c r="P621" s="256">
        <v>0.99930555555555556</v>
      </c>
      <c r="Q621" s="253">
        <f>IF(WTG_BD[[#This Row],[Work Start TimeStamp]]="","",(WTG_BD[[#This Row],[Work Start TimeStamp]]-WTG_BD[[#This Row],[Fault Start TimeStamp]])*24)</f>
        <v>23.983333333333334</v>
      </c>
      <c r="R621" s="253">
        <f>(WTG_BD[[#This Row],[Fault Clearance time]]-WTG_BD[[#This Row],[Work Start TimeStamp]])*24</f>
        <v>0</v>
      </c>
      <c r="S621" s="253">
        <f>(WTG_BD[[#This Row],[Fault Clearance time]]-WTG_BD[[#This Row],[Fault Start TimeStamp]])*24</f>
        <v>23.983333333333334</v>
      </c>
      <c r="T621" s="135" t="s">
        <v>468</v>
      </c>
      <c r="U621" s="244" t="s">
        <v>469</v>
      </c>
      <c r="V621" s="246">
        <f>WTG_BD[[#This Row],[Breakdown Time]]*(1/39)</f>
        <v>0.61495726495726499</v>
      </c>
      <c r="W621" s="244" t="s">
        <v>141</v>
      </c>
      <c r="X621" s="250">
        <v>3646.4659722222223</v>
      </c>
      <c r="Y621" s="135" t="s">
        <v>470</v>
      </c>
      <c r="Z621" s="135" t="s">
        <v>471</v>
      </c>
      <c r="AA621" s="135">
        <v>3649</v>
      </c>
      <c r="AB621" s="249">
        <f>(WTG_BD[[#This Row],[Paired WTG Generation for loss calculation.]]/24)*WTG_BD[[#This Row],[Breakdown Time]]</f>
        <v>3646.4659722222223</v>
      </c>
      <c r="AC621" s="135"/>
      <c r="AD621" s="245"/>
      <c r="AE621" s="3"/>
    </row>
    <row r="622" spans="1:31">
      <c r="A622" s="241">
        <f t="shared" si="20"/>
        <v>621</v>
      </c>
      <c r="B622" s="255">
        <v>45803</v>
      </c>
      <c r="C622" s="252">
        <v>2025</v>
      </c>
      <c r="D622" s="252">
        <v>2025</v>
      </c>
      <c r="E622" s="251">
        <f t="shared" si="19"/>
        <v>45778</v>
      </c>
      <c r="F622" s="252" t="s">
        <v>465</v>
      </c>
      <c r="G622" s="248" t="s">
        <v>142</v>
      </c>
      <c r="H622" s="242" t="str">
        <f>IFERROR(VLOOKUP(WTG_BD[[#This Row],[Affected WTG]],'Basic Data'!$A$3:$E$56,2,0),"")</f>
        <v>PWEGPL</v>
      </c>
      <c r="I622" s="242" t="str">
        <f>IFERROR(VLOOKUP(WTG_BD[[#This Row],[Affected WTG]],'Basic Data'!$A$3:$E$56,3,0),"")</f>
        <v>MSEDCL</v>
      </c>
      <c r="J622" s="243">
        <f>IFERROR(VLOOKUP(WTG_BD[[#This Row],[Affected WTG]],'Basic Data'!$A$3:$E$56,5,0),"")</f>
        <v>2.564102564102564E-2</v>
      </c>
      <c r="K622" s="158" t="s">
        <v>466</v>
      </c>
      <c r="L622" s="247" t="str">
        <f>VLOOKUP(K622,'Basic Data'!T:U,2,0)</f>
        <v>Manual Stop - Safety Related</v>
      </c>
      <c r="M622" s="135" t="s">
        <v>467</v>
      </c>
      <c r="N622" s="256">
        <v>0</v>
      </c>
      <c r="O622" s="256">
        <v>0.99930555555555556</v>
      </c>
      <c r="P622" s="256">
        <v>0.99930555555555556</v>
      </c>
      <c r="Q622" s="253">
        <f>IF(WTG_BD[[#This Row],[Work Start TimeStamp]]="","",(WTG_BD[[#This Row],[Work Start TimeStamp]]-WTG_BD[[#This Row],[Fault Start TimeStamp]])*24)</f>
        <v>23.983333333333334</v>
      </c>
      <c r="R622" s="253">
        <f>(WTG_BD[[#This Row],[Fault Clearance time]]-WTG_BD[[#This Row],[Work Start TimeStamp]])*24</f>
        <v>0</v>
      </c>
      <c r="S622" s="253">
        <f>(WTG_BD[[#This Row],[Fault Clearance time]]-WTG_BD[[#This Row],[Fault Start TimeStamp]])*24</f>
        <v>23.983333333333334</v>
      </c>
      <c r="T622" s="135" t="s">
        <v>468</v>
      </c>
      <c r="U622" s="244" t="s">
        <v>469</v>
      </c>
      <c r="V622" s="246">
        <f>WTG_BD[[#This Row],[Breakdown Time]]*(1/39)</f>
        <v>0.61495726495726499</v>
      </c>
      <c r="W622" s="244" t="s">
        <v>141</v>
      </c>
      <c r="X622" s="250">
        <v>3646.4659722222223</v>
      </c>
      <c r="Y622" s="135" t="s">
        <v>470</v>
      </c>
      <c r="Z622" s="135" t="s">
        <v>471</v>
      </c>
      <c r="AA622" s="135">
        <v>3649</v>
      </c>
      <c r="AB622" s="249">
        <f>(WTG_BD[[#This Row],[Paired WTG Generation for loss calculation.]]/24)*WTG_BD[[#This Row],[Breakdown Time]]</f>
        <v>3646.4659722222223</v>
      </c>
      <c r="AC622" s="135"/>
      <c r="AD622" s="245"/>
      <c r="AE622" s="3"/>
    </row>
    <row r="623" spans="1:31">
      <c r="A623" s="241">
        <f t="shared" si="20"/>
        <v>622</v>
      </c>
      <c r="B623" s="255">
        <v>45803</v>
      </c>
      <c r="C623" s="252">
        <v>2025</v>
      </c>
      <c r="D623" s="252">
        <v>2025</v>
      </c>
      <c r="E623" s="251">
        <f t="shared" si="19"/>
        <v>45778</v>
      </c>
      <c r="F623" s="252" t="s">
        <v>465</v>
      </c>
      <c r="G623" s="248" t="s">
        <v>118</v>
      </c>
      <c r="H623" s="242" t="str">
        <f>IFERROR(VLOOKUP(WTG_BD[[#This Row],[Affected WTG]],'Basic Data'!$A$3:$E$56,2,0),"")</f>
        <v>PWEGPL</v>
      </c>
      <c r="I623" s="242" t="str">
        <f>IFERROR(VLOOKUP(WTG_BD[[#This Row],[Affected WTG]],'Basic Data'!$A$3:$E$56,3,0),"")</f>
        <v>MSEDCL</v>
      </c>
      <c r="J623" s="243">
        <f>IFERROR(VLOOKUP(WTG_BD[[#This Row],[Affected WTG]],'Basic Data'!$A$3:$E$56,5,0),"")</f>
        <v>2.564102564102564E-2</v>
      </c>
      <c r="K623" s="158">
        <v>2118</v>
      </c>
      <c r="L623" s="247" t="str">
        <f>VLOOKUP(K623,'Basic Data'!T:U,2,0)</f>
        <v>Bus Error - Interbus Failure</v>
      </c>
      <c r="M623" s="135" t="s">
        <v>472</v>
      </c>
      <c r="N623" s="256">
        <v>0.83333333333333337</v>
      </c>
      <c r="O623" s="256">
        <v>0.87361111111111112</v>
      </c>
      <c r="P623" s="256">
        <v>0.875</v>
      </c>
      <c r="Q623" s="253">
        <f>IF(WTG_BD[[#This Row],[Work Start TimeStamp]]="","",(WTG_BD[[#This Row],[Work Start TimeStamp]]-WTG_BD[[#This Row],[Fault Start TimeStamp]])*24)</f>
        <v>0.9666666666666659</v>
      </c>
      <c r="R623" s="253">
        <f>(WTG_BD[[#This Row],[Fault Clearance time]]-WTG_BD[[#This Row],[Work Start TimeStamp]])*24</f>
        <v>3.3333333333333215E-2</v>
      </c>
      <c r="S623" s="253">
        <f>(WTG_BD[[#This Row],[Fault Clearance time]]-WTG_BD[[#This Row],[Fault Start TimeStamp]])*24</f>
        <v>0.99999999999999911</v>
      </c>
      <c r="T623" s="135" t="s">
        <v>473</v>
      </c>
      <c r="U623" s="244" t="s">
        <v>474</v>
      </c>
      <c r="V623" s="246">
        <f>WTG_BD[[#This Row],[Breakdown Time]]*(1/39)</f>
        <v>2.5641025641025616E-2</v>
      </c>
      <c r="W623" s="244" t="s">
        <v>117</v>
      </c>
      <c r="X623" s="250">
        <v>184.20833333333317</v>
      </c>
      <c r="Y623" s="135" t="s">
        <v>470</v>
      </c>
      <c r="Z623" s="135" t="s">
        <v>475</v>
      </c>
      <c r="AA623" s="135">
        <v>4421</v>
      </c>
      <c r="AB623" s="249">
        <f>(WTG_BD[[#This Row],[Paired WTG Generation for loss calculation.]]/24)*WTG_BD[[#This Row],[Breakdown Time]]</f>
        <v>184.20833333333317</v>
      </c>
      <c r="AC623" s="135"/>
      <c r="AD623" s="245"/>
      <c r="AE623" s="3"/>
    </row>
    <row r="624" spans="1:31">
      <c r="A624" s="241">
        <f t="shared" si="20"/>
        <v>623</v>
      </c>
      <c r="B624" s="255">
        <v>45803</v>
      </c>
      <c r="C624" s="252">
        <v>2025</v>
      </c>
      <c r="D624" s="252">
        <v>2025</v>
      </c>
      <c r="E624" s="251">
        <f t="shared" si="19"/>
        <v>45778</v>
      </c>
      <c r="F624" s="252" t="s">
        <v>465</v>
      </c>
      <c r="G624" s="158" t="s">
        <v>132</v>
      </c>
      <c r="H624" s="242" t="str">
        <f>IFERROR(VLOOKUP(WTG_BD[[#This Row],[Affected WTG]],'Basic Data'!$A$3:$E$56,2,0),"")</f>
        <v>PWEGPL</v>
      </c>
      <c r="I624" s="242" t="str">
        <f>IFERROR(VLOOKUP(WTG_BD[[#This Row],[Affected WTG]],'Basic Data'!$A$3:$E$56,3,0),"")</f>
        <v>MSEDCL</v>
      </c>
      <c r="J624" s="243">
        <f>IFERROR(VLOOKUP(WTG_BD[[#This Row],[Affected WTG]],'Basic Data'!$A$3:$E$56,5,0),"")</f>
        <v>2.564102564102564E-2</v>
      </c>
      <c r="K624" s="158" t="s">
        <v>549</v>
      </c>
      <c r="L624" s="247" t="str">
        <f>VLOOKUP(K624,'Basic Data'!T:U,2,0)</f>
        <v>Manual Stop - Preventive Maintenance Activity</v>
      </c>
      <c r="M624" s="135" t="s">
        <v>550</v>
      </c>
      <c r="N624" s="256">
        <v>0.54513888888888884</v>
      </c>
      <c r="O624" s="256">
        <v>0.54513888888888884</v>
      </c>
      <c r="P624" s="256">
        <v>0.82708333333333328</v>
      </c>
      <c r="Q624" s="253">
        <f>IF(WTG_BD[[#This Row],[Work Start TimeStamp]]="","",(WTG_BD[[#This Row],[Work Start TimeStamp]]-WTG_BD[[#This Row],[Fault Start TimeStamp]])*24)</f>
        <v>0</v>
      </c>
      <c r="R624" s="253">
        <f>(WTG_BD[[#This Row],[Fault Clearance time]]-WTG_BD[[#This Row],[Work Start TimeStamp]])*24</f>
        <v>6.7666666666666666</v>
      </c>
      <c r="S624" s="253">
        <f>(WTG_BD[[#This Row],[Fault Clearance time]]-WTG_BD[[#This Row],[Fault Start TimeStamp]])*24</f>
        <v>6.7666666666666666</v>
      </c>
      <c r="T624" s="135" t="s">
        <v>571</v>
      </c>
      <c r="U624" s="244" t="s">
        <v>474</v>
      </c>
      <c r="V624" s="246">
        <f>WTG_BD[[#This Row],[Breakdown Time]]*(1/39)</f>
        <v>0.1735042735042735</v>
      </c>
      <c r="W624" s="244" t="s">
        <v>131</v>
      </c>
      <c r="X624" s="250">
        <v>1058.1375</v>
      </c>
      <c r="Y624" s="135" t="s">
        <v>470</v>
      </c>
      <c r="Z624" s="135" t="s">
        <v>552</v>
      </c>
      <c r="AA624" s="135">
        <v>3753</v>
      </c>
      <c r="AB624" s="249">
        <f>(WTG_BD[[#This Row],[Paired WTG Generation for loss calculation.]]/24)*WTG_BD[[#This Row],[Breakdown Time]]</f>
        <v>1058.1375</v>
      </c>
      <c r="AC624" s="135"/>
      <c r="AD624" s="245"/>
      <c r="AE624" s="3"/>
    </row>
    <row r="625" spans="1:31">
      <c r="A625" s="241">
        <f t="shared" si="20"/>
        <v>624</v>
      </c>
      <c r="B625" s="255">
        <v>45803</v>
      </c>
      <c r="C625" s="252">
        <v>2025</v>
      </c>
      <c r="D625" s="252">
        <v>2025</v>
      </c>
      <c r="E625" s="251">
        <f t="shared" si="19"/>
        <v>45778</v>
      </c>
      <c r="F625" s="252" t="s">
        <v>465</v>
      </c>
      <c r="G625" s="248" t="s">
        <v>133</v>
      </c>
      <c r="H625" s="242" t="str">
        <f>IFERROR(VLOOKUP(WTG_BD[[#This Row],[Affected WTG]],'Basic Data'!$A$3:$E$56,2,0),"")</f>
        <v>PWEGPL</v>
      </c>
      <c r="I625" s="242" t="str">
        <f>IFERROR(VLOOKUP(WTG_BD[[#This Row],[Affected WTG]],'Basic Data'!$A$3:$E$56,3,0),"")</f>
        <v>MSEDCL</v>
      </c>
      <c r="J625" s="243">
        <f>IFERROR(VLOOKUP(WTG_BD[[#This Row],[Affected WTG]],'Basic Data'!$A$3:$E$56,5,0),"")</f>
        <v>2.564102564102564E-2</v>
      </c>
      <c r="K625" s="158" t="s">
        <v>549</v>
      </c>
      <c r="L625" s="247" t="str">
        <f>VLOOKUP(K625,'Basic Data'!T:U,2,0)</f>
        <v>Manual Stop - Preventive Maintenance Activity</v>
      </c>
      <c r="M625" s="135" t="s">
        <v>550</v>
      </c>
      <c r="N625" s="256">
        <v>0.47291666666666665</v>
      </c>
      <c r="O625" s="256">
        <v>0.47291666666666665</v>
      </c>
      <c r="P625" s="256">
        <v>0.76041666666666663</v>
      </c>
      <c r="Q625" s="253">
        <f>IF(WTG_BD[[#This Row],[Work Start TimeStamp]]="","",(WTG_BD[[#This Row],[Work Start TimeStamp]]-WTG_BD[[#This Row],[Fault Start TimeStamp]])*24)</f>
        <v>0</v>
      </c>
      <c r="R625" s="253">
        <f>(WTG_BD[[#This Row],[Fault Clearance time]]-WTG_BD[[#This Row],[Work Start TimeStamp]])*24</f>
        <v>6.8999999999999995</v>
      </c>
      <c r="S625" s="253">
        <f>(WTG_BD[[#This Row],[Fault Clearance time]]-WTG_BD[[#This Row],[Fault Start TimeStamp]])*24</f>
        <v>6.8999999999999995</v>
      </c>
      <c r="T625" s="135" t="s">
        <v>571</v>
      </c>
      <c r="U625" s="244" t="s">
        <v>474</v>
      </c>
      <c r="V625" s="246">
        <f>WTG_BD[[#This Row],[Breakdown Time]]*(1/39)</f>
        <v>0.17692307692307691</v>
      </c>
      <c r="W625" s="244" t="s">
        <v>134</v>
      </c>
      <c r="X625" s="250">
        <v>1080.425</v>
      </c>
      <c r="Y625" s="135" t="s">
        <v>470</v>
      </c>
      <c r="Z625" s="135" t="s">
        <v>552</v>
      </c>
      <c r="AA625" s="135">
        <v>3758</v>
      </c>
      <c r="AB625" s="249">
        <f>(WTG_BD[[#This Row],[Paired WTG Generation for loss calculation.]]/24)*WTG_BD[[#This Row],[Breakdown Time]]</f>
        <v>1080.425</v>
      </c>
      <c r="AC625" s="135"/>
      <c r="AD625" s="245"/>
      <c r="AE625" s="3"/>
    </row>
    <row r="626" spans="1:31">
      <c r="A626" s="241">
        <f t="shared" si="20"/>
        <v>625</v>
      </c>
      <c r="B626" s="255">
        <v>45803</v>
      </c>
      <c r="C626" s="252">
        <v>2025</v>
      </c>
      <c r="D626" s="252">
        <v>2025</v>
      </c>
      <c r="E626" s="251">
        <f t="shared" si="19"/>
        <v>45778</v>
      </c>
      <c r="F626" s="252" t="s">
        <v>465</v>
      </c>
      <c r="G626" s="248" t="s">
        <v>138</v>
      </c>
      <c r="H626" s="242" t="str">
        <f>IFERROR(VLOOKUP(WTG_BD[[#This Row],[Affected WTG]],'Basic Data'!$A$3:$E$56,2,0),"")</f>
        <v>PWEGPL</v>
      </c>
      <c r="I626" s="242" t="str">
        <f>IFERROR(VLOOKUP(WTG_BD[[#This Row],[Affected WTG]],'Basic Data'!$A$3:$E$56,3,0),"")</f>
        <v>MSEDCL</v>
      </c>
      <c r="J626" s="243">
        <f>IFERROR(VLOOKUP(WTG_BD[[#This Row],[Affected WTG]],'Basic Data'!$A$3:$E$56,5,0),"")</f>
        <v>2.564102564102564E-2</v>
      </c>
      <c r="K626" s="158">
        <v>5203</v>
      </c>
      <c r="L626" s="247" t="str">
        <f>VLOOKUP(K626,'Basic Data'!T:U,2,0)</f>
        <v>Heating/Coolant Thermal Magnetic Failure</v>
      </c>
      <c r="M626" s="135" t="s">
        <v>472</v>
      </c>
      <c r="N626" s="256">
        <v>0.54305555555555551</v>
      </c>
      <c r="O626" s="256">
        <v>0.56597222222222221</v>
      </c>
      <c r="P626" s="256">
        <v>0.63194444444444442</v>
      </c>
      <c r="Q626" s="253">
        <f>IF(WTG_BD[[#This Row],[Work Start TimeStamp]]="","",(WTG_BD[[#This Row],[Work Start TimeStamp]]-WTG_BD[[#This Row],[Fault Start TimeStamp]])*24)</f>
        <v>0.55000000000000071</v>
      </c>
      <c r="R626" s="253">
        <f>(WTG_BD[[#This Row],[Fault Clearance time]]-WTG_BD[[#This Row],[Work Start TimeStamp]])*24</f>
        <v>1.583333333333333</v>
      </c>
      <c r="S626" s="253">
        <f>(WTG_BD[[#This Row],[Fault Clearance time]]-WTG_BD[[#This Row],[Fault Start TimeStamp]])*24</f>
        <v>2.1333333333333337</v>
      </c>
      <c r="T626" s="135" t="s">
        <v>613</v>
      </c>
      <c r="U626" s="244" t="s">
        <v>474</v>
      </c>
      <c r="V626" s="246">
        <f>WTG_BD[[#This Row],[Breakdown Time]]*(1/39)</f>
        <v>5.4700854700854708E-2</v>
      </c>
      <c r="W626" s="244" t="s">
        <v>140</v>
      </c>
      <c r="X626" s="250">
        <v>324.62222222222226</v>
      </c>
      <c r="Y626" s="135" t="s">
        <v>470</v>
      </c>
      <c r="Z626" s="135" t="s">
        <v>475</v>
      </c>
      <c r="AA626" s="135">
        <v>3652</v>
      </c>
      <c r="AB626" s="249">
        <f>(WTG_BD[[#This Row],[Paired WTG Generation for loss calculation.]]/24)*WTG_BD[[#This Row],[Breakdown Time]]</f>
        <v>324.62222222222226</v>
      </c>
      <c r="AC626" s="135"/>
      <c r="AD626" s="245"/>
      <c r="AE626" s="3"/>
    </row>
    <row r="627" spans="1:31">
      <c r="A627" s="241">
        <f t="shared" si="20"/>
        <v>626</v>
      </c>
      <c r="B627" s="255">
        <v>45803</v>
      </c>
      <c r="C627" s="252">
        <v>2025</v>
      </c>
      <c r="D627" s="252">
        <v>2025</v>
      </c>
      <c r="E627" s="251">
        <f t="shared" si="19"/>
        <v>45778</v>
      </c>
      <c r="F627" s="252" t="s">
        <v>465</v>
      </c>
      <c r="G627" s="248" t="s">
        <v>138</v>
      </c>
      <c r="H627" s="242" t="str">
        <f>IFERROR(VLOOKUP(WTG_BD[[#This Row],[Affected WTG]],'Basic Data'!$A$3:$E$56,2,0),"")</f>
        <v>PWEGPL</v>
      </c>
      <c r="I627" s="242" t="str">
        <f>IFERROR(VLOOKUP(WTG_BD[[#This Row],[Affected WTG]],'Basic Data'!$A$3:$E$56,3,0),"")</f>
        <v>MSEDCL</v>
      </c>
      <c r="J627" s="243">
        <f>IFERROR(VLOOKUP(WTG_BD[[#This Row],[Affected WTG]],'Basic Data'!$A$3:$E$56,5,0),"")</f>
        <v>2.564102564102564E-2</v>
      </c>
      <c r="K627" s="158">
        <v>5203</v>
      </c>
      <c r="L627" s="247" t="str">
        <f>VLOOKUP(K627,'Basic Data'!T:U,2,0)</f>
        <v>Heating/Coolant Thermal Magnetic Failure</v>
      </c>
      <c r="M627" s="135" t="s">
        <v>472</v>
      </c>
      <c r="N627" s="256">
        <v>0.96944444444444444</v>
      </c>
      <c r="O627" s="256">
        <v>0.98611111111111116</v>
      </c>
      <c r="P627" s="256">
        <v>0.99930555555555556</v>
      </c>
      <c r="Q627" s="253">
        <f>IF(WTG_BD[[#This Row],[Work Start TimeStamp]]="","",(WTG_BD[[#This Row],[Work Start TimeStamp]]-WTG_BD[[#This Row],[Fault Start TimeStamp]])*24)</f>
        <v>0.40000000000000124</v>
      </c>
      <c r="R627" s="253">
        <f>(WTG_BD[[#This Row],[Fault Clearance time]]-WTG_BD[[#This Row],[Work Start TimeStamp]])*24</f>
        <v>0.31666666666666554</v>
      </c>
      <c r="S627" s="253">
        <f>(WTG_BD[[#This Row],[Fault Clearance time]]-WTG_BD[[#This Row],[Fault Start TimeStamp]])*24</f>
        <v>0.71666666666666679</v>
      </c>
      <c r="T627" s="135" t="s">
        <v>486</v>
      </c>
      <c r="U627" s="244" t="s">
        <v>469</v>
      </c>
      <c r="V627" s="246">
        <f>WTG_BD[[#This Row],[Breakdown Time]]*(1/39)</f>
        <v>1.837606837606838E-2</v>
      </c>
      <c r="W627" s="244" t="s">
        <v>140</v>
      </c>
      <c r="X627" s="250">
        <v>109.05277777777779</v>
      </c>
      <c r="Y627" s="135" t="s">
        <v>470</v>
      </c>
      <c r="Z627" s="135" t="s">
        <v>475</v>
      </c>
      <c r="AA627" s="135">
        <v>3652</v>
      </c>
      <c r="AB627" s="249">
        <f>(WTG_BD[[#This Row],[Paired WTG Generation for loss calculation.]]/24)*WTG_BD[[#This Row],[Breakdown Time]]</f>
        <v>109.05277777777779</v>
      </c>
      <c r="AC627" s="135"/>
      <c r="AD627" s="245"/>
      <c r="AE627" s="3"/>
    </row>
    <row r="628" spans="1:31">
      <c r="A628" s="241">
        <f t="shared" si="20"/>
        <v>627</v>
      </c>
      <c r="B628" s="255">
        <v>45803</v>
      </c>
      <c r="C628" s="252">
        <v>2025</v>
      </c>
      <c r="D628" s="252">
        <v>2025</v>
      </c>
      <c r="E628" s="251">
        <f t="shared" si="19"/>
        <v>45778</v>
      </c>
      <c r="F628" s="252" t="s">
        <v>465</v>
      </c>
      <c r="G628" s="248" t="s">
        <v>143</v>
      </c>
      <c r="H628" s="242" t="str">
        <f>IFERROR(VLOOKUP(WTG_BD[[#This Row],[Affected WTG]],'Basic Data'!$A$3:$E$56,2,0),"")</f>
        <v>PWEGPL</v>
      </c>
      <c r="I628" s="242" t="str">
        <f>IFERROR(VLOOKUP(WTG_BD[[#This Row],[Affected WTG]],'Basic Data'!$A$3:$E$56,3,0),"")</f>
        <v>MSEDCL</v>
      </c>
      <c r="J628" s="243">
        <f>IFERROR(VLOOKUP(WTG_BD[[#This Row],[Affected WTG]],'Basic Data'!$A$3:$E$56,5,0),"")</f>
        <v>2.564102564102564E-2</v>
      </c>
      <c r="K628" s="158">
        <v>208</v>
      </c>
      <c r="L628" s="247" t="str">
        <f>VLOOKUP(K628,'Basic Data'!T:U,2,0)</f>
        <v>HU Pump Drive Failure</v>
      </c>
      <c r="M628" s="135" t="s">
        <v>472</v>
      </c>
      <c r="N628" s="256">
        <v>0.67708333333333337</v>
      </c>
      <c r="O628" s="256">
        <v>0.70347222222222228</v>
      </c>
      <c r="P628" s="256">
        <v>0.72916666666666663</v>
      </c>
      <c r="Q628" s="253">
        <f>IF(WTG_BD[[#This Row],[Work Start TimeStamp]]="","",(WTG_BD[[#This Row],[Work Start TimeStamp]]-WTG_BD[[#This Row],[Fault Start TimeStamp]])*24)</f>
        <v>0.63333333333333375</v>
      </c>
      <c r="R628" s="253">
        <f>(WTG_BD[[#This Row],[Fault Clearance time]]-WTG_BD[[#This Row],[Work Start TimeStamp]])*24</f>
        <v>0.61666666666666448</v>
      </c>
      <c r="S628" s="253">
        <f>(WTG_BD[[#This Row],[Fault Clearance time]]-WTG_BD[[#This Row],[Fault Start TimeStamp]])*24</f>
        <v>1.2499999999999982</v>
      </c>
      <c r="T628" s="135" t="s">
        <v>563</v>
      </c>
      <c r="U628" s="244" t="s">
        <v>474</v>
      </c>
      <c r="V628" s="246">
        <f>WTG_BD[[#This Row],[Breakdown Time]]*(1/39)</f>
        <v>3.2051282051282007E-2</v>
      </c>
      <c r="W628" s="244" t="s">
        <v>141</v>
      </c>
      <c r="X628" s="250">
        <v>190.05208333333306</v>
      </c>
      <c r="Y628" s="135" t="s">
        <v>470</v>
      </c>
      <c r="Z628" s="135" t="s">
        <v>475</v>
      </c>
      <c r="AA628" s="135">
        <v>3649</v>
      </c>
      <c r="AB628" s="249">
        <f>(WTG_BD[[#This Row],[Paired WTG Generation for loss calculation.]]/24)*WTG_BD[[#This Row],[Breakdown Time]]</f>
        <v>190.05208333333306</v>
      </c>
      <c r="AC628" s="135"/>
      <c r="AD628" s="245"/>
      <c r="AE628" s="3"/>
    </row>
    <row r="629" spans="1:31">
      <c r="A629" s="241">
        <f t="shared" si="20"/>
        <v>628</v>
      </c>
      <c r="B629" s="255">
        <v>45803</v>
      </c>
      <c r="C629" s="252">
        <v>2025</v>
      </c>
      <c r="D629" s="252">
        <v>2025</v>
      </c>
      <c r="E629" s="251">
        <f t="shared" ref="E629:E694" si="21">B629-DAY(B629)+1</f>
        <v>45778</v>
      </c>
      <c r="F629" s="252" t="s">
        <v>465</v>
      </c>
      <c r="G629" s="248" t="s">
        <v>153</v>
      </c>
      <c r="H629" s="242" t="str">
        <f>IFERROR(VLOOKUP(WTG_BD[[#This Row],[Affected WTG]],'Basic Data'!$A$3:$E$56,2,0),"")</f>
        <v>PWEGPL</v>
      </c>
      <c r="I629" s="242" t="str">
        <f>IFERROR(VLOOKUP(WTG_BD[[#This Row],[Affected WTG]],'Basic Data'!$A$3:$E$56,3,0),"")</f>
        <v>MSEDCL</v>
      </c>
      <c r="J629" s="243">
        <f>IFERROR(VLOOKUP(WTG_BD[[#This Row],[Affected WTG]],'Basic Data'!$A$3:$E$56,5,0),"")</f>
        <v>2.564102564102564E-2</v>
      </c>
      <c r="K629" s="158">
        <v>2118</v>
      </c>
      <c r="L629" s="247" t="str">
        <f>VLOOKUP(K629,'Basic Data'!T:U,2,0)</f>
        <v>Bus Error - Interbus Failure</v>
      </c>
      <c r="M629" s="135" t="s">
        <v>472</v>
      </c>
      <c r="N629" s="256">
        <v>0.70833333333333337</v>
      </c>
      <c r="O629" s="256">
        <v>0.74861111111111112</v>
      </c>
      <c r="P629" s="256">
        <v>0.75</v>
      </c>
      <c r="Q629" s="253">
        <f>IF(WTG_BD[[#This Row],[Work Start TimeStamp]]="","",(WTG_BD[[#This Row],[Work Start TimeStamp]]-WTG_BD[[#This Row],[Fault Start TimeStamp]])*24)</f>
        <v>0.9666666666666659</v>
      </c>
      <c r="R629" s="253">
        <f>(WTG_BD[[#This Row],[Fault Clearance time]]-WTG_BD[[#This Row],[Work Start TimeStamp]])*24</f>
        <v>3.3333333333333215E-2</v>
      </c>
      <c r="S629" s="253">
        <f>(WTG_BD[[#This Row],[Fault Clearance time]]-WTG_BD[[#This Row],[Fault Start TimeStamp]])*24</f>
        <v>0.99999999999999911</v>
      </c>
      <c r="T629" s="135" t="s">
        <v>473</v>
      </c>
      <c r="U629" s="244" t="s">
        <v>474</v>
      </c>
      <c r="V629" s="246">
        <f>WTG_BD[[#This Row],[Breakdown Time]]*(1/39)</f>
        <v>2.5641025641025616E-2</v>
      </c>
      <c r="W629" s="244" t="s">
        <v>152</v>
      </c>
      <c r="X629" s="250">
        <v>147.04166666666652</v>
      </c>
      <c r="Y629" s="135" t="s">
        <v>470</v>
      </c>
      <c r="Z629" s="135" t="s">
        <v>475</v>
      </c>
      <c r="AA629" s="135">
        <v>3529</v>
      </c>
      <c r="AB629" s="249">
        <f>(WTG_BD[[#This Row],[Paired WTG Generation for loss calculation.]]/24)*WTG_BD[[#This Row],[Breakdown Time]]</f>
        <v>147.04166666666652</v>
      </c>
      <c r="AC629" s="135"/>
      <c r="AD629" s="245"/>
      <c r="AE629" s="3"/>
    </row>
    <row r="630" spans="1:31">
      <c r="A630" s="241">
        <f t="shared" si="20"/>
        <v>629</v>
      </c>
      <c r="B630" s="255">
        <v>45804</v>
      </c>
      <c r="C630" s="252">
        <v>2025</v>
      </c>
      <c r="D630" s="252">
        <v>2025</v>
      </c>
      <c r="E630" s="251">
        <f t="shared" si="21"/>
        <v>45778</v>
      </c>
      <c r="F630" s="252" t="s">
        <v>465</v>
      </c>
      <c r="G630" s="248" t="s">
        <v>144</v>
      </c>
      <c r="H630" s="242" t="str">
        <f>IFERROR(VLOOKUP(WTG_BD[[#This Row],[Affected WTG]],'Basic Data'!$A$3:$E$56,2,0),"")</f>
        <v>PWEGPL</v>
      </c>
      <c r="I630" s="242" t="str">
        <f>IFERROR(VLOOKUP(WTG_BD[[#This Row],[Affected WTG]],'Basic Data'!$A$3:$E$56,3,0),"")</f>
        <v>MSEDCL</v>
      </c>
      <c r="J630" s="243">
        <f>IFERROR(VLOOKUP(WTG_BD[[#This Row],[Affected WTG]],'Basic Data'!$A$3:$E$56,5,0),"")</f>
        <v>2.564102564102564E-2</v>
      </c>
      <c r="K630" s="158" t="s">
        <v>466</v>
      </c>
      <c r="L630" s="247" t="str">
        <f>VLOOKUP(K630,'Basic Data'!T:U,2,0)</f>
        <v>Manual Stop - Safety Related</v>
      </c>
      <c r="M630" s="135" t="s">
        <v>467</v>
      </c>
      <c r="N630" s="256">
        <v>0</v>
      </c>
      <c r="O630" s="256">
        <v>0.99930555555555556</v>
      </c>
      <c r="P630" s="256">
        <v>0.99930555555555556</v>
      </c>
      <c r="Q630" s="253">
        <f>IF(WTG_BD[[#This Row],[Work Start TimeStamp]]="","",(WTG_BD[[#This Row],[Work Start TimeStamp]]-WTG_BD[[#This Row],[Fault Start TimeStamp]])*24)</f>
        <v>23.983333333333334</v>
      </c>
      <c r="R630" s="253">
        <f>(WTG_BD[[#This Row],[Fault Clearance time]]-WTG_BD[[#This Row],[Work Start TimeStamp]])*24</f>
        <v>0</v>
      </c>
      <c r="S630" s="253">
        <f>(WTG_BD[[#This Row],[Fault Clearance time]]-WTG_BD[[#This Row],[Fault Start TimeStamp]])*24</f>
        <v>23.983333333333334</v>
      </c>
      <c r="T630" s="135" t="s">
        <v>468</v>
      </c>
      <c r="U630" s="244" t="s">
        <v>469</v>
      </c>
      <c r="V630" s="246">
        <f>WTG_BD[[#This Row],[Breakdown Time]]*(1/39)</f>
        <v>0.61495726495726499</v>
      </c>
      <c r="W630" s="244" t="s">
        <v>141</v>
      </c>
      <c r="X630" s="250">
        <v>11850.764583333334</v>
      </c>
      <c r="Y630" s="135" t="s">
        <v>470</v>
      </c>
      <c r="Z630" s="135" t="s">
        <v>471</v>
      </c>
      <c r="AA630" s="135">
        <v>11859</v>
      </c>
      <c r="AB630" s="249">
        <f>(WTG_BD[[#This Row],[Paired WTG Generation for loss calculation.]]/24)*WTG_BD[[#This Row],[Breakdown Time]]</f>
        <v>11850.764583333334</v>
      </c>
      <c r="AC630" s="135"/>
      <c r="AD630" s="245"/>
      <c r="AE630" s="3"/>
    </row>
    <row r="631" spans="1:31">
      <c r="A631" s="241">
        <f t="shared" si="20"/>
        <v>630</v>
      </c>
      <c r="B631" s="255">
        <v>45804</v>
      </c>
      <c r="C631" s="252">
        <v>2025</v>
      </c>
      <c r="D631" s="252">
        <v>2025</v>
      </c>
      <c r="E631" s="251">
        <f t="shared" si="21"/>
        <v>45778</v>
      </c>
      <c r="F631" s="252" t="s">
        <v>465</v>
      </c>
      <c r="G631" s="248" t="s">
        <v>142</v>
      </c>
      <c r="H631" s="242" t="str">
        <f>IFERROR(VLOOKUP(WTG_BD[[#This Row],[Affected WTG]],'Basic Data'!$A$3:$E$56,2,0),"")</f>
        <v>PWEGPL</v>
      </c>
      <c r="I631" s="242" t="str">
        <f>IFERROR(VLOOKUP(WTG_BD[[#This Row],[Affected WTG]],'Basic Data'!$A$3:$E$56,3,0),"")</f>
        <v>MSEDCL</v>
      </c>
      <c r="J631" s="243">
        <f>IFERROR(VLOOKUP(WTG_BD[[#This Row],[Affected WTG]],'Basic Data'!$A$3:$E$56,5,0),"")</f>
        <v>2.564102564102564E-2</v>
      </c>
      <c r="K631" s="158" t="s">
        <v>466</v>
      </c>
      <c r="L631" s="247" t="str">
        <f>VLOOKUP(K631,'Basic Data'!T:U,2,0)</f>
        <v>Manual Stop - Safety Related</v>
      </c>
      <c r="M631" s="135" t="s">
        <v>467</v>
      </c>
      <c r="N631" s="256">
        <v>0</v>
      </c>
      <c r="O631" s="256">
        <v>0.99930555555555556</v>
      </c>
      <c r="P631" s="256">
        <v>0.99930555555555556</v>
      </c>
      <c r="Q631" s="253">
        <f>IF(WTG_BD[[#This Row],[Work Start TimeStamp]]="","",(WTG_BD[[#This Row],[Work Start TimeStamp]]-WTG_BD[[#This Row],[Fault Start TimeStamp]])*24)</f>
        <v>23.983333333333334</v>
      </c>
      <c r="R631" s="253">
        <f>(WTG_BD[[#This Row],[Fault Clearance time]]-WTG_BD[[#This Row],[Work Start TimeStamp]])*24</f>
        <v>0</v>
      </c>
      <c r="S631" s="253">
        <f>(WTG_BD[[#This Row],[Fault Clearance time]]-WTG_BD[[#This Row],[Fault Start TimeStamp]])*24</f>
        <v>23.983333333333334</v>
      </c>
      <c r="T631" s="135" t="s">
        <v>468</v>
      </c>
      <c r="U631" s="244" t="s">
        <v>469</v>
      </c>
      <c r="V631" s="246">
        <f>WTG_BD[[#This Row],[Breakdown Time]]*(1/39)</f>
        <v>0.61495726495726499</v>
      </c>
      <c r="W631" s="244" t="s">
        <v>141</v>
      </c>
      <c r="X631" s="250">
        <v>11850.764583333334</v>
      </c>
      <c r="Y631" s="135" t="s">
        <v>470</v>
      </c>
      <c r="Z631" s="135" t="s">
        <v>471</v>
      </c>
      <c r="AA631" s="135">
        <v>11859</v>
      </c>
      <c r="AB631" s="249">
        <f>(WTG_BD[[#This Row],[Paired WTG Generation for loss calculation.]]/24)*WTG_BD[[#This Row],[Breakdown Time]]</f>
        <v>11850.764583333334</v>
      </c>
      <c r="AC631" s="135"/>
      <c r="AD631" s="245"/>
      <c r="AE631" s="3"/>
    </row>
    <row r="632" spans="1:31">
      <c r="A632" s="241">
        <f t="shared" si="20"/>
        <v>631</v>
      </c>
      <c r="B632" s="255">
        <v>45804</v>
      </c>
      <c r="C632" s="252">
        <v>2025</v>
      </c>
      <c r="D632" s="252">
        <v>2025</v>
      </c>
      <c r="E632" s="251">
        <f t="shared" si="21"/>
        <v>45778</v>
      </c>
      <c r="F632" s="252" t="s">
        <v>465</v>
      </c>
      <c r="G632" s="248" t="s">
        <v>115</v>
      </c>
      <c r="H632" s="242" t="str">
        <f>IFERROR(VLOOKUP(WTG_BD[[#This Row],[Affected WTG]],'Basic Data'!$A$3:$E$56,2,0),"")</f>
        <v>PWEGPL</v>
      </c>
      <c r="I632" s="242" t="str">
        <f>IFERROR(VLOOKUP(WTG_BD[[#This Row],[Affected WTG]],'Basic Data'!$A$3:$E$56,3,0),"")</f>
        <v>MSEDCL</v>
      </c>
      <c r="J632" s="243">
        <f>IFERROR(VLOOKUP(WTG_BD[[#This Row],[Affected WTG]],'Basic Data'!$A$3:$E$56,5,0),"")</f>
        <v>2.564102564102564E-2</v>
      </c>
      <c r="K632" s="158">
        <v>5216</v>
      </c>
      <c r="L632" s="247" t="str">
        <f>VLOOKUP(K632,'Basic Data'!T:U,2,0)</f>
        <v>Grid Voltage Failure</v>
      </c>
      <c r="M632" s="135" t="s">
        <v>472</v>
      </c>
      <c r="N632" s="256">
        <v>0.82638888888888884</v>
      </c>
      <c r="O632" s="256">
        <v>0.82638888888888884</v>
      </c>
      <c r="P632" s="256">
        <v>0.99930555555555556</v>
      </c>
      <c r="Q632" s="253">
        <f>IF(WTG_BD[[#This Row],[Work Start TimeStamp]]="","",(WTG_BD[[#This Row],[Work Start TimeStamp]]-WTG_BD[[#This Row],[Fault Start TimeStamp]])*24)</f>
        <v>0</v>
      </c>
      <c r="R632" s="253">
        <f>(WTG_BD[[#This Row],[Fault Clearance time]]-WTG_BD[[#This Row],[Work Start TimeStamp]])*24</f>
        <v>4.1500000000000012</v>
      </c>
      <c r="S632" s="253">
        <f>(WTG_BD[[#This Row],[Fault Clearance time]]-WTG_BD[[#This Row],[Fault Start TimeStamp]])*24</f>
        <v>4.1500000000000012</v>
      </c>
      <c r="T632" s="135" t="s">
        <v>614</v>
      </c>
      <c r="U632" s="244" t="s">
        <v>474</v>
      </c>
      <c r="V632" s="246">
        <f>WTG_BD[[#This Row],[Breakdown Time]]*(1/39)</f>
        <v>0.10641025641025643</v>
      </c>
      <c r="W632" s="244" t="s">
        <v>121</v>
      </c>
      <c r="X632" s="250">
        <v>1835.5104166666672</v>
      </c>
      <c r="Y632" s="135" t="s">
        <v>470</v>
      </c>
      <c r="Z632" s="135" t="s">
        <v>475</v>
      </c>
      <c r="AA632" s="135">
        <v>10615</v>
      </c>
      <c r="AB632" s="249">
        <f>(WTG_BD[[#This Row],[Paired WTG Generation for loss calculation.]]/24)*WTG_BD[[#This Row],[Breakdown Time]]</f>
        <v>1835.5104166666672</v>
      </c>
      <c r="AC632" s="135"/>
      <c r="AD632" s="245"/>
      <c r="AE632" s="3"/>
    </row>
    <row r="633" spans="1:31">
      <c r="A633" s="241">
        <f t="shared" si="20"/>
        <v>632</v>
      </c>
      <c r="B633" s="255">
        <v>45804</v>
      </c>
      <c r="C633" s="252">
        <v>2025</v>
      </c>
      <c r="D633" s="252">
        <v>2025</v>
      </c>
      <c r="E633" s="251">
        <f t="shared" si="21"/>
        <v>45778</v>
      </c>
      <c r="F633" s="252" t="s">
        <v>465</v>
      </c>
      <c r="G633" s="248" t="s">
        <v>118</v>
      </c>
      <c r="H633" s="242" t="str">
        <f>IFERROR(VLOOKUP(WTG_BD[[#This Row],[Affected WTG]],'Basic Data'!$A$3:$E$56,2,0),"")</f>
        <v>PWEGPL</v>
      </c>
      <c r="I633" s="242" t="str">
        <f>IFERROR(VLOOKUP(WTG_BD[[#This Row],[Affected WTG]],'Basic Data'!$A$3:$E$56,3,0),"")</f>
        <v>MSEDCL</v>
      </c>
      <c r="J633" s="243">
        <f>IFERROR(VLOOKUP(WTG_BD[[#This Row],[Affected WTG]],'Basic Data'!$A$3:$E$56,5,0),"")</f>
        <v>2.564102564102564E-2</v>
      </c>
      <c r="K633" s="158" t="s">
        <v>615</v>
      </c>
      <c r="L633" s="247" t="str">
        <f>VLOOKUP(K633,'Basic Data'!T:U,2,0)</f>
        <v>Manual Stop - Audit</v>
      </c>
      <c r="M633" s="135" t="s">
        <v>573</v>
      </c>
      <c r="N633" s="256">
        <v>0.5625</v>
      </c>
      <c r="O633" s="256">
        <v>0.5625</v>
      </c>
      <c r="P633" s="256">
        <v>0.625</v>
      </c>
      <c r="Q633" s="253">
        <f>IF(WTG_BD[[#This Row],[Work Start TimeStamp]]="","",(WTG_BD[[#This Row],[Work Start TimeStamp]]-WTG_BD[[#This Row],[Fault Start TimeStamp]])*24)</f>
        <v>0</v>
      </c>
      <c r="R633" s="253">
        <f>(WTG_BD[[#This Row],[Fault Clearance time]]-WTG_BD[[#This Row],[Work Start TimeStamp]])*24</f>
        <v>1.5</v>
      </c>
      <c r="S633" s="253">
        <f>(WTG_BD[[#This Row],[Fault Clearance time]]-WTG_BD[[#This Row],[Fault Start TimeStamp]])*24</f>
        <v>1.5</v>
      </c>
      <c r="T633" s="135" t="s">
        <v>616</v>
      </c>
      <c r="U633" s="244" t="s">
        <v>474</v>
      </c>
      <c r="V633" s="246">
        <f>WTG_BD[[#This Row],[Breakdown Time]]*(1/39)</f>
        <v>3.8461538461538464E-2</v>
      </c>
      <c r="W633" s="244" t="s">
        <v>117</v>
      </c>
      <c r="X633" s="250">
        <v>663.9375</v>
      </c>
      <c r="Y633" s="135" t="s">
        <v>470</v>
      </c>
      <c r="Z633" s="135" t="s">
        <v>498</v>
      </c>
      <c r="AA633" s="135">
        <v>10623</v>
      </c>
      <c r="AB633" s="249">
        <f>(WTG_BD[[#This Row],[Paired WTG Generation for loss calculation.]]/24)*WTG_BD[[#This Row],[Breakdown Time]]</f>
        <v>663.9375</v>
      </c>
      <c r="AC633" s="135"/>
      <c r="AD633" s="245"/>
      <c r="AE633" s="3"/>
    </row>
    <row r="634" spans="1:31">
      <c r="A634" s="241">
        <f t="shared" si="20"/>
        <v>633</v>
      </c>
      <c r="B634" s="255">
        <v>45804</v>
      </c>
      <c r="C634" s="252">
        <v>2025</v>
      </c>
      <c r="D634" s="252">
        <v>2025</v>
      </c>
      <c r="E634" s="251">
        <f t="shared" si="21"/>
        <v>45778</v>
      </c>
      <c r="F634" s="252" t="s">
        <v>465</v>
      </c>
      <c r="G634" s="248" t="s">
        <v>120</v>
      </c>
      <c r="H634" s="242" t="str">
        <f>IFERROR(VLOOKUP(WTG_BD[[#This Row],[Affected WTG]],'Basic Data'!$A$3:$E$56,2,0),"")</f>
        <v>PWEGPL</v>
      </c>
      <c r="I634" s="242" t="str">
        <f>IFERROR(VLOOKUP(WTG_BD[[#This Row],[Affected WTG]],'Basic Data'!$A$3:$E$56,3,0),"")</f>
        <v>MSEDCL</v>
      </c>
      <c r="J634" s="243">
        <f>IFERROR(VLOOKUP(WTG_BD[[#This Row],[Affected WTG]],'Basic Data'!$A$3:$E$56,5,0),"")</f>
        <v>2.564102564102564E-2</v>
      </c>
      <c r="K634" s="158" t="s">
        <v>615</v>
      </c>
      <c r="L634" s="247" t="str">
        <f>VLOOKUP(K634,'Basic Data'!T:U,2,0)</f>
        <v>Manual Stop - Audit</v>
      </c>
      <c r="M634" s="135" t="s">
        <v>573</v>
      </c>
      <c r="N634" s="256">
        <v>0.46527777777777779</v>
      </c>
      <c r="O634" s="256">
        <v>0.46527777777777779</v>
      </c>
      <c r="P634" s="256">
        <v>0.54166666666666663</v>
      </c>
      <c r="Q634" s="253">
        <f>IF(WTG_BD[[#This Row],[Work Start TimeStamp]]="","",(WTG_BD[[#This Row],[Work Start TimeStamp]]-WTG_BD[[#This Row],[Fault Start TimeStamp]])*24)</f>
        <v>0</v>
      </c>
      <c r="R634" s="253">
        <f>(WTG_BD[[#This Row],[Fault Clearance time]]-WTG_BD[[#This Row],[Work Start TimeStamp]])*24</f>
        <v>1.8333333333333321</v>
      </c>
      <c r="S634" s="253">
        <f>(WTG_BD[[#This Row],[Fault Clearance time]]-WTG_BD[[#This Row],[Fault Start TimeStamp]])*24</f>
        <v>1.8333333333333321</v>
      </c>
      <c r="T634" s="135" t="s">
        <v>616</v>
      </c>
      <c r="U634" s="244" t="s">
        <v>474</v>
      </c>
      <c r="V634" s="246">
        <f>WTG_BD[[#This Row],[Breakdown Time]]*(1/39)</f>
        <v>4.7008547008546973E-2</v>
      </c>
      <c r="W634" s="244" t="s">
        <v>117</v>
      </c>
      <c r="X634" s="250">
        <v>811.47916666666617</v>
      </c>
      <c r="Y634" s="135" t="s">
        <v>470</v>
      </c>
      <c r="Z634" s="135" t="s">
        <v>498</v>
      </c>
      <c r="AA634" s="135">
        <v>10623</v>
      </c>
      <c r="AB634" s="249">
        <f>(WTG_BD[[#This Row],[Paired WTG Generation for loss calculation.]]/24)*WTG_BD[[#This Row],[Breakdown Time]]</f>
        <v>811.47916666666617</v>
      </c>
      <c r="AC634" s="135"/>
      <c r="AD634" s="245"/>
      <c r="AE634" s="3"/>
    </row>
    <row r="635" spans="1:31">
      <c r="A635" s="241">
        <f t="shared" si="20"/>
        <v>634</v>
      </c>
      <c r="B635" s="255">
        <v>45804</v>
      </c>
      <c r="C635" s="252">
        <v>2025</v>
      </c>
      <c r="D635" s="252">
        <v>2025</v>
      </c>
      <c r="E635" s="251">
        <f t="shared" si="21"/>
        <v>45778</v>
      </c>
      <c r="F635" s="252" t="s">
        <v>465</v>
      </c>
      <c r="G635" s="248" t="s">
        <v>134</v>
      </c>
      <c r="H635" s="242" t="str">
        <f>IFERROR(VLOOKUP(WTG_BD[[#This Row],[Affected WTG]],'Basic Data'!$A$3:$E$56,2,0),"")</f>
        <v>PWEGPL</v>
      </c>
      <c r="I635" s="242" t="str">
        <f>IFERROR(VLOOKUP(WTG_BD[[#This Row],[Affected WTG]],'Basic Data'!$A$3:$E$56,3,0),"")</f>
        <v>MSEDCL</v>
      </c>
      <c r="J635" s="243">
        <f>IFERROR(VLOOKUP(WTG_BD[[#This Row],[Affected WTG]],'Basic Data'!$A$3:$E$56,5,0),"")</f>
        <v>2.564102564102564E-2</v>
      </c>
      <c r="K635" s="158" t="s">
        <v>549</v>
      </c>
      <c r="L635" s="247" t="str">
        <f>VLOOKUP(K635,'Basic Data'!T:U,2,0)</f>
        <v>Manual Stop - Preventive Maintenance Activity</v>
      </c>
      <c r="M635" s="135" t="s">
        <v>550</v>
      </c>
      <c r="N635" s="256">
        <v>0.48541666666666666</v>
      </c>
      <c r="O635" s="256">
        <v>0.48541666666666666</v>
      </c>
      <c r="P635" s="256">
        <v>0.77500000000000002</v>
      </c>
      <c r="Q635" s="253">
        <f>IF(WTG_BD[[#This Row],[Work Start TimeStamp]]="","",(WTG_BD[[#This Row],[Work Start TimeStamp]]-WTG_BD[[#This Row],[Fault Start TimeStamp]])*24)</f>
        <v>0</v>
      </c>
      <c r="R635" s="253">
        <f>(WTG_BD[[#This Row],[Fault Clearance time]]-WTG_BD[[#This Row],[Work Start TimeStamp]])*24</f>
        <v>6.9500000000000011</v>
      </c>
      <c r="S635" s="253">
        <f>(WTG_BD[[#This Row],[Fault Clearance time]]-WTG_BD[[#This Row],[Fault Start TimeStamp]])*24</f>
        <v>6.9500000000000011</v>
      </c>
      <c r="T635" s="135" t="s">
        <v>571</v>
      </c>
      <c r="U635" s="244" t="s">
        <v>474</v>
      </c>
      <c r="V635" s="246">
        <f>WTG_BD[[#This Row],[Breakdown Time]]*(1/39)</f>
        <v>0.17820512820512824</v>
      </c>
      <c r="W635" s="244" t="s">
        <v>133</v>
      </c>
      <c r="X635" s="250">
        <v>4280.6208333333334</v>
      </c>
      <c r="Y635" s="135" t="s">
        <v>470</v>
      </c>
      <c r="Z635" s="135" t="s">
        <v>552</v>
      </c>
      <c r="AA635" s="135">
        <v>14782</v>
      </c>
      <c r="AB635" s="249">
        <f>(WTG_BD[[#This Row],[Paired WTG Generation for loss calculation.]]/24)*WTG_BD[[#This Row],[Breakdown Time]]</f>
        <v>4280.6208333333334</v>
      </c>
      <c r="AC635" s="135"/>
      <c r="AD635" s="245"/>
      <c r="AE635" s="3"/>
    </row>
    <row r="636" spans="1:31">
      <c r="A636" s="241">
        <f t="shared" si="20"/>
        <v>635</v>
      </c>
      <c r="B636" s="255">
        <v>45804</v>
      </c>
      <c r="C636" s="252">
        <v>2025</v>
      </c>
      <c r="D636" s="252">
        <v>2025</v>
      </c>
      <c r="E636" s="251">
        <f>B636-DAY(B636)+1</f>
        <v>45778</v>
      </c>
      <c r="F636" s="252" t="s">
        <v>465</v>
      </c>
      <c r="G636" s="248" t="s">
        <v>138</v>
      </c>
      <c r="H636" s="242" t="str">
        <f>IFERROR(VLOOKUP(WTG_BD[[#This Row],[Affected WTG]],'Basic Data'!$A$3:$E$56,2,0),"")</f>
        <v>PWEGPL</v>
      </c>
      <c r="I636" s="242" t="str">
        <f>IFERROR(VLOOKUP(WTG_BD[[#This Row],[Affected WTG]],'Basic Data'!$A$3:$E$56,3,0),"")</f>
        <v>MSEDCL</v>
      </c>
      <c r="J636" s="243">
        <f>IFERROR(VLOOKUP(WTG_BD[[#This Row],[Affected WTG]],'Basic Data'!$A$3:$E$56,5,0),"")</f>
        <v>2.564102564102564E-2</v>
      </c>
      <c r="K636" s="158">
        <v>5203</v>
      </c>
      <c r="L636" s="247" t="str">
        <f>VLOOKUP(K636,'Basic Data'!T:U,2,0)</f>
        <v>Heating/Coolant Thermal Magnetic Failure</v>
      </c>
      <c r="M636" s="135" t="s">
        <v>472</v>
      </c>
      <c r="N636" s="256">
        <v>0</v>
      </c>
      <c r="O636" s="256">
        <v>0</v>
      </c>
      <c r="P636" s="256">
        <v>5.4166666666666669E-2</v>
      </c>
      <c r="Q636" s="253">
        <f>IF(WTG_BD[[#This Row],[Work Start TimeStamp]]="","",(WTG_BD[[#This Row],[Work Start TimeStamp]]-WTG_BD[[#This Row],[Fault Start TimeStamp]])*24)</f>
        <v>0</v>
      </c>
      <c r="R636" s="253">
        <f>(WTG_BD[[#This Row],[Fault Clearance time]]-WTG_BD[[#This Row],[Work Start TimeStamp]])*24</f>
        <v>1.3</v>
      </c>
      <c r="S636" s="253">
        <f>(WTG_BD[[#This Row],[Fault Clearance time]]-WTG_BD[[#This Row],[Fault Start TimeStamp]])*24</f>
        <v>1.3</v>
      </c>
      <c r="T636" s="135" t="s">
        <v>500</v>
      </c>
      <c r="U636" s="244" t="s">
        <v>474</v>
      </c>
      <c r="V636" s="246">
        <f>WTG_BD[[#This Row],[Breakdown Time]]*(1/39)</f>
        <v>3.3333333333333333E-2</v>
      </c>
      <c r="W636" s="244" t="s">
        <v>140</v>
      </c>
      <c r="X636" s="250">
        <v>641.98333333333335</v>
      </c>
      <c r="Y636" s="135" t="s">
        <v>470</v>
      </c>
      <c r="Z636" s="135" t="s">
        <v>475</v>
      </c>
      <c r="AA636" s="135">
        <v>11852</v>
      </c>
      <c r="AB636" s="249">
        <f>(WTG_BD[[#This Row],[Paired WTG Generation for loss calculation.]]/24)*WTG_BD[[#This Row],[Breakdown Time]]</f>
        <v>641.98333333333335</v>
      </c>
      <c r="AC636" s="135"/>
      <c r="AD636" s="245"/>
      <c r="AE636" s="3"/>
    </row>
    <row r="637" spans="1:31">
      <c r="A637" s="241">
        <f t="shared" si="20"/>
        <v>636</v>
      </c>
      <c r="B637" s="255">
        <v>45804</v>
      </c>
      <c r="C637" s="252">
        <v>2025</v>
      </c>
      <c r="D637" s="252">
        <v>2025</v>
      </c>
      <c r="E637" s="251">
        <f t="shared" si="21"/>
        <v>45778</v>
      </c>
      <c r="F637" s="252" t="s">
        <v>465</v>
      </c>
      <c r="G637" s="248" t="s">
        <v>143</v>
      </c>
      <c r="H637" s="242" t="str">
        <f>IFERROR(VLOOKUP(WTG_BD[[#This Row],[Affected WTG]],'Basic Data'!$A$3:$E$56,2,0),"")</f>
        <v>PWEGPL</v>
      </c>
      <c r="I637" s="242" t="str">
        <f>IFERROR(VLOOKUP(WTG_BD[[#This Row],[Affected WTG]],'Basic Data'!$A$3:$E$56,3,0),"")</f>
        <v>MSEDCL</v>
      </c>
      <c r="J637" s="243">
        <f>IFERROR(VLOOKUP(WTG_BD[[#This Row],[Affected WTG]],'Basic Data'!$A$3:$E$56,5,0),"")</f>
        <v>2.564102564102564E-2</v>
      </c>
      <c r="K637" s="158" t="s">
        <v>615</v>
      </c>
      <c r="L637" s="247" t="str">
        <f>VLOOKUP(K637,'Basic Data'!T:U,2,0)</f>
        <v>Manual Stop - Audit</v>
      </c>
      <c r="M637" s="135" t="s">
        <v>573</v>
      </c>
      <c r="N637" s="256">
        <v>0.47222222222222221</v>
      </c>
      <c r="O637" s="256">
        <v>0.47222222222222221</v>
      </c>
      <c r="P637" s="256">
        <v>0.52777777777777779</v>
      </c>
      <c r="Q637" s="253">
        <f>IF(WTG_BD[[#This Row],[Work Start TimeStamp]]="","",(WTG_BD[[#This Row],[Work Start TimeStamp]]-WTG_BD[[#This Row],[Fault Start TimeStamp]])*24)</f>
        <v>0</v>
      </c>
      <c r="R637" s="253">
        <f>(WTG_BD[[#This Row],[Fault Clearance time]]-WTG_BD[[#This Row],[Work Start TimeStamp]])*24</f>
        <v>1.3333333333333339</v>
      </c>
      <c r="S637" s="253">
        <f>(WTG_BD[[#This Row],[Fault Clearance time]]-WTG_BD[[#This Row],[Fault Start TimeStamp]])*24</f>
        <v>1.3333333333333339</v>
      </c>
      <c r="T637" s="135" t="s">
        <v>616</v>
      </c>
      <c r="U637" s="244" t="s">
        <v>474</v>
      </c>
      <c r="V637" s="246">
        <f>WTG_BD[[#This Row],[Breakdown Time]]*(1/39)</f>
        <v>3.4188034188034205E-2</v>
      </c>
      <c r="W637" s="244" t="s">
        <v>141</v>
      </c>
      <c r="X637" s="250">
        <v>658.8333333333336</v>
      </c>
      <c r="Y637" s="135" t="s">
        <v>470</v>
      </c>
      <c r="Z637" s="135" t="s">
        <v>498</v>
      </c>
      <c r="AA637" s="135">
        <v>11859</v>
      </c>
      <c r="AB637" s="249">
        <f>(WTG_BD[[#This Row],[Paired WTG Generation for loss calculation.]]/24)*WTG_BD[[#This Row],[Breakdown Time]]</f>
        <v>658.8333333333336</v>
      </c>
      <c r="AC637" s="135"/>
      <c r="AD637" s="245"/>
      <c r="AE637" s="3"/>
    </row>
    <row r="638" spans="1:31">
      <c r="A638" s="241">
        <f t="shared" si="20"/>
        <v>637</v>
      </c>
      <c r="B638" s="255">
        <v>45804</v>
      </c>
      <c r="C638" s="252">
        <v>2025</v>
      </c>
      <c r="D638" s="252">
        <v>2025</v>
      </c>
      <c r="E638" s="251">
        <f t="shared" si="21"/>
        <v>45778</v>
      </c>
      <c r="F638" s="252" t="s">
        <v>465</v>
      </c>
      <c r="G638" s="248" t="s">
        <v>146</v>
      </c>
      <c r="H638" s="242" t="str">
        <f>IFERROR(VLOOKUP(WTG_BD[[#This Row],[Affected WTG]],'Basic Data'!$A$3:$E$56,2,0),"")</f>
        <v>PWEGPL</v>
      </c>
      <c r="I638" s="242" t="str">
        <f>IFERROR(VLOOKUP(WTG_BD[[#This Row],[Affected WTG]],'Basic Data'!$A$3:$E$56,3,0),"")</f>
        <v>MSEDCL</v>
      </c>
      <c r="J638" s="243">
        <f>IFERROR(VLOOKUP(WTG_BD[[#This Row],[Affected WTG]],'Basic Data'!$A$3:$E$56,5,0),"")</f>
        <v>2.564102564102564E-2</v>
      </c>
      <c r="K638" s="158" t="s">
        <v>615</v>
      </c>
      <c r="L638" s="247" t="str">
        <f>VLOOKUP(K638,'Basic Data'!T:U,2,0)</f>
        <v>Manual Stop - Audit</v>
      </c>
      <c r="M638" s="135" t="s">
        <v>573</v>
      </c>
      <c r="N638" s="256">
        <v>0.54861111111111116</v>
      </c>
      <c r="O638" s="256">
        <v>0.54861111111111116</v>
      </c>
      <c r="P638" s="256">
        <v>0.59722222222222221</v>
      </c>
      <c r="Q638" s="253">
        <f>IF(WTG_BD[[#This Row],[Work Start TimeStamp]]="","",(WTG_BD[[#This Row],[Work Start TimeStamp]]-WTG_BD[[#This Row],[Fault Start TimeStamp]])*24)</f>
        <v>0</v>
      </c>
      <c r="R638" s="253">
        <f>(WTG_BD[[#This Row],[Fault Clearance time]]-WTG_BD[[#This Row],[Work Start TimeStamp]])*24</f>
        <v>1.1666666666666652</v>
      </c>
      <c r="S638" s="253">
        <f>(WTG_BD[[#This Row],[Fault Clearance time]]-WTG_BD[[#This Row],[Fault Start TimeStamp]])*24</f>
        <v>1.1666666666666652</v>
      </c>
      <c r="T638" s="135" t="s">
        <v>616</v>
      </c>
      <c r="U638" s="244" t="s">
        <v>474</v>
      </c>
      <c r="V638" s="246">
        <f>WTG_BD[[#This Row],[Breakdown Time]]*(1/39)</f>
        <v>2.9914529914529874E-2</v>
      </c>
      <c r="W638" s="244" t="s">
        <v>147</v>
      </c>
      <c r="X638" s="250">
        <v>506.57638888888823</v>
      </c>
      <c r="Y638" s="135" t="s">
        <v>470</v>
      </c>
      <c r="Z638" s="135" t="s">
        <v>498</v>
      </c>
      <c r="AA638" s="135">
        <v>10421</v>
      </c>
      <c r="AB638" s="249">
        <f>(WTG_BD[[#This Row],[Paired WTG Generation for loss calculation.]]/24)*WTG_BD[[#This Row],[Breakdown Time]]</f>
        <v>506.57638888888823</v>
      </c>
      <c r="AC638" s="135"/>
      <c r="AD638" s="245"/>
      <c r="AE638" s="3"/>
    </row>
    <row r="639" spans="1:31">
      <c r="A639" s="241">
        <f t="shared" si="20"/>
        <v>638</v>
      </c>
      <c r="B639" s="255">
        <v>45805</v>
      </c>
      <c r="C639" s="252">
        <v>2025</v>
      </c>
      <c r="D639" s="252">
        <v>2025</v>
      </c>
      <c r="E639" s="251">
        <f t="shared" si="21"/>
        <v>45778</v>
      </c>
      <c r="F639" s="252" t="s">
        <v>465</v>
      </c>
      <c r="G639" s="248" t="s">
        <v>144</v>
      </c>
      <c r="H639" s="242" t="str">
        <f>IFERROR(VLOOKUP(WTG_BD[[#This Row],[Affected WTG]],'Basic Data'!$A$3:$E$56,2,0),"")</f>
        <v>PWEGPL</v>
      </c>
      <c r="I639" s="242" t="str">
        <f>IFERROR(VLOOKUP(WTG_BD[[#This Row],[Affected WTG]],'Basic Data'!$A$3:$E$56,3,0),"")</f>
        <v>MSEDCL</v>
      </c>
      <c r="J639" s="243">
        <f>IFERROR(VLOOKUP(WTG_BD[[#This Row],[Affected WTG]],'Basic Data'!$A$3:$E$56,5,0),"")</f>
        <v>2.564102564102564E-2</v>
      </c>
      <c r="K639" s="158" t="s">
        <v>466</v>
      </c>
      <c r="L639" s="247" t="str">
        <f>VLOOKUP(K639,'Basic Data'!T:U,2,0)</f>
        <v>Manual Stop - Safety Related</v>
      </c>
      <c r="M639" s="135" t="s">
        <v>467</v>
      </c>
      <c r="N639" s="256">
        <v>0</v>
      </c>
      <c r="O639" s="256">
        <v>0.99930555555555556</v>
      </c>
      <c r="P639" s="256">
        <v>0.99930555555555556</v>
      </c>
      <c r="Q639" s="253">
        <f>IF(WTG_BD[[#This Row],[Work Start TimeStamp]]="","",(WTG_BD[[#This Row],[Work Start TimeStamp]]-WTG_BD[[#This Row],[Fault Start TimeStamp]])*24)</f>
        <v>23.983333333333334</v>
      </c>
      <c r="R639" s="253">
        <f>(WTG_BD[[#This Row],[Fault Clearance time]]-WTG_BD[[#This Row],[Work Start TimeStamp]])*24</f>
        <v>0</v>
      </c>
      <c r="S639" s="253">
        <f>(WTG_BD[[#This Row],[Fault Clearance time]]-WTG_BD[[#This Row],[Fault Start TimeStamp]])*24</f>
        <v>23.983333333333334</v>
      </c>
      <c r="T639" s="135" t="s">
        <v>468</v>
      </c>
      <c r="U639" s="244" t="s">
        <v>469</v>
      </c>
      <c r="V639" s="246">
        <f>WTG_BD[[#This Row],[Breakdown Time]]*(1/39)</f>
        <v>0.61495726495726499</v>
      </c>
      <c r="W639" s="244" t="s">
        <v>141</v>
      </c>
      <c r="X639" s="250">
        <v>9962.0770833333336</v>
      </c>
      <c r="Y639" s="135" t="s">
        <v>470</v>
      </c>
      <c r="Z639" s="135" t="s">
        <v>471</v>
      </c>
      <c r="AA639" s="135">
        <v>9969</v>
      </c>
      <c r="AB639" s="249">
        <f>(WTG_BD[[#This Row],[Paired WTG Generation for loss calculation.]]/24)*WTG_BD[[#This Row],[Breakdown Time]]</f>
        <v>9962.0770833333336</v>
      </c>
      <c r="AC639" s="135"/>
      <c r="AD639" s="245"/>
      <c r="AE639" s="3"/>
    </row>
    <row r="640" spans="1:31">
      <c r="A640" s="241">
        <f t="shared" si="20"/>
        <v>639</v>
      </c>
      <c r="B640" s="255">
        <v>45805</v>
      </c>
      <c r="C640" s="252">
        <v>2025</v>
      </c>
      <c r="D640" s="252">
        <v>2025</v>
      </c>
      <c r="E640" s="251">
        <f t="shared" si="21"/>
        <v>45778</v>
      </c>
      <c r="F640" s="252" t="s">
        <v>465</v>
      </c>
      <c r="G640" s="248" t="s">
        <v>142</v>
      </c>
      <c r="H640" s="242" t="str">
        <f>IFERROR(VLOOKUP(WTG_BD[[#This Row],[Affected WTG]],'Basic Data'!$A$3:$E$56,2,0),"")</f>
        <v>PWEGPL</v>
      </c>
      <c r="I640" s="242" t="str">
        <f>IFERROR(VLOOKUP(WTG_BD[[#This Row],[Affected WTG]],'Basic Data'!$A$3:$E$56,3,0),"")</f>
        <v>MSEDCL</v>
      </c>
      <c r="J640" s="243">
        <f>IFERROR(VLOOKUP(WTG_BD[[#This Row],[Affected WTG]],'Basic Data'!$A$3:$E$56,5,0),"")</f>
        <v>2.564102564102564E-2</v>
      </c>
      <c r="K640" s="158" t="s">
        <v>466</v>
      </c>
      <c r="L640" s="247" t="str">
        <f>VLOOKUP(K640,'Basic Data'!T:U,2,0)</f>
        <v>Manual Stop - Safety Related</v>
      </c>
      <c r="M640" s="135" t="s">
        <v>467</v>
      </c>
      <c r="N640" s="256">
        <v>0</v>
      </c>
      <c r="O640" s="256">
        <v>0.99930555555555556</v>
      </c>
      <c r="P640" s="256">
        <v>0.99930555555555556</v>
      </c>
      <c r="Q640" s="253">
        <f>IF(WTG_BD[[#This Row],[Work Start TimeStamp]]="","",(WTG_BD[[#This Row],[Work Start TimeStamp]]-WTG_BD[[#This Row],[Fault Start TimeStamp]])*24)</f>
        <v>23.983333333333334</v>
      </c>
      <c r="R640" s="253">
        <f>(WTG_BD[[#This Row],[Fault Clearance time]]-WTG_BD[[#This Row],[Work Start TimeStamp]])*24</f>
        <v>0</v>
      </c>
      <c r="S640" s="253">
        <f>(WTG_BD[[#This Row],[Fault Clearance time]]-WTG_BD[[#This Row],[Fault Start TimeStamp]])*24</f>
        <v>23.983333333333334</v>
      </c>
      <c r="T640" s="135" t="s">
        <v>468</v>
      </c>
      <c r="U640" s="244" t="s">
        <v>469</v>
      </c>
      <c r="V640" s="246">
        <f>WTG_BD[[#This Row],[Breakdown Time]]*(1/39)</f>
        <v>0.61495726495726499</v>
      </c>
      <c r="W640" s="244" t="s">
        <v>141</v>
      </c>
      <c r="X640" s="250">
        <v>9962.0770833333336</v>
      </c>
      <c r="Y640" s="135" t="s">
        <v>470</v>
      </c>
      <c r="Z640" s="135" t="s">
        <v>471</v>
      </c>
      <c r="AA640" s="135">
        <v>9969</v>
      </c>
      <c r="AB640" s="249">
        <f>(WTG_BD[[#This Row],[Paired WTG Generation for loss calculation.]]/24)*WTG_BD[[#This Row],[Breakdown Time]]</f>
        <v>9962.0770833333336</v>
      </c>
      <c r="AC640" s="135"/>
      <c r="AD640" s="245"/>
      <c r="AE640" s="3"/>
    </row>
    <row r="641" spans="1:31">
      <c r="A641" s="241">
        <f t="shared" si="20"/>
        <v>640</v>
      </c>
      <c r="B641" s="255">
        <v>45805</v>
      </c>
      <c r="C641" s="252">
        <v>2025</v>
      </c>
      <c r="D641" s="252">
        <v>2025</v>
      </c>
      <c r="E641" s="251">
        <f t="shared" si="21"/>
        <v>45778</v>
      </c>
      <c r="F641" s="252" t="s">
        <v>465</v>
      </c>
      <c r="G641" s="248" t="s">
        <v>115</v>
      </c>
      <c r="H641" s="242" t="str">
        <f>IFERROR(VLOOKUP(WTG_BD[[#This Row],[Affected WTG]],'Basic Data'!$A$3:$E$56,2,0),"")</f>
        <v>PWEGPL</v>
      </c>
      <c r="I641" s="242" t="str">
        <f>IFERROR(VLOOKUP(WTG_BD[[#This Row],[Affected WTG]],'Basic Data'!$A$3:$E$56,3,0),"")</f>
        <v>MSEDCL</v>
      </c>
      <c r="J641" s="243">
        <f>IFERROR(VLOOKUP(WTG_BD[[#This Row],[Affected WTG]],'Basic Data'!$A$3:$E$56,5,0),"")</f>
        <v>2.564102564102564E-2</v>
      </c>
      <c r="K641" s="158">
        <v>5216</v>
      </c>
      <c r="L641" s="247" t="str">
        <f>VLOOKUP(K641,'Basic Data'!T:U,2,0)</f>
        <v>Grid Voltage Failure</v>
      </c>
      <c r="M641" s="135" t="s">
        <v>472</v>
      </c>
      <c r="N641" s="256">
        <v>0</v>
      </c>
      <c r="O641" s="256">
        <v>0</v>
      </c>
      <c r="P641" s="256">
        <v>0.67361111111111116</v>
      </c>
      <c r="Q641" s="253">
        <f>IF(WTG_BD[[#This Row],[Work Start TimeStamp]]="","",(WTG_BD[[#This Row],[Work Start TimeStamp]]-WTG_BD[[#This Row],[Fault Start TimeStamp]])*24)</f>
        <v>0</v>
      </c>
      <c r="R641" s="253">
        <f>(WTG_BD[[#This Row],[Fault Clearance time]]-WTG_BD[[#This Row],[Work Start TimeStamp]])*24</f>
        <v>16.166666666666668</v>
      </c>
      <c r="S641" s="253">
        <f>(WTG_BD[[#This Row],[Fault Clearance time]]-WTG_BD[[#This Row],[Fault Start TimeStamp]])*24</f>
        <v>16.166666666666668</v>
      </c>
      <c r="T641" s="135" t="s">
        <v>617</v>
      </c>
      <c r="U641" s="244" t="s">
        <v>474</v>
      </c>
      <c r="V641" s="246">
        <f>WTG_BD[[#This Row],[Breakdown Time]]*(1/39)</f>
        <v>0.41452991452991456</v>
      </c>
      <c r="W641" s="244" t="s">
        <v>121</v>
      </c>
      <c r="X641" s="250">
        <v>10746.118055555557</v>
      </c>
      <c r="Y641" s="135" t="s">
        <v>470</v>
      </c>
      <c r="Z641" s="135" t="s">
        <v>475</v>
      </c>
      <c r="AA641" s="135">
        <v>15953</v>
      </c>
      <c r="AB641" s="249">
        <f>(WTG_BD[[#This Row],[Paired WTG Generation for loss calculation.]]/24)*WTG_BD[[#This Row],[Breakdown Time]]</f>
        <v>10746.118055555557</v>
      </c>
      <c r="AC641" s="135"/>
      <c r="AD641" s="245"/>
      <c r="AE641" s="3"/>
    </row>
    <row r="642" spans="1:31">
      <c r="A642" s="241">
        <f t="shared" si="20"/>
        <v>641</v>
      </c>
      <c r="B642" s="255">
        <v>45805</v>
      </c>
      <c r="C642" s="252">
        <v>2025</v>
      </c>
      <c r="D642" s="252">
        <v>2025</v>
      </c>
      <c r="E642" s="251">
        <f t="shared" si="21"/>
        <v>45778</v>
      </c>
      <c r="F642" s="252" t="s">
        <v>465</v>
      </c>
      <c r="G642" s="248" t="s">
        <v>121</v>
      </c>
      <c r="H642" s="242" t="str">
        <f>IFERROR(VLOOKUP(WTG_BD[[#This Row],[Affected WTG]],'Basic Data'!$A$3:$E$56,2,0),"")</f>
        <v>PWEGPL</v>
      </c>
      <c r="I642" s="242" t="str">
        <f>IFERROR(VLOOKUP(WTG_BD[[#This Row],[Affected WTG]],'Basic Data'!$A$3:$E$56,3,0),"")</f>
        <v>MSEDCL</v>
      </c>
      <c r="J642" s="243">
        <f>IFERROR(VLOOKUP(WTG_BD[[#This Row],[Affected WTG]],'Basic Data'!$A$3:$E$56,5,0),"")</f>
        <v>2.564102564102564E-2</v>
      </c>
      <c r="K642" s="158">
        <v>5225</v>
      </c>
      <c r="L642" s="247" t="str">
        <f>VLOOKUP(K642,'Basic Data'!T:U,2,0)</f>
        <v>Fault In Analog Electronic Power Supply</v>
      </c>
      <c r="M642" s="135" t="s">
        <v>472</v>
      </c>
      <c r="N642" s="256">
        <v>5.4166666666666669E-2</v>
      </c>
      <c r="O642" s="256">
        <v>7.4999999999999997E-2</v>
      </c>
      <c r="P642" s="256">
        <v>7.6388888888888895E-2</v>
      </c>
      <c r="Q642" s="253">
        <f>IF(WTG_BD[[#This Row],[Work Start TimeStamp]]="","",(WTG_BD[[#This Row],[Work Start TimeStamp]]-WTG_BD[[#This Row],[Fault Start TimeStamp]])*24)</f>
        <v>0.49999999999999989</v>
      </c>
      <c r="R642" s="253">
        <f>(WTG_BD[[#This Row],[Fault Clearance time]]-WTG_BD[[#This Row],[Work Start TimeStamp]])*24</f>
        <v>3.3333333333333548E-2</v>
      </c>
      <c r="S642" s="253">
        <f>(WTG_BD[[#This Row],[Fault Clearance time]]-WTG_BD[[#This Row],[Fault Start TimeStamp]])*24</f>
        <v>0.53333333333333344</v>
      </c>
      <c r="T642" s="135" t="s">
        <v>473</v>
      </c>
      <c r="U642" s="244" t="s">
        <v>474</v>
      </c>
      <c r="V642" s="246">
        <f>WTG_BD[[#This Row],[Breakdown Time]]*(1/39)</f>
        <v>1.3675213675213677E-2</v>
      </c>
      <c r="W642" s="244" t="s">
        <v>117</v>
      </c>
      <c r="X642" s="250">
        <v>364.1111111111112</v>
      </c>
      <c r="Y642" s="135" t="s">
        <v>470</v>
      </c>
      <c r="Z642" s="135" t="s">
        <v>475</v>
      </c>
      <c r="AA642" s="135">
        <v>16385</v>
      </c>
      <c r="AB642" s="249">
        <f>(WTG_BD[[#This Row],[Paired WTG Generation for loss calculation.]]/24)*WTG_BD[[#This Row],[Breakdown Time]]</f>
        <v>364.1111111111112</v>
      </c>
      <c r="AC642" s="135"/>
      <c r="AD642" s="245"/>
      <c r="AE642" s="3"/>
    </row>
    <row r="643" spans="1:31">
      <c r="A643" s="241">
        <f t="shared" si="20"/>
        <v>642</v>
      </c>
      <c r="B643" s="255">
        <v>45805</v>
      </c>
      <c r="C643" s="252">
        <v>2025</v>
      </c>
      <c r="D643" s="252">
        <v>2025</v>
      </c>
      <c r="E643" s="251">
        <f t="shared" si="21"/>
        <v>45778</v>
      </c>
      <c r="F643" s="252" t="s">
        <v>465</v>
      </c>
      <c r="G643" s="248" t="s">
        <v>128</v>
      </c>
      <c r="H643" s="242" t="str">
        <f>IFERROR(VLOOKUP(WTG_BD[[#This Row],[Affected WTG]],'Basic Data'!$A$3:$E$56,2,0),"")</f>
        <v>PWEGPL</v>
      </c>
      <c r="I643" s="242" t="str">
        <f>IFERROR(VLOOKUP(WTG_BD[[#This Row],[Affected WTG]],'Basic Data'!$A$3:$E$56,3,0),"")</f>
        <v>MSEDCL</v>
      </c>
      <c r="J643" s="243">
        <f>IFERROR(VLOOKUP(WTG_BD[[#This Row],[Affected WTG]],'Basic Data'!$A$3:$E$56,5,0),"")</f>
        <v>2.564102564102564E-2</v>
      </c>
      <c r="K643" s="158" t="s">
        <v>549</v>
      </c>
      <c r="L643" s="247" t="str">
        <f>VLOOKUP(K643,'Basic Data'!T:U,2,0)</f>
        <v>Manual Stop - Preventive Maintenance Activity</v>
      </c>
      <c r="M643" s="135" t="s">
        <v>550</v>
      </c>
      <c r="N643" s="256">
        <v>0.42708333333333331</v>
      </c>
      <c r="O643" s="256">
        <v>0.42708333333333331</v>
      </c>
      <c r="P643" s="256">
        <v>0.73333333333333328</v>
      </c>
      <c r="Q643" s="253">
        <f>IF(WTG_BD[[#This Row],[Work Start TimeStamp]]="","",(WTG_BD[[#This Row],[Work Start TimeStamp]]-WTG_BD[[#This Row],[Fault Start TimeStamp]])*24)</f>
        <v>0</v>
      </c>
      <c r="R643" s="253">
        <f>(WTG_BD[[#This Row],[Fault Clearance time]]-WTG_BD[[#This Row],[Work Start TimeStamp]])*24</f>
        <v>7.35</v>
      </c>
      <c r="S643" s="253">
        <f>(WTG_BD[[#This Row],[Fault Clearance time]]-WTG_BD[[#This Row],[Fault Start TimeStamp]])*24</f>
        <v>7.35</v>
      </c>
      <c r="T643" s="135" t="s">
        <v>571</v>
      </c>
      <c r="U643" s="244" t="s">
        <v>474</v>
      </c>
      <c r="V643" s="246">
        <f>WTG_BD[[#This Row],[Breakdown Time]]*(1/39)</f>
        <v>0.18846153846153846</v>
      </c>
      <c r="W643" s="244" t="s">
        <v>129</v>
      </c>
      <c r="X643" s="250">
        <v>4213.6937499999995</v>
      </c>
      <c r="Y643" s="135" t="s">
        <v>470</v>
      </c>
      <c r="Z643" s="135" t="s">
        <v>552</v>
      </c>
      <c r="AA643" s="135">
        <v>13759</v>
      </c>
      <c r="AB643" s="249">
        <f>(WTG_BD[[#This Row],[Paired WTG Generation for loss calculation.]]/24)*WTG_BD[[#This Row],[Breakdown Time]]</f>
        <v>4213.6937499999995</v>
      </c>
      <c r="AC643" s="135"/>
      <c r="AD643" s="245"/>
      <c r="AE643" s="3"/>
    </row>
    <row r="644" spans="1:31">
      <c r="A644" s="241">
        <f t="shared" ref="A644:A709" si="22">A643+1</f>
        <v>643</v>
      </c>
      <c r="B644" s="255">
        <v>45805</v>
      </c>
      <c r="C644" s="252">
        <v>2025</v>
      </c>
      <c r="D644" s="252">
        <v>2025</v>
      </c>
      <c r="E644" s="251">
        <f t="shared" si="21"/>
        <v>45778</v>
      </c>
      <c r="F644" s="252" t="s">
        <v>465</v>
      </c>
      <c r="G644" s="248" t="s">
        <v>130</v>
      </c>
      <c r="H644" s="242" t="str">
        <f>IFERROR(VLOOKUP(WTG_BD[[#This Row],[Affected WTG]],'Basic Data'!$A$3:$E$56,2,0),"")</f>
        <v>PWEGPL</v>
      </c>
      <c r="I644" s="242" t="str">
        <f>IFERROR(VLOOKUP(WTG_BD[[#This Row],[Affected WTG]],'Basic Data'!$A$3:$E$56,3,0),"")</f>
        <v>MSEDCL</v>
      </c>
      <c r="J644" s="243">
        <f>IFERROR(VLOOKUP(WTG_BD[[#This Row],[Affected WTG]],'Basic Data'!$A$3:$E$56,5,0),"")</f>
        <v>2.564102564102564E-2</v>
      </c>
      <c r="K644" s="158">
        <v>5225</v>
      </c>
      <c r="L644" s="247" t="str">
        <f>VLOOKUP(K644,'Basic Data'!T:U,2,0)</f>
        <v>Fault In Analog Electronic Power Supply</v>
      </c>
      <c r="M644" s="135" t="s">
        <v>472</v>
      </c>
      <c r="N644" s="256">
        <v>0.46111111111111114</v>
      </c>
      <c r="O644" s="256">
        <v>0.4826388888888889</v>
      </c>
      <c r="P644" s="256">
        <v>0.48958333333333331</v>
      </c>
      <c r="Q644" s="253">
        <f>IF(WTG_BD[[#This Row],[Work Start TimeStamp]]="","",(WTG_BD[[#This Row],[Work Start TimeStamp]]-WTG_BD[[#This Row],[Fault Start TimeStamp]])*24)</f>
        <v>0.51666666666666616</v>
      </c>
      <c r="R644" s="253">
        <f>(WTG_BD[[#This Row],[Fault Clearance time]]-WTG_BD[[#This Row],[Work Start TimeStamp]])*24</f>
        <v>0.16666666666666607</v>
      </c>
      <c r="S644" s="253">
        <f>(WTG_BD[[#This Row],[Fault Clearance time]]-WTG_BD[[#This Row],[Fault Start TimeStamp]])*24</f>
        <v>0.68333333333333224</v>
      </c>
      <c r="T644" s="135" t="s">
        <v>477</v>
      </c>
      <c r="U644" s="244" t="s">
        <v>474</v>
      </c>
      <c r="V644" s="246">
        <f>WTG_BD[[#This Row],[Breakdown Time]]*(1/39)</f>
        <v>1.7521367521367494E-2</v>
      </c>
      <c r="W644" s="244" t="s">
        <v>131</v>
      </c>
      <c r="X644" s="250">
        <v>391.54999999999939</v>
      </c>
      <c r="Y644" s="135" t="s">
        <v>470</v>
      </c>
      <c r="Z644" s="135" t="s">
        <v>475</v>
      </c>
      <c r="AA644" s="135">
        <v>13752</v>
      </c>
      <c r="AB644" s="249">
        <f>(WTG_BD[[#This Row],[Paired WTG Generation for loss calculation.]]/24)*WTG_BD[[#This Row],[Breakdown Time]]</f>
        <v>391.54999999999939</v>
      </c>
      <c r="AC644" s="135"/>
      <c r="AD644" s="245"/>
      <c r="AE644" s="3"/>
    </row>
    <row r="645" spans="1:31">
      <c r="A645" s="241">
        <f t="shared" si="22"/>
        <v>644</v>
      </c>
      <c r="B645" s="255">
        <v>45805</v>
      </c>
      <c r="C645" s="252">
        <v>2025</v>
      </c>
      <c r="D645" s="252">
        <v>2025</v>
      </c>
      <c r="E645" s="251">
        <f t="shared" si="21"/>
        <v>45778</v>
      </c>
      <c r="F645" s="252" t="s">
        <v>465</v>
      </c>
      <c r="G645" s="248" t="s">
        <v>146</v>
      </c>
      <c r="H645" s="242" t="str">
        <f>IFERROR(VLOOKUP(WTG_BD[[#This Row],[Affected WTG]],'Basic Data'!$A$3:$E$56,2,0),"")</f>
        <v>PWEGPL</v>
      </c>
      <c r="I645" s="242" t="str">
        <f>IFERROR(VLOOKUP(WTG_BD[[#This Row],[Affected WTG]],'Basic Data'!$A$3:$E$56,3,0),"")</f>
        <v>MSEDCL</v>
      </c>
      <c r="J645" s="243">
        <f>IFERROR(VLOOKUP(WTG_BD[[#This Row],[Affected WTG]],'Basic Data'!$A$3:$E$56,5,0),"")</f>
        <v>2.564102564102564E-2</v>
      </c>
      <c r="K645" s="158">
        <v>800</v>
      </c>
      <c r="L645" s="247" t="str">
        <f>VLOOKUP(K645,'Basic Data'!T:U,2,0)</f>
        <v>Pitch Drive Error</v>
      </c>
      <c r="M645" s="135" t="s">
        <v>472</v>
      </c>
      <c r="N645" s="256">
        <v>0.6333333333333333</v>
      </c>
      <c r="O645" s="256">
        <v>0.66111111111111109</v>
      </c>
      <c r="P645" s="256">
        <v>0.81805555555555554</v>
      </c>
      <c r="Q645" s="253">
        <f>IF(WTG_BD[[#This Row],[Work Start TimeStamp]]="","",(WTG_BD[[#This Row],[Work Start TimeStamp]]-WTG_BD[[#This Row],[Fault Start TimeStamp]])*24)</f>
        <v>0.66666666666666696</v>
      </c>
      <c r="R645" s="253">
        <f>(WTG_BD[[#This Row],[Fault Clearance time]]-WTG_BD[[#This Row],[Work Start TimeStamp]])*24</f>
        <v>3.7666666666666666</v>
      </c>
      <c r="S645" s="253">
        <f>(WTG_BD[[#This Row],[Fault Clearance time]]-WTG_BD[[#This Row],[Fault Start TimeStamp]])*24</f>
        <v>4.4333333333333336</v>
      </c>
      <c r="T645" s="135" t="s">
        <v>618</v>
      </c>
      <c r="U645" s="244" t="s">
        <v>474</v>
      </c>
      <c r="V645" s="246">
        <f>WTG_BD[[#This Row],[Breakdown Time]]*(1/39)</f>
        <v>0.11367521367521367</v>
      </c>
      <c r="W645" s="244" t="s">
        <v>147</v>
      </c>
      <c r="X645" s="250">
        <v>1371.0083333333334</v>
      </c>
      <c r="Y645" s="135" t="s">
        <v>470</v>
      </c>
      <c r="Z645" s="135" t="s">
        <v>475</v>
      </c>
      <c r="AA645" s="135">
        <v>7422</v>
      </c>
      <c r="AB645" s="249">
        <f>(WTG_BD[[#This Row],[Paired WTG Generation for loss calculation.]]/24)*WTG_BD[[#This Row],[Breakdown Time]]</f>
        <v>1371.0083333333334</v>
      </c>
      <c r="AC645" s="135"/>
      <c r="AD645" s="245"/>
      <c r="AE645" s="3"/>
    </row>
    <row r="646" spans="1:31">
      <c r="A646" s="241">
        <f t="shared" si="22"/>
        <v>645</v>
      </c>
      <c r="B646" s="255">
        <v>45806</v>
      </c>
      <c r="C646" s="252">
        <v>2025</v>
      </c>
      <c r="D646" s="252">
        <v>2025</v>
      </c>
      <c r="E646" s="251">
        <f t="shared" si="21"/>
        <v>45778</v>
      </c>
      <c r="F646" s="252" t="s">
        <v>465</v>
      </c>
      <c r="G646" s="248" t="s">
        <v>144</v>
      </c>
      <c r="H646" s="242" t="str">
        <f>IFERROR(VLOOKUP(WTG_BD[[#This Row],[Affected WTG]],'Basic Data'!$A$3:$E$56,2,0),"")</f>
        <v>PWEGPL</v>
      </c>
      <c r="I646" s="242" t="str">
        <f>IFERROR(VLOOKUP(WTG_BD[[#This Row],[Affected WTG]],'Basic Data'!$A$3:$E$56,3,0),"")</f>
        <v>MSEDCL</v>
      </c>
      <c r="J646" s="243">
        <f>IFERROR(VLOOKUP(WTG_BD[[#This Row],[Affected WTG]],'Basic Data'!$A$3:$E$56,5,0),"")</f>
        <v>2.564102564102564E-2</v>
      </c>
      <c r="K646" s="158" t="s">
        <v>466</v>
      </c>
      <c r="L646" s="247" t="str">
        <f>VLOOKUP(K646,'Basic Data'!T:U,2,0)</f>
        <v>Manual Stop - Safety Related</v>
      </c>
      <c r="M646" s="135" t="s">
        <v>467</v>
      </c>
      <c r="N646" s="256">
        <v>0</v>
      </c>
      <c r="O646" s="256">
        <v>0.99930555555555556</v>
      </c>
      <c r="P646" s="256">
        <v>0.99930555555555556</v>
      </c>
      <c r="Q646" s="253">
        <f>IF(WTG_BD[[#This Row],[Work Start TimeStamp]]="","",(WTG_BD[[#This Row],[Work Start TimeStamp]]-WTG_BD[[#This Row],[Fault Start TimeStamp]])*24)</f>
        <v>23.983333333333334</v>
      </c>
      <c r="R646" s="253">
        <f>(WTG_BD[[#This Row],[Fault Clearance time]]-WTG_BD[[#This Row],[Work Start TimeStamp]])*24</f>
        <v>0</v>
      </c>
      <c r="S646" s="253">
        <f>(WTG_BD[[#This Row],[Fault Clearance time]]-WTG_BD[[#This Row],[Fault Start TimeStamp]])*24</f>
        <v>23.983333333333334</v>
      </c>
      <c r="T646" s="135" t="s">
        <v>468</v>
      </c>
      <c r="U646" s="244" t="s">
        <v>469</v>
      </c>
      <c r="V646" s="246">
        <f>WTG_BD[[#This Row],[Breakdown Time]]*(1/39)</f>
        <v>0.61495726495726499</v>
      </c>
      <c r="W646" s="244" t="s">
        <v>141</v>
      </c>
      <c r="X646" s="250">
        <v>12259.480555555556</v>
      </c>
      <c r="Y646" s="135" t="s">
        <v>470</v>
      </c>
      <c r="Z646" s="135" t="s">
        <v>471</v>
      </c>
      <c r="AA646" s="135">
        <v>12268</v>
      </c>
      <c r="AB646" s="249">
        <f>(WTG_BD[[#This Row],[Paired WTG Generation for loss calculation.]]/24)*WTG_BD[[#This Row],[Breakdown Time]]</f>
        <v>12259.480555555556</v>
      </c>
      <c r="AC646" s="135"/>
      <c r="AD646" s="245"/>
      <c r="AE646" s="3"/>
    </row>
    <row r="647" spans="1:31">
      <c r="A647" s="241">
        <f t="shared" si="22"/>
        <v>646</v>
      </c>
      <c r="B647" s="255">
        <v>45806</v>
      </c>
      <c r="C647" s="252">
        <v>2025</v>
      </c>
      <c r="D647" s="252">
        <v>2025</v>
      </c>
      <c r="E647" s="251">
        <f t="shared" si="21"/>
        <v>45778</v>
      </c>
      <c r="F647" s="252" t="s">
        <v>465</v>
      </c>
      <c r="G647" s="248" t="s">
        <v>142</v>
      </c>
      <c r="H647" s="242" t="str">
        <f>IFERROR(VLOOKUP(WTG_BD[[#This Row],[Affected WTG]],'Basic Data'!$A$3:$E$56,2,0),"")</f>
        <v>PWEGPL</v>
      </c>
      <c r="I647" s="242" t="str">
        <f>IFERROR(VLOOKUP(WTG_BD[[#This Row],[Affected WTG]],'Basic Data'!$A$3:$E$56,3,0),"")</f>
        <v>MSEDCL</v>
      </c>
      <c r="J647" s="243">
        <f>IFERROR(VLOOKUP(WTG_BD[[#This Row],[Affected WTG]],'Basic Data'!$A$3:$E$56,5,0),"")</f>
        <v>2.564102564102564E-2</v>
      </c>
      <c r="K647" s="158" t="s">
        <v>466</v>
      </c>
      <c r="L647" s="247" t="str">
        <f>VLOOKUP(K647,'Basic Data'!T:U,2,0)</f>
        <v>Manual Stop - Safety Related</v>
      </c>
      <c r="M647" s="135" t="s">
        <v>467</v>
      </c>
      <c r="N647" s="256">
        <v>0</v>
      </c>
      <c r="O647" s="256">
        <v>0.99930555555555556</v>
      </c>
      <c r="P647" s="256">
        <v>0.99930555555555556</v>
      </c>
      <c r="Q647" s="253">
        <f>IF(WTG_BD[[#This Row],[Work Start TimeStamp]]="","",(WTG_BD[[#This Row],[Work Start TimeStamp]]-WTG_BD[[#This Row],[Fault Start TimeStamp]])*24)</f>
        <v>23.983333333333334</v>
      </c>
      <c r="R647" s="253">
        <f>(WTG_BD[[#This Row],[Fault Clearance time]]-WTG_BD[[#This Row],[Work Start TimeStamp]])*24</f>
        <v>0</v>
      </c>
      <c r="S647" s="253">
        <f>(WTG_BD[[#This Row],[Fault Clearance time]]-WTG_BD[[#This Row],[Fault Start TimeStamp]])*24</f>
        <v>23.983333333333334</v>
      </c>
      <c r="T647" s="135" t="s">
        <v>468</v>
      </c>
      <c r="U647" s="244" t="s">
        <v>469</v>
      </c>
      <c r="V647" s="246">
        <f>WTG_BD[[#This Row],[Breakdown Time]]*(1/39)</f>
        <v>0.61495726495726499</v>
      </c>
      <c r="W647" s="244" t="s">
        <v>141</v>
      </c>
      <c r="X647" s="250">
        <v>12259.480555555556</v>
      </c>
      <c r="Y647" s="135" t="s">
        <v>470</v>
      </c>
      <c r="Z647" s="135" t="s">
        <v>471</v>
      </c>
      <c r="AA647" s="135">
        <v>12268</v>
      </c>
      <c r="AB647" s="249">
        <f>(WTG_BD[[#This Row],[Paired WTG Generation for loss calculation.]]/24)*WTG_BD[[#This Row],[Breakdown Time]]</f>
        <v>12259.480555555556</v>
      </c>
      <c r="AC647" s="135"/>
      <c r="AD647" s="245"/>
      <c r="AE647" s="3"/>
    </row>
    <row r="648" spans="1:31">
      <c r="A648" s="241">
        <f t="shared" si="22"/>
        <v>647</v>
      </c>
      <c r="B648" s="255">
        <v>45806</v>
      </c>
      <c r="C648" s="252">
        <v>2025</v>
      </c>
      <c r="D648" s="252">
        <v>2025</v>
      </c>
      <c r="E648" s="251">
        <f t="shared" si="21"/>
        <v>45778</v>
      </c>
      <c r="F648" s="252" t="s">
        <v>465</v>
      </c>
      <c r="G648" s="248" t="s">
        <v>118</v>
      </c>
      <c r="H648" s="242" t="str">
        <f>IFERROR(VLOOKUP(WTG_BD[[#This Row],[Affected WTG]],'Basic Data'!$A$3:$E$56,2,0),"")</f>
        <v>PWEGPL</v>
      </c>
      <c r="I648" s="242" t="str">
        <f>IFERROR(VLOOKUP(WTG_BD[[#This Row],[Affected WTG]],'Basic Data'!$A$3:$E$56,3,0),"")</f>
        <v>MSEDCL</v>
      </c>
      <c r="J648" s="243">
        <f>IFERROR(VLOOKUP(WTG_BD[[#This Row],[Affected WTG]],'Basic Data'!$A$3:$E$56,5,0),"")</f>
        <v>2.564102564102564E-2</v>
      </c>
      <c r="K648" s="158">
        <v>203</v>
      </c>
      <c r="L648" s="247" t="str">
        <f>VLOOKUP(K648,'Basic Data'!T:U,2,0)</f>
        <v>Low Pressure On Hydraulic Group</v>
      </c>
      <c r="M648" s="135" t="s">
        <v>472</v>
      </c>
      <c r="N648" s="256">
        <v>0.73263888888888884</v>
      </c>
      <c r="O648" s="256">
        <v>0.76388888888888884</v>
      </c>
      <c r="P648" s="256">
        <v>0.76527777777777772</v>
      </c>
      <c r="Q648" s="253">
        <f>IF(WTG_BD[[#This Row],[Work Start TimeStamp]]="","",(WTG_BD[[#This Row],[Work Start TimeStamp]]-WTG_BD[[#This Row],[Fault Start TimeStamp]])*24)</f>
        <v>0.75</v>
      </c>
      <c r="R648" s="253">
        <f>(WTG_BD[[#This Row],[Fault Clearance time]]-WTG_BD[[#This Row],[Work Start TimeStamp]])*24</f>
        <v>3.3333333333333215E-2</v>
      </c>
      <c r="S648" s="253">
        <f>(WTG_BD[[#This Row],[Fault Clearance time]]-WTG_BD[[#This Row],[Fault Start TimeStamp]])*24</f>
        <v>0.78333333333333321</v>
      </c>
      <c r="T648" s="135" t="s">
        <v>473</v>
      </c>
      <c r="U648" s="244" t="s">
        <v>474</v>
      </c>
      <c r="V648" s="246">
        <f>WTG_BD[[#This Row],[Breakdown Time]]*(1/39)</f>
        <v>2.008547008547008E-2</v>
      </c>
      <c r="W648" s="244" t="s">
        <v>117</v>
      </c>
      <c r="X648" s="250">
        <v>537.04027777777776</v>
      </c>
      <c r="Y648" s="135" t="s">
        <v>470</v>
      </c>
      <c r="Z648" s="135" t="s">
        <v>475</v>
      </c>
      <c r="AA648" s="135">
        <v>16454</v>
      </c>
      <c r="AB648" s="249">
        <f>(WTG_BD[[#This Row],[Paired WTG Generation for loss calculation.]]/24)*WTG_BD[[#This Row],[Breakdown Time]]</f>
        <v>537.04027777777776</v>
      </c>
      <c r="AC648" s="135"/>
      <c r="AD648" s="245"/>
      <c r="AE648" s="3"/>
    </row>
    <row r="649" spans="1:31">
      <c r="A649" s="241">
        <f t="shared" si="22"/>
        <v>648</v>
      </c>
      <c r="B649" s="255">
        <v>45806</v>
      </c>
      <c r="C649" s="252">
        <v>2025</v>
      </c>
      <c r="D649" s="252">
        <v>2025</v>
      </c>
      <c r="E649" s="251">
        <f t="shared" si="21"/>
        <v>45778</v>
      </c>
      <c r="F649" s="252" t="s">
        <v>465</v>
      </c>
      <c r="G649" s="158" t="s">
        <v>127</v>
      </c>
      <c r="H649" s="242" t="str">
        <f>IFERROR(VLOOKUP(WTG_BD[[#This Row],[Affected WTG]],'Basic Data'!$A$3:$E$56,2,0),"")</f>
        <v>PWEGPL</v>
      </c>
      <c r="I649" s="242" t="str">
        <f>IFERROR(VLOOKUP(WTG_BD[[#This Row],[Affected WTG]],'Basic Data'!$A$3:$E$56,3,0),"")</f>
        <v>MSEDCL</v>
      </c>
      <c r="J649" s="243">
        <f>IFERROR(VLOOKUP(WTG_BD[[#This Row],[Affected WTG]],'Basic Data'!$A$3:$E$56,5,0),"")</f>
        <v>2.564102564102564E-2</v>
      </c>
      <c r="K649" s="158" t="s">
        <v>549</v>
      </c>
      <c r="L649" s="247" t="str">
        <f>VLOOKUP(K649,'Basic Data'!T:U,2,0)</f>
        <v>Manual Stop - Preventive Maintenance Activity</v>
      </c>
      <c r="M649" s="135" t="s">
        <v>550</v>
      </c>
      <c r="N649" s="256">
        <v>0.47916666666666669</v>
      </c>
      <c r="O649" s="256">
        <v>0.47916666666666669</v>
      </c>
      <c r="P649" s="256">
        <v>0.78125</v>
      </c>
      <c r="Q649" s="253">
        <f>IF(WTG_BD[[#This Row],[Work Start TimeStamp]]="","",(WTG_BD[[#This Row],[Work Start TimeStamp]]-WTG_BD[[#This Row],[Fault Start TimeStamp]])*24)</f>
        <v>0</v>
      </c>
      <c r="R649" s="253">
        <f>(WTG_BD[[#This Row],[Fault Clearance time]]-WTG_BD[[#This Row],[Work Start TimeStamp]])*24</f>
        <v>7.25</v>
      </c>
      <c r="S649" s="253">
        <f>(WTG_BD[[#This Row],[Fault Clearance time]]-WTG_BD[[#This Row],[Fault Start TimeStamp]])*24</f>
        <v>7.25</v>
      </c>
      <c r="T649" s="135" t="s">
        <v>571</v>
      </c>
      <c r="U649" s="244" t="s">
        <v>474</v>
      </c>
      <c r="V649" s="246">
        <f>WTG_BD[[#This Row],[Breakdown Time]]*(1/39)</f>
        <v>0.1858974358974359</v>
      </c>
      <c r="W649" s="244" t="s">
        <v>126</v>
      </c>
      <c r="X649" s="250">
        <v>4974.40625</v>
      </c>
      <c r="Y649" s="135" t="s">
        <v>470</v>
      </c>
      <c r="Z649" s="135" t="s">
        <v>552</v>
      </c>
      <c r="AA649" s="135">
        <v>16467</v>
      </c>
      <c r="AB649" s="249">
        <f>(WTG_BD[[#This Row],[Paired WTG Generation for loss calculation.]]/24)*WTG_BD[[#This Row],[Breakdown Time]]</f>
        <v>4974.40625</v>
      </c>
      <c r="AC649" s="135"/>
      <c r="AD649" s="245"/>
      <c r="AE649" s="3"/>
    </row>
    <row r="650" spans="1:31">
      <c r="A650" s="241">
        <f t="shared" si="22"/>
        <v>649</v>
      </c>
      <c r="B650" s="255">
        <v>45806</v>
      </c>
      <c r="C650" s="252">
        <v>2025</v>
      </c>
      <c r="D650" s="252">
        <v>2025</v>
      </c>
      <c r="E650" s="251">
        <f t="shared" si="21"/>
        <v>45778</v>
      </c>
      <c r="F650" s="252" t="s">
        <v>465</v>
      </c>
      <c r="G650" s="248" t="s">
        <v>128</v>
      </c>
      <c r="H650" s="242" t="str">
        <f>IFERROR(VLOOKUP(WTG_BD[[#This Row],[Affected WTG]],'Basic Data'!$A$3:$E$56,2,0),"")</f>
        <v>PWEGPL</v>
      </c>
      <c r="I650" s="242" t="str">
        <f>IFERROR(VLOOKUP(WTG_BD[[#This Row],[Affected WTG]],'Basic Data'!$A$3:$E$56,3,0),"")</f>
        <v>MSEDCL</v>
      </c>
      <c r="J650" s="243">
        <f>IFERROR(VLOOKUP(WTG_BD[[#This Row],[Affected WTG]],'Basic Data'!$A$3:$E$56,5,0),"")</f>
        <v>2.564102564102564E-2</v>
      </c>
      <c r="K650" s="158">
        <v>5238</v>
      </c>
      <c r="L650" s="247" t="str">
        <f>VLOOKUP(K650,'Basic Data'!T:U,2,0)</f>
        <v>Error In Phase T Of The Inverter</v>
      </c>
      <c r="M650" s="135" t="s">
        <v>472</v>
      </c>
      <c r="N650" s="256">
        <v>0.45833333333333331</v>
      </c>
      <c r="O650" s="256">
        <v>0.4826388888888889</v>
      </c>
      <c r="P650" s="256">
        <v>0.59722222222222221</v>
      </c>
      <c r="Q650" s="253">
        <f>IF(WTG_BD[[#This Row],[Work Start TimeStamp]]="","",(WTG_BD[[#This Row],[Work Start TimeStamp]]-WTG_BD[[#This Row],[Fault Start TimeStamp]])*24)</f>
        <v>0.58333333333333393</v>
      </c>
      <c r="R650" s="253">
        <f>(WTG_BD[[#This Row],[Fault Clearance time]]-WTG_BD[[#This Row],[Work Start TimeStamp]])*24</f>
        <v>2.7499999999999996</v>
      </c>
      <c r="S650" s="253">
        <f>(WTG_BD[[#This Row],[Fault Clearance time]]-WTG_BD[[#This Row],[Fault Start TimeStamp]])*24</f>
        <v>3.3333333333333335</v>
      </c>
      <c r="T650" s="135" t="s">
        <v>619</v>
      </c>
      <c r="U650" s="244" t="s">
        <v>474</v>
      </c>
      <c r="V650" s="246">
        <f>WTG_BD[[#This Row],[Breakdown Time]]*(1/39)</f>
        <v>8.5470085470085472E-2</v>
      </c>
      <c r="W650" s="244" t="s">
        <v>129</v>
      </c>
      <c r="X650" s="250">
        <v>2230.6944444444448</v>
      </c>
      <c r="Y650" s="135" t="s">
        <v>470</v>
      </c>
      <c r="Z650" s="135" t="s">
        <v>475</v>
      </c>
      <c r="AA650" s="135">
        <v>16061</v>
      </c>
      <c r="AB650" s="249">
        <f>(WTG_BD[[#This Row],[Paired WTG Generation for loss calculation.]]/24)*WTG_BD[[#This Row],[Breakdown Time]]</f>
        <v>2230.6944444444448</v>
      </c>
      <c r="AC650" s="135"/>
      <c r="AD650" s="245"/>
      <c r="AE650" s="3"/>
    </row>
    <row r="651" spans="1:31">
      <c r="A651" s="241">
        <f t="shared" si="22"/>
        <v>650</v>
      </c>
      <c r="B651" s="255">
        <v>45806</v>
      </c>
      <c r="C651" s="252">
        <v>2025</v>
      </c>
      <c r="D651" s="252">
        <v>2025</v>
      </c>
      <c r="E651" s="251">
        <f t="shared" si="21"/>
        <v>45778</v>
      </c>
      <c r="F651" s="252" t="s">
        <v>465</v>
      </c>
      <c r="G651" s="248" t="s">
        <v>138</v>
      </c>
      <c r="H651" s="242" t="str">
        <f>IFERROR(VLOOKUP(WTG_BD[[#This Row],[Affected WTG]],'Basic Data'!$A$3:$E$56,2,0),"")</f>
        <v>PWEGPL</v>
      </c>
      <c r="I651" s="242" t="str">
        <f>IFERROR(VLOOKUP(WTG_BD[[#This Row],[Affected WTG]],'Basic Data'!$A$3:$E$56,3,0),"")</f>
        <v>MSEDCL</v>
      </c>
      <c r="J651" s="243">
        <f>IFERROR(VLOOKUP(WTG_BD[[#This Row],[Affected WTG]],'Basic Data'!$A$3:$E$56,5,0),"")</f>
        <v>2.564102564102564E-2</v>
      </c>
      <c r="K651" s="158">
        <v>5203</v>
      </c>
      <c r="L651" s="247" t="str">
        <f>VLOOKUP(K651,'Basic Data'!T:U,2,0)</f>
        <v>Heating/Coolant Thermal Magnetic Failure</v>
      </c>
      <c r="M651" s="135" t="s">
        <v>472</v>
      </c>
      <c r="N651" s="256">
        <v>0.63541666666666663</v>
      </c>
      <c r="O651" s="256">
        <v>0.77222222222222225</v>
      </c>
      <c r="P651" s="256">
        <v>0.77430555555555558</v>
      </c>
      <c r="Q651" s="253">
        <f>IF(WTG_BD[[#This Row],[Work Start TimeStamp]]="","",(WTG_BD[[#This Row],[Work Start TimeStamp]]-WTG_BD[[#This Row],[Fault Start TimeStamp]])*24)</f>
        <v>3.283333333333335</v>
      </c>
      <c r="R651" s="253">
        <f>(WTG_BD[[#This Row],[Fault Clearance time]]-WTG_BD[[#This Row],[Work Start TimeStamp]])*24</f>
        <v>4.9999999999999822E-2</v>
      </c>
      <c r="S651" s="253">
        <f>(WTG_BD[[#This Row],[Fault Clearance time]]-WTG_BD[[#This Row],[Fault Start TimeStamp]])*24</f>
        <v>3.3333333333333348</v>
      </c>
      <c r="T651" s="135" t="s">
        <v>473</v>
      </c>
      <c r="U651" s="244" t="s">
        <v>474</v>
      </c>
      <c r="V651" s="246">
        <f>WTG_BD[[#This Row],[Breakdown Time]]*(1/39)</f>
        <v>8.54700854700855E-2</v>
      </c>
      <c r="W651" s="244" t="s">
        <v>140</v>
      </c>
      <c r="X651" s="250">
        <v>1703.3333333333342</v>
      </c>
      <c r="Y651" s="135" t="s">
        <v>470</v>
      </c>
      <c r="Z651" s="135" t="s">
        <v>475</v>
      </c>
      <c r="AA651" s="135">
        <v>12264</v>
      </c>
      <c r="AB651" s="249">
        <f>(WTG_BD[[#This Row],[Paired WTG Generation for loss calculation.]]/24)*WTG_BD[[#This Row],[Breakdown Time]]</f>
        <v>1703.3333333333342</v>
      </c>
      <c r="AC651" s="135"/>
      <c r="AD651" s="245"/>
      <c r="AE651" s="3"/>
    </row>
    <row r="652" spans="1:31">
      <c r="A652" s="241">
        <f t="shared" si="22"/>
        <v>651</v>
      </c>
      <c r="B652" s="255">
        <v>45806</v>
      </c>
      <c r="C652" s="252">
        <v>2025</v>
      </c>
      <c r="D652" s="252">
        <v>2025</v>
      </c>
      <c r="E652" s="251">
        <f t="shared" si="21"/>
        <v>45778</v>
      </c>
      <c r="F652" s="252" t="s">
        <v>465</v>
      </c>
      <c r="G652" s="248" t="s">
        <v>146</v>
      </c>
      <c r="H652" s="242" t="str">
        <f>IFERROR(VLOOKUP(WTG_BD[[#This Row],[Affected WTG]],'Basic Data'!$A$3:$E$56,2,0),"")</f>
        <v>PWEGPL</v>
      </c>
      <c r="I652" s="242" t="str">
        <f>IFERROR(VLOOKUP(WTG_BD[[#This Row],[Affected WTG]],'Basic Data'!$A$3:$E$56,3,0),"")</f>
        <v>MSEDCL</v>
      </c>
      <c r="J652" s="243">
        <f>IFERROR(VLOOKUP(WTG_BD[[#This Row],[Affected WTG]],'Basic Data'!$A$3:$E$56,5,0),"")</f>
        <v>2.564102564102564E-2</v>
      </c>
      <c r="K652" s="158" t="s">
        <v>514</v>
      </c>
      <c r="L652" s="247" t="str">
        <f>VLOOKUP(K652,'Basic Data'!T:U,2,0)</f>
        <v>General Work Stoppage</v>
      </c>
      <c r="M652" s="135" t="s">
        <v>496</v>
      </c>
      <c r="N652" s="256">
        <v>0.53819444444444442</v>
      </c>
      <c r="O652" s="256">
        <v>0.53819444444444442</v>
      </c>
      <c r="P652" s="256">
        <v>0.84027777777777779</v>
      </c>
      <c r="Q652" s="253">
        <f>IF(WTG_BD[[#This Row],[Work Start TimeStamp]]="","",(WTG_BD[[#This Row],[Work Start TimeStamp]]-WTG_BD[[#This Row],[Fault Start TimeStamp]])*24)</f>
        <v>0</v>
      </c>
      <c r="R652" s="253">
        <f>(WTG_BD[[#This Row],[Fault Clearance time]]-WTG_BD[[#This Row],[Work Start TimeStamp]])*24</f>
        <v>7.2500000000000009</v>
      </c>
      <c r="S652" s="253">
        <f>(WTG_BD[[#This Row],[Fault Clearance time]]-WTG_BD[[#This Row],[Fault Start TimeStamp]])*24</f>
        <v>7.2500000000000009</v>
      </c>
      <c r="T652" s="135" t="s">
        <v>620</v>
      </c>
      <c r="U652" s="244" t="s">
        <v>474</v>
      </c>
      <c r="V652" s="246">
        <f>WTG_BD[[#This Row],[Breakdown Time]]*(1/39)</f>
        <v>0.1858974358974359</v>
      </c>
      <c r="W652" s="244" t="s">
        <v>147</v>
      </c>
      <c r="X652" s="250">
        <v>4184.7604166666679</v>
      </c>
      <c r="Y652" s="135" t="s">
        <v>470</v>
      </c>
      <c r="Z652" s="135" t="s">
        <v>498</v>
      </c>
      <c r="AA652" s="135">
        <v>13853</v>
      </c>
      <c r="AB652" s="249">
        <f>(WTG_BD[[#This Row],[Paired WTG Generation for loss calculation.]]/24)*WTG_BD[[#This Row],[Breakdown Time]]</f>
        <v>4184.7604166666679</v>
      </c>
      <c r="AC652" s="135"/>
      <c r="AD652" s="245"/>
      <c r="AE652" s="3"/>
    </row>
    <row r="653" spans="1:31">
      <c r="A653" s="241">
        <f t="shared" si="22"/>
        <v>652</v>
      </c>
      <c r="B653" s="255">
        <v>45806</v>
      </c>
      <c r="C653" s="252">
        <v>2025</v>
      </c>
      <c r="D653" s="252">
        <v>2025</v>
      </c>
      <c r="E653" s="251">
        <f t="shared" si="21"/>
        <v>45778</v>
      </c>
      <c r="F653" s="252" t="s">
        <v>465</v>
      </c>
      <c r="G653" s="248" t="s">
        <v>149</v>
      </c>
      <c r="H653" s="242" t="str">
        <f>IFERROR(VLOOKUP(WTG_BD[[#This Row],[Affected WTG]],'Basic Data'!$A$3:$E$56,2,0),"")</f>
        <v>PWEGPL</v>
      </c>
      <c r="I653" s="242" t="str">
        <f>IFERROR(VLOOKUP(WTG_BD[[#This Row],[Affected WTG]],'Basic Data'!$A$3:$E$56,3,0),"")</f>
        <v>MSEDCL</v>
      </c>
      <c r="J653" s="243">
        <f>IFERROR(VLOOKUP(WTG_BD[[#This Row],[Affected WTG]],'Basic Data'!$A$3:$E$56,5,0),"")</f>
        <v>2.564102564102564E-2</v>
      </c>
      <c r="K653" s="158">
        <v>2118</v>
      </c>
      <c r="L653" s="247" t="str">
        <f>VLOOKUP(K653,'Basic Data'!T:U,2,0)</f>
        <v>Bus Error - Interbus Failure</v>
      </c>
      <c r="M653" s="135" t="s">
        <v>472</v>
      </c>
      <c r="N653" s="256">
        <v>0.70902777777777781</v>
      </c>
      <c r="O653" s="256">
        <v>0.76041666666666663</v>
      </c>
      <c r="P653" s="256">
        <v>0.76249999999999996</v>
      </c>
      <c r="Q653" s="253">
        <f>IF(WTG_BD[[#This Row],[Work Start TimeStamp]]="","",(WTG_BD[[#This Row],[Work Start TimeStamp]]-WTG_BD[[#This Row],[Fault Start TimeStamp]])*24)</f>
        <v>1.2333333333333316</v>
      </c>
      <c r="R653" s="253">
        <f>(WTG_BD[[#This Row],[Fault Clearance time]]-WTG_BD[[#This Row],[Work Start TimeStamp]])*24</f>
        <v>4.9999999999999822E-2</v>
      </c>
      <c r="S653" s="253">
        <f>(WTG_BD[[#This Row],[Fault Clearance time]]-WTG_BD[[#This Row],[Fault Start TimeStamp]])*24</f>
        <v>1.2833333333333314</v>
      </c>
      <c r="T653" s="135" t="s">
        <v>482</v>
      </c>
      <c r="U653" s="244" t="s">
        <v>474</v>
      </c>
      <c r="V653" s="246">
        <f>WTG_BD[[#This Row],[Breakdown Time]]*(1/39)</f>
        <v>3.2905982905982858E-2</v>
      </c>
      <c r="W653" s="244" t="s">
        <v>150</v>
      </c>
      <c r="X653" s="250">
        <v>740.96458333333226</v>
      </c>
      <c r="Y653" s="135" t="s">
        <v>470</v>
      </c>
      <c r="Z653" s="135" t="s">
        <v>475</v>
      </c>
      <c r="AA653" s="135">
        <v>13857</v>
      </c>
      <c r="AB653" s="249">
        <f>(WTG_BD[[#This Row],[Paired WTG Generation for loss calculation.]]/24)*WTG_BD[[#This Row],[Breakdown Time]]</f>
        <v>740.96458333333226</v>
      </c>
      <c r="AC653" s="135"/>
      <c r="AD653" s="245"/>
      <c r="AE653" s="3"/>
    </row>
    <row r="654" spans="1:31">
      <c r="A654" s="241">
        <f t="shared" si="22"/>
        <v>653</v>
      </c>
      <c r="B654" s="255">
        <v>45807</v>
      </c>
      <c r="C654" s="252">
        <v>2025</v>
      </c>
      <c r="D654" s="252">
        <v>2025</v>
      </c>
      <c r="E654" s="251">
        <f t="shared" si="21"/>
        <v>45778</v>
      </c>
      <c r="F654" s="252" t="s">
        <v>465</v>
      </c>
      <c r="G654" s="248" t="s">
        <v>144</v>
      </c>
      <c r="H654" s="242" t="str">
        <f>IFERROR(VLOOKUP(WTG_BD[[#This Row],[Affected WTG]],'Basic Data'!$A$3:$E$56,2,0),"")</f>
        <v>PWEGPL</v>
      </c>
      <c r="I654" s="242" t="str">
        <f>IFERROR(VLOOKUP(WTG_BD[[#This Row],[Affected WTG]],'Basic Data'!$A$3:$E$56,3,0),"")</f>
        <v>MSEDCL</v>
      </c>
      <c r="J654" s="243">
        <f>IFERROR(VLOOKUP(WTG_BD[[#This Row],[Affected WTG]],'Basic Data'!$A$3:$E$56,5,0),"")</f>
        <v>2.564102564102564E-2</v>
      </c>
      <c r="K654" s="158" t="s">
        <v>466</v>
      </c>
      <c r="L654" s="247" t="str">
        <f>VLOOKUP(K654,'Basic Data'!T:U,2,0)</f>
        <v>Manual Stop - Safety Related</v>
      </c>
      <c r="M654" s="135" t="s">
        <v>467</v>
      </c>
      <c r="N654" s="256">
        <v>0</v>
      </c>
      <c r="O654" s="256">
        <v>0.99930555555555556</v>
      </c>
      <c r="P654" s="256">
        <v>0.99930555555555556</v>
      </c>
      <c r="Q654" s="253">
        <f>IF(WTG_BD[[#This Row],[Work Start TimeStamp]]="","",(WTG_BD[[#This Row],[Work Start TimeStamp]]-WTG_BD[[#This Row],[Fault Start TimeStamp]])*24)</f>
        <v>23.983333333333334</v>
      </c>
      <c r="R654" s="253">
        <f>(WTG_BD[[#This Row],[Fault Clearance time]]-WTG_BD[[#This Row],[Work Start TimeStamp]])*24</f>
        <v>0</v>
      </c>
      <c r="S654" s="253">
        <f>(WTG_BD[[#This Row],[Fault Clearance time]]-WTG_BD[[#This Row],[Fault Start TimeStamp]])*24</f>
        <v>23.983333333333334</v>
      </c>
      <c r="T654" s="135" t="s">
        <v>468</v>
      </c>
      <c r="U654" s="244" t="s">
        <v>469</v>
      </c>
      <c r="V654" s="246">
        <f>WTG_BD[[#This Row],[Breakdown Time]]*(1/39)</f>
        <v>0.61495726495726499</v>
      </c>
      <c r="W654" s="244" t="s">
        <v>141</v>
      </c>
      <c r="X654" s="250">
        <v>10982.368055555557</v>
      </c>
      <c r="Y654" s="135" t="s">
        <v>470</v>
      </c>
      <c r="Z654" s="135" t="s">
        <v>471</v>
      </c>
      <c r="AA654" s="135">
        <v>10990</v>
      </c>
      <c r="AB654" s="249">
        <f>(WTG_BD[[#This Row],[Paired WTG Generation for loss calculation.]]/24)*WTG_BD[[#This Row],[Breakdown Time]]</f>
        <v>10982.368055555557</v>
      </c>
      <c r="AC654" s="135"/>
      <c r="AD654" s="245"/>
      <c r="AE654" s="3"/>
    </row>
    <row r="655" spans="1:31">
      <c r="A655" s="241">
        <f t="shared" si="22"/>
        <v>654</v>
      </c>
      <c r="B655" s="255">
        <v>45807</v>
      </c>
      <c r="C655" s="252">
        <v>2025</v>
      </c>
      <c r="D655" s="252">
        <v>2025</v>
      </c>
      <c r="E655" s="251">
        <f t="shared" si="21"/>
        <v>45778</v>
      </c>
      <c r="F655" s="252" t="s">
        <v>465</v>
      </c>
      <c r="G655" s="248" t="s">
        <v>142</v>
      </c>
      <c r="H655" s="242" t="str">
        <f>IFERROR(VLOOKUP(WTG_BD[[#This Row],[Affected WTG]],'Basic Data'!$A$3:$E$56,2,0),"")</f>
        <v>PWEGPL</v>
      </c>
      <c r="I655" s="242" t="str">
        <f>IFERROR(VLOOKUP(WTG_BD[[#This Row],[Affected WTG]],'Basic Data'!$A$3:$E$56,3,0),"")</f>
        <v>MSEDCL</v>
      </c>
      <c r="J655" s="243">
        <f>IFERROR(VLOOKUP(WTG_BD[[#This Row],[Affected WTG]],'Basic Data'!$A$3:$E$56,5,0),"")</f>
        <v>2.564102564102564E-2</v>
      </c>
      <c r="K655" s="158" t="s">
        <v>466</v>
      </c>
      <c r="L655" s="247" t="str">
        <f>VLOOKUP(K655,'Basic Data'!T:U,2,0)</f>
        <v>Manual Stop - Safety Related</v>
      </c>
      <c r="M655" s="135" t="s">
        <v>467</v>
      </c>
      <c r="N655" s="256">
        <v>0</v>
      </c>
      <c r="O655" s="256">
        <v>0.99930555555555556</v>
      </c>
      <c r="P655" s="256">
        <v>0.99930555555555556</v>
      </c>
      <c r="Q655" s="253">
        <f>IF(WTG_BD[[#This Row],[Work Start TimeStamp]]="","",(WTG_BD[[#This Row],[Work Start TimeStamp]]-WTG_BD[[#This Row],[Fault Start TimeStamp]])*24)</f>
        <v>23.983333333333334</v>
      </c>
      <c r="R655" s="253">
        <f>(WTG_BD[[#This Row],[Fault Clearance time]]-WTG_BD[[#This Row],[Work Start TimeStamp]])*24</f>
        <v>0</v>
      </c>
      <c r="S655" s="253">
        <f>(WTG_BD[[#This Row],[Fault Clearance time]]-WTG_BD[[#This Row],[Fault Start TimeStamp]])*24</f>
        <v>23.983333333333334</v>
      </c>
      <c r="T655" s="135" t="s">
        <v>468</v>
      </c>
      <c r="U655" s="244" t="s">
        <v>469</v>
      </c>
      <c r="V655" s="246">
        <f>WTG_BD[[#This Row],[Breakdown Time]]*(1/39)</f>
        <v>0.61495726495726499</v>
      </c>
      <c r="W655" s="244" t="s">
        <v>141</v>
      </c>
      <c r="X655" s="250">
        <v>10982.368055555557</v>
      </c>
      <c r="Y655" s="135" t="s">
        <v>470</v>
      </c>
      <c r="Z655" s="135" t="s">
        <v>471</v>
      </c>
      <c r="AA655" s="135">
        <v>10990</v>
      </c>
      <c r="AB655" s="249">
        <f>(WTG_BD[[#This Row],[Paired WTG Generation for loss calculation.]]/24)*WTG_BD[[#This Row],[Breakdown Time]]</f>
        <v>10982.368055555557</v>
      </c>
      <c r="AC655" s="135"/>
      <c r="AD655" s="245"/>
      <c r="AE655" s="3"/>
    </row>
    <row r="656" spans="1:31">
      <c r="A656" s="241">
        <f t="shared" si="22"/>
        <v>655</v>
      </c>
      <c r="B656" s="255">
        <v>45807</v>
      </c>
      <c r="C656" s="252">
        <v>2025</v>
      </c>
      <c r="D656" s="252">
        <v>2025</v>
      </c>
      <c r="E656" s="251">
        <f t="shared" si="21"/>
        <v>45778</v>
      </c>
      <c r="F656" s="252" t="s">
        <v>465</v>
      </c>
      <c r="G656" s="248" t="s">
        <v>116</v>
      </c>
      <c r="H656" s="242" t="str">
        <f>IFERROR(VLOOKUP(WTG_BD[[#This Row],[Affected WTG]],'Basic Data'!$A$3:$E$56,2,0),"")</f>
        <v>PWEGPL</v>
      </c>
      <c r="I656" s="242" t="str">
        <f>IFERROR(VLOOKUP(WTG_BD[[#This Row],[Affected WTG]],'Basic Data'!$A$3:$E$56,3,0),"")</f>
        <v>MSEDCL</v>
      </c>
      <c r="J656" s="243">
        <f>IFERROR(VLOOKUP(WTG_BD[[#This Row],[Affected WTG]],'Basic Data'!$A$3:$E$56,5,0),"")</f>
        <v>2.564102564102564E-2</v>
      </c>
      <c r="K656" s="158" t="s">
        <v>523</v>
      </c>
      <c r="L656" s="247" t="str">
        <f>VLOOKUP(K656,'Basic Data'!T:U,2,0)</f>
        <v>Manual Stop</v>
      </c>
      <c r="M656" s="135" t="s">
        <v>573</v>
      </c>
      <c r="N656" s="256">
        <v>0.68194444444444446</v>
      </c>
      <c r="O656" s="256">
        <v>0.68194444444444446</v>
      </c>
      <c r="P656" s="256">
        <v>0.8125</v>
      </c>
      <c r="Q656" s="253">
        <f>IF(WTG_BD[[#This Row],[Work Start TimeStamp]]="","",(WTG_BD[[#This Row],[Work Start TimeStamp]]-WTG_BD[[#This Row],[Fault Start TimeStamp]])*24)</f>
        <v>0</v>
      </c>
      <c r="R656" s="253">
        <f>(WTG_BD[[#This Row],[Fault Clearance time]]-WTG_BD[[#This Row],[Work Start TimeStamp]])*24</f>
        <v>3.1333333333333329</v>
      </c>
      <c r="S656" s="253">
        <f>(WTG_BD[[#This Row],[Fault Clearance time]]-WTG_BD[[#This Row],[Fault Start TimeStamp]])*24</f>
        <v>3.1333333333333329</v>
      </c>
      <c r="T656" s="135" t="s">
        <v>621</v>
      </c>
      <c r="U656" s="244" t="s">
        <v>474</v>
      </c>
      <c r="V656" s="246">
        <f>WTG_BD[[#This Row],[Breakdown Time]]*(1/39)</f>
        <v>8.034188034188032E-2</v>
      </c>
      <c r="W656" s="244" t="s">
        <v>118</v>
      </c>
      <c r="X656" s="250">
        <v>1931.8305555555551</v>
      </c>
      <c r="Y656" s="135" t="s">
        <v>470</v>
      </c>
      <c r="Z656" s="135" t="s">
        <v>498</v>
      </c>
      <c r="AA656" s="135">
        <v>14797</v>
      </c>
      <c r="AB656" s="249">
        <f>(WTG_BD[[#This Row],[Paired WTG Generation for loss calculation.]]/24)*WTG_BD[[#This Row],[Breakdown Time]]</f>
        <v>1931.8305555555551</v>
      </c>
      <c r="AC656" s="135"/>
      <c r="AD656" s="245"/>
      <c r="AE656" s="3"/>
    </row>
    <row r="657" spans="1:31">
      <c r="A657" s="241">
        <f t="shared" si="22"/>
        <v>656</v>
      </c>
      <c r="B657" s="255">
        <v>45807</v>
      </c>
      <c r="C657" s="252">
        <v>2025</v>
      </c>
      <c r="D657" s="252">
        <v>2025</v>
      </c>
      <c r="E657" s="251">
        <f t="shared" si="21"/>
        <v>45778</v>
      </c>
      <c r="F657" s="252" t="s">
        <v>465</v>
      </c>
      <c r="G657" s="248" t="s">
        <v>118</v>
      </c>
      <c r="H657" s="242" t="str">
        <f>IFERROR(VLOOKUP(WTG_BD[[#This Row],[Affected WTG]],'Basic Data'!$A$3:$E$56,2,0),"")</f>
        <v>PWEGPL</v>
      </c>
      <c r="I657" s="242" t="str">
        <f>IFERROR(VLOOKUP(WTG_BD[[#This Row],[Affected WTG]],'Basic Data'!$A$3:$E$56,3,0),"")</f>
        <v>MSEDCL</v>
      </c>
      <c r="J657" s="243">
        <f>IFERROR(VLOOKUP(WTG_BD[[#This Row],[Affected WTG]],'Basic Data'!$A$3:$E$56,5,0),"")</f>
        <v>2.564102564102564E-2</v>
      </c>
      <c r="K657" s="158">
        <v>203</v>
      </c>
      <c r="L657" s="247" t="str">
        <f>VLOOKUP(K657,'Basic Data'!T:U,2,0)</f>
        <v>Low Pressure On Hydraulic Group</v>
      </c>
      <c r="M657" s="135" t="s">
        <v>472</v>
      </c>
      <c r="N657" s="256">
        <v>0.57430555555555551</v>
      </c>
      <c r="O657" s="256">
        <v>0.59375</v>
      </c>
      <c r="P657" s="256">
        <v>0.62152777777777779</v>
      </c>
      <c r="Q657" s="253">
        <f>IF(WTG_BD[[#This Row],[Work Start TimeStamp]]="","",(WTG_BD[[#This Row],[Work Start TimeStamp]]-WTG_BD[[#This Row],[Fault Start TimeStamp]])*24)</f>
        <v>0.46666666666666767</v>
      </c>
      <c r="R657" s="253">
        <f>(WTG_BD[[#This Row],[Fault Clearance time]]-WTG_BD[[#This Row],[Work Start TimeStamp]])*24</f>
        <v>0.66666666666666696</v>
      </c>
      <c r="S657" s="253">
        <f>(WTG_BD[[#This Row],[Fault Clearance time]]-WTG_BD[[#This Row],[Fault Start TimeStamp]])*24</f>
        <v>1.1333333333333346</v>
      </c>
      <c r="T657" s="135" t="s">
        <v>622</v>
      </c>
      <c r="U657" s="244" t="s">
        <v>474</v>
      </c>
      <c r="V657" s="246">
        <f>WTG_BD[[#This Row],[Breakdown Time]]*(1/39)</f>
        <v>2.9059829059829092E-2</v>
      </c>
      <c r="W657" s="244" t="s">
        <v>117</v>
      </c>
      <c r="X657" s="250">
        <v>749.36944444444532</v>
      </c>
      <c r="Y657" s="135" t="s">
        <v>470</v>
      </c>
      <c r="Z657" s="135" t="s">
        <v>475</v>
      </c>
      <c r="AA657" s="135">
        <v>15869</v>
      </c>
      <c r="AB657" s="249">
        <f>(WTG_BD[[#This Row],[Paired WTG Generation for loss calculation.]]/24)*WTG_BD[[#This Row],[Breakdown Time]]</f>
        <v>749.36944444444532</v>
      </c>
      <c r="AC657" s="135"/>
      <c r="AD657" s="245"/>
      <c r="AE657" s="3"/>
    </row>
    <row r="658" spans="1:31">
      <c r="A658" s="241">
        <f t="shared" si="22"/>
        <v>657</v>
      </c>
      <c r="B658" s="255">
        <v>45807</v>
      </c>
      <c r="C658" s="252">
        <v>2025</v>
      </c>
      <c r="D658" s="252">
        <v>2025</v>
      </c>
      <c r="E658" s="251">
        <f t="shared" si="21"/>
        <v>45778</v>
      </c>
      <c r="F658" s="252" t="s">
        <v>465</v>
      </c>
      <c r="G658" s="248" t="s">
        <v>130</v>
      </c>
      <c r="H658" s="242" t="str">
        <f>IFERROR(VLOOKUP(WTG_BD[[#This Row],[Affected WTG]],'Basic Data'!$A$3:$E$56,2,0),"")</f>
        <v>PWEGPL</v>
      </c>
      <c r="I658" s="242" t="str">
        <f>IFERROR(VLOOKUP(WTG_BD[[#This Row],[Affected WTG]],'Basic Data'!$A$3:$E$56,3,0),"")</f>
        <v>MSEDCL</v>
      </c>
      <c r="J658" s="243">
        <f>IFERROR(VLOOKUP(WTG_BD[[#This Row],[Affected WTG]],'Basic Data'!$A$3:$E$56,5,0),"")</f>
        <v>2.564102564102564E-2</v>
      </c>
      <c r="K658" s="158">
        <v>5202</v>
      </c>
      <c r="L658" s="247" t="str">
        <f>VLOOKUP(K658,'Basic Data'!T:U,2,0)</f>
        <v>Stator Contactor Failure</v>
      </c>
      <c r="M658" s="135" t="s">
        <v>472</v>
      </c>
      <c r="N658" s="256">
        <v>0.40625</v>
      </c>
      <c r="O658" s="256">
        <v>0.47986111111111113</v>
      </c>
      <c r="P658" s="256">
        <v>0.58402777777777781</v>
      </c>
      <c r="Q658" s="253">
        <f>IF(WTG_BD[[#This Row],[Work Start TimeStamp]]="","",(WTG_BD[[#This Row],[Work Start TimeStamp]]-WTG_BD[[#This Row],[Fault Start TimeStamp]])*24)</f>
        <v>1.7666666666666671</v>
      </c>
      <c r="R658" s="253">
        <f>(WTG_BD[[#This Row],[Fault Clearance time]]-WTG_BD[[#This Row],[Work Start TimeStamp]])*24</f>
        <v>2.5000000000000004</v>
      </c>
      <c r="S658" s="253">
        <f>(WTG_BD[[#This Row],[Fault Clearance time]]-WTG_BD[[#This Row],[Fault Start TimeStamp]])*24</f>
        <v>4.2666666666666675</v>
      </c>
      <c r="T658" s="135" t="s">
        <v>623</v>
      </c>
      <c r="U658" s="244" t="s">
        <v>474</v>
      </c>
      <c r="V658" s="246">
        <f>WTG_BD[[#This Row],[Breakdown Time]]*(1/39)</f>
        <v>0.10940170940170942</v>
      </c>
      <c r="W658" s="244" t="s">
        <v>131</v>
      </c>
      <c r="X658" s="250">
        <v>3320.0000000000005</v>
      </c>
      <c r="Y658" s="135" t="s">
        <v>470</v>
      </c>
      <c r="Z658" s="135" t="s">
        <v>475</v>
      </c>
      <c r="AA658" s="135">
        <v>18675</v>
      </c>
      <c r="AB658" s="249">
        <f>(WTG_BD[[#This Row],[Paired WTG Generation for loss calculation.]]/24)*WTG_BD[[#This Row],[Breakdown Time]]</f>
        <v>3320.0000000000005</v>
      </c>
      <c r="AC658" s="135"/>
      <c r="AD658" s="245"/>
      <c r="AE658" s="3"/>
    </row>
    <row r="659" spans="1:31">
      <c r="A659" s="241">
        <f t="shared" si="22"/>
        <v>658</v>
      </c>
      <c r="B659" s="255">
        <v>45807</v>
      </c>
      <c r="C659" s="252">
        <v>2025</v>
      </c>
      <c r="D659" s="252">
        <v>2025</v>
      </c>
      <c r="E659" s="251">
        <f t="shared" si="21"/>
        <v>45778</v>
      </c>
      <c r="F659" s="252" t="s">
        <v>465</v>
      </c>
      <c r="G659" s="248" t="s">
        <v>138</v>
      </c>
      <c r="H659" s="242" t="str">
        <f>IFERROR(VLOOKUP(WTG_BD[[#This Row],[Affected WTG]],'Basic Data'!$A$3:$E$56,2,0),"")</f>
        <v>PWEGPL</v>
      </c>
      <c r="I659" s="242" t="str">
        <f>IFERROR(VLOOKUP(WTG_BD[[#This Row],[Affected WTG]],'Basic Data'!$A$3:$E$56,3,0),"")</f>
        <v>MSEDCL</v>
      </c>
      <c r="J659" s="243">
        <f>IFERROR(VLOOKUP(WTG_BD[[#This Row],[Affected WTG]],'Basic Data'!$A$3:$E$56,5,0),"")</f>
        <v>2.564102564102564E-2</v>
      </c>
      <c r="K659" s="158">
        <v>800</v>
      </c>
      <c r="L659" s="247" t="str">
        <f>VLOOKUP(K659,'Basic Data'!T:U,2,0)</f>
        <v>Pitch Drive Error</v>
      </c>
      <c r="M659" s="135" t="s">
        <v>472</v>
      </c>
      <c r="N659" s="256">
        <v>0.4513888888888889</v>
      </c>
      <c r="O659" s="256">
        <v>0.51666666666666672</v>
      </c>
      <c r="P659" s="256">
        <v>0.86805555555555558</v>
      </c>
      <c r="Q659" s="253">
        <f>IF(WTG_BD[[#This Row],[Work Start TimeStamp]]="","",(WTG_BD[[#This Row],[Work Start TimeStamp]]-WTG_BD[[#This Row],[Fault Start TimeStamp]])*24)</f>
        <v>1.5666666666666678</v>
      </c>
      <c r="R659" s="253">
        <f>(WTG_BD[[#This Row],[Fault Clearance time]]-WTG_BD[[#This Row],[Work Start TimeStamp]])*24</f>
        <v>8.4333333333333336</v>
      </c>
      <c r="S659" s="253">
        <f>(WTG_BD[[#This Row],[Fault Clearance time]]-WTG_BD[[#This Row],[Fault Start TimeStamp]])*24</f>
        <v>10</v>
      </c>
      <c r="T659" s="135" t="s">
        <v>624</v>
      </c>
      <c r="U659" s="244" t="s">
        <v>474</v>
      </c>
      <c r="V659" s="246">
        <f>WTG_BD[[#This Row],[Breakdown Time]]*(1/39)</f>
        <v>0.25641025641025639</v>
      </c>
      <c r="W659" s="244" t="s">
        <v>140</v>
      </c>
      <c r="X659" s="250">
        <v>4914.583333333333</v>
      </c>
      <c r="Y659" s="135" t="s">
        <v>470</v>
      </c>
      <c r="Z659" s="135" t="s">
        <v>475</v>
      </c>
      <c r="AA659" s="135">
        <v>11795</v>
      </c>
      <c r="AB659" s="249">
        <f>(WTG_BD[[#This Row],[Paired WTG Generation for loss calculation.]]/24)*WTG_BD[[#This Row],[Breakdown Time]]</f>
        <v>4914.583333333333</v>
      </c>
      <c r="AC659" s="135"/>
      <c r="AD659" s="245"/>
      <c r="AE659" s="3"/>
    </row>
    <row r="660" spans="1:31">
      <c r="A660" s="241">
        <f t="shared" si="22"/>
        <v>659</v>
      </c>
      <c r="B660" s="255">
        <v>45807</v>
      </c>
      <c r="C660" s="252">
        <v>2025</v>
      </c>
      <c r="D660" s="252">
        <v>2025</v>
      </c>
      <c r="E660" s="251">
        <f t="shared" si="21"/>
        <v>45778</v>
      </c>
      <c r="F660" s="252" t="s">
        <v>465</v>
      </c>
      <c r="G660" s="248" t="s">
        <v>141</v>
      </c>
      <c r="H660" s="242" t="str">
        <f>IFERROR(VLOOKUP(WTG_BD[[#This Row],[Affected WTG]],'Basic Data'!$A$3:$E$56,2,0),"")</f>
        <v>PWEGPL</v>
      </c>
      <c r="I660" s="242" t="str">
        <f>IFERROR(VLOOKUP(WTG_BD[[#This Row],[Affected WTG]],'Basic Data'!$A$3:$E$56,3,0),"")</f>
        <v>MSEDCL</v>
      </c>
      <c r="J660" s="243">
        <f>IFERROR(VLOOKUP(WTG_BD[[#This Row],[Affected WTG]],'Basic Data'!$A$3:$E$56,5,0),"")</f>
        <v>2.564102564102564E-2</v>
      </c>
      <c r="K660" s="158">
        <v>800</v>
      </c>
      <c r="L660" s="247" t="str">
        <f>VLOOKUP(K660,'Basic Data'!T:U,2,0)</f>
        <v>Pitch Drive Error</v>
      </c>
      <c r="M660" s="135" t="s">
        <v>472</v>
      </c>
      <c r="N660" s="256">
        <v>0.42708333333333331</v>
      </c>
      <c r="O660" s="256">
        <v>0.45555555555555555</v>
      </c>
      <c r="P660" s="256">
        <v>0.50347222222222221</v>
      </c>
      <c r="Q660" s="253">
        <f>IF(WTG_BD[[#This Row],[Work Start TimeStamp]]="","",(WTG_BD[[#This Row],[Work Start TimeStamp]]-WTG_BD[[#This Row],[Fault Start TimeStamp]])*24)</f>
        <v>0.68333333333333357</v>
      </c>
      <c r="R660" s="253">
        <f>(WTG_BD[[#This Row],[Fault Clearance time]]-WTG_BD[[#This Row],[Work Start TimeStamp]])*24</f>
        <v>1.1499999999999999</v>
      </c>
      <c r="S660" s="253">
        <f>(WTG_BD[[#This Row],[Fault Clearance time]]-WTG_BD[[#This Row],[Fault Start TimeStamp]])*24</f>
        <v>1.8333333333333335</v>
      </c>
      <c r="T660" s="135" t="s">
        <v>625</v>
      </c>
      <c r="U660" s="244" t="s">
        <v>474</v>
      </c>
      <c r="V660" s="246">
        <f>WTG_BD[[#This Row],[Breakdown Time]]*(1/39)</f>
        <v>4.7008547008547008E-2</v>
      </c>
      <c r="W660" s="244" t="s">
        <v>143</v>
      </c>
      <c r="X660" s="250">
        <v>900.31944444444446</v>
      </c>
      <c r="Y660" s="135" t="s">
        <v>470</v>
      </c>
      <c r="Z660" s="135" t="s">
        <v>475</v>
      </c>
      <c r="AA660" s="135">
        <v>11786</v>
      </c>
      <c r="AB660" s="249">
        <f>(WTG_BD[[#This Row],[Paired WTG Generation for loss calculation.]]/24)*WTG_BD[[#This Row],[Breakdown Time]]</f>
        <v>900.31944444444446</v>
      </c>
      <c r="AC660" s="135"/>
      <c r="AD660" s="245"/>
      <c r="AE660" s="3"/>
    </row>
    <row r="661" spans="1:31">
      <c r="A661" s="241">
        <f t="shared" si="22"/>
        <v>660</v>
      </c>
      <c r="B661" s="255">
        <v>45808</v>
      </c>
      <c r="C661" s="252">
        <v>2025</v>
      </c>
      <c r="D661" s="252">
        <v>2025</v>
      </c>
      <c r="E661" s="251">
        <f t="shared" si="21"/>
        <v>45778</v>
      </c>
      <c r="F661" s="252" t="s">
        <v>465</v>
      </c>
      <c r="G661" s="248" t="s">
        <v>144</v>
      </c>
      <c r="H661" s="242" t="str">
        <f>IFERROR(VLOOKUP(WTG_BD[[#This Row],[Affected WTG]],'Basic Data'!$A$3:$E$56,2,0),"")</f>
        <v>PWEGPL</v>
      </c>
      <c r="I661" s="242" t="str">
        <f>IFERROR(VLOOKUP(WTG_BD[[#This Row],[Affected WTG]],'Basic Data'!$A$3:$E$56,3,0),"")</f>
        <v>MSEDCL</v>
      </c>
      <c r="J661" s="243">
        <f>IFERROR(VLOOKUP(WTG_BD[[#This Row],[Affected WTG]],'Basic Data'!$A$3:$E$56,5,0),"")</f>
        <v>2.564102564102564E-2</v>
      </c>
      <c r="K661" s="158" t="s">
        <v>466</v>
      </c>
      <c r="L661" s="247" t="str">
        <f>VLOOKUP(K661,'Basic Data'!T:U,2,0)</f>
        <v>Manual Stop - Safety Related</v>
      </c>
      <c r="M661" s="135" t="s">
        <v>467</v>
      </c>
      <c r="N661" s="256">
        <v>0</v>
      </c>
      <c r="O661" s="256">
        <v>0.99930555555555556</v>
      </c>
      <c r="P661" s="256">
        <v>0.99930555555555556</v>
      </c>
      <c r="Q661" s="253">
        <f>IF(WTG_BD[[#This Row],[Work Start TimeStamp]]="","",(WTG_BD[[#This Row],[Work Start TimeStamp]]-WTG_BD[[#This Row],[Fault Start TimeStamp]])*24)</f>
        <v>23.983333333333334</v>
      </c>
      <c r="R661" s="253">
        <f>(WTG_BD[[#This Row],[Fault Clearance time]]-WTG_BD[[#This Row],[Work Start TimeStamp]])*24</f>
        <v>0</v>
      </c>
      <c r="S661" s="253">
        <f>(WTG_BD[[#This Row],[Fault Clearance time]]-WTG_BD[[#This Row],[Fault Start TimeStamp]])*24</f>
        <v>23.983333333333334</v>
      </c>
      <c r="T661" s="135" t="s">
        <v>468</v>
      </c>
      <c r="U661" s="244" t="s">
        <v>469</v>
      </c>
      <c r="V661" s="246">
        <f>WTG_BD[[#This Row],[Breakdown Time]]*(1/39)</f>
        <v>0.61495726495726499</v>
      </c>
      <c r="W661" s="244" t="s">
        <v>141</v>
      </c>
      <c r="X661" s="250">
        <v>17177.063194444447</v>
      </c>
      <c r="Y661" s="135" t="s">
        <v>470</v>
      </c>
      <c r="Z661" s="135" t="s">
        <v>471</v>
      </c>
      <c r="AA661" s="135">
        <v>17189</v>
      </c>
      <c r="AB661" s="249">
        <f>(WTG_BD[[#This Row],[Paired WTG Generation for loss calculation.]]/24)*WTG_BD[[#This Row],[Breakdown Time]]</f>
        <v>17177.063194444447</v>
      </c>
      <c r="AC661" s="135"/>
      <c r="AD661" s="245"/>
      <c r="AE661" s="3"/>
    </row>
    <row r="662" spans="1:31">
      <c r="A662" s="241">
        <f t="shared" si="22"/>
        <v>661</v>
      </c>
      <c r="B662" s="255">
        <v>45808</v>
      </c>
      <c r="C662" s="252">
        <v>2025</v>
      </c>
      <c r="D662" s="252">
        <v>2025</v>
      </c>
      <c r="E662" s="251">
        <f t="shared" si="21"/>
        <v>45778</v>
      </c>
      <c r="F662" s="252" t="s">
        <v>465</v>
      </c>
      <c r="G662" s="248" t="s">
        <v>142</v>
      </c>
      <c r="H662" s="242" t="str">
        <f>IFERROR(VLOOKUP(WTG_BD[[#This Row],[Affected WTG]],'Basic Data'!$A$3:$E$56,2,0),"")</f>
        <v>PWEGPL</v>
      </c>
      <c r="I662" s="242" t="str">
        <f>IFERROR(VLOOKUP(WTG_BD[[#This Row],[Affected WTG]],'Basic Data'!$A$3:$E$56,3,0),"")</f>
        <v>MSEDCL</v>
      </c>
      <c r="J662" s="243">
        <f>IFERROR(VLOOKUP(WTG_BD[[#This Row],[Affected WTG]],'Basic Data'!$A$3:$E$56,5,0),"")</f>
        <v>2.564102564102564E-2</v>
      </c>
      <c r="K662" s="158" t="s">
        <v>466</v>
      </c>
      <c r="L662" s="247" t="str">
        <f>VLOOKUP(K662,'Basic Data'!T:U,2,0)</f>
        <v>Manual Stop - Safety Related</v>
      </c>
      <c r="M662" s="135" t="s">
        <v>467</v>
      </c>
      <c r="N662" s="256">
        <v>0</v>
      </c>
      <c r="O662" s="256">
        <v>0.99930555555555556</v>
      </c>
      <c r="P662" s="256">
        <v>0.99930555555555556</v>
      </c>
      <c r="Q662" s="253">
        <f>IF(WTG_BD[[#This Row],[Work Start TimeStamp]]="","",(WTG_BD[[#This Row],[Work Start TimeStamp]]-WTG_BD[[#This Row],[Fault Start TimeStamp]])*24)</f>
        <v>23.983333333333334</v>
      </c>
      <c r="R662" s="253">
        <f>(WTG_BD[[#This Row],[Fault Clearance time]]-WTG_BD[[#This Row],[Work Start TimeStamp]])*24</f>
        <v>0</v>
      </c>
      <c r="S662" s="253">
        <f>(WTG_BD[[#This Row],[Fault Clearance time]]-WTG_BD[[#This Row],[Fault Start TimeStamp]])*24</f>
        <v>23.983333333333334</v>
      </c>
      <c r="T662" s="135" t="s">
        <v>468</v>
      </c>
      <c r="U662" s="244" t="s">
        <v>469</v>
      </c>
      <c r="V662" s="246">
        <f>WTG_BD[[#This Row],[Breakdown Time]]*(1/39)</f>
        <v>0.61495726495726499</v>
      </c>
      <c r="W662" s="244" t="s">
        <v>141</v>
      </c>
      <c r="X662" s="250">
        <v>17177.063194444447</v>
      </c>
      <c r="Y662" s="135" t="s">
        <v>470</v>
      </c>
      <c r="Z662" s="135" t="s">
        <v>471</v>
      </c>
      <c r="AA662" s="135">
        <v>17189</v>
      </c>
      <c r="AB662" s="249">
        <f>(WTG_BD[[#This Row],[Paired WTG Generation for loss calculation.]]/24)*WTG_BD[[#This Row],[Breakdown Time]]</f>
        <v>17177.063194444447</v>
      </c>
      <c r="AC662" s="135"/>
      <c r="AD662" s="245"/>
      <c r="AE662" s="3"/>
    </row>
    <row r="663" spans="1:31">
      <c r="A663" s="241">
        <f t="shared" si="22"/>
        <v>662</v>
      </c>
      <c r="B663" s="255">
        <v>45808</v>
      </c>
      <c r="C663" s="252">
        <v>2025</v>
      </c>
      <c r="D663" s="252">
        <v>2025</v>
      </c>
      <c r="E663" s="251">
        <f t="shared" si="21"/>
        <v>45778</v>
      </c>
      <c r="F663" s="252" t="s">
        <v>465</v>
      </c>
      <c r="G663" s="248" t="s">
        <v>126</v>
      </c>
      <c r="H663" s="242" t="str">
        <f>IFERROR(VLOOKUP(WTG_BD[[#This Row],[Affected WTG]],'Basic Data'!$A$3:$E$56,2,0),"")</f>
        <v>PWEGPL</v>
      </c>
      <c r="I663" s="242" t="str">
        <f>IFERROR(VLOOKUP(WTG_BD[[#This Row],[Affected WTG]],'Basic Data'!$A$3:$E$56,3,0),"")</f>
        <v>MSEDCL</v>
      </c>
      <c r="J663" s="243">
        <f>IFERROR(VLOOKUP(WTG_BD[[#This Row],[Affected WTG]],'Basic Data'!$A$3:$E$56,5,0),"")</f>
        <v>2.564102564102564E-2</v>
      </c>
      <c r="K663" s="158" t="s">
        <v>549</v>
      </c>
      <c r="L663" s="247" t="str">
        <f>VLOOKUP(K663,'Basic Data'!T:U,2,0)</f>
        <v>Manual Stop - Preventive Maintenance Activity</v>
      </c>
      <c r="M663" s="135" t="s">
        <v>550</v>
      </c>
      <c r="N663" s="256">
        <v>0.46527777777777779</v>
      </c>
      <c r="O663" s="256">
        <v>0.46527777777777779</v>
      </c>
      <c r="P663" s="256">
        <v>0.76111111111111107</v>
      </c>
      <c r="Q663" s="253">
        <f>IF(WTG_BD[[#This Row],[Work Start TimeStamp]]="","",(WTG_BD[[#This Row],[Work Start TimeStamp]]-WTG_BD[[#This Row],[Fault Start TimeStamp]])*24)</f>
        <v>0</v>
      </c>
      <c r="R663" s="253">
        <f>(WTG_BD[[#This Row],[Fault Clearance time]]-WTG_BD[[#This Row],[Work Start TimeStamp]])*24</f>
        <v>7.0999999999999988</v>
      </c>
      <c r="S663" s="253">
        <f>(WTG_BD[[#This Row],[Fault Clearance time]]-WTG_BD[[#This Row],[Fault Start TimeStamp]])*24</f>
        <v>7.0999999999999988</v>
      </c>
      <c r="T663" s="135" t="s">
        <v>571</v>
      </c>
      <c r="U663" s="244" t="s">
        <v>474</v>
      </c>
      <c r="V663" s="246">
        <f>WTG_BD[[#This Row],[Breakdown Time]]*(1/39)</f>
        <v>0.18205128205128202</v>
      </c>
      <c r="W663" s="244" t="s">
        <v>127</v>
      </c>
      <c r="X663" s="250">
        <v>7959.6916666666648</v>
      </c>
      <c r="Y663" s="135" t="s">
        <v>470</v>
      </c>
      <c r="Z663" s="135" t="s">
        <v>552</v>
      </c>
      <c r="AA663" s="135">
        <v>26906</v>
      </c>
      <c r="AB663" s="249">
        <f>(WTG_BD[[#This Row],[Paired WTG Generation for loss calculation.]]/24)*WTG_BD[[#This Row],[Breakdown Time]]</f>
        <v>7959.6916666666648</v>
      </c>
      <c r="AC663" s="135"/>
      <c r="AD663" s="245"/>
      <c r="AE663" s="3"/>
    </row>
    <row r="664" spans="1:31">
      <c r="A664" s="241">
        <f t="shared" si="22"/>
        <v>663</v>
      </c>
      <c r="B664" s="255">
        <v>45808</v>
      </c>
      <c r="C664" s="252">
        <v>2025</v>
      </c>
      <c r="D664" s="252">
        <v>2025</v>
      </c>
      <c r="E664" s="251">
        <f t="shared" si="21"/>
        <v>45778</v>
      </c>
      <c r="F664" s="252" t="s">
        <v>465</v>
      </c>
      <c r="G664" s="248" t="s">
        <v>119</v>
      </c>
      <c r="H664" s="242" t="str">
        <f>IFERROR(VLOOKUP(WTG_BD[[#This Row],[Affected WTG]],'Basic Data'!$A$3:$E$56,2,0),"")</f>
        <v>PWEGPL</v>
      </c>
      <c r="I664" s="242" t="str">
        <f>IFERROR(VLOOKUP(WTG_BD[[#This Row],[Affected WTG]],'Basic Data'!$A$3:$E$56,3,0),"")</f>
        <v>MSEDCL</v>
      </c>
      <c r="J664" s="243">
        <f>IFERROR(VLOOKUP(WTG_BD[[#This Row],[Affected WTG]],'Basic Data'!$A$3:$E$56,5,0),"")</f>
        <v>2.564102564102564E-2</v>
      </c>
      <c r="K664" s="158">
        <v>2100</v>
      </c>
      <c r="L664" s="247" t="str">
        <f>VLOOKUP(K664,'Basic Data'!T:U,2,0)</f>
        <v>PLC Voltage Recovery</v>
      </c>
      <c r="M664" s="135" t="s">
        <v>472</v>
      </c>
      <c r="N664" s="256">
        <v>0.53125</v>
      </c>
      <c r="O664" s="256">
        <v>0.56944444444444442</v>
      </c>
      <c r="P664" s="256">
        <v>0.5708333333333333</v>
      </c>
      <c r="Q664" s="253">
        <f>IF(WTG_BD[[#This Row],[Work Start TimeStamp]]="","",(WTG_BD[[#This Row],[Work Start TimeStamp]]-WTG_BD[[#This Row],[Fault Start TimeStamp]])*24)</f>
        <v>0.91666666666666607</v>
      </c>
      <c r="R664" s="253">
        <f>(WTG_BD[[#This Row],[Fault Clearance time]]-WTG_BD[[#This Row],[Work Start TimeStamp]])*24</f>
        <v>3.3333333333333215E-2</v>
      </c>
      <c r="S664" s="253">
        <f>(WTG_BD[[#This Row],[Fault Clearance time]]-WTG_BD[[#This Row],[Fault Start TimeStamp]])*24</f>
        <v>0.94999999999999929</v>
      </c>
      <c r="T664" s="135" t="s">
        <v>473</v>
      </c>
      <c r="U664" s="244" t="s">
        <v>474</v>
      </c>
      <c r="V664" s="246">
        <f>WTG_BD[[#This Row],[Breakdown Time]]*(1/39)</f>
        <v>2.4358974358974338E-2</v>
      </c>
      <c r="W664" s="244" t="s">
        <v>136</v>
      </c>
      <c r="X664" s="250">
        <v>679.52708333333283</v>
      </c>
      <c r="Y664" s="135" t="s">
        <v>470</v>
      </c>
      <c r="Z664" s="135" t="s">
        <v>475</v>
      </c>
      <c r="AA664" s="135">
        <v>17167</v>
      </c>
      <c r="AB664" s="249">
        <f>(WTG_BD[[#This Row],[Paired WTG Generation for loss calculation.]]/24)*WTG_BD[[#This Row],[Breakdown Time]]</f>
        <v>679.52708333333283</v>
      </c>
      <c r="AC664" s="135"/>
      <c r="AD664" s="245"/>
      <c r="AE664" s="3"/>
    </row>
    <row r="665" spans="1:31">
      <c r="A665" s="241">
        <f t="shared" si="22"/>
        <v>664</v>
      </c>
      <c r="B665" s="255">
        <v>45808</v>
      </c>
      <c r="C665" s="252">
        <v>2025</v>
      </c>
      <c r="D665" s="252">
        <v>2025</v>
      </c>
      <c r="E665" s="251">
        <f t="shared" si="21"/>
        <v>45778</v>
      </c>
      <c r="F665" s="252" t="s">
        <v>465</v>
      </c>
      <c r="G665" s="248" t="s">
        <v>135</v>
      </c>
      <c r="H665" s="242" t="str">
        <f>IFERROR(VLOOKUP(WTG_BD[[#This Row],[Affected WTG]],'Basic Data'!$A$3:$E$56,2,0),"")</f>
        <v>PWEGPL</v>
      </c>
      <c r="I665" s="242" t="str">
        <f>IFERROR(VLOOKUP(WTG_BD[[#This Row],[Affected WTG]],'Basic Data'!$A$3:$E$56,3,0),"")</f>
        <v>MSEDCL</v>
      </c>
      <c r="J665" s="243">
        <f>IFERROR(VLOOKUP(WTG_BD[[#This Row],[Affected WTG]],'Basic Data'!$A$3:$E$56,5,0),"")</f>
        <v>2.564102564102564E-2</v>
      </c>
      <c r="K665" s="158">
        <v>5219</v>
      </c>
      <c r="L665" s="247" t="str">
        <f>VLOOKUP(K665,'Basic Data'!T:U,2,0)</f>
        <v>Coolant Of The Coolant Circuit Failure</v>
      </c>
      <c r="M665" s="135" t="s">
        <v>472</v>
      </c>
      <c r="N665" s="256">
        <v>0.53125</v>
      </c>
      <c r="O665" s="256">
        <v>0.54166666666666663</v>
      </c>
      <c r="P665" s="256">
        <v>0.59722222222222221</v>
      </c>
      <c r="Q665" s="253">
        <f>IF(WTG_BD[[#This Row],[Work Start TimeStamp]]="","",(WTG_BD[[#This Row],[Work Start TimeStamp]]-WTG_BD[[#This Row],[Fault Start TimeStamp]])*24)</f>
        <v>0.24999999999999911</v>
      </c>
      <c r="R665" s="253">
        <f>(WTG_BD[[#This Row],[Fault Clearance time]]-WTG_BD[[#This Row],[Work Start TimeStamp]])*24</f>
        <v>1.3333333333333339</v>
      </c>
      <c r="S665" s="253">
        <f>(WTG_BD[[#This Row],[Fault Clearance time]]-WTG_BD[[#This Row],[Fault Start TimeStamp]])*24</f>
        <v>1.583333333333333</v>
      </c>
      <c r="T665" s="135" t="s">
        <v>479</v>
      </c>
      <c r="U665" s="244" t="s">
        <v>474</v>
      </c>
      <c r="V665" s="246">
        <f>WTG_BD[[#This Row],[Breakdown Time]]*(1/39)</f>
        <v>4.0598290598290586E-2</v>
      </c>
      <c r="W665" s="244" t="s">
        <v>136</v>
      </c>
      <c r="X665" s="250">
        <v>1132.5451388888887</v>
      </c>
      <c r="Y665" s="135" t="s">
        <v>470</v>
      </c>
      <c r="Z665" s="135" t="s">
        <v>475</v>
      </c>
      <c r="AA665" s="135">
        <v>17167</v>
      </c>
      <c r="AB665" s="249">
        <f>(WTG_BD[[#This Row],[Paired WTG Generation for loss calculation.]]/24)*WTG_BD[[#This Row],[Breakdown Time]]</f>
        <v>1132.5451388888887</v>
      </c>
      <c r="AC665" s="135"/>
      <c r="AD665" s="245"/>
      <c r="AE665" s="3"/>
    </row>
    <row r="666" spans="1:31">
      <c r="A666" s="241">
        <f t="shared" si="22"/>
        <v>665</v>
      </c>
      <c r="B666" s="255">
        <v>45808</v>
      </c>
      <c r="C666" s="252">
        <v>2025</v>
      </c>
      <c r="D666" s="252">
        <v>2025</v>
      </c>
      <c r="E666" s="251">
        <f t="shared" si="21"/>
        <v>45778</v>
      </c>
      <c r="F666" s="252" t="s">
        <v>465</v>
      </c>
      <c r="G666" s="248" t="s">
        <v>136</v>
      </c>
      <c r="H666" s="242" t="str">
        <f>IFERROR(VLOOKUP(WTG_BD[[#This Row],[Affected WTG]],'Basic Data'!$A$3:$E$56,2,0),"")</f>
        <v>PWEGPL</v>
      </c>
      <c r="I666" s="242" t="str">
        <f>IFERROR(VLOOKUP(WTG_BD[[#This Row],[Affected WTG]],'Basic Data'!$A$3:$E$56,3,0),"")</f>
        <v>MSEDCL</v>
      </c>
      <c r="J666" s="243">
        <f>IFERROR(VLOOKUP(WTG_BD[[#This Row],[Affected WTG]],'Basic Data'!$A$3:$E$56,5,0),"")</f>
        <v>2.564102564102564E-2</v>
      </c>
      <c r="K666" s="158">
        <v>2100</v>
      </c>
      <c r="L666" s="247" t="str">
        <f>VLOOKUP(K666,'Basic Data'!T:U,2,0)</f>
        <v>PLC Voltage Recovery</v>
      </c>
      <c r="M666" s="135" t="s">
        <v>472</v>
      </c>
      <c r="N666" s="256">
        <v>0.53125</v>
      </c>
      <c r="O666" s="256">
        <v>0.54861111111111116</v>
      </c>
      <c r="P666" s="256">
        <v>0.55000000000000004</v>
      </c>
      <c r="Q666" s="253">
        <f>IF(WTG_BD[[#This Row],[Work Start TimeStamp]]="","",(WTG_BD[[#This Row],[Work Start TimeStamp]]-WTG_BD[[#This Row],[Fault Start TimeStamp]])*24)</f>
        <v>0.41666666666666785</v>
      </c>
      <c r="R666" s="253">
        <f>(WTG_BD[[#This Row],[Fault Clearance time]]-WTG_BD[[#This Row],[Work Start TimeStamp]])*24</f>
        <v>3.3333333333333215E-2</v>
      </c>
      <c r="S666" s="253">
        <f>(WTG_BD[[#This Row],[Fault Clearance time]]-WTG_BD[[#This Row],[Fault Start TimeStamp]])*24</f>
        <v>0.45000000000000107</v>
      </c>
      <c r="T666" s="135" t="s">
        <v>473</v>
      </c>
      <c r="U666" s="244" t="s">
        <v>474</v>
      </c>
      <c r="V666" s="246">
        <f>WTG_BD[[#This Row],[Breakdown Time]]*(1/39)</f>
        <v>1.1538461538461565E-2</v>
      </c>
      <c r="W666" s="244" t="s">
        <v>135</v>
      </c>
      <c r="X666" s="250">
        <v>320.90625000000074</v>
      </c>
      <c r="Y666" s="135" t="s">
        <v>470</v>
      </c>
      <c r="Z666" s="135" t="s">
        <v>475</v>
      </c>
      <c r="AA666" s="135">
        <v>17115</v>
      </c>
      <c r="AB666" s="249">
        <f>(WTG_BD[[#This Row],[Paired WTG Generation for loss calculation.]]/24)*WTG_BD[[#This Row],[Breakdown Time]]</f>
        <v>320.90625000000074</v>
      </c>
      <c r="AC666" s="135"/>
      <c r="AD666" s="245"/>
      <c r="AE666" s="3"/>
    </row>
    <row r="667" spans="1:31">
      <c r="A667" s="241">
        <f t="shared" si="22"/>
        <v>666</v>
      </c>
      <c r="B667" s="255">
        <v>45808</v>
      </c>
      <c r="C667" s="252">
        <v>2025</v>
      </c>
      <c r="D667" s="252">
        <v>2025</v>
      </c>
      <c r="E667" s="251">
        <f t="shared" si="21"/>
        <v>45778</v>
      </c>
      <c r="F667" s="252" t="s">
        <v>465</v>
      </c>
      <c r="G667" s="248" t="s">
        <v>137</v>
      </c>
      <c r="H667" s="242" t="str">
        <f>IFERROR(VLOOKUP(WTG_BD[[#This Row],[Affected WTG]],'Basic Data'!$A$3:$E$56,2,0),"")</f>
        <v>PWEGPL</v>
      </c>
      <c r="I667" s="242" t="str">
        <f>IFERROR(VLOOKUP(WTG_BD[[#This Row],[Affected WTG]],'Basic Data'!$A$3:$E$56,3,0),"")</f>
        <v>MSEDCL</v>
      </c>
      <c r="J667" s="243">
        <f>IFERROR(VLOOKUP(WTG_BD[[#This Row],[Affected WTG]],'Basic Data'!$A$3:$E$56,5,0),"")</f>
        <v>2.564102564102564E-2</v>
      </c>
      <c r="K667" s="158">
        <v>2100</v>
      </c>
      <c r="L667" s="247" t="str">
        <f>VLOOKUP(K667,'Basic Data'!T:U,2,0)</f>
        <v>PLC Voltage Recovery</v>
      </c>
      <c r="M667" s="135" t="s">
        <v>472</v>
      </c>
      <c r="N667" s="256">
        <v>0.53125</v>
      </c>
      <c r="O667" s="256">
        <v>0.5625</v>
      </c>
      <c r="P667" s="256">
        <v>0.56388888888888888</v>
      </c>
      <c r="Q667" s="253">
        <f>IF(WTG_BD[[#This Row],[Work Start TimeStamp]]="","",(WTG_BD[[#This Row],[Work Start TimeStamp]]-WTG_BD[[#This Row],[Fault Start TimeStamp]])*24)</f>
        <v>0.75</v>
      </c>
      <c r="R667" s="253">
        <f>(WTG_BD[[#This Row],[Fault Clearance time]]-WTG_BD[[#This Row],[Work Start TimeStamp]])*24</f>
        <v>3.3333333333333215E-2</v>
      </c>
      <c r="S667" s="253">
        <f>(WTG_BD[[#This Row],[Fault Clearance time]]-WTG_BD[[#This Row],[Fault Start TimeStamp]])*24</f>
        <v>0.78333333333333321</v>
      </c>
      <c r="T667" s="135" t="s">
        <v>473</v>
      </c>
      <c r="U667" s="244" t="s">
        <v>474</v>
      </c>
      <c r="V667" s="246">
        <f>WTG_BD[[#This Row],[Breakdown Time]]*(1/39)</f>
        <v>2.008547008547008E-2</v>
      </c>
      <c r="W667" s="244" t="s">
        <v>119</v>
      </c>
      <c r="X667" s="250">
        <v>558.32083333333321</v>
      </c>
      <c r="Y667" s="135" t="s">
        <v>470</v>
      </c>
      <c r="Z667" s="135" t="s">
        <v>475</v>
      </c>
      <c r="AA667" s="135">
        <v>17106</v>
      </c>
      <c r="AB667" s="249">
        <f>(WTG_BD[[#This Row],[Paired WTG Generation for loss calculation.]]/24)*WTG_BD[[#This Row],[Breakdown Time]]</f>
        <v>558.32083333333321</v>
      </c>
      <c r="AC667" s="135"/>
      <c r="AD667" s="245"/>
      <c r="AE667" s="3"/>
    </row>
    <row r="668" spans="1:31">
      <c r="A668" s="241">
        <f t="shared" si="22"/>
        <v>667</v>
      </c>
      <c r="B668" s="255">
        <v>45808</v>
      </c>
      <c r="C668" s="252">
        <v>2025</v>
      </c>
      <c r="D668" s="252">
        <v>2025</v>
      </c>
      <c r="E668" s="251">
        <f t="shared" si="21"/>
        <v>45778</v>
      </c>
      <c r="F668" s="252" t="s">
        <v>465</v>
      </c>
      <c r="G668" s="248" t="s">
        <v>138</v>
      </c>
      <c r="H668" s="242" t="str">
        <f>IFERROR(VLOOKUP(WTG_BD[[#This Row],[Affected WTG]],'Basic Data'!$A$3:$E$56,2,0),"")</f>
        <v>PWEGPL</v>
      </c>
      <c r="I668" s="242" t="str">
        <f>IFERROR(VLOOKUP(WTG_BD[[#This Row],[Affected WTG]],'Basic Data'!$A$3:$E$56,3,0),"")</f>
        <v>MSEDCL</v>
      </c>
      <c r="J668" s="243">
        <f>IFERROR(VLOOKUP(WTG_BD[[#This Row],[Affected WTG]],'Basic Data'!$A$3:$E$56,5,0),"")</f>
        <v>2.564102564102564E-2</v>
      </c>
      <c r="K668" s="158">
        <v>5203</v>
      </c>
      <c r="L668" s="247" t="str">
        <f>VLOOKUP(K668,'Basic Data'!T:U,2,0)</f>
        <v>Heating/Coolant Thermal Magnetic Failure</v>
      </c>
      <c r="M668" s="135" t="s">
        <v>472</v>
      </c>
      <c r="N668" s="256">
        <v>0.1875</v>
      </c>
      <c r="O668" s="256">
        <v>0.22222222222222221</v>
      </c>
      <c r="P668" s="256">
        <v>0.22361111111111112</v>
      </c>
      <c r="Q668" s="253">
        <f>IF(WTG_BD[[#This Row],[Work Start TimeStamp]]="","",(WTG_BD[[#This Row],[Work Start TimeStamp]]-WTG_BD[[#This Row],[Fault Start TimeStamp]])*24)</f>
        <v>0.83333333333333304</v>
      </c>
      <c r="R668" s="253">
        <f>(WTG_BD[[#This Row],[Fault Clearance time]]-WTG_BD[[#This Row],[Work Start TimeStamp]])*24</f>
        <v>3.3333333333333881E-2</v>
      </c>
      <c r="S668" s="253">
        <f>(WTG_BD[[#This Row],[Fault Clearance time]]-WTG_BD[[#This Row],[Fault Start TimeStamp]])*24</f>
        <v>0.86666666666666692</v>
      </c>
      <c r="T668" s="135" t="s">
        <v>473</v>
      </c>
      <c r="U668" s="244" t="s">
        <v>474</v>
      </c>
      <c r="V668" s="246">
        <f>WTG_BD[[#This Row],[Breakdown Time]]*(1/39)</f>
        <v>2.2222222222222227E-2</v>
      </c>
      <c r="W668" s="244" t="s">
        <v>140</v>
      </c>
      <c r="X668" s="250">
        <v>620.75000000000023</v>
      </c>
      <c r="Y668" s="135" t="s">
        <v>470</v>
      </c>
      <c r="Z668" s="135" t="s">
        <v>475</v>
      </c>
      <c r="AA668" s="135">
        <v>17190</v>
      </c>
      <c r="AB668" s="249">
        <f>(WTG_BD[[#This Row],[Paired WTG Generation for loss calculation.]]/24)*WTG_BD[[#This Row],[Breakdown Time]]</f>
        <v>620.75000000000023</v>
      </c>
      <c r="AC668" s="135"/>
      <c r="AD668" s="245"/>
      <c r="AE668" s="3"/>
    </row>
    <row r="669" spans="1:31">
      <c r="A669" s="241">
        <f t="shared" si="22"/>
        <v>668</v>
      </c>
      <c r="B669" s="255">
        <v>45808</v>
      </c>
      <c r="C669" s="252">
        <v>2025</v>
      </c>
      <c r="D669" s="252">
        <v>2025</v>
      </c>
      <c r="E669" s="251">
        <f t="shared" si="21"/>
        <v>45778</v>
      </c>
      <c r="F669" s="252" t="s">
        <v>465</v>
      </c>
      <c r="G669" s="248" t="s">
        <v>138</v>
      </c>
      <c r="H669" s="242" t="str">
        <f>IFERROR(VLOOKUP(WTG_BD[[#This Row],[Affected WTG]],'Basic Data'!$A$3:$E$56,2,0),"")</f>
        <v>PWEGPL</v>
      </c>
      <c r="I669" s="242" t="str">
        <f>IFERROR(VLOOKUP(WTG_BD[[#This Row],[Affected WTG]],'Basic Data'!$A$3:$E$56,3,0),"")</f>
        <v>MSEDCL</v>
      </c>
      <c r="J669" s="243">
        <f>IFERROR(VLOOKUP(WTG_BD[[#This Row],[Affected WTG]],'Basic Data'!$A$3:$E$56,5,0),"")</f>
        <v>2.564102564102564E-2</v>
      </c>
      <c r="K669" s="158">
        <v>5203</v>
      </c>
      <c r="L669" s="247" t="str">
        <f>VLOOKUP(K669,'Basic Data'!T:U,2,0)</f>
        <v>Heating/Coolant Thermal Magnetic Failure</v>
      </c>
      <c r="M669" s="135" t="s">
        <v>472</v>
      </c>
      <c r="N669" s="256">
        <v>0.40763888888888888</v>
      </c>
      <c r="O669" s="256">
        <v>0.48888888888888887</v>
      </c>
      <c r="P669" s="256">
        <v>0.61111111111111116</v>
      </c>
      <c r="Q669" s="253">
        <f>IF(WTG_BD[[#This Row],[Work Start TimeStamp]]="","",(WTG_BD[[#This Row],[Work Start TimeStamp]]-WTG_BD[[#This Row],[Fault Start TimeStamp]])*24)</f>
        <v>1.9499999999999997</v>
      </c>
      <c r="R669" s="253">
        <f>(WTG_BD[[#This Row],[Fault Clearance time]]-WTG_BD[[#This Row],[Work Start TimeStamp]])*24</f>
        <v>2.9333333333333349</v>
      </c>
      <c r="S669" s="253">
        <f>(WTG_BD[[#This Row],[Fault Clearance time]]-WTG_BD[[#This Row],[Fault Start TimeStamp]])*24</f>
        <v>4.8833333333333346</v>
      </c>
      <c r="T669" s="135" t="s">
        <v>626</v>
      </c>
      <c r="U669" s="244" t="s">
        <v>474</v>
      </c>
      <c r="V669" s="246">
        <f>WTG_BD[[#This Row],[Breakdown Time]]*(1/39)</f>
        <v>0.12521367521367524</v>
      </c>
      <c r="W669" s="244" t="s">
        <v>140</v>
      </c>
      <c r="X669" s="250">
        <v>3497.6875000000009</v>
      </c>
      <c r="Y669" s="135" t="s">
        <v>470</v>
      </c>
      <c r="Z669" s="135" t="s">
        <v>475</v>
      </c>
      <c r="AA669" s="135">
        <v>17190</v>
      </c>
      <c r="AB669" s="249">
        <f>(WTG_BD[[#This Row],[Paired WTG Generation for loss calculation.]]/24)*WTG_BD[[#This Row],[Breakdown Time]]</f>
        <v>3497.6875000000009</v>
      </c>
      <c r="AC669" s="135"/>
      <c r="AD669" s="245"/>
      <c r="AE669" s="3"/>
    </row>
    <row r="670" spans="1:31">
      <c r="A670" s="241">
        <f t="shared" si="22"/>
        <v>669</v>
      </c>
      <c r="B670" s="255">
        <v>45808</v>
      </c>
      <c r="C670" s="252">
        <v>2025</v>
      </c>
      <c r="D670" s="252">
        <v>2025</v>
      </c>
      <c r="E670" s="251">
        <f t="shared" si="21"/>
        <v>45778</v>
      </c>
      <c r="F670" s="252" t="s">
        <v>465</v>
      </c>
      <c r="G670" s="248" t="s">
        <v>139</v>
      </c>
      <c r="H670" s="242" t="str">
        <f>IFERROR(VLOOKUP(WTG_BD[[#This Row],[Affected WTG]],'Basic Data'!$A$3:$E$56,2,0),"")</f>
        <v>PWEGPL</v>
      </c>
      <c r="I670" s="242" t="str">
        <f>IFERROR(VLOOKUP(WTG_BD[[#This Row],[Affected WTG]],'Basic Data'!$A$3:$E$56,3,0),"")</f>
        <v>MSEDCL</v>
      </c>
      <c r="J670" s="243">
        <f>IFERROR(VLOOKUP(WTG_BD[[#This Row],[Affected WTG]],'Basic Data'!$A$3:$E$56,5,0),"")</f>
        <v>2.564102564102564E-2</v>
      </c>
      <c r="K670" s="158">
        <v>2118</v>
      </c>
      <c r="L670" s="247" t="str">
        <f>VLOOKUP(K670,'Basic Data'!T:U,2,0)</f>
        <v>Bus Error - Interbus Failure</v>
      </c>
      <c r="M670" s="135" t="s">
        <v>472</v>
      </c>
      <c r="N670" s="256">
        <v>0.3611111111111111</v>
      </c>
      <c r="O670" s="256">
        <v>0.39027777777777778</v>
      </c>
      <c r="P670" s="256">
        <v>0.56597222222222221</v>
      </c>
      <c r="Q670" s="253">
        <f>IF(WTG_BD[[#This Row],[Work Start TimeStamp]]="","",(WTG_BD[[#This Row],[Work Start TimeStamp]]-WTG_BD[[#This Row],[Fault Start TimeStamp]])*24)</f>
        <v>0.70000000000000018</v>
      </c>
      <c r="R670" s="253">
        <f>(WTG_BD[[#This Row],[Fault Clearance time]]-WTG_BD[[#This Row],[Work Start TimeStamp]])*24</f>
        <v>4.2166666666666668</v>
      </c>
      <c r="S670" s="253">
        <f>(WTG_BD[[#This Row],[Fault Clearance time]]-WTG_BD[[#This Row],[Fault Start TimeStamp]])*24</f>
        <v>4.9166666666666661</v>
      </c>
      <c r="T670" s="135" t="s">
        <v>554</v>
      </c>
      <c r="U670" s="244" t="s">
        <v>474</v>
      </c>
      <c r="V670" s="246">
        <f>WTG_BD[[#This Row],[Breakdown Time]]*(1/39)</f>
        <v>0.12606837606837604</v>
      </c>
      <c r="W670" s="244" t="s">
        <v>145</v>
      </c>
      <c r="X670" s="250">
        <v>3656.9756944444439</v>
      </c>
      <c r="Y670" s="135" t="s">
        <v>470</v>
      </c>
      <c r="Z670" s="135" t="s">
        <v>475</v>
      </c>
      <c r="AA670" s="135">
        <v>17851</v>
      </c>
      <c r="AB670" s="249">
        <f>(WTG_BD[[#This Row],[Paired WTG Generation for loss calculation.]]/24)*WTG_BD[[#This Row],[Breakdown Time]]</f>
        <v>3656.9756944444439</v>
      </c>
      <c r="AC670" s="135"/>
      <c r="AD670" s="245"/>
      <c r="AE670" s="3"/>
    </row>
    <row r="671" spans="1:31">
      <c r="A671" s="241">
        <f t="shared" si="22"/>
        <v>670</v>
      </c>
      <c r="B671" s="255">
        <v>45808</v>
      </c>
      <c r="C671" s="252">
        <v>2025</v>
      </c>
      <c r="D671" s="252">
        <v>2025</v>
      </c>
      <c r="E671" s="251">
        <f t="shared" si="21"/>
        <v>45778</v>
      </c>
      <c r="F671" s="252" t="s">
        <v>465</v>
      </c>
      <c r="G671" s="248" t="s">
        <v>139</v>
      </c>
      <c r="H671" s="242" t="str">
        <f>IFERROR(VLOOKUP(WTG_BD[[#This Row],[Affected WTG]],'Basic Data'!$A$3:$E$56,2,0),"")</f>
        <v>PWEGPL</v>
      </c>
      <c r="I671" s="242" t="str">
        <f>IFERROR(VLOOKUP(WTG_BD[[#This Row],[Affected WTG]],'Basic Data'!$A$3:$E$56,3,0),"")</f>
        <v>MSEDCL</v>
      </c>
      <c r="J671" s="243">
        <f>IFERROR(VLOOKUP(WTG_BD[[#This Row],[Affected WTG]],'Basic Data'!$A$3:$E$56,5,0),"")</f>
        <v>2.564102564102564E-2</v>
      </c>
      <c r="K671" s="158">
        <v>2118</v>
      </c>
      <c r="L671" s="247" t="str">
        <f>VLOOKUP(K671,'Basic Data'!T:U,2,0)</f>
        <v>Bus Error - Interbus Failure</v>
      </c>
      <c r="M671" s="135" t="s">
        <v>472</v>
      </c>
      <c r="N671" s="256">
        <v>0.60069444444444442</v>
      </c>
      <c r="O671" s="256">
        <v>0.60763888888888884</v>
      </c>
      <c r="P671" s="256">
        <v>0.68055555555555558</v>
      </c>
      <c r="Q671" s="253">
        <f>IF(WTG_BD[[#This Row],[Work Start TimeStamp]]="","",(WTG_BD[[#This Row],[Work Start TimeStamp]]-WTG_BD[[#This Row],[Fault Start TimeStamp]])*24)</f>
        <v>0.16666666666666607</v>
      </c>
      <c r="R671" s="253">
        <f>(WTG_BD[[#This Row],[Fault Clearance time]]-WTG_BD[[#This Row],[Work Start TimeStamp]])*24</f>
        <v>1.7500000000000018</v>
      </c>
      <c r="S671" s="253">
        <f>(WTG_BD[[#This Row],[Fault Clearance time]]-WTG_BD[[#This Row],[Fault Start TimeStamp]])*24</f>
        <v>1.9166666666666679</v>
      </c>
      <c r="T671" s="135" t="s">
        <v>627</v>
      </c>
      <c r="U671" s="244" t="s">
        <v>474</v>
      </c>
      <c r="V671" s="246">
        <f>WTG_BD[[#This Row],[Breakdown Time]]*(1/39)</f>
        <v>4.9145299145299172E-2</v>
      </c>
      <c r="W671" s="244" t="s">
        <v>145</v>
      </c>
      <c r="X671" s="250">
        <v>1425.6006944444453</v>
      </c>
      <c r="Y671" s="135" t="s">
        <v>470</v>
      </c>
      <c r="Z671" s="135" t="s">
        <v>475</v>
      </c>
      <c r="AA671" s="135">
        <v>17851</v>
      </c>
      <c r="AB671" s="249">
        <f>(WTG_BD[[#This Row],[Paired WTG Generation for loss calculation.]]/24)*WTG_BD[[#This Row],[Breakdown Time]]</f>
        <v>1425.6006944444453</v>
      </c>
      <c r="AC671" s="135"/>
      <c r="AD671" s="245"/>
      <c r="AE671" s="3"/>
    </row>
    <row r="672" spans="1:31">
      <c r="A672" s="241">
        <f t="shared" si="22"/>
        <v>671</v>
      </c>
      <c r="B672" s="255">
        <v>45808</v>
      </c>
      <c r="C672" s="252">
        <v>2025</v>
      </c>
      <c r="D672" s="252">
        <v>2025</v>
      </c>
      <c r="E672" s="251">
        <f>B672-DAY(B672)+1</f>
        <v>45778</v>
      </c>
      <c r="F672" s="252" t="s">
        <v>465</v>
      </c>
      <c r="G672" s="248" t="s">
        <v>139</v>
      </c>
      <c r="H672" s="242" t="str">
        <f>IFERROR(VLOOKUP(WTG_BD[[#This Row],[Affected WTG]],'Basic Data'!$A$3:$E$56,2,0),"")</f>
        <v>PWEGPL</v>
      </c>
      <c r="I672" s="242" t="str">
        <f>IFERROR(VLOOKUP(WTG_BD[[#This Row],[Affected WTG]],'Basic Data'!$A$3:$E$56,3,0),"")</f>
        <v>MSEDCL</v>
      </c>
      <c r="J672" s="243">
        <f>IFERROR(VLOOKUP(WTG_BD[[#This Row],[Affected WTG]],'Basic Data'!$A$3:$E$56,5,0),"")</f>
        <v>2.564102564102564E-2</v>
      </c>
      <c r="K672" s="158">
        <v>2118</v>
      </c>
      <c r="L672" s="247" t="str">
        <f>VLOOKUP(K672,'Basic Data'!T:U,2,0)</f>
        <v>Bus Error - Interbus Failure</v>
      </c>
      <c r="M672" s="135" t="s">
        <v>472</v>
      </c>
      <c r="N672" s="256">
        <v>0.70902777777777781</v>
      </c>
      <c r="O672" s="256">
        <v>0.70902777777777781</v>
      </c>
      <c r="P672" s="256">
        <v>0.8125</v>
      </c>
      <c r="Q672" s="253">
        <f>IF(WTG_BD[[#This Row],[Work Start TimeStamp]]="","",(WTG_BD[[#This Row],[Work Start TimeStamp]]-WTG_BD[[#This Row],[Fault Start TimeStamp]])*24)</f>
        <v>0</v>
      </c>
      <c r="R672" s="253">
        <f>(WTG_BD[[#This Row],[Fault Clearance time]]-WTG_BD[[#This Row],[Work Start TimeStamp]])*24</f>
        <v>2.4833333333333325</v>
      </c>
      <c r="S672" s="253">
        <f>(WTG_BD[[#This Row],[Fault Clearance time]]-WTG_BD[[#This Row],[Fault Start TimeStamp]])*24</f>
        <v>2.4833333333333325</v>
      </c>
      <c r="T672" s="135" t="s">
        <v>628</v>
      </c>
      <c r="U672" s="244" t="s">
        <v>474</v>
      </c>
      <c r="V672" s="246">
        <f>WTG_BD[[#This Row],[Breakdown Time]]*(1/39)</f>
        <v>6.3675213675213657E-2</v>
      </c>
      <c r="W672" s="244" t="s">
        <v>145</v>
      </c>
      <c r="X672" s="250">
        <v>1847.0826388888881</v>
      </c>
      <c r="Y672" s="135" t="s">
        <v>470</v>
      </c>
      <c r="Z672" s="135" t="s">
        <v>475</v>
      </c>
      <c r="AA672" s="135">
        <v>17851</v>
      </c>
      <c r="AB672" s="249">
        <f>(WTG_BD[[#This Row],[Paired WTG Generation for loss calculation.]]/24)*WTG_BD[[#This Row],[Breakdown Time]]</f>
        <v>1847.0826388888881</v>
      </c>
      <c r="AC672" s="135"/>
      <c r="AD672" s="245"/>
      <c r="AE672" s="3"/>
    </row>
    <row r="673" spans="1:31">
      <c r="A673" s="241">
        <f t="shared" si="22"/>
        <v>672</v>
      </c>
      <c r="B673" s="255">
        <v>45808</v>
      </c>
      <c r="C673" s="252">
        <v>2025</v>
      </c>
      <c r="D673" s="252">
        <v>2025</v>
      </c>
      <c r="E673" s="251">
        <f t="shared" si="21"/>
        <v>45778</v>
      </c>
      <c r="F673" s="252" t="s">
        <v>465</v>
      </c>
      <c r="G673" s="248" t="s">
        <v>140</v>
      </c>
      <c r="H673" s="242" t="str">
        <f>IFERROR(VLOOKUP(WTG_BD[[#This Row],[Affected WTG]],'Basic Data'!$A$3:$E$56,2,0),"")</f>
        <v>PWEGPL</v>
      </c>
      <c r="I673" s="242" t="str">
        <f>IFERROR(VLOOKUP(WTG_BD[[#This Row],[Affected WTG]],'Basic Data'!$A$3:$E$56,3,0),"")</f>
        <v>MSEDCL</v>
      </c>
      <c r="J673" s="243">
        <f>IFERROR(VLOOKUP(WTG_BD[[#This Row],[Affected WTG]],'Basic Data'!$A$3:$E$56,5,0),"")</f>
        <v>2.564102564102564E-2</v>
      </c>
      <c r="K673" s="158">
        <v>222</v>
      </c>
      <c r="L673" s="247" t="str">
        <f>VLOOKUP(K673,'Basic Data'!T:U,2,0)</f>
        <v>Very Low Pressure On Hydraulic Unit</v>
      </c>
      <c r="M673" s="135" t="s">
        <v>472</v>
      </c>
      <c r="N673" s="256">
        <v>0.48472222222222222</v>
      </c>
      <c r="O673" s="256">
        <v>0.50347222222222221</v>
      </c>
      <c r="P673" s="256">
        <v>0.50416666666666665</v>
      </c>
      <c r="Q673" s="253">
        <f>IF(WTG_BD[[#This Row],[Work Start TimeStamp]]="","",(WTG_BD[[#This Row],[Work Start TimeStamp]]-WTG_BD[[#This Row],[Fault Start TimeStamp]])*24)</f>
        <v>0.44999999999999973</v>
      </c>
      <c r="R673" s="253">
        <f>(WTG_BD[[#This Row],[Fault Clearance time]]-WTG_BD[[#This Row],[Work Start TimeStamp]])*24</f>
        <v>1.6666666666666607E-2</v>
      </c>
      <c r="S673" s="253">
        <f>(WTG_BD[[#This Row],[Fault Clearance time]]-WTG_BD[[#This Row],[Fault Start TimeStamp]])*24</f>
        <v>0.46666666666666634</v>
      </c>
      <c r="T673" s="135" t="s">
        <v>473</v>
      </c>
      <c r="U673" s="244" t="s">
        <v>474</v>
      </c>
      <c r="V673" s="246">
        <f>WTG_BD[[#This Row],[Breakdown Time]]*(1/39)</f>
        <v>1.1965811965811956E-2</v>
      </c>
      <c r="W673" s="244" t="s">
        <v>138</v>
      </c>
      <c r="X673" s="250">
        <v>309.1861111111109</v>
      </c>
      <c r="Y673" s="135" t="s">
        <v>470</v>
      </c>
      <c r="Z673" s="135" t="s">
        <v>475</v>
      </c>
      <c r="AA673" s="135">
        <v>15901</v>
      </c>
      <c r="AB673" s="249">
        <f>(WTG_BD[[#This Row],[Paired WTG Generation for loss calculation.]]/24)*WTG_BD[[#This Row],[Breakdown Time]]</f>
        <v>309.1861111111109</v>
      </c>
      <c r="AC673" s="135"/>
      <c r="AD673" s="245"/>
      <c r="AE673" s="3"/>
    </row>
    <row r="674" spans="1:31">
      <c r="A674" s="241">
        <f t="shared" si="22"/>
        <v>673</v>
      </c>
      <c r="B674" s="255">
        <v>45808</v>
      </c>
      <c r="C674" s="252">
        <v>2025</v>
      </c>
      <c r="D674" s="252">
        <v>2025</v>
      </c>
      <c r="E674" s="251">
        <f t="shared" si="21"/>
        <v>45778</v>
      </c>
      <c r="F674" s="252" t="s">
        <v>465</v>
      </c>
      <c r="G674" s="248" t="s">
        <v>141</v>
      </c>
      <c r="H674" s="242" t="str">
        <f>IFERROR(VLOOKUP(WTG_BD[[#This Row],[Affected WTG]],'Basic Data'!$A$3:$E$56,2,0),"")</f>
        <v>PWEGPL</v>
      </c>
      <c r="I674" s="242" t="str">
        <f>IFERROR(VLOOKUP(WTG_BD[[#This Row],[Affected WTG]],'Basic Data'!$A$3:$E$56,3,0),"")</f>
        <v>MSEDCL</v>
      </c>
      <c r="J674" s="243">
        <f>IFERROR(VLOOKUP(WTG_BD[[#This Row],[Affected WTG]],'Basic Data'!$A$3:$E$56,5,0),"")</f>
        <v>2.564102564102564E-2</v>
      </c>
      <c r="K674" s="158">
        <v>222</v>
      </c>
      <c r="L674" s="247" t="str">
        <f>VLOOKUP(K674,'Basic Data'!T:U,2,0)</f>
        <v>Very Low Pressure On Hydraulic Unit</v>
      </c>
      <c r="M674" s="135" t="s">
        <v>472</v>
      </c>
      <c r="N674" s="256">
        <v>0.48472222222222222</v>
      </c>
      <c r="O674" s="256">
        <v>0.52083333333333337</v>
      </c>
      <c r="P674" s="256">
        <v>0.52152777777777781</v>
      </c>
      <c r="Q674" s="253">
        <f>IF(WTG_BD[[#This Row],[Work Start TimeStamp]]="","",(WTG_BD[[#This Row],[Work Start TimeStamp]]-WTG_BD[[#This Row],[Fault Start TimeStamp]])*24)</f>
        <v>0.86666666666666758</v>
      </c>
      <c r="R674" s="253">
        <f>(WTG_BD[[#This Row],[Fault Clearance time]]-WTG_BD[[#This Row],[Work Start TimeStamp]])*24</f>
        <v>1.6666666666666607E-2</v>
      </c>
      <c r="S674" s="253">
        <f>(WTG_BD[[#This Row],[Fault Clearance time]]-WTG_BD[[#This Row],[Fault Start TimeStamp]])*24</f>
        <v>0.88333333333333419</v>
      </c>
      <c r="T674" s="135" t="s">
        <v>473</v>
      </c>
      <c r="U674" s="244" t="s">
        <v>474</v>
      </c>
      <c r="V674" s="246">
        <f>WTG_BD[[#This Row],[Breakdown Time]]*(1/39)</f>
        <v>2.264957264957267E-2</v>
      </c>
      <c r="W674" s="244" t="s">
        <v>143</v>
      </c>
      <c r="X674" s="250">
        <v>632.76111111111175</v>
      </c>
      <c r="Y674" s="135" t="s">
        <v>470</v>
      </c>
      <c r="Z674" s="135" t="s">
        <v>475</v>
      </c>
      <c r="AA674" s="135">
        <v>17192</v>
      </c>
      <c r="AB674" s="249">
        <f>(WTG_BD[[#This Row],[Paired WTG Generation for loss calculation.]]/24)*WTG_BD[[#This Row],[Breakdown Time]]</f>
        <v>632.76111111111175</v>
      </c>
      <c r="AC674" s="135"/>
      <c r="AD674" s="245"/>
      <c r="AE674" s="3"/>
    </row>
    <row r="675" spans="1:31">
      <c r="A675" s="241">
        <f t="shared" si="22"/>
        <v>674</v>
      </c>
      <c r="B675" s="255">
        <v>45808</v>
      </c>
      <c r="C675" s="252">
        <v>2025</v>
      </c>
      <c r="D675" s="252">
        <v>2025</v>
      </c>
      <c r="E675" s="251">
        <f t="shared" si="21"/>
        <v>45778</v>
      </c>
      <c r="F675" s="252" t="s">
        <v>465</v>
      </c>
      <c r="G675" s="248" t="s">
        <v>148</v>
      </c>
      <c r="H675" s="242" t="str">
        <f>IFERROR(VLOOKUP(WTG_BD[[#This Row],[Affected WTG]],'Basic Data'!$A$3:$E$56,2,0),"")</f>
        <v>PWEGPL</v>
      </c>
      <c r="I675" s="242" t="str">
        <f>IFERROR(VLOOKUP(WTG_BD[[#This Row],[Affected WTG]],'Basic Data'!$A$3:$E$56,3,0),"")</f>
        <v>MSEDCL</v>
      </c>
      <c r="J675" s="243">
        <f>IFERROR(VLOOKUP(WTG_BD[[#This Row],[Affected WTG]],'Basic Data'!$A$3:$E$56,5,0),"")</f>
        <v>2.564102564102564E-2</v>
      </c>
      <c r="K675" s="158">
        <v>222</v>
      </c>
      <c r="L675" s="247" t="str">
        <f>VLOOKUP(K675,'Basic Data'!T:U,2,0)</f>
        <v>Very Low Pressure On Hydraulic Unit</v>
      </c>
      <c r="M675" s="135" t="s">
        <v>472</v>
      </c>
      <c r="N675" s="256">
        <v>0.48472222222222222</v>
      </c>
      <c r="O675" s="256">
        <v>0.53125</v>
      </c>
      <c r="P675" s="256">
        <v>0.53194444444444444</v>
      </c>
      <c r="Q675" s="253">
        <f>IF(WTG_BD[[#This Row],[Work Start TimeStamp]]="","",(WTG_BD[[#This Row],[Work Start TimeStamp]]-WTG_BD[[#This Row],[Fault Start TimeStamp]])*24)</f>
        <v>1.1166666666666667</v>
      </c>
      <c r="R675" s="253">
        <f>(WTG_BD[[#This Row],[Fault Clearance time]]-WTG_BD[[#This Row],[Work Start TimeStamp]])*24</f>
        <v>1.6666666666666607E-2</v>
      </c>
      <c r="S675" s="253">
        <f>(WTG_BD[[#This Row],[Fault Clearance time]]-WTG_BD[[#This Row],[Fault Start TimeStamp]])*24</f>
        <v>1.1333333333333333</v>
      </c>
      <c r="T675" s="135" t="s">
        <v>473</v>
      </c>
      <c r="U675" s="244" t="s">
        <v>474</v>
      </c>
      <c r="V675" s="246">
        <f>WTG_BD[[#This Row],[Breakdown Time]]*(1/39)</f>
        <v>2.9059829059829057E-2</v>
      </c>
      <c r="W675" s="244" t="s">
        <v>149</v>
      </c>
      <c r="X675" s="250">
        <v>816.94444444444446</v>
      </c>
      <c r="Y675" s="135" t="s">
        <v>470</v>
      </c>
      <c r="Z675" s="135" t="s">
        <v>475</v>
      </c>
      <c r="AA675" s="135">
        <v>17300</v>
      </c>
      <c r="AB675" s="249">
        <f>(WTG_BD[[#This Row],[Paired WTG Generation for loss calculation.]]/24)*WTG_BD[[#This Row],[Breakdown Time]]</f>
        <v>816.94444444444446</v>
      </c>
      <c r="AC675" s="135"/>
      <c r="AD675" s="245"/>
      <c r="AE675" s="3"/>
    </row>
    <row r="676" spans="1:31">
      <c r="A676" s="241">
        <f t="shared" si="22"/>
        <v>675</v>
      </c>
      <c r="B676" s="255">
        <v>45808</v>
      </c>
      <c r="C676" s="252">
        <v>2025</v>
      </c>
      <c r="D676" s="252">
        <v>2025</v>
      </c>
      <c r="E676" s="251">
        <f t="shared" si="21"/>
        <v>45778</v>
      </c>
      <c r="F676" s="252" t="s">
        <v>465</v>
      </c>
      <c r="G676" s="248" t="s">
        <v>148</v>
      </c>
      <c r="H676" s="242" t="str">
        <f>IFERROR(VLOOKUP(WTG_BD[[#This Row],[Affected WTG]],'Basic Data'!$A$3:$E$56,2,0),"")</f>
        <v>PWEGPL</v>
      </c>
      <c r="I676" s="242" t="str">
        <f>IFERROR(VLOOKUP(WTG_BD[[#This Row],[Affected WTG]],'Basic Data'!$A$3:$E$56,3,0),"")</f>
        <v>MSEDCL</v>
      </c>
      <c r="J676" s="243">
        <f>IFERROR(VLOOKUP(WTG_BD[[#This Row],[Affected WTG]],'Basic Data'!$A$3:$E$56,5,0),"")</f>
        <v>2.564102564102564E-2</v>
      </c>
      <c r="K676" s="158">
        <v>5210</v>
      </c>
      <c r="L676" s="247" t="str">
        <f>VLOOKUP(K676,'Basic Data'!T:U,2,0)</f>
        <v>Failure Of The Contactor's Rotor Power</v>
      </c>
      <c r="M676" s="135" t="s">
        <v>472</v>
      </c>
      <c r="N676" s="256">
        <v>0.63194444444444442</v>
      </c>
      <c r="O676" s="256">
        <v>0.66736111111111107</v>
      </c>
      <c r="P676" s="256">
        <v>0.66805555555555551</v>
      </c>
      <c r="Q676" s="253">
        <f>IF(WTG_BD[[#This Row],[Work Start TimeStamp]]="","",(WTG_BD[[#This Row],[Work Start TimeStamp]]-WTG_BD[[#This Row],[Fault Start TimeStamp]])*24)</f>
        <v>0.84999999999999964</v>
      </c>
      <c r="R676" s="253">
        <f>(WTG_BD[[#This Row],[Fault Clearance time]]-WTG_BD[[#This Row],[Work Start TimeStamp]])*24</f>
        <v>1.6666666666666607E-2</v>
      </c>
      <c r="S676" s="253">
        <f>(WTG_BD[[#This Row],[Fault Clearance time]]-WTG_BD[[#This Row],[Fault Start TimeStamp]])*24</f>
        <v>0.86666666666666625</v>
      </c>
      <c r="T676" s="135" t="s">
        <v>473</v>
      </c>
      <c r="U676" s="244" t="s">
        <v>474</v>
      </c>
      <c r="V676" s="246">
        <f>WTG_BD[[#This Row],[Breakdown Time]]*(1/39)</f>
        <v>2.2222222222222209E-2</v>
      </c>
      <c r="W676" s="244" t="s">
        <v>149</v>
      </c>
      <c r="X676" s="250">
        <v>624.72222222222194</v>
      </c>
      <c r="Y676" s="135" t="s">
        <v>470</v>
      </c>
      <c r="Z676" s="135" t="s">
        <v>475</v>
      </c>
      <c r="AA676" s="135">
        <v>17300</v>
      </c>
      <c r="AB676" s="249">
        <f>(WTG_BD[[#This Row],[Paired WTG Generation for loss calculation.]]/24)*WTG_BD[[#This Row],[Breakdown Time]]</f>
        <v>624.72222222222194</v>
      </c>
      <c r="AC676" s="135"/>
      <c r="AD676" s="245"/>
      <c r="AE676" s="3"/>
    </row>
    <row r="677" spans="1:31">
      <c r="A677" s="241">
        <f t="shared" si="22"/>
        <v>676</v>
      </c>
      <c r="B677" s="255">
        <v>45808</v>
      </c>
      <c r="C677" s="252">
        <v>2025</v>
      </c>
      <c r="D677" s="252">
        <v>2025</v>
      </c>
      <c r="E677" s="251">
        <f t="shared" si="21"/>
        <v>45778</v>
      </c>
      <c r="F677" s="252" t="s">
        <v>465</v>
      </c>
      <c r="G677" s="248" t="s">
        <v>149</v>
      </c>
      <c r="H677" s="242" t="str">
        <f>IFERROR(VLOOKUP(WTG_BD[[#This Row],[Affected WTG]],'Basic Data'!$A$3:$E$56,2,0),"")</f>
        <v>PWEGPL</v>
      </c>
      <c r="I677" s="242" t="str">
        <f>IFERROR(VLOOKUP(WTG_BD[[#This Row],[Affected WTG]],'Basic Data'!$A$3:$E$56,3,0),"")</f>
        <v>MSEDCL</v>
      </c>
      <c r="J677" s="243">
        <f>IFERROR(VLOOKUP(WTG_BD[[#This Row],[Affected WTG]],'Basic Data'!$A$3:$E$56,5,0),"")</f>
        <v>2.564102564102564E-2</v>
      </c>
      <c r="K677" s="158">
        <v>222</v>
      </c>
      <c r="L677" s="247" t="str">
        <f>VLOOKUP(K677,'Basic Data'!T:U,2,0)</f>
        <v>Very Low Pressure On Hydraulic Unit</v>
      </c>
      <c r="M677" s="135" t="s">
        <v>472</v>
      </c>
      <c r="N677" s="256">
        <v>0.48472222222222222</v>
      </c>
      <c r="O677" s="256">
        <v>0.54861111111111116</v>
      </c>
      <c r="P677" s="256">
        <v>0.5493055555555556</v>
      </c>
      <c r="Q677" s="253">
        <f>IF(WTG_BD[[#This Row],[Work Start TimeStamp]]="","",(WTG_BD[[#This Row],[Work Start TimeStamp]]-WTG_BD[[#This Row],[Fault Start TimeStamp]])*24)</f>
        <v>1.5333333333333345</v>
      </c>
      <c r="R677" s="253">
        <f>(WTG_BD[[#This Row],[Fault Clearance time]]-WTG_BD[[#This Row],[Work Start TimeStamp]])*24</f>
        <v>1.6666666666666607E-2</v>
      </c>
      <c r="S677" s="253">
        <f>(WTG_BD[[#This Row],[Fault Clearance time]]-WTG_BD[[#This Row],[Fault Start TimeStamp]])*24</f>
        <v>1.5500000000000012</v>
      </c>
      <c r="T677" s="135" t="s">
        <v>482</v>
      </c>
      <c r="U677" s="244" t="s">
        <v>474</v>
      </c>
      <c r="V677" s="246">
        <f>WTG_BD[[#This Row],[Breakdown Time]]*(1/39)</f>
        <v>3.9743589743589769E-2</v>
      </c>
      <c r="W677" s="244" t="s">
        <v>150</v>
      </c>
      <c r="X677" s="250">
        <v>1152.1020833333341</v>
      </c>
      <c r="Y677" s="135" t="s">
        <v>470</v>
      </c>
      <c r="Z677" s="135" t="s">
        <v>475</v>
      </c>
      <c r="AA677" s="135">
        <v>17839</v>
      </c>
      <c r="AB677" s="249">
        <f>(WTG_BD[[#This Row],[Paired WTG Generation for loss calculation.]]/24)*WTG_BD[[#This Row],[Breakdown Time]]</f>
        <v>1152.1020833333341</v>
      </c>
      <c r="AC677" s="135"/>
      <c r="AD677" s="245"/>
      <c r="AE677" s="3"/>
    </row>
    <row r="678" spans="1:31">
      <c r="A678" s="241">
        <f t="shared" si="22"/>
        <v>677</v>
      </c>
      <c r="B678" s="255">
        <v>45808</v>
      </c>
      <c r="C678" s="252">
        <v>2025</v>
      </c>
      <c r="D678" s="252">
        <v>2025</v>
      </c>
      <c r="E678" s="251">
        <f t="shared" si="21"/>
        <v>45778</v>
      </c>
      <c r="F678" s="252" t="s">
        <v>465</v>
      </c>
      <c r="G678" s="248" t="s">
        <v>151</v>
      </c>
      <c r="H678" s="242" t="str">
        <f>IFERROR(VLOOKUP(WTG_BD[[#This Row],[Affected WTG]],'Basic Data'!$A$3:$E$56,2,0),"")</f>
        <v>PWEGPL</v>
      </c>
      <c r="I678" s="242" t="str">
        <f>IFERROR(VLOOKUP(WTG_BD[[#This Row],[Affected WTG]],'Basic Data'!$A$3:$E$56,3,0),"")</f>
        <v>MSEDCL</v>
      </c>
      <c r="J678" s="243">
        <f>IFERROR(VLOOKUP(WTG_BD[[#This Row],[Affected WTG]],'Basic Data'!$A$3:$E$56,5,0),"")</f>
        <v>2.564102564102564E-2</v>
      </c>
      <c r="K678" s="158">
        <v>222</v>
      </c>
      <c r="L678" s="247" t="str">
        <f>VLOOKUP(K678,'Basic Data'!T:U,2,0)</f>
        <v>Very Low Pressure On Hydraulic Unit</v>
      </c>
      <c r="M678" s="135" t="s">
        <v>472</v>
      </c>
      <c r="N678" s="256">
        <v>0.48472222222222222</v>
      </c>
      <c r="O678" s="256">
        <v>0.5625</v>
      </c>
      <c r="P678" s="256">
        <v>0.56319444444444444</v>
      </c>
      <c r="Q678" s="253">
        <f>IF(WTG_BD[[#This Row],[Work Start TimeStamp]]="","",(WTG_BD[[#This Row],[Work Start TimeStamp]]-WTG_BD[[#This Row],[Fault Start TimeStamp]])*24)</f>
        <v>1.8666666666666667</v>
      </c>
      <c r="R678" s="253">
        <f>(WTG_BD[[#This Row],[Fault Clearance time]]-WTG_BD[[#This Row],[Work Start TimeStamp]])*24</f>
        <v>1.6666666666666607E-2</v>
      </c>
      <c r="S678" s="253">
        <f>(WTG_BD[[#This Row],[Fault Clearance time]]-WTG_BD[[#This Row],[Fault Start TimeStamp]])*24</f>
        <v>1.8833333333333333</v>
      </c>
      <c r="T678" s="135" t="s">
        <v>473</v>
      </c>
      <c r="U678" s="244" t="s">
        <v>474</v>
      </c>
      <c r="V678" s="246">
        <f>WTG_BD[[#This Row],[Breakdown Time]]*(1/39)</f>
        <v>4.8290598290598286E-2</v>
      </c>
      <c r="W678" s="244" t="s">
        <v>152</v>
      </c>
      <c r="X678" s="250">
        <v>1400.8861111111112</v>
      </c>
      <c r="Y678" s="135" t="s">
        <v>470</v>
      </c>
      <c r="Z678" s="135" t="s">
        <v>475</v>
      </c>
      <c r="AA678" s="135">
        <v>17852</v>
      </c>
      <c r="AB678" s="249">
        <f>(WTG_BD[[#This Row],[Paired WTG Generation for loss calculation.]]/24)*WTG_BD[[#This Row],[Breakdown Time]]</f>
        <v>1400.8861111111112</v>
      </c>
      <c r="AC678" s="135"/>
      <c r="AD678" s="245"/>
      <c r="AE678" s="3"/>
    </row>
    <row r="679" spans="1:31">
      <c r="A679" s="241">
        <f t="shared" si="22"/>
        <v>678</v>
      </c>
      <c r="B679" s="255">
        <v>45809</v>
      </c>
      <c r="C679" s="252">
        <v>2025</v>
      </c>
      <c r="D679" s="252">
        <v>2025</v>
      </c>
      <c r="E679" s="251">
        <f t="shared" si="21"/>
        <v>45809</v>
      </c>
      <c r="F679" s="252" t="s">
        <v>465</v>
      </c>
      <c r="G679" s="248" t="s">
        <v>144</v>
      </c>
      <c r="H679" s="242" t="str">
        <f>IFERROR(VLOOKUP(WTG_BD[[#This Row],[Affected WTG]],'Basic Data'!$A$3:$E$56,2,0),"")</f>
        <v>PWEGPL</v>
      </c>
      <c r="I679" s="242" t="str">
        <f>IFERROR(VLOOKUP(WTG_BD[[#This Row],[Affected WTG]],'Basic Data'!$A$3:$E$56,3,0),"")</f>
        <v>MSEDCL</v>
      </c>
      <c r="J679" s="243">
        <f>IFERROR(VLOOKUP(WTG_BD[[#This Row],[Affected WTG]],'Basic Data'!$A$3:$E$56,5,0),"")</f>
        <v>2.564102564102564E-2</v>
      </c>
      <c r="K679" s="158" t="s">
        <v>466</v>
      </c>
      <c r="L679" s="247" t="str">
        <f>VLOOKUP(K679,'Basic Data'!T:U,2,0)</f>
        <v>Manual Stop - Safety Related</v>
      </c>
      <c r="M679" s="135" t="s">
        <v>467</v>
      </c>
      <c r="N679" s="256">
        <v>0</v>
      </c>
      <c r="O679" s="256">
        <v>0.99930555555555556</v>
      </c>
      <c r="P679" s="256">
        <v>0.99930555555555556</v>
      </c>
      <c r="Q679" s="253">
        <f>IF(WTG_BD[[#This Row],[Work Start TimeStamp]]="","",(WTG_BD[[#This Row],[Work Start TimeStamp]]-WTG_BD[[#This Row],[Fault Start TimeStamp]])*24)</f>
        <v>23.983333333333334</v>
      </c>
      <c r="R679" s="253">
        <f>(WTG_BD[[#This Row],[Fault Clearance time]]-WTG_BD[[#This Row],[Work Start TimeStamp]])*24</f>
        <v>0</v>
      </c>
      <c r="S679" s="253">
        <f>(WTG_BD[[#This Row],[Fault Clearance time]]-WTG_BD[[#This Row],[Fault Start TimeStamp]])*24</f>
        <v>23.983333333333334</v>
      </c>
      <c r="T679" s="135" t="s">
        <v>468</v>
      </c>
      <c r="U679" s="244" t="s">
        <v>469</v>
      </c>
      <c r="V679" s="246">
        <f>WTG_BD[[#This Row],[Breakdown Time]]*(1/39)</f>
        <v>0.61495726495726499</v>
      </c>
      <c r="W679" s="244" t="s">
        <v>141</v>
      </c>
      <c r="X679" s="250">
        <v>19238.630555555555</v>
      </c>
      <c r="Y679" s="135" t="s">
        <v>470</v>
      </c>
      <c r="Z679" s="135" t="s">
        <v>471</v>
      </c>
      <c r="AA679" s="135">
        <v>19252</v>
      </c>
      <c r="AB679" s="249">
        <f>(WTG_BD[[#This Row],[Paired WTG Generation for loss calculation.]]/24)*WTG_BD[[#This Row],[Breakdown Time]]</f>
        <v>19238.630555555555</v>
      </c>
      <c r="AC679" s="135"/>
      <c r="AD679" s="245"/>
      <c r="AE679" s="3"/>
    </row>
    <row r="680" spans="1:31">
      <c r="A680" s="241">
        <f t="shared" si="22"/>
        <v>679</v>
      </c>
      <c r="B680" s="255">
        <v>45809</v>
      </c>
      <c r="C680" s="252">
        <v>2025</v>
      </c>
      <c r="D680" s="252">
        <v>2025</v>
      </c>
      <c r="E680" s="251">
        <f t="shared" si="21"/>
        <v>45809</v>
      </c>
      <c r="F680" s="252" t="s">
        <v>465</v>
      </c>
      <c r="G680" s="248" t="s">
        <v>142</v>
      </c>
      <c r="H680" s="242" t="str">
        <f>IFERROR(VLOOKUP(WTG_BD[[#This Row],[Affected WTG]],'Basic Data'!$A$3:$E$56,2,0),"")</f>
        <v>PWEGPL</v>
      </c>
      <c r="I680" s="242" t="str">
        <f>IFERROR(VLOOKUP(WTG_BD[[#This Row],[Affected WTG]],'Basic Data'!$A$3:$E$56,3,0),"")</f>
        <v>MSEDCL</v>
      </c>
      <c r="J680" s="243">
        <f>IFERROR(VLOOKUP(WTG_BD[[#This Row],[Affected WTG]],'Basic Data'!$A$3:$E$56,5,0),"")</f>
        <v>2.564102564102564E-2</v>
      </c>
      <c r="K680" s="158" t="s">
        <v>466</v>
      </c>
      <c r="L680" s="247" t="str">
        <f>VLOOKUP(K680,'Basic Data'!T:U,2,0)</f>
        <v>Manual Stop - Safety Related</v>
      </c>
      <c r="M680" s="135" t="s">
        <v>467</v>
      </c>
      <c r="N680" s="256">
        <v>0</v>
      </c>
      <c r="O680" s="256">
        <v>0.99930555555555556</v>
      </c>
      <c r="P680" s="256">
        <v>0.99930555555555556</v>
      </c>
      <c r="Q680" s="253">
        <f>IF(WTG_BD[[#This Row],[Work Start TimeStamp]]="","",(WTG_BD[[#This Row],[Work Start TimeStamp]]-WTG_BD[[#This Row],[Fault Start TimeStamp]])*24)</f>
        <v>23.983333333333334</v>
      </c>
      <c r="R680" s="253">
        <f>(WTG_BD[[#This Row],[Fault Clearance time]]-WTG_BD[[#This Row],[Work Start TimeStamp]])*24</f>
        <v>0</v>
      </c>
      <c r="S680" s="253">
        <f>(WTG_BD[[#This Row],[Fault Clearance time]]-WTG_BD[[#This Row],[Fault Start TimeStamp]])*24</f>
        <v>23.983333333333334</v>
      </c>
      <c r="T680" s="135" t="s">
        <v>468</v>
      </c>
      <c r="U680" s="244" t="s">
        <v>469</v>
      </c>
      <c r="V680" s="246">
        <f>WTG_BD[[#This Row],[Breakdown Time]]*(1/39)</f>
        <v>0.61495726495726499</v>
      </c>
      <c r="W680" s="244" t="s">
        <v>141</v>
      </c>
      <c r="X680" s="250">
        <v>19238.630555555555</v>
      </c>
      <c r="Y680" s="135" t="s">
        <v>470</v>
      </c>
      <c r="Z680" s="135" t="s">
        <v>471</v>
      </c>
      <c r="AA680" s="135">
        <v>19252</v>
      </c>
      <c r="AB680" s="249">
        <f>(WTG_BD[[#This Row],[Paired WTG Generation for loss calculation.]]/24)*WTG_BD[[#This Row],[Breakdown Time]]</f>
        <v>19238.630555555555</v>
      </c>
      <c r="AC680" s="135"/>
      <c r="AD680" s="245"/>
      <c r="AE680" s="3"/>
    </row>
    <row r="681" spans="1:31">
      <c r="A681" s="241">
        <f t="shared" si="22"/>
        <v>680</v>
      </c>
      <c r="B681" s="255">
        <v>45809</v>
      </c>
      <c r="C681" s="252">
        <v>2025</v>
      </c>
      <c r="D681" s="252">
        <v>2025</v>
      </c>
      <c r="E681" s="251">
        <f t="shared" si="21"/>
        <v>45809</v>
      </c>
      <c r="F681" s="252" t="s">
        <v>465</v>
      </c>
      <c r="G681" s="248" t="s">
        <v>123</v>
      </c>
      <c r="H681" s="242" t="str">
        <f>IFERROR(VLOOKUP(WTG_BD[[#This Row],[Affected WTG]],'Basic Data'!$A$3:$E$56,2,0),"")</f>
        <v>PWEGPL</v>
      </c>
      <c r="I681" s="242" t="str">
        <f>IFERROR(VLOOKUP(WTG_BD[[#This Row],[Affected WTG]],'Basic Data'!$A$3:$E$56,3,0),"")</f>
        <v>MSEDCL</v>
      </c>
      <c r="J681" s="243">
        <f>IFERROR(VLOOKUP(WTG_BD[[#This Row],[Affected WTG]],'Basic Data'!$A$3:$E$56,5,0),"")</f>
        <v>2.564102564102564E-2</v>
      </c>
      <c r="K681" s="158" t="s">
        <v>549</v>
      </c>
      <c r="L681" s="247" t="str">
        <f>VLOOKUP(K681,'Basic Data'!T:U,2,0)</f>
        <v>Manual Stop - Preventive Maintenance Activity</v>
      </c>
      <c r="M681" s="135" t="s">
        <v>550</v>
      </c>
      <c r="N681" s="256">
        <v>0.46875</v>
      </c>
      <c r="O681" s="256">
        <v>0.46875</v>
      </c>
      <c r="P681" s="256">
        <v>0.75694444444444442</v>
      </c>
      <c r="Q681" s="253">
        <f>IF(WTG_BD[[#This Row],[Work Start TimeStamp]]="","",(WTG_BD[[#This Row],[Work Start TimeStamp]]-WTG_BD[[#This Row],[Fault Start TimeStamp]])*24)</f>
        <v>0</v>
      </c>
      <c r="R681" s="253">
        <f>(WTG_BD[[#This Row],[Fault Clearance time]]-WTG_BD[[#This Row],[Work Start TimeStamp]])*24</f>
        <v>6.9166666666666661</v>
      </c>
      <c r="S681" s="253">
        <f>(WTG_BD[[#This Row],[Fault Clearance time]]-WTG_BD[[#This Row],[Fault Start TimeStamp]])*24</f>
        <v>6.9166666666666661</v>
      </c>
      <c r="T681" s="135" t="s">
        <v>571</v>
      </c>
      <c r="U681" s="244" t="s">
        <v>474</v>
      </c>
      <c r="V681" s="246">
        <f>WTG_BD[[#This Row],[Breakdown Time]]*(1/39)</f>
        <v>0.17735042735042733</v>
      </c>
      <c r="W681" s="244" t="s">
        <v>126</v>
      </c>
      <c r="X681" s="250">
        <v>6662.7673611111104</v>
      </c>
      <c r="Y681" s="135" t="s">
        <v>470</v>
      </c>
      <c r="Z681" s="135" t="s">
        <v>552</v>
      </c>
      <c r="AA681" s="135">
        <v>23119</v>
      </c>
      <c r="AB681" s="249">
        <f>(WTG_BD[[#This Row],[Paired WTG Generation for loss calculation.]]/24)*WTG_BD[[#This Row],[Breakdown Time]]</f>
        <v>6662.7673611111104</v>
      </c>
      <c r="AC681" s="135"/>
      <c r="AD681" s="245"/>
      <c r="AE681" s="3"/>
    </row>
    <row r="682" spans="1:31">
      <c r="A682" s="241">
        <f t="shared" si="22"/>
        <v>681</v>
      </c>
      <c r="B682" s="255">
        <v>45809</v>
      </c>
      <c r="C682" s="252">
        <v>2025</v>
      </c>
      <c r="D682" s="252">
        <v>2025</v>
      </c>
      <c r="E682" s="251">
        <f t="shared" si="21"/>
        <v>45809</v>
      </c>
      <c r="F682" s="252" t="s">
        <v>465</v>
      </c>
      <c r="G682" s="248" t="s">
        <v>136</v>
      </c>
      <c r="H682" s="242" t="str">
        <f>IFERROR(VLOOKUP(WTG_BD[[#This Row],[Affected WTG]],'Basic Data'!$A$3:$E$56,2,0),"")</f>
        <v>PWEGPL</v>
      </c>
      <c r="I682" s="242" t="str">
        <f>IFERROR(VLOOKUP(WTG_BD[[#This Row],[Affected WTG]],'Basic Data'!$A$3:$E$56,3,0),"")</f>
        <v>MSEDCL</v>
      </c>
      <c r="J682" s="243">
        <f>IFERROR(VLOOKUP(WTG_BD[[#This Row],[Affected WTG]],'Basic Data'!$A$3:$E$56,5,0),"")</f>
        <v>2.564102564102564E-2</v>
      </c>
      <c r="K682" s="158">
        <v>5210</v>
      </c>
      <c r="L682" s="247" t="str">
        <f>VLOOKUP(K682,'Basic Data'!T:U,2,0)</f>
        <v>Failure Of The Contactor's Rotor Power</v>
      </c>
      <c r="M682" s="135" t="s">
        <v>472</v>
      </c>
      <c r="N682" s="256">
        <v>0.5229166666666667</v>
      </c>
      <c r="O682" s="256">
        <v>0.54236111111111107</v>
      </c>
      <c r="P682" s="256">
        <v>0.54305555555555551</v>
      </c>
      <c r="Q682" s="253">
        <f>IF(WTG_BD[[#This Row],[Work Start TimeStamp]]="","",(WTG_BD[[#This Row],[Work Start TimeStamp]]-WTG_BD[[#This Row],[Fault Start TimeStamp]])*24)</f>
        <v>0.46666666666666501</v>
      </c>
      <c r="R682" s="253">
        <f>(WTG_BD[[#This Row],[Fault Clearance time]]-WTG_BD[[#This Row],[Work Start TimeStamp]])*24</f>
        <v>1.6666666666666607E-2</v>
      </c>
      <c r="S682" s="253">
        <f>(WTG_BD[[#This Row],[Fault Clearance time]]-WTG_BD[[#This Row],[Fault Start TimeStamp]])*24</f>
        <v>0.48333333333333162</v>
      </c>
      <c r="T682" s="135" t="s">
        <v>473</v>
      </c>
      <c r="U682" s="244" t="s">
        <v>474</v>
      </c>
      <c r="V682" s="246">
        <f>WTG_BD[[#This Row],[Breakdown Time]]*(1/39)</f>
        <v>1.2393162393162349E-2</v>
      </c>
      <c r="W682" s="244" t="s">
        <v>135</v>
      </c>
      <c r="X682" s="250">
        <v>387.5326388888875</v>
      </c>
      <c r="Y682" s="135" t="s">
        <v>470</v>
      </c>
      <c r="Z682" s="135" t="s">
        <v>475</v>
      </c>
      <c r="AA682" s="135">
        <v>19243</v>
      </c>
      <c r="AB682" s="249">
        <f>(WTG_BD[[#This Row],[Paired WTG Generation for loss calculation.]]/24)*WTG_BD[[#This Row],[Breakdown Time]]</f>
        <v>387.5326388888875</v>
      </c>
      <c r="AC682" s="135"/>
      <c r="AD682" s="245"/>
      <c r="AE682" s="3"/>
    </row>
    <row r="683" spans="1:31">
      <c r="A683" s="241">
        <f t="shared" si="22"/>
        <v>682</v>
      </c>
      <c r="B683" s="255">
        <v>45809</v>
      </c>
      <c r="C683" s="252">
        <v>2025</v>
      </c>
      <c r="D683" s="252">
        <v>2025</v>
      </c>
      <c r="E683" s="251">
        <f t="shared" si="21"/>
        <v>45809</v>
      </c>
      <c r="F683" s="252" t="s">
        <v>465</v>
      </c>
      <c r="G683" s="248" t="s">
        <v>137</v>
      </c>
      <c r="H683" s="242" t="str">
        <f>IFERROR(VLOOKUP(WTG_BD[[#This Row],[Affected WTG]],'Basic Data'!$A$3:$E$56,2,0),"")</f>
        <v>PWEGPL</v>
      </c>
      <c r="I683" s="242" t="str">
        <f>IFERROR(VLOOKUP(WTG_BD[[#This Row],[Affected WTG]],'Basic Data'!$A$3:$E$56,3,0),"")</f>
        <v>MSEDCL</v>
      </c>
      <c r="J683" s="243">
        <f>IFERROR(VLOOKUP(WTG_BD[[#This Row],[Affected WTG]],'Basic Data'!$A$3:$E$56,5,0),"")</f>
        <v>2.564102564102564E-2</v>
      </c>
      <c r="K683" s="158">
        <v>5210</v>
      </c>
      <c r="L683" s="247" t="str">
        <f>VLOOKUP(K683,'Basic Data'!T:U,2,0)</f>
        <v>Failure Of The Contactor's Rotor Power</v>
      </c>
      <c r="M683" s="135" t="s">
        <v>472</v>
      </c>
      <c r="N683" s="256">
        <v>0.5229166666666667</v>
      </c>
      <c r="O683" s="256">
        <v>0.55208333333333337</v>
      </c>
      <c r="P683" s="256">
        <v>0.55277777777777781</v>
      </c>
      <c r="Q683" s="253">
        <f>IF(WTG_BD[[#This Row],[Work Start TimeStamp]]="","",(WTG_BD[[#This Row],[Work Start TimeStamp]]-WTG_BD[[#This Row],[Fault Start TimeStamp]])*24)</f>
        <v>0.70000000000000018</v>
      </c>
      <c r="R683" s="253">
        <f>(WTG_BD[[#This Row],[Fault Clearance time]]-WTG_BD[[#This Row],[Work Start TimeStamp]])*24</f>
        <v>1.6666666666666607E-2</v>
      </c>
      <c r="S683" s="253">
        <f>(WTG_BD[[#This Row],[Fault Clearance time]]-WTG_BD[[#This Row],[Fault Start TimeStamp]])*24</f>
        <v>0.71666666666666679</v>
      </c>
      <c r="T683" s="135" t="s">
        <v>473</v>
      </c>
      <c r="U683" s="244" t="s">
        <v>474</v>
      </c>
      <c r="V683" s="246">
        <f>WTG_BD[[#This Row],[Breakdown Time]]*(1/39)</f>
        <v>1.837606837606838E-2</v>
      </c>
      <c r="W683" s="244" t="s">
        <v>119</v>
      </c>
      <c r="X683" s="250">
        <v>574.02013888888905</v>
      </c>
      <c r="Y683" s="135" t="s">
        <v>470</v>
      </c>
      <c r="Z683" s="135" t="s">
        <v>475</v>
      </c>
      <c r="AA683" s="135">
        <v>19223</v>
      </c>
      <c r="AB683" s="249">
        <f>(WTG_BD[[#This Row],[Paired WTG Generation for loss calculation.]]/24)*WTG_BD[[#This Row],[Breakdown Time]]</f>
        <v>574.02013888888905</v>
      </c>
      <c r="AC683" s="135"/>
      <c r="AD683" s="245"/>
      <c r="AE683" s="3"/>
    </row>
    <row r="684" spans="1:31">
      <c r="A684" s="241">
        <f t="shared" si="22"/>
        <v>683</v>
      </c>
      <c r="B684" s="255">
        <v>45809</v>
      </c>
      <c r="C684" s="252">
        <v>2025</v>
      </c>
      <c r="D684" s="252">
        <v>2025</v>
      </c>
      <c r="E684" s="251">
        <f t="shared" si="21"/>
        <v>45809</v>
      </c>
      <c r="F684" s="252" t="s">
        <v>465</v>
      </c>
      <c r="G684" s="248" t="s">
        <v>138</v>
      </c>
      <c r="H684" s="242" t="str">
        <f>IFERROR(VLOOKUP(WTG_BD[[#This Row],[Affected WTG]],'Basic Data'!$A$3:$E$56,2,0),"")</f>
        <v>PWEGPL</v>
      </c>
      <c r="I684" s="242" t="str">
        <f>IFERROR(VLOOKUP(WTG_BD[[#This Row],[Affected WTG]],'Basic Data'!$A$3:$E$56,3,0),"")</f>
        <v>MSEDCL</v>
      </c>
      <c r="J684" s="243">
        <f>IFERROR(VLOOKUP(WTG_BD[[#This Row],[Affected WTG]],'Basic Data'!$A$3:$E$56,5,0),"")</f>
        <v>2.564102564102564E-2</v>
      </c>
      <c r="K684" s="158">
        <v>222</v>
      </c>
      <c r="L684" s="247" t="str">
        <f>VLOOKUP(K684,'Basic Data'!T:U,2,0)</f>
        <v>Very Low Pressure On Hydraulic Unit</v>
      </c>
      <c r="M684" s="135" t="s">
        <v>472</v>
      </c>
      <c r="N684" s="256">
        <v>0.5229166666666667</v>
      </c>
      <c r="O684" s="256">
        <v>0.54861111111111116</v>
      </c>
      <c r="P684" s="256">
        <v>0.5493055555555556</v>
      </c>
      <c r="Q684" s="253">
        <f>IF(WTG_BD[[#This Row],[Work Start TimeStamp]]="","",(WTG_BD[[#This Row],[Work Start TimeStamp]]-WTG_BD[[#This Row],[Fault Start TimeStamp]])*24)</f>
        <v>0.61666666666666714</v>
      </c>
      <c r="R684" s="253">
        <f>(WTG_BD[[#This Row],[Fault Clearance time]]-WTG_BD[[#This Row],[Work Start TimeStamp]])*24</f>
        <v>1.6666666666666607E-2</v>
      </c>
      <c r="S684" s="253">
        <f>(WTG_BD[[#This Row],[Fault Clearance time]]-WTG_BD[[#This Row],[Fault Start TimeStamp]])*24</f>
        <v>0.63333333333333375</v>
      </c>
      <c r="T684" s="135" t="s">
        <v>473</v>
      </c>
      <c r="U684" s="244" t="s">
        <v>474</v>
      </c>
      <c r="V684" s="246">
        <f>WTG_BD[[#This Row],[Breakdown Time]]*(1/39)</f>
        <v>1.6239316239316251E-2</v>
      </c>
      <c r="W684" s="244" t="s">
        <v>140</v>
      </c>
      <c r="X684" s="250">
        <v>507.85416666666703</v>
      </c>
      <c r="Y684" s="135" t="s">
        <v>470</v>
      </c>
      <c r="Z684" s="135" t="s">
        <v>475</v>
      </c>
      <c r="AA684" s="135">
        <v>19245</v>
      </c>
      <c r="AB684" s="249">
        <f>(WTG_BD[[#This Row],[Paired WTG Generation for loss calculation.]]/24)*WTG_BD[[#This Row],[Breakdown Time]]</f>
        <v>507.85416666666703</v>
      </c>
      <c r="AC684" s="135"/>
      <c r="AD684" s="245"/>
      <c r="AE684" s="3"/>
    </row>
    <row r="685" spans="1:31">
      <c r="A685" s="241">
        <f t="shared" si="22"/>
        <v>684</v>
      </c>
      <c r="B685" s="255">
        <v>45810</v>
      </c>
      <c r="C685" s="252">
        <v>2025</v>
      </c>
      <c r="D685" s="252">
        <v>2025</v>
      </c>
      <c r="E685" s="251">
        <f t="shared" si="21"/>
        <v>45809</v>
      </c>
      <c r="F685" s="252" t="s">
        <v>465</v>
      </c>
      <c r="G685" s="248" t="s">
        <v>144</v>
      </c>
      <c r="H685" s="242" t="str">
        <f>IFERROR(VLOOKUP(WTG_BD[[#This Row],[Affected WTG]],'Basic Data'!$A$3:$E$56,2,0),"")</f>
        <v>PWEGPL</v>
      </c>
      <c r="I685" s="242" t="str">
        <f>IFERROR(VLOOKUP(WTG_BD[[#This Row],[Affected WTG]],'Basic Data'!$A$3:$E$56,3,0),"")</f>
        <v>MSEDCL</v>
      </c>
      <c r="J685" s="243">
        <f>IFERROR(VLOOKUP(WTG_BD[[#This Row],[Affected WTG]],'Basic Data'!$A$3:$E$56,5,0),"")</f>
        <v>2.564102564102564E-2</v>
      </c>
      <c r="K685" s="158" t="s">
        <v>466</v>
      </c>
      <c r="L685" s="247" t="str">
        <f>VLOOKUP(K685,'Basic Data'!T:U,2,0)</f>
        <v>Manual Stop - Safety Related</v>
      </c>
      <c r="M685" s="135" t="s">
        <v>467</v>
      </c>
      <c r="N685" s="256">
        <v>0</v>
      </c>
      <c r="O685" s="256">
        <v>0.99930555555555556</v>
      </c>
      <c r="P685" s="256">
        <v>0.99930555555555556</v>
      </c>
      <c r="Q685" s="253">
        <f>IF(WTG_BD[[#This Row],[Work Start TimeStamp]]="","",(WTG_BD[[#This Row],[Work Start TimeStamp]]-WTG_BD[[#This Row],[Fault Start TimeStamp]])*24)</f>
        <v>23.983333333333334</v>
      </c>
      <c r="R685" s="253">
        <f>(WTG_BD[[#This Row],[Fault Clearance time]]-WTG_BD[[#This Row],[Work Start TimeStamp]])*24</f>
        <v>0</v>
      </c>
      <c r="S685" s="253">
        <f>(WTG_BD[[#This Row],[Fault Clearance time]]-WTG_BD[[#This Row],[Fault Start TimeStamp]])*24</f>
        <v>23.983333333333334</v>
      </c>
      <c r="T685" s="135" t="s">
        <v>468</v>
      </c>
      <c r="U685" s="244" t="s">
        <v>469</v>
      </c>
      <c r="V685" s="246">
        <f>WTG_BD[[#This Row],[Breakdown Time]]*(1/39)</f>
        <v>0.61495726495726499</v>
      </c>
      <c r="W685" s="244" t="s">
        <v>141</v>
      </c>
      <c r="X685" s="250">
        <v>10259.870138888889</v>
      </c>
      <c r="Y685" s="135" t="s">
        <v>470</v>
      </c>
      <c r="Z685" s="135" t="s">
        <v>471</v>
      </c>
      <c r="AA685" s="135">
        <v>10267</v>
      </c>
      <c r="AB685" s="249">
        <f>(WTG_BD[[#This Row],[Paired WTG Generation for loss calculation.]]/24)*WTG_BD[[#This Row],[Breakdown Time]]</f>
        <v>10259.870138888889</v>
      </c>
      <c r="AC685" s="135"/>
      <c r="AD685" s="245"/>
      <c r="AE685" s="3"/>
    </row>
    <row r="686" spans="1:31">
      <c r="A686" s="241">
        <f t="shared" si="22"/>
        <v>685</v>
      </c>
      <c r="B686" s="255">
        <v>45810</v>
      </c>
      <c r="C686" s="252">
        <v>2025</v>
      </c>
      <c r="D686" s="252">
        <v>2025</v>
      </c>
      <c r="E686" s="251">
        <f t="shared" si="21"/>
        <v>45809</v>
      </c>
      <c r="F686" s="252" t="s">
        <v>465</v>
      </c>
      <c r="G686" s="248" t="s">
        <v>142</v>
      </c>
      <c r="H686" s="242" t="str">
        <f>IFERROR(VLOOKUP(WTG_BD[[#This Row],[Affected WTG]],'Basic Data'!$A$3:$E$56,2,0),"")</f>
        <v>PWEGPL</v>
      </c>
      <c r="I686" s="242" t="str">
        <f>IFERROR(VLOOKUP(WTG_BD[[#This Row],[Affected WTG]],'Basic Data'!$A$3:$E$56,3,0),"")</f>
        <v>MSEDCL</v>
      </c>
      <c r="J686" s="243">
        <f>IFERROR(VLOOKUP(WTG_BD[[#This Row],[Affected WTG]],'Basic Data'!$A$3:$E$56,5,0),"")</f>
        <v>2.564102564102564E-2</v>
      </c>
      <c r="K686" s="158" t="s">
        <v>466</v>
      </c>
      <c r="L686" s="247" t="str">
        <f>VLOOKUP(K686,'Basic Data'!T:U,2,0)</f>
        <v>Manual Stop - Safety Related</v>
      </c>
      <c r="M686" s="135" t="s">
        <v>467</v>
      </c>
      <c r="N686" s="256">
        <v>0</v>
      </c>
      <c r="O686" s="256">
        <v>0.99930555555555556</v>
      </c>
      <c r="P686" s="256">
        <v>0.99930555555555556</v>
      </c>
      <c r="Q686" s="253">
        <f>IF(WTG_BD[[#This Row],[Work Start TimeStamp]]="","",(WTG_BD[[#This Row],[Work Start TimeStamp]]-WTG_BD[[#This Row],[Fault Start TimeStamp]])*24)</f>
        <v>23.983333333333334</v>
      </c>
      <c r="R686" s="253">
        <f>(WTG_BD[[#This Row],[Fault Clearance time]]-WTG_BD[[#This Row],[Work Start TimeStamp]])*24</f>
        <v>0</v>
      </c>
      <c r="S686" s="253">
        <f>(WTG_BD[[#This Row],[Fault Clearance time]]-WTG_BD[[#This Row],[Fault Start TimeStamp]])*24</f>
        <v>23.983333333333334</v>
      </c>
      <c r="T686" s="135" t="s">
        <v>468</v>
      </c>
      <c r="U686" s="244" t="s">
        <v>469</v>
      </c>
      <c r="V686" s="246">
        <f>WTG_BD[[#This Row],[Breakdown Time]]*(1/39)</f>
        <v>0.61495726495726499</v>
      </c>
      <c r="W686" s="244" t="s">
        <v>141</v>
      </c>
      <c r="X686" s="250">
        <v>10259.870138888889</v>
      </c>
      <c r="Y686" s="135" t="s">
        <v>470</v>
      </c>
      <c r="Z686" s="135" t="s">
        <v>471</v>
      </c>
      <c r="AA686" s="135">
        <v>10267</v>
      </c>
      <c r="AB686" s="249">
        <f>(WTG_BD[[#This Row],[Paired WTG Generation for loss calculation.]]/24)*WTG_BD[[#This Row],[Breakdown Time]]</f>
        <v>10259.870138888889</v>
      </c>
      <c r="AC686" s="135"/>
      <c r="AD686" s="245"/>
      <c r="AE686" s="3"/>
    </row>
    <row r="687" spans="1:31">
      <c r="A687" s="241">
        <f t="shared" si="22"/>
        <v>686</v>
      </c>
      <c r="B687" s="255">
        <v>45810</v>
      </c>
      <c r="C687" s="252">
        <v>2025</v>
      </c>
      <c r="D687" s="252">
        <v>2025</v>
      </c>
      <c r="E687" s="251">
        <f t="shared" si="21"/>
        <v>45809</v>
      </c>
      <c r="F687" s="252" t="s">
        <v>465</v>
      </c>
      <c r="G687" s="248" t="s">
        <v>118</v>
      </c>
      <c r="H687" s="242" t="str">
        <f>IFERROR(VLOOKUP(WTG_BD[[#This Row],[Affected WTG]],'Basic Data'!$A$3:$E$56,2,0),"")</f>
        <v>PWEGPL</v>
      </c>
      <c r="I687" s="242" t="str">
        <f>IFERROR(VLOOKUP(WTG_BD[[#This Row],[Affected WTG]],'Basic Data'!$A$3:$E$56,3,0),"")</f>
        <v>MSEDCL</v>
      </c>
      <c r="J687" s="243">
        <f>IFERROR(VLOOKUP(WTG_BD[[#This Row],[Affected WTG]],'Basic Data'!$A$3:$E$56,5,0),"")</f>
        <v>2.564102564102564E-2</v>
      </c>
      <c r="K687" s="158">
        <v>205</v>
      </c>
      <c r="L687" s="247" t="str">
        <f>VLOOKUP(K687,'Basic Data'!T:U,2,0)</f>
        <v>Low Level Hydraulic Group Refrigeration Oil</v>
      </c>
      <c r="M687" s="135" t="s">
        <v>472</v>
      </c>
      <c r="N687" s="256">
        <v>0.4375</v>
      </c>
      <c r="O687" s="256">
        <v>0.46111111111111114</v>
      </c>
      <c r="P687" s="256">
        <v>0.55555555555555558</v>
      </c>
      <c r="Q687" s="253">
        <f>IF(WTG_BD[[#This Row],[Work Start TimeStamp]]="","",(WTG_BD[[#This Row],[Work Start TimeStamp]]-WTG_BD[[#This Row],[Fault Start TimeStamp]])*24)</f>
        <v>0.56666666666666732</v>
      </c>
      <c r="R687" s="253">
        <f>(WTG_BD[[#This Row],[Fault Clearance time]]-WTG_BD[[#This Row],[Work Start TimeStamp]])*24</f>
        <v>2.2666666666666666</v>
      </c>
      <c r="S687" s="253">
        <f>(WTG_BD[[#This Row],[Fault Clearance time]]-WTG_BD[[#This Row],[Fault Start TimeStamp]])*24</f>
        <v>2.8333333333333339</v>
      </c>
      <c r="T687" s="135" t="s">
        <v>629</v>
      </c>
      <c r="U687" s="244" t="s">
        <v>474</v>
      </c>
      <c r="V687" s="246">
        <f>WTG_BD[[#This Row],[Breakdown Time]]*(1/39)</f>
        <v>7.2649572649572669E-2</v>
      </c>
      <c r="W687" s="244" t="s">
        <v>117</v>
      </c>
      <c r="X687" s="250">
        <v>1228.0138888888891</v>
      </c>
      <c r="Y687" s="135" t="s">
        <v>470</v>
      </c>
      <c r="Z687" s="135" t="s">
        <v>475</v>
      </c>
      <c r="AA687" s="135">
        <v>10402</v>
      </c>
      <c r="AB687" s="249">
        <f>(WTG_BD[[#This Row],[Paired WTG Generation for loss calculation.]]/24)*WTG_BD[[#This Row],[Breakdown Time]]</f>
        <v>1228.0138888888891</v>
      </c>
      <c r="AC687" s="135"/>
      <c r="AD687" s="245"/>
      <c r="AE687" s="3"/>
    </row>
    <row r="688" spans="1:31">
      <c r="A688" s="241">
        <f t="shared" si="22"/>
        <v>687</v>
      </c>
      <c r="B688" s="255">
        <v>45810</v>
      </c>
      <c r="C688" s="252">
        <v>2025</v>
      </c>
      <c r="D688" s="252">
        <v>2025</v>
      </c>
      <c r="E688" s="251">
        <f t="shared" si="21"/>
        <v>45809</v>
      </c>
      <c r="F688" s="252" t="s">
        <v>465</v>
      </c>
      <c r="G688" s="248" t="s">
        <v>122</v>
      </c>
      <c r="H688" s="242" t="str">
        <f>IFERROR(VLOOKUP(WTG_BD[[#This Row],[Affected WTG]],'Basic Data'!$A$3:$E$56,2,0),"")</f>
        <v>PWEGPL</v>
      </c>
      <c r="I688" s="242" t="str">
        <f>IFERROR(VLOOKUP(WTG_BD[[#This Row],[Affected WTG]],'Basic Data'!$A$3:$E$56,3,0),"")</f>
        <v>MSEDCL</v>
      </c>
      <c r="J688" s="243">
        <f>IFERROR(VLOOKUP(WTG_BD[[#This Row],[Affected WTG]],'Basic Data'!$A$3:$E$56,5,0),"")</f>
        <v>2.564102564102564E-2</v>
      </c>
      <c r="K688" s="158" t="s">
        <v>549</v>
      </c>
      <c r="L688" s="247" t="str">
        <f>VLOOKUP(K688,'Basic Data'!T:U,2,0)</f>
        <v>Manual Stop - Preventive Maintenance Activity</v>
      </c>
      <c r="M688" s="135" t="s">
        <v>550</v>
      </c>
      <c r="N688" s="256">
        <v>0.47222222222222221</v>
      </c>
      <c r="O688" s="256">
        <v>0.47222222222222221</v>
      </c>
      <c r="P688" s="256">
        <v>0.73958333333333337</v>
      </c>
      <c r="Q688" s="253">
        <f>IF(WTG_BD[[#This Row],[Work Start TimeStamp]]="","",(WTG_BD[[#This Row],[Work Start TimeStamp]]-WTG_BD[[#This Row],[Fault Start TimeStamp]])*24)</f>
        <v>0</v>
      </c>
      <c r="R688" s="253">
        <f>(WTG_BD[[#This Row],[Fault Clearance time]]-WTG_BD[[#This Row],[Work Start TimeStamp]])*24</f>
        <v>6.4166666666666679</v>
      </c>
      <c r="S688" s="253">
        <f>(WTG_BD[[#This Row],[Fault Clearance time]]-WTG_BD[[#This Row],[Fault Start TimeStamp]])*24</f>
        <v>6.4166666666666679</v>
      </c>
      <c r="T688" s="135" t="s">
        <v>571</v>
      </c>
      <c r="U688" s="244" t="s">
        <v>474</v>
      </c>
      <c r="V688" s="246">
        <f>WTG_BD[[#This Row],[Breakdown Time]]*(1/39)</f>
        <v>0.16452991452991456</v>
      </c>
      <c r="W688" s="244" t="s">
        <v>117</v>
      </c>
      <c r="X688" s="250">
        <v>2781.0902777777783</v>
      </c>
      <c r="Y688" s="135" t="s">
        <v>470</v>
      </c>
      <c r="Z688" s="135" t="s">
        <v>552</v>
      </c>
      <c r="AA688" s="135">
        <v>10402</v>
      </c>
      <c r="AB688" s="249">
        <f>(WTG_BD[[#This Row],[Paired WTG Generation for loss calculation.]]/24)*WTG_BD[[#This Row],[Breakdown Time]]</f>
        <v>2781.0902777777783</v>
      </c>
      <c r="AC688" s="135"/>
      <c r="AD688" s="245"/>
      <c r="AE688" s="3"/>
    </row>
    <row r="689" spans="1:31">
      <c r="A689" s="241">
        <f t="shared" si="22"/>
        <v>688</v>
      </c>
      <c r="B689" s="255">
        <v>45810</v>
      </c>
      <c r="C689" s="252">
        <v>2025</v>
      </c>
      <c r="D689" s="252">
        <v>2025</v>
      </c>
      <c r="E689" s="251">
        <f t="shared" si="21"/>
        <v>45809</v>
      </c>
      <c r="F689" s="252" t="s">
        <v>465</v>
      </c>
      <c r="G689" s="248" t="s">
        <v>134</v>
      </c>
      <c r="H689" s="242" t="str">
        <f>IFERROR(VLOOKUP(WTG_BD[[#This Row],[Affected WTG]],'Basic Data'!$A$3:$E$56,2,0),"")</f>
        <v>PWEGPL</v>
      </c>
      <c r="I689" s="242" t="str">
        <f>IFERROR(VLOOKUP(WTG_BD[[#This Row],[Affected WTG]],'Basic Data'!$A$3:$E$56,3,0),"")</f>
        <v>MSEDCL</v>
      </c>
      <c r="J689" s="243">
        <f>IFERROR(VLOOKUP(WTG_BD[[#This Row],[Affected WTG]],'Basic Data'!$A$3:$E$56,5,0),"")</f>
        <v>2.564102564102564E-2</v>
      </c>
      <c r="K689" s="158">
        <v>5203</v>
      </c>
      <c r="L689" s="247" t="str">
        <f>VLOOKUP(K689,'Basic Data'!T:U,2,0)</f>
        <v>Heating/Coolant Thermal Magnetic Failure</v>
      </c>
      <c r="M689" s="135" t="s">
        <v>472</v>
      </c>
      <c r="N689" s="256">
        <v>0.78819444444444442</v>
      </c>
      <c r="O689" s="256">
        <v>0.81805555555555554</v>
      </c>
      <c r="P689" s="256">
        <v>0.87569444444444444</v>
      </c>
      <c r="Q689" s="253">
        <f>IF(WTG_BD[[#This Row],[Work Start TimeStamp]]="","",(WTG_BD[[#This Row],[Work Start TimeStamp]]-WTG_BD[[#This Row],[Fault Start TimeStamp]])*24)</f>
        <v>0.71666666666666679</v>
      </c>
      <c r="R689" s="253">
        <f>(WTG_BD[[#This Row],[Fault Clearance time]]-WTG_BD[[#This Row],[Work Start TimeStamp]])*24</f>
        <v>1.3833333333333337</v>
      </c>
      <c r="S689" s="253">
        <f>(WTG_BD[[#This Row],[Fault Clearance time]]-WTG_BD[[#This Row],[Fault Start TimeStamp]])*24</f>
        <v>2.1000000000000005</v>
      </c>
      <c r="T689" s="135" t="s">
        <v>630</v>
      </c>
      <c r="U689" s="244" t="s">
        <v>474</v>
      </c>
      <c r="V689" s="246">
        <f>WTG_BD[[#This Row],[Breakdown Time]]*(1/39)</f>
        <v>5.3846153846153856E-2</v>
      </c>
      <c r="W689" s="244" t="s">
        <v>133</v>
      </c>
      <c r="X689" s="250">
        <v>1073.3625000000002</v>
      </c>
      <c r="Y689" s="135" t="s">
        <v>470</v>
      </c>
      <c r="Z689" s="135" t="s">
        <v>475</v>
      </c>
      <c r="AA689" s="135">
        <v>12267</v>
      </c>
      <c r="AB689" s="249">
        <f>(WTG_BD[[#This Row],[Paired WTG Generation for loss calculation.]]/24)*WTG_BD[[#This Row],[Breakdown Time]]</f>
        <v>1073.3625000000002</v>
      </c>
      <c r="AC689" s="135"/>
      <c r="AD689" s="245"/>
      <c r="AE689" s="3"/>
    </row>
    <row r="690" spans="1:31">
      <c r="A690" s="241">
        <f t="shared" si="22"/>
        <v>689</v>
      </c>
      <c r="B690" s="255">
        <v>45810</v>
      </c>
      <c r="C690" s="252">
        <v>2025</v>
      </c>
      <c r="D690" s="252">
        <v>2025</v>
      </c>
      <c r="E690" s="251">
        <f t="shared" si="21"/>
        <v>45809</v>
      </c>
      <c r="F690" s="252" t="s">
        <v>465</v>
      </c>
      <c r="G690" s="248" t="s">
        <v>146</v>
      </c>
      <c r="H690" s="242" t="str">
        <f>IFERROR(VLOOKUP(WTG_BD[[#This Row],[Affected WTG]],'Basic Data'!$A$3:$E$56,2,0),"")</f>
        <v>PWEGPL</v>
      </c>
      <c r="I690" s="242" t="str">
        <f>IFERROR(VLOOKUP(WTG_BD[[#This Row],[Affected WTG]],'Basic Data'!$A$3:$E$56,3,0),"")</f>
        <v>MSEDCL</v>
      </c>
      <c r="J690" s="243">
        <f>IFERROR(VLOOKUP(WTG_BD[[#This Row],[Affected WTG]],'Basic Data'!$A$3:$E$56,5,0),"")</f>
        <v>2.564102564102564E-2</v>
      </c>
      <c r="K690" s="158" t="s">
        <v>514</v>
      </c>
      <c r="L690" s="247" t="str">
        <f>VLOOKUP(K690,'Basic Data'!T:U,2,0)</f>
        <v>General Work Stoppage</v>
      </c>
      <c r="M690" s="135" t="s">
        <v>496</v>
      </c>
      <c r="N690" s="256">
        <v>0.47708333333333336</v>
      </c>
      <c r="O690" s="256">
        <v>0.47708333333333336</v>
      </c>
      <c r="P690" s="256">
        <v>0.52083333333333337</v>
      </c>
      <c r="Q690" s="253">
        <f>IF(WTG_BD[[#This Row],[Work Start TimeStamp]]="","",(WTG_BD[[#This Row],[Work Start TimeStamp]]-WTG_BD[[#This Row],[Fault Start TimeStamp]])*24)</f>
        <v>0</v>
      </c>
      <c r="R690" s="253">
        <f>(WTG_BD[[#This Row],[Fault Clearance time]]-WTG_BD[[#This Row],[Work Start TimeStamp]])*24</f>
        <v>1.0500000000000003</v>
      </c>
      <c r="S690" s="253">
        <f>(WTG_BD[[#This Row],[Fault Clearance time]]-WTG_BD[[#This Row],[Fault Start TimeStamp]])*24</f>
        <v>1.0500000000000003</v>
      </c>
      <c r="T690" s="135" t="s">
        <v>631</v>
      </c>
      <c r="U690" s="244" t="s">
        <v>474</v>
      </c>
      <c r="V690" s="246">
        <f>WTG_BD[[#This Row],[Breakdown Time]]*(1/39)</f>
        <v>2.6923076923076928E-2</v>
      </c>
      <c r="W690" s="244" t="s">
        <v>147</v>
      </c>
      <c r="X690" s="250">
        <v>398.51875000000013</v>
      </c>
      <c r="Y690" s="135" t="s">
        <v>470</v>
      </c>
      <c r="Z690" s="135" t="s">
        <v>498</v>
      </c>
      <c r="AA690" s="135">
        <v>9109</v>
      </c>
      <c r="AB690" s="249">
        <f>(WTG_BD[[#This Row],[Paired WTG Generation for loss calculation.]]/24)*WTG_BD[[#This Row],[Breakdown Time]]</f>
        <v>398.51875000000013</v>
      </c>
      <c r="AC690" s="135"/>
      <c r="AD690" s="245"/>
      <c r="AE690" s="3"/>
    </row>
    <row r="691" spans="1:31">
      <c r="A691" s="241">
        <f t="shared" si="22"/>
        <v>690</v>
      </c>
      <c r="B691" s="255">
        <v>45810</v>
      </c>
      <c r="C691" s="252">
        <v>2025</v>
      </c>
      <c r="D691" s="252">
        <v>2025</v>
      </c>
      <c r="E691" s="251">
        <f t="shared" si="21"/>
        <v>45809</v>
      </c>
      <c r="F691" s="252" t="s">
        <v>465</v>
      </c>
      <c r="G691" s="248" t="s">
        <v>148</v>
      </c>
      <c r="H691" s="242" t="str">
        <f>IFERROR(VLOOKUP(WTG_BD[[#This Row],[Affected WTG]],'Basic Data'!$A$3:$E$56,2,0),"")</f>
        <v>PWEGPL</v>
      </c>
      <c r="I691" s="242" t="str">
        <f>IFERROR(VLOOKUP(WTG_BD[[#This Row],[Affected WTG]],'Basic Data'!$A$3:$E$56,3,0),"")</f>
        <v>MSEDCL</v>
      </c>
      <c r="J691" s="243">
        <f>IFERROR(VLOOKUP(WTG_BD[[#This Row],[Affected WTG]],'Basic Data'!$A$3:$E$56,5,0),"")</f>
        <v>2.564102564102564E-2</v>
      </c>
      <c r="K691" s="158" t="s">
        <v>514</v>
      </c>
      <c r="L691" s="247" t="str">
        <f>VLOOKUP(K691,'Basic Data'!T:U,2,0)</f>
        <v>General Work Stoppage</v>
      </c>
      <c r="M691" s="135" t="s">
        <v>496</v>
      </c>
      <c r="N691" s="256">
        <v>0.54513888888888884</v>
      </c>
      <c r="O691" s="256">
        <v>0.54513888888888884</v>
      </c>
      <c r="P691" s="256">
        <v>0.58472222222222225</v>
      </c>
      <c r="Q691" s="253">
        <f>IF(WTG_BD[[#This Row],[Work Start TimeStamp]]="","",(WTG_BD[[#This Row],[Work Start TimeStamp]]-WTG_BD[[#This Row],[Fault Start TimeStamp]])*24)</f>
        <v>0</v>
      </c>
      <c r="R691" s="253">
        <f>(WTG_BD[[#This Row],[Fault Clearance time]]-WTG_BD[[#This Row],[Work Start TimeStamp]])*24</f>
        <v>0.95000000000000195</v>
      </c>
      <c r="S691" s="253">
        <f>(WTG_BD[[#This Row],[Fault Clearance time]]-WTG_BD[[#This Row],[Fault Start TimeStamp]])*24</f>
        <v>0.95000000000000195</v>
      </c>
      <c r="T691" s="135" t="s">
        <v>632</v>
      </c>
      <c r="U691" s="244" t="s">
        <v>474</v>
      </c>
      <c r="V691" s="246">
        <f>WTG_BD[[#This Row],[Breakdown Time]]*(1/39)</f>
        <v>2.4358974358974408E-2</v>
      </c>
      <c r="W691" s="244" t="s">
        <v>149</v>
      </c>
      <c r="X691" s="250">
        <v>360.64375000000075</v>
      </c>
      <c r="Y691" s="135" t="s">
        <v>470</v>
      </c>
      <c r="Z691" s="135" t="s">
        <v>498</v>
      </c>
      <c r="AA691" s="135">
        <v>9111</v>
      </c>
      <c r="AB691" s="249">
        <f>(WTG_BD[[#This Row],[Paired WTG Generation for loss calculation.]]/24)*WTG_BD[[#This Row],[Breakdown Time]]</f>
        <v>360.64375000000075</v>
      </c>
      <c r="AC691" s="135"/>
      <c r="AD691" s="245"/>
      <c r="AE691" s="3"/>
    </row>
    <row r="692" spans="1:31">
      <c r="A692" s="241">
        <f t="shared" si="22"/>
        <v>691</v>
      </c>
      <c r="B692" s="255">
        <v>45810</v>
      </c>
      <c r="C692" s="252">
        <v>2025</v>
      </c>
      <c r="D692" s="252">
        <v>2025</v>
      </c>
      <c r="E692" s="251">
        <f t="shared" si="21"/>
        <v>45809</v>
      </c>
      <c r="F692" s="252" t="s">
        <v>465</v>
      </c>
      <c r="G692" s="248" t="s">
        <v>146</v>
      </c>
      <c r="H692" s="242" t="str">
        <f>IFERROR(VLOOKUP(WTG_BD[[#This Row],[Affected WTG]],'Basic Data'!$A$3:$E$56,2,0),"")</f>
        <v>PWEGPL</v>
      </c>
      <c r="I692" s="242" t="str">
        <f>IFERROR(VLOOKUP(WTG_BD[[#This Row],[Affected WTG]],'Basic Data'!$A$3:$E$56,3,0),"")</f>
        <v>MSEDCL</v>
      </c>
      <c r="J692" s="243">
        <f>IFERROR(VLOOKUP(WTG_BD[[#This Row],[Affected WTG]],'Basic Data'!$A$3:$E$56,5,0),"")</f>
        <v>2.564102564102564E-2</v>
      </c>
      <c r="K692" s="158">
        <v>509</v>
      </c>
      <c r="L692" s="247" t="str">
        <f>VLOOKUP(K692,'Basic Data'!T:U,2,0)</f>
        <v>Generator Slipping Ring High Temperature</v>
      </c>
      <c r="M692" s="135" t="s">
        <v>472</v>
      </c>
      <c r="N692" s="256">
        <v>0.73958333333333337</v>
      </c>
      <c r="O692" s="256">
        <v>0.7583333333333333</v>
      </c>
      <c r="P692" s="256">
        <v>0.75902777777777775</v>
      </c>
      <c r="Q692" s="253">
        <f>IF(WTG_BD[[#This Row],[Work Start TimeStamp]]="","",(WTG_BD[[#This Row],[Work Start TimeStamp]]-WTG_BD[[#This Row],[Fault Start TimeStamp]])*24)</f>
        <v>0.4499999999999984</v>
      </c>
      <c r="R692" s="253">
        <f>(WTG_BD[[#This Row],[Fault Clearance time]]-WTG_BD[[#This Row],[Work Start TimeStamp]])*24</f>
        <v>1.6666666666666607E-2</v>
      </c>
      <c r="S692" s="253">
        <f>(WTG_BD[[#This Row],[Fault Clearance time]]-WTG_BD[[#This Row],[Fault Start TimeStamp]])*24</f>
        <v>0.46666666666666501</v>
      </c>
      <c r="T692" s="135" t="s">
        <v>473</v>
      </c>
      <c r="U692" s="244" t="s">
        <v>474</v>
      </c>
      <c r="V692" s="246">
        <f>WTG_BD[[#This Row],[Breakdown Time]]*(1/39)</f>
        <v>1.1965811965811923E-2</v>
      </c>
      <c r="W692" s="244" t="s">
        <v>147</v>
      </c>
      <c r="X692" s="250">
        <v>177.11944444444381</v>
      </c>
      <c r="Y692" s="135" t="s">
        <v>470</v>
      </c>
      <c r="Z692" s="135" t="s">
        <v>475</v>
      </c>
      <c r="AA692" s="135">
        <v>9109</v>
      </c>
      <c r="AB692" s="249">
        <f>(WTG_BD[[#This Row],[Paired WTG Generation for loss calculation.]]/24)*WTG_BD[[#This Row],[Breakdown Time]]</f>
        <v>177.11944444444381</v>
      </c>
      <c r="AC692" s="135"/>
      <c r="AD692" s="245"/>
      <c r="AE692" s="3"/>
    </row>
    <row r="693" spans="1:31">
      <c r="A693" s="241">
        <f t="shared" si="22"/>
        <v>692</v>
      </c>
      <c r="B693" s="255">
        <v>45811</v>
      </c>
      <c r="C693" s="252">
        <v>2025</v>
      </c>
      <c r="D693" s="252">
        <v>2025</v>
      </c>
      <c r="E693" s="251">
        <f t="shared" si="21"/>
        <v>45809</v>
      </c>
      <c r="F693" s="252" t="s">
        <v>465</v>
      </c>
      <c r="G693" s="248" t="s">
        <v>144</v>
      </c>
      <c r="H693" s="242" t="str">
        <f>IFERROR(VLOOKUP(WTG_BD[[#This Row],[Affected WTG]],'Basic Data'!$A$3:$E$56,2,0),"")</f>
        <v>PWEGPL</v>
      </c>
      <c r="I693" s="242" t="str">
        <f>IFERROR(VLOOKUP(WTG_BD[[#This Row],[Affected WTG]],'Basic Data'!$A$3:$E$56,3,0),"")</f>
        <v>MSEDCL</v>
      </c>
      <c r="J693" s="243">
        <f>IFERROR(VLOOKUP(WTG_BD[[#This Row],[Affected WTG]],'Basic Data'!$A$3:$E$56,5,0),"")</f>
        <v>2.564102564102564E-2</v>
      </c>
      <c r="K693" s="158" t="s">
        <v>466</v>
      </c>
      <c r="L693" s="247" t="str">
        <f>VLOOKUP(K693,'Basic Data'!T:U,2,0)</f>
        <v>Manual Stop - Safety Related</v>
      </c>
      <c r="M693" s="135" t="s">
        <v>467</v>
      </c>
      <c r="N693" s="256">
        <v>0</v>
      </c>
      <c r="O693" s="256">
        <v>0.99930555555555556</v>
      </c>
      <c r="P693" s="256">
        <v>0.99930555555555556</v>
      </c>
      <c r="Q693" s="253">
        <f>IF(WTG_BD[[#This Row],[Work Start TimeStamp]]="","",(WTG_BD[[#This Row],[Work Start TimeStamp]]-WTG_BD[[#This Row],[Fault Start TimeStamp]])*24)</f>
        <v>23.983333333333334</v>
      </c>
      <c r="R693" s="253">
        <f>(WTG_BD[[#This Row],[Fault Clearance time]]-WTG_BD[[#This Row],[Work Start TimeStamp]])*24</f>
        <v>0</v>
      </c>
      <c r="S693" s="253">
        <f>(WTG_BD[[#This Row],[Fault Clearance time]]-WTG_BD[[#This Row],[Fault Start TimeStamp]])*24</f>
        <v>23.983333333333334</v>
      </c>
      <c r="T693" s="135" t="s">
        <v>468</v>
      </c>
      <c r="U693" s="244" t="s">
        <v>469</v>
      </c>
      <c r="V693" s="246">
        <f>WTG_BD[[#This Row],[Breakdown Time]]*(1/39)</f>
        <v>0.61495726495726499</v>
      </c>
      <c r="W693" s="244" t="s">
        <v>141</v>
      </c>
      <c r="X693" s="250">
        <v>18263.308333333334</v>
      </c>
      <c r="Y693" s="135" t="s">
        <v>470</v>
      </c>
      <c r="Z693" s="135" t="s">
        <v>471</v>
      </c>
      <c r="AA693" s="135">
        <v>18276</v>
      </c>
      <c r="AB693" s="249">
        <f>(WTG_BD[[#This Row],[Paired WTG Generation for loss calculation.]]/24)*WTG_BD[[#This Row],[Breakdown Time]]</f>
        <v>18263.308333333334</v>
      </c>
      <c r="AC693" s="135"/>
      <c r="AD693" s="245"/>
      <c r="AE693" s="3"/>
    </row>
    <row r="694" spans="1:31">
      <c r="A694" s="241">
        <f t="shared" si="22"/>
        <v>693</v>
      </c>
      <c r="B694" s="255">
        <v>45811</v>
      </c>
      <c r="C694" s="252">
        <v>2025</v>
      </c>
      <c r="D694" s="252">
        <v>2025</v>
      </c>
      <c r="E694" s="251">
        <f t="shared" si="21"/>
        <v>45809</v>
      </c>
      <c r="F694" s="252" t="s">
        <v>465</v>
      </c>
      <c r="G694" s="248" t="s">
        <v>142</v>
      </c>
      <c r="H694" s="242" t="str">
        <f>IFERROR(VLOOKUP(WTG_BD[[#This Row],[Affected WTG]],'Basic Data'!$A$3:$E$56,2,0),"")</f>
        <v>PWEGPL</v>
      </c>
      <c r="I694" s="242" t="str">
        <f>IFERROR(VLOOKUP(WTG_BD[[#This Row],[Affected WTG]],'Basic Data'!$A$3:$E$56,3,0),"")</f>
        <v>MSEDCL</v>
      </c>
      <c r="J694" s="243">
        <f>IFERROR(VLOOKUP(WTG_BD[[#This Row],[Affected WTG]],'Basic Data'!$A$3:$E$56,5,0),"")</f>
        <v>2.564102564102564E-2</v>
      </c>
      <c r="K694" s="158" t="s">
        <v>466</v>
      </c>
      <c r="L694" s="247" t="str">
        <f>VLOOKUP(K694,'Basic Data'!T:U,2,0)</f>
        <v>Manual Stop - Safety Related</v>
      </c>
      <c r="M694" s="135" t="s">
        <v>467</v>
      </c>
      <c r="N694" s="256">
        <v>0</v>
      </c>
      <c r="O694" s="256">
        <v>0.99930555555555556</v>
      </c>
      <c r="P694" s="256">
        <v>0.99930555555555556</v>
      </c>
      <c r="Q694" s="253">
        <f>IF(WTG_BD[[#This Row],[Work Start TimeStamp]]="","",(WTG_BD[[#This Row],[Work Start TimeStamp]]-WTG_BD[[#This Row],[Fault Start TimeStamp]])*24)</f>
        <v>23.983333333333334</v>
      </c>
      <c r="R694" s="253">
        <f>(WTG_BD[[#This Row],[Fault Clearance time]]-WTG_BD[[#This Row],[Work Start TimeStamp]])*24</f>
        <v>0</v>
      </c>
      <c r="S694" s="253">
        <f>(WTG_BD[[#This Row],[Fault Clearance time]]-WTG_BD[[#This Row],[Fault Start TimeStamp]])*24</f>
        <v>23.983333333333334</v>
      </c>
      <c r="T694" s="135" t="s">
        <v>468</v>
      </c>
      <c r="U694" s="244" t="s">
        <v>469</v>
      </c>
      <c r="V694" s="246">
        <f>WTG_BD[[#This Row],[Breakdown Time]]*(1/39)</f>
        <v>0.61495726495726499</v>
      </c>
      <c r="W694" s="244" t="s">
        <v>141</v>
      </c>
      <c r="X694" s="250">
        <v>18263.308333333334</v>
      </c>
      <c r="Y694" s="135" t="s">
        <v>470</v>
      </c>
      <c r="Z694" s="135" t="s">
        <v>471</v>
      </c>
      <c r="AA694" s="135">
        <v>18276</v>
      </c>
      <c r="AB694" s="249">
        <f>(WTG_BD[[#This Row],[Paired WTG Generation for loss calculation.]]/24)*WTG_BD[[#This Row],[Breakdown Time]]</f>
        <v>18263.308333333334</v>
      </c>
      <c r="AC694" s="135"/>
      <c r="AD694" s="245"/>
      <c r="AE694" s="3"/>
    </row>
    <row r="695" spans="1:31">
      <c r="A695" s="241">
        <f t="shared" si="22"/>
        <v>694</v>
      </c>
      <c r="B695" s="255">
        <v>45811</v>
      </c>
      <c r="C695" s="252">
        <v>2025</v>
      </c>
      <c r="D695" s="252">
        <v>2025</v>
      </c>
      <c r="E695" s="251">
        <f>B695-DAY(B695)+1</f>
        <v>45809</v>
      </c>
      <c r="F695" s="252" t="s">
        <v>465</v>
      </c>
      <c r="G695" s="248" t="s">
        <v>125</v>
      </c>
      <c r="H695" s="242" t="str">
        <f>IFERROR(VLOOKUP(WTG_BD[[#This Row],[Affected WTG]],'Basic Data'!$A$3:$E$56,2,0),"")</f>
        <v>PWEGPL</v>
      </c>
      <c r="I695" s="242" t="str">
        <f>IFERROR(VLOOKUP(WTG_BD[[#This Row],[Affected WTG]],'Basic Data'!$A$3:$E$56,3,0),"")</f>
        <v>MSEDCL</v>
      </c>
      <c r="J695" s="243">
        <f>IFERROR(VLOOKUP(WTG_BD[[#This Row],[Affected WTG]],'Basic Data'!$A$3:$E$56,5,0),"")</f>
        <v>2.564102564102564E-2</v>
      </c>
      <c r="K695" s="158">
        <v>203</v>
      </c>
      <c r="L695" s="247" t="str">
        <f>VLOOKUP(K695,'Basic Data'!T:U,2,0)</f>
        <v>Low Pressure On Hydraulic Group</v>
      </c>
      <c r="M695" s="135" t="s">
        <v>472</v>
      </c>
      <c r="N695" s="256">
        <v>0.43125000000000002</v>
      </c>
      <c r="O695" s="256">
        <v>0.50763888888888886</v>
      </c>
      <c r="P695" s="256">
        <v>0.5083333333333333</v>
      </c>
      <c r="Q695" s="253">
        <f>IF(WTG_BD[[#This Row],[Work Start TimeStamp]]="","",(WTG_BD[[#This Row],[Work Start TimeStamp]]-WTG_BD[[#This Row],[Fault Start TimeStamp]])*24)</f>
        <v>1.8333333333333321</v>
      </c>
      <c r="R695" s="253">
        <f>(WTG_BD[[#This Row],[Fault Clearance time]]-WTG_BD[[#This Row],[Work Start TimeStamp]])*24</f>
        <v>1.6666666666666607E-2</v>
      </c>
      <c r="S695" s="253">
        <f>(WTG_BD[[#This Row],[Fault Clearance time]]-WTG_BD[[#This Row],[Fault Start TimeStamp]])*24</f>
        <v>1.8499999999999988</v>
      </c>
      <c r="T695" s="135" t="s">
        <v>473</v>
      </c>
      <c r="U695" s="244" t="s">
        <v>474</v>
      </c>
      <c r="V695" s="246">
        <f>WTG_BD[[#This Row],[Breakdown Time]]*(1/39)</f>
        <v>4.7435897435897399E-2</v>
      </c>
      <c r="W695" s="244" t="s">
        <v>124</v>
      </c>
      <c r="X695" s="250">
        <v>1639.4083333333322</v>
      </c>
      <c r="Y695" s="135" t="s">
        <v>470</v>
      </c>
      <c r="Z695" s="135" t="s">
        <v>475</v>
      </c>
      <c r="AA695" s="135">
        <v>21268</v>
      </c>
      <c r="AB695" s="249">
        <f>(WTG_BD[[#This Row],[Paired WTG Generation for loss calculation.]]/24)*WTG_BD[[#This Row],[Breakdown Time]]</f>
        <v>1639.4083333333322</v>
      </c>
      <c r="AC695" s="135"/>
      <c r="AD695" s="245"/>
      <c r="AE695" s="3"/>
    </row>
    <row r="696" spans="1:31">
      <c r="A696" s="241">
        <f t="shared" si="22"/>
        <v>695</v>
      </c>
      <c r="B696" s="255">
        <v>45811</v>
      </c>
      <c r="C696" s="252">
        <v>2025</v>
      </c>
      <c r="D696" s="252">
        <v>2025</v>
      </c>
      <c r="E696" s="251">
        <f t="shared" ref="E696:E759" si="23">B696-DAY(B696)+1</f>
        <v>45809</v>
      </c>
      <c r="F696" s="252" t="s">
        <v>465</v>
      </c>
      <c r="G696" s="248" t="s">
        <v>125</v>
      </c>
      <c r="H696" s="242" t="str">
        <f>IFERROR(VLOOKUP(WTG_BD[[#This Row],[Affected WTG]],'Basic Data'!$A$3:$E$56,2,0),"")</f>
        <v>PWEGPL</v>
      </c>
      <c r="I696" s="242" t="str">
        <f>IFERROR(VLOOKUP(WTG_BD[[#This Row],[Affected WTG]],'Basic Data'!$A$3:$E$56,3,0),"")</f>
        <v>MSEDCL</v>
      </c>
      <c r="J696" s="243">
        <f>IFERROR(VLOOKUP(WTG_BD[[#This Row],[Affected WTG]],'Basic Data'!$A$3:$E$56,5,0),"")</f>
        <v>2.564102564102564E-2</v>
      </c>
      <c r="K696" s="158" t="s">
        <v>549</v>
      </c>
      <c r="L696" s="247" t="str">
        <f>VLOOKUP(K696,'Basic Data'!T:U,2,0)</f>
        <v>Manual Stop - Preventive Maintenance Activity</v>
      </c>
      <c r="M696" s="135" t="s">
        <v>496</v>
      </c>
      <c r="N696" s="256">
        <v>0.5083333333333333</v>
      </c>
      <c r="O696" s="256">
        <v>0.5083333333333333</v>
      </c>
      <c r="P696" s="256">
        <v>0.77083333333333337</v>
      </c>
      <c r="Q696" s="253">
        <f>IF(WTG_BD[[#This Row],[Work Start TimeStamp]]="","",(WTG_BD[[#This Row],[Work Start TimeStamp]]-WTG_BD[[#This Row],[Fault Start TimeStamp]])*24)</f>
        <v>0</v>
      </c>
      <c r="R696" s="253">
        <f>(WTG_BD[[#This Row],[Fault Clearance time]]-WTG_BD[[#This Row],[Work Start TimeStamp]])*24</f>
        <v>6.3000000000000016</v>
      </c>
      <c r="S696" s="253">
        <f>(WTG_BD[[#This Row],[Fault Clearance time]]-WTG_BD[[#This Row],[Fault Start TimeStamp]])*24</f>
        <v>6.3000000000000016</v>
      </c>
      <c r="T696" s="135" t="s">
        <v>571</v>
      </c>
      <c r="U696" s="244" t="s">
        <v>474</v>
      </c>
      <c r="V696" s="246">
        <f>WTG_BD[[#This Row],[Breakdown Time]]*(1/39)</f>
        <v>0.16153846153846158</v>
      </c>
      <c r="W696" s="244" t="s">
        <v>124</v>
      </c>
      <c r="X696" s="250">
        <v>5582.8500000000013</v>
      </c>
      <c r="Y696" s="135" t="s">
        <v>470</v>
      </c>
      <c r="Z696" s="135" t="s">
        <v>552</v>
      </c>
      <c r="AA696" s="135">
        <v>21268</v>
      </c>
      <c r="AB696" s="249">
        <f>(WTG_BD[[#This Row],[Paired WTG Generation for loss calculation.]]/24)*WTG_BD[[#This Row],[Breakdown Time]]</f>
        <v>5582.8500000000013</v>
      </c>
      <c r="AC696" s="135"/>
      <c r="AD696" s="245"/>
      <c r="AE696" s="3"/>
    </row>
    <row r="697" spans="1:31">
      <c r="A697" s="241">
        <f t="shared" si="22"/>
        <v>696</v>
      </c>
      <c r="B697" s="255">
        <v>45811</v>
      </c>
      <c r="C697" s="252">
        <v>2025</v>
      </c>
      <c r="D697" s="252">
        <v>2025</v>
      </c>
      <c r="E697" s="251">
        <f t="shared" si="23"/>
        <v>45809</v>
      </c>
      <c r="F697" s="252" t="s">
        <v>465</v>
      </c>
      <c r="G697" s="248" t="s">
        <v>133</v>
      </c>
      <c r="H697" s="242" t="str">
        <f>IFERROR(VLOOKUP(WTG_BD[[#This Row],[Affected WTG]],'Basic Data'!$A$3:$E$56,2,0),"")</f>
        <v>PWEGPL</v>
      </c>
      <c r="I697" s="242" t="str">
        <f>IFERROR(VLOOKUP(WTG_BD[[#This Row],[Affected WTG]],'Basic Data'!$A$3:$E$56,3,0),"")</f>
        <v>MSEDCL</v>
      </c>
      <c r="J697" s="243">
        <f>IFERROR(VLOOKUP(WTG_BD[[#This Row],[Affected WTG]],'Basic Data'!$A$3:$E$56,5,0),"")</f>
        <v>2.564102564102564E-2</v>
      </c>
      <c r="K697" s="158">
        <v>2118</v>
      </c>
      <c r="L697" s="247" t="str">
        <f>VLOOKUP(K697,'Basic Data'!T:U,2,0)</f>
        <v>Bus Error - Interbus Failure</v>
      </c>
      <c r="M697" s="135" t="s">
        <v>472</v>
      </c>
      <c r="N697" s="256">
        <v>0.47222222222222221</v>
      </c>
      <c r="O697" s="256">
        <v>0.48402777777777778</v>
      </c>
      <c r="P697" s="256">
        <v>0.48541666666666666</v>
      </c>
      <c r="Q697" s="253">
        <f>IF(WTG_BD[[#This Row],[Work Start TimeStamp]]="","",(WTG_BD[[#This Row],[Work Start TimeStamp]]-WTG_BD[[#This Row],[Fault Start TimeStamp]])*24)</f>
        <v>0.28333333333333366</v>
      </c>
      <c r="R697" s="253">
        <f>(WTG_BD[[#This Row],[Fault Clearance time]]-WTG_BD[[#This Row],[Work Start TimeStamp]])*24</f>
        <v>3.3333333333333215E-2</v>
      </c>
      <c r="S697" s="253">
        <f>(WTG_BD[[#This Row],[Fault Clearance time]]-WTG_BD[[#This Row],[Fault Start TimeStamp]])*24</f>
        <v>0.31666666666666687</v>
      </c>
      <c r="T697" s="135" t="s">
        <v>482</v>
      </c>
      <c r="U697" s="244" t="s">
        <v>474</v>
      </c>
      <c r="V697" s="246">
        <f>WTG_BD[[#This Row],[Breakdown Time]]*(1/39)</f>
        <v>8.1196581196581255E-3</v>
      </c>
      <c r="W697" s="244" t="s">
        <v>132</v>
      </c>
      <c r="X697" s="250">
        <v>285.75208333333353</v>
      </c>
      <c r="Y697" s="135" t="s">
        <v>470</v>
      </c>
      <c r="Z697" s="135" t="s">
        <v>475</v>
      </c>
      <c r="AA697" s="135">
        <v>21657</v>
      </c>
      <c r="AB697" s="249">
        <f>(WTG_BD[[#This Row],[Paired WTG Generation for loss calculation.]]/24)*WTG_BD[[#This Row],[Breakdown Time]]</f>
        <v>285.75208333333353</v>
      </c>
      <c r="AC697" s="135"/>
      <c r="AD697" s="245"/>
      <c r="AE697" s="3"/>
    </row>
    <row r="698" spans="1:31">
      <c r="A698" s="241">
        <f t="shared" si="22"/>
        <v>697</v>
      </c>
      <c r="B698" s="255">
        <v>45811</v>
      </c>
      <c r="C698" s="252">
        <v>2025</v>
      </c>
      <c r="D698" s="252">
        <v>2025</v>
      </c>
      <c r="E698" s="251">
        <f t="shared" si="23"/>
        <v>45809</v>
      </c>
      <c r="F698" s="252" t="s">
        <v>465</v>
      </c>
      <c r="G698" s="248" t="s">
        <v>134</v>
      </c>
      <c r="H698" s="242" t="str">
        <f>IFERROR(VLOOKUP(WTG_BD[[#This Row],[Affected WTG]],'Basic Data'!$A$3:$E$56,2,0),"")</f>
        <v>PWEGPL</v>
      </c>
      <c r="I698" s="242" t="str">
        <f>IFERROR(VLOOKUP(WTG_BD[[#This Row],[Affected WTG]],'Basic Data'!$A$3:$E$56,3,0),"")</f>
        <v>MSEDCL</v>
      </c>
      <c r="J698" s="243">
        <f>IFERROR(VLOOKUP(WTG_BD[[#This Row],[Affected WTG]],'Basic Data'!$A$3:$E$56,5,0),"")</f>
        <v>2.564102564102564E-2</v>
      </c>
      <c r="K698" s="158">
        <v>5203</v>
      </c>
      <c r="L698" s="247" t="str">
        <f>VLOOKUP(K698,'Basic Data'!T:U,2,0)</f>
        <v>Heating/Coolant Thermal Magnetic Failure</v>
      </c>
      <c r="M698" s="135" t="s">
        <v>472</v>
      </c>
      <c r="N698" s="256">
        <v>0.40625</v>
      </c>
      <c r="O698" s="256">
        <v>0.45902777777777776</v>
      </c>
      <c r="P698" s="256">
        <v>0.5083333333333333</v>
      </c>
      <c r="Q698" s="253">
        <f>IF(WTG_BD[[#This Row],[Work Start TimeStamp]]="","",(WTG_BD[[#This Row],[Work Start TimeStamp]]-WTG_BD[[#This Row],[Fault Start TimeStamp]])*24)</f>
        <v>1.2666666666666662</v>
      </c>
      <c r="R698" s="253">
        <f>(WTG_BD[[#This Row],[Fault Clearance time]]-WTG_BD[[#This Row],[Work Start TimeStamp]])*24</f>
        <v>1.1833333333333331</v>
      </c>
      <c r="S698" s="253">
        <f>(WTG_BD[[#This Row],[Fault Clearance time]]-WTG_BD[[#This Row],[Fault Start TimeStamp]])*24</f>
        <v>2.4499999999999993</v>
      </c>
      <c r="T698" s="135" t="s">
        <v>633</v>
      </c>
      <c r="U698" s="244" t="s">
        <v>474</v>
      </c>
      <c r="V698" s="246">
        <f>WTG_BD[[#This Row],[Breakdown Time]]*(1/39)</f>
        <v>6.2820512820512805E-2</v>
      </c>
      <c r="W698" s="244" t="s">
        <v>132</v>
      </c>
      <c r="X698" s="250">
        <v>2210.8187499999995</v>
      </c>
      <c r="Y698" s="135" t="s">
        <v>470</v>
      </c>
      <c r="Z698" s="135" t="s">
        <v>475</v>
      </c>
      <c r="AA698" s="135">
        <v>21657</v>
      </c>
      <c r="AB698" s="249">
        <f>(WTG_BD[[#This Row],[Paired WTG Generation for loss calculation.]]/24)*WTG_BD[[#This Row],[Breakdown Time]]</f>
        <v>2210.8187499999995</v>
      </c>
      <c r="AC698" s="135"/>
      <c r="AD698" s="245"/>
      <c r="AE698" s="3"/>
    </row>
    <row r="699" spans="1:31">
      <c r="A699" s="241">
        <f t="shared" si="22"/>
        <v>698</v>
      </c>
      <c r="B699" s="255">
        <v>45811</v>
      </c>
      <c r="C699" s="252">
        <v>2025</v>
      </c>
      <c r="D699" s="252">
        <v>2025</v>
      </c>
      <c r="E699" s="251">
        <f t="shared" si="23"/>
        <v>45809</v>
      </c>
      <c r="F699" s="252" t="s">
        <v>465</v>
      </c>
      <c r="G699" s="248" t="s">
        <v>148</v>
      </c>
      <c r="H699" s="242" t="str">
        <f>IFERROR(VLOOKUP(WTG_BD[[#This Row],[Affected WTG]],'Basic Data'!$A$3:$E$56,2,0),"")</f>
        <v>PWEGPL</v>
      </c>
      <c r="I699" s="242" t="str">
        <f>IFERROR(VLOOKUP(WTG_BD[[#This Row],[Affected WTG]],'Basic Data'!$A$3:$E$56,3,0),"")</f>
        <v>MSEDCL</v>
      </c>
      <c r="J699" s="243">
        <f>IFERROR(VLOOKUP(WTG_BD[[#This Row],[Affected WTG]],'Basic Data'!$A$3:$E$56,5,0),"")</f>
        <v>2.564102564102564E-2</v>
      </c>
      <c r="K699" s="158">
        <v>118</v>
      </c>
      <c r="L699" s="247" t="str">
        <f>VLOOKUP(K699,'Basic Data'!T:U,2,0)</f>
        <v>Yaw Motors Error</v>
      </c>
      <c r="M699" s="135" t="s">
        <v>472</v>
      </c>
      <c r="N699" s="256">
        <v>0.61458333333333337</v>
      </c>
      <c r="O699" s="256">
        <v>0.64583333333333337</v>
      </c>
      <c r="P699" s="256">
        <v>0.67708333333333337</v>
      </c>
      <c r="Q699" s="253">
        <f>IF(WTG_BD[[#This Row],[Work Start TimeStamp]]="","",(WTG_BD[[#This Row],[Work Start TimeStamp]]-WTG_BD[[#This Row],[Fault Start TimeStamp]])*24)</f>
        <v>0.75</v>
      </c>
      <c r="R699" s="253">
        <f>(WTG_BD[[#This Row],[Fault Clearance time]]-WTG_BD[[#This Row],[Work Start TimeStamp]])*24</f>
        <v>0.75</v>
      </c>
      <c r="S699" s="253">
        <f>(WTG_BD[[#This Row],[Fault Clearance time]]-WTG_BD[[#This Row],[Fault Start TimeStamp]])*24</f>
        <v>1.5</v>
      </c>
      <c r="T699" s="135" t="s">
        <v>634</v>
      </c>
      <c r="U699" s="244" t="s">
        <v>474</v>
      </c>
      <c r="V699" s="246">
        <f>WTG_BD[[#This Row],[Breakdown Time]]*(1/39)</f>
        <v>3.8461538461538464E-2</v>
      </c>
      <c r="W699" s="244" t="s">
        <v>149</v>
      </c>
      <c r="X699" s="250">
        <v>1127.3125</v>
      </c>
      <c r="Y699" s="135" t="s">
        <v>470</v>
      </c>
      <c r="Z699" s="135" t="s">
        <v>475</v>
      </c>
      <c r="AA699" s="135">
        <v>18037</v>
      </c>
      <c r="AB699" s="249">
        <f>(WTG_BD[[#This Row],[Paired WTG Generation for loss calculation.]]/24)*WTG_BD[[#This Row],[Breakdown Time]]</f>
        <v>1127.3125</v>
      </c>
      <c r="AC699" s="135"/>
      <c r="AD699" s="245"/>
      <c r="AE699" s="3"/>
    </row>
    <row r="700" spans="1:31">
      <c r="A700" s="241">
        <f t="shared" si="22"/>
        <v>699</v>
      </c>
      <c r="B700" s="255">
        <v>45811</v>
      </c>
      <c r="C700" s="252">
        <v>2025</v>
      </c>
      <c r="D700" s="252">
        <v>2025</v>
      </c>
      <c r="E700" s="251">
        <f t="shared" si="23"/>
        <v>45809</v>
      </c>
      <c r="F700" s="252" t="s">
        <v>465</v>
      </c>
      <c r="G700" s="248" t="s">
        <v>152</v>
      </c>
      <c r="H700" s="242" t="str">
        <f>IFERROR(VLOOKUP(WTG_BD[[#This Row],[Affected WTG]],'Basic Data'!$A$3:$E$56,2,0),"")</f>
        <v>PWEGPL</v>
      </c>
      <c r="I700" s="242" t="str">
        <f>IFERROR(VLOOKUP(WTG_BD[[#This Row],[Affected WTG]],'Basic Data'!$A$3:$E$56,3,0),"")</f>
        <v>MSEDCL</v>
      </c>
      <c r="J700" s="243">
        <f>IFERROR(VLOOKUP(WTG_BD[[#This Row],[Affected WTG]],'Basic Data'!$A$3:$E$56,5,0),"")</f>
        <v>2.564102564102564E-2</v>
      </c>
      <c r="K700" s="158">
        <v>5201</v>
      </c>
      <c r="L700" s="247" t="str">
        <f>VLOOKUP(K700,'Basic Data'!T:U,2,0)</f>
        <v>Magnetothermic Trigger Of The Stator Protection</v>
      </c>
      <c r="M700" s="135" t="s">
        <v>472</v>
      </c>
      <c r="N700" s="256">
        <v>0.65625</v>
      </c>
      <c r="O700" s="256">
        <v>0.6875</v>
      </c>
      <c r="P700" s="256">
        <v>0.68819444444444444</v>
      </c>
      <c r="Q700" s="253">
        <f>IF(WTG_BD[[#This Row],[Work Start TimeStamp]]="","",(WTG_BD[[#This Row],[Work Start TimeStamp]]-WTG_BD[[#This Row],[Fault Start TimeStamp]])*24)</f>
        <v>0.75</v>
      </c>
      <c r="R700" s="253">
        <f>(WTG_BD[[#This Row],[Fault Clearance time]]-WTG_BD[[#This Row],[Work Start TimeStamp]])*24</f>
        <v>1.6666666666666607E-2</v>
      </c>
      <c r="S700" s="253">
        <f>(WTG_BD[[#This Row],[Fault Clearance time]]-WTG_BD[[#This Row],[Fault Start TimeStamp]])*24</f>
        <v>0.76666666666666661</v>
      </c>
      <c r="T700" s="135" t="s">
        <v>473</v>
      </c>
      <c r="U700" s="244" t="s">
        <v>474</v>
      </c>
      <c r="V700" s="246">
        <f>WTG_BD[[#This Row],[Breakdown Time]]*(1/39)</f>
        <v>1.9658119658119654E-2</v>
      </c>
      <c r="W700" s="244" t="s">
        <v>153</v>
      </c>
      <c r="X700" s="250">
        <v>577.42777777777769</v>
      </c>
      <c r="Y700" s="135" t="s">
        <v>470</v>
      </c>
      <c r="Z700" s="135" t="s">
        <v>475</v>
      </c>
      <c r="AA700" s="135">
        <v>18076</v>
      </c>
      <c r="AB700" s="249">
        <f>(WTG_BD[[#This Row],[Paired WTG Generation for loss calculation.]]/24)*WTG_BD[[#This Row],[Breakdown Time]]</f>
        <v>577.42777777777769</v>
      </c>
      <c r="AC700" s="135"/>
      <c r="AD700" s="245"/>
      <c r="AE700" s="3"/>
    </row>
    <row r="701" spans="1:31">
      <c r="A701" s="241">
        <f t="shared" si="22"/>
        <v>700</v>
      </c>
      <c r="B701" s="255">
        <v>45812</v>
      </c>
      <c r="C701" s="252">
        <v>2025</v>
      </c>
      <c r="D701" s="252">
        <v>2025</v>
      </c>
      <c r="E701" s="251">
        <f t="shared" si="23"/>
        <v>45809</v>
      </c>
      <c r="F701" s="252" t="s">
        <v>465</v>
      </c>
      <c r="G701" s="248" t="s">
        <v>144</v>
      </c>
      <c r="H701" s="242" t="str">
        <f>IFERROR(VLOOKUP(WTG_BD[[#This Row],[Affected WTG]],'Basic Data'!$A$3:$E$56,2,0),"")</f>
        <v>PWEGPL</v>
      </c>
      <c r="I701" s="242" t="str">
        <f>IFERROR(VLOOKUP(WTG_BD[[#This Row],[Affected WTG]],'Basic Data'!$A$3:$E$56,3,0),"")</f>
        <v>MSEDCL</v>
      </c>
      <c r="J701" s="243">
        <f>IFERROR(VLOOKUP(WTG_BD[[#This Row],[Affected WTG]],'Basic Data'!$A$3:$E$56,5,0),"")</f>
        <v>2.564102564102564E-2</v>
      </c>
      <c r="K701" s="158" t="s">
        <v>466</v>
      </c>
      <c r="L701" s="247" t="str">
        <f>VLOOKUP(K701,'Basic Data'!T:U,2,0)</f>
        <v>Manual Stop - Safety Related</v>
      </c>
      <c r="M701" s="135" t="s">
        <v>467</v>
      </c>
      <c r="N701" s="256">
        <v>0</v>
      </c>
      <c r="O701" s="256">
        <v>0.99998842592592596</v>
      </c>
      <c r="P701" s="256">
        <v>0.99998842592592596</v>
      </c>
      <c r="Q701" s="253">
        <f>IF(WTG_BD[[#This Row],[Work Start TimeStamp]]="","",(WTG_BD[[#This Row],[Work Start TimeStamp]]-WTG_BD[[#This Row],[Fault Start TimeStamp]])*24)</f>
        <v>23.999722222222225</v>
      </c>
      <c r="R701" s="253">
        <f>(WTG_BD[[#This Row],[Fault Clearance time]]-WTG_BD[[#This Row],[Work Start TimeStamp]])*24</f>
        <v>0</v>
      </c>
      <c r="S701" s="253">
        <f>(WTG_BD[[#This Row],[Fault Clearance time]]-WTG_BD[[#This Row],[Fault Start TimeStamp]])*24</f>
        <v>23.999722222222225</v>
      </c>
      <c r="T701" s="135" t="s">
        <v>468</v>
      </c>
      <c r="U701" s="244" t="s">
        <v>469</v>
      </c>
      <c r="V701" s="246">
        <f>WTG_BD[[#This Row],[Breakdown Time]]*(1/39)</f>
        <v>0.61537749287749288</v>
      </c>
      <c r="W701" s="244" t="s">
        <v>141</v>
      </c>
      <c r="X701" s="250">
        <v>2355.9727314814818</v>
      </c>
      <c r="Y701" s="135" t="s">
        <v>470</v>
      </c>
      <c r="Z701" s="135" t="s">
        <v>471</v>
      </c>
      <c r="AA701" s="135">
        <v>2356</v>
      </c>
      <c r="AB701" s="249">
        <f>(WTG_BD[[#This Row],[Paired WTG Generation for loss calculation.]]/24)*WTG_BD[[#This Row],[Breakdown Time]]</f>
        <v>2355.9727314814818</v>
      </c>
      <c r="AC701" s="135"/>
      <c r="AD701" s="245"/>
      <c r="AE701" s="3"/>
    </row>
    <row r="702" spans="1:31">
      <c r="A702" s="241">
        <f t="shared" si="22"/>
        <v>701</v>
      </c>
      <c r="B702" s="255">
        <v>45812</v>
      </c>
      <c r="C702" s="252">
        <v>2025</v>
      </c>
      <c r="D702" s="252">
        <v>2025</v>
      </c>
      <c r="E702" s="251">
        <f t="shared" si="23"/>
        <v>45809</v>
      </c>
      <c r="F702" s="252" t="s">
        <v>465</v>
      </c>
      <c r="G702" s="248" t="s">
        <v>142</v>
      </c>
      <c r="H702" s="242" t="str">
        <f>IFERROR(VLOOKUP(WTG_BD[[#This Row],[Affected WTG]],'Basic Data'!$A$3:$E$56,2,0),"")</f>
        <v>PWEGPL</v>
      </c>
      <c r="I702" s="242" t="str">
        <f>IFERROR(VLOOKUP(WTG_BD[[#This Row],[Affected WTG]],'Basic Data'!$A$3:$E$56,3,0),"")</f>
        <v>MSEDCL</v>
      </c>
      <c r="J702" s="243">
        <f>IFERROR(VLOOKUP(WTG_BD[[#This Row],[Affected WTG]],'Basic Data'!$A$3:$E$56,5,0),"")</f>
        <v>2.564102564102564E-2</v>
      </c>
      <c r="K702" s="158" t="s">
        <v>466</v>
      </c>
      <c r="L702" s="247" t="str">
        <f>VLOOKUP(K702,'Basic Data'!T:U,2,0)</f>
        <v>Manual Stop - Safety Related</v>
      </c>
      <c r="M702" s="135" t="s">
        <v>467</v>
      </c>
      <c r="N702" s="256">
        <v>0</v>
      </c>
      <c r="O702" s="256">
        <v>0.99998842592592596</v>
      </c>
      <c r="P702" s="256">
        <v>0.99998842592592596</v>
      </c>
      <c r="Q702" s="253">
        <f>IF(WTG_BD[[#This Row],[Work Start TimeStamp]]="","",(WTG_BD[[#This Row],[Work Start TimeStamp]]-WTG_BD[[#This Row],[Fault Start TimeStamp]])*24)</f>
        <v>23.999722222222225</v>
      </c>
      <c r="R702" s="253">
        <f>(WTG_BD[[#This Row],[Fault Clearance time]]-WTG_BD[[#This Row],[Work Start TimeStamp]])*24</f>
        <v>0</v>
      </c>
      <c r="S702" s="253">
        <f>(WTG_BD[[#This Row],[Fault Clearance time]]-WTG_BD[[#This Row],[Fault Start TimeStamp]])*24</f>
        <v>23.999722222222225</v>
      </c>
      <c r="T702" s="135" t="s">
        <v>468</v>
      </c>
      <c r="U702" s="244" t="s">
        <v>469</v>
      </c>
      <c r="V702" s="246">
        <f>WTG_BD[[#This Row],[Breakdown Time]]*(1/39)</f>
        <v>0.61537749287749288</v>
      </c>
      <c r="W702" s="244" t="s">
        <v>141</v>
      </c>
      <c r="X702" s="250">
        <v>2355.9727314814818</v>
      </c>
      <c r="Y702" s="135" t="s">
        <v>470</v>
      </c>
      <c r="Z702" s="135" t="s">
        <v>471</v>
      </c>
      <c r="AA702" s="135">
        <v>2356</v>
      </c>
      <c r="AB702" s="249">
        <f>(WTG_BD[[#This Row],[Paired WTG Generation for loss calculation.]]/24)*WTG_BD[[#This Row],[Breakdown Time]]</f>
        <v>2355.9727314814818</v>
      </c>
      <c r="AC702" s="135"/>
      <c r="AD702" s="245"/>
      <c r="AE702" s="3"/>
    </row>
    <row r="703" spans="1:31">
      <c r="A703" s="241">
        <f t="shared" si="22"/>
        <v>702</v>
      </c>
      <c r="B703" s="255">
        <v>45812</v>
      </c>
      <c r="C703" s="252">
        <v>2025</v>
      </c>
      <c r="D703" s="252">
        <v>2025</v>
      </c>
      <c r="E703" s="251">
        <f t="shared" si="23"/>
        <v>45809</v>
      </c>
      <c r="F703" s="252" t="s">
        <v>465</v>
      </c>
      <c r="G703" s="248" t="s">
        <v>140</v>
      </c>
      <c r="H703" s="242" t="str">
        <f>IFERROR(VLOOKUP(WTG_BD[[#This Row],[Affected WTG]],'Basic Data'!$A$3:$E$56,2,0),"")</f>
        <v>PWEGPL</v>
      </c>
      <c r="I703" s="242" t="str">
        <f>IFERROR(VLOOKUP(WTG_BD[[#This Row],[Affected WTG]],'Basic Data'!$A$3:$E$56,3,0),"")</f>
        <v>MSEDCL</v>
      </c>
      <c r="J703" s="243">
        <f>IFERROR(VLOOKUP(WTG_BD[[#This Row],[Affected WTG]],'Basic Data'!$A$3:$E$56,5,0),"")</f>
        <v>2.564102564102564E-2</v>
      </c>
      <c r="K703" s="158" t="s">
        <v>523</v>
      </c>
      <c r="L703" s="247" t="str">
        <f>VLOOKUP(K703,'Basic Data'!T:U,2,0)</f>
        <v>Manual Stop</v>
      </c>
      <c r="M703" s="135" t="s">
        <v>496</v>
      </c>
      <c r="N703" s="256">
        <v>0.46875</v>
      </c>
      <c r="O703" s="256">
        <v>0.46875</v>
      </c>
      <c r="P703" s="256">
        <v>0.50694444444444442</v>
      </c>
      <c r="Q703" s="253">
        <f>IF(WTG_BD[[#This Row],[Work Start TimeStamp]]="","",(WTG_BD[[#This Row],[Work Start TimeStamp]]-WTG_BD[[#This Row],[Fault Start TimeStamp]])*24)</f>
        <v>0</v>
      </c>
      <c r="R703" s="253">
        <f>(WTG_BD[[#This Row],[Fault Clearance time]]-WTG_BD[[#This Row],[Work Start TimeStamp]])*24</f>
        <v>0.91666666666666607</v>
      </c>
      <c r="S703" s="253">
        <f>(WTG_BD[[#This Row],[Fault Clearance time]]-WTG_BD[[#This Row],[Fault Start TimeStamp]])*24</f>
        <v>0.91666666666666607</v>
      </c>
      <c r="T703" s="135" t="s">
        <v>632</v>
      </c>
      <c r="U703" s="244" t="s">
        <v>474</v>
      </c>
      <c r="V703" s="246">
        <f>WTG_BD[[#This Row],[Breakdown Time]]*(1/39)</f>
        <v>2.3504273504273487E-2</v>
      </c>
      <c r="W703" s="244" t="s">
        <v>138</v>
      </c>
      <c r="X703" s="250">
        <v>90.329861111111057</v>
      </c>
      <c r="Y703" s="135" t="s">
        <v>470</v>
      </c>
      <c r="Z703" s="135" t="s">
        <v>498</v>
      </c>
      <c r="AA703" s="135">
        <v>2365</v>
      </c>
      <c r="AB703" s="249">
        <f>(WTG_BD[[#This Row],[Paired WTG Generation for loss calculation.]]/24)*WTG_BD[[#This Row],[Breakdown Time]]</f>
        <v>90.329861111111057</v>
      </c>
      <c r="AC703" s="135"/>
      <c r="AD703" s="245"/>
      <c r="AE703" s="3"/>
    </row>
    <row r="704" spans="1:31">
      <c r="A704" s="241">
        <f t="shared" si="22"/>
        <v>703</v>
      </c>
      <c r="B704" s="255">
        <v>45812</v>
      </c>
      <c r="C704" s="252">
        <v>2025</v>
      </c>
      <c r="D704" s="252">
        <v>2025</v>
      </c>
      <c r="E704" s="251">
        <f t="shared" si="23"/>
        <v>45809</v>
      </c>
      <c r="F704" s="252" t="s">
        <v>465</v>
      </c>
      <c r="G704" s="248" t="s">
        <v>147</v>
      </c>
      <c r="H704" s="242" t="str">
        <f>IFERROR(VLOOKUP(WTG_BD[[#This Row],[Affected WTG]],'Basic Data'!$A$3:$E$56,2,0),"")</f>
        <v>PWEGPL</v>
      </c>
      <c r="I704" s="242" t="str">
        <f>IFERROR(VLOOKUP(WTG_BD[[#This Row],[Affected WTG]],'Basic Data'!$A$3:$E$56,3,0),"")</f>
        <v>MSEDCL</v>
      </c>
      <c r="J704" s="243">
        <f>IFERROR(VLOOKUP(WTG_BD[[#This Row],[Affected WTG]],'Basic Data'!$A$3:$E$56,5,0),"")</f>
        <v>2.564102564102564E-2</v>
      </c>
      <c r="K704" s="158" t="s">
        <v>523</v>
      </c>
      <c r="L704" s="247" t="str">
        <f>VLOOKUP(K704,'Basic Data'!T:U,2,0)</f>
        <v>Manual Stop</v>
      </c>
      <c r="M704" s="135" t="s">
        <v>496</v>
      </c>
      <c r="N704" s="256">
        <v>0.47083333333333333</v>
      </c>
      <c r="O704" s="256">
        <v>0.47083333333333333</v>
      </c>
      <c r="P704" s="256">
        <v>0.50694444444444442</v>
      </c>
      <c r="Q704" s="253">
        <f>IF(WTG_BD[[#This Row],[Work Start TimeStamp]]="","",(WTG_BD[[#This Row],[Work Start TimeStamp]]-WTG_BD[[#This Row],[Fault Start TimeStamp]])*24)</f>
        <v>0</v>
      </c>
      <c r="R704" s="253">
        <f>(WTG_BD[[#This Row],[Fault Clearance time]]-WTG_BD[[#This Row],[Work Start TimeStamp]])*24</f>
        <v>0.86666666666666625</v>
      </c>
      <c r="S704" s="253">
        <f>(WTG_BD[[#This Row],[Fault Clearance time]]-WTG_BD[[#This Row],[Fault Start TimeStamp]])*24</f>
        <v>0.86666666666666625</v>
      </c>
      <c r="T704" s="135" t="s">
        <v>632</v>
      </c>
      <c r="U704" s="244" t="s">
        <v>474</v>
      </c>
      <c r="V704" s="246">
        <f>WTG_BD[[#This Row],[Breakdown Time]]*(1/39)</f>
        <v>2.2222222222222209E-2</v>
      </c>
      <c r="W704" s="244" t="s">
        <v>147</v>
      </c>
      <c r="X704" s="250">
        <v>110.28333333333327</v>
      </c>
      <c r="Y704" s="135" t="s">
        <v>470</v>
      </c>
      <c r="Z704" s="135" t="s">
        <v>498</v>
      </c>
      <c r="AA704" s="135">
        <v>3054</v>
      </c>
      <c r="AB704" s="249">
        <f>(WTG_BD[[#This Row],[Paired WTG Generation for loss calculation.]]/24)*WTG_BD[[#This Row],[Breakdown Time]]</f>
        <v>110.28333333333327</v>
      </c>
      <c r="AC704" s="135"/>
      <c r="AD704" s="245"/>
      <c r="AE704" s="3"/>
    </row>
    <row r="705" spans="1:31">
      <c r="A705" s="241">
        <f t="shared" si="22"/>
        <v>704</v>
      </c>
      <c r="B705" s="255">
        <v>45812</v>
      </c>
      <c r="C705" s="252">
        <v>2025</v>
      </c>
      <c r="D705" s="252">
        <v>2025</v>
      </c>
      <c r="E705" s="251">
        <f t="shared" si="23"/>
        <v>45809</v>
      </c>
      <c r="F705" s="252" t="s">
        <v>465</v>
      </c>
      <c r="G705" s="248" t="s">
        <v>135</v>
      </c>
      <c r="H705" s="242" t="str">
        <f>IFERROR(VLOOKUP(WTG_BD[[#This Row],[Affected WTG]],'Basic Data'!$A$3:$E$56,2,0),"")</f>
        <v>PWEGPL</v>
      </c>
      <c r="I705" s="242" t="str">
        <f>IFERROR(VLOOKUP(WTG_BD[[#This Row],[Affected WTG]],'Basic Data'!$A$3:$E$56,3,0),"")</f>
        <v>MSEDCL</v>
      </c>
      <c r="J705" s="243">
        <f>IFERROR(VLOOKUP(WTG_BD[[#This Row],[Affected WTG]],'Basic Data'!$A$3:$E$56,5,0),"")</f>
        <v>2.564102564102564E-2</v>
      </c>
      <c r="K705" s="158">
        <v>2100</v>
      </c>
      <c r="L705" s="247" t="str">
        <f>VLOOKUP(K705,'Basic Data'!T:U,2,0)</f>
        <v>PLC Voltage Recovery</v>
      </c>
      <c r="M705" s="135" t="s">
        <v>472</v>
      </c>
      <c r="N705" s="256">
        <v>0.87152777777777779</v>
      </c>
      <c r="O705" s="256">
        <v>0.88541666666666663</v>
      </c>
      <c r="P705" s="256">
        <v>0.88611111111111107</v>
      </c>
      <c r="Q705" s="253">
        <f>IF(WTG_BD[[#This Row],[Work Start TimeStamp]]="","",(WTG_BD[[#This Row],[Work Start TimeStamp]]-WTG_BD[[#This Row],[Fault Start TimeStamp]])*24)</f>
        <v>0.33333333333333215</v>
      </c>
      <c r="R705" s="253">
        <f>(WTG_BD[[#This Row],[Fault Clearance time]]-WTG_BD[[#This Row],[Work Start TimeStamp]])*24</f>
        <v>1.6666666666666607E-2</v>
      </c>
      <c r="S705" s="253">
        <f>(WTG_BD[[#This Row],[Fault Clearance time]]-WTG_BD[[#This Row],[Fault Start TimeStamp]])*24</f>
        <v>0.34999999999999876</v>
      </c>
      <c r="T705" s="135" t="s">
        <v>473</v>
      </c>
      <c r="U705" s="244" t="s">
        <v>474</v>
      </c>
      <c r="V705" s="246">
        <f>WTG_BD[[#This Row],[Breakdown Time]]*(1/39)</f>
        <v>8.9743589743589425E-3</v>
      </c>
      <c r="W705" s="244" t="s">
        <v>136</v>
      </c>
      <c r="X705" s="250">
        <v>34.358333333333213</v>
      </c>
      <c r="Y705" s="135" t="s">
        <v>470</v>
      </c>
      <c r="Z705" s="135" t="s">
        <v>475</v>
      </c>
      <c r="AA705" s="135">
        <v>2356</v>
      </c>
      <c r="AB705" s="249">
        <f>(WTG_BD[[#This Row],[Paired WTG Generation for loss calculation.]]/24)*WTG_BD[[#This Row],[Breakdown Time]]</f>
        <v>34.358333333333213</v>
      </c>
      <c r="AC705" s="135"/>
      <c r="AD705" s="245"/>
      <c r="AE705" s="3"/>
    </row>
    <row r="706" spans="1:31">
      <c r="A706" s="241">
        <f t="shared" si="22"/>
        <v>705</v>
      </c>
      <c r="B706" s="255">
        <v>45812</v>
      </c>
      <c r="C706" s="252">
        <v>2025</v>
      </c>
      <c r="D706" s="252">
        <v>2025</v>
      </c>
      <c r="E706" s="251">
        <f t="shared" si="23"/>
        <v>45809</v>
      </c>
      <c r="F706" s="252" t="s">
        <v>465</v>
      </c>
      <c r="G706" s="248" t="s">
        <v>137</v>
      </c>
      <c r="H706" s="242" t="str">
        <f>IFERROR(VLOOKUP(WTG_BD[[#This Row],[Affected WTG]],'Basic Data'!$A$3:$E$56,2,0),"")</f>
        <v>PWEGPL</v>
      </c>
      <c r="I706" s="242" t="str">
        <f>IFERROR(VLOOKUP(WTG_BD[[#This Row],[Affected WTG]],'Basic Data'!$A$3:$E$56,3,0),"")</f>
        <v>MSEDCL</v>
      </c>
      <c r="J706" s="243">
        <f>IFERROR(VLOOKUP(WTG_BD[[#This Row],[Affected WTG]],'Basic Data'!$A$3:$E$56,5,0),"")</f>
        <v>2.564102564102564E-2</v>
      </c>
      <c r="K706" s="158">
        <v>2100</v>
      </c>
      <c r="L706" s="247" t="str">
        <f>VLOOKUP(K706,'Basic Data'!T:U,2,0)</f>
        <v>PLC Voltage Recovery</v>
      </c>
      <c r="M706" s="135" t="s">
        <v>472</v>
      </c>
      <c r="N706" s="256">
        <v>0.87152777777777779</v>
      </c>
      <c r="O706" s="256">
        <v>0.89583333333333337</v>
      </c>
      <c r="P706" s="256">
        <v>0.89652777777777781</v>
      </c>
      <c r="Q706" s="253">
        <f>IF(WTG_BD[[#This Row],[Work Start TimeStamp]]="","",(WTG_BD[[#This Row],[Work Start TimeStamp]]-WTG_BD[[#This Row],[Fault Start TimeStamp]])*24)</f>
        <v>0.58333333333333393</v>
      </c>
      <c r="R706" s="253">
        <f>(WTG_BD[[#This Row],[Fault Clearance time]]-WTG_BD[[#This Row],[Work Start TimeStamp]])*24</f>
        <v>1.6666666666666607E-2</v>
      </c>
      <c r="S706" s="253">
        <f>(WTG_BD[[#This Row],[Fault Clearance time]]-WTG_BD[[#This Row],[Fault Start TimeStamp]])*24</f>
        <v>0.60000000000000053</v>
      </c>
      <c r="T706" s="135" t="s">
        <v>473</v>
      </c>
      <c r="U706" s="244" t="s">
        <v>474</v>
      </c>
      <c r="V706" s="246">
        <f>WTG_BD[[#This Row],[Breakdown Time]]*(1/39)</f>
        <v>1.5384615384615398E-2</v>
      </c>
      <c r="W706" s="244" t="s">
        <v>136</v>
      </c>
      <c r="X706" s="250">
        <v>58.900000000000055</v>
      </c>
      <c r="Y706" s="135" t="s">
        <v>470</v>
      </c>
      <c r="Z706" s="135" t="s">
        <v>475</v>
      </c>
      <c r="AA706" s="135">
        <v>2356</v>
      </c>
      <c r="AB706" s="249">
        <f>(WTG_BD[[#This Row],[Paired WTG Generation for loss calculation.]]/24)*WTG_BD[[#This Row],[Breakdown Time]]</f>
        <v>58.900000000000055</v>
      </c>
      <c r="AC706" s="135"/>
      <c r="AD706" s="245"/>
      <c r="AE706" s="3"/>
    </row>
    <row r="707" spans="1:31">
      <c r="A707" s="241">
        <f t="shared" si="22"/>
        <v>706</v>
      </c>
      <c r="B707" s="255">
        <v>45812</v>
      </c>
      <c r="C707" s="252">
        <v>2025</v>
      </c>
      <c r="D707" s="252">
        <v>2025</v>
      </c>
      <c r="E707" s="251">
        <f t="shared" si="23"/>
        <v>45809</v>
      </c>
      <c r="F707" s="252" t="s">
        <v>465</v>
      </c>
      <c r="G707" s="248" t="s">
        <v>140</v>
      </c>
      <c r="H707" s="242" t="str">
        <f>IFERROR(VLOOKUP(WTG_BD[[#This Row],[Affected WTG]],'Basic Data'!$A$3:$E$56,2,0),"")</f>
        <v>PWEGPL</v>
      </c>
      <c r="I707" s="242" t="str">
        <f>IFERROR(VLOOKUP(WTG_BD[[#This Row],[Affected WTG]],'Basic Data'!$A$3:$E$56,3,0),"")</f>
        <v>MSEDCL</v>
      </c>
      <c r="J707" s="243">
        <f>IFERROR(VLOOKUP(WTG_BD[[#This Row],[Affected WTG]],'Basic Data'!$A$3:$E$56,5,0),"")</f>
        <v>2.564102564102564E-2</v>
      </c>
      <c r="K707" s="158">
        <v>2100</v>
      </c>
      <c r="L707" s="247" t="str">
        <f>VLOOKUP(K707,'Basic Data'!T:U,2,0)</f>
        <v>PLC Voltage Recovery</v>
      </c>
      <c r="M707" s="135" t="s">
        <v>472</v>
      </c>
      <c r="N707" s="256">
        <v>0.87152777777777779</v>
      </c>
      <c r="O707" s="256">
        <v>0.90625</v>
      </c>
      <c r="P707" s="256">
        <v>0.90694444444444444</v>
      </c>
      <c r="Q707" s="253">
        <f>IF(WTG_BD[[#This Row],[Work Start TimeStamp]]="","",(WTG_BD[[#This Row],[Work Start TimeStamp]]-WTG_BD[[#This Row],[Fault Start TimeStamp]])*24)</f>
        <v>0.83333333333333304</v>
      </c>
      <c r="R707" s="253">
        <f>(WTG_BD[[#This Row],[Fault Clearance time]]-WTG_BD[[#This Row],[Work Start TimeStamp]])*24</f>
        <v>1.6666666666666607E-2</v>
      </c>
      <c r="S707" s="253">
        <f>(WTG_BD[[#This Row],[Fault Clearance time]]-WTG_BD[[#This Row],[Fault Start TimeStamp]])*24</f>
        <v>0.84999999999999964</v>
      </c>
      <c r="T707" s="135" t="s">
        <v>473</v>
      </c>
      <c r="U707" s="244" t="s">
        <v>474</v>
      </c>
      <c r="V707" s="246">
        <f>WTG_BD[[#This Row],[Breakdown Time]]*(1/39)</f>
        <v>2.1794871794871783E-2</v>
      </c>
      <c r="W707" s="244" t="s">
        <v>138</v>
      </c>
      <c r="X707" s="250">
        <v>83.760416666666629</v>
      </c>
      <c r="Y707" s="135" t="s">
        <v>470</v>
      </c>
      <c r="Z707" s="135" t="s">
        <v>475</v>
      </c>
      <c r="AA707" s="135">
        <v>2365</v>
      </c>
      <c r="AB707" s="249">
        <f>(WTG_BD[[#This Row],[Paired WTG Generation for loss calculation.]]/24)*WTG_BD[[#This Row],[Breakdown Time]]</f>
        <v>83.760416666666629</v>
      </c>
      <c r="AC707" s="135"/>
      <c r="AD707" s="245"/>
      <c r="AE707" s="3"/>
    </row>
    <row r="708" spans="1:31">
      <c r="A708" s="241">
        <f t="shared" si="22"/>
        <v>707</v>
      </c>
      <c r="B708" s="255">
        <v>45812</v>
      </c>
      <c r="C708" s="252">
        <v>2025</v>
      </c>
      <c r="D708" s="252">
        <v>2025</v>
      </c>
      <c r="E708" s="251">
        <f t="shared" si="23"/>
        <v>45809</v>
      </c>
      <c r="F708" s="252" t="s">
        <v>465</v>
      </c>
      <c r="G708" s="248" t="s">
        <v>138</v>
      </c>
      <c r="H708" s="242" t="str">
        <f>IFERROR(VLOOKUP(WTG_BD[[#This Row],[Affected WTG]],'Basic Data'!$A$3:$E$56,2,0),"")</f>
        <v>PWEGPL</v>
      </c>
      <c r="I708" s="242" t="str">
        <f>IFERROR(VLOOKUP(WTG_BD[[#This Row],[Affected WTG]],'Basic Data'!$A$3:$E$56,3,0),"")</f>
        <v>MSEDCL</v>
      </c>
      <c r="J708" s="243">
        <f>IFERROR(VLOOKUP(WTG_BD[[#This Row],[Affected WTG]],'Basic Data'!$A$3:$E$56,5,0),"")</f>
        <v>2.564102564102564E-2</v>
      </c>
      <c r="K708" s="158">
        <v>2100</v>
      </c>
      <c r="L708" s="247" t="str">
        <f>VLOOKUP(K708,'Basic Data'!T:U,2,0)</f>
        <v>PLC Voltage Recovery</v>
      </c>
      <c r="M708" s="135" t="s">
        <v>472</v>
      </c>
      <c r="N708" s="256">
        <v>0.87152777777777779</v>
      </c>
      <c r="O708" s="256">
        <v>0.90972222222222221</v>
      </c>
      <c r="P708" s="256">
        <v>0.91041666666666665</v>
      </c>
      <c r="Q708" s="253">
        <f>IF(WTG_BD[[#This Row],[Work Start TimeStamp]]="","",(WTG_BD[[#This Row],[Work Start TimeStamp]]-WTG_BD[[#This Row],[Fault Start TimeStamp]])*24)</f>
        <v>0.91666666666666607</v>
      </c>
      <c r="R708" s="253">
        <f>(WTG_BD[[#This Row],[Fault Clearance time]]-WTG_BD[[#This Row],[Work Start TimeStamp]])*24</f>
        <v>1.6666666666666607E-2</v>
      </c>
      <c r="S708" s="253">
        <f>(WTG_BD[[#This Row],[Fault Clearance time]]-WTG_BD[[#This Row],[Fault Start TimeStamp]])*24</f>
        <v>0.93333333333333268</v>
      </c>
      <c r="T708" s="135" t="s">
        <v>473</v>
      </c>
      <c r="U708" s="244" t="s">
        <v>474</v>
      </c>
      <c r="V708" s="246">
        <f>WTG_BD[[#This Row],[Breakdown Time]]*(1/39)</f>
        <v>2.3931623931623913E-2</v>
      </c>
      <c r="W708" s="244" t="s">
        <v>140</v>
      </c>
      <c r="X708" s="250">
        <v>91.855555555555497</v>
      </c>
      <c r="Y708" s="135" t="s">
        <v>470</v>
      </c>
      <c r="Z708" s="135" t="s">
        <v>475</v>
      </c>
      <c r="AA708" s="135">
        <v>2362</v>
      </c>
      <c r="AB708" s="249">
        <f>(WTG_BD[[#This Row],[Paired WTG Generation for loss calculation.]]/24)*WTG_BD[[#This Row],[Breakdown Time]]</f>
        <v>91.855555555555497</v>
      </c>
      <c r="AC708" s="135"/>
      <c r="AD708" s="245"/>
      <c r="AE708" s="3"/>
    </row>
    <row r="709" spans="1:31">
      <c r="A709" s="241">
        <f t="shared" si="22"/>
        <v>708</v>
      </c>
      <c r="B709" s="255">
        <v>45812</v>
      </c>
      <c r="C709" s="252">
        <v>2025</v>
      </c>
      <c r="D709" s="252">
        <v>2025</v>
      </c>
      <c r="E709" s="251">
        <f t="shared" si="23"/>
        <v>45809</v>
      </c>
      <c r="F709" s="252" t="s">
        <v>465</v>
      </c>
      <c r="G709" s="248" t="s">
        <v>141</v>
      </c>
      <c r="H709" s="242" t="str">
        <f>IFERROR(VLOOKUP(WTG_BD[[#This Row],[Affected WTG]],'Basic Data'!$A$3:$E$56,2,0),"")</f>
        <v>PWEGPL</v>
      </c>
      <c r="I709" s="242" t="str">
        <f>IFERROR(VLOOKUP(WTG_BD[[#This Row],[Affected WTG]],'Basic Data'!$A$3:$E$56,3,0),"")</f>
        <v>MSEDCL</v>
      </c>
      <c r="J709" s="243">
        <f>IFERROR(VLOOKUP(WTG_BD[[#This Row],[Affected WTG]],'Basic Data'!$A$3:$E$56,5,0),"")</f>
        <v>2.564102564102564E-2</v>
      </c>
      <c r="K709" s="158">
        <v>2100</v>
      </c>
      <c r="L709" s="247" t="str">
        <f>VLOOKUP(K709,'Basic Data'!T:U,2,0)</f>
        <v>PLC Voltage Recovery</v>
      </c>
      <c r="M709" s="135" t="s">
        <v>472</v>
      </c>
      <c r="N709" s="256">
        <v>0.87152777777777779</v>
      </c>
      <c r="O709" s="256">
        <v>0.91666666666666663</v>
      </c>
      <c r="P709" s="256">
        <v>0.91736111111111107</v>
      </c>
      <c r="Q709" s="253">
        <f>IF(WTG_BD[[#This Row],[Work Start TimeStamp]]="","",(WTG_BD[[#This Row],[Work Start TimeStamp]]-WTG_BD[[#This Row],[Fault Start TimeStamp]])*24)</f>
        <v>1.0833333333333321</v>
      </c>
      <c r="R709" s="253">
        <f>(WTG_BD[[#This Row],[Fault Clearance time]]-WTG_BD[[#This Row],[Work Start TimeStamp]])*24</f>
        <v>1.6666666666666607E-2</v>
      </c>
      <c r="S709" s="253">
        <f>(WTG_BD[[#This Row],[Fault Clearance time]]-WTG_BD[[#This Row],[Fault Start TimeStamp]])*24</f>
        <v>1.0999999999999988</v>
      </c>
      <c r="T709" s="135" t="s">
        <v>473</v>
      </c>
      <c r="U709" s="244" t="s">
        <v>474</v>
      </c>
      <c r="V709" s="246">
        <f>WTG_BD[[#This Row],[Breakdown Time]]*(1/39)</f>
        <v>2.8205128205128171E-2</v>
      </c>
      <c r="W709" s="244" t="s">
        <v>143</v>
      </c>
      <c r="X709" s="250">
        <v>108.71666666666654</v>
      </c>
      <c r="Y709" s="135" t="s">
        <v>470</v>
      </c>
      <c r="Z709" s="135" t="s">
        <v>475</v>
      </c>
      <c r="AA709" s="135">
        <v>2372</v>
      </c>
      <c r="AB709" s="249">
        <f>(WTG_BD[[#This Row],[Paired WTG Generation for loss calculation.]]/24)*WTG_BD[[#This Row],[Breakdown Time]]</f>
        <v>108.71666666666654</v>
      </c>
      <c r="AC709" s="135"/>
      <c r="AD709" s="245"/>
      <c r="AE709" s="3"/>
    </row>
    <row r="710" spans="1:31">
      <c r="A710" s="241">
        <f t="shared" ref="A710:A773" si="24">A709+1</f>
        <v>709</v>
      </c>
      <c r="B710" s="255">
        <v>45813</v>
      </c>
      <c r="C710" s="252">
        <v>2025</v>
      </c>
      <c r="D710" s="252">
        <v>2025</v>
      </c>
      <c r="E710" s="251">
        <f t="shared" si="23"/>
        <v>45809</v>
      </c>
      <c r="F710" s="252" t="s">
        <v>465</v>
      </c>
      <c r="G710" s="248" t="s">
        <v>144</v>
      </c>
      <c r="H710" s="242" t="str">
        <f>IFERROR(VLOOKUP(WTG_BD[[#This Row],[Affected WTG]],'Basic Data'!$A$3:$E$56,2,0),"")</f>
        <v>PWEGPL</v>
      </c>
      <c r="I710" s="242" t="str">
        <f>IFERROR(VLOOKUP(WTG_BD[[#This Row],[Affected WTG]],'Basic Data'!$A$3:$E$56,3,0),"")</f>
        <v>MSEDCL</v>
      </c>
      <c r="J710" s="243">
        <f>IFERROR(VLOOKUP(WTG_BD[[#This Row],[Affected WTG]],'Basic Data'!$A$3:$E$56,5,0),"")</f>
        <v>2.564102564102564E-2</v>
      </c>
      <c r="K710" s="158" t="s">
        <v>466</v>
      </c>
      <c r="L710" s="247" t="str">
        <f>VLOOKUP(K710,'Basic Data'!T:U,2,0)</f>
        <v>Manual Stop - Safety Related</v>
      </c>
      <c r="M710" s="135" t="s">
        <v>467</v>
      </c>
      <c r="N710" s="256">
        <v>0</v>
      </c>
      <c r="O710" s="256">
        <v>0.99998842592592596</v>
      </c>
      <c r="P710" s="256">
        <v>0.99998842592592596</v>
      </c>
      <c r="Q710" s="253">
        <f>IF(WTG_BD[[#This Row],[Work Start TimeStamp]]="","",(WTG_BD[[#This Row],[Work Start TimeStamp]]-WTG_BD[[#This Row],[Fault Start TimeStamp]])*24)</f>
        <v>23.999722222222225</v>
      </c>
      <c r="R710" s="253">
        <f>(WTG_BD[[#This Row],[Fault Clearance time]]-WTG_BD[[#This Row],[Work Start TimeStamp]])*24</f>
        <v>0</v>
      </c>
      <c r="S710" s="253">
        <f>(WTG_BD[[#This Row],[Fault Clearance time]]-WTG_BD[[#This Row],[Fault Start TimeStamp]])*24</f>
        <v>23.999722222222225</v>
      </c>
      <c r="T710" s="135" t="s">
        <v>468</v>
      </c>
      <c r="U710" s="244" t="s">
        <v>469</v>
      </c>
      <c r="V710" s="246">
        <f>WTG_BD[[#This Row],[Breakdown Time]]*(1/39)</f>
        <v>0.61537749287749288</v>
      </c>
      <c r="W710" s="244" t="s">
        <v>141</v>
      </c>
      <c r="X710" s="250">
        <v>6855.9206481481497</v>
      </c>
      <c r="Y710" s="135" t="s">
        <v>470</v>
      </c>
      <c r="Z710" s="135" t="s">
        <v>471</v>
      </c>
      <c r="AA710" s="135">
        <v>6856</v>
      </c>
      <c r="AB710" s="249">
        <f>(WTG_BD[[#This Row],[Paired WTG Generation for loss calculation.]]/24)*WTG_BD[[#This Row],[Breakdown Time]]</f>
        <v>6855.9206481481497</v>
      </c>
      <c r="AC710" s="135"/>
      <c r="AD710" s="245"/>
      <c r="AE710" s="3"/>
    </row>
    <row r="711" spans="1:31">
      <c r="A711" s="241">
        <f t="shared" si="24"/>
        <v>710</v>
      </c>
      <c r="B711" s="255">
        <v>45813</v>
      </c>
      <c r="C711" s="252">
        <v>2025</v>
      </c>
      <c r="D711" s="252">
        <v>2025</v>
      </c>
      <c r="E711" s="251">
        <f t="shared" si="23"/>
        <v>45809</v>
      </c>
      <c r="F711" s="252" t="s">
        <v>465</v>
      </c>
      <c r="G711" s="248" t="s">
        <v>142</v>
      </c>
      <c r="H711" s="242" t="str">
        <f>IFERROR(VLOOKUP(WTG_BD[[#This Row],[Affected WTG]],'Basic Data'!$A$3:$E$56,2,0),"")</f>
        <v>PWEGPL</v>
      </c>
      <c r="I711" s="242" t="str">
        <f>IFERROR(VLOOKUP(WTG_BD[[#This Row],[Affected WTG]],'Basic Data'!$A$3:$E$56,3,0),"")</f>
        <v>MSEDCL</v>
      </c>
      <c r="J711" s="243">
        <f>IFERROR(VLOOKUP(WTG_BD[[#This Row],[Affected WTG]],'Basic Data'!$A$3:$E$56,5,0),"")</f>
        <v>2.564102564102564E-2</v>
      </c>
      <c r="K711" s="158" t="s">
        <v>466</v>
      </c>
      <c r="L711" s="247" t="str">
        <f>VLOOKUP(K711,'Basic Data'!T:U,2,0)</f>
        <v>Manual Stop - Safety Related</v>
      </c>
      <c r="M711" s="135" t="s">
        <v>467</v>
      </c>
      <c r="N711" s="256">
        <v>0</v>
      </c>
      <c r="O711" s="256">
        <v>0.99998842592592596</v>
      </c>
      <c r="P711" s="256">
        <v>0.99998842592592596</v>
      </c>
      <c r="Q711" s="253">
        <f>IF(WTG_BD[[#This Row],[Work Start TimeStamp]]="","",(WTG_BD[[#This Row],[Work Start TimeStamp]]-WTG_BD[[#This Row],[Fault Start TimeStamp]])*24)</f>
        <v>23.999722222222225</v>
      </c>
      <c r="R711" s="253">
        <f>(WTG_BD[[#This Row],[Fault Clearance time]]-WTG_BD[[#This Row],[Work Start TimeStamp]])*24</f>
        <v>0</v>
      </c>
      <c r="S711" s="253">
        <f>(WTG_BD[[#This Row],[Fault Clearance time]]-WTG_BD[[#This Row],[Fault Start TimeStamp]])*24</f>
        <v>23.999722222222225</v>
      </c>
      <c r="T711" s="135" t="s">
        <v>468</v>
      </c>
      <c r="U711" s="244" t="s">
        <v>469</v>
      </c>
      <c r="V711" s="246">
        <f>WTG_BD[[#This Row],[Breakdown Time]]*(1/39)</f>
        <v>0.61537749287749288</v>
      </c>
      <c r="W711" s="244" t="s">
        <v>141</v>
      </c>
      <c r="X711" s="250">
        <v>6855.9206481481497</v>
      </c>
      <c r="Y711" s="135" t="s">
        <v>470</v>
      </c>
      <c r="Z711" s="135" t="s">
        <v>471</v>
      </c>
      <c r="AA711" s="135">
        <v>6856</v>
      </c>
      <c r="AB711" s="249">
        <f>(WTG_BD[[#This Row],[Paired WTG Generation for loss calculation.]]/24)*WTG_BD[[#This Row],[Breakdown Time]]</f>
        <v>6855.9206481481497</v>
      </c>
      <c r="AC711" s="135"/>
      <c r="AD711" s="245"/>
      <c r="AE711" s="3"/>
    </row>
    <row r="712" spans="1:31">
      <c r="A712" s="241">
        <f t="shared" si="24"/>
        <v>711</v>
      </c>
      <c r="B712" s="255">
        <v>45813</v>
      </c>
      <c r="C712" s="252">
        <v>2025</v>
      </c>
      <c r="D712" s="252">
        <v>2025</v>
      </c>
      <c r="E712" s="251">
        <f t="shared" si="23"/>
        <v>45809</v>
      </c>
      <c r="F712" s="252" t="s">
        <v>465</v>
      </c>
      <c r="G712" s="248" t="s">
        <v>118</v>
      </c>
      <c r="H712" s="242" t="str">
        <f>IFERROR(VLOOKUP(WTG_BD[[#This Row],[Affected WTG]],'Basic Data'!$A$3:$E$56,2,0),"")</f>
        <v>PWEGPL</v>
      </c>
      <c r="I712" s="242" t="str">
        <f>IFERROR(VLOOKUP(WTG_BD[[#This Row],[Affected WTG]],'Basic Data'!$A$3:$E$56,3,0),"")</f>
        <v>MSEDCL</v>
      </c>
      <c r="J712" s="243">
        <f>IFERROR(VLOOKUP(WTG_BD[[#This Row],[Affected WTG]],'Basic Data'!$A$3:$E$56,5,0),"")</f>
        <v>2.564102564102564E-2</v>
      </c>
      <c r="K712" s="158">
        <v>2118</v>
      </c>
      <c r="L712" s="247" t="str">
        <f>VLOOKUP(K712,'Basic Data'!T:U,2,0)</f>
        <v>Bus Error - Interbus Failure</v>
      </c>
      <c r="M712" s="135" t="s">
        <v>472</v>
      </c>
      <c r="N712" s="256">
        <v>0.45902777777777776</v>
      </c>
      <c r="O712" s="256">
        <v>0.48472222222222222</v>
      </c>
      <c r="P712" s="256">
        <v>0.50486111111111109</v>
      </c>
      <c r="Q712" s="253">
        <f>IF(WTG_BD[[#This Row],[Work Start TimeStamp]]="","",(WTG_BD[[#This Row],[Work Start TimeStamp]]-WTG_BD[[#This Row],[Fault Start TimeStamp]])*24)</f>
        <v>0.61666666666666714</v>
      </c>
      <c r="R712" s="253">
        <f>(WTG_BD[[#This Row],[Fault Clearance time]]-WTG_BD[[#This Row],[Work Start TimeStamp]])*24</f>
        <v>0.48333333333333295</v>
      </c>
      <c r="S712" s="253">
        <f>(WTG_BD[[#This Row],[Fault Clearance time]]-WTG_BD[[#This Row],[Fault Start TimeStamp]])*24</f>
        <v>1.1000000000000001</v>
      </c>
      <c r="T712" s="135" t="s">
        <v>554</v>
      </c>
      <c r="U712" s="244" t="s">
        <v>474</v>
      </c>
      <c r="V712" s="246">
        <f>WTG_BD[[#This Row],[Breakdown Time]]*(1/39)</f>
        <v>2.8205128205128206E-2</v>
      </c>
      <c r="W712" s="244" t="s">
        <v>117</v>
      </c>
      <c r="X712" s="250">
        <v>413.18750000000006</v>
      </c>
      <c r="Y712" s="135" t="s">
        <v>470</v>
      </c>
      <c r="Z712" s="135" t="s">
        <v>475</v>
      </c>
      <c r="AA712" s="135">
        <v>9015</v>
      </c>
      <c r="AB712" s="249">
        <f>(WTG_BD[[#This Row],[Paired WTG Generation for loss calculation.]]/24)*WTG_BD[[#This Row],[Breakdown Time]]</f>
        <v>413.18750000000006</v>
      </c>
      <c r="AC712" s="135"/>
      <c r="AD712" s="245"/>
      <c r="AE712" s="3"/>
    </row>
    <row r="713" spans="1:31">
      <c r="A713" s="241">
        <f t="shared" si="24"/>
        <v>712</v>
      </c>
      <c r="B713" s="255">
        <v>45813</v>
      </c>
      <c r="C713" s="252">
        <v>2025</v>
      </c>
      <c r="D713" s="252">
        <v>2025</v>
      </c>
      <c r="E713" s="251">
        <f t="shared" si="23"/>
        <v>45809</v>
      </c>
      <c r="F713" s="252" t="s">
        <v>465</v>
      </c>
      <c r="G713" s="248" t="s">
        <v>120</v>
      </c>
      <c r="H713" s="242" t="str">
        <f>IFERROR(VLOOKUP(WTG_BD[[#This Row],[Affected WTG]],'Basic Data'!$A$3:$E$56,2,0),"")</f>
        <v>PWEGPL</v>
      </c>
      <c r="I713" s="242" t="str">
        <f>IFERROR(VLOOKUP(WTG_BD[[#This Row],[Affected WTG]],'Basic Data'!$A$3:$E$56,3,0),"")</f>
        <v>MSEDCL</v>
      </c>
      <c r="J713" s="243">
        <f>IFERROR(VLOOKUP(WTG_BD[[#This Row],[Affected WTG]],'Basic Data'!$A$3:$E$56,5,0),"")</f>
        <v>2.564102564102564E-2</v>
      </c>
      <c r="K713" s="158" t="s">
        <v>549</v>
      </c>
      <c r="L713" s="247" t="str">
        <f>VLOOKUP(K713,'Basic Data'!T:U,2,0)</f>
        <v>Manual Stop - Preventive Maintenance Activity</v>
      </c>
      <c r="M713" s="135" t="s">
        <v>550</v>
      </c>
      <c r="N713" s="256">
        <v>0.47708333333333336</v>
      </c>
      <c r="O713" s="256">
        <v>0.47708333333333336</v>
      </c>
      <c r="P713" s="256">
        <v>0.76388888888888884</v>
      </c>
      <c r="Q713" s="253">
        <f>IF(WTG_BD[[#This Row],[Work Start TimeStamp]]="","",(WTG_BD[[#This Row],[Work Start TimeStamp]]-WTG_BD[[#This Row],[Fault Start TimeStamp]])*24)</f>
        <v>0</v>
      </c>
      <c r="R713" s="253">
        <f>(WTG_BD[[#This Row],[Fault Clearance time]]-WTG_BD[[#This Row],[Work Start TimeStamp]])*24</f>
        <v>6.8833333333333311</v>
      </c>
      <c r="S713" s="253">
        <f>(WTG_BD[[#This Row],[Fault Clearance time]]-WTG_BD[[#This Row],[Fault Start TimeStamp]])*24</f>
        <v>6.8833333333333311</v>
      </c>
      <c r="T713" s="135" t="s">
        <v>571</v>
      </c>
      <c r="U713" s="244" t="s">
        <v>474</v>
      </c>
      <c r="V713" s="246">
        <f>WTG_BD[[#This Row],[Breakdown Time]]*(1/39)</f>
        <v>0.17649572649572642</v>
      </c>
      <c r="W713" s="244" t="s">
        <v>117</v>
      </c>
      <c r="X713" s="250">
        <v>2585.5520833333326</v>
      </c>
      <c r="Y713" s="135" t="s">
        <v>470</v>
      </c>
      <c r="Z713" s="135" t="s">
        <v>552</v>
      </c>
      <c r="AA713" s="135">
        <v>9015</v>
      </c>
      <c r="AB713" s="249">
        <f>(WTG_BD[[#This Row],[Paired WTG Generation for loss calculation.]]/24)*WTG_BD[[#This Row],[Breakdown Time]]</f>
        <v>2585.5520833333326</v>
      </c>
      <c r="AC713" s="135"/>
      <c r="AD713" s="245"/>
      <c r="AE713" s="3"/>
    </row>
    <row r="714" spans="1:31">
      <c r="A714" s="241">
        <f t="shared" si="24"/>
        <v>713</v>
      </c>
      <c r="B714" s="255">
        <v>45813</v>
      </c>
      <c r="C714" s="252">
        <v>2025</v>
      </c>
      <c r="D714" s="252">
        <v>2025</v>
      </c>
      <c r="E714" s="251">
        <f t="shared" si="23"/>
        <v>45809</v>
      </c>
      <c r="F714" s="252" t="s">
        <v>465</v>
      </c>
      <c r="G714" s="248" t="s">
        <v>125</v>
      </c>
      <c r="H714" s="242" t="str">
        <f>IFERROR(VLOOKUP(WTG_BD[[#This Row],[Affected WTG]],'Basic Data'!$A$3:$E$56,2,0),"")</f>
        <v>PWEGPL</v>
      </c>
      <c r="I714" s="242" t="str">
        <f>IFERROR(VLOOKUP(WTG_BD[[#This Row],[Affected WTG]],'Basic Data'!$A$3:$E$56,3,0),"")</f>
        <v>MSEDCL</v>
      </c>
      <c r="J714" s="243">
        <f>IFERROR(VLOOKUP(WTG_BD[[#This Row],[Affected WTG]],'Basic Data'!$A$3:$E$56,5,0),"")</f>
        <v>2.564102564102564E-2</v>
      </c>
      <c r="K714" s="158">
        <v>116</v>
      </c>
      <c r="L714" s="247" t="str">
        <f>VLOOKUP(K714,'Basic Data'!T:U,2,0)</f>
        <v>Orienting and High Yaw Brake Pressure</v>
      </c>
      <c r="M714" s="135" t="s">
        <v>472</v>
      </c>
      <c r="N714" s="256">
        <v>0.70694444444444449</v>
      </c>
      <c r="O714" s="256">
        <v>0.72847222222222219</v>
      </c>
      <c r="P714" s="256">
        <v>0.72916666666666663</v>
      </c>
      <c r="Q714" s="253">
        <f>IF(WTG_BD[[#This Row],[Work Start TimeStamp]]="","",(WTG_BD[[#This Row],[Work Start TimeStamp]]-WTG_BD[[#This Row],[Fault Start TimeStamp]])*24)</f>
        <v>0.51666666666666483</v>
      </c>
      <c r="R714" s="253">
        <f>(WTG_BD[[#This Row],[Fault Clearance time]]-WTG_BD[[#This Row],[Work Start TimeStamp]])*24</f>
        <v>1.6666666666666607E-2</v>
      </c>
      <c r="S714" s="253">
        <f>(WTG_BD[[#This Row],[Fault Clearance time]]-WTG_BD[[#This Row],[Fault Start TimeStamp]])*24</f>
        <v>0.53333333333333144</v>
      </c>
      <c r="T714" s="135" t="s">
        <v>473</v>
      </c>
      <c r="U714" s="244" t="s">
        <v>474</v>
      </c>
      <c r="V714" s="246">
        <f>WTG_BD[[#This Row],[Breakdown Time]]*(1/39)</f>
        <v>1.3675213675213627E-2</v>
      </c>
      <c r="W714" s="244" t="s">
        <v>124</v>
      </c>
      <c r="X714" s="250">
        <v>200.42222222222151</v>
      </c>
      <c r="Y714" s="135" t="s">
        <v>470</v>
      </c>
      <c r="Z714" s="135" t="s">
        <v>475</v>
      </c>
      <c r="AA714" s="135">
        <v>9019</v>
      </c>
      <c r="AB714" s="249">
        <f>(WTG_BD[[#This Row],[Paired WTG Generation for loss calculation.]]/24)*WTG_BD[[#This Row],[Breakdown Time]]</f>
        <v>200.42222222222151</v>
      </c>
      <c r="AC714" s="135"/>
      <c r="AD714" s="245"/>
      <c r="AE714" s="3"/>
    </row>
    <row r="715" spans="1:31">
      <c r="A715" s="241">
        <f t="shared" si="24"/>
        <v>714</v>
      </c>
      <c r="B715" s="255">
        <v>45813</v>
      </c>
      <c r="C715" s="252">
        <v>2025</v>
      </c>
      <c r="D715" s="252">
        <v>2025</v>
      </c>
      <c r="E715" s="251">
        <f t="shared" si="23"/>
        <v>45809</v>
      </c>
      <c r="F715" s="252" t="s">
        <v>465</v>
      </c>
      <c r="G715" s="248" t="s">
        <v>128</v>
      </c>
      <c r="H715" s="242" t="str">
        <f>IFERROR(VLOOKUP(WTG_BD[[#This Row],[Affected WTG]],'Basic Data'!$A$3:$E$56,2,0),"")</f>
        <v>PWEGPL</v>
      </c>
      <c r="I715" s="242" t="str">
        <f>IFERROR(VLOOKUP(WTG_BD[[#This Row],[Affected WTG]],'Basic Data'!$A$3:$E$56,3,0),"")</f>
        <v>MSEDCL</v>
      </c>
      <c r="J715" s="243">
        <f>IFERROR(VLOOKUP(WTG_BD[[#This Row],[Affected WTG]],'Basic Data'!$A$3:$E$56,5,0),"")</f>
        <v>2.564102564102564E-2</v>
      </c>
      <c r="K715" s="158">
        <v>116</v>
      </c>
      <c r="L715" s="247" t="str">
        <f>VLOOKUP(K715,'Basic Data'!T:U,2,0)</f>
        <v>Orienting and High Yaw Brake Pressure</v>
      </c>
      <c r="M715" s="135" t="s">
        <v>472</v>
      </c>
      <c r="N715" s="256">
        <v>0.46875</v>
      </c>
      <c r="O715" s="256">
        <v>0.48055555555555557</v>
      </c>
      <c r="P715" s="256">
        <v>0.48125000000000001</v>
      </c>
      <c r="Q715" s="253">
        <f>IF(WTG_BD[[#This Row],[Work Start TimeStamp]]="","",(WTG_BD[[#This Row],[Work Start TimeStamp]]-WTG_BD[[#This Row],[Fault Start TimeStamp]])*24)</f>
        <v>0.28333333333333366</v>
      </c>
      <c r="R715" s="253">
        <f>(WTG_BD[[#This Row],[Fault Clearance time]]-WTG_BD[[#This Row],[Work Start TimeStamp]])*24</f>
        <v>1.6666666666666607E-2</v>
      </c>
      <c r="S715" s="253">
        <f>(WTG_BD[[#This Row],[Fault Clearance time]]-WTG_BD[[#This Row],[Fault Start TimeStamp]])*24</f>
        <v>0.30000000000000027</v>
      </c>
      <c r="T715" s="135" t="s">
        <v>473</v>
      </c>
      <c r="U715" s="244" t="s">
        <v>474</v>
      </c>
      <c r="V715" s="246">
        <f>WTG_BD[[#This Row],[Breakdown Time]]*(1/39)</f>
        <v>7.6923076923076988E-3</v>
      </c>
      <c r="W715" s="244" t="s">
        <v>129</v>
      </c>
      <c r="X715" s="250">
        <v>100.26250000000009</v>
      </c>
      <c r="Y715" s="135" t="s">
        <v>470</v>
      </c>
      <c r="Z715" s="135" t="s">
        <v>475</v>
      </c>
      <c r="AA715" s="135">
        <v>8021</v>
      </c>
      <c r="AB715" s="249">
        <f>(WTG_BD[[#This Row],[Paired WTG Generation for loss calculation.]]/24)*WTG_BD[[#This Row],[Breakdown Time]]</f>
        <v>100.26250000000009</v>
      </c>
      <c r="AC715" s="135"/>
      <c r="AD715" s="245"/>
      <c r="AE715" s="3"/>
    </row>
    <row r="716" spans="1:31">
      <c r="A716" s="241">
        <f t="shared" si="24"/>
        <v>715</v>
      </c>
      <c r="B716" s="255">
        <v>45813</v>
      </c>
      <c r="C716" s="252">
        <v>2025</v>
      </c>
      <c r="D716" s="252">
        <v>2025</v>
      </c>
      <c r="E716" s="251">
        <f t="shared" si="23"/>
        <v>45809</v>
      </c>
      <c r="F716" s="252" t="s">
        <v>465</v>
      </c>
      <c r="G716" s="248" t="s">
        <v>133</v>
      </c>
      <c r="H716" s="242" t="str">
        <f>IFERROR(VLOOKUP(WTG_BD[[#This Row],[Affected WTG]],'Basic Data'!$A$3:$E$56,2,0),"")</f>
        <v>PWEGPL</v>
      </c>
      <c r="I716" s="242" t="str">
        <f>IFERROR(VLOOKUP(WTG_BD[[#This Row],[Affected WTG]],'Basic Data'!$A$3:$E$56,3,0),"")</f>
        <v>MSEDCL</v>
      </c>
      <c r="J716" s="243">
        <f>IFERROR(VLOOKUP(WTG_BD[[#This Row],[Affected WTG]],'Basic Data'!$A$3:$E$56,5,0),"")</f>
        <v>2.564102564102564E-2</v>
      </c>
      <c r="K716" s="158">
        <v>2118</v>
      </c>
      <c r="L716" s="247" t="str">
        <f>VLOOKUP(K716,'Basic Data'!T:U,2,0)</f>
        <v>Bus Error - Interbus Failure</v>
      </c>
      <c r="M716" s="135" t="s">
        <v>472</v>
      </c>
      <c r="N716" s="256">
        <v>0.64583333333333337</v>
      </c>
      <c r="O716" s="256">
        <v>0.65972222222222221</v>
      </c>
      <c r="P716" s="256">
        <v>0.68055555555555558</v>
      </c>
      <c r="Q716" s="253">
        <f>IF(WTG_BD[[#This Row],[Work Start TimeStamp]]="","",(WTG_BD[[#This Row],[Work Start TimeStamp]]-WTG_BD[[#This Row],[Fault Start TimeStamp]])*24)</f>
        <v>0.33333333333333215</v>
      </c>
      <c r="R716" s="253">
        <f>(WTG_BD[[#This Row],[Fault Clearance time]]-WTG_BD[[#This Row],[Work Start TimeStamp]])*24</f>
        <v>0.50000000000000089</v>
      </c>
      <c r="S716" s="253">
        <f>(WTG_BD[[#This Row],[Fault Clearance time]]-WTG_BD[[#This Row],[Fault Start TimeStamp]])*24</f>
        <v>0.83333333333333304</v>
      </c>
      <c r="T716" s="135" t="s">
        <v>554</v>
      </c>
      <c r="U716" s="244" t="s">
        <v>474</v>
      </c>
      <c r="V716" s="246">
        <f>WTG_BD[[#This Row],[Breakdown Time]]*(1/39)</f>
        <v>2.1367521367521358E-2</v>
      </c>
      <c r="W716" s="244" t="s">
        <v>132</v>
      </c>
      <c r="X716" s="250">
        <v>278.43749999999989</v>
      </c>
      <c r="Y716" s="135" t="s">
        <v>470</v>
      </c>
      <c r="Z716" s="135" t="s">
        <v>475</v>
      </c>
      <c r="AA716" s="135">
        <v>8019</v>
      </c>
      <c r="AB716" s="249">
        <f>(WTG_BD[[#This Row],[Paired WTG Generation for loss calculation.]]/24)*WTG_BD[[#This Row],[Breakdown Time]]</f>
        <v>278.43749999999989</v>
      </c>
      <c r="AC716" s="135"/>
      <c r="AD716" s="245"/>
      <c r="AE716" s="3"/>
    </row>
    <row r="717" spans="1:31">
      <c r="A717" s="241">
        <f t="shared" si="24"/>
        <v>716</v>
      </c>
      <c r="B717" s="255">
        <v>45813</v>
      </c>
      <c r="C717" s="252">
        <v>2025</v>
      </c>
      <c r="D717" s="252">
        <v>2025</v>
      </c>
      <c r="E717" s="251">
        <f t="shared" si="23"/>
        <v>45809</v>
      </c>
      <c r="F717" s="252" t="s">
        <v>465</v>
      </c>
      <c r="G717" s="248" t="s">
        <v>149</v>
      </c>
      <c r="H717" s="242" t="str">
        <f>IFERROR(VLOOKUP(WTG_BD[[#This Row],[Affected WTG]],'Basic Data'!$A$3:$E$56,2,0),"")</f>
        <v>PWEGPL</v>
      </c>
      <c r="I717" s="242" t="str">
        <f>IFERROR(VLOOKUP(WTG_BD[[#This Row],[Affected WTG]],'Basic Data'!$A$3:$E$56,3,0),"")</f>
        <v>MSEDCL</v>
      </c>
      <c r="J717" s="243">
        <f>IFERROR(VLOOKUP(WTG_BD[[#This Row],[Affected WTG]],'Basic Data'!$A$3:$E$56,5,0),"")</f>
        <v>2.564102564102564E-2</v>
      </c>
      <c r="K717" s="158" t="s">
        <v>514</v>
      </c>
      <c r="L717" s="247" t="str">
        <f>VLOOKUP(K717,'Basic Data'!T:U,2,0)</f>
        <v>General Work Stoppage</v>
      </c>
      <c r="M717" s="135" t="s">
        <v>496</v>
      </c>
      <c r="N717" s="256">
        <v>0.51041666666666663</v>
      </c>
      <c r="O717" s="256">
        <v>0.51041666666666663</v>
      </c>
      <c r="P717" s="256">
        <v>0.57291666666666663</v>
      </c>
      <c r="Q717" s="253">
        <f>IF(WTG_BD[[#This Row],[Work Start TimeStamp]]="","",(WTG_BD[[#This Row],[Work Start TimeStamp]]-WTG_BD[[#This Row],[Fault Start TimeStamp]])*24)</f>
        <v>0</v>
      </c>
      <c r="R717" s="253">
        <f>(WTG_BD[[#This Row],[Fault Clearance time]]-WTG_BD[[#This Row],[Work Start TimeStamp]])*24</f>
        <v>1.5</v>
      </c>
      <c r="S717" s="253">
        <f>(WTG_BD[[#This Row],[Fault Clearance time]]-WTG_BD[[#This Row],[Fault Start TimeStamp]])*24</f>
        <v>1.5</v>
      </c>
      <c r="T717" s="135" t="s">
        <v>632</v>
      </c>
      <c r="U717" s="244" t="s">
        <v>474</v>
      </c>
      <c r="V717" s="246">
        <f>WTG_BD[[#This Row],[Breakdown Time]]*(1/39)</f>
        <v>3.8461538461538464E-2</v>
      </c>
      <c r="W717" s="244" t="s">
        <v>148</v>
      </c>
      <c r="X717" s="250">
        <v>389.5</v>
      </c>
      <c r="Y717" s="135" t="s">
        <v>470</v>
      </c>
      <c r="Z717" s="135" t="s">
        <v>498</v>
      </c>
      <c r="AA717" s="135">
        <v>6232</v>
      </c>
      <c r="AB717" s="249">
        <f>(WTG_BD[[#This Row],[Paired WTG Generation for loss calculation.]]/24)*WTG_BD[[#This Row],[Breakdown Time]]</f>
        <v>389.5</v>
      </c>
      <c r="AC717" s="135"/>
      <c r="AD717" s="245"/>
      <c r="AE717" s="3"/>
    </row>
    <row r="718" spans="1:31">
      <c r="A718" s="241">
        <f t="shared" si="24"/>
        <v>717</v>
      </c>
      <c r="B718" s="255">
        <v>45813</v>
      </c>
      <c r="C718" s="252">
        <v>2025</v>
      </c>
      <c r="D718" s="252">
        <v>2025</v>
      </c>
      <c r="E718" s="251">
        <f t="shared" si="23"/>
        <v>45809</v>
      </c>
      <c r="F718" s="252" t="s">
        <v>465</v>
      </c>
      <c r="G718" s="248" t="s">
        <v>150</v>
      </c>
      <c r="H718" s="242" t="str">
        <f>IFERROR(VLOOKUP(WTG_BD[[#This Row],[Affected WTG]],'Basic Data'!$A$3:$E$56,2,0),"")</f>
        <v>PWEGPL</v>
      </c>
      <c r="I718" s="242" t="str">
        <f>IFERROR(VLOOKUP(WTG_BD[[#This Row],[Affected WTG]],'Basic Data'!$A$3:$E$56,3,0),"")</f>
        <v>MSEDCL</v>
      </c>
      <c r="J718" s="243">
        <f>IFERROR(VLOOKUP(WTG_BD[[#This Row],[Affected WTG]],'Basic Data'!$A$3:$E$56,5,0),"")</f>
        <v>2.564102564102564E-2</v>
      </c>
      <c r="K718" s="158">
        <v>2118</v>
      </c>
      <c r="L718" s="247" t="str">
        <f>VLOOKUP(K718,'Basic Data'!T:U,2,0)</f>
        <v>Bus Error - Interbus Failure</v>
      </c>
      <c r="M718" s="135" t="s">
        <v>472</v>
      </c>
      <c r="N718" s="256">
        <v>0.45833333333333331</v>
      </c>
      <c r="O718" s="256">
        <v>0.47708333333333336</v>
      </c>
      <c r="P718" s="256">
        <v>0.50347222222222221</v>
      </c>
      <c r="Q718" s="253">
        <f>IF(WTG_BD[[#This Row],[Work Start TimeStamp]]="","",(WTG_BD[[#This Row],[Work Start TimeStamp]]-WTG_BD[[#This Row],[Fault Start TimeStamp]])*24)</f>
        <v>0.45000000000000107</v>
      </c>
      <c r="R718" s="253">
        <f>(WTG_BD[[#This Row],[Fault Clearance time]]-WTG_BD[[#This Row],[Work Start TimeStamp]])*24</f>
        <v>0.63333333333333242</v>
      </c>
      <c r="S718" s="253">
        <f>(WTG_BD[[#This Row],[Fault Clearance time]]-WTG_BD[[#This Row],[Fault Start TimeStamp]])*24</f>
        <v>1.0833333333333335</v>
      </c>
      <c r="T718" s="135" t="s">
        <v>554</v>
      </c>
      <c r="U718" s="244" t="s">
        <v>474</v>
      </c>
      <c r="V718" s="246">
        <f>WTG_BD[[#This Row],[Breakdown Time]]*(1/39)</f>
        <v>2.777777777777778E-2</v>
      </c>
      <c r="W718" s="244" t="s">
        <v>149</v>
      </c>
      <c r="X718" s="250">
        <v>252.28125000000003</v>
      </c>
      <c r="Y718" s="135" t="s">
        <v>470</v>
      </c>
      <c r="Z718" s="135" t="s">
        <v>475</v>
      </c>
      <c r="AA718" s="135">
        <v>5589</v>
      </c>
      <c r="AB718" s="249">
        <f>(WTG_BD[[#This Row],[Paired WTG Generation for loss calculation.]]/24)*WTG_BD[[#This Row],[Breakdown Time]]</f>
        <v>252.28125000000003</v>
      </c>
      <c r="AC718" s="135"/>
      <c r="AD718" s="245"/>
      <c r="AE718" s="3"/>
    </row>
    <row r="719" spans="1:31">
      <c r="A719" s="241">
        <f t="shared" si="24"/>
        <v>718</v>
      </c>
      <c r="B719" s="255">
        <v>45814</v>
      </c>
      <c r="C719" s="252">
        <v>2025</v>
      </c>
      <c r="D719" s="252">
        <v>2025</v>
      </c>
      <c r="E719" s="251">
        <f t="shared" si="23"/>
        <v>45809</v>
      </c>
      <c r="F719" s="252" t="s">
        <v>465</v>
      </c>
      <c r="G719" s="248" t="s">
        <v>144</v>
      </c>
      <c r="H719" s="242" t="str">
        <f>IFERROR(VLOOKUP(WTG_BD[[#This Row],[Affected WTG]],'Basic Data'!$A$3:$E$56,2,0),"")</f>
        <v>PWEGPL</v>
      </c>
      <c r="I719" s="242" t="str">
        <f>IFERROR(VLOOKUP(WTG_BD[[#This Row],[Affected WTG]],'Basic Data'!$A$3:$E$56,3,0),"")</f>
        <v>MSEDCL</v>
      </c>
      <c r="J719" s="243">
        <f>IFERROR(VLOOKUP(WTG_BD[[#This Row],[Affected WTG]],'Basic Data'!$A$3:$E$56,5,0),"")</f>
        <v>2.564102564102564E-2</v>
      </c>
      <c r="K719" s="158" t="s">
        <v>466</v>
      </c>
      <c r="L719" s="247" t="str">
        <f>VLOOKUP(K719,'Basic Data'!T:U,2,0)</f>
        <v>Manual Stop - Safety Related</v>
      </c>
      <c r="M719" s="135" t="s">
        <v>467</v>
      </c>
      <c r="N719" s="256">
        <v>0</v>
      </c>
      <c r="O719" s="256">
        <v>0.99998842592592596</v>
      </c>
      <c r="P719" s="256">
        <v>0.99998842592592596</v>
      </c>
      <c r="Q719" s="253">
        <f>IF(WTG_BD[[#This Row],[Work Start TimeStamp]]="","",(WTG_BD[[#This Row],[Work Start TimeStamp]]-WTG_BD[[#This Row],[Fault Start TimeStamp]])*24)</f>
        <v>23.999722222222225</v>
      </c>
      <c r="R719" s="253">
        <f>(WTG_BD[[#This Row],[Fault Clearance time]]-WTG_BD[[#This Row],[Work Start TimeStamp]])*24</f>
        <v>0</v>
      </c>
      <c r="S719" s="253">
        <f>(WTG_BD[[#This Row],[Fault Clearance time]]-WTG_BD[[#This Row],[Fault Start TimeStamp]])*24</f>
        <v>23.999722222222225</v>
      </c>
      <c r="T719" s="135" t="s">
        <v>468</v>
      </c>
      <c r="U719" s="244" t="s">
        <v>469</v>
      </c>
      <c r="V719" s="246">
        <f>WTG_BD[[#This Row],[Breakdown Time]]*(1/39)</f>
        <v>0.61537749287749288</v>
      </c>
      <c r="W719" s="244" t="s">
        <v>141</v>
      </c>
      <c r="X719" s="250">
        <v>9361.8916435185183</v>
      </c>
      <c r="Y719" s="135" t="s">
        <v>470</v>
      </c>
      <c r="Z719" s="135" t="s">
        <v>471</v>
      </c>
      <c r="AA719" s="135">
        <v>9362</v>
      </c>
      <c r="AB719" s="249">
        <f>(WTG_BD[[#This Row],[Paired WTG Generation for loss calculation.]]/24)*WTG_BD[[#This Row],[Breakdown Time]]</f>
        <v>9361.8916435185183</v>
      </c>
      <c r="AC719" s="135"/>
      <c r="AD719" s="245"/>
      <c r="AE719" s="3"/>
    </row>
    <row r="720" spans="1:31">
      <c r="A720" s="241">
        <f t="shared" si="24"/>
        <v>719</v>
      </c>
      <c r="B720" s="255">
        <v>45814</v>
      </c>
      <c r="C720" s="252">
        <v>2025</v>
      </c>
      <c r="D720" s="252">
        <v>2025</v>
      </c>
      <c r="E720" s="251">
        <f t="shared" si="23"/>
        <v>45809</v>
      </c>
      <c r="F720" s="252" t="s">
        <v>465</v>
      </c>
      <c r="G720" s="248" t="s">
        <v>142</v>
      </c>
      <c r="H720" s="242" t="str">
        <f>IFERROR(VLOOKUP(WTG_BD[[#This Row],[Affected WTG]],'Basic Data'!$A$3:$E$56,2,0),"")</f>
        <v>PWEGPL</v>
      </c>
      <c r="I720" s="242" t="str">
        <f>IFERROR(VLOOKUP(WTG_BD[[#This Row],[Affected WTG]],'Basic Data'!$A$3:$E$56,3,0),"")</f>
        <v>MSEDCL</v>
      </c>
      <c r="J720" s="243">
        <f>IFERROR(VLOOKUP(WTG_BD[[#This Row],[Affected WTG]],'Basic Data'!$A$3:$E$56,5,0),"")</f>
        <v>2.564102564102564E-2</v>
      </c>
      <c r="K720" s="158" t="s">
        <v>466</v>
      </c>
      <c r="L720" s="247" t="str">
        <f>VLOOKUP(K720,'Basic Data'!T:U,2,0)</f>
        <v>Manual Stop - Safety Related</v>
      </c>
      <c r="M720" s="135" t="s">
        <v>467</v>
      </c>
      <c r="N720" s="256">
        <v>0</v>
      </c>
      <c r="O720" s="256">
        <v>0.99998842592592596</v>
      </c>
      <c r="P720" s="256">
        <v>0.99998842592592596</v>
      </c>
      <c r="Q720" s="253">
        <f>IF(WTG_BD[[#This Row],[Work Start TimeStamp]]="","",(WTG_BD[[#This Row],[Work Start TimeStamp]]-WTG_BD[[#This Row],[Fault Start TimeStamp]])*24)</f>
        <v>23.999722222222225</v>
      </c>
      <c r="R720" s="253">
        <f>(WTG_BD[[#This Row],[Fault Clearance time]]-WTG_BD[[#This Row],[Work Start TimeStamp]])*24</f>
        <v>0</v>
      </c>
      <c r="S720" s="253">
        <f>(WTG_BD[[#This Row],[Fault Clearance time]]-WTG_BD[[#This Row],[Fault Start TimeStamp]])*24</f>
        <v>23.999722222222225</v>
      </c>
      <c r="T720" s="135" t="s">
        <v>468</v>
      </c>
      <c r="U720" s="244" t="s">
        <v>469</v>
      </c>
      <c r="V720" s="246">
        <f>WTG_BD[[#This Row],[Breakdown Time]]*(1/39)</f>
        <v>0.61537749287749288</v>
      </c>
      <c r="W720" s="244" t="s">
        <v>141</v>
      </c>
      <c r="X720" s="250">
        <v>9361.8916435185183</v>
      </c>
      <c r="Y720" s="135" t="s">
        <v>470</v>
      </c>
      <c r="Z720" s="135" t="s">
        <v>471</v>
      </c>
      <c r="AA720" s="135">
        <v>9362</v>
      </c>
      <c r="AB720" s="249">
        <f>(WTG_BD[[#This Row],[Paired WTG Generation for loss calculation.]]/24)*WTG_BD[[#This Row],[Breakdown Time]]</f>
        <v>9361.8916435185183</v>
      </c>
      <c r="AC720" s="135"/>
      <c r="AD720" s="245"/>
      <c r="AE720" s="3"/>
    </row>
    <row r="721" spans="1:31">
      <c r="A721" s="241">
        <f t="shared" si="24"/>
        <v>720</v>
      </c>
      <c r="B721" s="255">
        <v>45814</v>
      </c>
      <c r="C721" s="252">
        <v>2025</v>
      </c>
      <c r="D721" s="252">
        <v>2025</v>
      </c>
      <c r="E721" s="251">
        <f t="shared" si="23"/>
        <v>45809</v>
      </c>
      <c r="F721" s="252" t="s">
        <v>465</v>
      </c>
      <c r="G721" s="248" t="s">
        <v>117</v>
      </c>
      <c r="H721" s="242" t="str">
        <f>IFERROR(VLOOKUP(WTG_BD[[#This Row],[Affected WTG]],'Basic Data'!$A$3:$E$56,2,0),"")</f>
        <v>PWEGPL</v>
      </c>
      <c r="I721" s="242" t="str">
        <f>IFERROR(VLOOKUP(WTG_BD[[#This Row],[Affected WTG]],'Basic Data'!$A$3:$E$56,3,0),"")</f>
        <v>MSEDCL</v>
      </c>
      <c r="J721" s="243">
        <f>IFERROR(VLOOKUP(WTG_BD[[#This Row],[Affected WTG]],'Basic Data'!$A$3:$E$56,5,0),"")</f>
        <v>2.564102564102564E-2</v>
      </c>
      <c r="K721" s="158" t="s">
        <v>549</v>
      </c>
      <c r="L721" s="247" t="str">
        <f>VLOOKUP(K721,'Basic Data'!T:U,2,0)</f>
        <v>Manual Stop - Preventive Maintenance Activity</v>
      </c>
      <c r="M721" s="135" t="s">
        <v>550</v>
      </c>
      <c r="N721" s="256">
        <v>0.48333333333333334</v>
      </c>
      <c r="O721" s="256">
        <v>0.48333333333333334</v>
      </c>
      <c r="P721" s="256">
        <v>0.7583333333333333</v>
      </c>
      <c r="Q721" s="253">
        <f>IF(WTG_BD[[#This Row],[Work Start TimeStamp]]="","",(WTG_BD[[#This Row],[Work Start TimeStamp]]-WTG_BD[[#This Row],[Fault Start TimeStamp]])*24)</f>
        <v>0</v>
      </c>
      <c r="R721" s="253">
        <f>(WTG_BD[[#This Row],[Fault Clearance time]]-WTG_BD[[#This Row],[Work Start TimeStamp]])*24</f>
        <v>6.6</v>
      </c>
      <c r="S721" s="253">
        <f>(WTG_BD[[#This Row],[Fault Clearance time]]-WTG_BD[[#This Row],[Fault Start TimeStamp]])*24</f>
        <v>6.6</v>
      </c>
      <c r="T721" s="135" t="s">
        <v>571</v>
      </c>
      <c r="U721" s="244" t="s">
        <v>474</v>
      </c>
      <c r="V721" s="246">
        <f>WTG_BD[[#This Row],[Breakdown Time]]*(1/39)</f>
        <v>0.16923076923076921</v>
      </c>
      <c r="W721" s="244" t="s">
        <v>118</v>
      </c>
      <c r="X721" s="250">
        <v>4016.65</v>
      </c>
      <c r="Y721" s="135" t="s">
        <v>470</v>
      </c>
      <c r="Z721" s="135" t="s">
        <v>552</v>
      </c>
      <c r="AA721" s="135">
        <v>14606</v>
      </c>
      <c r="AB721" s="249">
        <f>(WTG_BD[[#This Row],[Paired WTG Generation for loss calculation.]]/24)*WTG_BD[[#This Row],[Breakdown Time]]</f>
        <v>4016.65</v>
      </c>
      <c r="AC721" s="135"/>
      <c r="AD721" s="245"/>
      <c r="AE721" s="3"/>
    </row>
    <row r="722" spans="1:31">
      <c r="A722" s="241">
        <f t="shared" si="24"/>
        <v>721</v>
      </c>
      <c r="B722" s="255">
        <v>45814</v>
      </c>
      <c r="C722" s="252">
        <v>2025</v>
      </c>
      <c r="D722" s="252">
        <v>2025</v>
      </c>
      <c r="E722" s="251">
        <f t="shared" si="23"/>
        <v>45809</v>
      </c>
      <c r="F722" s="252" t="s">
        <v>465</v>
      </c>
      <c r="G722" s="248" t="s">
        <v>128</v>
      </c>
      <c r="H722" s="242" t="str">
        <f>IFERROR(VLOOKUP(WTG_BD[[#This Row],[Affected WTG]],'Basic Data'!$A$3:$E$56,2,0),"")</f>
        <v>PWEGPL</v>
      </c>
      <c r="I722" s="242" t="str">
        <f>IFERROR(VLOOKUP(WTG_BD[[#This Row],[Affected WTG]],'Basic Data'!$A$3:$E$56,3,0),"")</f>
        <v>MSEDCL</v>
      </c>
      <c r="J722" s="243">
        <f>IFERROR(VLOOKUP(WTG_BD[[#This Row],[Affected WTG]],'Basic Data'!$A$3:$E$56,5,0),"")</f>
        <v>2.564102564102564E-2</v>
      </c>
      <c r="K722" s="158" t="s">
        <v>523</v>
      </c>
      <c r="L722" s="247" t="str">
        <f>VLOOKUP(K722,'Basic Data'!T:U,2,0)</f>
        <v>Manual Stop</v>
      </c>
      <c r="M722" s="135" t="s">
        <v>496</v>
      </c>
      <c r="N722" s="256">
        <v>0.4513888888888889</v>
      </c>
      <c r="O722" s="256">
        <v>0.4513888888888889</v>
      </c>
      <c r="P722" s="256">
        <v>0.48958333333333331</v>
      </c>
      <c r="Q722" s="253">
        <f>IF(WTG_BD[[#This Row],[Work Start TimeStamp]]="","",(WTG_BD[[#This Row],[Work Start TimeStamp]]-WTG_BD[[#This Row],[Fault Start TimeStamp]])*24)</f>
        <v>0</v>
      </c>
      <c r="R722" s="253">
        <f>(WTG_BD[[#This Row],[Fault Clearance time]]-WTG_BD[[#This Row],[Work Start TimeStamp]])*24</f>
        <v>0.91666666666666607</v>
      </c>
      <c r="S722" s="253">
        <f>(WTG_BD[[#This Row],[Fault Clearance time]]-WTG_BD[[#This Row],[Fault Start TimeStamp]])*24</f>
        <v>0.91666666666666607</v>
      </c>
      <c r="T722" s="135" t="s">
        <v>635</v>
      </c>
      <c r="U722" s="244" t="s">
        <v>474</v>
      </c>
      <c r="V722" s="246">
        <f>WTG_BD[[#This Row],[Breakdown Time]]*(1/39)</f>
        <v>2.3504273504273487E-2</v>
      </c>
      <c r="W722" s="244" t="s">
        <v>129</v>
      </c>
      <c r="X722" s="250">
        <v>490.60763888888863</v>
      </c>
      <c r="Y722" s="135" t="s">
        <v>470</v>
      </c>
      <c r="Z722" s="135" t="s">
        <v>475</v>
      </c>
      <c r="AA722" s="135">
        <v>12845</v>
      </c>
      <c r="AB722" s="249">
        <f>(WTG_BD[[#This Row],[Paired WTG Generation for loss calculation.]]/24)*WTG_BD[[#This Row],[Breakdown Time]]</f>
        <v>490.60763888888863</v>
      </c>
      <c r="AC722" s="135"/>
      <c r="AD722" s="245"/>
      <c r="AE722" s="3"/>
    </row>
    <row r="723" spans="1:31">
      <c r="A723" s="241">
        <f t="shared" si="24"/>
        <v>722</v>
      </c>
      <c r="B723" s="255">
        <v>45814</v>
      </c>
      <c r="C723" s="252">
        <v>2025</v>
      </c>
      <c r="D723" s="252">
        <v>2025</v>
      </c>
      <c r="E723" s="251">
        <f t="shared" si="23"/>
        <v>45809</v>
      </c>
      <c r="F723" s="252" t="s">
        <v>465</v>
      </c>
      <c r="G723" s="248" t="s">
        <v>150</v>
      </c>
      <c r="H723" s="242" t="str">
        <f>IFERROR(VLOOKUP(WTG_BD[[#This Row],[Affected WTG]],'Basic Data'!$A$3:$E$56,2,0),"")</f>
        <v>PWEGPL</v>
      </c>
      <c r="I723" s="242" t="str">
        <f>IFERROR(VLOOKUP(WTG_BD[[#This Row],[Affected WTG]],'Basic Data'!$A$3:$E$56,3,0),"")</f>
        <v>MSEDCL</v>
      </c>
      <c r="J723" s="243">
        <f>IFERROR(VLOOKUP(WTG_BD[[#This Row],[Affected WTG]],'Basic Data'!$A$3:$E$56,5,0),"")</f>
        <v>2.564102564102564E-2</v>
      </c>
      <c r="K723" s="158">
        <v>205</v>
      </c>
      <c r="L723" s="247" t="str">
        <f>VLOOKUP(K723,'Basic Data'!T:U,2,0)</f>
        <v>Low Level Hydraulic Group Refrigeration Oil</v>
      </c>
      <c r="M723" s="135" t="s">
        <v>472</v>
      </c>
      <c r="N723" s="256">
        <v>0.72916666666666663</v>
      </c>
      <c r="O723" s="256">
        <v>0.75069444444444444</v>
      </c>
      <c r="P723" s="256">
        <v>0.89513888888888893</v>
      </c>
      <c r="Q723" s="253">
        <f>IF(WTG_BD[[#This Row],[Work Start TimeStamp]]="","",(WTG_BD[[#This Row],[Work Start TimeStamp]]-WTG_BD[[#This Row],[Fault Start TimeStamp]])*24)</f>
        <v>0.5166666666666675</v>
      </c>
      <c r="R723" s="253">
        <f>(WTG_BD[[#This Row],[Fault Clearance time]]-WTG_BD[[#This Row],[Work Start TimeStamp]])*24</f>
        <v>3.4666666666666677</v>
      </c>
      <c r="S723" s="253">
        <f>(WTG_BD[[#This Row],[Fault Clearance time]]-WTG_BD[[#This Row],[Fault Start TimeStamp]])*24</f>
        <v>3.9833333333333352</v>
      </c>
      <c r="T723" s="135" t="s">
        <v>636</v>
      </c>
      <c r="U723" s="244" t="s">
        <v>474</v>
      </c>
      <c r="V723" s="246">
        <f>WTG_BD[[#This Row],[Breakdown Time]]*(1/39)</f>
        <v>0.10213675213675218</v>
      </c>
      <c r="W723" s="244" t="s">
        <v>149</v>
      </c>
      <c r="X723" s="250">
        <v>1291.2638888888896</v>
      </c>
      <c r="Y723" s="135" t="s">
        <v>470</v>
      </c>
      <c r="Z723" s="135" t="s">
        <v>498</v>
      </c>
      <c r="AA723" s="135">
        <v>7780</v>
      </c>
      <c r="AB723" s="249">
        <f>(WTG_BD[[#This Row],[Paired WTG Generation for loss calculation.]]/24)*WTG_BD[[#This Row],[Breakdown Time]]</f>
        <v>1291.2638888888896</v>
      </c>
      <c r="AC723" s="135"/>
      <c r="AD723" s="245"/>
      <c r="AE723" s="3"/>
    </row>
    <row r="724" spans="1:31">
      <c r="A724" s="241">
        <f t="shared" si="24"/>
        <v>723</v>
      </c>
      <c r="B724" s="255">
        <v>45815</v>
      </c>
      <c r="C724" s="252">
        <v>2025</v>
      </c>
      <c r="D724" s="252">
        <v>2025</v>
      </c>
      <c r="E724" s="251">
        <f t="shared" si="23"/>
        <v>45809</v>
      </c>
      <c r="F724" s="252" t="s">
        <v>465</v>
      </c>
      <c r="G724" s="248" t="s">
        <v>144</v>
      </c>
      <c r="H724" s="242" t="str">
        <f>IFERROR(VLOOKUP(WTG_BD[[#This Row],[Affected WTG]],'Basic Data'!$A$3:$E$56,2,0),"")</f>
        <v>PWEGPL</v>
      </c>
      <c r="I724" s="242" t="str">
        <f>IFERROR(VLOOKUP(WTG_BD[[#This Row],[Affected WTG]],'Basic Data'!$A$3:$E$56,3,0),"")</f>
        <v>MSEDCL</v>
      </c>
      <c r="J724" s="243">
        <f>IFERROR(VLOOKUP(WTG_BD[[#This Row],[Affected WTG]],'Basic Data'!$A$3:$E$56,5,0),"")</f>
        <v>2.564102564102564E-2</v>
      </c>
      <c r="K724" s="158" t="s">
        <v>466</v>
      </c>
      <c r="L724" s="247" t="str">
        <f>VLOOKUP(K724,'Basic Data'!T:U,2,0)</f>
        <v>Manual Stop - Safety Related</v>
      </c>
      <c r="M724" s="135" t="s">
        <v>467</v>
      </c>
      <c r="N724" s="256">
        <v>0</v>
      </c>
      <c r="O724" s="256">
        <v>0.99998842592592596</v>
      </c>
      <c r="P724" s="256">
        <v>0.99998842592592596</v>
      </c>
      <c r="Q724" s="253">
        <f>IF(WTG_BD[[#This Row],[Work Start TimeStamp]]="","",(WTG_BD[[#This Row],[Work Start TimeStamp]]-WTG_BD[[#This Row],[Fault Start TimeStamp]])*24)</f>
        <v>23.999722222222225</v>
      </c>
      <c r="R724" s="253">
        <f>(WTG_BD[[#This Row],[Fault Clearance time]]-WTG_BD[[#This Row],[Work Start TimeStamp]])*24</f>
        <v>0</v>
      </c>
      <c r="S724" s="253">
        <f>(WTG_BD[[#This Row],[Fault Clearance time]]-WTG_BD[[#This Row],[Fault Start TimeStamp]])*24</f>
        <v>23.999722222222225</v>
      </c>
      <c r="T724" s="135" t="s">
        <v>468</v>
      </c>
      <c r="U724" s="244" t="s">
        <v>469</v>
      </c>
      <c r="V724" s="246">
        <f>WTG_BD[[#This Row],[Breakdown Time]]*(1/39)</f>
        <v>0.61537749287749288</v>
      </c>
      <c r="W724" s="244" t="s">
        <v>141</v>
      </c>
      <c r="X724" s="250">
        <v>12589.85428240741</v>
      </c>
      <c r="Y724" s="135" t="s">
        <v>470</v>
      </c>
      <c r="Z724" s="135" t="s">
        <v>471</v>
      </c>
      <c r="AA724" s="135">
        <v>12590</v>
      </c>
      <c r="AB724" s="249">
        <f>(WTG_BD[[#This Row],[Paired WTG Generation for loss calculation.]]/24)*WTG_BD[[#This Row],[Breakdown Time]]</f>
        <v>12589.85428240741</v>
      </c>
      <c r="AC724" s="135"/>
      <c r="AD724" s="245"/>
      <c r="AE724" s="3"/>
    </row>
    <row r="725" spans="1:31">
      <c r="A725" s="241">
        <f t="shared" si="24"/>
        <v>724</v>
      </c>
      <c r="B725" s="255">
        <v>45815</v>
      </c>
      <c r="C725" s="252">
        <v>2025</v>
      </c>
      <c r="D725" s="252">
        <v>2025</v>
      </c>
      <c r="E725" s="251">
        <f t="shared" si="23"/>
        <v>45809</v>
      </c>
      <c r="F725" s="252" t="s">
        <v>465</v>
      </c>
      <c r="G725" s="248" t="s">
        <v>142</v>
      </c>
      <c r="H725" s="242" t="str">
        <f>IFERROR(VLOOKUP(WTG_BD[[#This Row],[Affected WTG]],'Basic Data'!$A$3:$E$56,2,0),"")</f>
        <v>PWEGPL</v>
      </c>
      <c r="I725" s="242" t="str">
        <f>IFERROR(VLOOKUP(WTG_BD[[#This Row],[Affected WTG]],'Basic Data'!$A$3:$E$56,3,0),"")</f>
        <v>MSEDCL</v>
      </c>
      <c r="J725" s="243">
        <f>IFERROR(VLOOKUP(WTG_BD[[#This Row],[Affected WTG]],'Basic Data'!$A$3:$E$56,5,0),"")</f>
        <v>2.564102564102564E-2</v>
      </c>
      <c r="K725" s="158" t="s">
        <v>466</v>
      </c>
      <c r="L725" s="247" t="str">
        <f>VLOOKUP(K725,'Basic Data'!T:U,2,0)</f>
        <v>Manual Stop - Safety Related</v>
      </c>
      <c r="M725" s="135" t="s">
        <v>467</v>
      </c>
      <c r="N725" s="256">
        <v>0</v>
      </c>
      <c r="O725" s="256">
        <v>0.99998842592592596</v>
      </c>
      <c r="P725" s="256">
        <v>0.99998842592592596</v>
      </c>
      <c r="Q725" s="253">
        <f>IF(WTG_BD[[#This Row],[Work Start TimeStamp]]="","",(WTG_BD[[#This Row],[Work Start TimeStamp]]-WTG_BD[[#This Row],[Fault Start TimeStamp]])*24)</f>
        <v>23.999722222222225</v>
      </c>
      <c r="R725" s="253">
        <f>(WTG_BD[[#This Row],[Fault Clearance time]]-WTG_BD[[#This Row],[Work Start TimeStamp]])*24</f>
        <v>0</v>
      </c>
      <c r="S725" s="253">
        <f>(WTG_BD[[#This Row],[Fault Clearance time]]-WTG_BD[[#This Row],[Fault Start TimeStamp]])*24</f>
        <v>23.999722222222225</v>
      </c>
      <c r="T725" s="135" t="s">
        <v>468</v>
      </c>
      <c r="U725" s="244" t="s">
        <v>469</v>
      </c>
      <c r="V725" s="246">
        <f>WTG_BD[[#This Row],[Breakdown Time]]*(1/39)</f>
        <v>0.61537749287749288</v>
      </c>
      <c r="W725" s="244" t="s">
        <v>141</v>
      </c>
      <c r="X725" s="250">
        <v>12589.85428240741</v>
      </c>
      <c r="Y725" s="135" t="s">
        <v>470</v>
      </c>
      <c r="Z725" s="135" t="s">
        <v>471</v>
      </c>
      <c r="AA725" s="135">
        <v>12590</v>
      </c>
      <c r="AB725" s="249">
        <f>(WTG_BD[[#This Row],[Paired WTG Generation for loss calculation.]]/24)*WTG_BD[[#This Row],[Breakdown Time]]</f>
        <v>12589.85428240741</v>
      </c>
      <c r="AC725" s="135"/>
      <c r="AD725" s="245"/>
      <c r="AE725" s="3"/>
    </row>
    <row r="726" spans="1:31">
      <c r="A726" s="241">
        <f t="shared" si="24"/>
        <v>725</v>
      </c>
      <c r="B726" s="255">
        <v>45815</v>
      </c>
      <c r="C726" s="252">
        <v>2025</v>
      </c>
      <c r="D726" s="252">
        <v>2025</v>
      </c>
      <c r="E726" s="251">
        <f t="shared" si="23"/>
        <v>45809</v>
      </c>
      <c r="F726" s="252" t="s">
        <v>465</v>
      </c>
      <c r="G726" s="248" t="s">
        <v>118</v>
      </c>
      <c r="H726" s="242" t="str">
        <f>IFERROR(VLOOKUP(WTG_BD[[#This Row],[Affected WTG]],'Basic Data'!$A$3:$E$56,2,0),"")</f>
        <v>PWEGPL</v>
      </c>
      <c r="I726" s="242" t="str">
        <f>IFERROR(VLOOKUP(WTG_BD[[#This Row],[Affected WTG]],'Basic Data'!$A$3:$E$56,3,0),"")</f>
        <v>MSEDCL</v>
      </c>
      <c r="J726" s="243">
        <f>IFERROR(VLOOKUP(WTG_BD[[#This Row],[Affected WTG]],'Basic Data'!$A$3:$E$56,5,0),"")</f>
        <v>2.564102564102564E-2</v>
      </c>
      <c r="K726" s="158" t="s">
        <v>549</v>
      </c>
      <c r="L726" s="247" t="str">
        <f>VLOOKUP(K726,'Basic Data'!T:U,2,0)</f>
        <v>Manual Stop - Preventive Maintenance Activity</v>
      </c>
      <c r="M726" s="135" t="s">
        <v>550</v>
      </c>
      <c r="N726" s="256">
        <v>0.46527777777777779</v>
      </c>
      <c r="O726" s="256">
        <v>0.46527777777777779</v>
      </c>
      <c r="P726" s="256">
        <v>0.75347222222222221</v>
      </c>
      <c r="Q726" s="253">
        <f>IF(WTG_BD[[#This Row],[Work Start TimeStamp]]="","",(WTG_BD[[#This Row],[Work Start TimeStamp]]-WTG_BD[[#This Row],[Fault Start TimeStamp]])*24)</f>
        <v>0</v>
      </c>
      <c r="R726" s="253">
        <f>(WTG_BD[[#This Row],[Fault Clearance time]]-WTG_BD[[#This Row],[Work Start TimeStamp]])*24</f>
        <v>6.9166666666666661</v>
      </c>
      <c r="S726" s="253">
        <f>(WTG_BD[[#This Row],[Fault Clearance time]]-WTG_BD[[#This Row],[Fault Start TimeStamp]])*24</f>
        <v>6.9166666666666661</v>
      </c>
      <c r="T726" s="135" t="s">
        <v>571</v>
      </c>
      <c r="U726" s="244" t="s">
        <v>474</v>
      </c>
      <c r="V726" s="246">
        <f>WTG_BD[[#This Row],[Breakdown Time]]*(1/39)</f>
        <v>0.17735042735042733</v>
      </c>
      <c r="W726" s="244" t="s">
        <v>117</v>
      </c>
      <c r="X726" s="250">
        <v>5708.8437499999991</v>
      </c>
      <c r="Y726" s="135" t="s">
        <v>470</v>
      </c>
      <c r="Z726" s="135" t="s">
        <v>552</v>
      </c>
      <c r="AA726" s="135">
        <v>19809</v>
      </c>
      <c r="AB726" s="249">
        <f>(WTG_BD[[#This Row],[Paired WTG Generation for loss calculation.]]/24)*WTG_BD[[#This Row],[Breakdown Time]]</f>
        <v>5708.8437499999991</v>
      </c>
      <c r="AC726" s="135"/>
      <c r="AD726" s="245"/>
      <c r="AE726" s="3"/>
    </row>
    <row r="727" spans="1:31">
      <c r="A727" s="241">
        <f t="shared" si="24"/>
        <v>726</v>
      </c>
      <c r="B727" s="255">
        <v>45815</v>
      </c>
      <c r="C727" s="252">
        <v>2025</v>
      </c>
      <c r="D727" s="252">
        <v>2025</v>
      </c>
      <c r="E727" s="251">
        <f t="shared" si="23"/>
        <v>45809</v>
      </c>
      <c r="F727" s="252" t="s">
        <v>465</v>
      </c>
      <c r="G727" s="248" t="s">
        <v>141</v>
      </c>
      <c r="H727" s="242" t="str">
        <f>IFERROR(VLOOKUP(WTG_BD[[#This Row],[Affected WTG]],'Basic Data'!$A$3:$E$56,2,0),"")</f>
        <v>PWEGPL</v>
      </c>
      <c r="I727" s="242" t="str">
        <f>IFERROR(VLOOKUP(WTG_BD[[#This Row],[Affected WTG]],'Basic Data'!$A$3:$E$56,3,0),"")</f>
        <v>MSEDCL</v>
      </c>
      <c r="J727" s="243">
        <f>IFERROR(VLOOKUP(WTG_BD[[#This Row],[Affected WTG]],'Basic Data'!$A$3:$E$56,5,0),"")</f>
        <v>2.564102564102564E-2</v>
      </c>
      <c r="K727" s="158" t="s">
        <v>523</v>
      </c>
      <c r="L727" s="247" t="str">
        <f>VLOOKUP(K727,'Basic Data'!T:U,2,0)</f>
        <v>Manual Stop</v>
      </c>
      <c r="M727" s="135" t="s">
        <v>496</v>
      </c>
      <c r="N727" s="256">
        <v>0.46458333333333335</v>
      </c>
      <c r="O727" s="256">
        <v>0.46458333333333335</v>
      </c>
      <c r="P727" s="256">
        <v>0.56597222222222221</v>
      </c>
      <c r="Q727" s="253">
        <f>IF(WTG_BD[[#This Row],[Work Start TimeStamp]]="","",(WTG_BD[[#This Row],[Work Start TimeStamp]]-WTG_BD[[#This Row],[Fault Start TimeStamp]])*24)</f>
        <v>0</v>
      </c>
      <c r="R727" s="253">
        <f>(WTG_BD[[#This Row],[Fault Clearance time]]-WTG_BD[[#This Row],[Work Start TimeStamp]])*24</f>
        <v>2.4333333333333327</v>
      </c>
      <c r="S727" s="253">
        <f>(WTG_BD[[#This Row],[Fault Clearance time]]-WTG_BD[[#This Row],[Fault Start TimeStamp]])*24</f>
        <v>2.4333333333333327</v>
      </c>
      <c r="T727" s="135" t="s">
        <v>632</v>
      </c>
      <c r="U727" s="244" t="s">
        <v>474</v>
      </c>
      <c r="V727" s="246">
        <f>WTG_BD[[#This Row],[Breakdown Time]]*(1/39)</f>
        <v>6.2393162393162373E-2</v>
      </c>
      <c r="W727" s="244" t="s">
        <v>143</v>
      </c>
      <c r="X727" s="250">
        <v>1271.6194444444443</v>
      </c>
      <c r="Y727" s="135" t="s">
        <v>470</v>
      </c>
      <c r="Z727" s="135" t="s">
        <v>498</v>
      </c>
      <c r="AA727" s="135">
        <v>12542</v>
      </c>
      <c r="AB727" s="249">
        <f>(WTG_BD[[#This Row],[Paired WTG Generation for loss calculation.]]/24)*WTG_BD[[#This Row],[Breakdown Time]]</f>
        <v>1271.6194444444443</v>
      </c>
      <c r="AC727" s="135"/>
      <c r="AD727" s="245"/>
      <c r="AE727" s="3"/>
    </row>
    <row r="728" spans="1:31">
      <c r="A728" s="241">
        <f t="shared" si="24"/>
        <v>727</v>
      </c>
      <c r="B728" s="255">
        <v>45815</v>
      </c>
      <c r="C728" s="252">
        <v>2025</v>
      </c>
      <c r="D728" s="252">
        <v>2025</v>
      </c>
      <c r="E728" s="251">
        <f t="shared" si="23"/>
        <v>45809</v>
      </c>
      <c r="F728" s="252" t="s">
        <v>465</v>
      </c>
      <c r="G728" s="248" t="s">
        <v>143</v>
      </c>
      <c r="H728" s="242" t="str">
        <f>IFERROR(VLOOKUP(WTG_BD[[#This Row],[Affected WTG]],'Basic Data'!$A$3:$E$56,2,0),"")</f>
        <v>PWEGPL</v>
      </c>
      <c r="I728" s="242" t="str">
        <f>IFERROR(VLOOKUP(WTG_BD[[#This Row],[Affected WTG]],'Basic Data'!$A$3:$E$56,3,0),"")</f>
        <v>MSEDCL</v>
      </c>
      <c r="J728" s="243">
        <f>IFERROR(VLOOKUP(WTG_BD[[#This Row],[Affected WTG]],'Basic Data'!$A$3:$E$56,5,0),"")</f>
        <v>2.564102564102564E-2</v>
      </c>
      <c r="K728" s="158" t="s">
        <v>523</v>
      </c>
      <c r="L728" s="247" t="str">
        <f>VLOOKUP(K728,'Basic Data'!T:U,2,0)</f>
        <v>Manual Stop</v>
      </c>
      <c r="M728" s="135" t="s">
        <v>496</v>
      </c>
      <c r="N728" s="256">
        <v>0.6</v>
      </c>
      <c r="O728" s="256">
        <v>0.6</v>
      </c>
      <c r="P728" s="256">
        <v>0.68055555555555558</v>
      </c>
      <c r="Q728" s="253">
        <f>IF(WTG_BD[[#This Row],[Work Start TimeStamp]]="","",(WTG_BD[[#This Row],[Work Start TimeStamp]]-WTG_BD[[#This Row],[Fault Start TimeStamp]])*24)</f>
        <v>0</v>
      </c>
      <c r="R728" s="253">
        <f>(WTG_BD[[#This Row],[Fault Clearance time]]-WTG_BD[[#This Row],[Work Start TimeStamp]])*24</f>
        <v>1.9333333333333345</v>
      </c>
      <c r="S728" s="253">
        <f>(WTG_BD[[#This Row],[Fault Clearance time]]-WTG_BD[[#This Row],[Fault Start TimeStamp]])*24</f>
        <v>1.9333333333333345</v>
      </c>
      <c r="T728" s="135" t="s">
        <v>632</v>
      </c>
      <c r="U728" s="244" t="s">
        <v>474</v>
      </c>
      <c r="V728" s="246">
        <f>WTG_BD[[#This Row],[Breakdown Time]]*(1/39)</f>
        <v>4.9572649572649598E-2</v>
      </c>
      <c r="W728" s="244" t="s">
        <v>141</v>
      </c>
      <c r="X728" s="250">
        <v>1014.1944444444451</v>
      </c>
      <c r="Y728" s="135" t="s">
        <v>470</v>
      </c>
      <c r="Z728" s="135" t="s">
        <v>498</v>
      </c>
      <c r="AA728" s="135">
        <v>12590</v>
      </c>
      <c r="AB728" s="249">
        <f>(WTG_BD[[#This Row],[Paired WTG Generation for loss calculation.]]/24)*WTG_BD[[#This Row],[Breakdown Time]]</f>
        <v>1014.1944444444451</v>
      </c>
      <c r="AC728" s="135"/>
      <c r="AD728" s="245"/>
      <c r="AE728" s="3"/>
    </row>
    <row r="729" spans="1:31">
      <c r="A729" s="241">
        <f t="shared" si="24"/>
        <v>728</v>
      </c>
      <c r="B729" s="255">
        <v>45816</v>
      </c>
      <c r="C729" s="252">
        <v>2025</v>
      </c>
      <c r="D729" s="252">
        <v>2025</v>
      </c>
      <c r="E729" s="251">
        <f t="shared" si="23"/>
        <v>45809</v>
      </c>
      <c r="F729" s="252" t="s">
        <v>465</v>
      </c>
      <c r="G729" s="248" t="s">
        <v>144</v>
      </c>
      <c r="H729" s="242" t="str">
        <f>IFERROR(VLOOKUP(WTG_BD[[#This Row],[Affected WTG]],'Basic Data'!$A$3:$E$56,2,0),"")</f>
        <v>PWEGPL</v>
      </c>
      <c r="I729" s="242" t="str">
        <f>IFERROR(VLOOKUP(WTG_BD[[#This Row],[Affected WTG]],'Basic Data'!$A$3:$E$56,3,0),"")</f>
        <v>MSEDCL</v>
      </c>
      <c r="J729" s="243">
        <f>IFERROR(VLOOKUP(WTG_BD[[#This Row],[Affected WTG]],'Basic Data'!$A$3:$E$56,5,0),"")</f>
        <v>2.564102564102564E-2</v>
      </c>
      <c r="K729" s="158" t="s">
        <v>466</v>
      </c>
      <c r="L729" s="247" t="str">
        <f>VLOOKUP(K729,'Basic Data'!T:U,2,0)</f>
        <v>Manual Stop - Safety Related</v>
      </c>
      <c r="M729" s="135" t="s">
        <v>467</v>
      </c>
      <c r="N729" s="256">
        <v>0</v>
      </c>
      <c r="O729" s="256">
        <v>0.99998842592592596</v>
      </c>
      <c r="P729" s="256">
        <v>0.99998842592592596</v>
      </c>
      <c r="Q729" s="253">
        <f>IF(WTG_BD[[#This Row],[Work Start TimeStamp]]="","",(WTG_BD[[#This Row],[Work Start TimeStamp]]-WTG_BD[[#This Row],[Fault Start TimeStamp]])*24)</f>
        <v>23.999722222222225</v>
      </c>
      <c r="R729" s="253">
        <f>(WTG_BD[[#This Row],[Fault Clearance time]]-WTG_BD[[#This Row],[Work Start TimeStamp]])*24</f>
        <v>0</v>
      </c>
      <c r="S729" s="253">
        <f>(WTG_BD[[#This Row],[Fault Clearance time]]-WTG_BD[[#This Row],[Fault Start TimeStamp]])*24</f>
        <v>23.999722222222225</v>
      </c>
      <c r="T729" s="135" t="s">
        <v>468</v>
      </c>
      <c r="U729" s="244" t="s">
        <v>469</v>
      </c>
      <c r="V729" s="246">
        <f>WTG_BD[[#This Row],[Breakdown Time]]*(1/39)</f>
        <v>0.61537749287749288</v>
      </c>
      <c r="W729" s="244" t="s">
        <v>141</v>
      </c>
      <c r="X729" s="250">
        <v>12124.859664351852</v>
      </c>
      <c r="Y729" s="135" t="s">
        <v>470</v>
      </c>
      <c r="Z729" s="135" t="s">
        <v>471</v>
      </c>
      <c r="AA729" s="135">
        <v>12125</v>
      </c>
      <c r="AB729" s="249">
        <f>(WTG_BD[[#This Row],[Paired WTG Generation for loss calculation.]]/24)*WTG_BD[[#This Row],[Breakdown Time]]</f>
        <v>12124.859664351852</v>
      </c>
      <c r="AC729" s="135"/>
      <c r="AD729" s="245"/>
      <c r="AE729" s="3"/>
    </row>
    <row r="730" spans="1:31">
      <c r="A730" s="241">
        <f t="shared" si="24"/>
        <v>729</v>
      </c>
      <c r="B730" s="255">
        <v>45816</v>
      </c>
      <c r="C730" s="252">
        <v>2025</v>
      </c>
      <c r="D730" s="252">
        <v>2025</v>
      </c>
      <c r="E730" s="251">
        <f t="shared" si="23"/>
        <v>45809</v>
      </c>
      <c r="F730" s="252" t="s">
        <v>465</v>
      </c>
      <c r="G730" s="248" t="s">
        <v>142</v>
      </c>
      <c r="H730" s="242" t="str">
        <f>IFERROR(VLOOKUP(WTG_BD[[#This Row],[Affected WTG]],'Basic Data'!$A$3:$E$56,2,0),"")</f>
        <v>PWEGPL</v>
      </c>
      <c r="I730" s="242" t="str">
        <f>IFERROR(VLOOKUP(WTG_BD[[#This Row],[Affected WTG]],'Basic Data'!$A$3:$E$56,3,0),"")</f>
        <v>MSEDCL</v>
      </c>
      <c r="J730" s="243">
        <f>IFERROR(VLOOKUP(WTG_BD[[#This Row],[Affected WTG]],'Basic Data'!$A$3:$E$56,5,0),"")</f>
        <v>2.564102564102564E-2</v>
      </c>
      <c r="K730" s="158" t="s">
        <v>466</v>
      </c>
      <c r="L730" s="247" t="str">
        <f>VLOOKUP(K730,'Basic Data'!T:U,2,0)</f>
        <v>Manual Stop - Safety Related</v>
      </c>
      <c r="M730" s="135" t="s">
        <v>467</v>
      </c>
      <c r="N730" s="256">
        <v>0</v>
      </c>
      <c r="O730" s="256">
        <v>0.99998842592592596</v>
      </c>
      <c r="P730" s="256">
        <v>0.99998842592592596</v>
      </c>
      <c r="Q730" s="253">
        <f>IF(WTG_BD[[#This Row],[Work Start TimeStamp]]="","",(WTG_BD[[#This Row],[Work Start TimeStamp]]-WTG_BD[[#This Row],[Fault Start TimeStamp]])*24)</f>
        <v>23.999722222222225</v>
      </c>
      <c r="R730" s="253">
        <f>(WTG_BD[[#This Row],[Fault Clearance time]]-WTG_BD[[#This Row],[Work Start TimeStamp]])*24</f>
        <v>0</v>
      </c>
      <c r="S730" s="253">
        <f>(WTG_BD[[#This Row],[Fault Clearance time]]-WTG_BD[[#This Row],[Fault Start TimeStamp]])*24</f>
        <v>23.999722222222225</v>
      </c>
      <c r="T730" s="135" t="s">
        <v>468</v>
      </c>
      <c r="U730" s="244" t="s">
        <v>469</v>
      </c>
      <c r="V730" s="246">
        <f>WTG_BD[[#This Row],[Breakdown Time]]*(1/39)</f>
        <v>0.61537749287749288</v>
      </c>
      <c r="W730" s="244" t="s">
        <v>141</v>
      </c>
      <c r="X730" s="250">
        <v>12124.859664351852</v>
      </c>
      <c r="Y730" s="135" t="s">
        <v>470</v>
      </c>
      <c r="Z730" s="135" t="s">
        <v>471</v>
      </c>
      <c r="AA730" s="135">
        <v>12125</v>
      </c>
      <c r="AB730" s="249">
        <f>(WTG_BD[[#This Row],[Paired WTG Generation for loss calculation.]]/24)*WTG_BD[[#This Row],[Breakdown Time]]</f>
        <v>12124.859664351852</v>
      </c>
      <c r="AC730" s="135"/>
      <c r="AD730" s="245"/>
      <c r="AE730" s="3"/>
    </row>
    <row r="731" spans="1:31">
      <c r="A731" s="241">
        <f t="shared" si="24"/>
        <v>730</v>
      </c>
      <c r="B731" s="255">
        <v>45816</v>
      </c>
      <c r="C731" s="252">
        <v>2025</v>
      </c>
      <c r="D731" s="252">
        <v>2025</v>
      </c>
      <c r="E731" s="251">
        <f t="shared" si="23"/>
        <v>45809</v>
      </c>
      <c r="F731" s="252" t="s">
        <v>465</v>
      </c>
      <c r="G731" s="248" t="s">
        <v>135</v>
      </c>
      <c r="H731" s="242" t="str">
        <f>IFERROR(VLOOKUP(WTG_BD[[#This Row],[Affected WTG]],'Basic Data'!$A$3:$E$56,2,0),"")</f>
        <v>PWEGPL</v>
      </c>
      <c r="I731" s="242" t="str">
        <f>IFERROR(VLOOKUP(WTG_BD[[#This Row],[Affected WTG]],'Basic Data'!$A$3:$E$56,3,0),"")</f>
        <v>MSEDCL</v>
      </c>
      <c r="J731" s="243">
        <f>IFERROR(VLOOKUP(WTG_BD[[#This Row],[Affected WTG]],'Basic Data'!$A$3:$E$56,5,0),"")</f>
        <v>2.564102564102564E-2</v>
      </c>
      <c r="K731" s="158">
        <v>2100</v>
      </c>
      <c r="L731" s="247" t="str">
        <f>VLOOKUP(K731,'Basic Data'!T:U,2,0)</f>
        <v>PLC Voltage Recovery</v>
      </c>
      <c r="M731" s="135" t="s">
        <v>472</v>
      </c>
      <c r="N731" s="256">
        <v>0.87847222222222221</v>
      </c>
      <c r="O731" s="256">
        <v>0.88749999999999996</v>
      </c>
      <c r="P731" s="256">
        <v>0.8881944444444444</v>
      </c>
      <c r="Q731" s="253">
        <f>IF(WTG_BD[[#This Row],[Work Start TimeStamp]]="","",(WTG_BD[[#This Row],[Work Start TimeStamp]]-WTG_BD[[#This Row],[Fault Start TimeStamp]])*24)</f>
        <v>0.2166666666666659</v>
      </c>
      <c r="R731" s="253">
        <f>(WTG_BD[[#This Row],[Fault Clearance time]]-WTG_BD[[#This Row],[Work Start TimeStamp]])*24</f>
        <v>1.6666666666666607E-2</v>
      </c>
      <c r="S731" s="253">
        <f>(WTG_BD[[#This Row],[Fault Clearance time]]-WTG_BD[[#This Row],[Fault Start TimeStamp]])*24</f>
        <v>0.2333333333333325</v>
      </c>
      <c r="T731" s="135" t="s">
        <v>473</v>
      </c>
      <c r="U731" s="244" t="s">
        <v>474</v>
      </c>
      <c r="V731" s="246">
        <f>WTG_BD[[#This Row],[Breakdown Time]]*(1/39)</f>
        <v>5.9829059829059617E-3</v>
      </c>
      <c r="W731" s="244" t="s">
        <v>136</v>
      </c>
      <c r="X731" s="250">
        <v>116.81249999999959</v>
      </c>
      <c r="Y731" s="135" t="s">
        <v>470</v>
      </c>
      <c r="Z731" s="135" t="s">
        <v>475</v>
      </c>
      <c r="AA731" s="135">
        <v>12015</v>
      </c>
      <c r="AB731" s="249">
        <f>(WTG_BD[[#This Row],[Paired WTG Generation for loss calculation.]]/24)*WTG_BD[[#This Row],[Breakdown Time]]</f>
        <v>116.81249999999959</v>
      </c>
      <c r="AC731" s="135"/>
      <c r="AD731" s="245"/>
      <c r="AE731" s="3"/>
    </row>
    <row r="732" spans="1:31">
      <c r="A732" s="241">
        <f t="shared" si="24"/>
        <v>731</v>
      </c>
      <c r="B732" s="255">
        <v>45816</v>
      </c>
      <c r="C732" s="252">
        <v>2025</v>
      </c>
      <c r="D732" s="252">
        <v>2025</v>
      </c>
      <c r="E732" s="251">
        <f t="shared" si="23"/>
        <v>45809</v>
      </c>
      <c r="F732" s="252" t="s">
        <v>465</v>
      </c>
      <c r="G732" s="248" t="s">
        <v>136</v>
      </c>
      <c r="H732" s="242" t="str">
        <f>IFERROR(VLOOKUP(WTG_BD[[#This Row],[Affected WTG]],'Basic Data'!$A$3:$E$56,2,0),"")</f>
        <v>PWEGPL</v>
      </c>
      <c r="I732" s="242" t="str">
        <f>IFERROR(VLOOKUP(WTG_BD[[#This Row],[Affected WTG]],'Basic Data'!$A$3:$E$56,3,0),"")</f>
        <v>MSEDCL</v>
      </c>
      <c r="J732" s="243">
        <f>IFERROR(VLOOKUP(WTG_BD[[#This Row],[Affected WTG]],'Basic Data'!$A$3:$E$56,5,0),"")</f>
        <v>2.564102564102564E-2</v>
      </c>
      <c r="K732" s="158">
        <v>2100</v>
      </c>
      <c r="L732" s="247" t="str">
        <f>VLOOKUP(K732,'Basic Data'!T:U,2,0)</f>
        <v>PLC Voltage Recovery</v>
      </c>
      <c r="M732" s="135" t="s">
        <v>472</v>
      </c>
      <c r="N732" s="256">
        <v>0.87847222222222221</v>
      </c>
      <c r="O732" s="256">
        <v>0.88541666666666663</v>
      </c>
      <c r="P732" s="256">
        <v>0.88611111111111107</v>
      </c>
      <c r="Q732" s="253">
        <f>IF(WTG_BD[[#This Row],[Work Start TimeStamp]]="","",(WTG_BD[[#This Row],[Work Start TimeStamp]]-WTG_BD[[#This Row],[Fault Start TimeStamp]])*24)</f>
        <v>0.16666666666666607</v>
      </c>
      <c r="R732" s="253">
        <f>(WTG_BD[[#This Row],[Fault Clearance time]]-WTG_BD[[#This Row],[Work Start TimeStamp]])*24</f>
        <v>1.6666666666666607E-2</v>
      </c>
      <c r="S732" s="253">
        <f>(WTG_BD[[#This Row],[Fault Clearance time]]-WTG_BD[[#This Row],[Fault Start TimeStamp]])*24</f>
        <v>0.18333333333333268</v>
      </c>
      <c r="T732" s="135" t="s">
        <v>473</v>
      </c>
      <c r="U732" s="244" t="s">
        <v>474</v>
      </c>
      <c r="V732" s="246">
        <f>WTG_BD[[#This Row],[Breakdown Time]]*(1/39)</f>
        <v>4.7008547008546842E-3</v>
      </c>
      <c r="W732" s="244" t="s">
        <v>137</v>
      </c>
      <c r="X732" s="250">
        <v>91.674305555555236</v>
      </c>
      <c r="Y732" s="135" t="s">
        <v>470</v>
      </c>
      <c r="Z732" s="135" t="s">
        <v>475</v>
      </c>
      <c r="AA732" s="135">
        <v>12001</v>
      </c>
      <c r="AB732" s="249">
        <f>(WTG_BD[[#This Row],[Paired WTG Generation for loss calculation.]]/24)*WTG_BD[[#This Row],[Breakdown Time]]</f>
        <v>91.674305555555236</v>
      </c>
      <c r="AC732" s="135"/>
      <c r="AD732" s="245"/>
      <c r="AE732" s="3"/>
    </row>
    <row r="733" spans="1:31">
      <c r="A733" s="241">
        <f t="shared" si="24"/>
        <v>732</v>
      </c>
      <c r="B733" s="255">
        <v>45816</v>
      </c>
      <c r="C733" s="252">
        <v>2025</v>
      </c>
      <c r="D733" s="252">
        <v>2025</v>
      </c>
      <c r="E733" s="251">
        <f t="shared" si="23"/>
        <v>45809</v>
      </c>
      <c r="F733" s="252" t="s">
        <v>465</v>
      </c>
      <c r="G733" s="248" t="s">
        <v>138</v>
      </c>
      <c r="H733" s="242" t="str">
        <f>IFERROR(VLOOKUP(WTG_BD[[#This Row],[Affected WTG]],'Basic Data'!$A$3:$E$56,2,0),"")</f>
        <v>PWEGPL</v>
      </c>
      <c r="I733" s="242" t="str">
        <f>IFERROR(VLOOKUP(WTG_BD[[#This Row],[Affected WTG]],'Basic Data'!$A$3:$E$56,3,0),"")</f>
        <v>MSEDCL</v>
      </c>
      <c r="J733" s="243">
        <f>IFERROR(VLOOKUP(WTG_BD[[#This Row],[Affected WTG]],'Basic Data'!$A$3:$E$56,5,0),"")</f>
        <v>2.564102564102564E-2</v>
      </c>
      <c r="K733" s="158">
        <v>2100</v>
      </c>
      <c r="L733" s="247" t="str">
        <f>VLOOKUP(K733,'Basic Data'!T:U,2,0)</f>
        <v>PLC Voltage Recovery</v>
      </c>
      <c r="M733" s="135" t="s">
        <v>472</v>
      </c>
      <c r="N733" s="256">
        <v>0.87847222222222221</v>
      </c>
      <c r="O733" s="256">
        <v>0.89930555555555558</v>
      </c>
      <c r="P733" s="256">
        <v>0.9</v>
      </c>
      <c r="Q733" s="253">
        <f>IF(WTG_BD[[#This Row],[Work Start TimeStamp]]="","",(WTG_BD[[#This Row],[Work Start TimeStamp]]-WTG_BD[[#This Row],[Fault Start TimeStamp]])*24)</f>
        <v>0.50000000000000089</v>
      </c>
      <c r="R733" s="253">
        <f>(WTG_BD[[#This Row],[Fault Clearance time]]-WTG_BD[[#This Row],[Work Start TimeStamp]])*24</f>
        <v>1.6666666666666607E-2</v>
      </c>
      <c r="S733" s="253">
        <f>(WTG_BD[[#This Row],[Fault Clearance time]]-WTG_BD[[#This Row],[Fault Start TimeStamp]])*24</f>
        <v>0.5166666666666675</v>
      </c>
      <c r="T733" s="135" t="s">
        <v>473</v>
      </c>
      <c r="U733" s="244" t="s">
        <v>474</v>
      </c>
      <c r="V733" s="246">
        <f>WTG_BD[[#This Row],[Breakdown Time]]*(1/39)</f>
        <v>1.3247863247863268E-2</v>
      </c>
      <c r="W733" s="244" t="s">
        <v>140</v>
      </c>
      <c r="X733" s="250">
        <v>260.93819444444489</v>
      </c>
      <c r="Y733" s="135" t="s">
        <v>470</v>
      </c>
      <c r="Z733" s="135" t="s">
        <v>475</v>
      </c>
      <c r="AA733" s="135">
        <v>12121</v>
      </c>
      <c r="AB733" s="249">
        <f>(WTG_BD[[#This Row],[Paired WTG Generation for loss calculation.]]/24)*WTG_BD[[#This Row],[Breakdown Time]]</f>
        <v>260.93819444444489</v>
      </c>
      <c r="AC733" s="135"/>
      <c r="AD733" s="245"/>
      <c r="AE733" s="3"/>
    </row>
    <row r="734" spans="1:31">
      <c r="A734" s="241">
        <f t="shared" si="24"/>
        <v>733</v>
      </c>
      <c r="B734" s="255">
        <v>45816</v>
      </c>
      <c r="C734" s="252">
        <v>2025</v>
      </c>
      <c r="D734" s="252">
        <v>2025</v>
      </c>
      <c r="E734" s="251">
        <f t="shared" si="23"/>
        <v>45809</v>
      </c>
      <c r="F734" s="252" t="s">
        <v>465</v>
      </c>
      <c r="G734" s="248" t="s">
        <v>141</v>
      </c>
      <c r="H734" s="242" t="str">
        <f>IFERROR(VLOOKUP(WTG_BD[[#This Row],[Affected WTG]],'Basic Data'!$A$3:$E$56,2,0),"")</f>
        <v>PWEGPL</v>
      </c>
      <c r="I734" s="242" t="str">
        <f>IFERROR(VLOOKUP(WTG_BD[[#This Row],[Affected WTG]],'Basic Data'!$A$3:$E$56,3,0),"")</f>
        <v>MSEDCL</v>
      </c>
      <c r="J734" s="243">
        <f>IFERROR(VLOOKUP(WTG_BD[[#This Row],[Affected WTG]],'Basic Data'!$A$3:$E$56,5,0),"")</f>
        <v>2.564102564102564E-2</v>
      </c>
      <c r="K734" s="158">
        <v>2100</v>
      </c>
      <c r="L734" s="247" t="str">
        <f>VLOOKUP(K734,'Basic Data'!T:U,2,0)</f>
        <v>PLC Voltage Recovery</v>
      </c>
      <c r="M734" s="135" t="s">
        <v>472</v>
      </c>
      <c r="N734" s="256">
        <v>0.87847222222222221</v>
      </c>
      <c r="O734" s="256">
        <v>0.90833333333333333</v>
      </c>
      <c r="P734" s="256">
        <v>0.90902777777777777</v>
      </c>
      <c r="Q734" s="253">
        <f>IF(WTG_BD[[#This Row],[Work Start TimeStamp]]="","",(WTG_BD[[#This Row],[Work Start TimeStamp]]-WTG_BD[[#This Row],[Fault Start TimeStamp]])*24)</f>
        <v>0.71666666666666679</v>
      </c>
      <c r="R734" s="253">
        <f>(WTG_BD[[#This Row],[Fault Clearance time]]-WTG_BD[[#This Row],[Work Start TimeStamp]])*24</f>
        <v>1.6666666666666607E-2</v>
      </c>
      <c r="S734" s="253">
        <f>(WTG_BD[[#This Row],[Fault Clearance time]]-WTG_BD[[#This Row],[Fault Start TimeStamp]])*24</f>
        <v>0.73333333333333339</v>
      </c>
      <c r="T734" s="135" t="s">
        <v>473</v>
      </c>
      <c r="U734" s="244" t="s">
        <v>474</v>
      </c>
      <c r="V734" s="246">
        <f>WTG_BD[[#This Row],[Breakdown Time]]*(1/39)</f>
        <v>1.8803418803418806E-2</v>
      </c>
      <c r="W734" s="244" t="s">
        <v>143</v>
      </c>
      <c r="X734" s="250">
        <v>370.70000000000005</v>
      </c>
      <c r="Y734" s="135" t="s">
        <v>470</v>
      </c>
      <c r="Z734" s="135" t="s">
        <v>475</v>
      </c>
      <c r="AA734" s="135">
        <v>12132</v>
      </c>
      <c r="AB734" s="249">
        <f>(WTG_BD[[#This Row],[Paired WTG Generation for loss calculation.]]/24)*WTG_BD[[#This Row],[Breakdown Time]]</f>
        <v>370.70000000000005</v>
      </c>
      <c r="AC734" s="135"/>
      <c r="AD734" s="245"/>
      <c r="AE734" s="3"/>
    </row>
    <row r="735" spans="1:31">
      <c r="A735" s="241">
        <f t="shared" si="24"/>
        <v>734</v>
      </c>
      <c r="B735" s="255">
        <v>45816</v>
      </c>
      <c r="C735" s="252">
        <v>2025</v>
      </c>
      <c r="D735" s="252">
        <v>2025</v>
      </c>
      <c r="E735" s="251">
        <f t="shared" si="23"/>
        <v>45809</v>
      </c>
      <c r="F735" s="252" t="s">
        <v>465</v>
      </c>
      <c r="G735" s="248" t="s">
        <v>143</v>
      </c>
      <c r="H735" s="242" t="str">
        <f>IFERROR(VLOOKUP(WTG_BD[[#This Row],[Affected WTG]],'Basic Data'!$A$3:$E$56,2,0),"")</f>
        <v>PWEGPL</v>
      </c>
      <c r="I735" s="242" t="str">
        <f>IFERROR(VLOOKUP(WTG_BD[[#This Row],[Affected WTG]],'Basic Data'!$A$3:$E$56,3,0),"")</f>
        <v>MSEDCL</v>
      </c>
      <c r="J735" s="243">
        <f>IFERROR(VLOOKUP(WTG_BD[[#This Row],[Affected WTG]],'Basic Data'!$A$3:$E$56,5,0),"")</f>
        <v>2.564102564102564E-2</v>
      </c>
      <c r="K735" s="158">
        <v>2100</v>
      </c>
      <c r="L735" s="247" t="str">
        <f>VLOOKUP(K735,'Basic Data'!T:U,2,0)</f>
        <v>PLC Voltage Recovery</v>
      </c>
      <c r="M735" s="135" t="s">
        <v>472</v>
      </c>
      <c r="N735" s="256">
        <v>0.87847222222222221</v>
      </c>
      <c r="O735" s="256">
        <v>0.91319444444444442</v>
      </c>
      <c r="P735" s="256">
        <v>0.91388888888888886</v>
      </c>
      <c r="Q735" s="253">
        <f>IF(WTG_BD[[#This Row],[Work Start TimeStamp]]="","",(WTG_BD[[#This Row],[Work Start TimeStamp]]-WTG_BD[[#This Row],[Fault Start TimeStamp]])*24)</f>
        <v>0.83333333333333304</v>
      </c>
      <c r="R735" s="253">
        <f>(WTG_BD[[#This Row],[Fault Clearance time]]-WTG_BD[[#This Row],[Work Start TimeStamp]])*24</f>
        <v>1.6666666666666607E-2</v>
      </c>
      <c r="S735" s="253">
        <f>(WTG_BD[[#This Row],[Fault Clearance time]]-WTG_BD[[#This Row],[Fault Start TimeStamp]])*24</f>
        <v>0.84999999999999964</v>
      </c>
      <c r="T735" s="135" t="s">
        <v>473</v>
      </c>
      <c r="U735" s="244" t="s">
        <v>474</v>
      </c>
      <c r="V735" s="246">
        <f>WTG_BD[[#This Row],[Breakdown Time]]*(1/39)</f>
        <v>2.1794871794871783E-2</v>
      </c>
      <c r="W735" s="244" t="s">
        <v>141</v>
      </c>
      <c r="X735" s="250">
        <v>429.42708333333314</v>
      </c>
      <c r="Y735" s="135" t="s">
        <v>470</v>
      </c>
      <c r="Z735" s="135" t="s">
        <v>475</v>
      </c>
      <c r="AA735" s="135">
        <v>12125</v>
      </c>
      <c r="AB735" s="249">
        <f>(WTG_BD[[#This Row],[Paired WTG Generation for loss calculation.]]/24)*WTG_BD[[#This Row],[Breakdown Time]]</f>
        <v>429.42708333333314</v>
      </c>
      <c r="AC735" s="135"/>
      <c r="AD735" s="245"/>
      <c r="AE735" s="3"/>
    </row>
    <row r="736" spans="1:31">
      <c r="A736" s="241">
        <f t="shared" si="24"/>
        <v>735</v>
      </c>
      <c r="B736" s="255">
        <v>45817</v>
      </c>
      <c r="C736" s="252">
        <v>2025</v>
      </c>
      <c r="D736" s="252">
        <v>2025</v>
      </c>
      <c r="E736" s="251">
        <f t="shared" si="23"/>
        <v>45809</v>
      </c>
      <c r="F736" s="252" t="s">
        <v>465</v>
      </c>
      <c r="G736" s="248" t="s">
        <v>144</v>
      </c>
      <c r="H736" s="242" t="str">
        <f>IFERROR(VLOOKUP(WTG_BD[[#This Row],[Affected WTG]],'Basic Data'!$A$3:$E$56,2,0),"")</f>
        <v>PWEGPL</v>
      </c>
      <c r="I736" s="242" t="str">
        <f>IFERROR(VLOOKUP(WTG_BD[[#This Row],[Affected WTG]],'Basic Data'!$A$3:$E$56,3,0),"")</f>
        <v>MSEDCL</v>
      </c>
      <c r="J736" s="243">
        <f>IFERROR(VLOOKUP(WTG_BD[[#This Row],[Affected WTG]],'Basic Data'!$A$3:$E$56,5,0),"")</f>
        <v>2.564102564102564E-2</v>
      </c>
      <c r="K736" s="158" t="s">
        <v>466</v>
      </c>
      <c r="L736" s="247" t="str">
        <f>VLOOKUP(K736,'Basic Data'!T:U,2,0)</f>
        <v>Manual Stop - Safety Related</v>
      </c>
      <c r="M736" s="135" t="s">
        <v>467</v>
      </c>
      <c r="N736" s="256">
        <v>0</v>
      </c>
      <c r="O736" s="256">
        <v>0.99998842592592596</v>
      </c>
      <c r="P736" s="256">
        <v>0.99998842592592596</v>
      </c>
      <c r="Q736" s="253">
        <f>IF(WTG_BD[[#This Row],[Work Start TimeStamp]]="","",(WTG_BD[[#This Row],[Work Start TimeStamp]]-WTG_BD[[#This Row],[Fault Start TimeStamp]])*24)</f>
        <v>23.999722222222225</v>
      </c>
      <c r="R736" s="253">
        <f>(WTG_BD[[#This Row],[Fault Clearance time]]-WTG_BD[[#This Row],[Work Start TimeStamp]])*24</f>
        <v>0</v>
      </c>
      <c r="S736" s="253">
        <f>(WTG_BD[[#This Row],[Fault Clearance time]]-WTG_BD[[#This Row],[Fault Start TimeStamp]])*24</f>
        <v>23.999722222222225</v>
      </c>
      <c r="T736" s="135" t="s">
        <v>468</v>
      </c>
      <c r="U736" s="244" t="s">
        <v>469</v>
      </c>
      <c r="V736" s="246">
        <f>WTG_BD[[#This Row],[Breakdown Time]]*(1/39)</f>
        <v>0.61537749287749288</v>
      </c>
      <c r="W736" s="244" t="s">
        <v>141</v>
      </c>
      <c r="X736" s="250">
        <v>23433.728773148148</v>
      </c>
      <c r="Y736" s="135" t="s">
        <v>470</v>
      </c>
      <c r="Z736" s="135" t="s">
        <v>471</v>
      </c>
      <c r="AA736" s="135">
        <v>23434</v>
      </c>
      <c r="AB736" s="249">
        <f>(WTG_BD[[#This Row],[Paired WTG Generation for loss calculation.]]/24)*WTG_BD[[#This Row],[Breakdown Time]]</f>
        <v>23433.728773148148</v>
      </c>
      <c r="AC736" s="135"/>
      <c r="AD736" s="245"/>
      <c r="AE736" s="3"/>
    </row>
    <row r="737" spans="1:31">
      <c r="A737" s="241">
        <f t="shared" si="24"/>
        <v>736</v>
      </c>
      <c r="B737" s="255">
        <v>45817</v>
      </c>
      <c r="C737" s="252">
        <v>2025</v>
      </c>
      <c r="D737" s="252">
        <v>2025</v>
      </c>
      <c r="E737" s="251">
        <f t="shared" si="23"/>
        <v>45809</v>
      </c>
      <c r="F737" s="252" t="s">
        <v>465</v>
      </c>
      <c r="G737" s="248" t="s">
        <v>142</v>
      </c>
      <c r="H737" s="242" t="str">
        <f>IFERROR(VLOOKUP(WTG_BD[[#This Row],[Affected WTG]],'Basic Data'!$A$3:$E$56,2,0),"")</f>
        <v>PWEGPL</v>
      </c>
      <c r="I737" s="242" t="str">
        <f>IFERROR(VLOOKUP(WTG_BD[[#This Row],[Affected WTG]],'Basic Data'!$A$3:$E$56,3,0),"")</f>
        <v>MSEDCL</v>
      </c>
      <c r="J737" s="243">
        <f>IFERROR(VLOOKUP(WTG_BD[[#This Row],[Affected WTG]],'Basic Data'!$A$3:$E$56,5,0),"")</f>
        <v>2.564102564102564E-2</v>
      </c>
      <c r="K737" s="158" t="s">
        <v>466</v>
      </c>
      <c r="L737" s="247" t="str">
        <f>VLOOKUP(K737,'Basic Data'!T:U,2,0)</f>
        <v>Manual Stop - Safety Related</v>
      </c>
      <c r="M737" s="135" t="s">
        <v>467</v>
      </c>
      <c r="N737" s="256">
        <v>0</v>
      </c>
      <c r="O737" s="256">
        <v>0.99998842592592596</v>
      </c>
      <c r="P737" s="256">
        <v>0.99998842592592596</v>
      </c>
      <c r="Q737" s="253">
        <f>IF(WTG_BD[[#This Row],[Work Start TimeStamp]]="","",(WTG_BD[[#This Row],[Work Start TimeStamp]]-WTG_BD[[#This Row],[Fault Start TimeStamp]])*24)</f>
        <v>23.999722222222225</v>
      </c>
      <c r="R737" s="253">
        <f>(WTG_BD[[#This Row],[Fault Clearance time]]-WTG_BD[[#This Row],[Work Start TimeStamp]])*24</f>
        <v>0</v>
      </c>
      <c r="S737" s="253">
        <f>(WTG_BD[[#This Row],[Fault Clearance time]]-WTG_BD[[#This Row],[Fault Start TimeStamp]])*24</f>
        <v>23.999722222222225</v>
      </c>
      <c r="T737" s="135" t="s">
        <v>468</v>
      </c>
      <c r="U737" s="244" t="s">
        <v>469</v>
      </c>
      <c r="V737" s="246">
        <f>WTG_BD[[#This Row],[Breakdown Time]]*(1/39)</f>
        <v>0.61537749287749288</v>
      </c>
      <c r="W737" s="244" t="s">
        <v>141</v>
      </c>
      <c r="X737" s="250">
        <v>23433.728773148148</v>
      </c>
      <c r="Y737" s="135" t="s">
        <v>470</v>
      </c>
      <c r="Z737" s="135" t="s">
        <v>471</v>
      </c>
      <c r="AA737" s="135">
        <v>23434</v>
      </c>
      <c r="AB737" s="249">
        <f>(WTG_BD[[#This Row],[Paired WTG Generation for loss calculation.]]/24)*WTG_BD[[#This Row],[Breakdown Time]]</f>
        <v>23433.728773148148</v>
      </c>
      <c r="AC737" s="135"/>
      <c r="AD737" s="245"/>
      <c r="AE737" s="3"/>
    </row>
    <row r="738" spans="1:31">
      <c r="A738" s="241">
        <f t="shared" si="24"/>
        <v>737</v>
      </c>
      <c r="B738" s="255">
        <v>45817</v>
      </c>
      <c r="C738" s="252">
        <v>2025</v>
      </c>
      <c r="D738" s="252">
        <v>2025</v>
      </c>
      <c r="E738" s="251">
        <f t="shared" si="23"/>
        <v>45809</v>
      </c>
      <c r="F738" s="252" t="s">
        <v>465</v>
      </c>
      <c r="G738" s="248" t="s">
        <v>118</v>
      </c>
      <c r="H738" s="242" t="str">
        <f>IFERROR(VLOOKUP(WTG_BD[[#This Row],[Affected WTG]],'Basic Data'!$A$3:$E$56,2,0),"")</f>
        <v>PWEGPL</v>
      </c>
      <c r="I738" s="242" t="str">
        <f>IFERROR(VLOOKUP(WTG_BD[[#This Row],[Affected WTG]],'Basic Data'!$A$3:$E$56,3,0),"")</f>
        <v>MSEDCL</v>
      </c>
      <c r="J738" s="243">
        <f>IFERROR(VLOOKUP(WTG_BD[[#This Row],[Affected WTG]],'Basic Data'!$A$3:$E$56,5,0),"")</f>
        <v>2.564102564102564E-2</v>
      </c>
      <c r="K738" s="158">
        <v>2118</v>
      </c>
      <c r="L738" s="247" t="str">
        <f>VLOOKUP(K738,'Basic Data'!T:U,2,0)</f>
        <v>Bus Error - Interbus Failure</v>
      </c>
      <c r="M738" s="135" t="s">
        <v>472</v>
      </c>
      <c r="N738" s="256">
        <v>0.73958333333333337</v>
      </c>
      <c r="O738" s="256">
        <v>0.75694444444444442</v>
      </c>
      <c r="P738" s="256">
        <v>0.7583333333333333</v>
      </c>
      <c r="Q738" s="253">
        <f>IF(WTG_BD[[#This Row],[Work Start TimeStamp]]="","",(WTG_BD[[#This Row],[Work Start TimeStamp]]-WTG_BD[[#This Row],[Fault Start TimeStamp]])*24)</f>
        <v>0.41666666666666519</v>
      </c>
      <c r="R738" s="253">
        <f>(WTG_BD[[#This Row],[Fault Clearance time]]-WTG_BD[[#This Row],[Work Start TimeStamp]])*24</f>
        <v>3.3333333333333215E-2</v>
      </c>
      <c r="S738" s="253">
        <f>(WTG_BD[[#This Row],[Fault Clearance time]]-WTG_BD[[#This Row],[Fault Start TimeStamp]])*24</f>
        <v>0.4499999999999984</v>
      </c>
      <c r="T738" s="135" t="s">
        <v>482</v>
      </c>
      <c r="U738" s="244" t="s">
        <v>474</v>
      </c>
      <c r="V738" s="246">
        <f>WTG_BD[[#This Row],[Breakdown Time]]*(1/39)</f>
        <v>1.1538461538461497E-2</v>
      </c>
      <c r="W738" s="244" t="s">
        <v>117</v>
      </c>
      <c r="X738" s="250">
        <v>463.93124999999833</v>
      </c>
      <c r="Y738" s="135" t="s">
        <v>470</v>
      </c>
      <c r="Z738" s="135" t="s">
        <v>475</v>
      </c>
      <c r="AA738" s="135">
        <v>24743</v>
      </c>
      <c r="AB738" s="249">
        <f>(WTG_BD[[#This Row],[Paired WTG Generation for loss calculation.]]/24)*WTG_BD[[#This Row],[Breakdown Time]]</f>
        <v>463.93124999999833</v>
      </c>
      <c r="AC738" s="135"/>
      <c r="AD738" s="245"/>
      <c r="AE738" s="3"/>
    </row>
    <row r="739" spans="1:31">
      <c r="A739" s="241">
        <f t="shared" si="24"/>
        <v>738</v>
      </c>
      <c r="B739" s="255">
        <v>45817</v>
      </c>
      <c r="C739" s="252">
        <v>2025</v>
      </c>
      <c r="D739" s="252">
        <v>2025</v>
      </c>
      <c r="E739" s="251">
        <f t="shared" si="23"/>
        <v>45809</v>
      </c>
      <c r="F739" s="252" t="s">
        <v>465</v>
      </c>
      <c r="G739" s="248" t="s">
        <v>126</v>
      </c>
      <c r="H739" s="242" t="str">
        <f>IFERROR(VLOOKUP(WTG_BD[[#This Row],[Affected WTG]],'Basic Data'!$A$3:$E$56,2,0),"")</f>
        <v>PWEGPL</v>
      </c>
      <c r="I739" s="242" t="str">
        <f>IFERROR(VLOOKUP(WTG_BD[[#This Row],[Affected WTG]],'Basic Data'!$A$3:$E$56,3,0),"")</f>
        <v>MSEDCL</v>
      </c>
      <c r="J739" s="243">
        <f>IFERROR(VLOOKUP(WTG_BD[[#This Row],[Affected WTG]],'Basic Data'!$A$3:$E$56,5,0),"")</f>
        <v>2.564102564102564E-2</v>
      </c>
      <c r="K739" s="158">
        <v>203</v>
      </c>
      <c r="L739" s="247" t="str">
        <f>VLOOKUP(K739,'Basic Data'!T:U,2,0)</f>
        <v>Low Pressure On Hydraulic Group</v>
      </c>
      <c r="M739" s="135" t="s">
        <v>472</v>
      </c>
      <c r="N739" s="256">
        <v>0.47916666666666669</v>
      </c>
      <c r="O739" s="256">
        <v>0.49652777777777779</v>
      </c>
      <c r="P739" s="256">
        <v>0.54861111111111116</v>
      </c>
      <c r="Q739" s="253">
        <f>IF(WTG_BD[[#This Row],[Work Start TimeStamp]]="","",(WTG_BD[[#This Row],[Work Start TimeStamp]]-WTG_BD[[#This Row],[Fault Start TimeStamp]])*24)</f>
        <v>0.41666666666666652</v>
      </c>
      <c r="R739" s="253">
        <f>(WTG_BD[[#This Row],[Fault Clearance time]]-WTG_BD[[#This Row],[Work Start TimeStamp]])*24</f>
        <v>1.2500000000000009</v>
      </c>
      <c r="S739" s="253">
        <f>(WTG_BD[[#This Row],[Fault Clearance time]]-WTG_BD[[#This Row],[Fault Start TimeStamp]])*24</f>
        <v>1.6666666666666674</v>
      </c>
      <c r="T739" s="135" t="s">
        <v>637</v>
      </c>
      <c r="U739" s="244" t="s">
        <v>474</v>
      </c>
      <c r="V739" s="246">
        <f>WTG_BD[[#This Row],[Breakdown Time]]*(1/39)</f>
        <v>4.273504273504275E-2</v>
      </c>
      <c r="W739" s="244" t="s">
        <v>127</v>
      </c>
      <c r="X739" s="250">
        <v>1517.7777777777783</v>
      </c>
      <c r="Y739" s="135" t="s">
        <v>470</v>
      </c>
      <c r="Z739" s="135" t="s">
        <v>475</v>
      </c>
      <c r="AA739" s="135">
        <v>21856</v>
      </c>
      <c r="AB739" s="249">
        <f>(WTG_BD[[#This Row],[Paired WTG Generation for loss calculation.]]/24)*WTG_BD[[#This Row],[Breakdown Time]]</f>
        <v>1517.7777777777783</v>
      </c>
      <c r="AC739" s="135"/>
      <c r="AD739" s="245"/>
      <c r="AE739" s="3"/>
    </row>
    <row r="740" spans="1:31">
      <c r="A740" s="241">
        <f t="shared" si="24"/>
        <v>739</v>
      </c>
      <c r="B740" s="255">
        <v>45817</v>
      </c>
      <c r="C740" s="252">
        <v>2025</v>
      </c>
      <c r="D740" s="252">
        <v>2025</v>
      </c>
      <c r="E740" s="251">
        <f t="shared" si="23"/>
        <v>45809</v>
      </c>
      <c r="F740" s="252" t="s">
        <v>465</v>
      </c>
      <c r="G740" s="248" t="s">
        <v>128</v>
      </c>
      <c r="H740" s="242" t="str">
        <f>IFERROR(VLOOKUP(WTG_BD[[#This Row],[Affected WTG]],'Basic Data'!$A$3:$E$56,2,0),"")</f>
        <v>PWEGPL</v>
      </c>
      <c r="I740" s="242" t="str">
        <f>IFERROR(VLOOKUP(WTG_BD[[#This Row],[Affected WTG]],'Basic Data'!$A$3:$E$56,3,0),"")</f>
        <v>MSEDCL</v>
      </c>
      <c r="J740" s="243">
        <f>IFERROR(VLOOKUP(WTG_BD[[#This Row],[Affected WTG]],'Basic Data'!$A$3:$E$56,5,0),"")</f>
        <v>2.564102564102564E-2</v>
      </c>
      <c r="K740" s="158">
        <v>2118</v>
      </c>
      <c r="L740" s="247" t="str">
        <f>VLOOKUP(K740,'Basic Data'!T:U,2,0)</f>
        <v>Bus Error - Interbus Failure</v>
      </c>
      <c r="M740" s="135" t="s">
        <v>472</v>
      </c>
      <c r="N740" s="256">
        <v>0.67013888888888884</v>
      </c>
      <c r="O740" s="256">
        <v>0.6875</v>
      </c>
      <c r="P740" s="256">
        <v>0.68888888888888888</v>
      </c>
      <c r="Q740" s="253">
        <f>IF(WTG_BD[[#This Row],[Work Start TimeStamp]]="","",(WTG_BD[[#This Row],[Work Start TimeStamp]]-WTG_BD[[#This Row],[Fault Start TimeStamp]])*24)</f>
        <v>0.41666666666666785</v>
      </c>
      <c r="R740" s="253">
        <f>(WTG_BD[[#This Row],[Fault Clearance time]]-WTG_BD[[#This Row],[Work Start TimeStamp]])*24</f>
        <v>3.3333333333333215E-2</v>
      </c>
      <c r="S740" s="253">
        <f>(WTG_BD[[#This Row],[Fault Clearance time]]-WTG_BD[[#This Row],[Fault Start TimeStamp]])*24</f>
        <v>0.45000000000000107</v>
      </c>
      <c r="T740" s="135" t="s">
        <v>482</v>
      </c>
      <c r="U740" s="244" t="s">
        <v>474</v>
      </c>
      <c r="V740" s="246">
        <f>WTG_BD[[#This Row],[Breakdown Time]]*(1/39)</f>
        <v>1.1538461538461565E-2</v>
      </c>
      <c r="W740" s="244" t="s">
        <v>127</v>
      </c>
      <c r="X740" s="250">
        <v>409.80000000000098</v>
      </c>
      <c r="Y740" s="135" t="s">
        <v>470</v>
      </c>
      <c r="Z740" s="135" t="s">
        <v>475</v>
      </c>
      <c r="AA740" s="135">
        <v>21856</v>
      </c>
      <c r="AB740" s="249">
        <f>(WTG_BD[[#This Row],[Paired WTG Generation for loss calculation.]]/24)*WTG_BD[[#This Row],[Breakdown Time]]</f>
        <v>409.80000000000098</v>
      </c>
      <c r="AC740" s="135"/>
      <c r="AD740" s="245"/>
      <c r="AE740" s="3"/>
    </row>
    <row r="741" spans="1:31">
      <c r="A741" s="241">
        <f t="shared" si="24"/>
        <v>740</v>
      </c>
      <c r="B741" s="255">
        <v>45817</v>
      </c>
      <c r="C741" s="252">
        <v>2025</v>
      </c>
      <c r="D741" s="252">
        <v>2025</v>
      </c>
      <c r="E741" s="251">
        <f t="shared" si="23"/>
        <v>45809</v>
      </c>
      <c r="F741" s="252" t="s">
        <v>465</v>
      </c>
      <c r="G741" s="248" t="s">
        <v>134</v>
      </c>
      <c r="H741" s="242" t="str">
        <f>IFERROR(VLOOKUP(WTG_BD[[#This Row],[Affected WTG]],'Basic Data'!$A$3:$E$56,2,0),"")</f>
        <v>PWEGPL</v>
      </c>
      <c r="I741" s="242" t="str">
        <f>IFERROR(VLOOKUP(WTG_BD[[#This Row],[Affected WTG]],'Basic Data'!$A$3:$E$56,3,0),"")</f>
        <v>MSEDCL</v>
      </c>
      <c r="J741" s="243">
        <f>IFERROR(VLOOKUP(WTG_BD[[#This Row],[Affected WTG]],'Basic Data'!$A$3:$E$56,5,0),"")</f>
        <v>2.564102564102564E-2</v>
      </c>
      <c r="K741" s="158">
        <v>2118</v>
      </c>
      <c r="L741" s="247" t="str">
        <f>VLOOKUP(K741,'Basic Data'!T:U,2,0)</f>
        <v>Bus Error - Interbus Failure</v>
      </c>
      <c r="M741" s="135" t="s">
        <v>472</v>
      </c>
      <c r="N741" s="256">
        <v>0.44791666666666669</v>
      </c>
      <c r="O741" s="256">
        <v>0.46597222222222223</v>
      </c>
      <c r="P741" s="256">
        <v>0.50347222222222221</v>
      </c>
      <c r="Q741" s="253">
        <f>IF(WTG_BD[[#This Row],[Work Start TimeStamp]]="","",(WTG_BD[[#This Row],[Work Start TimeStamp]]-WTG_BD[[#This Row],[Fault Start TimeStamp]])*24)</f>
        <v>0.43333333333333313</v>
      </c>
      <c r="R741" s="253">
        <f>(WTG_BD[[#This Row],[Fault Clearance time]]-WTG_BD[[#This Row],[Work Start TimeStamp]])*24</f>
        <v>0.89999999999999947</v>
      </c>
      <c r="S741" s="253">
        <f>(WTG_BD[[#This Row],[Fault Clearance time]]-WTG_BD[[#This Row],[Fault Start TimeStamp]])*24</f>
        <v>1.3333333333333326</v>
      </c>
      <c r="T741" s="135" t="s">
        <v>554</v>
      </c>
      <c r="U741" s="244" t="s">
        <v>474</v>
      </c>
      <c r="V741" s="246">
        <f>WTG_BD[[#This Row],[Breakdown Time]]*(1/39)</f>
        <v>3.4188034188034171E-2</v>
      </c>
      <c r="W741" s="244" t="s">
        <v>133</v>
      </c>
      <c r="X741" s="250">
        <v>1215.4444444444439</v>
      </c>
      <c r="Y741" s="135" t="s">
        <v>470</v>
      </c>
      <c r="Z741" s="135" t="s">
        <v>475</v>
      </c>
      <c r="AA741" s="135">
        <v>21878</v>
      </c>
      <c r="AB741" s="249">
        <f>(WTG_BD[[#This Row],[Paired WTG Generation for loss calculation.]]/24)*WTG_BD[[#This Row],[Breakdown Time]]</f>
        <v>1215.4444444444439</v>
      </c>
      <c r="AC741" s="135"/>
      <c r="AD741" s="245"/>
      <c r="AE741" s="3"/>
    </row>
    <row r="742" spans="1:31">
      <c r="A742" s="241">
        <f t="shared" si="24"/>
        <v>741</v>
      </c>
      <c r="B742" s="255">
        <v>45817</v>
      </c>
      <c r="C742" s="252">
        <v>2025</v>
      </c>
      <c r="D742" s="252">
        <v>2025</v>
      </c>
      <c r="E742" s="251">
        <f t="shared" si="23"/>
        <v>45809</v>
      </c>
      <c r="F742" s="252" t="s">
        <v>465</v>
      </c>
      <c r="G742" s="248" t="s">
        <v>143</v>
      </c>
      <c r="H742" s="242" t="str">
        <f>IFERROR(VLOOKUP(WTG_BD[[#This Row],[Affected WTG]],'Basic Data'!$A$3:$E$56,2,0),"")</f>
        <v>PWEGPL</v>
      </c>
      <c r="I742" s="242" t="str">
        <f>IFERROR(VLOOKUP(WTG_BD[[#This Row],[Affected WTG]],'Basic Data'!$A$3:$E$56,3,0),"")</f>
        <v>MSEDCL</v>
      </c>
      <c r="J742" s="243">
        <f>IFERROR(VLOOKUP(WTG_BD[[#This Row],[Affected WTG]],'Basic Data'!$A$3:$E$56,5,0),"")</f>
        <v>2.564102564102564E-2</v>
      </c>
      <c r="K742" s="158">
        <v>205</v>
      </c>
      <c r="L742" s="247" t="str">
        <f>VLOOKUP(K742,'Basic Data'!T:U,2,0)</f>
        <v>Low Level Hydraulic Group Refrigeration Oil</v>
      </c>
      <c r="M742" s="135" t="s">
        <v>472</v>
      </c>
      <c r="N742" s="256">
        <v>0.70833333333333337</v>
      </c>
      <c r="O742" s="256">
        <v>0.72569444444444442</v>
      </c>
      <c r="P742" s="256">
        <v>0.76388888888888884</v>
      </c>
      <c r="Q742" s="253">
        <f>IF(WTG_BD[[#This Row],[Work Start TimeStamp]]="","",(WTG_BD[[#This Row],[Work Start TimeStamp]]-WTG_BD[[#This Row],[Fault Start TimeStamp]])*24)</f>
        <v>0.41666666666666519</v>
      </c>
      <c r="R742" s="253">
        <f>(WTG_BD[[#This Row],[Fault Clearance time]]-WTG_BD[[#This Row],[Work Start TimeStamp]])*24</f>
        <v>0.91666666666666607</v>
      </c>
      <c r="S742" s="253">
        <f>(WTG_BD[[#This Row],[Fault Clearance time]]-WTG_BD[[#This Row],[Fault Start TimeStamp]])*24</f>
        <v>1.3333333333333313</v>
      </c>
      <c r="T742" s="135" t="s">
        <v>638</v>
      </c>
      <c r="U742" s="244" t="s">
        <v>474</v>
      </c>
      <c r="V742" s="246">
        <f>WTG_BD[[#This Row],[Breakdown Time]]*(1/39)</f>
        <v>3.4188034188034136E-2</v>
      </c>
      <c r="W742" s="244" t="s">
        <v>141</v>
      </c>
      <c r="X742" s="250">
        <v>1301.8888888888869</v>
      </c>
      <c r="Y742" s="135" t="s">
        <v>470</v>
      </c>
      <c r="Z742" s="135" t="s">
        <v>475</v>
      </c>
      <c r="AA742" s="135">
        <v>23434</v>
      </c>
      <c r="AB742" s="249">
        <f>(WTG_BD[[#This Row],[Paired WTG Generation for loss calculation.]]/24)*WTG_BD[[#This Row],[Breakdown Time]]</f>
        <v>1301.8888888888869</v>
      </c>
      <c r="AC742" s="135"/>
      <c r="AD742" s="245"/>
      <c r="AE742" s="3"/>
    </row>
    <row r="743" spans="1:31">
      <c r="A743" s="241">
        <f t="shared" si="24"/>
        <v>742</v>
      </c>
      <c r="B743" s="255">
        <v>45817</v>
      </c>
      <c r="C743" s="252">
        <v>2025</v>
      </c>
      <c r="D743" s="252">
        <v>2025</v>
      </c>
      <c r="E743" s="251">
        <f t="shared" si="23"/>
        <v>45809</v>
      </c>
      <c r="F743" s="252" t="s">
        <v>465</v>
      </c>
      <c r="G743" s="248" t="s">
        <v>152</v>
      </c>
      <c r="H743" s="242" t="str">
        <f>IFERROR(VLOOKUP(WTG_BD[[#This Row],[Affected WTG]],'Basic Data'!$A$3:$E$56,2,0),"")</f>
        <v>PWEGPL</v>
      </c>
      <c r="I743" s="242" t="str">
        <f>IFERROR(VLOOKUP(WTG_BD[[#This Row],[Affected WTG]],'Basic Data'!$A$3:$E$56,3,0),"")</f>
        <v>MSEDCL</v>
      </c>
      <c r="J743" s="243">
        <f>IFERROR(VLOOKUP(WTG_BD[[#This Row],[Affected WTG]],'Basic Data'!$A$3:$E$56,5,0),"")</f>
        <v>2.564102564102564E-2</v>
      </c>
      <c r="K743" s="158">
        <v>5201</v>
      </c>
      <c r="L743" s="247" t="str">
        <f>VLOOKUP(K743,'Basic Data'!T:U,2,0)</f>
        <v>Magnetothermic Trigger Of The Stator Protection</v>
      </c>
      <c r="M743" s="135" t="s">
        <v>472</v>
      </c>
      <c r="N743" s="256">
        <v>0.44583333333333336</v>
      </c>
      <c r="O743" s="256">
        <v>0.47499999999999998</v>
      </c>
      <c r="P743" s="256">
        <v>0.52083333333333337</v>
      </c>
      <c r="Q743" s="253">
        <f>IF(WTG_BD[[#This Row],[Work Start TimeStamp]]="","",(WTG_BD[[#This Row],[Work Start TimeStamp]]-WTG_BD[[#This Row],[Fault Start TimeStamp]])*24)</f>
        <v>0.69999999999999885</v>
      </c>
      <c r="R743" s="253">
        <f>(WTG_BD[[#This Row],[Fault Clearance time]]-WTG_BD[[#This Row],[Work Start TimeStamp]])*24</f>
        <v>1.1000000000000014</v>
      </c>
      <c r="S743" s="253">
        <f>(WTG_BD[[#This Row],[Fault Clearance time]]-WTG_BD[[#This Row],[Fault Start TimeStamp]])*24</f>
        <v>1.8000000000000003</v>
      </c>
      <c r="T743" s="135" t="s">
        <v>639</v>
      </c>
      <c r="U743" s="244" t="s">
        <v>474</v>
      </c>
      <c r="V743" s="246">
        <f>WTG_BD[[#This Row],[Breakdown Time]]*(1/39)</f>
        <v>4.6153846153846156E-2</v>
      </c>
      <c r="W743" s="244" t="s">
        <v>153</v>
      </c>
      <c r="X743" s="250">
        <v>1510.8750000000002</v>
      </c>
      <c r="Y743" s="135" t="s">
        <v>470</v>
      </c>
      <c r="Z743" s="135" t="s">
        <v>475</v>
      </c>
      <c r="AA743" s="135">
        <v>20145</v>
      </c>
      <c r="AB743" s="249">
        <f>(WTG_BD[[#This Row],[Paired WTG Generation for loss calculation.]]/24)*WTG_BD[[#This Row],[Breakdown Time]]</f>
        <v>1510.8750000000002</v>
      </c>
      <c r="AC743" s="135"/>
      <c r="AD743" s="245"/>
      <c r="AE743" s="3"/>
    </row>
    <row r="744" spans="1:31">
      <c r="A744" s="241">
        <f t="shared" si="24"/>
        <v>743</v>
      </c>
      <c r="B744" s="255">
        <v>45817</v>
      </c>
      <c r="C744" s="252">
        <v>2025</v>
      </c>
      <c r="D744" s="252">
        <v>2025</v>
      </c>
      <c r="E744" s="251">
        <f t="shared" si="23"/>
        <v>45809</v>
      </c>
      <c r="F744" s="252" t="s">
        <v>465</v>
      </c>
      <c r="G744" s="248" t="s">
        <v>140</v>
      </c>
      <c r="H744" s="242" t="str">
        <f>IFERROR(VLOOKUP(WTG_BD[[#This Row],[Affected WTG]],'Basic Data'!$A$3:$E$56,2,0),"")</f>
        <v>PWEGPL</v>
      </c>
      <c r="I744" s="242" t="str">
        <f>IFERROR(VLOOKUP(WTG_BD[[#This Row],[Affected WTG]],'Basic Data'!$A$3:$E$56,3,0),"")</f>
        <v>MSEDCL</v>
      </c>
      <c r="J744" s="243">
        <f>IFERROR(VLOOKUP(WTG_BD[[#This Row],[Affected WTG]],'Basic Data'!$A$3:$E$56,5,0),"")</f>
        <v>2.564102564102564E-2</v>
      </c>
      <c r="K744" s="158" t="s">
        <v>466</v>
      </c>
      <c r="L744" s="247" t="str">
        <f>VLOOKUP(K744,'Basic Data'!T:U,2,0)</f>
        <v>Manual Stop - Safety Related</v>
      </c>
      <c r="M744" s="135" t="s">
        <v>467</v>
      </c>
      <c r="N744" s="256">
        <v>0.58680555555555558</v>
      </c>
      <c r="O744" s="256">
        <v>0.58680555555555558</v>
      </c>
      <c r="P744" s="256">
        <v>0.71875</v>
      </c>
      <c r="Q744" s="253">
        <f>IF(WTG_BD[[#This Row],[Work Start TimeStamp]]="","",(WTG_BD[[#This Row],[Work Start TimeStamp]]-WTG_BD[[#This Row],[Fault Start TimeStamp]])*24)</f>
        <v>0</v>
      </c>
      <c r="R744" s="253">
        <f>(WTG_BD[[#This Row],[Fault Clearance time]]-WTG_BD[[#This Row],[Work Start TimeStamp]])*24</f>
        <v>3.1666666666666661</v>
      </c>
      <c r="S744" s="253">
        <f>(WTG_BD[[#This Row],[Fault Clearance time]]-WTG_BD[[#This Row],[Fault Start TimeStamp]])*24</f>
        <v>3.1666666666666661</v>
      </c>
      <c r="T744" s="135" t="s">
        <v>503</v>
      </c>
      <c r="U744" s="244" t="s">
        <v>474</v>
      </c>
      <c r="V744" s="246">
        <f>WTG_BD[[#This Row],[Breakdown Time]]*(1/39)</f>
        <v>8.1196581196581172E-2</v>
      </c>
      <c r="W744" s="244" t="s">
        <v>138</v>
      </c>
      <c r="X744" s="250">
        <v>3090.2708333333326</v>
      </c>
      <c r="Y744" s="135" t="s">
        <v>470</v>
      </c>
      <c r="Z744" s="135" t="s">
        <v>471</v>
      </c>
      <c r="AA744" s="135">
        <v>23421</v>
      </c>
      <c r="AB744" s="249">
        <f>(WTG_BD[[#This Row],[Paired WTG Generation for loss calculation.]]/24)*WTG_BD[[#This Row],[Breakdown Time]]</f>
        <v>3090.2708333333326</v>
      </c>
      <c r="AC744" s="135"/>
      <c r="AD744" s="245"/>
      <c r="AE744" s="3"/>
    </row>
    <row r="745" spans="1:31">
      <c r="A745" s="241">
        <f t="shared" si="24"/>
        <v>744</v>
      </c>
      <c r="B745" s="255">
        <v>45818</v>
      </c>
      <c r="C745" s="252">
        <v>2025</v>
      </c>
      <c r="D745" s="252">
        <v>2025</v>
      </c>
      <c r="E745" s="251">
        <f t="shared" si="23"/>
        <v>45809</v>
      </c>
      <c r="F745" s="252" t="s">
        <v>465</v>
      </c>
      <c r="G745" s="248" t="s">
        <v>144</v>
      </c>
      <c r="H745" s="242" t="str">
        <f>IFERROR(VLOOKUP(WTG_BD[[#This Row],[Affected WTG]],'Basic Data'!$A$3:$E$56,2,0),"")</f>
        <v>PWEGPL</v>
      </c>
      <c r="I745" s="242" t="str">
        <f>IFERROR(VLOOKUP(WTG_BD[[#This Row],[Affected WTG]],'Basic Data'!$A$3:$E$56,3,0),"")</f>
        <v>MSEDCL</v>
      </c>
      <c r="J745" s="243">
        <f>IFERROR(VLOOKUP(WTG_BD[[#This Row],[Affected WTG]],'Basic Data'!$A$3:$E$56,5,0),"")</f>
        <v>2.564102564102564E-2</v>
      </c>
      <c r="K745" s="158" t="s">
        <v>466</v>
      </c>
      <c r="L745" s="247" t="str">
        <f>VLOOKUP(K745,'Basic Data'!T:U,2,0)</f>
        <v>Manual Stop - Safety Related</v>
      </c>
      <c r="M745" s="135" t="s">
        <v>467</v>
      </c>
      <c r="N745" s="256">
        <v>0</v>
      </c>
      <c r="O745" s="256">
        <v>0.99998842592592596</v>
      </c>
      <c r="P745" s="256">
        <v>0.99998842592592596</v>
      </c>
      <c r="Q745" s="253">
        <f>IF(WTG_BD[[#This Row],[Work Start TimeStamp]]="","",(WTG_BD[[#This Row],[Work Start TimeStamp]]-WTG_BD[[#This Row],[Fault Start TimeStamp]])*24)</f>
        <v>23.999722222222225</v>
      </c>
      <c r="R745" s="253">
        <f>(WTG_BD[[#This Row],[Fault Clearance time]]-WTG_BD[[#This Row],[Work Start TimeStamp]])*24</f>
        <v>0</v>
      </c>
      <c r="S745" s="253">
        <f>(WTG_BD[[#This Row],[Fault Clearance time]]-WTG_BD[[#This Row],[Fault Start TimeStamp]])*24</f>
        <v>23.999722222222225</v>
      </c>
      <c r="T745" s="135" t="s">
        <v>468</v>
      </c>
      <c r="U745" s="244" t="s">
        <v>469</v>
      </c>
      <c r="V745" s="246">
        <f>WTG_BD[[#This Row],[Breakdown Time]]*(1/39)</f>
        <v>0.61537749287749288</v>
      </c>
      <c r="W745" s="244" t="s">
        <v>141</v>
      </c>
      <c r="X745" s="250">
        <v>12688.853136574076</v>
      </c>
      <c r="Y745" s="135" t="s">
        <v>470</v>
      </c>
      <c r="Z745" s="135" t="s">
        <v>471</v>
      </c>
      <c r="AA745" s="135">
        <v>12689</v>
      </c>
      <c r="AB745" s="249">
        <f>(WTG_BD[[#This Row],[Paired WTG Generation for loss calculation.]]/24)*WTG_BD[[#This Row],[Breakdown Time]]</f>
        <v>12688.853136574076</v>
      </c>
      <c r="AC745" s="135"/>
      <c r="AD745" s="245"/>
      <c r="AE745" s="3"/>
    </row>
    <row r="746" spans="1:31">
      <c r="A746" s="241">
        <f t="shared" si="24"/>
        <v>745</v>
      </c>
      <c r="B746" s="255">
        <v>45818</v>
      </c>
      <c r="C746" s="252">
        <v>2025</v>
      </c>
      <c r="D746" s="252">
        <v>2025</v>
      </c>
      <c r="E746" s="251">
        <f t="shared" si="23"/>
        <v>45809</v>
      </c>
      <c r="F746" s="252" t="s">
        <v>465</v>
      </c>
      <c r="G746" s="248" t="s">
        <v>142</v>
      </c>
      <c r="H746" s="242" t="str">
        <f>IFERROR(VLOOKUP(WTG_BD[[#This Row],[Affected WTG]],'Basic Data'!$A$3:$E$56,2,0),"")</f>
        <v>PWEGPL</v>
      </c>
      <c r="I746" s="242" t="str">
        <f>IFERROR(VLOOKUP(WTG_BD[[#This Row],[Affected WTG]],'Basic Data'!$A$3:$E$56,3,0),"")</f>
        <v>MSEDCL</v>
      </c>
      <c r="J746" s="243">
        <f>IFERROR(VLOOKUP(WTG_BD[[#This Row],[Affected WTG]],'Basic Data'!$A$3:$E$56,5,0),"")</f>
        <v>2.564102564102564E-2</v>
      </c>
      <c r="K746" s="158" t="s">
        <v>466</v>
      </c>
      <c r="L746" s="247" t="str">
        <f>VLOOKUP(K746,'Basic Data'!T:U,2,0)</f>
        <v>Manual Stop - Safety Related</v>
      </c>
      <c r="M746" s="135" t="s">
        <v>467</v>
      </c>
      <c r="N746" s="256">
        <v>0</v>
      </c>
      <c r="O746" s="256">
        <v>0.99998842592592596</v>
      </c>
      <c r="P746" s="256">
        <v>0.99998842592592596</v>
      </c>
      <c r="Q746" s="253">
        <f>IF(WTG_BD[[#This Row],[Work Start TimeStamp]]="","",(WTG_BD[[#This Row],[Work Start TimeStamp]]-WTG_BD[[#This Row],[Fault Start TimeStamp]])*24)</f>
        <v>23.999722222222225</v>
      </c>
      <c r="R746" s="253">
        <f>(WTG_BD[[#This Row],[Fault Clearance time]]-WTG_BD[[#This Row],[Work Start TimeStamp]])*24</f>
        <v>0</v>
      </c>
      <c r="S746" s="253">
        <f>(WTG_BD[[#This Row],[Fault Clearance time]]-WTG_BD[[#This Row],[Fault Start TimeStamp]])*24</f>
        <v>23.999722222222225</v>
      </c>
      <c r="T746" s="135" t="s">
        <v>468</v>
      </c>
      <c r="U746" s="244" t="s">
        <v>469</v>
      </c>
      <c r="V746" s="246">
        <f>WTG_BD[[#This Row],[Breakdown Time]]*(1/39)</f>
        <v>0.61537749287749288</v>
      </c>
      <c r="W746" s="244" t="s">
        <v>141</v>
      </c>
      <c r="X746" s="250">
        <v>12688.853136574076</v>
      </c>
      <c r="Y746" s="135" t="s">
        <v>470</v>
      </c>
      <c r="Z746" s="135" t="s">
        <v>471</v>
      </c>
      <c r="AA746" s="135">
        <v>12689</v>
      </c>
      <c r="AB746" s="249">
        <f>(WTG_BD[[#This Row],[Paired WTG Generation for loss calculation.]]/24)*WTG_BD[[#This Row],[Breakdown Time]]</f>
        <v>12688.853136574076</v>
      </c>
      <c r="AC746" s="135"/>
      <c r="AD746" s="245"/>
      <c r="AE746" s="3"/>
    </row>
    <row r="747" spans="1:31">
      <c r="A747" s="241">
        <f t="shared" si="24"/>
        <v>746</v>
      </c>
      <c r="B747" s="255">
        <v>45818</v>
      </c>
      <c r="C747" s="252">
        <v>2025</v>
      </c>
      <c r="D747" s="252">
        <v>2025</v>
      </c>
      <c r="E747" s="251">
        <f t="shared" si="23"/>
        <v>45809</v>
      </c>
      <c r="F747" s="252" t="s">
        <v>465</v>
      </c>
      <c r="G747" s="248" t="s">
        <v>116</v>
      </c>
      <c r="H747" s="242" t="str">
        <f>IFERROR(VLOOKUP(WTG_BD[[#This Row],[Affected WTG]],'Basic Data'!$A$3:$E$56,2,0),"")</f>
        <v>PWEGPL</v>
      </c>
      <c r="I747" s="242" t="str">
        <f>IFERROR(VLOOKUP(WTG_BD[[#This Row],[Affected WTG]],'Basic Data'!$A$3:$E$56,3,0),"")</f>
        <v>MSEDCL</v>
      </c>
      <c r="J747" s="243">
        <f>IFERROR(VLOOKUP(WTG_BD[[#This Row],[Affected WTG]],'Basic Data'!$A$3:$E$56,5,0),"")</f>
        <v>2.564102564102564E-2</v>
      </c>
      <c r="K747" s="158" t="s">
        <v>549</v>
      </c>
      <c r="L747" s="247" t="str">
        <f>VLOOKUP(K747,'Basic Data'!T:U,2,0)</f>
        <v>Manual Stop - Preventive Maintenance Activity</v>
      </c>
      <c r="M747" s="135" t="s">
        <v>550</v>
      </c>
      <c r="N747" s="256">
        <v>0.49652777777777779</v>
      </c>
      <c r="O747" s="256">
        <v>0.49652777777777779</v>
      </c>
      <c r="P747" s="256">
        <v>0.78055555555555556</v>
      </c>
      <c r="Q747" s="253">
        <f>IF(WTG_BD[[#This Row],[Work Start TimeStamp]]="","",(WTG_BD[[#This Row],[Work Start TimeStamp]]-WTG_BD[[#This Row],[Fault Start TimeStamp]])*24)</f>
        <v>0</v>
      </c>
      <c r="R747" s="253">
        <f>(WTG_BD[[#This Row],[Fault Clearance time]]-WTG_BD[[#This Row],[Work Start TimeStamp]])*24</f>
        <v>6.8166666666666664</v>
      </c>
      <c r="S747" s="253">
        <f>(WTG_BD[[#This Row],[Fault Clearance time]]-WTG_BD[[#This Row],[Fault Start TimeStamp]])*24</f>
        <v>6.8166666666666664</v>
      </c>
      <c r="T747" s="135" t="s">
        <v>571</v>
      </c>
      <c r="U747" s="244" t="s">
        <v>474</v>
      </c>
      <c r="V747" s="246">
        <f>WTG_BD[[#This Row],[Breakdown Time]]*(1/39)</f>
        <v>0.17478632478632478</v>
      </c>
      <c r="W747" s="244" t="s">
        <v>118</v>
      </c>
      <c r="X747" s="250">
        <v>3787.5104166666665</v>
      </c>
      <c r="Y747" s="135" t="s">
        <v>470</v>
      </c>
      <c r="Z747" s="135" t="s">
        <v>552</v>
      </c>
      <c r="AA747" s="135">
        <v>13335</v>
      </c>
      <c r="AB747" s="249">
        <f>(WTG_BD[[#This Row],[Paired WTG Generation for loss calculation.]]/24)*WTG_BD[[#This Row],[Breakdown Time]]</f>
        <v>3787.5104166666665</v>
      </c>
      <c r="AC747" s="135"/>
      <c r="AD747" s="245"/>
      <c r="AE747" s="3"/>
    </row>
    <row r="748" spans="1:31">
      <c r="A748" s="241">
        <f t="shared" si="24"/>
        <v>747</v>
      </c>
      <c r="B748" s="255">
        <v>45818</v>
      </c>
      <c r="C748" s="252">
        <v>2025</v>
      </c>
      <c r="D748" s="252">
        <v>2025</v>
      </c>
      <c r="E748" s="251">
        <f t="shared" si="23"/>
        <v>45809</v>
      </c>
      <c r="F748" s="252" t="s">
        <v>465</v>
      </c>
      <c r="G748" s="248" t="s">
        <v>128</v>
      </c>
      <c r="H748" s="242" t="str">
        <f>IFERROR(VLOOKUP(WTG_BD[[#This Row],[Affected WTG]],'Basic Data'!$A$3:$E$56,2,0),"")</f>
        <v>PWEGPL</v>
      </c>
      <c r="I748" s="242" t="str">
        <f>IFERROR(VLOOKUP(WTG_BD[[#This Row],[Affected WTG]],'Basic Data'!$A$3:$E$56,3,0),"")</f>
        <v>MSEDCL</v>
      </c>
      <c r="J748" s="243">
        <f>IFERROR(VLOOKUP(WTG_BD[[#This Row],[Affected WTG]],'Basic Data'!$A$3:$E$56,5,0),"")</f>
        <v>2.564102564102564E-2</v>
      </c>
      <c r="K748" s="158">
        <v>203</v>
      </c>
      <c r="L748" s="247" t="str">
        <f>VLOOKUP(K748,'Basic Data'!T:U,2,0)</f>
        <v>Low Pressure On Hydraulic Group</v>
      </c>
      <c r="M748" s="135" t="s">
        <v>472</v>
      </c>
      <c r="N748" s="256">
        <v>0.64583333333333337</v>
      </c>
      <c r="O748" s="256">
        <v>0.67013888888888884</v>
      </c>
      <c r="P748" s="256">
        <v>0.82638888888888884</v>
      </c>
      <c r="Q748" s="253">
        <f>IF(WTG_BD[[#This Row],[Work Start TimeStamp]]="","",(WTG_BD[[#This Row],[Work Start TimeStamp]]-WTG_BD[[#This Row],[Fault Start TimeStamp]])*24)</f>
        <v>0.58333333333333126</v>
      </c>
      <c r="R748" s="253">
        <f>(WTG_BD[[#This Row],[Fault Clearance time]]-WTG_BD[[#This Row],[Work Start TimeStamp]])*24</f>
        <v>3.75</v>
      </c>
      <c r="S748" s="253">
        <f>(WTG_BD[[#This Row],[Fault Clearance time]]-WTG_BD[[#This Row],[Fault Start TimeStamp]])*24</f>
        <v>4.3333333333333313</v>
      </c>
      <c r="T748" s="135" t="s">
        <v>640</v>
      </c>
      <c r="U748" s="244" t="s">
        <v>474</v>
      </c>
      <c r="V748" s="246">
        <f>WTG_BD[[#This Row],[Breakdown Time]]*(1/39)</f>
        <v>0.11111111111111105</v>
      </c>
      <c r="W748" s="244" t="s">
        <v>127</v>
      </c>
      <c r="X748" s="250">
        <v>4033.9722222222204</v>
      </c>
      <c r="Y748" s="135" t="s">
        <v>470</v>
      </c>
      <c r="Z748" s="135" t="s">
        <v>475</v>
      </c>
      <c r="AA748" s="135">
        <v>22342</v>
      </c>
      <c r="AB748" s="249">
        <f>(WTG_BD[[#This Row],[Paired WTG Generation for loss calculation.]]/24)*WTG_BD[[#This Row],[Breakdown Time]]</f>
        <v>4033.9722222222204</v>
      </c>
      <c r="AC748" s="135"/>
      <c r="AD748" s="245"/>
      <c r="AE748" s="3"/>
    </row>
    <row r="749" spans="1:31">
      <c r="A749" s="241">
        <f t="shared" si="24"/>
        <v>748</v>
      </c>
      <c r="B749" s="255">
        <v>45818</v>
      </c>
      <c r="C749" s="252">
        <v>2025</v>
      </c>
      <c r="D749" s="252">
        <v>2025</v>
      </c>
      <c r="E749" s="251">
        <f t="shared" si="23"/>
        <v>45809</v>
      </c>
      <c r="F749" s="252" t="s">
        <v>465</v>
      </c>
      <c r="G749" s="248" t="s">
        <v>129</v>
      </c>
      <c r="H749" s="242" t="str">
        <f>IFERROR(VLOOKUP(WTG_BD[[#This Row],[Affected WTG]],'Basic Data'!$A$3:$E$56,2,0),"")</f>
        <v>PWEGPL</v>
      </c>
      <c r="I749" s="242" t="str">
        <f>IFERROR(VLOOKUP(WTG_BD[[#This Row],[Affected WTG]],'Basic Data'!$A$3:$E$56,3,0),"")</f>
        <v>MSEDCL</v>
      </c>
      <c r="J749" s="243">
        <f>IFERROR(VLOOKUP(WTG_BD[[#This Row],[Affected WTG]],'Basic Data'!$A$3:$E$56,5,0),"")</f>
        <v>2.564102564102564E-2</v>
      </c>
      <c r="K749" s="158" t="s">
        <v>523</v>
      </c>
      <c r="L749" s="247" t="str">
        <f>VLOOKUP(K749,'Basic Data'!T:U,2,0)</f>
        <v>Manual Stop</v>
      </c>
      <c r="M749" s="135" t="s">
        <v>496</v>
      </c>
      <c r="N749" s="256">
        <v>0.67708333333333337</v>
      </c>
      <c r="O749" s="256">
        <v>0.67708333333333337</v>
      </c>
      <c r="P749" s="256">
        <v>0.74305555555555558</v>
      </c>
      <c r="Q749" s="253">
        <f>IF(WTG_BD[[#This Row],[Work Start TimeStamp]]="","",(WTG_BD[[#This Row],[Work Start TimeStamp]]-WTG_BD[[#This Row],[Fault Start TimeStamp]])*24)</f>
        <v>0</v>
      </c>
      <c r="R749" s="253">
        <f>(WTG_BD[[#This Row],[Fault Clearance time]]-WTG_BD[[#This Row],[Work Start TimeStamp]])*24</f>
        <v>1.583333333333333</v>
      </c>
      <c r="S749" s="253">
        <f>(WTG_BD[[#This Row],[Fault Clearance time]]-WTG_BD[[#This Row],[Fault Start TimeStamp]])*24</f>
        <v>1.583333333333333</v>
      </c>
      <c r="T749" s="135" t="s">
        <v>641</v>
      </c>
      <c r="U749" s="244" t="s">
        <v>474</v>
      </c>
      <c r="V749" s="246">
        <f>WTG_BD[[#This Row],[Breakdown Time]]*(1/39)</f>
        <v>4.0598290598290586E-2</v>
      </c>
      <c r="W749" s="244" t="s">
        <v>130</v>
      </c>
      <c r="X749" s="250">
        <v>1419.8541666666663</v>
      </c>
      <c r="Y749" s="135" t="s">
        <v>470</v>
      </c>
      <c r="Z749" s="135" t="s">
        <v>498</v>
      </c>
      <c r="AA749" s="135">
        <v>21522</v>
      </c>
      <c r="AB749" s="249">
        <f>(WTG_BD[[#This Row],[Paired WTG Generation for loss calculation.]]/24)*WTG_BD[[#This Row],[Breakdown Time]]</f>
        <v>1419.8541666666663</v>
      </c>
      <c r="AC749" s="135"/>
      <c r="AD749" s="245"/>
      <c r="AE749" s="3"/>
    </row>
    <row r="750" spans="1:31">
      <c r="A750" s="241">
        <f t="shared" si="24"/>
        <v>749</v>
      </c>
      <c r="B750" s="255">
        <v>45818</v>
      </c>
      <c r="C750" s="252">
        <v>2025</v>
      </c>
      <c r="D750" s="252">
        <v>2025</v>
      </c>
      <c r="E750" s="251">
        <f t="shared" si="23"/>
        <v>45809</v>
      </c>
      <c r="F750" s="252" t="s">
        <v>465</v>
      </c>
      <c r="G750" s="248" t="s">
        <v>130</v>
      </c>
      <c r="H750" s="242" t="str">
        <f>IFERROR(VLOOKUP(WTG_BD[[#This Row],[Affected WTG]],'Basic Data'!$A$3:$E$56,2,0),"")</f>
        <v>PWEGPL</v>
      </c>
      <c r="I750" s="242" t="str">
        <f>IFERROR(VLOOKUP(WTG_BD[[#This Row],[Affected WTG]],'Basic Data'!$A$3:$E$56,3,0),"")</f>
        <v>MSEDCL</v>
      </c>
      <c r="J750" s="243">
        <f>IFERROR(VLOOKUP(WTG_BD[[#This Row],[Affected WTG]],'Basic Data'!$A$3:$E$56,5,0),"")</f>
        <v>2.564102564102564E-2</v>
      </c>
      <c r="K750" s="158" t="s">
        <v>523</v>
      </c>
      <c r="L750" s="247" t="str">
        <f>VLOOKUP(K750,'Basic Data'!T:U,2,0)</f>
        <v>Manual Stop</v>
      </c>
      <c r="M750" s="135" t="s">
        <v>496</v>
      </c>
      <c r="N750" s="256">
        <v>0.4777777777777778</v>
      </c>
      <c r="O750" s="256">
        <v>0.4777777777777778</v>
      </c>
      <c r="P750" s="256">
        <v>0.53472222222222221</v>
      </c>
      <c r="Q750" s="253">
        <f>IF(WTG_BD[[#This Row],[Work Start TimeStamp]]="","",(WTG_BD[[#This Row],[Work Start TimeStamp]]-WTG_BD[[#This Row],[Fault Start TimeStamp]])*24)</f>
        <v>0</v>
      </c>
      <c r="R750" s="253">
        <f>(WTG_BD[[#This Row],[Fault Clearance time]]-WTG_BD[[#This Row],[Work Start TimeStamp]])*24</f>
        <v>1.3666666666666658</v>
      </c>
      <c r="S750" s="253">
        <f>(WTG_BD[[#This Row],[Fault Clearance time]]-WTG_BD[[#This Row],[Fault Start TimeStamp]])*24</f>
        <v>1.3666666666666658</v>
      </c>
      <c r="T750" s="135" t="s">
        <v>641</v>
      </c>
      <c r="U750" s="244" t="s">
        <v>474</v>
      </c>
      <c r="V750" s="246">
        <f>WTG_BD[[#This Row],[Breakdown Time]]*(1/39)</f>
        <v>3.5042735042735022E-2</v>
      </c>
      <c r="W750" s="244" t="s">
        <v>131</v>
      </c>
      <c r="X750" s="250">
        <v>1271.0569444444436</v>
      </c>
      <c r="Y750" s="135" t="s">
        <v>470</v>
      </c>
      <c r="Z750" s="135" t="s">
        <v>498</v>
      </c>
      <c r="AA750" s="135">
        <v>22321</v>
      </c>
      <c r="AB750" s="249">
        <f>(WTG_BD[[#This Row],[Paired WTG Generation for loss calculation.]]/24)*WTG_BD[[#This Row],[Breakdown Time]]</f>
        <v>1271.0569444444436</v>
      </c>
      <c r="AC750" s="135"/>
      <c r="AD750" s="245"/>
      <c r="AE750" s="3"/>
    </row>
    <row r="751" spans="1:31">
      <c r="A751" s="241">
        <f t="shared" si="24"/>
        <v>750</v>
      </c>
      <c r="B751" s="255">
        <v>45818</v>
      </c>
      <c r="C751" s="252">
        <v>2025</v>
      </c>
      <c r="D751" s="252">
        <v>2025</v>
      </c>
      <c r="E751" s="251">
        <f t="shared" si="23"/>
        <v>45809</v>
      </c>
      <c r="F751" s="252" t="s">
        <v>465</v>
      </c>
      <c r="G751" s="248" t="s">
        <v>134</v>
      </c>
      <c r="H751" s="242" t="str">
        <f>IFERROR(VLOOKUP(WTG_BD[[#This Row],[Affected WTG]],'Basic Data'!$A$3:$E$56,2,0),"")</f>
        <v>PWEGPL</v>
      </c>
      <c r="I751" s="242" t="str">
        <f>IFERROR(VLOOKUP(WTG_BD[[#This Row],[Affected WTG]],'Basic Data'!$A$3:$E$56,3,0),"")</f>
        <v>MSEDCL</v>
      </c>
      <c r="J751" s="243">
        <f>IFERROR(VLOOKUP(WTG_BD[[#This Row],[Affected WTG]],'Basic Data'!$A$3:$E$56,5,0),"")</f>
        <v>2.564102564102564E-2</v>
      </c>
      <c r="K751" s="158">
        <v>2118</v>
      </c>
      <c r="L751" s="247" t="str">
        <f>VLOOKUP(K751,'Basic Data'!T:U,2,0)</f>
        <v>Bus Error - Interbus Failure</v>
      </c>
      <c r="M751" s="135" t="s">
        <v>472</v>
      </c>
      <c r="N751" s="256">
        <v>0.49305555555555558</v>
      </c>
      <c r="O751" s="256">
        <v>0.51388888888888884</v>
      </c>
      <c r="P751" s="256">
        <v>0.59930555555555554</v>
      </c>
      <c r="Q751" s="253">
        <f>IF(WTG_BD[[#This Row],[Work Start TimeStamp]]="","",(WTG_BD[[#This Row],[Work Start TimeStamp]]-WTG_BD[[#This Row],[Fault Start TimeStamp]])*24)</f>
        <v>0.49999999999999822</v>
      </c>
      <c r="R751" s="253">
        <f>(WTG_BD[[#This Row],[Fault Clearance time]]-WTG_BD[[#This Row],[Work Start TimeStamp]])*24</f>
        <v>2.0500000000000007</v>
      </c>
      <c r="S751" s="253">
        <f>(WTG_BD[[#This Row],[Fault Clearance time]]-WTG_BD[[#This Row],[Fault Start TimeStamp]])*24</f>
        <v>2.5499999999999989</v>
      </c>
      <c r="T751" s="135" t="s">
        <v>642</v>
      </c>
      <c r="U751" s="244" t="s">
        <v>474</v>
      </c>
      <c r="V751" s="246">
        <f>WTG_BD[[#This Row],[Breakdown Time]]*(1/39)</f>
        <v>6.538461538461536E-2</v>
      </c>
      <c r="W751" s="244" t="s">
        <v>133</v>
      </c>
      <c r="X751" s="250">
        <v>2374.1562499999991</v>
      </c>
      <c r="Y751" s="135" t="s">
        <v>470</v>
      </c>
      <c r="Z751" s="135" t="s">
        <v>475</v>
      </c>
      <c r="AA751" s="135">
        <v>22345</v>
      </c>
      <c r="AB751" s="249">
        <f>(WTG_BD[[#This Row],[Paired WTG Generation for loss calculation.]]/24)*WTG_BD[[#This Row],[Breakdown Time]]</f>
        <v>2374.1562499999991</v>
      </c>
      <c r="AC751" s="135"/>
      <c r="AD751" s="245"/>
      <c r="AE751" s="3"/>
    </row>
    <row r="752" spans="1:31">
      <c r="A752" s="241">
        <f t="shared" si="24"/>
        <v>751</v>
      </c>
      <c r="B752" s="255">
        <v>45818</v>
      </c>
      <c r="C752" s="252">
        <v>2025</v>
      </c>
      <c r="D752" s="252">
        <v>2025</v>
      </c>
      <c r="E752" s="251">
        <f t="shared" si="23"/>
        <v>45809</v>
      </c>
      <c r="F752" s="252" t="s">
        <v>465</v>
      </c>
      <c r="G752" s="248" t="s">
        <v>137</v>
      </c>
      <c r="H752" s="242" t="str">
        <f>IFERROR(VLOOKUP(WTG_BD[[#This Row],[Affected WTG]],'Basic Data'!$A$3:$E$56,2,0),"")</f>
        <v>PWEGPL</v>
      </c>
      <c r="I752" s="242" t="str">
        <f>IFERROR(VLOOKUP(WTG_BD[[#This Row],[Affected WTG]],'Basic Data'!$A$3:$E$56,3,0),"")</f>
        <v>MSEDCL</v>
      </c>
      <c r="J752" s="243">
        <f>IFERROR(VLOOKUP(WTG_BD[[#This Row],[Affected WTG]],'Basic Data'!$A$3:$E$56,5,0),"")</f>
        <v>2.564102564102564E-2</v>
      </c>
      <c r="K752" s="158">
        <v>502</v>
      </c>
      <c r="L752" s="247" t="str">
        <f>VLOOKUP(K752,'Basic Data'!T:U,2,0)</f>
        <v>Generator NDE Bearing High Temperature Alarm</v>
      </c>
      <c r="M752" s="135" t="s">
        <v>472</v>
      </c>
      <c r="N752" s="256">
        <v>0.39930555555555558</v>
      </c>
      <c r="O752" s="256">
        <v>0.49166666666666664</v>
      </c>
      <c r="P752" s="256">
        <v>0.59027777777777779</v>
      </c>
      <c r="Q752" s="253">
        <f>IF(WTG_BD[[#This Row],[Work Start TimeStamp]]="","",(WTG_BD[[#This Row],[Work Start TimeStamp]]-WTG_BD[[#This Row],[Fault Start TimeStamp]])*24)</f>
        <v>2.2166666666666655</v>
      </c>
      <c r="R752" s="253">
        <f>(WTG_BD[[#This Row],[Fault Clearance time]]-WTG_BD[[#This Row],[Work Start TimeStamp]])*24</f>
        <v>2.3666666666666676</v>
      </c>
      <c r="S752" s="253">
        <f>(WTG_BD[[#This Row],[Fault Clearance time]]-WTG_BD[[#This Row],[Fault Start TimeStamp]])*24</f>
        <v>4.583333333333333</v>
      </c>
      <c r="T752" s="135" t="s">
        <v>643</v>
      </c>
      <c r="U752" s="244" t="s">
        <v>474</v>
      </c>
      <c r="V752" s="246">
        <f>WTG_BD[[#This Row],[Breakdown Time]]*(1/39)</f>
        <v>0.11752136752136751</v>
      </c>
      <c r="W752" s="244" t="s">
        <v>119</v>
      </c>
      <c r="X752" s="250">
        <v>2411.7881944444443</v>
      </c>
      <c r="Y752" s="135" t="s">
        <v>470</v>
      </c>
      <c r="Z752" s="135" t="s">
        <v>475</v>
      </c>
      <c r="AA752" s="135">
        <v>12629</v>
      </c>
      <c r="AB752" s="249">
        <f>(WTG_BD[[#This Row],[Paired WTG Generation for loss calculation.]]/24)*WTG_BD[[#This Row],[Breakdown Time]]</f>
        <v>2411.7881944444443</v>
      </c>
      <c r="AC752" s="135"/>
      <c r="AD752" s="245"/>
      <c r="AE752" s="3"/>
    </row>
    <row r="753" spans="1:31">
      <c r="A753" s="241">
        <f t="shared" si="24"/>
        <v>752</v>
      </c>
      <c r="B753" s="255">
        <v>45819</v>
      </c>
      <c r="C753" s="252">
        <v>2025</v>
      </c>
      <c r="D753" s="252">
        <v>2025</v>
      </c>
      <c r="E753" s="251">
        <f t="shared" si="23"/>
        <v>45809</v>
      </c>
      <c r="F753" s="252" t="s">
        <v>465</v>
      </c>
      <c r="G753" s="248" t="s">
        <v>144</v>
      </c>
      <c r="H753" s="242" t="str">
        <f>IFERROR(VLOOKUP(WTG_BD[[#This Row],[Affected WTG]],'Basic Data'!$A$3:$E$56,2,0),"")</f>
        <v>PWEGPL</v>
      </c>
      <c r="I753" s="242" t="str">
        <f>IFERROR(VLOOKUP(WTG_BD[[#This Row],[Affected WTG]],'Basic Data'!$A$3:$E$56,3,0),"")</f>
        <v>MSEDCL</v>
      </c>
      <c r="J753" s="243">
        <f>IFERROR(VLOOKUP(WTG_BD[[#This Row],[Affected WTG]],'Basic Data'!$A$3:$E$56,5,0),"")</f>
        <v>2.564102564102564E-2</v>
      </c>
      <c r="K753" s="158" t="s">
        <v>466</v>
      </c>
      <c r="L753" s="247" t="str">
        <f>VLOOKUP(K753,'Basic Data'!T:U,2,0)</f>
        <v>Manual Stop - Safety Related</v>
      </c>
      <c r="M753" s="135" t="s">
        <v>467</v>
      </c>
      <c r="N753" s="256">
        <v>0</v>
      </c>
      <c r="O753" s="256">
        <v>0.99998842592592596</v>
      </c>
      <c r="P753" s="256">
        <v>0.99998842592592596</v>
      </c>
      <c r="Q753" s="253">
        <f>IF(WTG_BD[[#This Row],[Work Start TimeStamp]]="","",(WTG_BD[[#This Row],[Work Start TimeStamp]]-WTG_BD[[#This Row],[Fault Start TimeStamp]])*24)</f>
        <v>23.999722222222225</v>
      </c>
      <c r="R753" s="253">
        <f>(WTG_BD[[#This Row],[Fault Clearance time]]-WTG_BD[[#This Row],[Work Start TimeStamp]])*24</f>
        <v>0</v>
      </c>
      <c r="S753" s="253">
        <f>(WTG_BD[[#This Row],[Fault Clearance time]]-WTG_BD[[#This Row],[Fault Start TimeStamp]])*24</f>
        <v>23.999722222222225</v>
      </c>
      <c r="T753" s="135" t="s">
        <v>468</v>
      </c>
      <c r="U753" s="244" t="s">
        <v>469</v>
      </c>
      <c r="V753" s="246">
        <f>WTG_BD[[#This Row],[Breakdown Time]]*(1/39)</f>
        <v>0.61537749287749288</v>
      </c>
      <c r="W753" s="244" t="s">
        <v>141</v>
      </c>
      <c r="X753" s="250">
        <v>14453.832708333335</v>
      </c>
      <c r="Y753" s="135" t="s">
        <v>470</v>
      </c>
      <c r="Z753" s="135" t="s">
        <v>471</v>
      </c>
      <c r="AA753" s="135">
        <v>14454</v>
      </c>
      <c r="AB753" s="249">
        <f>(WTG_BD[[#This Row],[Paired WTG Generation for loss calculation.]]/24)*WTG_BD[[#This Row],[Breakdown Time]]</f>
        <v>14453.832708333335</v>
      </c>
      <c r="AC753" s="135"/>
      <c r="AD753" s="245"/>
      <c r="AE753" s="3"/>
    </row>
    <row r="754" spans="1:31">
      <c r="A754" s="241">
        <f t="shared" si="24"/>
        <v>753</v>
      </c>
      <c r="B754" s="255">
        <v>45819</v>
      </c>
      <c r="C754" s="252">
        <v>2025</v>
      </c>
      <c r="D754" s="252">
        <v>2025</v>
      </c>
      <c r="E754" s="251">
        <f t="shared" si="23"/>
        <v>45809</v>
      </c>
      <c r="F754" s="252" t="s">
        <v>465</v>
      </c>
      <c r="G754" s="248" t="s">
        <v>142</v>
      </c>
      <c r="H754" s="242" t="str">
        <f>IFERROR(VLOOKUP(WTG_BD[[#This Row],[Affected WTG]],'Basic Data'!$A$3:$E$56,2,0),"")</f>
        <v>PWEGPL</v>
      </c>
      <c r="I754" s="242" t="str">
        <f>IFERROR(VLOOKUP(WTG_BD[[#This Row],[Affected WTG]],'Basic Data'!$A$3:$E$56,3,0),"")</f>
        <v>MSEDCL</v>
      </c>
      <c r="J754" s="243">
        <f>IFERROR(VLOOKUP(WTG_BD[[#This Row],[Affected WTG]],'Basic Data'!$A$3:$E$56,5,0),"")</f>
        <v>2.564102564102564E-2</v>
      </c>
      <c r="K754" s="158" t="s">
        <v>466</v>
      </c>
      <c r="L754" s="247" t="str">
        <f>VLOOKUP(K754,'Basic Data'!T:U,2,0)</f>
        <v>Manual Stop - Safety Related</v>
      </c>
      <c r="M754" s="135" t="s">
        <v>467</v>
      </c>
      <c r="N754" s="256">
        <v>0</v>
      </c>
      <c r="O754" s="256">
        <v>0.99998842592592596</v>
      </c>
      <c r="P754" s="256">
        <v>0.99998842592592596</v>
      </c>
      <c r="Q754" s="253">
        <f>IF(WTG_BD[[#This Row],[Work Start TimeStamp]]="","",(WTG_BD[[#This Row],[Work Start TimeStamp]]-WTG_BD[[#This Row],[Fault Start TimeStamp]])*24)</f>
        <v>23.999722222222225</v>
      </c>
      <c r="R754" s="253">
        <f>(WTG_BD[[#This Row],[Fault Clearance time]]-WTG_BD[[#This Row],[Work Start TimeStamp]])*24</f>
        <v>0</v>
      </c>
      <c r="S754" s="253">
        <f>(WTG_BD[[#This Row],[Fault Clearance time]]-WTG_BD[[#This Row],[Fault Start TimeStamp]])*24</f>
        <v>23.999722222222225</v>
      </c>
      <c r="T754" s="135" t="s">
        <v>468</v>
      </c>
      <c r="U754" s="244" t="s">
        <v>469</v>
      </c>
      <c r="V754" s="246">
        <f>WTG_BD[[#This Row],[Breakdown Time]]*(1/39)</f>
        <v>0.61537749287749288</v>
      </c>
      <c r="W754" s="244" t="s">
        <v>141</v>
      </c>
      <c r="X754" s="250">
        <v>14453.832708333335</v>
      </c>
      <c r="Y754" s="135" t="s">
        <v>470</v>
      </c>
      <c r="Z754" s="135" t="s">
        <v>471</v>
      </c>
      <c r="AA754" s="135">
        <v>14454</v>
      </c>
      <c r="AB754" s="249">
        <f>(WTG_BD[[#This Row],[Paired WTG Generation for loss calculation.]]/24)*WTG_BD[[#This Row],[Breakdown Time]]</f>
        <v>14453.832708333335</v>
      </c>
      <c r="AC754" s="135"/>
      <c r="AD754" s="245"/>
      <c r="AE754" s="3"/>
    </row>
    <row r="755" spans="1:31">
      <c r="A755" s="241">
        <f t="shared" si="24"/>
        <v>754</v>
      </c>
      <c r="B755" s="255">
        <v>45819</v>
      </c>
      <c r="C755" s="252">
        <v>2025</v>
      </c>
      <c r="D755" s="252">
        <v>2025</v>
      </c>
      <c r="E755" s="251">
        <f t="shared" si="23"/>
        <v>45809</v>
      </c>
      <c r="F755" s="252" t="s">
        <v>465</v>
      </c>
      <c r="G755" s="248" t="s">
        <v>116</v>
      </c>
      <c r="H755" s="242" t="str">
        <f>IFERROR(VLOOKUP(WTG_BD[[#This Row],[Affected WTG]],'Basic Data'!$A$3:$E$56,2,0),"")</f>
        <v>PWEGPL</v>
      </c>
      <c r="I755" s="242" t="str">
        <f>IFERROR(VLOOKUP(WTG_BD[[#This Row],[Affected WTG]],'Basic Data'!$A$3:$E$56,3,0),"")</f>
        <v>MSEDCL</v>
      </c>
      <c r="J755" s="243">
        <f>IFERROR(VLOOKUP(WTG_BD[[#This Row],[Affected WTG]],'Basic Data'!$A$3:$E$56,5,0),"")</f>
        <v>2.564102564102564E-2</v>
      </c>
      <c r="K755" s="158">
        <v>2100</v>
      </c>
      <c r="L755" s="247" t="str">
        <f>VLOOKUP(K755,'Basic Data'!T:U,2,0)</f>
        <v>PLC Voltage Recovery</v>
      </c>
      <c r="M755" s="135" t="s">
        <v>472</v>
      </c>
      <c r="N755" s="256">
        <v>0.69791666666666663</v>
      </c>
      <c r="O755" s="256">
        <v>0.7270833333333333</v>
      </c>
      <c r="P755" s="256">
        <v>0.72777777777777775</v>
      </c>
      <c r="Q755" s="253">
        <f>IF(WTG_BD[[#This Row],[Work Start TimeStamp]]="","",(WTG_BD[[#This Row],[Work Start TimeStamp]]-WTG_BD[[#This Row],[Fault Start TimeStamp]])*24)</f>
        <v>0.70000000000000018</v>
      </c>
      <c r="R755" s="253">
        <f>(WTG_BD[[#This Row],[Fault Clearance time]]-WTG_BD[[#This Row],[Work Start TimeStamp]])*24</f>
        <v>1.6666666666666607E-2</v>
      </c>
      <c r="S755" s="253">
        <f>(WTG_BD[[#This Row],[Fault Clearance time]]-WTG_BD[[#This Row],[Fault Start TimeStamp]])*24</f>
        <v>0.71666666666666679</v>
      </c>
      <c r="T755" s="135" t="s">
        <v>473</v>
      </c>
      <c r="U755" s="244" t="s">
        <v>474</v>
      </c>
      <c r="V755" s="246">
        <f>WTG_BD[[#This Row],[Breakdown Time]]*(1/39)</f>
        <v>1.837606837606838E-2</v>
      </c>
      <c r="W755" s="244" t="s">
        <v>117</v>
      </c>
      <c r="X755" s="250">
        <v>535.08125000000007</v>
      </c>
      <c r="Y755" s="135" t="s">
        <v>470</v>
      </c>
      <c r="Z755" s="135" t="s">
        <v>475</v>
      </c>
      <c r="AA755" s="135">
        <v>17919</v>
      </c>
      <c r="AB755" s="249">
        <f>(WTG_BD[[#This Row],[Paired WTG Generation for loss calculation.]]/24)*WTG_BD[[#This Row],[Breakdown Time]]</f>
        <v>535.08125000000007</v>
      </c>
      <c r="AC755" s="135"/>
      <c r="AD755" s="245"/>
      <c r="AE755" s="3"/>
    </row>
    <row r="756" spans="1:31">
      <c r="A756" s="241">
        <f t="shared" si="24"/>
        <v>755</v>
      </c>
      <c r="B756" s="255">
        <v>45819</v>
      </c>
      <c r="C756" s="252">
        <v>2025</v>
      </c>
      <c r="D756" s="252">
        <v>2025</v>
      </c>
      <c r="E756" s="251">
        <f t="shared" si="23"/>
        <v>45809</v>
      </c>
      <c r="F756" s="252" t="s">
        <v>465</v>
      </c>
      <c r="G756" s="248" t="s">
        <v>117</v>
      </c>
      <c r="H756" s="242" t="str">
        <f>IFERROR(VLOOKUP(WTG_BD[[#This Row],[Affected WTG]],'Basic Data'!$A$3:$E$56,2,0),"")</f>
        <v>PWEGPL</v>
      </c>
      <c r="I756" s="242" t="str">
        <f>IFERROR(VLOOKUP(WTG_BD[[#This Row],[Affected WTG]],'Basic Data'!$A$3:$E$56,3,0),"")</f>
        <v>MSEDCL</v>
      </c>
      <c r="J756" s="243">
        <f>IFERROR(VLOOKUP(WTG_BD[[#This Row],[Affected WTG]],'Basic Data'!$A$3:$E$56,5,0),"")</f>
        <v>2.564102564102564E-2</v>
      </c>
      <c r="K756" s="158">
        <v>2100</v>
      </c>
      <c r="L756" s="247" t="str">
        <f>VLOOKUP(K756,'Basic Data'!T:U,2,0)</f>
        <v>PLC Voltage Recovery</v>
      </c>
      <c r="M756" s="135" t="s">
        <v>472</v>
      </c>
      <c r="N756" s="256">
        <v>0.69791666666666663</v>
      </c>
      <c r="O756" s="256">
        <v>0.71319444444444446</v>
      </c>
      <c r="P756" s="256">
        <v>0.71388888888888891</v>
      </c>
      <c r="Q756" s="253">
        <f>IF(WTG_BD[[#This Row],[Work Start TimeStamp]]="","",(WTG_BD[[#This Row],[Work Start TimeStamp]]-WTG_BD[[#This Row],[Fault Start TimeStamp]])*24)</f>
        <v>0.36666666666666803</v>
      </c>
      <c r="R756" s="253">
        <f>(WTG_BD[[#This Row],[Fault Clearance time]]-WTG_BD[[#This Row],[Work Start TimeStamp]])*24</f>
        <v>1.6666666666666607E-2</v>
      </c>
      <c r="S756" s="253">
        <f>(WTG_BD[[#This Row],[Fault Clearance time]]-WTG_BD[[#This Row],[Fault Start TimeStamp]])*24</f>
        <v>0.38333333333333464</v>
      </c>
      <c r="T756" s="135" t="s">
        <v>473</v>
      </c>
      <c r="U756" s="244" t="s">
        <v>474</v>
      </c>
      <c r="V756" s="246">
        <f>WTG_BD[[#This Row],[Breakdown Time]]*(1/39)</f>
        <v>9.8290598290598618E-3</v>
      </c>
      <c r="W756" s="244" t="s">
        <v>118</v>
      </c>
      <c r="X756" s="250">
        <v>286.11041666666762</v>
      </c>
      <c r="Y756" s="135" t="s">
        <v>470</v>
      </c>
      <c r="Z756" s="135" t="s">
        <v>475</v>
      </c>
      <c r="AA756" s="135">
        <v>17913</v>
      </c>
      <c r="AB756" s="249">
        <f>(WTG_BD[[#This Row],[Paired WTG Generation for loss calculation.]]/24)*WTG_BD[[#This Row],[Breakdown Time]]</f>
        <v>286.11041666666762</v>
      </c>
      <c r="AC756" s="135"/>
      <c r="AD756" s="245"/>
      <c r="AE756" s="3"/>
    </row>
    <row r="757" spans="1:31">
      <c r="A757" s="241">
        <f t="shared" si="24"/>
        <v>756</v>
      </c>
      <c r="B757" s="255">
        <v>45819</v>
      </c>
      <c r="C757" s="252">
        <v>2025</v>
      </c>
      <c r="D757" s="252">
        <v>2025</v>
      </c>
      <c r="E757" s="251">
        <f t="shared" si="23"/>
        <v>45809</v>
      </c>
      <c r="F757" s="252" t="s">
        <v>465</v>
      </c>
      <c r="G757" s="248" t="s">
        <v>118</v>
      </c>
      <c r="H757" s="242" t="str">
        <f>IFERROR(VLOOKUP(WTG_BD[[#This Row],[Affected WTG]],'Basic Data'!$A$3:$E$56,2,0),"")</f>
        <v>PWEGPL</v>
      </c>
      <c r="I757" s="242" t="str">
        <f>IFERROR(VLOOKUP(WTG_BD[[#This Row],[Affected WTG]],'Basic Data'!$A$3:$E$56,3,0),"")</f>
        <v>MSEDCL</v>
      </c>
      <c r="J757" s="243">
        <f>IFERROR(VLOOKUP(WTG_BD[[#This Row],[Affected WTG]],'Basic Data'!$A$3:$E$56,5,0),"")</f>
        <v>2.564102564102564E-2</v>
      </c>
      <c r="K757" s="158">
        <v>2100</v>
      </c>
      <c r="L757" s="247" t="str">
        <f>VLOOKUP(K757,'Basic Data'!T:U,2,0)</f>
        <v>PLC Voltage Recovery</v>
      </c>
      <c r="M757" s="135" t="s">
        <v>472</v>
      </c>
      <c r="N757" s="256">
        <v>0.69791666666666663</v>
      </c>
      <c r="O757" s="256">
        <v>0.71805555555555556</v>
      </c>
      <c r="P757" s="256">
        <v>0.71875</v>
      </c>
      <c r="Q757" s="253">
        <f>IF(WTG_BD[[#This Row],[Work Start TimeStamp]]="","",(WTG_BD[[#This Row],[Work Start TimeStamp]]-WTG_BD[[#This Row],[Fault Start TimeStamp]])*24)</f>
        <v>0.48333333333333428</v>
      </c>
      <c r="R757" s="253">
        <f>(WTG_BD[[#This Row],[Fault Clearance time]]-WTG_BD[[#This Row],[Work Start TimeStamp]])*24</f>
        <v>1.6666666666666607E-2</v>
      </c>
      <c r="S757" s="253">
        <f>(WTG_BD[[#This Row],[Fault Clearance time]]-WTG_BD[[#This Row],[Fault Start TimeStamp]])*24</f>
        <v>0.50000000000000089</v>
      </c>
      <c r="T757" s="135" t="s">
        <v>473</v>
      </c>
      <c r="U757" s="244" t="s">
        <v>474</v>
      </c>
      <c r="V757" s="246">
        <f>WTG_BD[[#This Row],[Breakdown Time]]*(1/39)</f>
        <v>1.2820512820512843E-2</v>
      </c>
      <c r="W757" s="244" t="s">
        <v>117</v>
      </c>
      <c r="X757" s="250">
        <v>373.31250000000068</v>
      </c>
      <c r="Y757" s="135" t="s">
        <v>470</v>
      </c>
      <c r="Z757" s="135" t="s">
        <v>475</v>
      </c>
      <c r="AA757" s="135">
        <v>17919</v>
      </c>
      <c r="AB757" s="249">
        <f>(WTG_BD[[#This Row],[Paired WTG Generation for loss calculation.]]/24)*WTG_BD[[#This Row],[Breakdown Time]]</f>
        <v>373.31250000000068</v>
      </c>
      <c r="AC757" s="135"/>
      <c r="AD757" s="245"/>
      <c r="AE757" s="3"/>
    </row>
    <row r="758" spans="1:31">
      <c r="A758" s="241">
        <f t="shared" si="24"/>
        <v>757</v>
      </c>
      <c r="B758" s="255">
        <v>45819</v>
      </c>
      <c r="C758" s="252">
        <v>2025</v>
      </c>
      <c r="D758" s="252">
        <v>2025</v>
      </c>
      <c r="E758" s="251">
        <f t="shared" si="23"/>
        <v>45809</v>
      </c>
      <c r="F758" s="252" t="s">
        <v>465</v>
      </c>
      <c r="G758" s="248" t="s">
        <v>120</v>
      </c>
      <c r="H758" s="242" t="str">
        <f>IFERROR(VLOOKUP(WTG_BD[[#This Row],[Affected WTG]],'Basic Data'!$A$3:$E$56,2,0),"")</f>
        <v>PWEGPL</v>
      </c>
      <c r="I758" s="242" t="str">
        <f>IFERROR(VLOOKUP(WTG_BD[[#This Row],[Affected WTG]],'Basic Data'!$A$3:$E$56,3,0),"")</f>
        <v>MSEDCL</v>
      </c>
      <c r="J758" s="243">
        <f>IFERROR(VLOOKUP(WTG_BD[[#This Row],[Affected WTG]],'Basic Data'!$A$3:$E$56,5,0),"")</f>
        <v>2.564102564102564E-2</v>
      </c>
      <c r="K758" s="158">
        <v>2100</v>
      </c>
      <c r="L758" s="247" t="str">
        <f>VLOOKUP(K758,'Basic Data'!T:U,2,0)</f>
        <v>PLC Voltage Recovery</v>
      </c>
      <c r="M758" s="135" t="s">
        <v>472</v>
      </c>
      <c r="N758" s="256">
        <v>0.69791666666666663</v>
      </c>
      <c r="O758" s="256">
        <v>0.70902777777777781</v>
      </c>
      <c r="P758" s="256">
        <v>0.70972222222222225</v>
      </c>
      <c r="Q758" s="253">
        <f>IF(WTG_BD[[#This Row],[Work Start TimeStamp]]="","",(WTG_BD[[#This Row],[Work Start TimeStamp]]-WTG_BD[[#This Row],[Fault Start TimeStamp]])*24)</f>
        <v>0.26666666666666838</v>
      </c>
      <c r="R758" s="253">
        <f>(WTG_BD[[#This Row],[Fault Clearance time]]-WTG_BD[[#This Row],[Work Start TimeStamp]])*24</f>
        <v>1.6666666666666607E-2</v>
      </c>
      <c r="S758" s="253">
        <f>(WTG_BD[[#This Row],[Fault Clearance time]]-WTG_BD[[#This Row],[Fault Start TimeStamp]])*24</f>
        <v>0.28333333333333499</v>
      </c>
      <c r="T758" s="135" t="s">
        <v>473</v>
      </c>
      <c r="U758" s="244" t="s">
        <v>474</v>
      </c>
      <c r="V758" s="246">
        <f>WTG_BD[[#This Row],[Breakdown Time]]*(1/39)</f>
        <v>7.2649572649573068E-3</v>
      </c>
      <c r="W758" s="244" t="s">
        <v>117</v>
      </c>
      <c r="X758" s="250">
        <v>211.54375000000124</v>
      </c>
      <c r="Y758" s="135" t="s">
        <v>470</v>
      </c>
      <c r="Z758" s="135" t="s">
        <v>475</v>
      </c>
      <c r="AA758" s="135">
        <v>17919</v>
      </c>
      <c r="AB758" s="249">
        <f>(WTG_BD[[#This Row],[Paired WTG Generation for loss calculation.]]/24)*WTG_BD[[#This Row],[Breakdown Time]]</f>
        <v>211.54375000000124</v>
      </c>
      <c r="AC758" s="135"/>
      <c r="AD758" s="245"/>
      <c r="AE758" s="3"/>
    </row>
    <row r="759" spans="1:31">
      <c r="A759" s="241">
        <f t="shared" si="24"/>
        <v>758</v>
      </c>
      <c r="B759" s="255">
        <v>45819</v>
      </c>
      <c r="C759" s="252">
        <v>2025</v>
      </c>
      <c r="D759" s="252">
        <v>2025</v>
      </c>
      <c r="E759" s="251">
        <f t="shared" si="23"/>
        <v>45809</v>
      </c>
      <c r="F759" s="252" t="s">
        <v>465</v>
      </c>
      <c r="G759" s="158" t="s">
        <v>121</v>
      </c>
      <c r="H759" s="242" t="str">
        <f>IFERROR(VLOOKUP(WTG_BD[[#This Row],[Affected WTG]],'Basic Data'!$A$3:$E$56,2,0),"")</f>
        <v>PWEGPL</v>
      </c>
      <c r="I759" s="242" t="str">
        <f>IFERROR(VLOOKUP(WTG_BD[[#This Row],[Affected WTG]],'Basic Data'!$A$3:$E$56,3,0),"")</f>
        <v>MSEDCL</v>
      </c>
      <c r="J759" s="243">
        <f>IFERROR(VLOOKUP(WTG_BD[[#This Row],[Affected WTG]],'Basic Data'!$A$3:$E$56,5,0),"")</f>
        <v>2.564102564102564E-2</v>
      </c>
      <c r="K759" s="158" t="s">
        <v>549</v>
      </c>
      <c r="L759" s="247" t="str">
        <f>VLOOKUP(K759,'Basic Data'!T:U,2,0)</f>
        <v>Manual Stop - Preventive Maintenance Activity</v>
      </c>
      <c r="M759" s="135" t="s">
        <v>550</v>
      </c>
      <c r="N759" s="256">
        <v>0.44722222222222224</v>
      </c>
      <c r="O759" s="256">
        <v>0.44722222222222224</v>
      </c>
      <c r="P759" s="256">
        <v>0.78125</v>
      </c>
      <c r="Q759" s="253">
        <f>IF(WTG_BD[[#This Row],[Work Start TimeStamp]]="","",(WTG_BD[[#This Row],[Work Start TimeStamp]]-WTG_BD[[#This Row],[Fault Start TimeStamp]])*24)</f>
        <v>0</v>
      </c>
      <c r="R759" s="253">
        <f>(WTG_BD[[#This Row],[Fault Clearance time]]-WTG_BD[[#This Row],[Work Start TimeStamp]])*24</f>
        <v>8.0166666666666657</v>
      </c>
      <c r="S759" s="253">
        <f>(WTG_BD[[#This Row],[Fault Clearance time]]-WTG_BD[[#This Row],[Fault Start TimeStamp]])*24</f>
        <v>8.0166666666666657</v>
      </c>
      <c r="T759" s="135" t="s">
        <v>571</v>
      </c>
      <c r="U759" s="244" t="s">
        <v>474</v>
      </c>
      <c r="V759" s="246">
        <f>WTG_BD[[#This Row],[Breakdown Time]]*(1/39)</f>
        <v>0.20555555555555552</v>
      </c>
      <c r="W759" s="244" t="s">
        <v>115</v>
      </c>
      <c r="X759" s="250">
        <v>5982.771527777777</v>
      </c>
      <c r="Y759" s="135" t="s">
        <v>470</v>
      </c>
      <c r="Z759" s="135" t="s">
        <v>552</v>
      </c>
      <c r="AA759" s="135">
        <v>17911</v>
      </c>
      <c r="AB759" s="249">
        <f>(WTG_BD[[#This Row],[Paired WTG Generation for loss calculation.]]/24)*WTG_BD[[#This Row],[Breakdown Time]]</f>
        <v>5982.771527777777</v>
      </c>
      <c r="AC759" s="135"/>
      <c r="AD759" s="245"/>
      <c r="AE759" s="3"/>
    </row>
    <row r="760" spans="1:31">
      <c r="A760" s="241">
        <f t="shared" si="24"/>
        <v>759</v>
      </c>
      <c r="B760" s="255">
        <v>45819</v>
      </c>
      <c r="C760" s="252">
        <v>2025</v>
      </c>
      <c r="D760" s="252">
        <v>2025</v>
      </c>
      <c r="E760" s="251">
        <f t="shared" ref="E760:E823" si="25">B760-DAY(B760)+1</f>
        <v>45809</v>
      </c>
      <c r="F760" s="252" t="s">
        <v>465</v>
      </c>
      <c r="G760" s="248" t="s">
        <v>124</v>
      </c>
      <c r="H760" s="242" t="str">
        <f>IFERROR(VLOOKUP(WTG_BD[[#This Row],[Affected WTG]],'Basic Data'!$A$3:$E$56,2,0),"")</f>
        <v>PWEGPL</v>
      </c>
      <c r="I760" s="242" t="str">
        <f>IFERROR(VLOOKUP(WTG_BD[[#This Row],[Affected WTG]],'Basic Data'!$A$3:$E$56,3,0),"")</f>
        <v>MSEDCL</v>
      </c>
      <c r="J760" s="243">
        <f>IFERROR(VLOOKUP(WTG_BD[[#This Row],[Affected WTG]],'Basic Data'!$A$3:$E$56,5,0),"")</f>
        <v>2.564102564102564E-2</v>
      </c>
      <c r="K760" s="158">
        <v>2100</v>
      </c>
      <c r="L760" s="247" t="str">
        <f>VLOOKUP(K760,'Basic Data'!T:U,2,0)</f>
        <v>PLC Voltage Recovery</v>
      </c>
      <c r="M760" s="135" t="s">
        <v>472</v>
      </c>
      <c r="N760" s="256">
        <v>0.69791666666666663</v>
      </c>
      <c r="O760" s="256">
        <v>0.75694444444444442</v>
      </c>
      <c r="P760" s="256">
        <v>0.75763888888888886</v>
      </c>
      <c r="Q760" s="253">
        <f>IF(WTG_BD[[#This Row],[Work Start TimeStamp]]="","",(WTG_BD[[#This Row],[Work Start TimeStamp]]-WTG_BD[[#This Row],[Fault Start TimeStamp]])*24)</f>
        <v>1.416666666666667</v>
      </c>
      <c r="R760" s="253">
        <f>(WTG_BD[[#This Row],[Fault Clearance time]]-WTG_BD[[#This Row],[Work Start TimeStamp]])*24</f>
        <v>1.6666666666666607E-2</v>
      </c>
      <c r="S760" s="253">
        <f>(WTG_BD[[#This Row],[Fault Clearance time]]-WTG_BD[[#This Row],[Fault Start TimeStamp]])*24</f>
        <v>1.4333333333333336</v>
      </c>
      <c r="T760" s="135" t="s">
        <v>473</v>
      </c>
      <c r="U760" s="244" t="s">
        <v>474</v>
      </c>
      <c r="V760" s="246">
        <f>WTG_BD[[#This Row],[Breakdown Time]]*(1/39)</f>
        <v>3.675213675213676E-2</v>
      </c>
      <c r="W760" s="244" t="s">
        <v>125</v>
      </c>
      <c r="X760" s="250">
        <v>1071.2972222222224</v>
      </c>
      <c r="Y760" s="135" t="s">
        <v>470</v>
      </c>
      <c r="Z760" s="135" t="s">
        <v>475</v>
      </c>
      <c r="AA760" s="135">
        <v>17938</v>
      </c>
      <c r="AB760" s="249">
        <f>(WTG_BD[[#This Row],[Paired WTG Generation for loss calculation.]]/24)*WTG_BD[[#This Row],[Breakdown Time]]</f>
        <v>1071.2972222222224</v>
      </c>
      <c r="AC760" s="135"/>
      <c r="AD760" s="245"/>
      <c r="AE760" s="3"/>
    </row>
    <row r="761" spans="1:31">
      <c r="A761" s="241">
        <f t="shared" si="24"/>
        <v>760</v>
      </c>
      <c r="B761" s="255">
        <v>45819</v>
      </c>
      <c r="C761" s="252">
        <v>2025</v>
      </c>
      <c r="D761" s="252">
        <v>2025</v>
      </c>
      <c r="E761" s="251">
        <f t="shared" si="25"/>
        <v>45809</v>
      </c>
      <c r="F761" s="252" t="s">
        <v>465</v>
      </c>
      <c r="G761" s="248" t="s">
        <v>130</v>
      </c>
      <c r="H761" s="242" t="str">
        <f>IFERROR(VLOOKUP(WTG_BD[[#This Row],[Affected WTG]],'Basic Data'!$A$3:$E$56,2,0),"")</f>
        <v>PWEGPL</v>
      </c>
      <c r="I761" s="242" t="str">
        <f>IFERROR(VLOOKUP(WTG_BD[[#This Row],[Affected WTG]],'Basic Data'!$A$3:$E$56,3,0),"")</f>
        <v>MSEDCL</v>
      </c>
      <c r="J761" s="243">
        <f>IFERROR(VLOOKUP(WTG_BD[[#This Row],[Affected WTG]],'Basic Data'!$A$3:$E$56,5,0),"")</f>
        <v>2.564102564102564E-2</v>
      </c>
      <c r="K761" s="158">
        <v>116</v>
      </c>
      <c r="L761" s="247" t="str">
        <f>VLOOKUP(K761,'Basic Data'!T:U,2,0)</f>
        <v>Orienting and High Yaw Brake Pressure</v>
      </c>
      <c r="M761" s="135" t="s">
        <v>472</v>
      </c>
      <c r="N761" s="256">
        <v>0.6875</v>
      </c>
      <c r="O761" s="256">
        <v>0.71875</v>
      </c>
      <c r="P761" s="256">
        <v>0.71944444444444444</v>
      </c>
      <c r="Q761" s="253">
        <f>IF(WTG_BD[[#This Row],[Work Start TimeStamp]]="","",(WTG_BD[[#This Row],[Work Start TimeStamp]]-WTG_BD[[#This Row],[Fault Start TimeStamp]])*24)</f>
        <v>0.75</v>
      </c>
      <c r="R761" s="253">
        <f>(WTG_BD[[#This Row],[Fault Clearance time]]-WTG_BD[[#This Row],[Work Start TimeStamp]])*24</f>
        <v>1.6666666666666607E-2</v>
      </c>
      <c r="S761" s="253">
        <f>(WTG_BD[[#This Row],[Fault Clearance time]]-WTG_BD[[#This Row],[Fault Start TimeStamp]])*24</f>
        <v>0.76666666666666661</v>
      </c>
      <c r="T761" s="135" t="s">
        <v>473</v>
      </c>
      <c r="U761" s="244" t="s">
        <v>474</v>
      </c>
      <c r="V761" s="246">
        <f>WTG_BD[[#This Row],[Breakdown Time]]*(1/39)</f>
        <v>1.9658119658119654E-2</v>
      </c>
      <c r="W761" s="244" t="s">
        <v>131</v>
      </c>
      <c r="X761" s="250">
        <v>304.71805555555551</v>
      </c>
      <c r="Y761" s="135" t="s">
        <v>470</v>
      </c>
      <c r="Z761" s="135" t="s">
        <v>475</v>
      </c>
      <c r="AA761" s="135">
        <v>9539</v>
      </c>
      <c r="AB761" s="249">
        <f>(WTG_BD[[#This Row],[Paired WTG Generation for loss calculation.]]/24)*WTG_BD[[#This Row],[Breakdown Time]]</f>
        <v>304.71805555555551</v>
      </c>
      <c r="AC761" s="135"/>
      <c r="AD761" s="245"/>
      <c r="AE761" s="3"/>
    </row>
    <row r="762" spans="1:31">
      <c r="A762" s="241">
        <f t="shared" si="24"/>
        <v>761</v>
      </c>
      <c r="B762" s="255">
        <v>45819</v>
      </c>
      <c r="C762" s="252">
        <v>2025</v>
      </c>
      <c r="D762" s="252">
        <v>2025</v>
      </c>
      <c r="E762" s="251">
        <f t="shared" si="25"/>
        <v>45809</v>
      </c>
      <c r="F762" s="252" t="s">
        <v>465</v>
      </c>
      <c r="G762" s="248" t="s">
        <v>145</v>
      </c>
      <c r="H762" s="242" t="str">
        <f>IFERROR(VLOOKUP(WTG_BD[[#This Row],[Affected WTG]],'Basic Data'!$A$3:$E$56,2,0),"")</f>
        <v>PWEGPL</v>
      </c>
      <c r="I762" s="242" t="str">
        <f>IFERROR(VLOOKUP(WTG_BD[[#This Row],[Affected WTG]],'Basic Data'!$A$3:$E$56,3,0),"")</f>
        <v>MSEDCL</v>
      </c>
      <c r="J762" s="243">
        <f>IFERROR(VLOOKUP(WTG_BD[[#This Row],[Affected WTG]],'Basic Data'!$A$3:$E$56,5,0),"")</f>
        <v>2.564102564102564E-2</v>
      </c>
      <c r="K762" s="158">
        <v>2118</v>
      </c>
      <c r="L762" s="247" t="str">
        <f>VLOOKUP(K762,'Basic Data'!T:U,2,0)</f>
        <v>Bus Error - Interbus Failure</v>
      </c>
      <c r="M762" s="135" t="s">
        <v>472</v>
      </c>
      <c r="N762" s="256">
        <v>0.71527777777777779</v>
      </c>
      <c r="O762" s="256">
        <v>0.74930555555555556</v>
      </c>
      <c r="P762" s="256">
        <v>0.75138888888888888</v>
      </c>
      <c r="Q762" s="253">
        <f>IF(WTG_BD[[#This Row],[Work Start TimeStamp]]="","",(WTG_BD[[#This Row],[Work Start TimeStamp]]-WTG_BD[[#This Row],[Fault Start TimeStamp]])*24)</f>
        <v>0.81666666666666643</v>
      </c>
      <c r="R762" s="253">
        <f>(WTG_BD[[#This Row],[Fault Clearance time]]-WTG_BD[[#This Row],[Work Start TimeStamp]])*24</f>
        <v>4.9999999999999822E-2</v>
      </c>
      <c r="S762" s="253">
        <f>(WTG_BD[[#This Row],[Fault Clearance time]]-WTG_BD[[#This Row],[Fault Start TimeStamp]])*24</f>
        <v>0.86666666666666625</v>
      </c>
      <c r="T762" s="135" t="s">
        <v>482</v>
      </c>
      <c r="U762" s="244" t="s">
        <v>474</v>
      </c>
      <c r="V762" s="246">
        <f>WTG_BD[[#This Row],[Breakdown Time]]*(1/39)</f>
        <v>2.2222222222222209E-2</v>
      </c>
      <c r="W762" s="244" t="s">
        <v>139</v>
      </c>
      <c r="X762" s="250">
        <v>437.34166666666647</v>
      </c>
      <c r="Y762" s="135" t="s">
        <v>470</v>
      </c>
      <c r="Z762" s="135" t="s">
        <v>475</v>
      </c>
      <c r="AA762" s="135">
        <v>12111</v>
      </c>
      <c r="AB762" s="249">
        <f>(WTG_BD[[#This Row],[Paired WTG Generation for loss calculation.]]/24)*WTG_BD[[#This Row],[Breakdown Time]]</f>
        <v>437.34166666666647</v>
      </c>
      <c r="AC762" s="135"/>
      <c r="AD762" s="245"/>
      <c r="AE762" s="3"/>
    </row>
    <row r="763" spans="1:31">
      <c r="A763" s="241">
        <f t="shared" si="24"/>
        <v>762</v>
      </c>
      <c r="B763" s="255">
        <v>45820</v>
      </c>
      <c r="C763" s="252">
        <v>2025</v>
      </c>
      <c r="D763" s="252">
        <v>2025</v>
      </c>
      <c r="E763" s="251">
        <f t="shared" si="25"/>
        <v>45809</v>
      </c>
      <c r="F763" s="252" t="s">
        <v>465</v>
      </c>
      <c r="G763" s="248" t="s">
        <v>144</v>
      </c>
      <c r="H763" s="242" t="str">
        <f>IFERROR(VLOOKUP(WTG_BD[[#This Row],[Affected WTG]],'Basic Data'!$A$3:$E$56,2,0),"")</f>
        <v>PWEGPL</v>
      </c>
      <c r="I763" s="242" t="str">
        <f>IFERROR(VLOOKUP(WTG_BD[[#This Row],[Affected WTG]],'Basic Data'!$A$3:$E$56,3,0),"")</f>
        <v>MSEDCL</v>
      </c>
      <c r="J763" s="243">
        <f>IFERROR(VLOOKUP(WTG_BD[[#This Row],[Affected WTG]],'Basic Data'!$A$3:$E$56,5,0),"")</f>
        <v>2.564102564102564E-2</v>
      </c>
      <c r="K763" s="158" t="s">
        <v>466</v>
      </c>
      <c r="L763" s="247" t="str">
        <f>VLOOKUP(K763,'Basic Data'!T:U,2,0)</f>
        <v>Manual Stop - Safety Related</v>
      </c>
      <c r="M763" s="135" t="s">
        <v>467</v>
      </c>
      <c r="N763" s="256">
        <v>0</v>
      </c>
      <c r="O763" s="256">
        <v>0.99998842592592596</v>
      </c>
      <c r="P763" s="256">
        <v>0.99998842592592596</v>
      </c>
      <c r="Q763" s="253">
        <f>IF(WTG_BD[[#This Row],[Work Start TimeStamp]]="","",(WTG_BD[[#This Row],[Work Start TimeStamp]]-WTG_BD[[#This Row],[Fault Start TimeStamp]])*24)</f>
        <v>23.999722222222225</v>
      </c>
      <c r="R763" s="253">
        <f>(WTG_BD[[#This Row],[Fault Clearance time]]-WTG_BD[[#This Row],[Work Start TimeStamp]])*24</f>
        <v>0</v>
      </c>
      <c r="S763" s="253">
        <f>(WTG_BD[[#This Row],[Fault Clearance time]]-WTG_BD[[#This Row],[Fault Start TimeStamp]])*24</f>
        <v>23.999722222222225</v>
      </c>
      <c r="T763" s="135" t="s">
        <v>468</v>
      </c>
      <c r="U763" s="244" t="s">
        <v>469</v>
      </c>
      <c r="V763" s="246">
        <f>WTG_BD[[#This Row],[Breakdown Time]]*(1/39)</f>
        <v>0.61537749287749288</v>
      </c>
      <c r="W763" s="244" t="s">
        <v>141</v>
      </c>
      <c r="X763" s="250">
        <v>9861.8858564814836</v>
      </c>
      <c r="Y763" s="135" t="s">
        <v>470</v>
      </c>
      <c r="Z763" s="135" t="s">
        <v>471</v>
      </c>
      <c r="AA763" s="135">
        <v>9862</v>
      </c>
      <c r="AB763" s="249">
        <f>(WTG_BD[[#This Row],[Paired WTG Generation for loss calculation.]]/24)*WTG_BD[[#This Row],[Breakdown Time]]</f>
        <v>9861.8858564814836</v>
      </c>
      <c r="AC763" s="135"/>
      <c r="AD763" s="245"/>
      <c r="AE763" s="3"/>
    </row>
    <row r="764" spans="1:31">
      <c r="A764" s="241">
        <f t="shared" si="24"/>
        <v>763</v>
      </c>
      <c r="B764" s="255">
        <v>45820</v>
      </c>
      <c r="C764" s="252">
        <v>2025</v>
      </c>
      <c r="D764" s="252">
        <v>2025</v>
      </c>
      <c r="E764" s="251">
        <f t="shared" si="25"/>
        <v>45809</v>
      </c>
      <c r="F764" s="252" t="s">
        <v>465</v>
      </c>
      <c r="G764" s="248" t="s">
        <v>142</v>
      </c>
      <c r="H764" s="242" t="str">
        <f>IFERROR(VLOOKUP(WTG_BD[[#This Row],[Affected WTG]],'Basic Data'!$A$3:$E$56,2,0),"")</f>
        <v>PWEGPL</v>
      </c>
      <c r="I764" s="242" t="str">
        <f>IFERROR(VLOOKUP(WTG_BD[[#This Row],[Affected WTG]],'Basic Data'!$A$3:$E$56,3,0),"")</f>
        <v>MSEDCL</v>
      </c>
      <c r="J764" s="243">
        <f>IFERROR(VLOOKUP(WTG_BD[[#This Row],[Affected WTG]],'Basic Data'!$A$3:$E$56,5,0),"")</f>
        <v>2.564102564102564E-2</v>
      </c>
      <c r="K764" s="158" t="s">
        <v>466</v>
      </c>
      <c r="L764" s="247" t="str">
        <f>VLOOKUP(K764,'Basic Data'!T:U,2,0)</f>
        <v>Manual Stop - Safety Related</v>
      </c>
      <c r="M764" s="135" t="s">
        <v>467</v>
      </c>
      <c r="N764" s="256">
        <v>0</v>
      </c>
      <c r="O764" s="256">
        <v>0.99998842592592596</v>
      </c>
      <c r="P764" s="256">
        <v>0.99998842592592596</v>
      </c>
      <c r="Q764" s="253">
        <f>IF(WTG_BD[[#This Row],[Work Start TimeStamp]]="","",(WTG_BD[[#This Row],[Work Start TimeStamp]]-WTG_BD[[#This Row],[Fault Start TimeStamp]])*24)</f>
        <v>23.999722222222225</v>
      </c>
      <c r="R764" s="253">
        <f>(WTG_BD[[#This Row],[Fault Clearance time]]-WTG_BD[[#This Row],[Work Start TimeStamp]])*24</f>
        <v>0</v>
      </c>
      <c r="S764" s="253">
        <f>(WTG_BD[[#This Row],[Fault Clearance time]]-WTG_BD[[#This Row],[Fault Start TimeStamp]])*24</f>
        <v>23.999722222222225</v>
      </c>
      <c r="T764" s="135" t="s">
        <v>468</v>
      </c>
      <c r="U764" s="244" t="s">
        <v>469</v>
      </c>
      <c r="V764" s="246">
        <f>WTG_BD[[#This Row],[Breakdown Time]]*(1/39)</f>
        <v>0.61537749287749288</v>
      </c>
      <c r="W764" s="244" t="s">
        <v>141</v>
      </c>
      <c r="X764" s="250">
        <v>9861.8858564814836</v>
      </c>
      <c r="Y764" s="135" t="s">
        <v>470</v>
      </c>
      <c r="Z764" s="135" t="s">
        <v>471</v>
      </c>
      <c r="AA764" s="135">
        <v>9862</v>
      </c>
      <c r="AB764" s="249">
        <f>(WTG_BD[[#This Row],[Paired WTG Generation for loss calculation.]]/24)*WTG_BD[[#This Row],[Breakdown Time]]</f>
        <v>9861.8858564814836</v>
      </c>
      <c r="AC764" s="135"/>
      <c r="AD764" s="245"/>
      <c r="AE764" s="3"/>
    </row>
    <row r="765" spans="1:31">
      <c r="A765" s="241">
        <f t="shared" si="24"/>
        <v>764</v>
      </c>
      <c r="B765" s="255">
        <v>45820</v>
      </c>
      <c r="C765" s="252">
        <v>2025</v>
      </c>
      <c r="D765" s="252">
        <v>2025</v>
      </c>
      <c r="E765" s="251">
        <f t="shared" si="25"/>
        <v>45809</v>
      </c>
      <c r="F765" s="252" t="s">
        <v>465</v>
      </c>
      <c r="G765" s="248" t="s">
        <v>115</v>
      </c>
      <c r="H765" s="242" t="str">
        <f>IFERROR(VLOOKUP(WTG_BD[[#This Row],[Affected WTG]],'Basic Data'!$A$3:$E$56,2,0),"")</f>
        <v>PWEGPL</v>
      </c>
      <c r="I765" s="242" t="str">
        <f>IFERROR(VLOOKUP(WTG_BD[[#This Row],[Affected WTG]],'Basic Data'!$A$3:$E$56,3,0),"")</f>
        <v>MSEDCL</v>
      </c>
      <c r="J765" s="243">
        <f>IFERROR(VLOOKUP(WTG_BD[[#This Row],[Affected WTG]],'Basic Data'!$A$3:$E$56,5,0),"")</f>
        <v>2.564102564102564E-2</v>
      </c>
      <c r="K765" s="158" t="s">
        <v>549</v>
      </c>
      <c r="L765" s="247" t="str">
        <f>VLOOKUP(K765,'Basic Data'!T:U,2,0)</f>
        <v>Manual Stop - Preventive Maintenance Activity</v>
      </c>
      <c r="M765" s="135" t="s">
        <v>550</v>
      </c>
      <c r="N765" s="256">
        <v>0.45763888888888887</v>
      </c>
      <c r="O765" s="256">
        <v>0.45763888888888887</v>
      </c>
      <c r="P765" s="256">
        <v>0.76388888888888884</v>
      </c>
      <c r="Q765" s="253">
        <f>IF(WTG_BD[[#This Row],[Work Start TimeStamp]]="","",(WTG_BD[[#This Row],[Work Start TimeStamp]]-WTG_BD[[#This Row],[Fault Start TimeStamp]])*24)</f>
        <v>0</v>
      </c>
      <c r="R765" s="253">
        <f>(WTG_BD[[#This Row],[Fault Clearance time]]-WTG_BD[[#This Row],[Work Start TimeStamp]])*24</f>
        <v>7.35</v>
      </c>
      <c r="S765" s="253">
        <f>(WTG_BD[[#This Row],[Fault Clearance time]]-WTG_BD[[#This Row],[Fault Start TimeStamp]])*24</f>
        <v>7.35</v>
      </c>
      <c r="T765" s="135" t="s">
        <v>571</v>
      </c>
      <c r="U765" s="244" t="s">
        <v>474</v>
      </c>
      <c r="V765" s="246">
        <f>WTG_BD[[#This Row],[Breakdown Time]]*(1/39)</f>
        <v>0.18846153846153846</v>
      </c>
      <c r="W765" s="244" t="s">
        <v>121</v>
      </c>
      <c r="X765" s="250">
        <v>4572.6187499999996</v>
      </c>
      <c r="Y765" s="135" t="s">
        <v>470</v>
      </c>
      <c r="Z765" s="135" t="s">
        <v>552</v>
      </c>
      <c r="AA765" s="135">
        <v>14931</v>
      </c>
      <c r="AB765" s="249">
        <f>(WTG_BD[[#This Row],[Paired WTG Generation for loss calculation.]]/24)*WTG_BD[[#This Row],[Breakdown Time]]</f>
        <v>4572.6187499999996</v>
      </c>
      <c r="AC765" s="135"/>
      <c r="AD765" s="245"/>
      <c r="AE765" s="3"/>
    </row>
    <row r="766" spans="1:31">
      <c r="A766" s="241">
        <f t="shared" si="24"/>
        <v>765</v>
      </c>
      <c r="B766" s="255">
        <v>45820</v>
      </c>
      <c r="C766" s="252">
        <v>2025</v>
      </c>
      <c r="D766" s="252">
        <v>2025</v>
      </c>
      <c r="E766" s="251">
        <f t="shared" si="25"/>
        <v>45809</v>
      </c>
      <c r="F766" s="252" t="s">
        <v>465</v>
      </c>
      <c r="G766" s="248" t="s">
        <v>153</v>
      </c>
      <c r="H766" s="242" t="str">
        <f>IFERROR(VLOOKUP(WTG_BD[[#This Row],[Affected WTG]],'Basic Data'!$A$3:$E$56,2,0),"")</f>
        <v>PWEGPL</v>
      </c>
      <c r="I766" s="242" t="str">
        <f>IFERROR(VLOOKUP(WTG_BD[[#This Row],[Affected WTG]],'Basic Data'!$A$3:$E$56,3,0),"")</f>
        <v>MSEDCL</v>
      </c>
      <c r="J766" s="243">
        <f>IFERROR(VLOOKUP(WTG_BD[[#This Row],[Affected WTG]],'Basic Data'!$A$3:$E$56,5,0),"")</f>
        <v>2.564102564102564E-2</v>
      </c>
      <c r="K766" s="158" t="s">
        <v>523</v>
      </c>
      <c r="L766" s="247" t="str">
        <f>VLOOKUP(K766,'Basic Data'!T:U,2,0)</f>
        <v>Manual Stop</v>
      </c>
      <c r="M766" s="135" t="s">
        <v>496</v>
      </c>
      <c r="N766" s="256">
        <v>0.48958333333333331</v>
      </c>
      <c r="O766" s="256">
        <v>0.48958333333333331</v>
      </c>
      <c r="P766" s="256">
        <v>0.52222222222222225</v>
      </c>
      <c r="Q766" s="253">
        <f>IF(WTG_BD[[#This Row],[Work Start TimeStamp]]="","",(WTG_BD[[#This Row],[Work Start TimeStamp]]-WTG_BD[[#This Row],[Fault Start TimeStamp]])*24)</f>
        <v>0</v>
      </c>
      <c r="R766" s="253">
        <f>(WTG_BD[[#This Row],[Fault Clearance time]]-WTG_BD[[#This Row],[Work Start TimeStamp]])*24</f>
        <v>0.78333333333333455</v>
      </c>
      <c r="S766" s="253">
        <f>(WTG_BD[[#This Row],[Fault Clearance time]]-WTG_BD[[#This Row],[Fault Start TimeStamp]])*24</f>
        <v>0.78333333333333455</v>
      </c>
      <c r="T766" s="135" t="s">
        <v>644</v>
      </c>
      <c r="U766" s="244" t="s">
        <v>474</v>
      </c>
      <c r="V766" s="246">
        <f>WTG_BD[[#This Row],[Breakdown Time]]*(1/39)</f>
        <v>2.0085470085470115E-2</v>
      </c>
      <c r="W766" s="244" t="s">
        <v>152</v>
      </c>
      <c r="X766" s="250">
        <v>292.57500000000044</v>
      </c>
      <c r="Y766" s="135" t="s">
        <v>470</v>
      </c>
      <c r="Z766" s="135" t="s">
        <v>498</v>
      </c>
      <c r="AA766" s="135">
        <v>8964</v>
      </c>
      <c r="AB766" s="249">
        <f>(WTG_BD[[#This Row],[Paired WTG Generation for loss calculation.]]/24)*WTG_BD[[#This Row],[Breakdown Time]]</f>
        <v>292.57500000000044</v>
      </c>
      <c r="AC766" s="135"/>
      <c r="AD766" s="245"/>
      <c r="AE766" s="3"/>
    </row>
    <row r="767" spans="1:31">
      <c r="A767" s="241">
        <f t="shared" si="24"/>
        <v>766</v>
      </c>
      <c r="B767" s="255">
        <v>45820</v>
      </c>
      <c r="C767" s="252">
        <v>2025</v>
      </c>
      <c r="D767" s="252">
        <v>2025</v>
      </c>
      <c r="E767" s="251">
        <f t="shared" si="25"/>
        <v>45809</v>
      </c>
      <c r="F767" s="252" t="s">
        <v>465</v>
      </c>
      <c r="G767" s="248" t="s">
        <v>126</v>
      </c>
      <c r="H767" s="242" t="str">
        <f>IFERROR(VLOOKUP(WTG_BD[[#This Row],[Affected WTG]],'Basic Data'!$A$3:$E$56,2,0),"")</f>
        <v>PWEGPL</v>
      </c>
      <c r="I767" s="242" t="str">
        <f>IFERROR(VLOOKUP(WTG_BD[[#This Row],[Affected WTG]],'Basic Data'!$A$3:$E$56,3,0),"")</f>
        <v>MSEDCL</v>
      </c>
      <c r="J767" s="243">
        <f>IFERROR(VLOOKUP(WTG_BD[[#This Row],[Affected WTG]],'Basic Data'!$A$3:$E$56,5,0),"")</f>
        <v>2.564102564102564E-2</v>
      </c>
      <c r="K767" s="158">
        <v>550</v>
      </c>
      <c r="L767" s="247" t="str">
        <f>VLOOKUP(K767,'Basic Data'!T:U,2,0)</f>
        <v>Generator Fans Thermal Relay Triggered Too Long</v>
      </c>
      <c r="M767" s="135" t="s">
        <v>472</v>
      </c>
      <c r="N767" s="256">
        <v>0.94097222222222221</v>
      </c>
      <c r="O767" s="256">
        <v>0.97361111111111109</v>
      </c>
      <c r="P767" s="256">
        <v>0.99652777777777779</v>
      </c>
      <c r="Q767" s="253">
        <f>IF(WTG_BD[[#This Row],[Work Start TimeStamp]]="","",(WTG_BD[[#This Row],[Work Start TimeStamp]]-WTG_BD[[#This Row],[Fault Start TimeStamp]])*24)</f>
        <v>0.78333333333333321</v>
      </c>
      <c r="R767" s="253">
        <f>(WTG_BD[[#This Row],[Fault Clearance time]]-WTG_BD[[#This Row],[Work Start TimeStamp]])*24</f>
        <v>0.55000000000000071</v>
      </c>
      <c r="S767" s="253">
        <f>(WTG_BD[[#This Row],[Fault Clearance time]]-WTG_BD[[#This Row],[Fault Start TimeStamp]])*24</f>
        <v>1.3333333333333339</v>
      </c>
      <c r="T767" s="135" t="s">
        <v>645</v>
      </c>
      <c r="U767" s="244" t="s">
        <v>474</v>
      </c>
      <c r="V767" s="246">
        <f>WTG_BD[[#This Row],[Breakdown Time]]*(1/39)</f>
        <v>3.4188034188034205E-2</v>
      </c>
      <c r="W767" s="244" t="s">
        <v>127</v>
      </c>
      <c r="X767" s="250">
        <v>707.66666666666697</v>
      </c>
      <c r="Y767" s="135" t="s">
        <v>470</v>
      </c>
      <c r="Z767" s="135" t="s">
        <v>475</v>
      </c>
      <c r="AA767" s="135">
        <v>12738</v>
      </c>
      <c r="AB767" s="249">
        <f>(WTG_BD[[#This Row],[Paired WTG Generation for loss calculation.]]/24)*WTG_BD[[#This Row],[Breakdown Time]]</f>
        <v>707.66666666666697</v>
      </c>
      <c r="AC767" s="135"/>
      <c r="AD767" s="245"/>
      <c r="AE767" s="3"/>
    </row>
    <row r="768" spans="1:31">
      <c r="A768" s="241">
        <f t="shared" si="24"/>
        <v>767</v>
      </c>
      <c r="B768" s="255"/>
      <c r="C768" s="252"/>
      <c r="D768" s="252"/>
      <c r="E768" s="251">
        <f t="shared" si="25"/>
        <v>1</v>
      </c>
      <c r="F768" s="252"/>
      <c r="G768" s="248"/>
      <c r="H768" s="242" t="str">
        <f>IFERROR(VLOOKUP(WTG_BD[[#This Row],[Affected WTG]],'Basic Data'!$A$3:$E$56,2,0),"")</f>
        <v/>
      </c>
      <c r="I768" s="242" t="str">
        <f>IFERROR(VLOOKUP(WTG_BD[[#This Row],[Affected WTG]],'Basic Data'!$A$3:$E$56,3,0),"")</f>
        <v/>
      </c>
      <c r="J768" s="243" t="str">
        <f>IFERROR(VLOOKUP(WTG_BD[[#This Row],[Affected WTG]],'Basic Data'!$A$3:$E$56,5,0),"")</f>
        <v/>
      </c>
      <c r="K768" s="158"/>
      <c r="L768" s="247" t="e">
        <f>VLOOKUP(K768,'Basic Data'!T:U,2,0)</f>
        <v>#N/A</v>
      </c>
      <c r="M768" s="135"/>
      <c r="N768" s="256"/>
      <c r="O768" s="256"/>
      <c r="P768" s="256"/>
      <c r="Q768" s="253" t="str">
        <f>IF(WTG_BD[[#This Row],[Work Start TimeStamp]]="","",(WTG_BD[[#This Row],[Work Start TimeStamp]]-WTG_BD[[#This Row],[Fault Start TimeStamp]])*24)</f>
        <v/>
      </c>
      <c r="R768" s="253">
        <f>(WTG_BD[[#This Row],[Fault Clearance time]]-WTG_BD[[#This Row],[Work Start TimeStamp]])*24</f>
        <v>0</v>
      </c>
      <c r="S768" s="253">
        <f>(WTG_BD[[#This Row],[Fault Clearance time]]-WTG_BD[[#This Row],[Fault Start TimeStamp]])*24</f>
        <v>0</v>
      </c>
      <c r="T768" s="135"/>
      <c r="U768" s="244"/>
      <c r="V768" s="246">
        <f>WTG_BD[[#This Row],[Breakdown Time]]*(1/39)</f>
        <v>0</v>
      </c>
      <c r="W768" s="244"/>
      <c r="X768" s="250"/>
      <c r="Y768" s="135"/>
      <c r="Z768" s="135"/>
      <c r="AA768" s="135"/>
      <c r="AB768" s="249">
        <f>(WTG_BD[[#This Row],[Paired WTG Generation for loss calculation.]]/24)*WTG_BD[[#This Row],[Breakdown Time]]</f>
        <v>0</v>
      </c>
      <c r="AC768" s="135"/>
      <c r="AD768" s="245"/>
      <c r="AE768" s="3"/>
    </row>
    <row r="769" spans="1:31">
      <c r="A769" s="241">
        <f t="shared" si="24"/>
        <v>768</v>
      </c>
      <c r="B769" s="255"/>
      <c r="C769" s="252"/>
      <c r="D769" s="252"/>
      <c r="E769" s="251">
        <f t="shared" si="25"/>
        <v>1</v>
      </c>
      <c r="F769" s="252"/>
      <c r="G769" s="248"/>
      <c r="H769" s="242" t="str">
        <f>IFERROR(VLOOKUP(WTG_BD[[#This Row],[Affected WTG]],'Basic Data'!$A$3:$E$56,2,0),"")</f>
        <v/>
      </c>
      <c r="I769" s="242" t="str">
        <f>IFERROR(VLOOKUP(WTG_BD[[#This Row],[Affected WTG]],'Basic Data'!$A$3:$E$56,3,0),"")</f>
        <v/>
      </c>
      <c r="J769" s="243" t="str">
        <f>IFERROR(VLOOKUP(WTG_BD[[#This Row],[Affected WTG]],'Basic Data'!$A$3:$E$56,5,0),"")</f>
        <v/>
      </c>
      <c r="K769" s="158"/>
      <c r="L769" s="247" t="e">
        <f>VLOOKUP(K769,'Basic Data'!T:U,2,0)</f>
        <v>#N/A</v>
      </c>
      <c r="M769" s="135"/>
      <c r="N769" s="256"/>
      <c r="O769" s="256"/>
      <c r="P769" s="256"/>
      <c r="Q769" s="253" t="str">
        <f>IF(WTG_BD[[#This Row],[Work Start TimeStamp]]="","",(WTG_BD[[#This Row],[Work Start TimeStamp]]-WTG_BD[[#This Row],[Fault Start TimeStamp]])*24)</f>
        <v/>
      </c>
      <c r="R769" s="253">
        <f>(WTG_BD[[#This Row],[Fault Clearance time]]-WTG_BD[[#This Row],[Work Start TimeStamp]])*24</f>
        <v>0</v>
      </c>
      <c r="S769" s="253">
        <f>(WTG_BD[[#This Row],[Fault Clearance time]]-WTG_BD[[#This Row],[Fault Start TimeStamp]])*24</f>
        <v>0</v>
      </c>
      <c r="T769" s="135"/>
      <c r="U769" s="244"/>
      <c r="V769" s="246">
        <f>WTG_BD[[#This Row],[Breakdown Time]]*(1/39)</f>
        <v>0</v>
      </c>
      <c r="W769" s="244"/>
      <c r="X769" s="250"/>
      <c r="Y769" s="135"/>
      <c r="Z769" s="135"/>
      <c r="AA769" s="135"/>
      <c r="AB769" s="249">
        <f>(WTG_BD[[#This Row],[Paired WTG Generation for loss calculation.]]/24)*WTG_BD[[#This Row],[Breakdown Time]]</f>
        <v>0</v>
      </c>
      <c r="AC769" s="135"/>
      <c r="AD769" s="245"/>
      <c r="AE769" s="3"/>
    </row>
    <row r="770" spans="1:31">
      <c r="A770" s="241">
        <f t="shared" si="24"/>
        <v>769</v>
      </c>
      <c r="B770" s="255"/>
      <c r="C770" s="252"/>
      <c r="D770" s="252"/>
      <c r="E770" s="251">
        <f t="shared" si="25"/>
        <v>1</v>
      </c>
      <c r="F770" s="252"/>
      <c r="G770" s="248"/>
      <c r="H770" s="242" t="str">
        <f>IFERROR(VLOOKUP(WTG_BD[[#This Row],[Affected WTG]],'Basic Data'!$A$3:$E$56,2,0),"")</f>
        <v/>
      </c>
      <c r="I770" s="242" t="str">
        <f>IFERROR(VLOOKUP(WTG_BD[[#This Row],[Affected WTG]],'Basic Data'!$A$3:$E$56,3,0),"")</f>
        <v/>
      </c>
      <c r="J770" s="243" t="str">
        <f>IFERROR(VLOOKUP(WTG_BD[[#This Row],[Affected WTG]],'Basic Data'!$A$3:$E$56,5,0),"")</f>
        <v/>
      </c>
      <c r="K770" s="158"/>
      <c r="L770" s="247" t="e">
        <f>VLOOKUP(K770,'Basic Data'!T:U,2,0)</f>
        <v>#N/A</v>
      </c>
      <c r="M770" s="135"/>
      <c r="N770" s="256"/>
      <c r="O770" s="256"/>
      <c r="P770" s="256"/>
      <c r="Q770" s="253" t="str">
        <f>IF(WTG_BD[[#This Row],[Work Start TimeStamp]]="","",(WTG_BD[[#This Row],[Work Start TimeStamp]]-WTG_BD[[#This Row],[Fault Start TimeStamp]])*24)</f>
        <v/>
      </c>
      <c r="R770" s="253">
        <f>(WTG_BD[[#This Row],[Fault Clearance time]]-WTG_BD[[#This Row],[Work Start TimeStamp]])*24</f>
        <v>0</v>
      </c>
      <c r="S770" s="253">
        <f>(WTG_BD[[#This Row],[Fault Clearance time]]-WTG_BD[[#This Row],[Fault Start TimeStamp]])*24</f>
        <v>0</v>
      </c>
      <c r="T770" s="135"/>
      <c r="U770" s="244"/>
      <c r="V770" s="246">
        <f>WTG_BD[[#This Row],[Breakdown Time]]*(1/39)</f>
        <v>0</v>
      </c>
      <c r="W770" s="244"/>
      <c r="X770" s="250"/>
      <c r="Y770" s="135"/>
      <c r="Z770" s="135"/>
      <c r="AA770" s="135"/>
      <c r="AB770" s="249">
        <f>(WTG_BD[[#This Row],[Paired WTG Generation for loss calculation.]]/24)*WTG_BD[[#This Row],[Breakdown Time]]</f>
        <v>0</v>
      </c>
      <c r="AC770" s="135"/>
      <c r="AD770" s="245"/>
      <c r="AE770" s="3"/>
    </row>
    <row r="771" spans="1:31">
      <c r="A771" s="241">
        <f t="shared" si="24"/>
        <v>770</v>
      </c>
      <c r="B771" s="255"/>
      <c r="C771" s="252"/>
      <c r="D771" s="252"/>
      <c r="E771" s="251">
        <f t="shared" si="25"/>
        <v>1</v>
      </c>
      <c r="F771" s="252"/>
      <c r="G771" s="248"/>
      <c r="H771" s="242" t="str">
        <f>IFERROR(VLOOKUP(WTG_BD[[#This Row],[Affected WTG]],'Basic Data'!$A$3:$E$56,2,0),"")</f>
        <v/>
      </c>
      <c r="I771" s="242" t="str">
        <f>IFERROR(VLOOKUP(WTG_BD[[#This Row],[Affected WTG]],'Basic Data'!$A$3:$E$56,3,0),"")</f>
        <v/>
      </c>
      <c r="J771" s="243" t="str">
        <f>IFERROR(VLOOKUP(WTG_BD[[#This Row],[Affected WTG]],'Basic Data'!$A$3:$E$56,5,0),"")</f>
        <v/>
      </c>
      <c r="K771" s="158"/>
      <c r="L771" s="247" t="e">
        <f>VLOOKUP(K771,'Basic Data'!T:U,2,0)</f>
        <v>#N/A</v>
      </c>
      <c r="M771" s="135"/>
      <c r="N771" s="256"/>
      <c r="O771" s="256"/>
      <c r="P771" s="256"/>
      <c r="Q771" s="253" t="str">
        <f>IF(WTG_BD[[#This Row],[Work Start TimeStamp]]="","",(WTG_BD[[#This Row],[Work Start TimeStamp]]-WTG_BD[[#This Row],[Fault Start TimeStamp]])*24)</f>
        <v/>
      </c>
      <c r="R771" s="253">
        <f>(WTG_BD[[#This Row],[Fault Clearance time]]-WTG_BD[[#This Row],[Work Start TimeStamp]])*24</f>
        <v>0</v>
      </c>
      <c r="S771" s="253">
        <f>(WTG_BD[[#This Row],[Fault Clearance time]]-WTG_BD[[#This Row],[Fault Start TimeStamp]])*24</f>
        <v>0</v>
      </c>
      <c r="T771" s="135"/>
      <c r="U771" s="244"/>
      <c r="V771" s="246">
        <f>WTG_BD[[#This Row],[Breakdown Time]]*(1/39)</f>
        <v>0</v>
      </c>
      <c r="W771" s="244"/>
      <c r="X771" s="250"/>
      <c r="Y771" s="135"/>
      <c r="Z771" s="135"/>
      <c r="AA771" s="135"/>
      <c r="AB771" s="249">
        <f>(WTG_BD[[#This Row],[Paired WTG Generation for loss calculation.]]/24)*WTG_BD[[#This Row],[Breakdown Time]]</f>
        <v>0</v>
      </c>
      <c r="AC771" s="135"/>
      <c r="AD771" s="245"/>
      <c r="AE771" s="3"/>
    </row>
    <row r="772" spans="1:31">
      <c r="A772" s="241">
        <f t="shared" si="24"/>
        <v>771</v>
      </c>
      <c r="B772" s="255"/>
      <c r="C772" s="252"/>
      <c r="D772" s="252"/>
      <c r="E772" s="251">
        <f t="shared" si="25"/>
        <v>1</v>
      </c>
      <c r="F772" s="252"/>
      <c r="G772" s="248"/>
      <c r="H772" s="242" t="str">
        <f>IFERROR(VLOOKUP(WTG_BD[[#This Row],[Affected WTG]],'Basic Data'!$A$3:$E$56,2,0),"")</f>
        <v/>
      </c>
      <c r="I772" s="242" t="str">
        <f>IFERROR(VLOOKUP(WTG_BD[[#This Row],[Affected WTG]],'Basic Data'!$A$3:$E$56,3,0),"")</f>
        <v/>
      </c>
      <c r="J772" s="243" t="str">
        <f>IFERROR(VLOOKUP(WTG_BD[[#This Row],[Affected WTG]],'Basic Data'!$A$3:$E$56,5,0),"")</f>
        <v/>
      </c>
      <c r="K772" s="158"/>
      <c r="L772" s="247" t="e">
        <f>VLOOKUP(K772,'Basic Data'!T:U,2,0)</f>
        <v>#N/A</v>
      </c>
      <c r="M772" s="135"/>
      <c r="N772" s="256"/>
      <c r="O772" s="256"/>
      <c r="P772" s="256"/>
      <c r="Q772" s="253" t="str">
        <f>IF(WTG_BD[[#This Row],[Work Start TimeStamp]]="","",(WTG_BD[[#This Row],[Work Start TimeStamp]]-WTG_BD[[#This Row],[Fault Start TimeStamp]])*24)</f>
        <v/>
      </c>
      <c r="R772" s="253">
        <f>(WTG_BD[[#This Row],[Fault Clearance time]]-WTG_BD[[#This Row],[Work Start TimeStamp]])*24</f>
        <v>0</v>
      </c>
      <c r="S772" s="253">
        <f>(WTG_BD[[#This Row],[Fault Clearance time]]-WTG_BD[[#This Row],[Fault Start TimeStamp]])*24</f>
        <v>0</v>
      </c>
      <c r="T772" s="135"/>
      <c r="U772" s="244"/>
      <c r="V772" s="246">
        <f>WTG_BD[[#This Row],[Breakdown Time]]*(1/39)</f>
        <v>0</v>
      </c>
      <c r="W772" s="244"/>
      <c r="X772" s="250"/>
      <c r="Y772" s="135"/>
      <c r="Z772" s="135"/>
      <c r="AA772" s="135"/>
      <c r="AB772" s="249">
        <f>(WTG_BD[[#This Row],[Paired WTG Generation for loss calculation.]]/24)*WTG_BD[[#This Row],[Breakdown Time]]</f>
        <v>0</v>
      </c>
      <c r="AC772" s="135"/>
      <c r="AD772" s="245"/>
      <c r="AE772" s="3"/>
    </row>
    <row r="773" spans="1:31">
      <c r="A773" s="241">
        <f t="shared" si="24"/>
        <v>772</v>
      </c>
      <c r="B773" s="255"/>
      <c r="C773" s="252"/>
      <c r="D773" s="252"/>
      <c r="E773" s="251">
        <f t="shared" si="25"/>
        <v>1</v>
      </c>
      <c r="F773" s="252"/>
      <c r="G773" s="248"/>
      <c r="H773" s="242" t="str">
        <f>IFERROR(VLOOKUP(WTG_BD[[#This Row],[Affected WTG]],'Basic Data'!$A$3:$E$56,2,0),"")</f>
        <v/>
      </c>
      <c r="I773" s="242" t="str">
        <f>IFERROR(VLOOKUP(WTG_BD[[#This Row],[Affected WTG]],'Basic Data'!$A$3:$E$56,3,0),"")</f>
        <v/>
      </c>
      <c r="J773" s="243" t="str">
        <f>IFERROR(VLOOKUP(WTG_BD[[#This Row],[Affected WTG]],'Basic Data'!$A$3:$E$56,5,0),"")</f>
        <v/>
      </c>
      <c r="K773" s="158"/>
      <c r="L773" s="247" t="e">
        <f>VLOOKUP(K773,'Basic Data'!T:U,2,0)</f>
        <v>#N/A</v>
      </c>
      <c r="M773" s="135"/>
      <c r="N773" s="256"/>
      <c r="O773" s="256"/>
      <c r="P773" s="256"/>
      <c r="Q773" s="253" t="str">
        <f>IF(WTG_BD[[#This Row],[Work Start TimeStamp]]="","",(WTG_BD[[#This Row],[Work Start TimeStamp]]-WTG_BD[[#This Row],[Fault Start TimeStamp]])*24)</f>
        <v/>
      </c>
      <c r="R773" s="253">
        <f>(WTG_BD[[#This Row],[Fault Clearance time]]-WTG_BD[[#This Row],[Work Start TimeStamp]])*24</f>
        <v>0</v>
      </c>
      <c r="S773" s="253">
        <f>(WTG_BD[[#This Row],[Fault Clearance time]]-WTG_BD[[#This Row],[Fault Start TimeStamp]])*24</f>
        <v>0</v>
      </c>
      <c r="T773" s="135"/>
      <c r="U773" s="244"/>
      <c r="V773" s="246">
        <f>WTG_BD[[#This Row],[Breakdown Time]]*(1/39)</f>
        <v>0</v>
      </c>
      <c r="W773" s="244"/>
      <c r="X773" s="250"/>
      <c r="Y773" s="135"/>
      <c r="Z773" s="135"/>
      <c r="AA773" s="135"/>
      <c r="AB773" s="249">
        <f>(WTG_BD[[#This Row],[Paired WTG Generation for loss calculation.]]/24)*WTG_BD[[#This Row],[Breakdown Time]]</f>
        <v>0</v>
      </c>
      <c r="AC773" s="135"/>
      <c r="AD773" s="245"/>
      <c r="AE773" s="3"/>
    </row>
    <row r="774" spans="1:31">
      <c r="A774" s="241">
        <f t="shared" ref="A774:A837" si="26">A773+1</f>
        <v>773</v>
      </c>
      <c r="B774" s="255"/>
      <c r="C774" s="252"/>
      <c r="D774" s="252"/>
      <c r="E774" s="251">
        <f t="shared" si="25"/>
        <v>1</v>
      </c>
      <c r="F774" s="252"/>
      <c r="G774" s="248"/>
      <c r="H774" s="242" t="str">
        <f>IFERROR(VLOOKUP(WTG_BD[[#This Row],[Affected WTG]],'Basic Data'!$A$3:$E$56,2,0),"")</f>
        <v/>
      </c>
      <c r="I774" s="242" t="str">
        <f>IFERROR(VLOOKUP(WTG_BD[[#This Row],[Affected WTG]],'Basic Data'!$A$3:$E$56,3,0),"")</f>
        <v/>
      </c>
      <c r="J774" s="243" t="str">
        <f>IFERROR(VLOOKUP(WTG_BD[[#This Row],[Affected WTG]],'Basic Data'!$A$3:$E$56,5,0),"")</f>
        <v/>
      </c>
      <c r="K774" s="158"/>
      <c r="L774" s="247" t="e">
        <f>VLOOKUP(K774,'Basic Data'!T:U,2,0)</f>
        <v>#N/A</v>
      </c>
      <c r="M774" s="135"/>
      <c r="N774" s="256"/>
      <c r="O774" s="256"/>
      <c r="P774" s="256"/>
      <c r="Q774" s="253" t="str">
        <f>IF(WTG_BD[[#This Row],[Work Start TimeStamp]]="","",(WTG_BD[[#This Row],[Work Start TimeStamp]]-WTG_BD[[#This Row],[Fault Start TimeStamp]])*24)</f>
        <v/>
      </c>
      <c r="R774" s="253">
        <f>(WTG_BD[[#This Row],[Fault Clearance time]]-WTG_BD[[#This Row],[Work Start TimeStamp]])*24</f>
        <v>0</v>
      </c>
      <c r="S774" s="253">
        <f>(WTG_BD[[#This Row],[Fault Clearance time]]-WTG_BD[[#This Row],[Fault Start TimeStamp]])*24</f>
        <v>0</v>
      </c>
      <c r="T774" s="135"/>
      <c r="U774" s="244"/>
      <c r="V774" s="246">
        <f>WTG_BD[[#This Row],[Breakdown Time]]*(1/39)</f>
        <v>0</v>
      </c>
      <c r="W774" s="244"/>
      <c r="X774" s="250"/>
      <c r="Y774" s="135"/>
      <c r="Z774" s="135"/>
      <c r="AA774" s="135"/>
      <c r="AB774" s="249">
        <f>(WTG_BD[[#This Row],[Paired WTG Generation for loss calculation.]]/24)*WTG_BD[[#This Row],[Breakdown Time]]</f>
        <v>0</v>
      </c>
      <c r="AC774" s="135"/>
      <c r="AD774" s="245"/>
      <c r="AE774" s="3"/>
    </row>
    <row r="775" spans="1:31">
      <c r="A775" s="241">
        <f t="shared" si="26"/>
        <v>774</v>
      </c>
      <c r="B775" s="255"/>
      <c r="C775" s="252"/>
      <c r="D775" s="252"/>
      <c r="E775" s="251">
        <f t="shared" si="25"/>
        <v>1</v>
      </c>
      <c r="F775" s="252"/>
      <c r="G775" s="248"/>
      <c r="H775" s="242" t="str">
        <f>IFERROR(VLOOKUP(WTG_BD[[#This Row],[Affected WTG]],'Basic Data'!$A$3:$E$56,2,0),"")</f>
        <v/>
      </c>
      <c r="I775" s="242" t="str">
        <f>IFERROR(VLOOKUP(WTG_BD[[#This Row],[Affected WTG]],'Basic Data'!$A$3:$E$56,3,0),"")</f>
        <v/>
      </c>
      <c r="J775" s="243" t="str">
        <f>IFERROR(VLOOKUP(WTG_BD[[#This Row],[Affected WTG]],'Basic Data'!$A$3:$E$56,5,0),"")</f>
        <v/>
      </c>
      <c r="K775" s="158"/>
      <c r="L775" s="247" t="e">
        <f>VLOOKUP(K775,'Basic Data'!T:U,2,0)</f>
        <v>#N/A</v>
      </c>
      <c r="M775" s="135"/>
      <c r="N775" s="256"/>
      <c r="O775" s="256"/>
      <c r="P775" s="256"/>
      <c r="Q775" s="253" t="str">
        <f>IF(WTG_BD[[#This Row],[Work Start TimeStamp]]="","",(WTG_BD[[#This Row],[Work Start TimeStamp]]-WTG_BD[[#This Row],[Fault Start TimeStamp]])*24)</f>
        <v/>
      </c>
      <c r="R775" s="253">
        <f>(WTG_BD[[#This Row],[Fault Clearance time]]-WTG_BD[[#This Row],[Work Start TimeStamp]])*24</f>
        <v>0</v>
      </c>
      <c r="S775" s="253">
        <f>(WTG_BD[[#This Row],[Fault Clearance time]]-WTG_BD[[#This Row],[Fault Start TimeStamp]])*24</f>
        <v>0</v>
      </c>
      <c r="T775" s="135"/>
      <c r="U775" s="244"/>
      <c r="V775" s="246">
        <f>WTG_BD[[#This Row],[Breakdown Time]]*(1/39)</f>
        <v>0</v>
      </c>
      <c r="W775" s="244"/>
      <c r="X775" s="250"/>
      <c r="Y775" s="135"/>
      <c r="Z775" s="135"/>
      <c r="AA775" s="135"/>
      <c r="AB775" s="249">
        <f>(WTG_BD[[#This Row],[Paired WTG Generation for loss calculation.]]/24)*WTG_BD[[#This Row],[Breakdown Time]]</f>
        <v>0</v>
      </c>
      <c r="AC775" s="135"/>
      <c r="AD775" s="245"/>
      <c r="AE775" s="3"/>
    </row>
    <row r="776" spans="1:31">
      <c r="A776" s="241">
        <f t="shared" si="26"/>
        <v>775</v>
      </c>
      <c r="B776" s="255"/>
      <c r="C776" s="252"/>
      <c r="D776" s="252"/>
      <c r="E776" s="251">
        <f t="shared" si="25"/>
        <v>1</v>
      </c>
      <c r="F776" s="252"/>
      <c r="G776" s="248"/>
      <c r="H776" s="242" t="str">
        <f>IFERROR(VLOOKUP(WTG_BD[[#This Row],[Affected WTG]],'Basic Data'!$A$3:$E$56,2,0),"")</f>
        <v/>
      </c>
      <c r="I776" s="242" t="str">
        <f>IFERROR(VLOOKUP(WTG_BD[[#This Row],[Affected WTG]],'Basic Data'!$A$3:$E$56,3,0),"")</f>
        <v/>
      </c>
      <c r="J776" s="243" t="str">
        <f>IFERROR(VLOOKUP(WTG_BD[[#This Row],[Affected WTG]],'Basic Data'!$A$3:$E$56,5,0),"")</f>
        <v/>
      </c>
      <c r="K776" s="158"/>
      <c r="L776" s="247" t="e">
        <f>VLOOKUP(K776,'Basic Data'!T:U,2,0)</f>
        <v>#N/A</v>
      </c>
      <c r="M776" s="135"/>
      <c r="N776" s="256"/>
      <c r="O776" s="256"/>
      <c r="P776" s="256"/>
      <c r="Q776" s="253" t="str">
        <f>IF(WTG_BD[[#This Row],[Work Start TimeStamp]]="","",(WTG_BD[[#This Row],[Work Start TimeStamp]]-WTG_BD[[#This Row],[Fault Start TimeStamp]])*24)</f>
        <v/>
      </c>
      <c r="R776" s="253">
        <f>(WTG_BD[[#This Row],[Fault Clearance time]]-WTG_BD[[#This Row],[Work Start TimeStamp]])*24</f>
        <v>0</v>
      </c>
      <c r="S776" s="253">
        <f>(WTG_BD[[#This Row],[Fault Clearance time]]-WTG_BD[[#This Row],[Fault Start TimeStamp]])*24</f>
        <v>0</v>
      </c>
      <c r="T776" s="135"/>
      <c r="U776" s="244"/>
      <c r="V776" s="246">
        <f>WTG_BD[[#This Row],[Breakdown Time]]*(1/39)</f>
        <v>0</v>
      </c>
      <c r="W776" s="244"/>
      <c r="X776" s="250"/>
      <c r="Y776" s="135"/>
      <c r="Z776" s="135"/>
      <c r="AA776" s="135"/>
      <c r="AB776" s="249">
        <f>(WTG_BD[[#This Row],[Paired WTG Generation for loss calculation.]]/24)*WTG_BD[[#This Row],[Breakdown Time]]</f>
        <v>0</v>
      </c>
      <c r="AC776" s="135"/>
      <c r="AD776" s="245"/>
      <c r="AE776" s="3"/>
    </row>
    <row r="777" spans="1:31">
      <c r="A777" s="241">
        <f t="shared" si="26"/>
        <v>776</v>
      </c>
      <c r="B777" s="255"/>
      <c r="C777" s="252"/>
      <c r="D777" s="252"/>
      <c r="E777" s="251">
        <f t="shared" si="25"/>
        <v>1</v>
      </c>
      <c r="F777" s="252"/>
      <c r="G777" s="248"/>
      <c r="H777" s="242" t="str">
        <f>IFERROR(VLOOKUP(WTG_BD[[#This Row],[Affected WTG]],'Basic Data'!$A$3:$E$56,2,0),"")</f>
        <v/>
      </c>
      <c r="I777" s="242" t="str">
        <f>IFERROR(VLOOKUP(WTG_BD[[#This Row],[Affected WTG]],'Basic Data'!$A$3:$E$56,3,0),"")</f>
        <v/>
      </c>
      <c r="J777" s="243" t="str">
        <f>IFERROR(VLOOKUP(WTG_BD[[#This Row],[Affected WTG]],'Basic Data'!$A$3:$E$56,5,0),"")</f>
        <v/>
      </c>
      <c r="K777" s="158"/>
      <c r="L777" s="247" t="e">
        <f>VLOOKUP(K777,'Basic Data'!T:U,2,0)</f>
        <v>#N/A</v>
      </c>
      <c r="M777" s="135"/>
      <c r="N777" s="256"/>
      <c r="O777" s="256"/>
      <c r="P777" s="256"/>
      <c r="Q777" s="253" t="str">
        <f>IF(WTG_BD[[#This Row],[Work Start TimeStamp]]="","",(WTG_BD[[#This Row],[Work Start TimeStamp]]-WTG_BD[[#This Row],[Fault Start TimeStamp]])*24)</f>
        <v/>
      </c>
      <c r="R777" s="253">
        <f>(WTG_BD[[#This Row],[Fault Clearance time]]-WTG_BD[[#This Row],[Work Start TimeStamp]])*24</f>
        <v>0</v>
      </c>
      <c r="S777" s="253">
        <f>(WTG_BD[[#This Row],[Fault Clearance time]]-WTG_BD[[#This Row],[Fault Start TimeStamp]])*24</f>
        <v>0</v>
      </c>
      <c r="T777" s="135"/>
      <c r="U777" s="244"/>
      <c r="V777" s="246">
        <f>WTG_BD[[#This Row],[Breakdown Time]]*(1/39)</f>
        <v>0</v>
      </c>
      <c r="W777" s="244"/>
      <c r="X777" s="250"/>
      <c r="Y777" s="135"/>
      <c r="Z777" s="135"/>
      <c r="AA777" s="135"/>
      <c r="AB777" s="249">
        <f>(WTG_BD[[#This Row],[Paired WTG Generation for loss calculation.]]/24)*WTG_BD[[#This Row],[Breakdown Time]]</f>
        <v>0</v>
      </c>
      <c r="AC777" s="135"/>
      <c r="AD777" s="245"/>
      <c r="AE777" s="3"/>
    </row>
    <row r="778" spans="1:31">
      <c r="A778" s="241">
        <f t="shared" si="26"/>
        <v>777</v>
      </c>
      <c r="B778" s="255"/>
      <c r="C778" s="252"/>
      <c r="D778" s="252"/>
      <c r="E778" s="251">
        <f t="shared" si="25"/>
        <v>1</v>
      </c>
      <c r="F778" s="252"/>
      <c r="G778" s="248"/>
      <c r="H778" s="242" t="str">
        <f>IFERROR(VLOOKUP(WTG_BD[[#This Row],[Affected WTG]],'Basic Data'!$A$3:$E$56,2,0),"")</f>
        <v/>
      </c>
      <c r="I778" s="242" t="str">
        <f>IFERROR(VLOOKUP(WTG_BD[[#This Row],[Affected WTG]],'Basic Data'!$A$3:$E$56,3,0),"")</f>
        <v/>
      </c>
      <c r="J778" s="243" t="str">
        <f>IFERROR(VLOOKUP(WTG_BD[[#This Row],[Affected WTG]],'Basic Data'!$A$3:$E$56,5,0),"")</f>
        <v/>
      </c>
      <c r="K778" s="158"/>
      <c r="L778" s="247" t="e">
        <f>VLOOKUP(K778,'Basic Data'!T:U,2,0)</f>
        <v>#N/A</v>
      </c>
      <c r="M778" s="135"/>
      <c r="N778" s="256"/>
      <c r="O778" s="256"/>
      <c r="P778" s="256"/>
      <c r="Q778" s="253" t="str">
        <f>IF(WTG_BD[[#This Row],[Work Start TimeStamp]]="","",(WTG_BD[[#This Row],[Work Start TimeStamp]]-WTG_BD[[#This Row],[Fault Start TimeStamp]])*24)</f>
        <v/>
      </c>
      <c r="R778" s="253">
        <f>(WTG_BD[[#This Row],[Fault Clearance time]]-WTG_BD[[#This Row],[Work Start TimeStamp]])*24</f>
        <v>0</v>
      </c>
      <c r="S778" s="253">
        <f>(WTG_BD[[#This Row],[Fault Clearance time]]-WTG_BD[[#This Row],[Fault Start TimeStamp]])*24</f>
        <v>0</v>
      </c>
      <c r="T778" s="135"/>
      <c r="U778" s="244"/>
      <c r="V778" s="246">
        <f>WTG_BD[[#This Row],[Breakdown Time]]*(1/39)</f>
        <v>0</v>
      </c>
      <c r="W778" s="244"/>
      <c r="X778" s="250"/>
      <c r="Y778" s="135"/>
      <c r="Z778" s="135"/>
      <c r="AA778" s="135"/>
      <c r="AB778" s="249">
        <f>(WTG_BD[[#This Row],[Paired WTG Generation for loss calculation.]]/24)*WTG_BD[[#This Row],[Breakdown Time]]</f>
        <v>0</v>
      </c>
      <c r="AC778" s="135"/>
      <c r="AD778" s="245"/>
      <c r="AE778" s="3"/>
    </row>
    <row r="779" spans="1:31">
      <c r="A779" s="241">
        <f t="shared" si="26"/>
        <v>778</v>
      </c>
      <c r="B779" s="255"/>
      <c r="C779" s="252"/>
      <c r="D779" s="252"/>
      <c r="E779" s="251">
        <f t="shared" si="25"/>
        <v>1</v>
      </c>
      <c r="F779" s="252"/>
      <c r="G779" s="248"/>
      <c r="H779" s="242" t="str">
        <f>IFERROR(VLOOKUP(WTG_BD[[#This Row],[Affected WTG]],'Basic Data'!$A$3:$E$56,2,0),"")</f>
        <v/>
      </c>
      <c r="I779" s="242" t="str">
        <f>IFERROR(VLOOKUP(WTG_BD[[#This Row],[Affected WTG]],'Basic Data'!$A$3:$E$56,3,0),"")</f>
        <v/>
      </c>
      <c r="J779" s="243" t="str">
        <f>IFERROR(VLOOKUP(WTG_BD[[#This Row],[Affected WTG]],'Basic Data'!$A$3:$E$56,5,0),"")</f>
        <v/>
      </c>
      <c r="K779" s="158"/>
      <c r="L779" s="247" t="e">
        <f>VLOOKUP(K779,'Basic Data'!T:U,2,0)</f>
        <v>#N/A</v>
      </c>
      <c r="M779" s="135"/>
      <c r="N779" s="256"/>
      <c r="O779" s="256"/>
      <c r="P779" s="256"/>
      <c r="Q779" s="253" t="str">
        <f>IF(WTG_BD[[#This Row],[Work Start TimeStamp]]="","",(WTG_BD[[#This Row],[Work Start TimeStamp]]-WTG_BD[[#This Row],[Fault Start TimeStamp]])*24)</f>
        <v/>
      </c>
      <c r="R779" s="253">
        <f>(WTG_BD[[#This Row],[Fault Clearance time]]-WTG_BD[[#This Row],[Work Start TimeStamp]])*24</f>
        <v>0</v>
      </c>
      <c r="S779" s="253">
        <f>(WTG_BD[[#This Row],[Fault Clearance time]]-WTG_BD[[#This Row],[Fault Start TimeStamp]])*24</f>
        <v>0</v>
      </c>
      <c r="T779" s="135"/>
      <c r="U779" s="244"/>
      <c r="V779" s="246">
        <f>WTG_BD[[#This Row],[Breakdown Time]]*(1/39)</f>
        <v>0</v>
      </c>
      <c r="W779" s="244"/>
      <c r="X779" s="250"/>
      <c r="Y779" s="135"/>
      <c r="Z779" s="135"/>
      <c r="AA779" s="135"/>
      <c r="AB779" s="249">
        <f>(WTG_BD[[#This Row],[Paired WTG Generation for loss calculation.]]/24)*WTG_BD[[#This Row],[Breakdown Time]]</f>
        <v>0</v>
      </c>
      <c r="AC779" s="135"/>
      <c r="AD779" s="245"/>
      <c r="AE779" s="3"/>
    </row>
    <row r="780" spans="1:31">
      <c r="A780" s="241">
        <f t="shared" si="26"/>
        <v>779</v>
      </c>
      <c r="B780" s="255"/>
      <c r="C780" s="252"/>
      <c r="D780" s="252"/>
      <c r="E780" s="251">
        <f t="shared" si="25"/>
        <v>1</v>
      </c>
      <c r="F780" s="252"/>
      <c r="G780" s="248"/>
      <c r="H780" s="242" t="str">
        <f>IFERROR(VLOOKUP(WTG_BD[[#This Row],[Affected WTG]],'Basic Data'!$A$3:$E$56,2,0),"")</f>
        <v/>
      </c>
      <c r="I780" s="242" t="str">
        <f>IFERROR(VLOOKUP(WTG_BD[[#This Row],[Affected WTG]],'Basic Data'!$A$3:$E$56,3,0),"")</f>
        <v/>
      </c>
      <c r="J780" s="243" t="str">
        <f>IFERROR(VLOOKUP(WTG_BD[[#This Row],[Affected WTG]],'Basic Data'!$A$3:$E$56,5,0),"")</f>
        <v/>
      </c>
      <c r="K780" s="158"/>
      <c r="L780" s="247" t="e">
        <f>VLOOKUP(K780,'Basic Data'!T:U,2,0)</f>
        <v>#N/A</v>
      </c>
      <c r="M780" s="135"/>
      <c r="N780" s="256"/>
      <c r="O780" s="256"/>
      <c r="P780" s="256"/>
      <c r="Q780" s="253" t="str">
        <f>IF(WTG_BD[[#This Row],[Work Start TimeStamp]]="","",(WTG_BD[[#This Row],[Work Start TimeStamp]]-WTG_BD[[#This Row],[Fault Start TimeStamp]])*24)</f>
        <v/>
      </c>
      <c r="R780" s="253">
        <f>(WTG_BD[[#This Row],[Fault Clearance time]]-WTG_BD[[#This Row],[Work Start TimeStamp]])*24</f>
        <v>0</v>
      </c>
      <c r="S780" s="253">
        <f>(WTG_BD[[#This Row],[Fault Clearance time]]-WTG_BD[[#This Row],[Fault Start TimeStamp]])*24</f>
        <v>0</v>
      </c>
      <c r="T780" s="135"/>
      <c r="U780" s="244"/>
      <c r="V780" s="246">
        <f>WTG_BD[[#This Row],[Breakdown Time]]*(1/39)</f>
        <v>0</v>
      </c>
      <c r="W780" s="244"/>
      <c r="X780" s="250"/>
      <c r="Y780" s="135"/>
      <c r="Z780" s="135"/>
      <c r="AA780" s="135"/>
      <c r="AB780" s="249">
        <f>(WTG_BD[[#This Row],[Paired WTG Generation for loss calculation.]]/24)*WTG_BD[[#This Row],[Breakdown Time]]</f>
        <v>0</v>
      </c>
      <c r="AC780" s="135"/>
      <c r="AD780" s="245"/>
      <c r="AE780" s="3"/>
    </row>
    <row r="781" spans="1:31">
      <c r="A781" s="241">
        <f t="shared" si="26"/>
        <v>780</v>
      </c>
      <c r="B781" s="255"/>
      <c r="C781" s="252"/>
      <c r="D781" s="252"/>
      <c r="E781" s="251">
        <f t="shared" si="25"/>
        <v>1</v>
      </c>
      <c r="F781" s="252"/>
      <c r="G781" s="248"/>
      <c r="H781" s="242" t="str">
        <f>IFERROR(VLOOKUP(WTG_BD[[#This Row],[Affected WTG]],'Basic Data'!$A$3:$E$56,2,0),"")</f>
        <v/>
      </c>
      <c r="I781" s="242" t="str">
        <f>IFERROR(VLOOKUP(WTG_BD[[#This Row],[Affected WTG]],'Basic Data'!$A$3:$E$56,3,0),"")</f>
        <v/>
      </c>
      <c r="J781" s="243" t="str">
        <f>IFERROR(VLOOKUP(WTG_BD[[#This Row],[Affected WTG]],'Basic Data'!$A$3:$E$56,5,0),"")</f>
        <v/>
      </c>
      <c r="K781" s="158"/>
      <c r="L781" s="247" t="e">
        <f>VLOOKUP(K781,'Basic Data'!T:U,2,0)</f>
        <v>#N/A</v>
      </c>
      <c r="M781" s="135"/>
      <c r="N781" s="256"/>
      <c r="O781" s="256"/>
      <c r="P781" s="256"/>
      <c r="Q781" s="253" t="str">
        <f>IF(WTG_BD[[#This Row],[Work Start TimeStamp]]="","",(WTG_BD[[#This Row],[Work Start TimeStamp]]-WTG_BD[[#This Row],[Fault Start TimeStamp]])*24)</f>
        <v/>
      </c>
      <c r="R781" s="253">
        <f>(WTG_BD[[#This Row],[Fault Clearance time]]-WTG_BD[[#This Row],[Work Start TimeStamp]])*24</f>
        <v>0</v>
      </c>
      <c r="S781" s="253">
        <f>(WTG_BD[[#This Row],[Fault Clearance time]]-WTG_BD[[#This Row],[Fault Start TimeStamp]])*24</f>
        <v>0</v>
      </c>
      <c r="T781" s="135"/>
      <c r="U781" s="244"/>
      <c r="V781" s="246">
        <f>WTG_BD[[#This Row],[Breakdown Time]]*(1/39)</f>
        <v>0</v>
      </c>
      <c r="W781" s="244"/>
      <c r="X781" s="250"/>
      <c r="Y781" s="135"/>
      <c r="Z781" s="135"/>
      <c r="AA781" s="135"/>
      <c r="AB781" s="249">
        <f>(WTG_BD[[#This Row],[Paired WTG Generation for loss calculation.]]/24)*WTG_BD[[#This Row],[Breakdown Time]]</f>
        <v>0</v>
      </c>
      <c r="AC781" s="135"/>
      <c r="AD781" s="245"/>
      <c r="AE781" s="3"/>
    </row>
    <row r="782" spans="1:31">
      <c r="A782" s="241">
        <f t="shared" si="26"/>
        <v>781</v>
      </c>
      <c r="B782" s="255"/>
      <c r="C782" s="252"/>
      <c r="D782" s="252"/>
      <c r="E782" s="251">
        <f t="shared" si="25"/>
        <v>1</v>
      </c>
      <c r="F782" s="252"/>
      <c r="G782" s="248"/>
      <c r="H782" s="242" t="str">
        <f>IFERROR(VLOOKUP(WTG_BD[[#This Row],[Affected WTG]],'Basic Data'!$A$3:$E$56,2,0),"")</f>
        <v/>
      </c>
      <c r="I782" s="242" t="str">
        <f>IFERROR(VLOOKUP(WTG_BD[[#This Row],[Affected WTG]],'Basic Data'!$A$3:$E$56,3,0),"")</f>
        <v/>
      </c>
      <c r="J782" s="243" t="str">
        <f>IFERROR(VLOOKUP(WTG_BD[[#This Row],[Affected WTG]],'Basic Data'!$A$3:$E$56,5,0),"")</f>
        <v/>
      </c>
      <c r="K782" s="158"/>
      <c r="L782" s="247" t="e">
        <f>VLOOKUP(K782,'Basic Data'!T:U,2,0)</f>
        <v>#N/A</v>
      </c>
      <c r="M782" s="135"/>
      <c r="N782" s="256"/>
      <c r="O782" s="256"/>
      <c r="P782" s="256"/>
      <c r="Q782" s="253" t="str">
        <f>IF(WTG_BD[[#This Row],[Work Start TimeStamp]]="","",(WTG_BD[[#This Row],[Work Start TimeStamp]]-WTG_BD[[#This Row],[Fault Start TimeStamp]])*24)</f>
        <v/>
      </c>
      <c r="R782" s="253">
        <f>(WTG_BD[[#This Row],[Fault Clearance time]]-WTG_BD[[#This Row],[Work Start TimeStamp]])*24</f>
        <v>0</v>
      </c>
      <c r="S782" s="253">
        <f>(WTG_BD[[#This Row],[Fault Clearance time]]-WTG_BD[[#This Row],[Fault Start TimeStamp]])*24</f>
        <v>0</v>
      </c>
      <c r="T782" s="135"/>
      <c r="U782" s="244"/>
      <c r="V782" s="246">
        <f>WTG_BD[[#This Row],[Breakdown Time]]*(1/39)</f>
        <v>0</v>
      </c>
      <c r="W782" s="244"/>
      <c r="X782" s="250"/>
      <c r="Y782" s="135"/>
      <c r="Z782" s="135"/>
      <c r="AA782" s="135"/>
      <c r="AB782" s="249">
        <f>(WTG_BD[[#This Row],[Paired WTG Generation for loss calculation.]]/24)*WTG_BD[[#This Row],[Breakdown Time]]</f>
        <v>0</v>
      </c>
      <c r="AC782" s="135"/>
      <c r="AD782" s="245"/>
      <c r="AE782" s="3"/>
    </row>
    <row r="783" spans="1:31">
      <c r="A783" s="241">
        <f t="shared" si="26"/>
        <v>782</v>
      </c>
      <c r="B783" s="255"/>
      <c r="C783" s="252"/>
      <c r="D783" s="252"/>
      <c r="E783" s="251">
        <f t="shared" si="25"/>
        <v>1</v>
      </c>
      <c r="F783" s="252"/>
      <c r="G783" s="248"/>
      <c r="H783" s="242" t="str">
        <f>IFERROR(VLOOKUP(WTG_BD[[#This Row],[Affected WTG]],'Basic Data'!$A$3:$E$56,2,0),"")</f>
        <v/>
      </c>
      <c r="I783" s="242" t="str">
        <f>IFERROR(VLOOKUP(WTG_BD[[#This Row],[Affected WTG]],'Basic Data'!$A$3:$E$56,3,0),"")</f>
        <v/>
      </c>
      <c r="J783" s="243" t="str">
        <f>IFERROR(VLOOKUP(WTG_BD[[#This Row],[Affected WTG]],'Basic Data'!$A$3:$E$56,5,0),"")</f>
        <v/>
      </c>
      <c r="K783" s="158"/>
      <c r="L783" s="247" t="e">
        <f>VLOOKUP(K783,'Basic Data'!T:U,2,0)</f>
        <v>#N/A</v>
      </c>
      <c r="M783" s="135"/>
      <c r="N783" s="256"/>
      <c r="O783" s="256"/>
      <c r="P783" s="256"/>
      <c r="Q783" s="253" t="str">
        <f>IF(WTG_BD[[#This Row],[Work Start TimeStamp]]="","",(WTG_BD[[#This Row],[Work Start TimeStamp]]-WTG_BD[[#This Row],[Fault Start TimeStamp]])*24)</f>
        <v/>
      </c>
      <c r="R783" s="253">
        <f>(WTG_BD[[#This Row],[Fault Clearance time]]-WTG_BD[[#This Row],[Work Start TimeStamp]])*24</f>
        <v>0</v>
      </c>
      <c r="S783" s="253">
        <f>(WTG_BD[[#This Row],[Fault Clearance time]]-WTG_BD[[#This Row],[Fault Start TimeStamp]])*24</f>
        <v>0</v>
      </c>
      <c r="T783" s="135"/>
      <c r="U783" s="244"/>
      <c r="V783" s="246">
        <f>WTG_BD[[#This Row],[Breakdown Time]]*(1/39)</f>
        <v>0</v>
      </c>
      <c r="W783" s="244"/>
      <c r="X783" s="250"/>
      <c r="Y783" s="135"/>
      <c r="Z783" s="135"/>
      <c r="AA783" s="135"/>
      <c r="AB783" s="249">
        <f>(WTG_BD[[#This Row],[Paired WTG Generation for loss calculation.]]/24)*WTG_BD[[#This Row],[Breakdown Time]]</f>
        <v>0</v>
      </c>
      <c r="AC783" s="135"/>
      <c r="AD783" s="245"/>
      <c r="AE783" s="3"/>
    </row>
    <row r="784" spans="1:31">
      <c r="A784" s="241">
        <f t="shared" si="26"/>
        <v>783</v>
      </c>
      <c r="B784" s="255"/>
      <c r="C784" s="252"/>
      <c r="D784" s="252"/>
      <c r="E784" s="251">
        <f t="shared" si="25"/>
        <v>1</v>
      </c>
      <c r="F784" s="252"/>
      <c r="G784" s="248"/>
      <c r="H784" s="242" t="str">
        <f>IFERROR(VLOOKUP(WTG_BD[[#This Row],[Affected WTG]],'Basic Data'!$A$3:$E$56,2,0),"")</f>
        <v/>
      </c>
      <c r="I784" s="242" t="str">
        <f>IFERROR(VLOOKUP(WTG_BD[[#This Row],[Affected WTG]],'Basic Data'!$A$3:$E$56,3,0),"")</f>
        <v/>
      </c>
      <c r="J784" s="243" t="str">
        <f>IFERROR(VLOOKUP(WTG_BD[[#This Row],[Affected WTG]],'Basic Data'!$A$3:$E$56,5,0),"")</f>
        <v/>
      </c>
      <c r="K784" s="158"/>
      <c r="L784" s="247" t="e">
        <f>VLOOKUP(K784,'Basic Data'!T:U,2,0)</f>
        <v>#N/A</v>
      </c>
      <c r="M784" s="135"/>
      <c r="N784" s="256"/>
      <c r="O784" s="256"/>
      <c r="P784" s="256"/>
      <c r="Q784" s="253" t="str">
        <f>IF(WTG_BD[[#This Row],[Work Start TimeStamp]]="","",(WTG_BD[[#This Row],[Work Start TimeStamp]]-WTG_BD[[#This Row],[Fault Start TimeStamp]])*24)</f>
        <v/>
      </c>
      <c r="R784" s="253">
        <f>(WTG_BD[[#This Row],[Fault Clearance time]]-WTG_BD[[#This Row],[Work Start TimeStamp]])*24</f>
        <v>0</v>
      </c>
      <c r="S784" s="253">
        <f>(WTG_BD[[#This Row],[Fault Clearance time]]-WTG_BD[[#This Row],[Fault Start TimeStamp]])*24</f>
        <v>0</v>
      </c>
      <c r="T784" s="135"/>
      <c r="U784" s="244"/>
      <c r="V784" s="246">
        <f>WTG_BD[[#This Row],[Breakdown Time]]*(1/39)</f>
        <v>0</v>
      </c>
      <c r="W784" s="244"/>
      <c r="X784" s="250"/>
      <c r="Y784" s="135"/>
      <c r="Z784" s="135"/>
      <c r="AA784" s="135"/>
      <c r="AB784" s="249">
        <f>(WTG_BD[[#This Row],[Paired WTG Generation for loss calculation.]]/24)*WTG_BD[[#This Row],[Breakdown Time]]</f>
        <v>0</v>
      </c>
      <c r="AC784" s="135"/>
      <c r="AD784" s="245"/>
      <c r="AE784" s="3"/>
    </row>
    <row r="785" spans="1:31">
      <c r="A785" s="241">
        <f t="shared" si="26"/>
        <v>784</v>
      </c>
      <c r="B785" s="255"/>
      <c r="C785" s="252"/>
      <c r="D785" s="252"/>
      <c r="E785" s="251">
        <f t="shared" si="25"/>
        <v>1</v>
      </c>
      <c r="F785" s="252"/>
      <c r="G785" s="248"/>
      <c r="H785" s="242" t="str">
        <f>IFERROR(VLOOKUP(WTG_BD[[#This Row],[Affected WTG]],'Basic Data'!$A$3:$E$56,2,0),"")</f>
        <v/>
      </c>
      <c r="I785" s="242" t="str">
        <f>IFERROR(VLOOKUP(WTG_BD[[#This Row],[Affected WTG]],'Basic Data'!$A$3:$E$56,3,0),"")</f>
        <v/>
      </c>
      <c r="J785" s="243" t="str">
        <f>IFERROR(VLOOKUP(WTG_BD[[#This Row],[Affected WTG]],'Basic Data'!$A$3:$E$56,5,0),"")</f>
        <v/>
      </c>
      <c r="K785" s="158"/>
      <c r="L785" s="247" t="e">
        <f>VLOOKUP(K785,'Basic Data'!T:U,2,0)</f>
        <v>#N/A</v>
      </c>
      <c r="M785" s="135"/>
      <c r="N785" s="256"/>
      <c r="O785" s="256"/>
      <c r="P785" s="256"/>
      <c r="Q785" s="253" t="str">
        <f>IF(WTG_BD[[#This Row],[Work Start TimeStamp]]="","",(WTG_BD[[#This Row],[Work Start TimeStamp]]-WTG_BD[[#This Row],[Fault Start TimeStamp]])*24)</f>
        <v/>
      </c>
      <c r="R785" s="253">
        <f>(WTG_BD[[#This Row],[Fault Clearance time]]-WTG_BD[[#This Row],[Work Start TimeStamp]])*24</f>
        <v>0</v>
      </c>
      <c r="S785" s="253">
        <f>(WTG_BD[[#This Row],[Fault Clearance time]]-WTG_BD[[#This Row],[Fault Start TimeStamp]])*24</f>
        <v>0</v>
      </c>
      <c r="T785" s="135"/>
      <c r="U785" s="244"/>
      <c r="V785" s="246">
        <f>WTG_BD[[#This Row],[Breakdown Time]]*(1/39)</f>
        <v>0</v>
      </c>
      <c r="W785" s="244"/>
      <c r="X785" s="250"/>
      <c r="Y785" s="135"/>
      <c r="Z785" s="135"/>
      <c r="AA785" s="135"/>
      <c r="AB785" s="249">
        <f>(WTG_BD[[#This Row],[Paired WTG Generation for loss calculation.]]/24)*WTG_BD[[#This Row],[Breakdown Time]]</f>
        <v>0</v>
      </c>
      <c r="AC785" s="135"/>
      <c r="AD785" s="245"/>
      <c r="AE785" s="3"/>
    </row>
    <row r="786" spans="1:31">
      <c r="A786" s="241">
        <f t="shared" si="26"/>
        <v>785</v>
      </c>
      <c r="B786" s="255"/>
      <c r="C786" s="252"/>
      <c r="D786" s="252"/>
      <c r="E786" s="251">
        <f t="shared" si="25"/>
        <v>1</v>
      </c>
      <c r="F786" s="252"/>
      <c r="G786" s="248"/>
      <c r="H786" s="242" t="str">
        <f>IFERROR(VLOOKUP(WTG_BD[[#This Row],[Affected WTG]],'Basic Data'!$A$3:$E$56,2,0),"")</f>
        <v/>
      </c>
      <c r="I786" s="242" t="str">
        <f>IFERROR(VLOOKUP(WTG_BD[[#This Row],[Affected WTG]],'Basic Data'!$A$3:$E$56,3,0),"")</f>
        <v/>
      </c>
      <c r="J786" s="243" t="str">
        <f>IFERROR(VLOOKUP(WTG_BD[[#This Row],[Affected WTG]],'Basic Data'!$A$3:$E$56,5,0),"")</f>
        <v/>
      </c>
      <c r="K786" s="158"/>
      <c r="L786" s="247" t="e">
        <f>VLOOKUP(K786,'Basic Data'!T:U,2,0)</f>
        <v>#N/A</v>
      </c>
      <c r="M786" s="135"/>
      <c r="N786" s="256"/>
      <c r="O786" s="256"/>
      <c r="P786" s="256"/>
      <c r="Q786" s="253" t="str">
        <f>IF(WTG_BD[[#This Row],[Work Start TimeStamp]]="","",(WTG_BD[[#This Row],[Work Start TimeStamp]]-WTG_BD[[#This Row],[Fault Start TimeStamp]])*24)</f>
        <v/>
      </c>
      <c r="R786" s="253">
        <f>(WTG_BD[[#This Row],[Fault Clearance time]]-WTG_BD[[#This Row],[Work Start TimeStamp]])*24</f>
        <v>0</v>
      </c>
      <c r="S786" s="253">
        <f>(WTG_BD[[#This Row],[Fault Clearance time]]-WTG_BD[[#This Row],[Fault Start TimeStamp]])*24</f>
        <v>0</v>
      </c>
      <c r="T786" s="135"/>
      <c r="U786" s="244"/>
      <c r="V786" s="246">
        <f>WTG_BD[[#This Row],[Breakdown Time]]*(1/39)</f>
        <v>0</v>
      </c>
      <c r="W786" s="244"/>
      <c r="X786" s="250"/>
      <c r="Y786" s="135"/>
      <c r="Z786" s="135"/>
      <c r="AA786" s="135"/>
      <c r="AB786" s="249">
        <f>(WTG_BD[[#This Row],[Paired WTG Generation for loss calculation.]]/24)*WTG_BD[[#This Row],[Breakdown Time]]</f>
        <v>0</v>
      </c>
      <c r="AC786" s="135"/>
      <c r="AD786" s="245"/>
      <c r="AE786" s="3"/>
    </row>
    <row r="787" spans="1:31">
      <c r="A787" s="241">
        <f t="shared" si="26"/>
        <v>786</v>
      </c>
      <c r="B787" s="255"/>
      <c r="C787" s="252"/>
      <c r="D787" s="252"/>
      <c r="E787" s="251">
        <f t="shared" si="25"/>
        <v>1</v>
      </c>
      <c r="F787" s="252"/>
      <c r="G787" s="248"/>
      <c r="H787" s="242" t="str">
        <f>IFERROR(VLOOKUP(WTG_BD[[#This Row],[Affected WTG]],'Basic Data'!$A$3:$E$56,2,0),"")</f>
        <v/>
      </c>
      <c r="I787" s="242" t="str">
        <f>IFERROR(VLOOKUP(WTG_BD[[#This Row],[Affected WTG]],'Basic Data'!$A$3:$E$56,3,0),"")</f>
        <v/>
      </c>
      <c r="J787" s="243" t="str">
        <f>IFERROR(VLOOKUP(WTG_BD[[#This Row],[Affected WTG]],'Basic Data'!$A$3:$E$56,5,0),"")</f>
        <v/>
      </c>
      <c r="K787" s="158"/>
      <c r="L787" s="247" t="e">
        <f>VLOOKUP(K787,'Basic Data'!T:U,2,0)</f>
        <v>#N/A</v>
      </c>
      <c r="M787" s="135"/>
      <c r="N787" s="256"/>
      <c r="O787" s="256"/>
      <c r="P787" s="256"/>
      <c r="Q787" s="253" t="str">
        <f>IF(WTG_BD[[#This Row],[Work Start TimeStamp]]="","",(WTG_BD[[#This Row],[Work Start TimeStamp]]-WTG_BD[[#This Row],[Fault Start TimeStamp]])*24)</f>
        <v/>
      </c>
      <c r="R787" s="253">
        <f>(WTG_BD[[#This Row],[Fault Clearance time]]-WTG_BD[[#This Row],[Work Start TimeStamp]])*24</f>
        <v>0</v>
      </c>
      <c r="S787" s="253">
        <f>(WTG_BD[[#This Row],[Fault Clearance time]]-WTG_BD[[#This Row],[Fault Start TimeStamp]])*24</f>
        <v>0</v>
      </c>
      <c r="T787" s="135"/>
      <c r="U787" s="244"/>
      <c r="V787" s="246">
        <f>WTG_BD[[#This Row],[Breakdown Time]]*(1/39)</f>
        <v>0</v>
      </c>
      <c r="W787" s="244"/>
      <c r="X787" s="250"/>
      <c r="Y787" s="135"/>
      <c r="Z787" s="135"/>
      <c r="AA787" s="135"/>
      <c r="AB787" s="249">
        <f>(WTG_BD[[#This Row],[Paired WTG Generation for loss calculation.]]/24)*WTG_BD[[#This Row],[Breakdown Time]]</f>
        <v>0</v>
      </c>
      <c r="AC787" s="135"/>
      <c r="AD787" s="245"/>
      <c r="AE787" s="3"/>
    </row>
    <row r="788" spans="1:31">
      <c r="A788" s="241">
        <f t="shared" si="26"/>
        <v>787</v>
      </c>
      <c r="B788" s="255"/>
      <c r="C788" s="252"/>
      <c r="D788" s="252"/>
      <c r="E788" s="251">
        <f t="shared" si="25"/>
        <v>1</v>
      </c>
      <c r="F788" s="252"/>
      <c r="G788" s="248"/>
      <c r="H788" s="242" t="str">
        <f>IFERROR(VLOOKUP(WTG_BD[[#This Row],[Affected WTG]],'Basic Data'!$A$3:$E$56,2,0),"")</f>
        <v/>
      </c>
      <c r="I788" s="242" t="str">
        <f>IFERROR(VLOOKUP(WTG_BD[[#This Row],[Affected WTG]],'Basic Data'!$A$3:$E$56,3,0),"")</f>
        <v/>
      </c>
      <c r="J788" s="243" t="str">
        <f>IFERROR(VLOOKUP(WTG_BD[[#This Row],[Affected WTG]],'Basic Data'!$A$3:$E$56,5,0),"")</f>
        <v/>
      </c>
      <c r="K788" s="158"/>
      <c r="L788" s="247" t="e">
        <f>VLOOKUP(K788,'Basic Data'!T:U,2,0)</f>
        <v>#N/A</v>
      </c>
      <c r="M788" s="135"/>
      <c r="N788" s="256"/>
      <c r="O788" s="256"/>
      <c r="P788" s="256"/>
      <c r="Q788" s="253" t="str">
        <f>IF(WTG_BD[[#This Row],[Work Start TimeStamp]]="","",(WTG_BD[[#This Row],[Work Start TimeStamp]]-WTG_BD[[#This Row],[Fault Start TimeStamp]])*24)</f>
        <v/>
      </c>
      <c r="R788" s="253">
        <f>(WTG_BD[[#This Row],[Fault Clearance time]]-WTG_BD[[#This Row],[Work Start TimeStamp]])*24</f>
        <v>0</v>
      </c>
      <c r="S788" s="253">
        <f>(WTG_BD[[#This Row],[Fault Clearance time]]-WTG_BD[[#This Row],[Fault Start TimeStamp]])*24</f>
        <v>0</v>
      </c>
      <c r="T788" s="135"/>
      <c r="U788" s="244"/>
      <c r="V788" s="246">
        <f>WTG_BD[[#This Row],[Breakdown Time]]*(1/39)</f>
        <v>0</v>
      </c>
      <c r="W788" s="244"/>
      <c r="X788" s="250"/>
      <c r="Y788" s="135"/>
      <c r="Z788" s="135"/>
      <c r="AA788" s="135"/>
      <c r="AB788" s="249">
        <f>(WTG_BD[[#This Row],[Paired WTG Generation for loss calculation.]]/24)*WTG_BD[[#This Row],[Breakdown Time]]</f>
        <v>0</v>
      </c>
      <c r="AC788" s="135"/>
      <c r="AD788" s="245"/>
      <c r="AE788" s="3"/>
    </row>
    <row r="789" spans="1:31">
      <c r="A789" s="241">
        <f t="shared" si="26"/>
        <v>788</v>
      </c>
      <c r="B789" s="255"/>
      <c r="C789" s="252"/>
      <c r="D789" s="252"/>
      <c r="E789" s="251">
        <f t="shared" si="25"/>
        <v>1</v>
      </c>
      <c r="F789" s="252"/>
      <c r="G789" s="248"/>
      <c r="H789" s="242" t="str">
        <f>IFERROR(VLOOKUP(WTG_BD[[#This Row],[Affected WTG]],'Basic Data'!$A$3:$E$56,2,0),"")</f>
        <v/>
      </c>
      <c r="I789" s="242" t="str">
        <f>IFERROR(VLOOKUP(WTG_BD[[#This Row],[Affected WTG]],'Basic Data'!$A$3:$E$56,3,0),"")</f>
        <v/>
      </c>
      <c r="J789" s="243" t="str">
        <f>IFERROR(VLOOKUP(WTG_BD[[#This Row],[Affected WTG]],'Basic Data'!$A$3:$E$56,5,0),"")</f>
        <v/>
      </c>
      <c r="K789" s="158"/>
      <c r="L789" s="247" t="e">
        <f>VLOOKUP(K789,'Basic Data'!T:U,2,0)</f>
        <v>#N/A</v>
      </c>
      <c r="M789" s="135"/>
      <c r="N789" s="256"/>
      <c r="O789" s="256"/>
      <c r="P789" s="256"/>
      <c r="Q789" s="253" t="str">
        <f>IF(WTG_BD[[#This Row],[Work Start TimeStamp]]="","",(WTG_BD[[#This Row],[Work Start TimeStamp]]-WTG_BD[[#This Row],[Fault Start TimeStamp]])*24)</f>
        <v/>
      </c>
      <c r="R789" s="253">
        <f>(WTG_BD[[#This Row],[Fault Clearance time]]-WTG_BD[[#This Row],[Work Start TimeStamp]])*24</f>
        <v>0</v>
      </c>
      <c r="S789" s="253">
        <f>(WTG_BD[[#This Row],[Fault Clearance time]]-WTG_BD[[#This Row],[Fault Start TimeStamp]])*24</f>
        <v>0</v>
      </c>
      <c r="T789" s="135"/>
      <c r="U789" s="244"/>
      <c r="V789" s="246">
        <f>WTG_BD[[#This Row],[Breakdown Time]]*(1/39)</f>
        <v>0</v>
      </c>
      <c r="W789" s="244"/>
      <c r="X789" s="250"/>
      <c r="Y789" s="135"/>
      <c r="Z789" s="135"/>
      <c r="AA789" s="135"/>
      <c r="AB789" s="249">
        <f>(WTG_BD[[#This Row],[Paired WTG Generation for loss calculation.]]/24)*WTG_BD[[#This Row],[Breakdown Time]]</f>
        <v>0</v>
      </c>
      <c r="AC789" s="135"/>
      <c r="AD789" s="245"/>
      <c r="AE789" s="3"/>
    </row>
    <row r="790" spans="1:31">
      <c r="A790" s="241">
        <f t="shared" si="26"/>
        <v>789</v>
      </c>
      <c r="B790" s="255"/>
      <c r="C790" s="252"/>
      <c r="D790" s="252"/>
      <c r="E790" s="251">
        <f t="shared" si="25"/>
        <v>1</v>
      </c>
      <c r="F790" s="252"/>
      <c r="G790" s="248"/>
      <c r="H790" s="242" t="str">
        <f>IFERROR(VLOOKUP(WTG_BD[[#This Row],[Affected WTG]],'Basic Data'!$A$3:$E$56,2,0),"")</f>
        <v/>
      </c>
      <c r="I790" s="242" t="str">
        <f>IFERROR(VLOOKUP(WTG_BD[[#This Row],[Affected WTG]],'Basic Data'!$A$3:$E$56,3,0),"")</f>
        <v/>
      </c>
      <c r="J790" s="243" t="str">
        <f>IFERROR(VLOOKUP(WTG_BD[[#This Row],[Affected WTG]],'Basic Data'!$A$3:$E$56,5,0),"")</f>
        <v/>
      </c>
      <c r="K790" s="158"/>
      <c r="L790" s="247" t="e">
        <f>VLOOKUP(K790,'Basic Data'!T:U,2,0)</f>
        <v>#N/A</v>
      </c>
      <c r="M790" s="135"/>
      <c r="N790" s="256"/>
      <c r="O790" s="256"/>
      <c r="P790" s="256"/>
      <c r="Q790" s="253" t="str">
        <f>IF(WTG_BD[[#This Row],[Work Start TimeStamp]]="","",(WTG_BD[[#This Row],[Work Start TimeStamp]]-WTG_BD[[#This Row],[Fault Start TimeStamp]])*24)</f>
        <v/>
      </c>
      <c r="R790" s="253">
        <f>(WTG_BD[[#This Row],[Fault Clearance time]]-WTG_BD[[#This Row],[Work Start TimeStamp]])*24</f>
        <v>0</v>
      </c>
      <c r="S790" s="253">
        <f>(WTG_BD[[#This Row],[Fault Clearance time]]-WTG_BD[[#This Row],[Fault Start TimeStamp]])*24</f>
        <v>0</v>
      </c>
      <c r="T790" s="135"/>
      <c r="U790" s="244"/>
      <c r="V790" s="246">
        <f>WTG_BD[[#This Row],[Breakdown Time]]*(1/39)</f>
        <v>0</v>
      </c>
      <c r="W790" s="244"/>
      <c r="X790" s="250"/>
      <c r="Y790" s="135"/>
      <c r="Z790" s="135"/>
      <c r="AA790" s="135"/>
      <c r="AB790" s="249">
        <f>(WTG_BD[[#This Row],[Paired WTG Generation for loss calculation.]]/24)*WTG_BD[[#This Row],[Breakdown Time]]</f>
        <v>0</v>
      </c>
      <c r="AC790" s="135"/>
      <c r="AD790" s="245"/>
      <c r="AE790" s="3"/>
    </row>
    <row r="791" spans="1:31">
      <c r="A791" s="241">
        <f t="shared" si="26"/>
        <v>790</v>
      </c>
      <c r="B791" s="255"/>
      <c r="C791" s="252"/>
      <c r="D791" s="252"/>
      <c r="E791" s="251">
        <f t="shared" si="25"/>
        <v>1</v>
      </c>
      <c r="F791" s="252"/>
      <c r="G791" s="248"/>
      <c r="H791" s="242" t="str">
        <f>IFERROR(VLOOKUP(WTG_BD[[#This Row],[Affected WTG]],'Basic Data'!$A$3:$E$56,2,0),"")</f>
        <v/>
      </c>
      <c r="I791" s="242" t="str">
        <f>IFERROR(VLOOKUP(WTG_BD[[#This Row],[Affected WTG]],'Basic Data'!$A$3:$E$56,3,0),"")</f>
        <v/>
      </c>
      <c r="J791" s="243" t="str">
        <f>IFERROR(VLOOKUP(WTG_BD[[#This Row],[Affected WTG]],'Basic Data'!$A$3:$E$56,5,0),"")</f>
        <v/>
      </c>
      <c r="K791" s="158"/>
      <c r="L791" s="247" t="e">
        <f>VLOOKUP(K791,'Basic Data'!T:U,2,0)</f>
        <v>#N/A</v>
      </c>
      <c r="M791" s="135"/>
      <c r="N791" s="256"/>
      <c r="O791" s="256"/>
      <c r="P791" s="256"/>
      <c r="Q791" s="253" t="str">
        <f>IF(WTG_BD[[#This Row],[Work Start TimeStamp]]="","",(WTG_BD[[#This Row],[Work Start TimeStamp]]-WTG_BD[[#This Row],[Fault Start TimeStamp]])*24)</f>
        <v/>
      </c>
      <c r="R791" s="253">
        <f>(WTG_BD[[#This Row],[Fault Clearance time]]-WTG_BD[[#This Row],[Work Start TimeStamp]])*24</f>
        <v>0</v>
      </c>
      <c r="S791" s="253">
        <f>(WTG_BD[[#This Row],[Fault Clearance time]]-WTG_BD[[#This Row],[Fault Start TimeStamp]])*24</f>
        <v>0</v>
      </c>
      <c r="T791" s="135"/>
      <c r="U791" s="244"/>
      <c r="V791" s="246">
        <f>WTG_BD[[#This Row],[Breakdown Time]]*(1/39)</f>
        <v>0</v>
      </c>
      <c r="W791" s="244"/>
      <c r="X791" s="250"/>
      <c r="Y791" s="135"/>
      <c r="Z791" s="135"/>
      <c r="AA791" s="135"/>
      <c r="AB791" s="249">
        <f>(WTG_BD[[#This Row],[Paired WTG Generation for loss calculation.]]/24)*WTG_BD[[#This Row],[Breakdown Time]]</f>
        <v>0</v>
      </c>
      <c r="AC791" s="135"/>
      <c r="AD791" s="245"/>
      <c r="AE791" s="3"/>
    </row>
    <row r="792" spans="1:31">
      <c r="A792" s="241">
        <f t="shared" si="26"/>
        <v>791</v>
      </c>
      <c r="B792" s="255"/>
      <c r="C792" s="252"/>
      <c r="D792" s="252"/>
      <c r="E792" s="251">
        <f t="shared" si="25"/>
        <v>1</v>
      </c>
      <c r="F792" s="252"/>
      <c r="G792" s="248"/>
      <c r="H792" s="242" t="str">
        <f>IFERROR(VLOOKUP(WTG_BD[[#This Row],[Affected WTG]],'Basic Data'!$A$3:$E$56,2,0),"")</f>
        <v/>
      </c>
      <c r="I792" s="242" t="str">
        <f>IFERROR(VLOOKUP(WTG_BD[[#This Row],[Affected WTG]],'Basic Data'!$A$3:$E$56,3,0),"")</f>
        <v/>
      </c>
      <c r="J792" s="243" t="str">
        <f>IFERROR(VLOOKUP(WTG_BD[[#This Row],[Affected WTG]],'Basic Data'!$A$3:$E$56,5,0),"")</f>
        <v/>
      </c>
      <c r="K792" s="158"/>
      <c r="L792" s="247" t="e">
        <f>VLOOKUP(K792,'Basic Data'!T:U,2,0)</f>
        <v>#N/A</v>
      </c>
      <c r="M792" s="135"/>
      <c r="N792" s="256"/>
      <c r="O792" s="256"/>
      <c r="P792" s="256"/>
      <c r="Q792" s="253" t="str">
        <f>IF(WTG_BD[[#This Row],[Work Start TimeStamp]]="","",(WTG_BD[[#This Row],[Work Start TimeStamp]]-WTG_BD[[#This Row],[Fault Start TimeStamp]])*24)</f>
        <v/>
      </c>
      <c r="R792" s="253">
        <f>(WTG_BD[[#This Row],[Fault Clearance time]]-WTG_BD[[#This Row],[Work Start TimeStamp]])*24</f>
        <v>0</v>
      </c>
      <c r="S792" s="253">
        <f>(WTG_BD[[#This Row],[Fault Clearance time]]-WTG_BD[[#This Row],[Fault Start TimeStamp]])*24</f>
        <v>0</v>
      </c>
      <c r="T792" s="135"/>
      <c r="U792" s="244"/>
      <c r="V792" s="246">
        <f>WTG_BD[[#This Row],[Breakdown Time]]*(1/39)</f>
        <v>0</v>
      </c>
      <c r="W792" s="244"/>
      <c r="X792" s="250"/>
      <c r="Y792" s="135"/>
      <c r="Z792" s="135"/>
      <c r="AA792" s="135"/>
      <c r="AB792" s="249">
        <f>(WTG_BD[[#This Row],[Paired WTG Generation for loss calculation.]]/24)*WTG_BD[[#This Row],[Breakdown Time]]</f>
        <v>0</v>
      </c>
      <c r="AC792" s="135"/>
      <c r="AD792" s="245"/>
      <c r="AE792" s="3"/>
    </row>
    <row r="793" spans="1:31">
      <c r="A793" s="241">
        <f t="shared" si="26"/>
        <v>792</v>
      </c>
      <c r="B793" s="255"/>
      <c r="C793" s="252"/>
      <c r="D793" s="252"/>
      <c r="E793" s="251">
        <f t="shared" si="25"/>
        <v>1</v>
      </c>
      <c r="F793" s="252"/>
      <c r="G793" s="248"/>
      <c r="H793" s="242" t="str">
        <f>IFERROR(VLOOKUP(WTG_BD[[#This Row],[Affected WTG]],'Basic Data'!$A$3:$E$56,2,0),"")</f>
        <v/>
      </c>
      <c r="I793" s="242" t="str">
        <f>IFERROR(VLOOKUP(WTG_BD[[#This Row],[Affected WTG]],'Basic Data'!$A$3:$E$56,3,0),"")</f>
        <v/>
      </c>
      <c r="J793" s="243" t="str">
        <f>IFERROR(VLOOKUP(WTG_BD[[#This Row],[Affected WTG]],'Basic Data'!$A$3:$E$56,5,0),"")</f>
        <v/>
      </c>
      <c r="K793" s="158"/>
      <c r="L793" s="247" t="e">
        <f>VLOOKUP(K793,'Basic Data'!T:U,2,0)</f>
        <v>#N/A</v>
      </c>
      <c r="M793" s="135"/>
      <c r="N793" s="256"/>
      <c r="O793" s="256"/>
      <c r="P793" s="256"/>
      <c r="Q793" s="253" t="str">
        <f>IF(WTG_BD[[#This Row],[Work Start TimeStamp]]="","",(WTG_BD[[#This Row],[Work Start TimeStamp]]-WTG_BD[[#This Row],[Fault Start TimeStamp]])*24)</f>
        <v/>
      </c>
      <c r="R793" s="253">
        <f>(WTG_BD[[#This Row],[Fault Clearance time]]-WTG_BD[[#This Row],[Work Start TimeStamp]])*24</f>
        <v>0</v>
      </c>
      <c r="S793" s="253">
        <f>(WTG_BD[[#This Row],[Fault Clearance time]]-WTG_BD[[#This Row],[Fault Start TimeStamp]])*24</f>
        <v>0</v>
      </c>
      <c r="T793" s="135"/>
      <c r="U793" s="244"/>
      <c r="V793" s="246">
        <f>WTG_BD[[#This Row],[Breakdown Time]]*(1/39)</f>
        <v>0</v>
      </c>
      <c r="W793" s="244"/>
      <c r="X793" s="250"/>
      <c r="Y793" s="135"/>
      <c r="Z793" s="135"/>
      <c r="AA793" s="135"/>
      <c r="AB793" s="249">
        <f>(WTG_BD[[#This Row],[Paired WTG Generation for loss calculation.]]/24)*WTG_BD[[#This Row],[Breakdown Time]]</f>
        <v>0</v>
      </c>
      <c r="AC793" s="135"/>
      <c r="AD793" s="245"/>
      <c r="AE793" s="3"/>
    </row>
    <row r="794" spans="1:31">
      <c r="A794" s="241">
        <f t="shared" si="26"/>
        <v>793</v>
      </c>
      <c r="B794" s="255"/>
      <c r="C794" s="252"/>
      <c r="D794" s="252"/>
      <c r="E794" s="251">
        <f t="shared" si="25"/>
        <v>1</v>
      </c>
      <c r="F794" s="252"/>
      <c r="G794" s="248"/>
      <c r="H794" s="242" t="str">
        <f>IFERROR(VLOOKUP(WTG_BD[[#This Row],[Affected WTG]],'Basic Data'!$A$3:$E$56,2,0),"")</f>
        <v/>
      </c>
      <c r="I794" s="242" t="str">
        <f>IFERROR(VLOOKUP(WTG_BD[[#This Row],[Affected WTG]],'Basic Data'!$A$3:$E$56,3,0),"")</f>
        <v/>
      </c>
      <c r="J794" s="243" t="str">
        <f>IFERROR(VLOOKUP(WTG_BD[[#This Row],[Affected WTG]],'Basic Data'!$A$3:$E$56,5,0),"")</f>
        <v/>
      </c>
      <c r="K794" s="158"/>
      <c r="L794" s="247" t="e">
        <f>VLOOKUP(K794,'Basic Data'!T:U,2,0)</f>
        <v>#N/A</v>
      </c>
      <c r="M794" s="135"/>
      <c r="N794" s="256"/>
      <c r="O794" s="256"/>
      <c r="P794" s="256"/>
      <c r="Q794" s="253" t="str">
        <f>IF(WTG_BD[[#This Row],[Work Start TimeStamp]]="","",(WTG_BD[[#This Row],[Work Start TimeStamp]]-WTG_BD[[#This Row],[Fault Start TimeStamp]])*24)</f>
        <v/>
      </c>
      <c r="R794" s="253">
        <f>(WTG_BD[[#This Row],[Fault Clearance time]]-WTG_BD[[#This Row],[Work Start TimeStamp]])*24</f>
        <v>0</v>
      </c>
      <c r="S794" s="253">
        <f>(WTG_BD[[#This Row],[Fault Clearance time]]-WTG_BD[[#This Row],[Fault Start TimeStamp]])*24</f>
        <v>0</v>
      </c>
      <c r="T794" s="135"/>
      <c r="U794" s="244"/>
      <c r="V794" s="246">
        <f>WTG_BD[[#This Row],[Breakdown Time]]*(1/39)</f>
        <v>0</v>
      </c>
      <c r="W794" s="244"/>
      <c r="X794" s="250"/>
      <c r="Y794" s="135"/>
      <c r="Z794" s="135"/>
      <c r="AA794" s="135"/>
      <c r="AB794" s="249">
        <f>(WTG_BD[[#This Row],[Paired WTG Generation for loss calculation.]]/24)*WTG_BD[[#This Row],[Breakdown Time]]</f>
        <v>0</v>
      </c>
      <c r="AC794" s="135"/>
      <c r="AD794" s="245"/>
      <c r="AE794" s="3"/>
    </row>
    <row r="795" spans="1:31">
      <c r="A795" s="241">
        <f t="shared" si="26"/>
        <v>794</v>
      </c>
      <c r="B795" s="255"/>
      <c r="C795" s="252"/>
      <c r="D795" s="252"/>
      <c r="E795" s="251">
        <f t="shared" si="25"/>
        <v>1</v>
      </c>
      <c r="F795" s="252"/>
      <c r="G795" s="248"/>
      <c r="H795" s="242" t="str">
        <f>IFERROR(VLOOKUP(WTG_BD[[#This Row],[Affected WTG]],'Basic Data'!$A$3:$E$56,2,0),"")</f>
        <v/>
      </c>
      <c r="I795" s="242" t="str">
        <f>IFERROR(VLOOKUP(WTG_BD[[#This Row],[Affected WTG]],'Basic Data'!$A$3:$E$56,3,0),"")</f>
        <v/>
      </c>
      <c r="J795" s="243" t="str">
        <f>IFERROR(VLOOKUP(WTG_BD[[#This Row],[Affected WTG]],'Basic Data'!$A$3:$E$56,5,0),"")</f>
        <v/>
      </c>
      <c r="K795" s="158"/>
      <c r="L795" s="247" t="e">
        <f>VLOOKUP(K795,'Basic Data'!T:U,2,0)</f>
        <v>#N/A</v>
      </c>
      <c r="M795" s="135"/>
      <c r="N795" s="256"/>
      <c r="O795" s="256"/>
      <c r="P795" s="256"/>
      <c r="Q795" s="253" t="str">
        <f>IF(WTG_BD[[#This Row],[Work Start TimeStamp]]="","",(WTG_BD[[#This Row],[Work Start TimeStamp]]-WTG_BD[[#This Row],[Fault Start TimeStamp]])*24)</f>
        <v/>
      </c>
      <c r="R795" s="253">
        <f>(WTG_BD[[#This Row],[Fault Clearance time]]-WTG_BD[[#This Row],[Work Start TimeStamp]])*24</f>
        <v>0</v>
      </c>
      <c r="S795" s="253">
        <f>(WTG_BD[[#This Row],[Fault Clearance time]]-WTG_BD[[#This Row],[Fault Start TimeStamp]])*24</f>
        <v>0</v>
      </c>
      <c r="T795" s="135"/>
      <c r="U795" s="244"/>
      <c r="V795" s="246">
        <f>WTG_BD[[#This Row],[Breakdown Time]]*(1/39)</f>
        <v>0</v>
      </c>
      <c r="W795" s="244"/>
      <c r="X795" s="250"/>
      <c r="Y795" s="135"/>
      <c r="Z795" s="135"/>
      <c r="AA795" s="135"/>
      <c r="AB795" s="249">
        <f>(WTG_BD[[#This Row],[Paired WTG Generation for loss calculation.]]/24)*WTG_BD[[#This Row],[Breakdown Time]]</f>
        <v>0</v>
      </c>
      <c r="AC795" s="135"/>
      <c r="AD795" s="245"/>
      <c r="AE795" s="3"/>
    </row>
    <row r="796" spans="1:31">
      <c r="A796" s="241">
        <f t="shared" si="26"/>
        <v>795</v>
      </c>
      <c r="B796" s="255"/>
      <c r="C796" s="252"/>
      <c r="D796" s="252"/>
      <c r="E796" s="251">
        <f t="shared" si="25"/>
        <v>1</v>
      </c>
      <c r="F796" s="252"/>
      <c r="G796" s="248"/>
      <c r="H796" s="242" t="str">
        <f>IFERROR(VLOOKUP(WTG_BD[[#This Row],[Affected WTG]],'Basic Data'!$A$3:$E$56,2,0),"")</f>
        <v/>
      </c>
      <c r="I796" s="242" t="str">
        <f>IFERROR(VLOOKUP(WTG_BD[[#This Row],[Affected WTG]],'Basic Data'!$A$3:$E$56,3,0),"")</f>
        <v/>
      </c>
      <c r="J796" s="243" t="str">
        <f>IFERROR(VLOOKUP(WTG_BD[[#This Row],[Affected WTG]],'Basic Data'!$A$3:$E$56,5,0),"")</f>
        <v/>
      </c>
      <c r="K796" s="158"/>
      <c r="L796" s="247" t="e">
        <f>VLOOKUP(K796,'Basic Data'!T:U,2,0)</f>
        <v>#N/A</v>
      </c>
      <c r="M796" s="135"/>
      <c r="N796" s="256"/>
      <c r="O796" s="256"/>
      <c r="P796" s="256"/>
      <c r="Q796" s="253" t="str">
        <f>IF(WTG_BD[[#This Row],[Work Start TimeStamp]]="","",(WTG_BD[[#This Row],[Work Start TimeStamp]]-WTG_BD[[#This Row],[Fault Start TimeStamp]])*24)</f>
        <v/>
      </c>
      <c r="R796" s="253">
        <f>(WTG_BD[[#This Row],[Fault Clearance time]]-WTG_BD[[#This Row],[Work Start TimeStamp]])*24</f>
        <v>0</v>
      </c>
      <c r="S796" s="253">
        <f>(WTG_BD[[#This Row],[Fault Clearance time]]-WTG_BD[[#This Row],[Fault Start TimeStamp]])*24</f>
        <v>0</v>
      </c>
      <c r="T796" s="135"/>
      <c r="U796" s="244"/>
      <c r="V796" s="246">
        <f>WTG_BD[[#This Row],[Breakdown Time]]*(1/39)</f>
        <v>0</v>
      </c>
      <c r="W796" s="244"/>
      <c r="X796" s="250"/>
      <c r="Y796" s="135"/>
      <c r="Z796" s="135"/>
      <c r="AA796" s="135"/>
      <c r="AB796" s="249">
        <f>(WTG_BD[[#This Row],[Paired WTG Generation for loss calculation.]]/24)*WTG_BD[[#This Row],[Breakdown Time]]</f>
        <v>0</v>
      </c>
      <c r="AC796" s="135"/>
      <c r="AD796" s="245"/>
      <c r="AE796" s="3"/>
    </row>
    <row r="797" spans="1:31">
      <c r="A797" s="241">
        <f t="shared" si="26"/>
        <v>796</v>
      </c>
      <c r="B797" s="255"/>
      <c r="C797" s="252"/>
      <c r="D797" s="252"/>
      <c r="E797" s="251">
        <f t="shared" si="25"/>
        <v>1</v>
      </c>
      <c r="F797" s="252"/>
      <c r="G797" s="248"/>
      <c r="H797" s="242" t="str">
        <f>IFERROR(VLOOKUP(WTG_BD[[#This Row],[Affected WTG]],'Basic Data'!$A$3:$E$56,2,0),"")</f>
        <v/>
      </c>
      <c r="I797" s="242" t="str">
        <f>IFERROR(VLOOKUP(WTG_BD[[#This Row],[Affected WTG]],'Basic Data'!$A$3:$E$56,3,0),"")</f>
        <v/>
      </c>
      <c r="J797" s="243" t="str">
        <f>IFERROR(VLOOKUP(WTG_BD[[#This Row],[Affected WTG]],'Basic Data'!$A$3:$E$56,5,0),"")</f>
        <v/>
      </c>
      <c r="K797" s="158"/>
      <c r="L797" s="247" t="e">
        <f>VLOOKUP(K797,'Basic Data'!T:U,2,0)</f>
        <v>#N/A</v>
      </c>
      <c r="M797" s="135"/>
      <c r="N797" s="256"/>
      <c r="O797" s="256"/>
      <c r="P797" s="256"/>
      <c r="Q797" s="253" t="str">
        <f>IF(WTG_BD[[#This Row],[Work Start TimeStamp]]="","",(WTG_BD[[#This Row],[Work Start TimeStamp]]-WTG_BD[[#This Row],[Fault Start TimeStamp]])*24)</f>
        <v/>
      </c>
      <c r="R797" s="253">
        <f>(WTG_BD[[#This Row],[Fault Clearance time]]-WTG_BD[[#This Row],[Work Start TimeStamp]])*24</f>
        <v>0</v>
      </c>
      <c r="S797" s="253">
        <f>(WTG_BD[[#This Row],[Fault Clearance time]]-WTG_BD[[#This Row],[Fault Start TimeStamp]])*24</f>
        <v>0</v>
      </c>
      <c r="T797" s="135"/>
      <c r="U797" s="244"/>
      <c r="V797" s="246">
        <f>WTG_BD[[#This Row],[Breakdown Time]]*(1/39)</f>
        <v>0</v>
      </c>
      <c r="W797" s="244"/>
      <c r="X797" s="250"/>
      <c r="Y797" s="135"/>
      <c r="Z797" s="135"/>
      <c r="AA797" s="135"/>
      <c r="AB797" s="249">
        <f>(WTG_BD[[#This Row],[Paired WTG Generation for loss calculation.]]/24)*WTG_BD[[#This Row],[Breakdown Time]]</f>
        <v>0</v>
      </c>
      <c r="AC797" s="135"/>
      <c r="AD797" s="245"/>
      <c r="AE797" s="3"/>
    </row>
    <row r="798" spans="1:31">
      <c r="A798" s="241">
        <f t="shared" si="26"/>
        <v>797</v>
      </c>
      <c r="B798" s="255"/>
      <c r="C798" s="252"/>
      <c r="D798" s="252"/>
      <c r="E798" s="251">
        <f t="shared" si="25"/>
        <v>1</v>
      </c>
      <c r="F798" s="252"/>
      <c r="G798" s="248"/>
      <c r="H798" s="242" t="str">
        <f>IFERROR(VLOOKUP(WTG_BD[[#This Row],[Affected WTG]],'Basic Data'!$A$3:$E$56,2,0),"")</f>
        <v/>
      </c>
      <c r="I798" s="242" t="str">
        <f>IFERROR(VLOOKUP(WTG_BD[[#This Row],[Affected WTG]],'Basic Data'!$A$3:$E$56,3,0),"")</f>
        <v/>
      </c>
      <c r="J798" s="243" t="str">
        <f>IFERROR(VLOOKUP(WTG_BD[[#This Row],[Affected WTG]],'Basic Data'!$A$3:$E$56,5,0),"")</f>
        <v/>
      </c>
      <c r="K798" s="158"/>
      <c r="L798" s="247" t="e">
        <f>VLOOKUP(K798,'Basic Data'!T:U,2,0)</f>
        <v>#N/A</v>
      </c>
      <c r="M798" s="135"/>
      <c r="N798" s="256"/>
      <c r="O798" s="256"/>
      <c r="P798" s="256"/>
      <c r="Q798" s="253" t="str">
        <f>IF(WTG_BD[[#This Row],[Work Start TimeStamp]]="","",(WTG_BD[[#This Row],[Work Start TimeStamp]]-WTG_BD[[#This Row],[Fault Start TimeStamp]])*24)</f>
        <v/>
      </c>
      <c r="R798" s="253">
        <f>(WTG_BD[[#This Row],[Fault Clearance time]]-WTG_BD[[#This Row],[Work Start TimeStamp]])*24</f>
        <v>0</v>
      </c>
      <c r="S798" s="253">
        <f>(WTG_BD[[#This Row],[Fault Clearance time]]-WTG_BD[[#This Row],[Fault Start TimeStamp]])*24</f>
        <v>0</v>
      </c>
      <c r="T798" s="135"/>
      <c r="U798" s="244"/>
      <c r="V798" s="246">
        <f>WTG_BD[[#This Row],[Breakdown Time]]*(1/39)</f>
        <v>0</v>
      </c>
      <c r="W798" s="244"/>
      <c r="X798" s="250"/>
      <c r="Y798" s="135"/>
      <c r="Z798" s="135"/>
      <c r="AA798" s="135"/>
      <c r="AB798" s="249">
        <f>(WTG_BD[[#This Row],[Paired WTG Generation for loss calculation.]]/24)*WTG_BD[[#This Row],[Breakdown Time]]</f>
        <v>0</v>
      </c>
      <c r="AC798" s="135"/>
      <c r="AD798" s="245"/>
      <c r="AE798" s="3"/>
    </row>
    <row r="799" spans="1:31">
      <c r="A799" s="241">
        <f t="shared" si="26"/>
        <v>798</v>
      </c>
      <c r="B799" s="255"/>
      <c r="C799" s="252"/>
      <c r="D799" s="252"/>
      <c r="E799" s="251">
        <f t="shared" si="25"/>
        <v>1</v>
      </c>
      <c r="F799" s="252"/>
      <c r="G799" s="248"/>
      <c r="H799" s="242" t="str">
        <f>IFERROR(VLOOKUP(WTG_BD[[#This Row],[Affected WTG]],'Basic Data'!$A$3:$E$56,2,0),"")</f>
        <v/>
      </c>
      <c r="I799" s="242" t="str">
        <f>IFERROR(VLOOKUP(WTG_BD[[#This Row],[Affected WTG]],'Basic Data'!$A$3:$E$56,3,0),"")</f>
        <v/>
      </c>
      <c r="J799" s="243" t="str">
        <f>IFERROR(VLOOKUP(WTG_BD[[#This Row],[Affected WTG]],'Basic Data'!$A$3:$E$56,5,0),"")</f>
        <v/>
      </c>
      <c r="K799" s="158"/>
      <c r="L799" s="247" t="e">
        <f>VLOOKUP(K799,'Basic Data'!T:U,2,0)</f>
        <v>#N/A</v>
      </c>
      <c r="M799" s="135"/>
      <c r="N799" s="256"/>
      <c r="O799" s="256"/>
      <c r="P799" s="256"/>
      <c r="Q799" s="253" t="str">
        <f>IF(WTG_BD[[#This Row],[Work Start TimeStamp]]="","",(WTG_BD[[#This Row],[Work Start TimeStamp]]-WTG_BD[[#This Row],[Fault Start TimeStamp]])*24)</f>
        <v/>
      </c>
      <c r="R799" s="253">
        <f>(WTG_BD[[#This Row],[Fault Clearance time]]-WTG_BD[[#This Row],[Work Start TimeStamp]])*24</f>
        <v>0</v>
      </c>
      <c r="S799" s="253">
        <f>(WTG_BD[[#This Row],[Fault Clearance time]]-WTG_BD[[#This Row],[Fault Start TimeStamp]])*24</f>
        <v>0</v>
      </c>
      <c r="T799" s="135"/>
      <c r="U799" s="244"/>
      <c r="V799" s="246">
        <f>WTG_BD[[#This Row],[Breakdown Time]]*(1/39)</f>
        <v>0</v>
      </c>
      <c r="W799" s="244"/>
      <c r="X799" s="250"/>
      <c r="Y799" s="135"/>
      <c r="Z799" s="135"/>
      <c r="AA799" s="135"/>
      <c r="AB799" s="249">
        <f>(WTG_BD[[#This Row],[Paired WTG Generation for loss calculation.]]/24)*WTG_BD[[#This Row],[Breakdown Time]]</f>
        <v>0</v>
      </c>
      <c r="AC799" s="135"/>
      <c r="AD799" s="245"/>
      <c r="AE799" s="3"/>
    </row>
    <row r="800" spans="1:31">
      <c r="A800" s="241">
        <f t="shared" si="26"/>
        <v>799</v>
      </c>
      <c r="B800" s="255"/>
      <c r="C800" s="252"/>
      <c r="D800" s="252"/>
      <c r="E800" s="251">
        <f t="shared" si="25"/>
        <v>1</v>
      </c>
      <c r="F800" s="252"/>
      <c r="G800" s="248"/>
      <c r="H800" s="242" t="str">
        <f>IFERROR(VLOOKUP(WTG_BD[[#This Row],[Affected WTG]],'Basic Data'!$A$3:$E$56,2,0),"")</f>
        <v/>
      </c>
      <c r="I800" s="242" t="str">
        <f>IFERROR(VLOOKUP(WTG_BD[[#This Row],[Affected WTG]],'Basic Data'!$A$3:$E$56,3,0),"")</f>
        <v/>
      </c>
      <c r="J800" s="243" t="str">
        <f>IFERROR(VLOOKUP(WTG_BD[[#This Row],[Affected WTG]],'Basic Data'!$A$3:$E$56,5,0),"")</f>
        <v/>
      </c>
      <c r="K800" s="158"/>
      <c r="L800" s="247" t="e">
        <f>VLOOKUP(K800,'Basic Data'!T:U,2,0)</f>
        <v>#N/A</v>
      </c>
      <c r="M800" s="135"/>
      <c r="N800" s="256"/>
      <c r="O800" s="256"/>
      <c r="P800" s="256"/>
      <c r="Q800" s="253" t="str">
        <f>IF(WTG_BD[[#This Row],[Work Start TimeStamp]]="","",(WTG_BD[[#This Row],[Work Start TimeStamp]]-WTG_BD[[#This Row],[Fault Start TimeStamp]])*24)</f>
        <v/>
      </c>
      <c r="R800" s="253">
        <f>(WTG_BD[[#This Row],[Fault Clearance time]]-WTG_BD[[#This Row],[Work Start TimeStamp]])*24</f>
        <v>0</v>
      </c>
      <c r="S800" s="253">
        <f>(WTG_BD[[#This Row],[Fault Clearance time]]-WTG_BD[[#This Row],[Fault Start TimeStamp]])*24</f>
        <v>0</v>
      </c>
      <c r="T800" s="135"/>
      <c r="U800" s="244"/>
      <c r="V800" s="246">
        <f>WTG_BD[[#This Row],[Breakdown Time]]*(1/39)</f>
        <v>0</v>
      </c>
      <c r="W800" s="244"/>
      <c r="X800" s="250"/>
      <c r="Y800" s="135"/>
      <c r="Z800" s="135"/>
      <c r="AA800" s="135"/>
      <c r="AB800" s="249">
        <f>(WTG_BD[[#This Row],[Paired WTG Generation for loss calculation.]]/24)*WTG_BD[[#This Row],[Breakdown Time]]</f>
        <v>0</v>
      </c>
      <c r="AC800" s="135"/>
      <c r="AD800" s="245"/>
      <c r="AE800" s="3"/>
    </row>
    <row r="801" spans="1:31">
      <c r="A801" s="241">
        <f t="shared" si="26"/>
        <v>800</v>
      </c>
      <c r="B801" s="255"/>
      <c r="C801" s="252"/>
      <c r="D801" s="252"/>
      <c r="E801" s="251">
        <f t="shared" si="25"/>
        <v>1</v>
      </c>
      <c r="F801" s="252"/>
      <c r="G801" s="248"/>
      <c r="H801" s="242" t="str">
        <f>IFERROR(VLOOKUP(WTG_BD[[#This Row],[Affected WTG]],'Basic Data'!$A$3:$E$56,2,0),"")</f>
        <v/>
      </c>
      <c r="I801" s="242" t="str">
        <f>IFERROR(VLOOKUP(WTG_BD[[#This Row],[Affected WTG]],'Basic Data'!$A$3:$E$56,3,0),"")</f>
        <v/>
      </c>
      <c r="J801" s="243" t="str">
        <f>IFERROR(VLOOKUP(WTG_BD[[#This Row],[Affected WTG]],'Basic Data'!$A$3:$E$56,5,0),"")</f>
        <v/>
      </c>
      <c r="K801" s="158"/>
      <c r="L801" s="247" t="e">
        <f>VLOOKUP(K801,'Basic Data'!T:U,2,0)</f>
        <v>#N/A</v>
      </c>
      <c r="M801" s="135"/>
      <c r="N801" s="256"/>
      <c r="O801" s="256"/>
      <c r="P801" s="256"/>
      <c r="Q801" s="253" t="str">
        <f>IF(WTG_BD[[#This Row],[Work Start TimeStamp]]="","",(WTG_BD[[#This Row],[Work Start TimeStamp]]-WTG_BD[[#This Row],[Fault Start TimeStamp]])*24)</f>
        <v/>
      </c>
      <c r="R801" s="253">
        <f>(WTG_BD[[#This Row],[Fault Clearance time]]-WTG_BD[[#This Row],[Work Start TimeStamp]])*24</f>
        <v>0</v>
      </c>
      <c r="S801" s="253">
        <f>(WTG_BD[[#This Row],[Fault Clearance time]]-WTG_BD[[#This Row],[Fault Start TimeStamp]])*24</f>
        <v>0</v>
      </c>
      <c r="T801" s="135"/>
      <c r="U801" s="244"/>
      <c r="V801" s="246">
        <f>WTG_BD[[#This Row],[Breakdown Time]]*(1/39)</f>
        <v>0</v>
      </c>
      <c r="W801" s="244"/>
      <c r="X801" s="250"/>
      <c r="Y801" s="135"/>
      <c r="Z801" s="135"/>
      <c r="AA801" s="135"/>
      <c r="AB801" s="249">
        <f>(WTG_BD[[#This Row],[Paired WTG Generation for loss calculation.]]/24)*WTG_BD[[#This Row],[Breakdown Time]]</f>
        <v>0</v>
      </c>
      <c r="AC801" s="135"/>
      <c r="AD801" s="245"/>
      <c r="AE801" s="3"/>
    </row>
    <row r="802" spans="1:31">
      <c r="A802" s="241">
        <f t="shared" si="26"/>
        <v>801</v>
      </c>
      <c r="B802" s="255"/>
      <c r="C802" s="252"/>
      <c r="D802" s="252"/>
      <c r="E802" s="251">
        <f t="shared" si="25"/>
        <v>1</v>
      </c>
      <c r="F802" s="252"/>
      <c r="G802" s="248"/>
      <c r="H802" s="242" t="str">
        <f>IFERROR(VLOOKUP(WTG_BD[[#This Row],[Affected WTG]],'Basic Data'!$A$3:$E$56,2,0),"")</f>
        <v/>
      </c>
      <c r="I802" s="242" t="str">
        <f>IFERROR(VLOOKUP(WTG_BD[[#This Row],[Affected WTG]],'Basic Data'!$A$3:$E$56,3,0),"")</f>
        <v/>
      </c>
      <c r="J802" s="243" t="str">
        <f>IFERROR(VLOOKUP(WTG_BD[[#This Row],[Affected WTG]],'Basic Data'!$A$3:$E$56,5,0),"")</f>
        <v/>
      </c>
      <c r="K802" s="158"/>
      <c r="L802" s="247" t="e">
        <f>VLOOKUP(K802,'Basic Data'!T:U,2,0)</f>
        <v>#N/A</v>
      </c>
      <c r="M802" s="135"/>
      <c r="N802" s="256"/>
      <c r="O802" s="256"/>
      <c r="P802" s="256"/>
      <c r="Q802" s="253" t="str">
        <f>IF(WTG_BD[[#This Row],[Work Start TimeStamp]]="","",(WTG_BD[[#This Row],[Work Start TimeStamp]]-WTG_BD[[#This Row],[Fault Start TimeStamp]])*24)</f>
        <v/>
      </c>
      <c r="R802" s="253">
        <f>(WTG_BD[[#This Row],[Fault Clearance time]]-WTG_BD[[#This Row],[Work Start TimeStamp]])*24</f>
        <v>0</v>
      </c>
      <c r="S802" s="253">
        <f>(WTG_BD[[#This Row],[Fault Clearance time]]-WTG_BD[[#This Row],[Fault Start TimeStamp]])*24</f>
        <v>0</v>
      </c>
      <c r="T802" s="135"/>
      <c r="U802" s="244"/>
      <c r="V802" s="246">
        <f>WTG_BD[[#This Row],[Breakdown Time]]*(1/39)</f>
        <v>0</v>
      </c>
      <c r="W802" s="244"/>
      <c r="X802" s="250"/>
      <c r="Y802" s="135"/>
      <c r="Z802" s="135"/>
      <c r="AA802" s="135"/>
      <c r="AB802" s="249">
        <f>(WTG_BD[[#This Row],[Paired WTG Generation for loss calculation.]]/24)*WTG_BD[[#This Row],[Breakdown Time]]</f>
        <v>0</v>
      </c>
      <c r="AC802" s="135"/>
      <c r="AD802" s="245"/>
      <c r="AE802" s="3"/>
    </row>
    <row r="803" spans="1:31">
      <c r="A803" s="241">
        <f t="shared" si="26"/>
        <v>802</v>
      </c>
      <c r="B803" s="255"/>
      <c r="C803" s="252"/>
      <c r="D803" s="252"/>
      <c r="E803" s="251">
        <f t="shared" si="25"/>
        <v>1</v>
      </c>
      <c r="F803" s="252"/>
      <c r="G803" s="248"/>
      <c r="H803" s="242" t="str">
        <f>IFERROR(VLOOKUP(WTG_BD[[#This Row],[Affected WTG]],'Basic Data'!$A$3:$E$56,2,0),"")</f>
        <v/>
      </c>
      <c r="I803" s="242" t="str">
        <f>IFERROR(VLOOKUP(WTG_BD[[#This Row],[Affected WTG]],'Basic Data'!$A$3:$E$56,3,0),"")</f>
        <v/>
      </c>
      <c r="J803" s="243" t="str">
        <f>IFERROR(VLOOKUP(WTG_BD[[#This Row],[Affected WTG]],'Basic Data'!$A$3:$E$56,5,0),"")</f>
        <v/>
      </c>
      <c r="K803" s="158"/>
      <c r="L803" s="247" t="e">
        <f>VLOOKUP(K803,'Basic Data'!T:U,2,0)</f>
        <v>#N/A</v>
      </c>
      <c r="M803" s="135"/>
      <c r="N803" s="256"/>
      <c r="O803" s="256"/>
      <c r="P803" s="256"/>
      <c r="Q803" s="253" t="str">
        <f>IF(WTG_BD[[#This Row],[Work Start TimeStamp]]="","",(WTG_BD[[#This Row],[Work Start TimeStamp]]-WTG_BD[[#This Row],[Fault Start TimeStamp]])*24)</f>
        <v/>
      </c>
      <c r="R803" s="253">
        <f>(WTG_BD[[#This Row],[Fault Clearance time]]-WTG_BD[[#This Row],[Work Start TimeStamp]])*24</f>
        <v>0</v>
      </c>
      <c r="S803" s="253">
        <f>(WTG_BD[[#This Row],[Fault Clearance time]]-WTG_BD[[#This Row],[Fault Start TimeStamp]])*24</f>
        <v>0</v>
      </c>
      <c r="T803" s="135"/>
      <c r="U803" s="244"/>
      <c r="V803" s="246">
        <f>WTG_BD[[#This Row],[Breakdown Time]]*(1/39)</f>
        <v>0</v>
      </c>
      <c r="W803" s="244"/>
      <c r="X803" s="250"/>
      <c r="Y803" s="135"/>
      <c r="Z803" s="135"/>
      <c r="AA803" s="135"/>
      <c r="AB803" s="249">
        <f>(WTG_BD[[#This Row],[Paired WTG Generation for loss calculation.]]/24)*WTG_BD[[#This Row],[Breakdown Time]]</f>
        <v>0</v>
      </c>
      <c r="AC803" s="135"/>
      <c r="AD803" s="245"/>
      <c r="AE803" s="3"/>
    </row>
    <row r="804" spans="1:31">
      <c r="A804" s="241">
        <f t="shared" si="26"/>
        <v>803</v>
      </c>
      <c r="B804" s="255"/>
      <c r="C804" s="252"/>
      <c r="D804" s="252"/>
      <c r="E804" s="251">
        <f t="shared" si="25"/>
        <v>1</v>
      </c>
      <c r="F804" s="252"/>
      <c r="G804" s="248"/>
      <c r="H804" s="242" t="str">
        <f>IFERROR(VLOOKUP(WTG_BD[[#This Row],[Affected WTG]],'Basic Data'!$A$3:$E$56,2,0),"")</f>
        <v/>
      </c>
      <c r="I804" s="242" t="str">
        <f>IFERROR(VLOOKUP(WTG_BD[[#This Row],[Affected WTG]],'Basic Data'!$A$3:$E$56,3,0),"")</f>
        <v/>
      </c>
      <c r="J804" s="243" t="str">
        <f>IFERROR(VLOOKUP(WTG_BD[[#This Row],[Affected WTG]],'Basic Data'!$A$3:$E$56,5,0),"")</f>
        <v/>
      </c>
      <c r="K804" s="158"/>
      <c r="L804" s="247" t="e">
        <f>VLOOKUP(K804,'Basic Data'!T:U,2,0)</f>
        <v>#N/A</v>
      </c>
      <c r="M804" s="135"/>
      <c r="N804" s="256"/>
      <c r="O804" s="256"/>
      <c r="P804" s="256"/>
      <c r="Q804" s="253" t="str">
        <f>IF(WTG_BD[[#This Row],[Work Start TimeStamp]]="","",(WTG_BD[[#This Row],[Work Start TimeStamp]]-WTG_BD[[#This Row],[Fault Start TimeStamp]])*24)</f>
        <v/>
      </c>
      <c r="R804" s="253">
        <f>(WTG_BD[[#This Row],[Fault Clearance time]]-WTG_BD[[#This Row],[Work Start TimeStamp]])*24</f>
        <v>0</v>
      </c>
      <c r="S804" s="253">
        <f>(WTG_BD[[#This Row],[Fault Clearance time]]-WTG_BD[[#This Row],[Fault Start TimeStamp]])*24</f>
        <v>0</v>
      </c>
      <c r="T804" s="135"/>
      <c r="U804" s="244"/>
      <c r="V804" s="246">
        <f>WTG_BD[[#This Row],[Breakdown Time]]*(1/39)</f>
        <v>0</v>
      </c>
      <c r="W804" s="244"/>
      <c r="X804" s="250"/>
      <c r="Y804" s="135"/>
      <c r="Z804" s="135"/>
      <c r="AA804" s="135"/>
      <c r="AB804" s="249">
        <f>(WTG_BD[[#This Row],[Paired WTG Generation for loss calculation.]]/24)*WTG_BD[[#This Row],[Breakdown Time]]</f>
        <v>0</v>
      </c>
      <c r="AC804" s="135"/>
      <c r="AD804" s="245"/>
      <c r="AE804" s="3"/>
    </row>
    <row r="805" spans="1:31">
      <c r="A805" s="241">
        <f t="shared" si="26"/>
        <v>804</v>
      </c>
      <c r="B805" s="255"/>
      <c r="C805" s="252"/>
      <c r="D805" s="252"/>
      <c r="E805" s="251">
        <f t="shared" si="25"/>
        <v>1</v>
      </c>
      <c r="F805" s="252"/>
      <c r="G805" s="248"/>
      <c r="H805" s="242" t="str">
        <f>IFERROR(VLOOKUP(WTG_BD[[#This Row],[Affected WTG]],'Basic Data'!$A$3:$E$56,2,0),"")</f>
        <v/>
      </c>
      <c r="I805" s="242" t="str">
        <f>IFERROR(VLOOKUP(WTG_BD[[#This Row],[Affected WTG]],'Basic Data'!$A$3:$E$56,3,0),"")</f>
        <v/>
      </c>
      <c r="J805" s="243" t="str">
        <f>IFERROR(VLOOKUP(WTG_BD[[#This Row],[Affected WTG]],'Basic Data'!$A$3:$E$56,5,0),"")</f>
        <v/>
      </c>
      <c r="K805" s="158"/>
      <c r="L805" s="247" t="e">
        <f>VLOOKUP(K805,'Basic Data'!T:U,2,0)</f>
        <v>#N/A</v>
      </c>
      <c r="M805" s="135"/>
      <c r="N805" s="256"/>
      <c r="O805" s="256"/>
      <c r="P805" s="256"/>
      <c r="Q805" s="253" t="str">
        <f>IF(WTG_BD[[#This Row],[Work Start TimeStamp]]="","",(WTG_BD[[#This Row],[Work Start TimeStamp]]-WTG_BD[[#This Row],[Fault Start TimeStamp]])*24)</f>
        <v/>
      </c>
      <c r="R805" s="253">
        <f>(WTG_BD[[#This Row],[Fault Clearance time]]-WTG_BD[[#This Row],[Work Start TimeStamp]])*24</f>
        <v>0</v>
      </c>
      <c r="S805" s="253">
        <f>(WTG_BD[[#This Row],[Fault Clearance time]]-WTG_BD[[#This Row],[Fault Start TimeStamp]])*24</f>
        <v>0</v>
      </c>
      <c r="T805" s="135"/>
      <c r="U805" s="244"/>
      <c r="V805" s="246">
        <f>WTG_BD[[#This Row],[Breakdown Time]]*(1/39)</f>
        <v>0</v>
      </c>
      <c r="W805" s="244"/>
      <c r="X805" s="250"/>
      <c r="Y805" s="135"/>
      <c r="Z805" s="135"/>
      <c r="AA805" s="135"/>
      <c r="AB805" s="249">
        <f>(WTG_BD[[#This Row],[Paired WTG Generation for loss calculation.]]/24)*WTG_BD[[#This Row],[Breakdown Time]]</f>
        <v>0</v>
      </c>
      <c r="AC805" s="135"/>
      <c r="AD805" s="245"/>
      <c r="AE805" s="3"/>
    </row>
    <row r="806" spans="1:31">
      <c r="A806" s="241">
        <f t="shared" si="26"/>
        <v>805</v>
      </c>
      <c r="B806" s="255"/>
      <c r="C806" s="252"/>
      <c r="D806" s="252"/>
      <c r="E806" s="251">
        <f t="shared" si="25"/>
        <v>1</v>
      </c>
      <c r="F806" s="252"/>
      <c r="G806" s="248"/>
      <c r="H806" s="242" t="str">
        <f>IFERROR(VLOOKUP(WTG_BD[[#This Row],[Affected WTG]],'Basic Data'!$A$3:$E$56,2,0),"")</f>
        <v/>
      </c>
      <c r="I806" s="242" t="str">
        <f>IFERROR(VLOOKUP(WTG_BD[[#This Row],[Affected WTG]],'Basic Data'!$A$3:$E$56,3,0),"")</f>
        <v/>
      </c>
      <c r="J806" s="243" t="str">
        <f>IFERROR(VLOOKUP(WTG_BD[[#This Row],[Affected WTG]],'Basic Data'!$A$3:$E$56,5,0),"")</f>
        <v/>
      </c>
      <c r="K806" s="158"/>
      <c r="L806" s="247" t="e">
        <f>VLOOKUP(K806,'Basic Data'!T:U,2,0)</f>
        <v>#N/A</v>
      </c>
      <c r="M806" s="135"/>
      <c r="N806" s="256"/>
      <c r="O806" s="256"/>
      <c r="P806" s="256"/>
      <c r="Q806" s="253" t="str">
        <f>IF(WTG_BD[[#This Row],[Work Start TimeStamp]]="","",(WTG_BD[[#This Row],[Work Start TimeStamp]]-WTG_BD[[#This Row],[Fault Start TimeStamp]])*24)</f>
        <v/>
      </c>
      <c r="R806" s="253">
        <f>(WTG_BD[[#This Row],[Fault Clearance time]]-WTG_BD[[#This Row],[Work Start TimeStamp]])*24</f>
        <v>0</v>
      </c>
      <c r="S806" s="253">
        <f>(WTG_BD[[#This Row],[Fault Clearance time]]-WTG_BD[[#This Row],[Fault Start TimeStamp]])*24</f>
        <v>0</v>
      </c>
      <c r="T806" s="135"/>
      <c r="U806" s="244"/>
      <c r="V806" s="246">
        <f>WTG_BD[[#This Row],[Breakdown Time]]*(1/39)</f>
        <v>0</v>
      </c>
      <c r="W806" s="244"/>
      <c r="X806" s="250"/>
      <c r="Y806" s="135"/>
      <c r="Z806" s="135"/>
      <c r="AA806" s="135"/>
      <c r="AB806" s="249">
        <f>(WTG_BD[[#This Row],[Paired WTG Generation for loss calculation.]]/24)*WTG_BD[[#This Row],[Breakdown Time]]</f>
        <v>0</v>
      </c>
      <c r="AC806" s="135"/>
      <c r="AD806" s="245"/>
      <c r="AE806" s="3"/>
    </row>
    <row r="807" spans="1:31">
      <c r="A807" s="241">
        <f t="shared" si="26"/>
        <v>806</v>
      </c>
      <c r="B807" s="255"/>
      <c r="C807" s="252"/>
      <c r="D807" s="252"/>
      <c r="E807" s="251">
        <f t="shared" si="25"/>
        <v>1</v>
      </c>
      <c r="F807" s="252"/>
      <c r="G807" s="248"/>
      <c r="H807" s="242" t="str">
        <f>IFERROR(VLOOKUP(WTG_BD[[#This Row],[Affected WTG]],'Basic Data'!$A$3:$E$56,2,0),"")</f>
        <v/>
      </c>
      <c r="I807" s="242" t="str">
        <f>IFERROR(VLOOKUP(WTG_BD[[#This Row],[Affected WTG]],'Basic Data'!$A$3:$E$56,3,0),"")</f>
        <v/>
      </c>
      <c r="J807" s="243" t="str">
        <f>IFERROR(VLOOKUP(WTG_BD[[#This Row],[Affected WTG]],'Basic Data'!$A$3:$E$56,5,0),"")</f>
        <v/>
      </c>
      <c r="K807" s="158"/>
      <c r="L807" s="247" t="e">
        <f>VLOOKUP(K807,'Basic Data'!T:U,2,0)</f>
        <v>#N/A</v>
      </c>
      <c r="M807" s="135"/>
      <c r="N807" s="256"/>
      <c r="O807" s="256"/>
      <c r="P807" s="256"/>
      <c r="Q807" s="253" t="str">
        <f>IF(WTG_BD[[#This Row],[Work Start TimeStamp]]="","",(WTG_BD[[#This Row],[Work Start TimeStamp]]-WTG_BD[[#This Row],[Fault Start TimeStamp]])*24)</f>
        <v/>
      </c>
      <c r="R807" s="253">
        <f>(WTG_BD[[#This Row],[Fault Clearance time]]-WTG_BD[[#This Row],[Work Start TimeStamp]])*24</f>
        <v>0</v>
      </c>
      <c r="S807" s="253">
        <f>(WTG_BD[[#This Row],[Fault Clearance time]]-WTG_BD[[#This Row],[Fault Start TimeStamp]])*24</f>
        <v>0</v>
      </c>
      <c r="T807" s="135"/>
      <c r="U807" s="244"/>
      <c r="V807" s="246">
        <f>WTG_BD[[#This Row],[Breakdown Time]]*(1/39)</f>
        <v>0</v>
      </c>
      <c r="W807" s="244"/>
      <c r="X807" s="250"/>
      <c r="Y807" s="135"/>
      <c r="Z807" s="135"/>
      <c r="AA807" s="135"/>
      <c r="AB807" s="249">
        <f>(WTG_BD[[#This Row],[Paired WTG Generation for loss calculation.]]/24)*WTG_BD[[#This Row],[Breakdown Time]]</f>
        <v>0</v>
      </c>
      <c r="AC807" s="135"/>
      <c r="AD807" s="245"/>
      <c r="AE807" s="3"/>
    </row>
    <row r="808" spans="1:31">
      <c r="A808" s="241">
        <f t="shared" si="26"/>
        <v>807</v>
      </c>
      <c r="B808" s="255"/>
      <c r="C808" s="252"/>
      <c r="D808" s="252"/>
      <c r="E808" s="251">
        <f t="shared" si="25"/>
        <v>1</v>
      </c>
      <c r="F808" s="252"/>
      <c r="G808" s="248"/>
      <c r="H808" s="242" t="str">
        <f>IFERROR(VLOOKUP(WTG_BD[[#This Row],[Affected WTG]],'Basic Data'!$A$3:$E$56,2,0),"")</f>
        <v/>
      </c>
      <c r="I808" s="242" t="str">
        <f>IFERROR(VLOOKUP(WTG_BD[[#This Row],[Affected WTG]],'Basic Data'!$A$3:$E$56,3,0),"")</f>
        <v/>
      </c>
      <c r="J808" s="243" t="str">
        <f>IFERROR(VLOOKUP(WTG_BD[[#This Row],[Affected WTG]],'Basic Data'!$A$3:$E$56,5,0),"")</f>
        <v/>
      </c>
      <c r="K808" s="158"/>
      <c r="L808" s="247" t="e">
        <f>VLOOKUP(K808,'Basic Data'!T:U,2,0)</f>
        <v>#N/A</v>
      </c>
      <c r="M808" s="135"/>
      <c r="N808" s="256"/>
      <c r="O808" s="256"/>
      <c r="P808" s="256"/>
      <c r="Q808" s="253" t="str">
        <f>IF(WTG_BD[[#This Row],[Work Start TimeStamp]]="","",(WTG_BD[[#This Row],[Work Start TimeStamp]]-WTG_BD[[#This Row],[Fault Start TimeStamp]])*24)</f>
        <v/>
      </c>
      <c r="R808" s="253">
        <f>(WTG_BD[[#This Row],[Fault Clearance time]]-WTG_BD[[#This Row],[Work Start TimeStamp]])*24</f>
        <v>0</v>
      </c>
      <c r="S808" s="253">
        <f>(WTG_BD[[#This Row],[Fault Clearance time]]-WTG_BD[[#This Row],[Fault Start TimeStamp]])*24</f>
        <v>0</v>
      </c>
      <c r="T808" s="135"/>
      <c r="U808" s="244"/>
      <c r="V808" s="246">
        <f>WTG_BD[[#This Row],[Breakdown Time]]*(1/39)</f>
        <v>0</v>
      </c>
      <c r="W808" s="244"/>
      <c r="X808" s="250"/>
      <c r="Y808" s="135"/>
      <c r="Z808" s="135"/>
      <c r="AA808" s="135"/>
      <c r="AB808" s="249">
        <f>(WTG_BD[[#This Row],[Paired WTG Generation for loss calculation.]]/24)*WTG_BD[[#This Row],[Breakdown Time]]</f>
        <v>0</v>
      </c>
      <c r="AC808" s="135"/>
      <c r="AD808" s="245"/>
      <c r="AE808" s="3"/>
    </row>
    <row r="809" spans="1:31">
      <c r="A809" s="241">
        <f t="shared" si="26"/>
        <v>808</v>
      </c>
      <c r="B809" s="255"/>
      <c r="C809" s="252"/>
      <c r="D809" s="252"/>
      <c r="E809" s="251">
        <f t="shared" si="25"/>
        <v>1</v>
      </c>
      <c r="F809" s="252"/>
      <c r="G809" s="248"/>
      <c r="H809" s="242" t="str">
        <f>IFERROR(VLOOKUP(WTG_BD[[#This Row],[Affected WTG]],'Basic Data'!$A$3:$E$56,2,0),"")</f>
        <v/>
      </c>
      <c r="I809" s="242" t="str">
        <f>IFERROR(VLOOKUP(WTG_BD[[#This Row],[Affected WTG]],'Basic Data'!$A$3:$E$56,3,0),"")</f>
        <v/>
      </c>
      <c r="J809" s="243" t="str">
        <f>IFERROR(VLOOKUP(WTG_BD[[#This Row],[Affected WTG]],'Basic Data'!$A$3:$E$56,5,0),"")</f>
        <v/>
      </c>
      <c r="K809" s="158"/>
      <c r="L809" s="247" t="e">
        <f>VLOOKUP(K809,'Basic Data'!T:U,2,0)</f>
        <v>#N/A</v>
      </c>
      <c r="M809" s="135"/>
      <c r="N809" s="256"/>
      <c r="O809" s="256"/>
      <c r="P809" s="256"/>
      <c r="Q809" s="253" t="str">
        <f>IF(WTG_BD[[#This Row],[Work Start TimeStamp]]="","",(WTG_BD[[#This Row],[Work Start TimeStamp]]-WTG_BD[[#This Row],[Fault Start TimeStamp]])*24)</f>
        <v/>
      </c>
      <c r="R809" s="253">
        <f>(WTG_BD[[#This Row],[Fault Clearance time]]-WTG_BD[[#This Row],[Work Start TimeStamp]])*24</f>
        <v>0</v>
      </c>
      <c r="S809" s="253">
        <f>(WTG_BD[[#This Row],[Fault Clearance time]]-WTG_BD[[#This Row],[Fault Start TimeStamp]])*24</f>
        <v>0</v>
      </c>
      <c r="T809" s="135"/>
      <c r="U809" s="244"/>
      <c r="V809" s="246">
        <f>WTG_BD[[#This Row],[Breakdown Time]]*(1/39)</f>
        <v>0</v>
      </c>
      <c r="W809" s="244"/>
      <c r="X809" s="250"/>
      <c r="Y809" s="135"/>
      <c r="Z809" s="135"/>
      <c r="AA809" s="135"/>
      <c r="AB809" s="249">
        <f>(WTG_BD[[#This Row],[Paired WTG Generation for loss calculation.]]/24)*WTG_BD[[#This Row],[Breakdown Time]]</f>
        <v>0</v>
      </c>
      <c r="AC809" s="135"/>
      <c r="AD809" s="245"/>
      <c r="AE809" s="3"/>
    </row>
    <row r="810" spans="1:31">
      <c r="A810" s="241">
        <f t="shared" si="26"/>
        <v>809</v>
      </c>
      <c r="B810" s="255"/>
      <c r="C810" s="252"/>
      <c r="D810" s="252"/>
      <c r="E810" s="251">
        <f t="shared" si="25"/>
        <v>1</v>
      </c>
      <c r="F810" s="252"/>
      <c r="G810" s="248"/>
      <c r="H810" s="242" t="str">
        <f>IFERROR(VLOOKUP(WTG_BD[[#This Row],[Affected WTG]],'Basic Data'!$A$3:$E$56,2,0),"")</f>
        <v/>
      </c>
      <c r="I810" s="242" t="str">
        <f>IFERROR(VLOOKUP(WTG_BD[[#This Row],[Affected WTG]],'Basic Data'!$A$3:$E$56,3,0),"")</f>
        <v/>
      </c>
      <c r="J810" s="243" t="str">
        <f>IFERROR(VLOOKUP(WTG_BD[[#This Row],[Affected WTG]],'Basic Data'!$A$3:$E$56,5,0),"")</f>
        <v/>
      </c>
      <c r="K810" s="158"/>
      <c r="L810" s="247" t="e">
        <f>VLOOKUP(K810,'Basic Data'!T:U,2,0)</f>
        <v>#N/A</v>
      </c>
      <c r="M810" s="135"/>
      <c r="N810" s="256"/>
      <c r="O810" s="256"/>
      <c r="P810" s="256"/>
      <c r="Q810" s="253" t="str">
        <f>IF(WTG_BD[[#This Row],[Work Start TimeStamp]]="","",(WTG_BD[[#This Row],[Work Start TimeStamp]]-WTG_BD[[#This Row],[Fault Start TimeStamp]])*24)</f>
        <v/>
      </c>
      <c r="R810" s="253">
        <f>(WTG_BD[[#This Row],[Fault Clearance time]]-WTG_BD[[#This Row],[Work Start TimeStamp]])*24</f>
        <v>0</v>
      </c>
      <c r="S810" s="253">
        <f>(WTG_BD[[#This Row],[Fault Clearance time]]-WTG_BD[[#This Row],[Fault Start TimeStamp]])*24</f>
        <v>0</v>
      </c>
      <c r="T810" s="135"/>
      <c r="U810" s="244"/>
      <c r="V810" s="246">
        <f>WTG_BD[[#This Row],[Breakdown Time]]*(1/39)</f>
        <v>0</v>
      </c>
      <c r="W810" s="244"/>
      <c r="X810" s="250"/>
      <c r="Y810" s="135"/>
      <c r="Z810" s="135"/>
      <c r="AA810" s="135"/>
      <c r="AB810" s="249">
        <f>(WTG_BD[[#This Row],[Paired WTG Generation for loss calculation.]]/24)*WTG_BD[[#This Row],[Breakdown Time]]</f>
        <v>0</v>
      </c>
      <c r="AC810" s="135"/>
      <c r="AD810" s="245"/>
      <c r="AE810" s="3"/>
    </row>
    <row r="811" spans="1:31">
      <c r="A811" s="241">
        <f t="shared" si="26"/>
        <v>810</v>
      </c>
      <c r="B811" s="255"/>
      <c r="C811" s="252"/>
      <c r="D811" s="252"/>
      <c r="E811" s="251">
        <f t="shared" si="25"/>
        <v>1</v>
      </c>
      <c r="F811" s="252"/>
      <c r="G811" s="248"/>
      <c r="H811" s="242" t="str">
        <f>IFERROR(VLOOKUP(WTG_BD[[#This Row],[Affected WTG]],'Basic Data'!$A$3:$E$56,2,0),"")</f>
        <v/>
      </c>
      <c r="I811" s="242" t="str">
        <f>IFERROR(VLOOKUP(WTG_BD[[#This Row],[Affected WTG]],'Basic Data'!$A$3:$E$56,3,0),"")</f>
        <v/>
      </c>
      <c r="J811" s="243" t="str">
        <f>IFERROR(VLOOKUP(WTG_BD[[#This Row],[Affected WTG]],'Basic Data'!$A$3:$E$56,5,0),"")</f>
        <v/>
      </c>
      <c r="K811" s="158"/>
      <c r="L811" s="247" t="e">
        <f>VLOOKUP(K811,'Basic Data'!T:U,2,0)</f>
        <v>#N/A</v>
      </c>
      <c r="M811" s="135"/>
      <c r="N811" s="256"/>
      <c r="O811" s="256"/>
      <c r="P811" s="256"/>
      <c r="Q811" s="253" t="str">
        <f>IF(WTG_BD[[#This Row],[Work Start TimeStamp]]="","",(WTG_BD[[#This Row],[Work Start TimeStamp]]-WTG_BD[[#This Row],[Fault Start TimeStamp]])*24)</f>
        <v/>
      </c>
      <c r="R811" s="253">
        <f>(WTG_BD[[#This Row],[Fault Clearance time]]-WTG_BD[[#This Row],[Work Start TimeStamp]])*24</f>
        <v>0</v>
      </c>
      <c r="S811" s="253">
        <f>(WTG_BD[[#This Row],[Fault Clearance time]]-WTG_BD[[#This Row],[Fault Start TimeStamp]])*24</f>
        <v>0</v>
      </c>
      <c r="T811" s="135"/>
      <c r="U811" s="244"/>
      <c r="V811" s="246">
        <f>WTG_BD[[#This Row],[Breakdown Time]]*(1/39)</f>
        <v>0</v>
      </c>
      <c r="W811" s="244"/>
      <c r="X811" s="250"/>
      <c r="Y811" s="135"/>
      <c r="Z811" s="135"/>
      <c r="AA811" s="135"/>
      <c r="AB811" s="249">
        <f>(WTG_BD[[#This Row],[Paired WTG Generation for loss calculation.]]/24)*WTG_BD[[#This Row],[Breakdown Time]]</f>
        <v>0</v>
      </c>
      <c r="AC811" s="135"/>
      <c r="AD811" s="245"/>
      <c r="AE811" s="3"/>
    </row>
    <row r="812" spans="1:31">
      <c r="A812" s="241">
        <f t="shared" si="26"/>
        <v>811</v>
      </c>
      <c r="B812" s="255"/>
      <c r="C812" s="252"/>
      <c r="D812" s="252"/>
      <c r="E812" s="251">
        <f t="shared" si="25"/>
        <v>1</v>
      </c>
      <c r="F812" s="252"/>
      <c r="G812" s="248"/>
      <c r="H812" s="242" t="str">
        <f>IFERROR(VLOOKUP(WTG_BD[[#This Row],[Affected WTG]],'Basic Data'!$A$3:$E$56,2,0),"")</f>
        <v/>
      </c>
      <c r="I812" s="242" t="str">
        <f>IFERROR(VLOOKUP(WTG_BD[[#This Row],[Affected WTG]],'Basic Data'!$A$3:$E$56,3,0),"")</f>
        <v/>
      </c>
      <c r="J812" s="243" t="str">
        <f>IFERROR(VLOOKUP(WTG_BD[[#This Row],[Affected WTG]],'Basic Data'!$A$3:$E$56,5,0),"")</f>
        <v/>
      </c>
      <c r="K812" s="158"/>
      <c r="L812" s="247" t="e">
        <f>VLOOKUP(K812,'Basic Data'!T:U,2,0)</f>
        <v>#N/A</v>
      </c>
      <c r="M812" s="135"/>
      <c r="N812" s="256"/>
      <c r="O812" s="256"/>
      <c r="P812" s="256"/>
      <c r="Q812" s="253" t="str">
        <f>IF(WTG_BD[[#This Row],[Work Start TimeStamp]]="","",(WTG_BD[[#This Row],[Work Start TimeStamp]]-WTG_BD[[#This Row],[Fault Start TimeStamp]])*24)</f>
        <v/>
      </c>
      <c r="R812" s="253">
        <f>(WTG_BD[[#This Row],[Fault Clearance time]]-WTG_BD[[#This Row],[Work Start TimeStamp]])*24</f>
        <v>0</v>
      </c>
      <c r="S812" s="253">
        <f>(WTG_BD[[#This Row],[Fault Clearance time]]-WTG_BD[[#This Row],[Fault Start TimeStamp]])*24</f>
        <v>0</v>
      </c>
      <c r="T812" s="135"/>
      <c r="U812" s="244"/>
      <c r="V812" s="246">
        <f>WTG_BD[[#This Row],[Breakdown Time]]*(1/39)</f>
        <v>0</v>
      </c>
      <c r="W812" s="244"/>
      <c r="X812" s="250"/>
      <c r="Y812" s="135"/>
      <c r="Z812" s="135"/>
      <c r="AA812" s="135"/>
      <c r="AB812" s="249">
        <f>(WTG_BD[[#This Row],[Paired WTG Generation for loss calculation.]]/24)*WTG_BD[[#This Row],[Breakdown Time]]</f>
        <v>0</v>
      </c>
      <c r="AC812" s="135"/>
      <c r="AD812" s="245"/>
      <c r="AE812" s="3"/>
    </row>
    <row r="813" spans="1:31">
      <c r="A813" s="241">
        <f t="shared" si="26"/>
        <v>812</v>
      </c>
      <c r="B813" s="255"/>
      <c r="C813" s="252"/>
      <c r="D813" s="252"/>
      <c r="E813" s="251">
        <f t="shared" si="25"/>
        <v>1</v>
      </c>
      <c r="F813" s="252"/>
      <c r="G813" s="248"/>
      <c r="H813" s="242" t="str">
        <f>IFERROR(VLOOKUP(WTG_BD[[#This Row],[Affected WTG]],'Basic Data'!$A$3:$E$56,2,0),"")</f>
        <v/>
      </c>
      <c r="I813" s="242" t="str">
        <f>IFERROR(VLOOKUP(WTG_BD[[#This Row],[Affected WTG]],'Basic Data'!$A$3:$E$56,3,0),"")</f>
        <v/>
      </c>
      <c r="J813" s="243" t="str">
        <f>IFERROR(VLOOKUP(WTG_BD[[#This Row],[Affected WTG]],'Basic Data'!$A$3:$E$56,5,0),"")</f>
        <v/>
      </c>
      <c r="K813" s="158"/>
      <c r="L813" s="247" t="e">
        <f>VLOOKUP(K813,'Basic Data'!T:U,2,0)</f>
        <v>#N/A</v>
      </c>
      <c r="M813" s="135"/>
      <c r="N813" s="256"/>
      <c r="O813" s="256"/>
      <c r="P813" s="256"/>
      <c r="Q813" s="253" t="str">
        <f>IF(WTG_BD[[#This Row],[Work Start TimeStamp]]="","",(WTG_BD[[#This Row],[Work Start TimeStamp]]-WTG_BD[[#This Row],[Fault Start TimeStamp]])*24)</f>
        <v/>
      </c>
      <c r="R813" s="253">
        <f>(WTG_BD[[#This Row],[Fault Clearance time]]-WTG_BD[[#This Row],[Work Start TimeStamp]])*24</f>
        <v>0</v>
      </c>
      <c r="S813" s="253">
        <f>(WTG_BD[[#This Row],[Fault Clearance time]]-WTG_BD[[#This Row],[Fault Start TimeStamp]])*24</f>
        <v>0</v>
      </c>
      <c r="T813" s="135"/>
      <c r="U813" s="244"/>
      <c r="V813" s="246">
        <f>WTG_BD[[#This Row],[Breakdown Time]]*(1/39)</f>
        <v>0</v>
      </c>
      <c r="W813" s="244"/>
      <c r="X813" s="250"/>
      <c r="Y813" s="135"/>
      <c r="Z813" s="135"/>
      <c r="AA813" s="135"/>
      <c r="AB813" s="249">
        <f>(WTG_BD[[#This Row],[Paired WTG Generation for loss calculation.]]/24)*WTG_BD[[#This Row],[Breakdown Time]]</f>
        <v>0</v>
      </c>
      <c r="AC813" s="135"/>
      <c r="AD813" s="245"/>
      <c r="AE813" s="3"/>
    </row>
    <row r="814" spans="1:31">
      <c r="A814" s="241">
        <f t="shared" si="26"/>
        <v>813</v>
      </c>
      <c r="B814" s="255"/>
      <c r="C814" s="252"/>
      <c r="D814" s="252"/>
      <c r="E814" s="251">
        <f t="shared" si="25"/>
        <v>1</v>
      </c>
      <c r="F814" s="252"/>
      <c r="G814" s="248"/>
      <c r="H814" s="242" t="str">
        <f>IFERROR(VLOOKUP(WTG_BD[[#This Row],[Affected WTG]],'Basic Data'!$A$3:$E$56,2,0),"")</f>
        <v/>
      </c>
      <c r="I814" s="242" t="str">
        <f>IFERROR(VLOOKUP(WTG_BD[[#This Row],[Affected WTG]],'Basic Data'!$A$3:$E$56,3,0),"")</f>
        <v/>
      </c>
      <c r="J814" s="243" t="str">
        <f>IFERROR(VLOOKUP(WTG_BD[[#This Row],[Affected WTG]],'Basic Data'!$A$3:$E$56,5,0),"")</f>
        <v/>
      </c>
      <c r="K814" s="158"/>
      <c r="L814" s="247" t="e">
        <f>VLOOKUP(K814,'Basic Data'!T:U,2,0)</f>
        <v>#N/A</v>
      </c>
      <c r="M814" s="135"/>
      <c r="N814" s="256"/>
      <c r="O814" s="256"/>
      <c r="P814" s="256"/>
      <c r="Q814" s="253" t="str">
        <f>IF(WTG_BD[[#This Row],[Work Start TimeStamp]]="","",(WTG_BD[[#This Row],[Work Start TimeStamp]]-WTG_BD[[#This Row],[Fault Start TimeStamp]])*24)</f>
        <v/>
      </c>
      <c r="R814" s="253">
        <f>(WTG_BD[[#This Row],[Fault Clearance time]]-WTG_BD[[#This Row],[Work Start TimeStamp]])*24</f>
        <v>0</v>
      </c>
      <c r="S814" s="253">
        <f>(WTG_BD[[#This Row],[Fault Clearance time]]-WTG_BD[[#This Row],[Fault Start TimeStamp]])*24</f>
        <v>0</v>
      </c>
      <c r="T814" s="135"/>
      <c r="U814" s="244"/>
      <c r="V814" s="246">
        <f>WTG_BD[[#This Row],[Breakdown Time]]*(1/39)</f>
        <v>0</v>
      </c>
      <c r="W814" s="244"/>
      <c r="X814" s="250"/>
      <c r="Y814" s="135"/>
      <c r="Z814" s="135"/>
      <c r="AA814" s="135"/>
      <c r="AB814" s="249">
        <f>(WTG_BD[[#This Row],[Paired WTG Generation for loss calculation.]]/24)*WTG_BD[[#This Row],[Breakdown Time]]</f>
        <v>0</v>
      </c>
      <c r="AC814" s="135"/>
      <c r="AD814" s="245"/>
      <c r="AE814" s="3"/>
    </row>
    <row r="815" spans="1:31">
      <c r="A815" s="241">
        <f t="shared" si="26"/>
        <v>814</v>
      </c>
      <c r="B815" s="255"/>
      <c r="C815" s="252"/>
      <c r="D815" s="252"/>
      <c r="E815" s="251">
        <f t="shared" si="25"/>
        <v>1</v>
      </c>
      <c r="F815" s="252"/>
      <c r="G815" s="248"/>
      <c r="H815" s="242" t="str">
        <f>IFERROR(VLOOKUP(WTG_BD[[#This Row],[Affected WTG]],'Basic Data'!$A$3:$E$56,2,0),"")</f>
        <v/>
      </c>
      <c r="I815" s="242" t="str">
        <f>IFERROR(VLOOKUP(WTG_BD[[#This Row],[Affected WTG]],'Basic Data'!$A$3:$E$56,3,0),"")</f>
        <v/>
      </c>
      <c r="J815" s="243" t="str">
        <f>IFERROR(VLOOKUP(WTG_BD[[#This Row],[Affected WTG]],'Basic Data'!$A$3:$E$56,5,0),"")</f>
        <v/>
      </c>
      <c r="K815" s="158"/>
      <c r="L815" s="247" t="e">
        <f>VLOOKUP(K815,'Basic Data'!T:U,2,0)</f>
        <v>#N/A</v>
      </c>
      <c r="M815" s="135"/>
      <c r="N815" s="256"/>
      <c r="O815" s="256"/>
      <c r="P815" s="256"/>
      <c r="Q815" s="253" t="str">
        <f>IF(WTG_BD[[#This Row],[Work Start TimeStamp]]="","",(WTG_BD[[#This Row],[Work Start TimeStamp]]-WTG_BD[[#This Row],[Fault Start TimeStamp]])*24)</f>
        <v/>
      </c>
      <c r="R815" s="253">
        <f>(WTG_BD[[#This Row],[Fault Clearance time]]-WTG_BD[[#This Row],[Work Start TimeStamp]])*24</f>
        <v>0</v>
      </c>
      <c r="S815" s="253">
        <f>(WTG_BD[[#This Row],[Fault Clearance time]]-WTG_BD[[#This Row],[Fault Start TimeStamp]])*24</f>
        <v>0</v>
      </c>
      <c r="T815" s="135"/>
      <c r="U815" s="244"/>
      <c r="V815" s="246">
        <f>WTG_BD[[#This Row],[Breakdown Time]]*(1/39)</f>
        <v>0</v>
      </c>
      <c r="W815" s="244"/>
      <c r="X815" s="250"/>
      <c r="Y815" s="135"/>
      <c r="Z815" s="135"/>
      <c r="AA815" s="135"/>
      <c r="AB815" s="249">
        <f>(WTG_BD[[#This Row],[Paired WTG Generation for loss calculation.]]/24)*WTG_BD[[#This Row],[Breakdown Time]]</f>
        <v>0</v>
      </c>
      <c r="AC815" s="135"/>
      <c r="AD815" s="245"/>
      <c r="AE815" s="3"/>
    </row>
    <row r="816" spans="1:31">
      <c r="A816" s="241">
        <f t="shared" si="26"/>
        <v>815</v>
      </c>
      <c r="B816" s="255"/>
      <c r="C816" s="252"/>
      <c r="D816" s="252"/>
      <c r="E816" s="251">
        <f t="shared" si="25"/>
        <v>1</v>
      </c>
      <c r="F816" s="252"/>
      <c r="G816" s="248"/>
      <c r="H816" s="242" t="str">
        <f>IFERROR(VLOOKUP(WTG_BD[[#This Row],[Affected WTG]],'Basic Data'!$A$3:$E$56,2,0),"")</f>
        <v/>
      </c>
      <c r="I816" s="242" t="str">
        <f>IFERROR(VLOOKUP(WTG_BD[[#This Row],[Affected WTG]],'Basic Data'!$A$3:$E$56,3,0),"")</f>
        <v/>
      </c>
      <c r="J816" s="243" t="str">
        <f>IFERROR(VLOOKUP(WTG_BD[[#This Row],[Affected WTG]],'Basic Data'!$A$3:$E$56,5,0),"")</f>
        <v/>
      </c>
      <c r="K816" s="158"/>
      <c r="L816" s="247" t="e">
        <f>VLOOKUP(K816,'Basic Data'!T:U,2,0)</f>
        <v>#N/A</v>
      </c>
      <c r="M816" s="135"/>
      <c r="N816" s="256"/>
      <c r="O816" s="256"/>
      <c r="P816" s="256"/>
      <c r="Q816" s="253" t="str">
        <f>IF(WTG_BD[[#This Row],[Work Start TimeStamp]]="","",(WTG_BD[[#This Row],[Work Start TimeStamp]]-WTG_BD[[#This Row],[Fault Start TimeStamp]])*24)</f>
        <v/>
      </c>
      <c r="R816" s="253">
        <f>(WTG_BD[[#This Row],[Fault Clearance time]]-WTG_BD[[#This Row],[Work Start TimeStamp]])*24</f>
        <v>0</v>
      </c>
      <c r="S816" s="253">
        <f>(WTG_BD[[#This Row],[Fault Clearance time]]-WTG_BD[[#This Row],[Fault Start TimeStamp]])*24</f>
        <v>0</v>
      </c>
      <c r="T816" s="135"/>
      <c r="U816" s="244"/>
      <c r="V816" s="246">
        <f>WTG_BD[[#This Row],[Breakdown Time]]*(1/39)</f>
        <v>0</v>
      </c>
      <c r="W816" s="244"/>
      <c r="X816" s="250"/>
      <c r="Y816" s="135"/>
      <c r="Z816" s="135"/>
      <c r="AA816" s="135"/>
      <c r="AB816" s="249">
        <f>(WTG_BD[[#This Row],[Paired WTG Generation for loss calculation.]]/24)*WTG_BD[[#This Row],[Breakdown Time]]</f>
        <v>0</v>
      </c>
      <c r="AC816" s="135"/>
      <c r="AD816" s="245"/>
      <c r="AE816" s="3"/>
    </row>
    <row r="817" spans="1:31">
      <c r="A817" s="241">
        <f t="shared" si="26"/>
        <v>816</v>
      </c>
      <c r="B817" s="255"/>
      <c r="C817" s="252"/>
      <c r="D817" s="252"/>
      <c r="E817" s="251">
        <f t="shared" si="25"/>
        <v>1</v>
      </c>
      <c r="F817" s="252"/>
      <c r="G817" s="248"/>
      <c r="H817" s="242" t="str">
        <f>IFERROR(VLOOKUP(WTG_BD[[#This Row],[Affected WTG]],'Basic Data'!$A$3:$E$56,2,0),"")</f>
        <v/>
      </c>
      <c r="I817" s="242" t="str">
        <f>IFERROR(VLOOKUP(WTG_BD[[#This Row],[Affected WTG]],'Basic Data'!$A$3:$E$56,3,0),"")</f>
        <v/>
      </c>
      <c r="J817" s="243" t="str">
        <f>IFERROR(VLOOKUP(WTG_BD[[#This Row],[Affected WTG]],'Basic Data'!$A$3:$E$56,5,0),"")</f>
        <v/>
      </c>
      <c r="K817" s="158"/>
      <c r="L817" s="247" t="e">
        <f>VLOOKUP(K817,'Basic Data'!T:U,2,0)</f>
        <v>#N/A</v>
      </c>
      <c r="M817" s="135"/>
      <c r="N817" s="256"/>
      <c r="O817" s="256"/>
      <c r="P817" s="256"/>
      <c r="Q817" s="253" t="str">
        <f>IF(WTG_BD[[#This Row],[Work Start TimeStamp]]="","",(WTG_BD[[#This Row],[Work Start TimeStamp]]-WTG_BD[[#This Row],[Fault Start TimeStamp]])*24)</f>
        <v/>
      </c>
      <c r="R817" s="253">
        <f>(WTG_BD[[#This Row],[Fault Clearance time]]-WTG_BD[[#This Row],[Work Start TimeStamp]])*24</f>
        <v>0</v>
      </c>
      <c r="S817" s="253">
        <f>(WTG_BD[[#This Row],[Fault Clearance time]]-WTG_BD[[#This Row],[Fault Start TimeStamp]])*24</f>
        <v>0</v>
      </c>
      <c r="T817" s="135"/>
      <c r="U817" s="244"/>
      <c r="V817" s="246">
        <f>WTG_BD[[#This Row],[Breakdown Time]]*(1/39)</f>
        <v>0</v>
      </c>
      <c r="W817" s="244"/>
      <c r="X817" s="250"/>
      <c r="Y817" s="135"/>
      <c r="Z817" s="135"/>
      <c r="AA817" s="135"/>
      <c r="AB817" s="249">
        <f>(WTG_BD[[#This Row],[Paired WTG Generation for loss calculation.]]/24)*WTG_BD[[#This Row],[Breakdown Time]]</f>
        <v>0</v>
      </c>
      <c r="AC817" s="135"/>
      <c r="AD817" s="245"/>
      <c r="AE817" s="3"/>
    </row>
    <row r="818" spans="1:31">
      <c r="A818" s="241">
        <f t="shared" si="26"/>
        <v>817</v>
      </c>
      <c r="B818" s="255"/>
      <c r="C818" s="252"/>
      <c r="D818" s="252"/>
      <c r="E818" s="251">
        <f t="shared" si="25"/>
        <v>1</v>
      </c>
      <c r="F818" s="252"/>
      <c r="G818" s="248"/>
      <c r="H818" s="242" t="str">
        <f>IFERROR(VLOOKUP(WTG_BD[[#This Row],[Affected WTG]],'Basic Data'!$A$3:$E$56,2,0),"")</f>
        <v/>
      </c>
      <c r="I818" s="242" t="str">
        <f>IFERROR(VLOOKUP(WTG_BD[[#This Row],[Affected WTG]],'Basic Data'!$A$3:$E$56,3,0),"")</f>
        <v/>
      </c>
      <c r="J818" s="243" t="str">
        <f>IFERROR(VLOOKUP(WTG_BD[[#This Row],[Affected WTG]],'Basic Data'!$A$3:$E$56,5,0),"")</f>
        <v/>
      </c>
      <c r="K818" s="158"/>
      <c r="L818" s="247" t="e">
        <f>VLOOKUP(K818,'Basic Data'!T:U,2,0)</f>
        <v>#N/A</v>
      </c>
      <c r="M818" s="135"/>
      <c r="N818" s="256"/>
      <c r="O818" s="256"/>
      <c r="P818" s="256"/>
      <c r="Q818" s="253" t="str">
        <f>IF(WTG_BD[[#This Row],[Work Start TimeStamp]]="","",(WTG_BD[[#This Row],[Work Start TimeStamp]]-WTG_BD[[#This Row],[Fault Start TimeStamp]])*24)</f>
        <v/>
      </c>
      <c r="R818" s="253">
        <f>(WTG_BD[[#This Row],[Fault Clearance time]]-WTG_BD[[#This Row],[Work Start TimeStamp]])*24</f>
        <v>0</v>
      </c>
      <c r="S818" s="253">
        <f>(WTG_BD[[#This Row],[Fault Clearance time]]-WTG_BD[[#This Row],[Fault Start TimeStamp]])*24</f>
        <v>0</v>
      </c>
      <c r="T818" s="135"/>
      <c r="U818" s="244"/>
      <c r="V818" s="246">
        <f>WTG_BD[[#This Row],[Breakdown Time]]*(1/39)</f>
        <v>0</v>
      </c>
      <c r="W818" s="244"/>
      <c r="X818" s="250"/>
      <c r="Y818" s="135"/>
      <c r="Z818" s="135"/>
      <c r="AA818" s="135"/>
      <c r="AB818" s="249">
        <f>(WTG_BD[[#This Row],[Paired WTG Generation for loss calculation.]]/24)*WTG_BD[[#This Row],[Breakdown Time]]</f>
        <v>0</v>
      </c>
      <c r="AC818" s="135"/>
      <c r="AD818" s="245"/>
      <c r="AE818" s="3"/>
    </row>
    <row r="819" spans="1:31">
      <c r="A819" s="241">
        <f t="shared" si="26"/>
        <v>818</v>
      </c>
      <c r="B819" s="255"/>
      <c r="C819" s="252"/>
      <c r="D819" s="252"/>
      <c r="E819" s="251">
        <f t="shared" si="25"/>
        <v>1</v>
      </c>
      <c r="F819" s="252"/>
      <c r="G819" s="248"/>
      <c r="H819" s="242" t="str">
        <f>IFERROR(VLOOKUP(WTG_BD[[#This Row],[Affected WTG]],'Basic Data'!$A$3:$E$56,2,0),"")</f>
        <v/>
      </c>
      <c r="I819" s="242" t="str">
        <f>IFERROR(VLOOKUP(WTG_BD[[#This Row],[Affected WTG]],'Basic Data'!$A$3:$E$56,3,0),"")</f>
        <v/>
      </c>
      <c r="J819" s="243" t="str">
        <f>IFERROR(VLOOKUP(WTG_BD[[#This Row],[Affected WTG]],'Basic Data'!$A$3:$E$56,5,0),"")</f>
        <v/>
      </c>
      <c r="K819" s="158"/>
      <c r="L819" s="247" t="e">
        <f>VLOOKUP(K819,'Basic Data'!T:U,2,0)</f>
        <v>#N/A</v>
      </c>
      <c r="M819" s="135"/>
      <c r="N819" s="256"/>
      <c r="O819" s="256"/>
      <c r="P819" s="256"/>
      <c r="Q819" s="253" t="str">
        <f>IF(WTG_BD[[#This Row],[Work Start TimeStamp]]="","",(WTG_BD[[#This Row],[Work Start TimeStamp]]-WTG_BD[[#This Row],[Fault Start TimeStamp]])*24)</f>
        <v/>
      </c>
      <c r="R819" s="253">
        <f>(WTG_BD[[#This Row],[Fault Clearance time]]-WTG_BD[[#This Row],[Work Start TimeStamp]])*24</f>
        <v>0</v>
      </c>
      <c r="S819" s="253">
        <f>(WTG_BD[[#This Row],[Fault Clearance time]]-WTG_BD[[#This Row],[Fault Start TimeStamp]])*24</f>
        <v>0</v>
      </c>
      <c r="T819" s="135"/>
      <c r="U819" s="244"/>
      <c r="V819" s="246">
        <f>WTG_BD[[#This Row],[Breakdown Time]]*(1/39)</f>
        <v>0</v>
      </c>
      <c r="W819" s="244"/>
      <c r="X819" s="250"/>
      <c r="Y819" s="135"/>
      <c r="Z819" s="135"/>
      <c r="AA819" s="135"/>
      <c r="AB819" s="249">
        <f>(WTG_BD[[#This Row],[Paired WTG Generation for loss calculation.]]/24)*WTG_BD[[#This Row],[Breakdown Time]]</f>
        <v>0</v>
      </c>
      <c r="AC819" s="135"/>
      <c r="AD819" s="245"/>
      <c r="AE819" s="3"/>
    </row>
    <row r="820" spans="1:31">
      <c r="A820" s="241">
        <f t="shared" si="26"/>
        <v>819</v>
      </c>
      <c r="B820" s="255"/>
      <c r="C820" s="252"/>
      <c r="D820" s="252"/>
      <c r="E820" s="251">
        <f t="shared" si="25"/>
        <v>1</v>
      </c>
      <c r="F820" s="252"/>
      <c r="G820" s="248"/>
      <c r="H820" s="242" t="str">
        <f>IFERROR(VLOOKUP(WTG_BD[[#This Row],[Affected WTG]],'Basic Data'!$A$3:$E$56,2,0),"")</f>
        <v/>
      </c>
      <c r="I820" s="242" t="str">
        <f>IFERROR(VLOOKUP(WTG_BD[[#This Row],[Affected WTG]],'Basic Data'!$A$3:$E$56,3,0),"")</f>
        <v/>
      </c>
      <c r="J820" s="243" t="str">
        <f>IFERROR(VLOOKUP(WTG_BD[[#This Row],[Affected WTG]],'Basic Data'!$A$3:$E$56,5,0),"")</f>
        <v/>
      </c>
      <c r="K820" s="158"/>
      <c r="L820" s="247" t="e">
        <f>VLOOKUP(K820,'Basic Data'!T:U,2,0)</f>
        <v>#N/A</v>
      </c>
      <c r="M820" s="135"/>
      <c r="N820" s="256"/>
      <c r="O820" s="256"/>
      <c r="P820" s="256"/>
      <c r="Q820" s="253" t="str">
        <f>IF(WTG_BD[[#This Row],[Work Start TimeStamp]]="","",(WTG_BD[[#This Row],[Work Start TimeStamp]]-WTG_BD[[#This Row],[Fault Start TimeStamp]])*24)</f>
        <v/>
      </c>
      <c r="R820" s="253">
        <f>(WTG_BD[[#This Row],[Fault Clearance time]]-WTG_BD[[#This Row],[Work Start TimeStamp]])*24</f>
        <v>0</v>
      </c>
      <c r="S820" s="253">
        <f>(WTG_BD[[#This Row],[Fault Clearance time]]-WTG_BD[[#This Row],[Fault Start TimeStamp]])*24</f>
        <v>0</v>
      </c>
      <c r="T820" s="135"/>
      <c r="U820" s="244"/>
      <c r="V820" s="246">
        <f>WTG_BD[[#This Row],[Breakdown Time]]*(1/39)</f>
        <v>0</v>
      </c>
      <c r="W820" s="244"/>
      <c r="X820" s="250"/>
      <c r="Y820" s="135"/>
      <c r="Z820" s="135"/>
      <c r="AA820" s="135"/>
      <c r="AB820" s="249">
        <f>(WTG_BD[[#This Row],[Paired WTG Generation for loss calculation.]]/24)*WTG_BD[[#This Row],[Breakdown Time]]</f>
        <v>0</v>
      </c>
      <c r="AC820" s="135"/>
      <c r="AD820" s="245"/>
      <c r="AE820" s="3"/>
    </row>
    <row r="821" spans="1:31">
      <c r="A821" s="241">
        <f t="shared" si="26"/>
        <v>820</v>
      </c>
      <c r="B821" s="255"/>
      <c r="C821" s="252"/>
      <c r="D821" s="252"/>
      <c r="E821" s="251">
        <f t="shared" si="25"/>
        <v>1</v>
      </c>
      <c r="F821" s="252"/>
      <c r="G821" s="248"/>
      <c r="H821" s="242" t="str">
        <f>IFERROR(VLOOKUP(WTG_BD[[#This Row],[Affected WTG]],'Basic Data'!$A$3:$E$56,2,0),"")</f>
        <v/>
      </c>
      <c r="I821" s="242" t="str">
        <f>IFERROR(VLOOKUP(WTG_BD[[#This Row],[Affected WTG]],'Basic Data'!$A$3:$E$56,3,0),"")</f>
        <v/>
      </c>
      <c r="J821" s="243" t="str">
        <f>IFERROR(VLOOKUP(WTG_BD[[#This Row],[Affected WTG]],'Basic Data'!$A$3:$E$56,5,0),"")</f>
        <v/>
      </c>
      <c r="K821" s="158"/>
      <c r="L821" s="247" t="e">
        <f>VLOOKUP(K821,'Basic Data'!T:U,2,0)</f>
        <v>#N/A</v>
      </c>
      <c r="M821" s="135"/>
      <c r="N821" s="256"/>
      <c r="O821" s="256"/>
      <c r="P821" s="256"/>
      <c r="Q821" s="253" t="str">
        <f>IF(WTG_BD[[#This Row],[Work Start TimeStamp]]="","",(WTG_BD[[#This Row],[Work Start TimeStamp]]-WTG_BD[[#This Row],[Fault Start TimeStamp]])*24)</f>
        <v/>
      </c>
      <c r="R821" s="253">
        <f>(WTG_BD[[#This Row],[Fault Clearance time]]-WTG_BD[[#This Row],[Work Start TimeStamp]])*24</f>
        <v>0</v>
      </c>
      <c r="S821" s="253">
        <f>(WTG_BD[[#This Row],[Fault Clearance time]]-WTG_BD[[#This Row],[Fault Start TimeStamp]])*24</f>
        <v>0</v>
      </c>
      <c r="T821" s="135"/>
      <c r="U821" s="244"/>
      <c r="V821" s="246">
        <f>WTG_BD[[#This Row],[Breakdown Time]]*(1/39)</f>
        <v>0</v>
      </c>
      <c r="W821" s="244"/>
      <c r="X821" s="250"/>
      <c r="Y821" s="135"/>
      <c r="Z821" s="135"/>
      <c r="AA821" s="135"/>
      <c r="AB821" s="249">
        <f>(WTG_BD[[#This Row],[Paired WTG Generation for loss calculation.]]/24)*WTG_BD[[#This Row],[Breakdown Time]]</f>
        <v>0</v>
      </c>
      <c r="AC821" s="135"/>
      <c r="AD821" s="245"/>
      <c r="AE821" s="3"/>
    </row>
    <row r="822" spans="1:31">
      <c r="A822" s="241">
        <f t="shared" si="26"/>
        <v>821</v>
      </c>
      <c r="B822" s="255"/>
      <c r="C822" s="252"/>
      <c r="D822" s="252"/>
      <c r="E822" s="251">
        <f t="shared" si="25"/>
        <v>1</v>
      </c>
      <c r="F822" s="252"/>
      <c r="G822" s="248"/>
      <c r="H822" s="242" t="str">
        <f>IFERROR(VLOOKUP(WTG_BD[[#This Row],[Affected WTG]],'Basic Data'!$A$3:$E$56,2,0),"")</f>
        <v/>
      </c>
      <c r="I822" s="242" t="str">
        <f>IFERROR(VLOOKUP(WTG_BD[[#This Row],[Affected WTG]],'Basic Data'!$A$3:$E$56,3,0),"")</f>
        <v/>
      </c>
      <c r="J822" s="243" t="str">
        <f>IFERROR(VLOOKUP(WTG_BD[[#This Row],[Affected WTG]],'Basic Data'!$A$3:$E$56,5,0),"")</f>
        <v/>
      </c>
      <c r="K822" s="158"/>
      <c r="L822" s="247" t="e">
        <f>VLOOKUP(K822,'Basic Data'!T:U,2,0)</f>
        <v>#N/A</v>
      </c>
      <c r="M822" s="135"/>
      <c r="N822" s="256"/>
      <c r="O822" s="256"/>
      <c r="P822" s="256"/>
      <c r="Q822" s="253" t="str">
        <f>IF(WTG_BD[[#This Row],[Work Start TimeStamp]]="","",(WTG_BD[[#This Row],[Work Start TimeStamp]]-WTG_BD[[#This Row],[Fault Start TimeStamp]])*24)</f>
        <v/>
      </c>
      <c r="R822" s="253">
        <f>(WTG_BD[[#This Row],[Fault Clearance time]]-WTG_BD[[#This Row],[Work Start TimeStamp]])*24</f>
        <v>0</v>
      </c>
      <c r="S822" s="253">
        <f>(WTG_BD[[#This Row],[Fault Clearance time]]-WTG_BD[[#This Row],[Fault Start TimeStamp]])*24</f>
        <v>0</v>
      </c>
      <c r="T822" s="135"/>
      <c r="U822" s="244"/>
      <c r="V822" s="246">
        <f>WTG_BD[[#This Row],[Breakdown Time]]*(1/39)</f>
        <v>0</v>
      </c>
      <c r="W822" s="244"/>
      <c r="X822" s="250"/>
      <c r="Y822" s="135"/>
      <c r="Z822" s="135"/>
      <c r="AA822" s="135"/>
      <c r="AB822" s="249">
        <f>(WTG_BD[[#This Row],[Paired WTG Generation for loss calculation.]]/24)*WTG_BD[[#This Row],[Breakdown Time]]</f>
        <v>0</v>
      </c>
      <c r="AC822" s="135"/>
      <c r="AD822" s="245"/>
      <c r="AE822" s="3"/>
    </row>
    <row r="823" spans="1:31">
      <c r="A823" s="241">
        <f t="shared" si="26"/>
        <v>822</v>
      </c>
      <c r="B823" s="255"/>
      <c r="C823" s="252"/>
      <c r="D823" s="252"/>
      <c r="E823" s="251">
        <f t="shared" si="25"/>
        <v>1</v>
      </c>
      <c r="F823" s="252"/>
      <c r="G823" s="248"/>
      <c r="H823" s="242" t="str">
        <f>IFERROR(VLOOKUP(WTG_BD[[#This Row],[Affected WTG]],'Basic Data'!$A$3:$E$56,2,0),"")</f>
        <v/>
      </c>
      <c r="I823" s="242" t="str">
        <f>IFERROR(VLOOKUP(WTG_BD[[#This Row],[Affected WTG]],'Basic Data'!$A$3:$E$56,3,0),"")</f>
        <v/>
      </c>
      <c r="J823" s="243" t="str">
        <f>IFERROR(VLOOKUP(WTG_BD[[#This Row],[Affected WTG]],'Basic Data'!$A$3:$E$56,5,0),"")</f>
        <v/>
      </c>
      <c r="K823" s="158"/>
      <c r="L823" s="247" t="e">
        <f>VLOOKUP(K823,'Basic Data'!T:U,2,0)</f>
        <v>#N/A</v>
      </c>
      <c r="M823" s="135"/>
      <c r="N823" s="256"/>
      <c r="O823" s="256"/>
      <c r="P823" s="256"/>
      <c r="Q823" s="253" t="str">
        <f>IF(WTG_BD[[#This Row],[Work Start TimeStamp]]="","",(WTG_BD[[#This Row],[Work Start TimeStamp]]-WTG_BD[[#This Row],[Fault Start TimeStamp]])*24)</f>
        <v/>
      </c>
      <c r="R823" s="253">
        <f>(WTG_BD[[#This Row],[Fault Clearance time]]-WTG_BD[[#This Row],[Work Start TimeStamp]])*24</f>
        <v>0</v>
      </c>
      <c r="S823" s="253">
        <f>(WTG_BD[[#This Row],[Fault Clearance time]]-WTG_BD[[#This Row],[Fault Start TimeStamp]])*24</f>
        <v>0</v>
      </c>
      <c r="T823" s="135"/>
      <c r="U823" s="244"/>
      <c r="V823" s="246">
        <f>WTG_BD[[#This Row],[Breakdown Time]]*(1/39)</f>
        <v>0</v>
      </c>
      <c r="W823" s="244"/>
      <c r="X823" s="250"/>
      <c r="Y823" s="135"/>
      <c r="Z823" s="135"/>
      <c r="AA823" s="135"/>
      <c r="AB823" s="249">
        <f>(WTG_BD[[#This Row],[Paired WTG Generation for loss calculation.]]/24)*WTG_BD[[#This Row],[Breakdown Time]]</f>
        <v>0</v>
      </c>
      <c r="AC823" s="135"/>
      <c r="AD823" s="245"/>
      <c r="AE823" s="3"/>
    </row>
    <row r="824" spans="1:31">
      <c r="A824" s="241">
        <f t="shared" si="26"/>
        <v>823</v>
      </c>
      <c r="B824" s="255"/>
      <c r="C824" s="252"/>
      <c r="D824" s="252"/>
      <c r="E824" s="251">
        <f t="shared" ref="E824:E887" si="27">B824-DAY(B824)+1</f>
        <v>1</v>
      </c>
      <c r="F824" s="252"/>
      <c r="G824" s="248"/>
      <c r="H824" s="242" t="str">
        <f>IFERROR(VLOOKUP(WTG_BD[[#This Row],[Affected WTG]],'Basic Data'!$A$3:$E$56,2,0),"")</f>
        <v/>
      </c>
      <c r="I824" s="242" t="str">
        <f>IFERROR(VLOOKUP(WTG_BD[[#This Row],[Affected WTG]],'Basic Data'!$A$3:$E$56,3,0),"")</f>
        <v/>
      </c>
      <c r="J824" s="243" t="str">
        <f>IFERROR(VLOOKUP(WTG_BD[[#This Row],[Affected WTG]],'Basic Data'!$A$3:$E$56,5,0),"")</f>
        <v/>
      </c>
      <c r="K824" s="158"/>
      <c r="L824" s="247" t="e">
        <f>VLOOKUP(K824,'Basic Data'!T:U,2,0)</f>
        <v>#N/A</v>
      </c>
      <c r="M824" s="135"/>
      <c r="N824" s="256"/>
      <c r="O824" s="256"/>
      <c r="P824" s="256"/>
      <c r="Q824" s="253" t="str">
        <f>IF(WTG_BD[[#This Row],[Work Start TimeStamp]]="","",(WTG_BD[[#This Row],[Work Start TimeStamp]]-WTG_BD[[#This Row],[Fault Start TimeStamp]])*24)</f>
        <v/>
      </c>
      <c r="R824" s="253">
        <f>(WTG_BD[[#This Row],[Fault Clearance time]]-WTG_BD[[#This Row],[Work Start TimeStamp]])*24</f>
        <v>0</v>
      </c>
      <c r="S824" s="253">
        <f>(WTG_BD[[#This Row],[Fault Clearance time]]-WTG_BD[[#This Row],[Fault Start TimeStamp]])*24</f>
        <v>0</v>
      </c>
      <c r="T824" s="135"/>
      <c r="U824" s="244"/>
      <c r="V824" s="246">
        <f>WTG_BD[[#This Row],[Breakdown Time]]*(1/39)</f>
        <v>0</v>
      </c>
      <c r="W824" s="244"/>
      <c r="X824" s="250"/>
      <c r="Y824" s="135"/>
      <c r="Z824" s="135"/>
      <c r="AA824" s="135"/>
      <c r="AB824" s="249">
        <f>(WTG_BD[[#This Row],[Paired WTG Generation for loss calculation.]]/24)*WTG_BD[[#This Row],[Breakdown Time]]</f>
        <v>0</v>
      </c>
      <c r="AC824" s="135"/>
      <c r="AD824" s="245"/>
      <c r="AE824" s="3"/>
    </row>
    <row r="825" spans="1:31">
      <c r="A825" s="241">
        <f t="shared" si="26"/>
        <v>824</v>
      </c>
      <c r="B825" s="255"/>
      <c r="C825" s="252"/>
      <c r="D825" s="252"/>
      <c r="E825" s="251">
        <f t="shared" si="27"/>
        <v>1</v>
      </c>
      <c r="F825" s="252"/>
      <c r="G825" s="248"/>
      <c r="H825" s="242" t="str">
        <f>IFERROR(VLOOKUP(WTG_BD[[#This Row],[Affected WTG]],'Basic Data'!$A$3:$E$56,2,0),"")</f>
        <v/>
      </c>
      <c r="I825" s="242" t="str">
        <f>IFERROR(VLOOKUP(WTG_BD[[#This Row],[Affected WTG]],'Basic Data'!$A$3:$E$56,3,0),"")</f>
        <v/>
      </c>
      <c r="J825" s="243" t="str">
        <f>IFERROR(VLOOKUP(WTG_BD[[#This Row],[Affected WTG]],'Basic Data'!$A$3:$E$56,5,0),"")</f>
        <v/>
      </c>
      <c r="K825" s="158"/>
      <c r="L825" s="247" t="e">
        <f>VLOOKUP(K825,'Basic Data'!T:U,2,0)</f>
        <v>#N/A</v>
      </c>
      <c r="M825" s="135"/>
      <c r="N825" s="256"/>
      <c r="O825" s="256"/>
      <c r="P825" s="256"/>
      <c r="Q825" s="253" t="str">
        <f>IF(WTG_BD[[#This Row],[Work Start TimeStamp]]="","",(WTG_BD[[#This Row],[Work Start TimeStamp]]-WTG_BD[[#This Row],[Fault Start TimeStamp]])*24)</f>
        <v/>
      </c>
      <c r="R825" s="253">
        <f>(WTG_BD[[#This Row],[Fault Clearance time]]-WTG_BD[[#This Row],[Work Start TimeStamp]])*24</f>
        <v>0</v>
      </c>
      <c r="S825" s="253">
        <f>(WTG_BD[[#This Row],[Fault Clearance time]]-WTG_BD[[#This Row],[Fault Start TimeStamp]])*24</f>
        <v>0</v>
      </c>
      <c r="T825" s="135"/>
      <c r="U825" s="244"/>
      <c r="V825" s="246">
        <f>WTG_BD[[#This Row],[Breakdown Time]]*(1/39)</f>
        <v>0</v>
      </c>
      <c r="W825" s="244"/>
      <c r="X825" s="250"/>
      <c r="Y825" s="135"/>
      <c r="Z825" s="135"/>
      <c r="AA825" s="135"/>
      <c r="AB825" s="249">
        <f>(WTG_BD[[#This Row],[Paired WTG Generation for loss calculation.]]/24)*WTG_BD[[#This Row],[Breakdown Time]]</f>
        <v>0</v>
      </c>
      <c r="AC825" s="135"/>
      <c r="AD825" s="245"/>
      <c r="AE825" s="3"/>
    </row>
    <row r="826" spans="1:31">
      <c r="A826" s="241">
        <f t="shared" si="26"/>
        <v>825</v>
      </c>
      <c r="B826" s="255"/>
      <c r="C826" s="252"/>
      <c r="D826" s="252"/>
      <c r="E826" s="251">
        <f t="shared" si="27"/>
        <v>1</v>
      </c>
      <c r="F826" s="252"/>
      <c r="G826" s="248"/>
      <c r="H826" s="242" t="str">
        <f>IFERROR(VLOOKUP(WTG_BD[[#This Row],[Affected WTG]],'Basic Data'!$A$3:$E$56,2,0),"")</f>
        <v/>
      </c>
      <c r="I826" s="242" t="str">
        <f>IFERROR(VLOOKUP(WTG_BD[[#This Row],[Affected WTG]],'Basic Data'!$A$3:$E$56,3,0),"")</f>
        <v/>
      </c>
      <c r="J826" s="243" t="str">
        <f>IFERROR(VLOOKUP(WTG_BD[[#This Row],[Affected WTG]],'Basic Data'!$A$3:$E$56,5,0),"")</f>
        <v/>
      </c>
      <c r="K826" s="158"/>
      <c r="L826" s="247" t="e">
        <f>VLOOKUP(K826,'Basic Data'!T:U,2,0)</f>
        <v>#N/A</v>
      </c>
      <c r="M826" s="135"/>
      <c r="N826" s="256"/>
      <c r="O826" s="256"/>
      <c r="P826" s="256"/>
      <c r="Q826" s="253" t="str">
        <f>IF(WTG_BD[[#This Row],[Work Start TimeStamp]]="","",(WTG_BD[[#This Row],[Work Start TimeStamp]]-WTG_BD[[#This Row],[Fault Start TimeStamp]])*24)</f>
        <v/>
      </c>
      <c r="R826" s="253">
        <f>(WTG_BD[[#This Row],[Fault Clearance time]]-WTG_BD[[#This Row],[Work Start TimeStamp]])*24</f>
        <v>0</v>
      </c>
      <c r="S826" s="253">
        <f>(WTG_BD[[#This Row],[Fault Clearance time]]-WTG_BD[[#This Row],[Fault Start TimeStamp]])*24</f>
        <v>0</v>
      </c>
      <c r="T826" s="135"/>
      <c r="U826" s="244"/>
      <c r="V826" s="246">
        <f>WTG_BD[[#This Row],[Breakdown Time]]*(1/39)</f>
        <v>0</v>
      </c>
      <c r="W826" s="244"/>
      <c r="X826" s="250"/>
      <c r="Y826" s="135"/>
      <c r="Z826" s="135"/>
      <c r="AA826" s="135"/>
      <c r="AB826" s="249">
        <f>(WTG_BD[[#This Row],[Paired WTG Generation for loss calculation.]]/24)*WTG_BD[[#This Row],[Breakdown Time]]</f>
        <v>0</v>
      </c>
      <c r="AC826" s="135"/>
      <c r="AD826" s="245"/>
      <c r="AE826" s="3"/>
    </row>
    <row r="827" spans="1:31">
      <c r="A827" s="241">
        <f t="shared" si="26"/>
        <v>826</v>
      </c>
      <c r="B827" s="255"/>
      <c r="C827" s="252"/>
      <c r="D827" s="252"/>
      <c r="E827" s="251">
        <f t="shared" si="27"/>
        <v>1</v>
      </c>
      <c r="F827" s="252"/>
      <c r="G827" s="248"/>
      <c r="H827" s="242" t="str">
        <f>IFERROR(VLOOKUP(WTG_BD[[#This Row],[Affected WTG]],'Basic Data'!$A$3:$E$56,2,0),"")</f>
        <v/>
      </c>
      <c r="I827" s="242" t="str">
        <f>IFERROR(VLOOKUP(WTG_BD[[#This Row],[Affected WTG]],'Basic Data'!$A$3:$E$56,3,0),"")</f>
        <v/>
      </c>
      <c r="J827" s="243" t="str">
        <f>IFERROR(VLOOKUP(WTG_BD[[#This Row],[Affected WTG]],'Basic Data'!$A$3:$E$56,5,0),"")</f>
        <v/>
      </c>
      <c r="K827" s="158"/>
      <c r="L827" s="247" t="e">
        <f>VLOOKUP(K827,'Basic Data'!T:U,2,0)</f>
        <v>#N/A</v>
      </c>
      <c r="M827" s="135"/>
      <c r="N827" s="256"/>
      <c r="O827" s="256"/>
      <c r="P827" s="256"/>
      <c r="Q827" s="253" t="str">
        <f>IF(WTG_BD[[#This Row],[Work Start TimeStamp]]="","",(WTG_BD[[#This Row],[Work Start TimeStamp]]-WTG_BD[[#This Row],[Fault Start TimeStamp]])*24)</f>
        <v/>
      </c>
      <c r="R827" s="253">
        <f>(WTG_BD[[#This Row],[Fault Clearance time]]-WTG_BD[[#This Row],[Work Start TimeStamp]])*24</f>
        <v>0</v>
      </c>
      <c r="S827" s="253">
        <f>(WTG_BD[[#This Row],[Fault Clearance time]]-WTG_BD[[#This Row],[Fault Start TimeStamp]])*24</f>
        <v>0</v>
      </c>
      <c r="T827" s="135"/>
      <c r="U827" s="244"/>
      <c r="V827" s="246">
        <f>WTG_BD[[#This Row],[Breakdown Time]]*(1/39)</f>
        <v>0</v>
      </c>
      <c r="W827" s="244"/>
      <c r="X827" s="250"/>
      <c r="Y827" s="135"/>
      <c r="Z827" s="135"/>
      <c r="AA827" s="135"/>
      <c r="AB827" s="249">
        <f>(WTG_BD[[#This Row],[Paired WTG Generation for loss calculation.]]/24)*WTG_BD[[#This Row],[Breakdown Time]]</f>
        <v>0</v>
      </c>
      <c r="AC827" s="135"/>
      <c r="AD827" s="245"/>
      <c r="AE827" s="3"/>
    </row>
    <row r="828" spans="1:31">
      <c r="A828" s="241">
        <f t="shared" si="26"/>
        <v>827</v>
      </c>
      <c r="B828" s="255"/>
      <c r="C828" s="252"/>
      <c r="D828" s="252"/>
      <c r="E828" s="251">
        <f t="shared" si="27"/>
        <v>1</v>
      </c>
      <c r="F828" s="252"/>
      <c r="G828" s="248"/>
      <c r="H828" s="242" t="str">
        <f>IFERROR(VLOOKUP(WTG_BD[[#This Row],[Affected WTG]],'Basic Data'!$A$3:$E$56,2,0),"")</f>
        <v/>
      </c>
      <c r="I828" s="242" t="str">
        <f>IFERROR(VLOOKUP(WTG_BD[[#This Row],[Affected WTG]],'Basic Data'!$A$3:$E$56,3,0),"")</f>
        <v/>
      </c>
      <c r="J828" s="243" t="str">
        <f>IFERROR(VLOOKUP(WTG_BD[[#This Row],[Affected WTG]],'Basic Data'!$A$3:$E$56,5,0),"")</f>
        <v/>
      </c>
      <c r="K828" s="158"/>
      <c r="L828" s="247" t="e">
        <f>VLOOKUP(K828,'Basic Data'!T:U,2,0)</f>
        <v>#N/A</v>
      </c>
      <c r="M828" s="135"/>
      <c r="N828" s="256"/>
      <c r="O828" s="256"/>
      <c r="P828" s="256"/>
      <c r="Q828" s="253" t="str">
        <f>IF(WTG_BD[[#This Row],[Work Start TimeStamp]]="","",(WTG_BD[[#This Row],[Work Start TimeStamp]]-WTG_BD[[#This Row],[Fault Start TimeStamp]])*24)</f>
        <v/>
      </c>
      <c r="R828" s="253">
        <f>(WTG_BD[[#This Row],[Fault Clearance time]]-WTG_BD[[#This Row],[Work Start TimeStamp]])*24</f>
        <v>0</v>
      </c>
      <c r="S828" s="253">
        <f>(WTG_BD[[#This Row],[Fault Clearance time]]-WTG_BD[[#This Row],[Fault Start TimeStamp]])*24</f>
        <v>0</v>
      </c>
      <c r="T828" s="135"/>
      <c r="U828" s="244"/>
      <c r="V828" s="246">
        <f>WTG_BD[[#This Row],[Breakdown Time]]*(1/39)</f>
        <v>0</v>
      </c>
      <c r="W828" s="244"/>
      <c r="X828" s="250"/>
      <c r="Y828" s="135"/>
      <c r="Z828" s="135"/>
      <c r="AA828" s="135"/>
      <c r="AB828" s="249">
        <f>(WTG_BD[[#This Row],[Paired WTG Generation for loss calculation.]]/24)*WTG_BD[[#This Row],[Breakdown Time]]</f>
        <v>0</v>
      </c>
      <c r="AC828" s="135"/>
      <c r="AD828" s="245"/>
      <c r="AE828" s="3"/>
    </row>
    <row r="829" spans="1:31">
      <c r="A829" s="241">
        <f t="shared" si="26"/>
        <v>828</v>
      </c>
      <c r="B829" s="255"/>
      <c r="C829" s="252"/>
      <c r="D829" s="252"/>
      <c r="E829" s="251">
        <f t="shared" si="27"/>
        <v>1</v>
      </c>
      <c r="F829" s="252"/>
      <c r="G829" s="248"/>
      <c r="H829" s="242" t="str">
        <f>IFERROR(VLOOKUP(WTG_BD[[#This Row],[Affected WTG]],'Basic Data'!$A$3:$E$56,2,0),"")</f>
        <v/>
      </c>
      <c r="I829" s="242" t="str">
        <f>IFERROR(VLOOKUP(WTG_BD[[#This Row],[Affected WTG]],'Basic Data'!$A$3:$E$56,3,0),"")</f>
        <v/>
      </c>
      <c r="J829" s="243" t="str">
        <f>IFERROR(VLOOKUP(WTG_BD[[#This Row],[Affected WTG]],'Basic Data'!$A$3:$E$56,5,0),"")</f>
        <v/>
      </c>
      <c r="K829" s="158"/>
      <c r="L829" s="247" t="e">
        <f>VLOOKUP(K829,'Basic Data'!T:U,2,0)</f>
        <v>#N/A</v>
      </c>
      <c r="M829" s="135"/>
      <c r="N829" s="256"/>
      <c r="O829" s="256"/>
      <c r="P829" s="256"/>
      <c r="Q829" s="253" t="str">
        <f>IF(WTG_BD[[#This Row],[Work Start TimeStamp]]="","",(WTG_BD[[#This Row],[Work Start TimeStamp]]-WTG_BD[[#This Row],[Fault Start TimeStamp]])*24)</f>
        <v/>
      </c>
      <c r="R829" s="253">
        <f>(WTG_BD[[#This Row],[Fault Clearance time]]-WTG_BD[[#This Row],[Work Start TimeStamp]])*24</f>
        <v>0</v>
      </c>
      <c r="S829" s="253">
        <f>(WTG_BD[[#This Row],[Fault Clearance time]]-WTG_BD[[#This Row],[Fault Start TimeStamp]])*24</f>
        <v>0</v>
      </c>
      <c r="T829" s="135"/>
      <c r="U829" s="244"/>
      <c r="V829" s="246">
        <f>WTG_BD[[#This Row],[Breakdown Time]]*(1/39)</f>
        <v>0</v>
      </c>
      <c r="W829" s="244"/>
      <c r="X829" s="250"/>
      <c r="Y829" s="135"/>
      <c r="Z829" s="135"/>
      <c r="AA829" s="135"/>
      <c r="AB829" s="249">
        <f>(WTG_BD[[#This Row],[Paired WTG Generation for loss calculation.]]/24)*WTG_BD[[#This Row],[Breakdown Time]]</f>
        <v>0</v>
      </c>
      <c r="AC829" s="135"/>
      <c r="AD829" s="245"/>
      <c r="AE829" s="3"/>
    </row>
    <row r="830" spans="1:31">
      <c r="A830" s="241">
        <f t="shared" si="26"/>
        <v>829</v>
      </c>
      <c r="B830" s="255"/>
      <c r="C830" s="252"/>
      <c r="D830" s="252"/>
      <c r="E830" s="251">
        <f t="shared" si="27"/>
        <v>1</v>
      </c>
      <c r="F830" s="252"/>
      <c r="G830" s="248"/>
      <c r="H830" s="242" t="str">
        <f>IFERROR(VLOOKUP(WTG_BD[[#This Row],[Affected WTG]],'Basic Data'!$A$3:$E$56,2,0),"")</f>
        <v/>
      </c>
      <c r="I830" s="242" t="str">
        <f>IFERROR(VLOOKUP(WTG_BD[[#This Row],[Affected WTG]],'Basic Data'!$A$3:$E$56,3,0),"")</f>
        <v/>
      </c>
      <c r="J830" s="243" t="str">
        <f>IFERROR(VLOOKUP(WTG_BD[[#This Row],[Affected WTG]],'Basic Data'!$A$3:$E$56,5,0),"")</f>
        <v/>
      </c>
      <c r="K830" s="158"/>
      <c r="L830" s="247" t="e">
        <f>VLOOKUP(K830,'Basic Data'!T:U,2,0)</f>
        <v>#N/A</v>
      </c>
      <c r="M830" s="135"/>
      <c r="N830" s="256"/>
      <c r="O830" s="256"/>
      <c r="P830" s="256"/>
      <c r="Q830" s="253" t="str">
        <f>IF(WTG_BD[[#This Row],[Work Start TimeStamp]]="","",(WTG_BD[[#This Row],[Work Start TimeStamp]]-WTG_BD[[#This Row],[Fault Start TimeStamp]])*24)</f>
        <v/>
      </c>
      <c r="R830" s="253">
        <f>(WTG_BD[[#This Row],[Fault Clearance time]]-WTG_BD[[#This Row],[Work Start TimeStamp]])*24</f>
        <v>0</v>
      </c>
      <c r="S830" s="253">
        <f>(WTG_BD[[#This Row],[Fault Clearance time]]-WTG_BD[[#This Row],[Fault Start TimeStamp]])*24</f>
        <v>0</v>
      </c>
      <c r="T830" s="135"/>
      <c r="U830" s="244"/>
      <c r="V830" s="246">
        <f>WTG_BD[[#This Row],[Breakdown Time]]*(1/39)</f>
        <v>0</v>
      </c>
      <c r="W830" s="244"/>
      <c r="X830" s="250"/>
      <c r="Y830" s="135"/>
      <c r="Z830" s="135"/>
      <c r="AA830" s="135"/>
      <c r="AB830" s="249">
        <f>(WTG_BD[[#This Row],[Paired WTG Generation for loss calculation.]]/24)*WTG_BD[[#This Row],[Breakdown Time]]</f>
        <v>0</v>
      </c>
      <c r="AC830" s="135"/>
      <c r="AD830" s="245"/>
      <c r="AE830" s="3"/>
    </row>
    <row r="831" spans="1:31">
      <c r="A831" s="241">
        <f t="shared" si="26"/>
        <v>830</v>
      </c>
      <c r="B831" s="255"/>
      <c r="C831" s="252"/>
      <c r="D831" s="252"/>
      <c r="E831" s="251">
        <f t="shared" si="27"/>
        <v>1</v>
      </c>
      <c r="F831" s="252"/>
      <c r="G831" s="248"/>
      <c r="H831" s="242" t="str">
        <f>IFERROR(VLOOKUP(WTG_BD[[#This Row],[Affected WTG]],'Basic Data'!$A$3:$E$56,2,0),"")</f>
        <v/>
      </c>
      <c r="I831" s="242" t="str">
        <f>IFERROR(VLOOKUP(WTG_BD[[#This Row],[Affected WTG]],'Basic Data'!$A$3:$E$56,3,0),"")</f>
        <v/>
      </c>
      <c r="J831" s="243" t="str">
        <f>IFERROR(VLOOKUP(WTG_BD[[#This Row],[Affected WTG]],'Basic Data'!$A$3:$E$56,5,0),"")</f>
        <v/>
      </c>
      <c r="K831" s="158"/>
      <c r="L831" s="247" t="e">
        <f>VLOOKUP(K831,'Basic Data'!T:U,2,0)</f>
        <v>#N/A</v>
      </c>
      <c r="M831" s="135"/>
      <c r="N831" s="256"/>
      <c r="O831" s="256"/>
      <c r="P831" s="256"/>
      <c r="Q831" s="253" t="str">
        <f>IF(WTG_BD[[#This Row],[Work Start TimeStamp]]="","",(WTG_BD[[#This Row],[Work Start TimeStamp]]-WTG_BD[[#This Row],[Fault Start TimeStamp]])*24)</f>
        <v/>
      </c>
      <c r="R831" s="253">
        <f>(WTG_BD[[#This Row],[Fault Clearance time]]-WTG_BD[[#This Row],[Work Start TimeStamp]])*24</f>
        <v>0</v>
      </c>
      <c r="S831" s="253">
        <f>(WTG_BD[[#This Row],[Fault Clearance time]]-WTG_BD[[#This Row],[Fault Start TimeStamp]])*24</f>
        <v>0</v>
      </c>
      <c r="T831" s="135"/>
      <c r="U831" s="244"/>
      <c r="V831" s="246">
        <f>WTG_BD[[#This Row],[Breakdown Time]]*(1/39)</f>
        <v>0</v>
      </c>
      <c r="W831" s="244"/>
      <c r="X831" s="250"/>
      <c r="Y831" s="135"/>
      <c r="Z831" s="135"/>
      <c r="AA831" s="135"/>
      <c r="AB831" s="249">
        <f>(WTG_BD[[#This Row],[Paired WTG Generation for loss calculation.]]/24)*WTG_BD[[#This Row],[Breakdown Time]]</f>
        <v>0</v>
      </c>
      <c r="AC831" s="135"/>
      <c r="AD831" s="245"/>
      <c r="AE831" s="3"/>
    </row>
    <row r="832" spans="1:31">
      <c r="A832" s="241">
        <f t="shared" si="26"/>
        <v>831</v>
      </c>
      <c r="B832" s="255"/>
      <c r="C832" s="252"/>
      <c r="D832" s="252"/>
      <c r="E832" s="251">
        <f t="shared" si="27"/>
        <v>1</v>
      </c>
      <c r="F832" s="252"/>
      <c r="G832" s="248"/>
      <c r="H832" s="242" t="str">
        <f>IFERROR(VLOOKUP(WTG_BD[[#This Row],[Affected WTG]],'Basic Data'!$A$3:$E$56,2,0),"")</f>
        <v/>
      </c>
      <c r="I832" s="242" t="str">
        <f>IFERROR(VLOOKUP(WTG_BD[[#This Row],[Affected WTG]],'Basic Data'!$A$3:$E$56,3,0),"")</f>
        <v/>
      </c>
      <c r="J832" s="243" t="str">
        <f>IFERROR(VLOOKUP(WTG_BD[[#This Row],[Affected WTG]],'Basic Data'!$A$3:$E$56,5,0),"")</f>
        <v/>
      </c>
      <c r="K832" s="158"/>
      <c r="L832" s="247" t="e">
        <f>VLOOKUP(K832,'Basic Data'!T:U,2,0)</f>
        <v>#N/A</v>
      </c>
      <c r="M832" s="135"/>
      <c r="N832" s="256"/>
      <c r="O832" s="256"/>
      <c r="P832" s="256"/>
      <c r="Q832" s="253" t="str">
        <f>IF(WTG_BD[[#This Row],[Work Start TimeStamp]]="","",(WTG_BD[[#This Row],[Work Start TimeStamp]]-WTG_BD[[#This Row],[Fault Start TimeStamp]])*24)</f>
        <v/>
      </c>
      <c r="R832" s="253">
        <f>(WTG_BD[[#This Row],[Fault Clearance time]]-WTG_BD[[#This Row],[Work Start TimeStamp]])*24</f>
        <v>0</v>
      </c>
      <c r="S832" s="253">
        <f>(WTG_BD[[#This Row],[Fault Clearance time]]-WTG_BD[[#This Row],[Fault Start TimeStamp]])*24</f>
        <v>0</v>
      </c>
      <c r="T832" s="135"/>
      <c r="U832" s="244"/>
      <c r="V832" s="246">
        <f>WTG_BD[[#This Row],[Breakdown Time]]*(1/39)</f>
        <v>0</v>
      </c>
      <c r="W832" s="244"/>
      <c r="X832" s="250"/>
      <c r="Y832" s="135"/>
      <c r="Z832" s="135"/>
      <c r="AA832" s="135"/>
      <c r="AB832" s="249">
        <f>(WTG_BD[[#This Row],[Paired WTG Generation for loss calculation.]]/24)*WTG_BD[[#This Row],[Breakdown Time]]</f>
        <v>0</v>
      </c>
      <c r="AC832" s="135"/>
      <c r="AD832" s="245"/>
      <c r="AE832" s="3"/>
    </row>
    <row r="833" spans="1:31">
      <c r="A833" s="241">
        <f t="shared" si="26"/>
        <v>832</v>
      </c>
      <c r="B833" s="255"/>
      <c r="C833" s="252"/>
      <c r="D833" s="252"/>
      <c r="E833" s="251">
        <f t="shared" si="27"/>
        <v>1</v>
      </c>
      <c r="F833" s="252"/>
      <c r="G833" s="248"/>
      <c r="H833" s="242" t="str">
        <f>IFERROR(VLOOKUP(WTG_BD[[#This Row],[Affected WTG]],'Basic Data'!$A$3:$E$56,2,0),"")</f>
        <v/>
      </c>
      <c r="I833" s="242" t="str">
        <f>IFERROR(VLOOKUP(WTG_BD[[#This Row],[Affected WTG]],'Basic Data'!$A$3:$E$56,3,0),"")</f>
        <v/>
      </c>
      <c r="J833" s="243" t="str">
        <f>IFERROR(VLOOKUP(WTG_BD[[#This Row],[Affected WTG]],'Basic Data'!$A$3:$E$56,5,0),"")</f>
        <v/>
      </c>
      <c r="K833" s="158"/>
      <c r="L833" s="247" t="e">
        <f>VLOOKUP(K833,'Basic Data'!T:U,2,0)</f>
        <v>#N/A</v>
      </c>
      <c r="M833" s="135"/>
      <c r="N833" s="256"/>
      <c r="O833" s="256"/>
      <c r="P833" s="256"/>
      <c r="Q833" s="253" t="str">
        <f>IF(WTG_BD[[#This Row],[Work Start TimeStamp]]="","",(WTG_BD[[#This Row],[Work Start TimeStamp]]-WTG_BD[[#This Row],[Fault Start TimeStamp]])*24)</f>
        <v/>
      </c>
      <c r="R833" s="253">
        <f>(WTG_BD[[#This Row],[Fault Clearance time]]-WTG_BD[[#This Row],[Work Start TimeStamp]])*24</f>
        <v>0</v>
      </c>
      <c r="S833" s="253">
        <f>(WTG_BD[[#This Row],[Fault Clearance time]]-WTG_BD[[#This Row],[Fault Start TimeStamp]])*24</f>
        <v>0</v>
      </c>
      <c r="T833" s="135"/>
      <c r="U833" s="244"/>
      <c r="V833" s="246">
        <f>WTG_BD[[#This Row],[Breakdown Time]]*(1/39)</f>
        <v>0</v>
      </c>
      <c r="W833" s="244"/>
      <c r="X833" s="250"/>
      <c r="Y833" s="135"/>
      <c r="Z833" s="135"/>
      <c r="AA833" s="135"/>
      <c r="AB833" s="249">
        <f>(WTG_BD[[#This Row],[Paired WTG Generation for loss calculation.]]/24)*WTG_BD[[#This Row],[Breakdown Time]]</f>
        <v>0</v>
      </c>
      <c r="AC833" s="135"/>
      <c r="AD833" s="245"/>
      <c r="AE833" s="3"/>
    </row>
    <row r="834" spans="1:31">
      <c r="A834" s="241">
        <f t="shared" si="26"/>
        <v>833</v>
      </c>
      <c r="B834" s="255"/>
      <c r="C834" s="252"/>
      <c r="D834" s="252"/>
      <c r="E834" s="251">
        <f t="shared" si="27"/>
        <v>1</v>
      </c>
      <c r="F834" s="252"/>
      <c r="G834" s="248"/>
      <c r="H834" s="242" t="str">
        <f>IFERROR(VLOOKUP(WTG_BD[[#This Row],[Affected WTG]],'Basic Data'!$A$3:$E$56,2,0),"")</f>
        <v/>
      </c>
      <c r="I834" s="242" t="str">
        <f>IFERROR(VLOOKUP(WTG_BD[[#This Row],[Affected WTG]],'Basic Data'!$A$3:$E$56,3,0),"")</f>
        <v/>
      </c>
      <c r="J834" s="243" t="str">
        <f>IFERROR(VLOOKUP(WTG_BD[[#This Row],[Affected WTG]],'Basic Data'!$A$3:$E$56,5,0),"")</f>
        <v/>
      </c>
      <c r="K834" s="158"/>
      <c r="L834" s="247" t="e">
        <f>VLOOKUP(K834,'Basic Data'!T:U,2,0)</f>
        <v>#N/A</v>
      </c>
      <c r="M834" s="135"/>
      <c r="N834" s="256"/>
      <c r="O834" s="256"/>
      <c r="P834" s="256"/>
      <c r="Q834" s="253" t="str">
        <f>IF(WTG_BD[[#This Row],[Work Start TimeStamp]]="","",(WTG_BD[[#This Row],[Work Start TimeStamp]]-WTG_BD[[#This Row],[Fault Start TimeStamp]])*24)</f>
        <v/>
      </c>
      <c r="R834" s="253">
        <f>(WTG_BD[[#This Row],[Fault Clearance time]]-WTG_BD[[#This Row],[Work Start TimeStamp]])*24</f>
        <v>0</v>
      </c>
      <c r="S834" s="253">
        <f>(WTG_BD[[#This Row],[Fault Clearance time]]-WTG_BD[[#This Row],[Fault Start TimeStamp]])*24</f>
        <v>0</v>
      </c>
      <c r="T834" s="135"/>
      <c r="U834" s="244"/>
      <c r="V834" s="246">
        <f>WTG_BD[[#This Row],[Breakdown Time]]*(1/39)</f>
        <v>0</v>
      </c>
      <c r="W834" s="244"/>
      <c r="X834" s="250"/>
      <c r="Y834" s="135"/>
      <c r="Z834" s="135"/>
      <c r="AA834" s="135"/>
      <c r="AB834" s="249">
        <f>(WTG_BD[[#This Row],[Paired WTG Generation for loss calculation.]]/24)*WTG_BD[[#This Row],[Breakdown Time]]</f>
        <v>0</v>
      </c>
      <c r="AC834" s="135"/>
      <c r="AD834" s="245"/>
      <c r="AE834" s="3"/>
    </row>
    <row r="835" spans="1:31">
      <c r="A835" s="241">
        <f t="shared" si="26"/>
        <v>834</v>
      </c>
      <c r="B835" s="255"/>
      <c r="C835" s="252"/>
      <c r="D835" s="252"/>
      <c r="E835" s="251">
        <f t="shared" si="27"/>
        <v>1</v>
      </c>
      <c r="F835" s="252"/>
      <c r="G835" s="248"/>
      <c r="H835" s="242" t="str">
        <f>IFERROR(VLOOKUP(WTG_BD[[#This Row],[Affected WTG]],'Basic Data'!$A$3:$E$56,2,0),"")</f>
        <v/>
      </c>
      <c r="I835" s="242" t="str">
        <f>IFERROR(VLOOKUP(WTG_BD[[#This Row],[Affected WTG]],'Basic Data'!$A$3:$E$56,3,0),"")</f>
        <v/>
      </c>
      <c r="J835" s="243" t="str">
        <f>IFERROR(VLOOKUP(WTG_BD[[#This Row],[Affected WTG]],'Basic Data'!$A$3:$E$56,5,0),"")</f>
        <v/>
      </c>
      <c r="K835" s="158"/>
      <c r="L835" s="247" t="e">
        <f>VLOOKUP(K835,'Basic Data'!T:U,2,0)</f>
        <v>#N/A</v>
      </c>
      <c r="M835" s="135"/>
      <c r="N835" s="256"/>
      <c r="O835" s="256"/>
      <c r="P835" s="256"/>
      <c r="Q835" s="253" t="str">
        <f>IF(WTG_BD[[#This Row],[Work Start TimeStamp]]="","",(WTG_BD[[#This Row],[Work Start TimeStamp]]-WTG_BD[[#This Row],[Fault Start TimeStamp]])*24)</f>
        <v/>
      </c>
      <c r="R835" s="253">
        <f>(WTG_BD[[#This Row],[Fault Clearance time]]-WTG_BD[[#This Row],[Work Start TimeStamp]])*24</f>
        <v>0</v>
      </c>
      <c r="S835" s="253">
        <f>(WTG_BD[[#This Row],[Fault Clearance time]]-WTG_BD[[#This Row],[Fault Start TimeStamp]])*24</f>
        <v>0</v>
      </c>
      <c r="T835" s="135"/>
      <c r="U835" s="244"/>
      <c r="V835" s="246">
        <f>WTG_BD[[#This Row],[Breakdown Time]]*(1/39)</f>
        <v>0</v>
      </c>
      <c r="W835" s="244"/>
      <c r="X835" s="250"/>
      <c r="Y835" s="135"/>
      <c r="Z835" s="135"/>
      <c r="AA835" s="135"/>
      <c r="AB835" s="249">
        <f>(WTG_BD[[#This Row],[Paired WTG Generation for loss calculation.]]/24)*WTG_BD[[#This Row],[Breakdown Time]]</f>
        <v>0</v>
      </c>
      <c r="AC835" s="135"/>
      <c r="AD835" s="245"/>
      <c r="AE835" s="3"/>
    </row>
    <row r="836" spans="1:31">
      <c r="A836" s="241">
        <f t="shared" si="26"/>
        <v>835</v>
      </c>
      <c r="B836" s="255"/>
      <c r="C836" s="252"/>
      <c r="D836" s="252"/>
      <c r="E836" s="251">
        <f t="shared" si="27"/>
        <v>1</v>
      </c>
      <c r="F836" s="252"/>
      <c r="G836" s="248"/>
      <c r="H836" s="242" t="str">
        <f>IFERROR(VLOOKUP(WTG_BD[[#This Row],[Affected WTG]],'Basic Data'!$A$3:$E$56,2,0),"")</f>
        <v/>
      </c>
      <c r="I836" s="242" t="str">
        <f>IFERROR(VLOOKUP(WTG_BD[[#This Row],[Affected WTG]],'Basic Data'!$A$3:$E$56,3,0),"")</f>
        <v/>
      </c>
      <c r="J836" s="243" t="str">
        <f>IFERROR(VLOOKUP(WTG_BD[[#This Row],[Affected WTG]],'Basic Data'!$A$3:$E$56,5,0),"")</f>
        <v/>
      </c>
      <c r="K836" s="158"/>
      <c r="L836" s="247" t="e">
        <f>VLOOKUP(K836,'Basic Data'!T:U,2,0)</f>
        <v>#N/A</v>
      </c>
      <c r="M836" s="135"/>
      <c r="N836" s="256"/>
      <c r="O836" s="256"/>
      <c r="P836" s="256"/>
      <c r="Q836" s="253" t="str">
        <f>IF(WTG_BD[[#This Row],[Work Start TimeStamp]]="","",(WTG_BD[[#This Row],[Work Start TimeStamp]]-WTG_BD[[#This Row],[Fault Start TimeStamp]])*24)</f>
        <v/>
      </c>
      <c r="R836" s="253">
        <f>(WTG_BD[[#This Row],[Fault Clearance time]]-WTG_BD[[#This Row],[Work Start TimeStamp]])*24</f>
        <v>0</v>
      </c>
      <c r="S836" s="253">
        <f>(WTG_BD[[#This Row],[Fault Clearance time]]-WTG_BD[[#This Row],[Fault Start TimeStamp]])*24</f>
        <v>0</v>
      </c>
      <c r="T836" s="135"/>
      <c r="U836" s="244"/>
      <c r="V836" s="246">
        <f>WTG_BD[[#This Row],[Breakdown Time]]*(1/39)</f>
        <v>0</v>
      </c>
      <c r="W836" s="244"/>
      <c r="X836" s="250"/>
      <c r="Y836" s="135"/>
      <c r="Z836" s="135"/>
      <c r="AA836" s="135"/>
      <c r="AB836" s="249">
        <f>(WTG_BD[[#This Row],[Paired WTG Generation for loss calculation.]]/24)*WTG_BD[[#This Row],[Breakdown Time]]</f>
        <v>0</v>
      </c>
      <c r="AC836" s="135"/>
      <c r="AD836" s="245"/>
      <c r="AE836" s="3"/>
    </row>
    <row r="837" spans="1:31">
      <c r="A837" s="241">
        <f t="shared" si="26"/>
        <v>836</v>
      </c>
      <c r="B837" s="255"/>
      <c r="C837" s="252"/>
      <c r="D837" s="252"/>
      <c r="E837" s="251">
        <f t="shared" si="27"/>
        <v>1</v>
      </c>
      <c r="F837" s="252"/>
      <c r="G837" s="248"/>
      <c r="H837" s="242" t="str">
        <f>IFERROR(VLOOKUP(WTG_BD[[#This Row],[Affected WTG]],'Basic Data'!$A$3:$E$56,2,0),"")</f>
        <v/>
      </c>
      <c r="I837" s="242" t="str">
        <f>IFERROR(VLOOKUP(WTG_BD[[#This Row],[Affected WTG]],'Basic Data'!$A$3:$E$56,3,0),"")</f>
        <v/>
      </c>
      <c r="J837" s="243" t="str">
        <f>IFERROR(VLOOKUP(WTG_BD[[#This Row],[Affected WTG]],'Basic Data'!$A$3:$E$56,5,0),"")</f>
        <v/>
      </c>
      <c r="K837" s="158"/>
      <c r="L837" s="247" t="e">
        <f>VLOOKUP(K837,'Basic Data'!T:U,2,0)</f>
        <v>#N/A</v>
      </c>
      <c r="M837" s="135"/>
      <c r="N837" s="256"/>
      <c r="O837" s="256"/>
      <c r="P837" s="256"/>
      <c r="Q837" s="253" t="str">
        <f>IF(WTG_BD[[#This Row],[Work Start TimeStamp]]="","",(WTG_BD[[#This Row],[Work Start TimeStamp]]-WTG_BD[[#This Row],[Fault Start TimeStamp]])*24)</f>
        <v/>
      </c>
      <c r="R837" s="253">
        <f>(WTG_BD[[#This Row],[Fault Clearance time]]-WTG_BD[[#This Row],[Work Start TimeStamp]])*24</f>
        <v>0</v>
      </c>
      <c r="S837" s="253">
        <f>(WTG_BD[[#This Row],[Fault Clearance time]]-WTG_BD[[#This Row],[Fault Start TimeStamp]])*24</f>
        <v>0</v>
      </c>
      <c r="T837" s="135"/>
      <c r="U837" s="244"/>
      <c r="V837" s="246">
        <f>WTG_BD[[#This Row],[Breakdown Time]]*(1/39)</f>
        <v>0</v>
      </c>
      <c r="W837" s="244"/>
      <c r="X837" s="250"/>
      <c r="Y837" s="135"/>
      <c r="Z837" s="135"/>
      <c r="AA837" s="135"/>
      <c r="AB837" s="249">
        <f>(WTG_BD[[#This Row],[Paired WTG Generation for loss calculation.]]/24)*WTG_BD[[#This Row],[Breakdown Time]]</f>
        <v>0</v>
      </c>
      <c r="AC837" s="135"/>
      <c r="AD837" s="245"/>
      <c r="AE837" s="3"/>
    </row>
    <row r="838" spans="1:31">
      <c r="A838" s="241">
        <f t="shared" ref="A838:A901" si="28">A837+1</f>
        <v>837</v>
      </c>
      <c r="B838" s="255"/>
      <c r="C838" s="252"/>
      <c r="D838" s="252"/>
      <c r="E838" s="251">
        <f t="shared" si="27"/>
        <v>1</v>
      </c>
      <c r="F838" s="252"/>
      <c r="G838" s="248"/>
      <c r="H838" s="242" t="str">
        <f>IFERROR(VLOOKUP(WTG_BD[[#This Row],[Affected WTG]],'Basic Data'!$A$3:$E$56,2,0),"")</f>
        <v/>
      </c>
      <c r="I838" s="242" t="str">
        <f>IFERROR(VLOOKUP(WTG_BD[[#This Row],[Affected WTG]],'Basic Data'!$A$3:$E$56,3,0),"")</f>
        <v/>
      </c>
      <c r="J838" s="243" t="str">
        <f>IFERROR(VLOOKUP(WTG_BD[[#This Row],[Affected WTG]],'Basic Data'!$A$3:$E$56,5,0),"")</f>
        <v/>
      </c>
      <c r="K838" s="158"/>
      <c r="L838" s="247" t="e">
        <f>VLOOKUP(K838,'Basic Data'!T:U,2,0)</f>
        <v>#N/A</v>
      </c>
      <c r="M838" s="135"/>
      <c r="N838" s="256"/>
      <c r="O838" s="256"/>
      <c r="P838" s="256"/>
      <c r="Q838" s="253" t="str">
        <f>IF(WTG_BD[[#This Row],[Work Start TimeStamp]]="","",(WTG_BD[[#This Row],[Work Start TimeStamp]]-WTG_BD[[#This Row],[Fault Start TimeStamp]])*24)</f>
        <v/>
      </c>
      <c r="R838" s="253">
        <f>(WTG_BD[[#This Row],[Fault Clearance time]]-WTG_BD[[#This Row],[Work Start TimeStamp]])*24</f>
        <v>0</v>
      </c>
      <c r="S838" s="253">
        <f>(WTG_BD[[#This Row],[Fault Clearance time]]-WTG_BD[[#This Row],[Fault Start TimeStamp]])*24</f>
        <v>0</v>
      </c>
      <c r="T838" s="135"/>
      <c r="U838" s="244"/>
      <c r="V838" s="246">
        <f>WTG_BD[[#This Row],[Breakdown Time]]*(1/39)</f>
        <v>0</v>
      </c>
      <c r="W838" s="244"/>
      <c r="X838" s="250"/>
      <c r="Y838" s="135"/>
      <c r="Z838" s="135"/>
      <c r="AA838" s="135"/>
      <c r="AB838" s="249">
        <f>(WTG_BD[[#This Row],[Paired WTG Generation for loss calculation.]]/24)*WTG_BD[[#This Row],[Breakdown Time]]</f>
        <v>0</v>
      </c>
      <c r="AC838" s="135"/>
      <c r="AD838" s="245"/>
      <c r="AE838" s="3"/>
    </row>
    <row r="839" spans="1:31">
      <c r="A839" s="241">
        <f t="shared" si="28"/>
        <v>838</v>
      </c>
      <c r="B839" s="255"/>
      <c r="C839" s="252"/>
      <c r="D839" s="252"/>
      <c r="E839" s="251">
        <f t="shared" si="27"/>
        <v>1</v>
      </c>
      <c r="F839" s="252"/>
      <c r="G839" s="248"/>
      <c r="H839" s="242" t="str">
        <f>IFERROR(VLOOKUP(WTG_BD[[#This Row],[Affected WTG]],'Basic Data'!$A$3:$E$56,2,0),"")</f>
        <v/>
      </c>
      <c r="I839" s="242" t="str">
        <f>IFERROR(VLOOKUP(WTG_BD[[#This Row],[Affected WTG]],'Basic Data'!$A$3:$E$56,3,0),"")</f>
        <v/>
      </c>
      <c r="J839" s="243" t="str">
        <f>IFERROR(VLOOKUP(WTG_BD[[#This Row],[Affected WTG]],'Basic Data'!$A$3:$E$56,5,0),"")</f>
        <v/>
      </c>
      <c r="K839" s="158"/>
      <c r="L839" s="247" t="e">
        <f>VLOOKUP(K839,'Basic Data'!T:U,2,0)</f>
        <v>#N/A</v>
      </c>
      <c r="M839" s="135"/>
      <c r="N839" s="256"/>
      <c r="O839" s="256"/>
      <c r="P839" s="256"/>
      <c r="Q839" s="253" t="str">
        <f>IF(WTG_BD[[#This Row],[Work Start TimeStamp]]="","",(WTG_BD[[#This Row],[Work Start TimeStamp]]-WTG_BD[[#This Row],[Fault Start TimeStamp]])*24)</f>
        <v/>
      </c>
      <c r="R839" s="253">
        <f>(WTG_BD[[#This Row],[Fault Clearance time]]-WTG_BD[[#This Row],[Work Start TimeStamp]])*24</f>
        <v>0</v>
      </c>
      <c r="S839" s="253">
        <f>(WTG_BD[[#This Row],[Fault Clearance time]]-WTG_BD[[#This Row],[Fault Start TimeStamp]])*24</f>
        <v>0</v>
      </c>
      <c r="T839" s="135"/>
      <c r="U839" s="244"/>
      <c r="V839" s="246">
        <f>WTG_BD[[#This Row],[Breakdown Time]]*(1/39)</f>
        <v>0</v>
      </c>
      <c r="W839" s="244"/>
      <c r="X839" s="250"/>
      <c r="Y839" s="135"/>
      <c r="Z839" s="135"/>
      <c r="AA839" s="135"/>
      <c r="AB839" s="249">
        <f>(WTG_BD[[#This Row],[Paired WTG Generation for loss calculation.]]/24)*WTG_BD[[#This Row],[Breakdown Time]]</f>
        <v>0</v>
      </c>
      <c r="AC839" s="135"/>
      <c r="AD839" s="245"/>
      <c r="AE839" s="3"/>
    </row>
    <row r="840" spans="1:31">
      <c r="A840" s="241">
        <f t="shared" si="28"/>
        <v>839</v>
      </c>
      <c r="B840" s="255"/>
      <c r="C840" s="252"/>
      <c r="D840" s="252"/>
      <c r="E840" s="251">
        <f t="shared" si="27"/>
        <v>1</v>
      </c>
      <c r="F840" s="252"/>
      <c r="G840" s="248"/>
      <c r="H840" s="242" t="str">
        <f>IFERROR(VLOOKUP(WTG_BD[[#This Row],[Affected WTG]],'Basic Data'!$A$3:$E$56,2,0),"")</f>
        <v/>
      </c>
      <c r="I840" s="242" t="str">
        <f>IFERROR(VLOOKUP(WTG_BD[[#This Row],[Affected WTG]],'Basic Data'!$A$3:$E$56,3,0),"")</f>
        <v/>
      </c>
      <c r="J840" s="243" t="str">
        <f>IFERROR(VLOOKUP(WTG_BD[[#This Row],[Affected WTG]],'Basic Data'!$A$3:$E$56,5,0),"")</f>
        <v/>
      </c>
      <c r="K840" s="158"/>
      <c r="L840" s="247" t="e">
        <f>VLOOKUP(K840,'Basic Data'!T:U,2,0)</f>
        <v>#N/A</v>
      </c>
      <c r="M840" s="135"/>
      <c r="N840" s="256"/>
      <c r="O840" s="256"/>
      <c r="P840" s="256"/>
      <c r="Q840" s="253" t="str">
        <f>IF(WTG_BD[[#This Row],[Work Start TimeStamp]]="","",(WTG_BD[[#This Row],[Work Start TimeStamp]]-WTG_BD[[#This Row],[Fault Start TimeStamp]])*24)</f>
        <v/>
      </c>
      <c r="R840" s="253">
        <f>(WTG_BD[[#This Row],[Fault Clearance time]]-WTG_BD[[#This Row],[Work Start TimeStamp]])*24</f>
        <v>0</v>
      </c>
      <c r="S840" s="253">
        <f>(WTG_BD[[#This Row],[Fault Clearance time]]-WTG_BD[[#This Row],[Fault Start TimeStamp]])*24</f>
        <v>0</v>
      </c>
      <c r="T840" s="135"/>
      <c r="U840" s="244"/>
      <c r="V840" s="246">
        <f>WTG_BD[[#This Row],[Breakdown Time]]*(1/39)</f>
        <v>0</v>
      </c>
      <c r="W840" s="244"/>
      <c r="X840" s="250"/>
      <c r="Y840" s="135"/>
      <c r="Z840" s="135"/>
      <c r="AA840" s="135"/>
      <c r="AB840" s="249">
        <f>(WTG_BD[[#This Row],[Paired WTG Generation for loss calculation.]]/24)*WTG_BD[[#This Row],[Breakdown Time]]</f>
        <v>0</v>
      </c>
      <c r="AC840" s="135"/>
      <c r="AD840" s="245"/>
      <c r="AE840" s="3"/>
    </row>
    <row r="841" spans="1:31">
      <c r="A841" s="241">
        <f t="shared" si="28"/>
        <v>840</v>
      </c>
      <c r="B841" s="255"/>
      <c r="C841" s="252"/>
      <c r="D841" s="252"/>
      <c r="E841" s="251">
        <f t="shared" si="27"/>
        <v>1</v>
      </c>
      <c r="F841" s="252"/>
      <c r="G841" s="248"/>
      <c r="H841" s="242" t="str">
        <f>IFERROR(VLOOKUP(WTG_BD[[#This Row],[Affected WTG]],'Basic Data'!$A$3:$E$56,2,0),"")</f>
        <v/>
      </c>
      <c r="I841" s="242" t="str">
        <f>IFERROR(VLOOKUP(WTG_BD[[#This Row],[Affected WTG]],'Basic Data'!$A$3:$E$56,3,0),"")</f>
        <v/>
      </c>
      <c r="J841" s="243" t="str">
        <f>IFERROR(VLOOKUP(WTG_BD[[#This Row],[Affected WTG]],'Basic Data'!$A$3:$E$56,5,0),"")</f>
        <v/>
      </c>
      <c r="K841" s="158"/>
      <c r="L841" s="247" t="e">
        <f>VLOOKUP(K841,'Basic Data'!T:U,2,0)</f>
        <v>#N/A</v>
      </c>
      <c r="M841" s="135"/>
      <c r="N841" s="256"/>
      <c r="O841" s="256"/>
      <c r="P841" s="256"/>
      <c r="Q841" s="253" t="str">
        <f>IF(WTG_BD[[#This Row],[Work Start TimeStamp]]="","",(WTG_BD[[#This Row],[Work Start TimeStamp]]-WTG_BD[[#This Row],[Fault Start TimeStamp]])*24)</f>
        <v/>
      </c>
      <c r="R841" s="253">
        <f>(WTG_BD[[#This Row],[Fault Clearance time]]-WTG_BD[[#This Row],[Work Start TimeStamp]])*24</f>
        <v>0</v>
      </c>
      <c r="S841" s="253">
        <f>(WTG_BD[[#This Row],[Fault Clearance time]]-WTG_BD[[#This Row],[Fault Start TimeStamp]])*24</f>
        <v>0</v>
      </c>
      <c r="T841" s="135"/>
      <c r="U841" s="244"/>
      <c r="V841" s="246">
        <f>WTG_BD[[#This Row],[Breakdown Time]]*(1/39)</f>
        <v>0</v>
      </c>
      <c r="W841" s="244"/>
      <c r="X841" s="250"/>
      <c r="Y841" s="135"/>
      <c r="Z841" s="135"/>
      <c r="AA841" s="135"/>
      <c r="AB841" s="249">
        <f>(WTG_BD[[#This Row],[Paired WTG Generation for loss calculation.]]/24)*WTG_BD[[#This Row],[Breakdown Time]]</f>
        <v>0</v>
      </c>
      <c r="AC841" s="135"/>
      <c r="AD841" s="245"/>
      <c r="AE841" s="3"/>
    </row>
    <row r="842" spans="1:31">
      <c r="A842" s="241">
        <f t="shared" si="28"/>
        <v>841</v>
      </c>
      <c r="B842" s="255"/>
      <c r="C842" s="252"/>
      <c r="D842" s="252"/>
      <c r="E842" s="251">
        <f t="shared" si="27"/>
        <v>1</v>
      </c>
      <c r="F842" s="252"/>
      <c r="G842" s="248"/>
      <c r="H842" s="242" t="str">
        <f>IFERROR(VLOOKUP(WTG_BD[[#This Row],[Affected WTG]],'Basic Data'!$A$3:$E$56,2,0),"")</f>
        <v/>
      </c>
      <c r="I842" s="242" t="str">
        <f>IFERROR(VLOOKUP(WTG_BD[[#This Row],[Affected WTG]],'Basic Data'!$A$3:$E$56,3,0),"")</f>
        <v/>
      </c>
      <c r="J842" s="243" t="str">
        <f>IFERROR(VLOOKUP(WTG_BD[[#This Row],[Affected WTG]],'Basic Data'!$A$3:$E$56,5,0),"")</f>
        <v/>
      </c>
      <c r="K842" s="158"/>
      <c r="L842" s="247" t="e">
        <f>VLOOKUP(K842,'Basic Data'!T:U,2,0)</f>
        <v>#N/A</v>
      </c>
      <c r="M842" s="135"/>
      <c r="N842" s="256"/>
      <c r="O842" s="256"/>
      <c r="P842" s="256"/>
      <c r="Q842" s="253" t="str">
        <f>IF(WTG_BD[[#This Row],[Work Start TimeStamp]]="","",(WTG_BD[[#This Row],[Work Start TimeStamp]]-WTG_BD[[#This Row],[Fault Start TimeStamp]])*24)</f>
        <v/>
      </c>
      <c r="R842" s="253">
        <f>(WTG_BD[[#This Row],[Fault Clearance time]]-WTG_BD[[#This Row],[Work Start TimeStamp]])*24</f>
        <v>0</v>
      </c>
      <c r="S842" s="253">
        <f>(WTG_BD[[#This Row],[Fault Clearance time]]-WTG_BD[[#This Row],[Fault Start TimeStamp]])*24</f>
        <v>0</v>
      </c>
      <c r="T842" s="135"/>
      <c r="U842" s="244"/>
      <c r="V842" s="246">
        <f>WTG_BD[[#This Row],[Breakdown Time]]*(1/39)</f>
        <v>0</v>
      </c>
      <c r="W842" s="244"/>
      <c r="X842" s="250"/>
      <c r="Y842" s="135"/>
      <c r="Z842" s="135"/>
      <c r="AA842" s="135"/>
      <c r="AB842" s="249">
        <f>(WTG_BD[[#This Row],[Paired WTG Generation for loss calculation.]]/24)*WTG_BD[[#This Row],[Breakdown Time]]</f>
        <v>0</v>
      </c>
      <c r="AC842" s="135"/>
      <c r="AD842" s="245"/>
      <c r="AE842" s="3"/>
    </row>
    <row r="843" spans="1:31">
      <c r="A843" s="241">
        <f t="shared" si="28"/>
        <v>842</v>
      </c>
      <c r="B843" s="255"/>
      <c r="C843" s="252"/>
      <c r="D843" s="252"/>
      <c r="E843" s="251">
        <f t="shared" si="27"/>
        <v>1</v>
      </c>
      <c r="F843" s="252"/>
      <c r="G843" s="248"/>
      <c r="H843" s="242" t="str">
        <f>IFERROR(VLOOKUP(WTG_BD[[#This Row],[Affected WTG]],'Basic Data'!$A$3:$E$56,2,0),"")</f>
        <v/>
      </c>
      <c r="I843" s="242" t="str">
        <f>IFERROR(VLOOKUP(WTG_BD[[#This Row],[Affected WTG]],'Basic Data'!$A$3:$E$56,3,0),"")</f>
        <v/>
      </c>
      <c r="J843" s="243" t="str">
        <f>IFERROR(VLOOKUP(WTG_BD[[#This Row],[Affected WTG]],'Basic Data'!$A$3:$E$56,5,0),"")</f>
        <v/>
      </c>
      <c r="K843" s="158"/>
      <c r="L843" s="247" t="e">
        <f>VLOOKUP(K843,'Basic Data'!T:U,2,0)</f>
        <v>#N/A</v>
      </c>
      <c r="M843" s="135"/>
      <c r="N843" s="256"/>
      <c r="O843" s="256"/>
      <c r="P843" s="256"/>
      <c r="Q843" s="253" t="str">
        <f>IF(WTG_BD[[#This Row],[Work Start TimeStamp]]="","",(WTG_BD[[#This Row],[Work Start TimeStamp]]-WTG_BD[[#This Row],[Fault Start TimeStamp]])*24)</f>
        <v/>
      </c>
      <c r="R843" s="253">
        <f>(WTG_BD[[#This Row],[Fault Clearance time]]-WTG_BD[[#This Row],[Work Start TimeStamp]])*24</f>
        <v>0</v>
      </c>
      <c r="S843" s="253">
        <f>(WTG_BD[[#This Row],[Fault Clearance time]]-WTG_BD[[#This Row],[Fault Start TimeStamp]])*24</f>
        <v>0</v>
      </c>
      <c r="T843" s="135"/>
      <c r="U843" s="244"/>
      <c r="V843" s="246">
        <f>WTG_BD[[#This Row],[Breakdown Time]]*(1/39)</f>
        <v>0</v>
      </c>
      <c r="W843" s="244"/>
      <c r="X843" s="250"/>
      <c r="Y843" s="135"/>
      <c r="Z843" s="135"/>
      <c r="AA843" s="135"/>
      <c r="AB843" s="249">
        <f>(WTG_BD[[#This Row],[Paired WTG Generation for loss calculation.]]/24)*WTG_BD[[#This Row],[Breakdown Time]]</f>
        <v>0</v>
      </c>
      <c r="AC843" s="135"/>
      <c r="AD843" s="245"/>
      <c r="AE843" s="3"/>
    </row>
    <row r="844" spans="1:31">
      <c r="A844" s="241">
        <f t="shared" si="28"/>
        <v>843</v>
      </c>
      <c r="B844" s="255"/>
      <c r="C844" s="252"/>
      <c r="D844" s="252"/>
      <c r="E844" s="251">
        <f t="shared" si="27"/>
        <v>1</v>
      </c>
      <c r="F844" s="252"/>
      <c r="G844" s="248"/>
      <c r="H844" s="242" t="str">
        <f>IFERROR(VLOOKUP(WTG_BD[[#This Row],[Affected WTG]],'Basic Data'!$A$3:$E$56,2,0),"")</f>
        <v/>
      </c>
      <c r="I844" s="242" t="str">
        <f>IFERROR(VLOOKUP(WTG_BD[[#This Row],[Affected WTG]],'Basic Data'!$A$3:$E$56,3,0),"")</f>
        <v/>
      </c>
      <c r="J844" s="243" t="str">
        <f>IFERROR(VLOOKUP(WTG_BD[[#This Row],[Affected WTG]],'Basic Data'!$A$3:$E$56,5,0),"")</f>
        <v/>
      </c>
      <c r="K844" s="158"/>
      <c r="L844" s="247" t="e">
        <f>VLOOKUP(K844,'Basic Data'!T:U,2,0)</f>
        <v>#N/A</v>
      </c>
      <c r="M844" s="135"/>
      <c r="N844" s="256"/>
      <c r="O844" s="256"/>
      <c r="P844" s="256"/>
      <c r="Q844" s="253" t="str">
        <f>IF(WTG_BD[[#This Row],[Work Start TimeStamp]]="","",(WTG_BD[[#This Row],[Work Start TimeStamp]]-WTG_BD[[#This Row],[Fault Start TimeStamp]])*24)</f>
        <v/>
      </c>
      <c r="R844" s="253">
        <f>(WTG_BD[[#This Row],[Fault Clearance time]]-WTG_BD[[#This Row],[Work Start TimeStamp]])*24</f>
        <v>0</v>
      </c>
      <c r="S844" s="253">
        <f>(WTG_BD[[#This Row],[Fault Clearance time]]-WTG_BD[[#This Row],[Fault Start TimeStamp]])*24</f>
        <v>0</v>
      </c>
      <c r="T844" s="135"/>
      <c r="U844" s="244"/>
      <c r="V844" s="246">
        <f>WTG_BD[[#This Row],[Breakdown Time]]*(1/39)</f>
        <v>0</v>
      </c>
      <c r="W844" s="244"/>
      <c r="X844" s="250"/>
      <c r="Y844" s="135"/>
      <c r="Z844" s="135"/>
      <c r="AA844" s="135"/>
      <c r="AB844" s="249">
        <f>(WTG_BD[[#This Row],[Paired WTG Generation for loss calculation.]]/24)*WTG_BD[[#This Row],[Breakdown Time]]</f>
        <v>0</v>
      </c>
      <c r="AC844" s="135"/>
      <c r="AD844" s="245"/>
      <c r="AE844" s="3"/>
    </row>
    <row r="845" spans="1:31">
      <c r="A845" s="241">
        <f t="shared" si="28"/>
        <v>844</v>
      </c>
      <c r="B845" s="255"/>
      <c r="C845" s="252"/>
      <c r="D845" s="252"/>
      <c r="E845" s="251">
        <f t="shared" si="27"/>
        <v>1</v>
      </c>
      <c r="F845" s="252"/>
      <c r="G845" s="248"/>
      <c r="H845" s="242" t="str">
        <f>IFERROR(VLOOKUP(WTG_BD[[#This Row],[Affected WTG]],'Basic Data'!$A$3:$E$56,2,0),"")</f>
        <v/>
      </c>
      <c r="I845" s="242" t="str">
        <f>IFERROR(VLOOKUP(WTG_BD[[#This Row],[Affected WTG]],'Basic Data'!$A$3:$E$56,3,0),"")</f>
        <v/>
      </c>
      <c r="J845" s="243" t="str">
        <f>IFERROR(VLOOKUP(WTG_BD[[#This Row],[Affected WTG]],'Basic Data'!$A$3:$E$56,5,0),"")</f>
        <v/>
      </c>
      <c r="K845" s="158"/>
      <c r="L845" s="247" t="e">
        <f>VLOOKUP(K845,'Basic Data'!T:U,2,0)</f>
        <v>#N/A</v>
      </c>
      <c r="M845" s="135"/>
      <c r="N845" s="256"/>
      <c r="O845" s="256"/>
      <c r="P845" s="256"/>
      <c r="Q845" s="253" t="str">
        <f>IF(WTG_BD[[#This Row],[Work Start TimeStamp]]="","",(WTG_BD[[#This Row],[Work Start TimeStamp]]-WTG_BD[[#This Row],[Fault Start TimeStamp]])*24)</f>
        <v/>
      </c>
      <c r="R845" s="253">
        <f>(WTG_BD[[#This Row],[Fault Clearance time]]-WTG_BD[[#This Row],[Work Start TimeStamp]])*24</f>
        <v>0</v>
      </c>
      <c r="S845" s="253">
        <f>(WTG_BD[[#This Row],[Fault Clearance time]]-WTG_BD[[#This Row],[Fault Start TimeStamp]])*24</f>
        <v>0</v>
      </c>
      <c r="T845" s="135"/>
      <c r="U845" s="244"/>
      <c r="V845" s="246">
        <f>WTG_BD[[#This Row],[Breakdown Time]]*(1/39)</f>
        <v>0</v>
      </c>
      <c r="W845" s="244"/>
      <c r="X845" s="250"/>
      <c r="Y845" s="135"/>
      <c r="Z845" s="135"/>
      <c r="AA845" s="135"/>
      <c r="AB845" s="249">
        <f>(WTG_BD[[#This Row],[Paired WTG Generation for loss calculation.]]/24)*WTG_BD[[#This Row],[Breakdown Time]]</f>
        <v>0</v>
      </c>
      <c r="AC845" s="135"/>
      <c r="AD845" s="245"/>
      <c r="AE845" s="3"/>
    </row>
    <row r="846" spans="1:31">
      <c r="A846" s="241">
        <f t="shared" si="28"/>
        <v>845</v>
      </c>
      <c r="B846" s="255"/>
      <c r="C846" s="252"/>
      <c r="D846" s="252"/>
      <c r="E846" s="251">
        <f t="shared" si="27"/>
        <v>1</v>
      </c>
      <c r="F846" s="252"/>
      <c r="G846" s="248"/>
      <c r="H846" s="242" t="str">
        <f>IFERROR(VLOOKUP(WTG_BD[[#This Row],[Affected WTG]],'Basic Data'!$A$3:$E$56,2,0),"")</f>
        <v/>
      </c>
      <c r="I846" s="242" t="str">
        <f>IFERROR(VLOOKUP(WTG_BD[[#This Row],[Affected WTG]],'Basic Data'!$A$3:$E$56,3,0),"")</f>
        <v/>
      </c>
      <c r="J846" s="243" t="str">
        <f>IFERROR(VLOOKUP(WTG_BD[[#This Row],[Affected WTG]],'Basic Data'!$A$3:$E$56,5,0),"")</f>
        <v/>
      </c>
      <c r="K846" s="158"/>
      <c r="L846" s="247" t="e">
        <f>VLOOKUP(K846,'Basic Data'!T:U,2,0)</f>
        <v>#N/A</v>
      </c>
      <c r="M846" s="135"/>
      <c r="N846" s="256"/>
      <c r="O846" s="256"/>
      <c r="P846" s="256"/>
      <c r="Q846" s="253" t="str">
        <f>IF(WTG_BD[[#This Row],[Work Start TimeStamp]]="","",(WTG_BD[[#This Row],[Work Start TimeStamp]]-WTG_BD[[#This Row],[Fault Start TimeStamp]])*24)</f>
        <v/>
      </c>
      <c r="R846" s="253">
        <f>(WTG_BD[[#This Row],[Fault Clearance time]]-WTG_BD[[#This Row],[Work Start TimeStamp]])*24</f>
        <v>0</v>
      </c>
      <c r="S846" s="253">
        <f>(WTG_BD[[#This Row],[Fault Clearance time]]-WTG_BD[[#This Row],[Fault Start TimeStamp]])*24</f>
        <v>0</v>
      </c>
      <c r="T846" s="135"/>
      <c r="U846" s="244"/>
      <c r="V846" s="246">
        <f>WTG_BD[[#This Row],[Breakdown Time]]*(1/39)</f>
        <v>0</v>
      </c>
      <c r="W846" s="244"/>
      <c r="X846" s="250"/>
      <c r="Y846" s="135"/>
      <c r="Z846" s="135"/>
      <c r="AA846" s="135"/>
      <c r="AB846" s="249">
        <f>(WTG_BD[[#This Row],[Paired WTG Generation for loss calculation.]]/24)*WTG_BD[[#This Row],[Breakdown Time]]</f>
        <v>0</v>
      </c>
      <c r="AC846" s="135"/>
      <c r="AD846" s="245"/>
      <c r="AE846" s="3"/>
    </row>
    <row r="847" spans="1:31">
      <c r="A847" s="241">
        <f t="shared" si="28"/>
        <v>846</v>
      </c>
      <c r="B847" s="255"/>
      <c r="C847" s="252"/>
      <c r="D847" s="252"/>
      <c r="E847" s="251">
        <f t="shared" si="27"/>
        <v>1</v>
      </c>
      <c r="F847" s="252"/>
      <c r="G847" s="248"/>
      <c r="H847" s="242" t="str">
        <f>IFERROR(VLOOKUP(WTG_BD[[#This Row],[Affected WTG]],'Basic Data'!$A$3:$E$56,2,0),"")</f>
        <v/>
      </c>
      <c r="I847" s="242" t="str">
        <f>IFERROR(VLOOKUP(WTG_BD[[#This Row],[Affected WTG]],'Basic Data'!$A$3:$E$56,3,0),"")</f>
        <v/>
      </c>
      <c r="J847" s="243" t="str">
        <f>IFERROR(VLOOKUP(WTG_BD[[#This Row],[Affected WTG]],'Basic Data'!$A$3:$E$56,5,0),"")</f>
        <v/>
      </c>
      <c r="K847" s="158"/>
      <c r="L847" s="247" t="e">
        <f>VLOOKUP(K847,'Basic Data'!T:U,2,0)</f>
        <v>#N/A</v>
      </c>
      <c r="M847" s="135"/>
      <c r="N847" s="256"/>
      <c r="O847" s="256"/>
      <c r="P847" s="256"/>
      <c r="Q847" s="253" t="str">
        <f>IF(WTG_BD[[#This Row],[Work Start TimeStamp]]="","",(WTG_BD[[#This Row],[Work Start TimeStamp]]-WTG_BD[[#This Row],[Fault Start TimeStamp]])*24)</f>
        <v/>
      </c>
      <c r="R847" s="253">
        <f>(WTG_BD[[#This Row],[Fault Clearance time]]-WTG_BD[[#This Row],[Work Start TimeStamp]])*24</f>
        <v>0</v>
      </c>
      <c r="S847" s="253">
        <f>(WTG_BD[[#This Row],[Fault Clearance time]]-WTG_BD[[#This Row],[Fault Start TimeStamp]])*24</f>
        <v>0</v>
      </c>
      <c r="T847" s="135"/>
      <c r="U847" s="244"/>
      <c r="V847" s="246">
        <f>WTG_BD[[#This Row],[Breakdown Time]]*(1/39)</f>
        <v>0</v>
      </c>
      <c r="W847" s="244"/>
      <c r="X847" s="250"/>
      <c r="Y847" s="135"/>
      <c r="Z847" s="135"/>
      <c r="AA847" s="135"/>
      <c r="AB847" s="249">
        <f>(WTG_BD[[#This Row],[Paired WTG Generation for loss calculation.]]/24)*WTG_BD[[#This Row],[Breakdown Time]]</f>
        <v>0</v>
      </c>
      <c r="AC847" s="135"/>
      <c r="AD847" s="245"/>
      <c r="AE847" s="3"/>
    </row>
    <row r="848" spans="1:31">
      <c r="A848" s="241">
        <f t="shared" si="28"/>
        <v>847</v>
      </c>
      <c r="B848" s="255"/>
      <c r="C848" s="252"/>
      <c r="D848" s="252"/>
      <c r="E848" s="251">
        <f t="shared" si="27"/>
        <v>1</v>
      </c>
      <c r="F848" s="252"/>
      <c r="G848" s="248"/>
      <c r="H848" s="242" t="str">
        <f>IFERROR(VLOOKUP(WTG_BD[[#This Row],[Affected WTG]],'Basic Data'!$A$3:$E$56,2,0),"")</f>
        <v/>
      </c>
      <c r="I848" s="242" t="str">
        <f>IFERROR(VLOOKUP(WTG_BD[[#This Row],[Affected WTG]],'Basic Data'!$A$3:$E$56,3,0),"")</f>
        <v/>
      </c>
      <c r="J848" s="243" t="str">
        <f>IFERROR(VLOOKUP(WTG_BD[[#This Row],[Affected WTG]],'Basic Data'!$A$3:$E$56,5,0),"")</f>
        <v/>
      </c>
      <c r="K848" s="158"/>
      <c r="L848" s="247" t="e">
        <f>VLOOKUP(K848,'Basic Data'!T:U,2,0)</f>
        <v>#N/A</v>
      </c>
      <c r="M848" s="135"/>
      <c r="N848" s="256"/>
      <c r="O848" s="256"/>
      <c r="P848" s="256"/>
      <c r="Q848" s="253" t="str">
        <f>IF(WTG_BD[[#This Row],[Work Start TimeStamp]]="","",(WTG_BD[[#This Row],[Work Start TimeStamp]]-WTG_BD[[#This Row],[Fault Start TimeStamp]])*24)</f>
        <v/>
      </c>
      <c r="R848" s="253">
        <f>(WTG_BD[[#This Row],[Fault Clearance time]]-WTG_BD[[#This Row],[Work Start TimeStamp]])*24</f>
        <v>0</v>
      </c>
      <c r="S848" s="253">
        <f>(WTG_BD[[#This Row],[Fault Clearance time]]-WTG_BD[[#This Row],[Fault Start TimeStamp]])*24</f>
        <v>0</v>
      </c>
      <c r="T848" s="135"/>
      <c r="U848" s="244"/>
      <c r="V848" s="246">
        <f>WTG_BD[[#This Row],[Breakdown Time]]*(1/39)</f>
        <v>0</v>
      </c>
      <c r="W848" s="244"/>
      <c r="X848" s="250"/>
      <c r="Y848" s="135"/>
      <c r="Z848" s="135"/>
      <c r="AA848" s="135"/>
      <c r="AB848" s="249">
        <f>(WTG_BD[[#This Row],[Paired WTG Generation for loss calculation.]]/24)*WTG_BD[[#This Row],[Breakdown Time]]</f>
        <v>0</v>
      </c>
      <c r="AC848" s="135"/>
      <c r="AD848" s="245"/>
      <c r="AE848" s="3"/>
    </row>
    <row r="849" spans="1:31">
      <c r="A849" s="241">
        <f t="shared" si="28"/>
        <v>848</v>
      </c>
      <c r="B849" s="255"/>
      <c r="C849" s="252"/>
      <c r="D849" s="252"/>
      <c r="E849" s="251">
        <f t="shared" si="27"/>
        <v>1</v>
      </c>
      <c r="F849" s="252"/>
      <c r="G849" s="248"/>
      <c r="H849" s="242" t="str">
        <f>IFERROR(VLOOKUP(WTG_BD[[#This Row],[Affected WTG]],'Basic Data'!$A$3:$E$56,2,0),"")</f>
        <v/>
      </c>
      <c r="I849" s="242" t="str">
        <f>IFERROR(VLOOKUP(WTG_BD[[#This Row],[Affected WTG]],'Basic Data'!$A$3:$E$56,3,0),"")</f>
        <v/>
      </c>
      <c r="J849" s="243" t="str">
        <f>IFERROR(VLOOKUP(WTG_BD[[#This Row],[Affected WTG]],'Basic Data'!$A$3:$E$56,5,0),"")</f>
        <v/>
      </c>
      <c r="K849" s="158"/>
      <c r="L849" s="247" t="e">
        <f>VLOOKUP(K849,'Basic Data'!T:U,2,0)</f>
        <v>#N/A</v>
      </c>
      <c r="M849" s="135"/>
      <c r="N849" s="256"/>
      <c r="O849" s="256"/>
      <c r="P849" s="256"/>
      <c r="Q849" s="253" t="str">
        <f>IF(WTG_BD[[#This Row],[Work Start TimeStamp]]="","",(WTG_BD[[#This Row],[Work Start TimeStamp]]-WTG_BD[[#This Row],[Fault Start TimeStamp]])*24)</f>
        <v/>
      </c>
      <c r="R849" s="253">
        <f>(WTG_BD[[#This Row],[Fault Clearance time]]-WTG_BD[[#This Row],[Work Start TimeStamp]])*24</f>
        <v>0</v>
      </c>
      <c r="S849" s="253">
        <f>(WTG_BD[[#This Row],[Fault Clearance time]]-WTG_BD[[#This Row],[Fault Start TimeStamp]])*24</f>
        <v>0</v>
      </c>
      <c r="T849" s="135"/>
      <c r="U849" s="244"/>
      <c r="V849" s="246">
        <f>WTG_BD[[#This Row],[Breakdown Time]]*(1/39)</f>
        <v>0</v>
      </c>
      <c r="W849" s="244"/>
      <c r="X849" s="250"/>
      <c r="Y849" s="135"/>
      <c r="Z849" s="135"/>
      <c r="AA849" s="135"/>
      <c r="AB849" s="249">
        <f>(WTG_BD[[#This Row],[Paired WTG Generation for loss calculation.]]/24)*WTG_BD[[#This Row],[Breakdown Time]]</f>
        <v>0</v>
      </c>
      <c r="AC849" s="135"/>
      <c r="AD849" s="245"/>
      <c r="AE849" s="3"/>
    </row>
    <row r="850" spans="1:31">
      <c r="A850" s="241">
        <f t="shared" si="28"/>
        <v>849</v>
      </c>
      <c r="B850" s="255"/>
      <c r="C850" s="252"/>
      <c r="D850" s="252"/>
      <c r="E850" s="251">
        <f t="shared" si="27"/>
        <v>1</v>
      </c>
      <c r="F850" s="252"/>
      <c r="G850" s="248"/>
      <c r="H850" s="242" t="str">
        <f>IFERROR(VLOOKUP(WTG_BD[[#This Row],[Affected WTG]],'Basic Data'!$A$3:$E$56,2,0),"")</f>
        <v/>
      </c>
      <c r="I850" s="242" t="str">
        <f>IFERROR(VLOOKUP(WTG_BD[[#This Row],[Affected WTG]],'Basic Data'!$A$3:$E$56,3,0),"")</f>
        <v/>
      </c>
      <c r="J850" s="243" t="str">
        <f>IFERROR(VLOOKUP(WTG_BD[[#This Row],[Affected WTG]],'Basic Data'!$A$3:$E$56,5,0),"")</f>
        <v/>
      </c>
      <c r="K850" s="158"/>
      <c r="L850" s="247" t="e">
        <f>VLOOKUP(K850,'Basic Data'!T:U,2,0)</f>
        <v>#N/A</v>
      </c>
      <c r="M850" s="135"/>
      <c r="N850" s="256"/>
      <c r="O850" s="256"/>
      <c r="P850" s="256"/>
      <c r="Q850" s="253" t="str">
        <f>IF(WTG_BD[[#This Row],[Work Start TimeStamp]]="","",(WTG_BD[[#This Row],[Work Start TimeStamp]]-WTG_BD[[#This Row],[Fault Start TimeStamp]])*24)</f>
        <v/>
      </c>
      <c r="R850" s="253">
        <f>(WTG_BD[[#This Row],[Fault Clearance time]]-WTG_BD[[#This Row],[Work Start TimeStamp]])*24</f>
        <v>0</v>
      </c>
      <c r="S850" s="253">
        <f>(WTG_BD[[#This Row],[Fault Clearance time]]-WTG_BD[[#This Row],[Fault Start TimeStamp]])*24</f>
        <v>0</v>
      </c>
      <c r="T850" s="135"/>
      <c r="U850" s="244"/>
      <c r="V850" s="246">
        <f>WTG_BD[[#This Row],[Breakdown Time]]*(1/39)</f>
        <v>0</v>
      </c>
      <c r="W850" s="244"/>
      <c r="X850" s="250"/>
      <c r="Y850" s="135"/>
      <c r="Z850" s="135"/>
      <c r="AA850" s="135"/>
      <c r="AB850" s="249">
        <f>(WTG_BD[[#This Row],[Paired WTG Generation for loss calculation.]]/24)*WTG_BD[[#This Row],[Breakdown Time]]</f>
        <v>0</v>
      </c>
      <c r="AC850" s="135"/>
      <c r="AD850" s="245"/>
      <c r="AE850" s="3"/>
    </row>
    <row r="851" spans="1:31">
      <c r="A851" s="241">
        <f t="shared" si="28"/>
        <v>850</v>
      </c>
      <c r="B851" s="255"/>
      <c r="C851" s="252"/>
      <c r="D851" s="252"/>
      <c r="E851" s="251">
        <f t="shared" si="27"/>
        <v>1</v>
      </c>
      <c r="F851" s="252"/>
      <c r="G851" s="248"/>
      <c r="H851" s="242" t="str">
        <f>IFERROR(VLOOKUP(WTG_BD[[#This Row],[Affected WTG]],'Basic Data'!$A$3:$E$56,2,0),"")</f>
        <v/>
      </c>
      <c r="I851" s="242" t="str">
        <f>IFERROR(VLOOKUP(WTG_BD[[#This Row],[Affected WTG]],'Basic Data'!$A$3:$E$56,3,0),"")</f>
        <v/>
      </c>
      <c r="J851" s="243" t="str">
        <f>IFERROR(VLOOKUP(WTG_BD[[#This Row],[Affected WTG]],'Basic Data'!$A$3:$E$56,5,0),"")</f>
        <v/>
      </c>
      <c r="K851" s="158"/>
      <c r="L851" s="247" t="e">
        <f>VLOOKUP(K851,'Basic Data'!T:U,2,0)</f>
        <v>#N/A</v>
      </c>
      <c r="M851" s="135"/>
      <c r="N851" s="256"/>
      <c r="O851" s="256"/>
      <c r="P851" s="256"/>
      <c r="Q851" s="253" t="str">
        <f>IF(WTG_BD[[#This Row],[Work Start TimeStamp]]="","",(WTG_BD[[#This Row],[Work Start TimeStamp]]-WTG_BD[[#This Row],[Fault Start TimeStamp]])*24)</f>
        <v/>
      </c>
      <c r="R851" s="253">
        <f>(WTG_BD[[#This Row],[Fault Clearance time]]-WTG_BD[[#This Row],[Work Start TimeStamp]])*24</f>
        <v>0</v>
      </c>
      <c r="S851" s="253">
        <f>(WTG_BD[[#This Row],[Fault Clearance time]]-WTG_BD[[#This Row],[Fault Start TimeStamp]])*24</f>
        <v>0</v>
      </c>
      <c r="T851" s="135"/>
      <c r="U851" s="244"/>
      <c r="V851" s="246">
        <f>WTG_BD[[#This Row],[Breakdown Time]]*(1/39)</f>
        <v>0</v>
      </c>
      <c r="W851" s="244"/>
      <c r="X851" s="250"/>
      <c r="Y851" s="135"/>
      <c r="Z851" s="135"/>
      <c r="AA851" s="135"/>
      <c r="AB851" s="249">
        <f>(WTG_BD[[#This Row],[Paired WTG Generation for loss calculation.]]/24)*WTG_BD[[#This Row],[Breakdown Time]]</f>
        <v>0</v>
      </c>
      <c r="AC851" s="135"/>
      <c r="AD851" s="245"/>
      <c r="AE851" s="3"/>
    </row>
    <row r="852" spans="1:31">
      <c r="A852" s="241">
        <f t="shared" si="28"/>
        <v>851</v>
      </c>
      <c r="B852" s="255"/>
      <c r="C852" s="252"/>
      <c r="D852" s="252"/>
      <c r="E852" s="251">
        <f t="shared" si="27"/>
        <v>1</v>
      </c>
      <c r="F852" s="252"/>
      <c r="G852" s="248"/>
      <c r="H852" s="242" t="str">
        <f>IFERROR(VLOOKUP(WTG_BD[[#This Row],[Affected WTG]],'Basic Data'!$A$3:$E$56,2,0),"")</f>
        <v/>
      </c>
      <c r="I852" s="242" t="str">
        <f>IFERROR(VLOOKUP(WTG_BD[[#This Row],[Affected WTG]],'Basic Data'!$A$3:$E$56,3,0),"")</f>
        <v/>
      </c>
      <c r="J852" s="243" t="str">
        <f>IFERROR(VLOOKUP(WTG_BD[[#This Row],[Affected WTG]],'Basic Data'!$A$3:$E$56,5,0),"")</f>
        <v/>
      </c>
      <c r="K852" s="158"/>
      <c r="L852" s="247" t="e">
        <f>VLOOKUP(K852,'Basic Data'!T:U,2,0)</f>
        <v>#N/A</v>
      </c>
      <c r="M852" s="135"/>
      <c r="N852" s="256"/>
      <c r="O852" s="256"/>
      <c r="P852" s="256"/>
      <c r="Q852" s="253" t="str">
        <f>IF(WTG_BD[[#This Row],[Work Start TimeStamp]]="","",(WTG_BD[[#This Row],[Work Start TimeStamp]]-WTG_BD[[#This Row],[Fault Start TimeStamp]])*24)</f>
        <v/>
      </c>
      <c r="R852" s="253">
        <f>(WTG_BD[[#This Row],[Fault Clearance time]]-WTG_BD[[#This Row],[Work Start TimeStamp]])*24</f>
        <v>0</v>
      </c>
      <c r="S852" s="253">
        <f>(WTG_BD[[#This Row],[Fault Clearance time]]-WTG_BD[[#This Row],[Fault Start TimeStamp]])*24</f>
        <v>0</v>
      </c>
      <c r="T852" s="135"/>
      <c r="U852" s="244"/>
      <c r="V852" s="246">
        <f>WTG_BD[[#This Row],[Breakdown Time]]*(1/39)</f>
        <v>0</v>
      </c>
      <c r="W852" s="244"/>
      <c r="X852" s="250"/>
      <c r="Y852" s="135"/>
      <c r="Z852" s="135"/>
      <c r="AA852" s="135"/>
      <c r="AB852" s="249">
        <f>(WTG_BD[[#This Row],[Paired WTG Generation for loss calculation.]]/24)*WTG_BD[[#This Row],[Breakdown Time]]</f>
        <v>0</v>
      </c>
      <c r="AC852" s="135"/>
      <c r="AD852" s="245"/>
      <c r="AE852" s="3"/>
    </row>
    <row r="853" spans="1:31">
      <c r="A853" s="241">
        <f t="shared" si="28"/>
        <v>852</v>
      </c>
      <c r="B853" s="255"/>
      <c r="C853" s="252"/>
      <c r="D853" s="252"/>
      <c r="E853" s="251">
        <f t="shared" si="27"/>
        <v>1</v>
      </c>
      <c r="F853" s="252"/>
      <c r="G853" s="248"/>
      <c r="H853" s="242" t="str">
        <f>IFERROR(VLOOKUP(WTG_BD[[#This Row],[Affected WTG]],'Basic Data'!$A$3:$E$56,2,0),"")</f>
        <v/>
      </c>
      <c r="I853" s="242" t="str">
        <f>IFERROR(VLOOKUP(WTG_BD[[#This Row],[Affected WTG]],'Basic Data'!$A$3:$E$56,3,0),"")</f>
        <v/>
      </c>
      <c r="J853" s="243" t="str">
        <f>IFERROR(VLOOKUP(WTG_BD[[#This Row],[Affected WTG]],'Basic Data'!$A$3:$E$56,5,0),"")</f>
        <v/>
      </c>
      <c r="K853" s="158"/>
      <c r="L853" s="247" t="e">
        <f>VLOOKUP(K853,'Basic Data'!T:U,2,0)</f>
        <v>#N/A</v>
      </c>
      <c r="M853" s="135"/>
      <c r="N853" s="256"/>
      <c r="O853" s="256"/>
      <c r="P853" s="256"/>
      <c r="Q853" s="253" t="str">
        <f>IF(WTG_BD[[#This Row],[Work Start TimeStamp]]="","",(WTG_BD[[#This Row],[Work Start TimeStamp]]-WTG_BD[[#This Row],[Fault Start TimeStamp]])*24)</f>
        <v/>
      </c>
      <c r="R853" s="253">
        <f>(WTG_BD[[#This Row],[Fault Clearance time]]-WTG_BD[[#This Row],[Work Start TimeStamp]])*24</f>
        <v>0</v>
      </c>
      <c r="S853" s="253">
        <f>(WTG_BD[[#This Row],[Fault Clearance time]]-WTG_BD[[#This Row],[Fault Start TimeStamp]])*24</f>
        <v>0</v>
      </c>
      <c r="T853" s="135"/>
      <c r="U853" s="244"/>
      <c r="V853" s="246">
        <f>WTG_BD[[#This Row],[Breakdown Time]]*(1/39)</f>
        <v>0</v>
      </c>
      <c r="W853" s="244"/>
      <c r="X853" s="250"/>
      <c r="Y853" s="135"/>
      <c r="Z853" s="135"/>
      <c r="AA853" s="135"/>
      <c r="AB853" s="249">
        <f>(WTG_BD[[#This Row],[Paired WTG Generation for loss calculation.]]/24)*WTG_BD[[#This Row],[Breakdown Time]]</f>
        <v>0</v>
      </c>
      <c r="AC853" s="135"/>
      <c r="AD853" s="245"/>
      <c r="AE853" s="3"/>
    </row>
    <row r="854" spans="1:31">
      <c r="A854" s="241">
        <f t="shared" si="28"/>
        <v>853</v>
      </c>
      <c r="B854" s="255"/>
      <c r="C854" s="252"/>
      <c r="D854" s="252"/>
      <c r="E854" s="251">
        <f t="shared" si="27"/>
        <v>1</v>
      </c>
      <c r="F854" s="252"/>
      <c r="G854" s="248"/>
      <c r="H854" s="242" t="str">
        <f>IFERROR(VLOOKUP(WTG_BD[[#This Row],[Affected WTG]],'Basic Data'!$A$3:$E$56,2,0),"")</f>
        <v/>
      </c>
      <c r="I854" s="242" t="str">
        <f>IFERROR(VLOOKUP(WTG_BD[[#This Row],[Affected WTG]],'Basic Data'!$A$3:$E$56,3,0),"")</f>
        <v/>
      </c>
      <c r="J854" s="243" t="str">
        <f>IFERROR(VLOOKUP(WTG_BD[[#This Row],[Affected WTG]],'Basic Data'!$A$3:$E$56,5,0),"")</f>
        <v/>
      </c>
      <c r="K854" s="158"/>
      <c r="L854" s="247" t="e">
        <f>VLOOKUP(K854,'Basic Data'!T:U,2,0)</f>
        <v>#N/A</v>
      </c>
      <c r="M854" s="135"/>
      <c r="N854" s="256"/>
      <c r="O854" s="256"/>
      <c r="P854" s="256"/>
      <c r="Q854" s="253" t="str">
        <f>IF(WTG_BD[[#This Row],[Work Start TimeStamp]]="","",(WTG_BD[[#This Row],[Work Start TimeStamp]]-WTG_BD[[#This Row],[Fault Start TimeStamp]])*24)</f>
        <v/>
      </c>
      <c r="R854" s="253">
        <f>(WTG_BD[[#This Row],[Fault Clearance time]]-WTG_BD[[#This Row],[Work Start TimeStamp]])*24</f>
        <v>0</v>
      </c>
      <c r="S854" s="253">
        <f>(WTG_BD[[#This Row],[Fault Clearance time]]-WTG_BD[[#This Row],[Fault Start TimeStamp]])*24</f>
        <v>0</v>
      </c>
      <c r="T854" s="135"/>
      <c r="U854" s="244"/>
      <c r="V854" s="246">
        <f>WTG_BD[[#This Row],[Breakdown Time]]*(1/39)</f>
        <v>0</v>
      </c>
      <c r="W854" s="244"/>
      <c r="X854" s="250"/>
      <c r="Y854" s="135"/>
      <c r="Z854" s="135"/>
      <c r="AA854" s="135"/>
      <c r="AB854" s="249">
        <f>(WTG_BD[[#This Row],[Paired WTG Generation for loss calculation.]]/24)*WTG_BD[[#This Row],[Breakdown Time]]</f>
        <v>0</v>
      </c>
      <c r="AC854" s="135"/>
      <c r="AD854" s="245"/>
      <c r="AE854" s="3"/>
    </row>
    <row r="855" spans="1:31">
      <c r="A855" s="241">
        <f t="shared" si="28"/>
        <v>854</v>
      </c>
      <c r="B855" s="255"/>
      <c r="C855" s="252"/>
      <c r="D855" s="252"/>
      <c r="E855" s="251">
        <f t="shared" si="27"/>
        <v>1</v>
      </c>
      <c r="F855" s="252"/>
      <c r="G855" s="248"/>
      <c r="H855" s="242" t="str">
        <f>IFERROR(VLOOKUP(WTG_BD[[#This Row],[Affected WTG]],'Basic Data'!$A$3:$E$56,2,0),"")</f>
        <v/>
      </c>
      <c r="I855" s="242" t="str">
        <f>IFERROR(VLOOKUP(WTG_BD[[#This Row],[Affected WTG]],'Basic Data'!$A$3:$E$56,3,0),"")</f>
        <v/>
      </c>
      <c r="J855" s="243" t="str">
        <f>IFERROR(VLOOKUP(WTG_BD[[#This Row],[Affected WTG]],'Basic Data'!$A$3:$E$56,5,0),"")</f>
        <v/>
      </c>
      <c r="K855" s="158"/>
      <c r="L855" s="247" t="e">
        <f>VLOOKUP(K855,'Basic Data'!T:U,2,0)</f>
        <v>#N/A</v>
      </c>
      <c r="M855" s="135"/>
      <c r="N855" s="256"/>
      <c r="O855" s="256"/>
      <c r="P855" s="256"/>
      <c r="Q855" s="253" t="str">
        <f>IF(WTG_BD[[#This Row],[Work Start TimeStamp]]="","",(WTG_BD[[#This Row],[Work Start TimeStamp]]-WTG_BD[[#This Row],[Fault Start TimeStamp]])*24)</f>
        <v/>
      </c>
      <c r="R855" s="253">
        <f>(WTG_BD[[#This Row],[Fault Clearance time]]-WTG_BD[[#This Row],[Work Start TimeStamp]])*24</f>
        <v>0</v>
      </c>
      <c r="S855" s="253">
        <f>(WTG_BD[[#This Row],[Fault Clearance time]]-WTG_BD[[#This Row],[Fault Start TimeStamp]])*24</f>
        <v>0</v>
      </c>
      <c r="T855" s="135"/>
      <c r="U855" s="244"/>
      <c r="V855" s="246">
        <f>WTG_BD[[#This Row],[Breakdown Time]]*(1/39)</f>
        <v>0</v>
      </c>
      <c r="W855" s="244"/>
      <c r="X855" s="250"/>
      <c r="Y855" s="135"/>
      <c r="Z855" s="135"/>
      <c r="AA855" s="135"/>
      <c r="AB855" s="249">
        <f>(WTG_BD[[#This Row],[Paired WTG Generation for loss calculation.]]/24)*WTG_BD[[#This Row],[Breakdown Time]]</f>
        <v>0</v>
      </c>
      <c r="AC855" s="135"/>
      <c r="AD855" s="245"/>
      <c r="AE855" s="3"/>
    </row>
    <row r="856" spans="1:31">
      <c r="A856" s="241">
        <f t="shared" si="28"/>
        <v>855</v>
      </c>
      <c r="B856" s="255"/>
      <c r="C856" s="252"/>
      <c r="D856" s="252"/>
      <c r="E856" s="251">
        <f t="shared" si="27"/>
        <v>1</v>
      </c>
      <c r="F856" s="252"/>
      <c r="G856" s="248"/>
      <c r="H856" s="242" t="str">
        <f>IFERROR(VLOOKUP(WTG_BD[[#This Row],[Affected WTG]],'Basic Data'!$A$3:$E$56,2,0),"")</f>
        <v/>
      </c>
      <c r="I856" s="242" t="str">
        <f>IFERROR(VLOOKUP(WTG_BD[[#This Row],[Affected WTG]],'Basic Data'!$A$3:$E$56,3,0),"")</f>
        <v/>
      </c>
      <c r="J856" s="243" t="str">
        <f>IFERROR(VLOOKUP(WTG_BD[[#This Row],[Affected WTG]],'Basic Data'!$A$3:$E$56,5,0),"")</f>
        <v/>
      </c>
      <c r="K856" s="158"/>
      <c r="L856" s="247" t="e">
        <f>VLOOKUP(K856,'Basic Data'!T:U,2,0)</f>
        <v>#N/A</v>
      </c>
      <c r="M856" s="135"/>
      <c r="N856" s="256"/>
      <c r="O856" s="256"/>
      <c r="P856" s="256"/>
      <c r="Q856" s="253" t="str">
        <f>IF(WTG_BD[[#This Row],[Work Start TimeStamp]]="","",(WTG_BD[[#This Row],[Work Start TimeStamp]]-WTG_BD[[#This Row],[Fault Start TimeStamp]])*24)</f>
        <v/>
      </c>
      <c r="R856" s="253">
        <f>(WTG_BD[[#This Row],[Fault Clearance time]]-WTG_BD[[#This Row],[Work Start TimeStamp]])*24</f>
        <v>0</v>
      </c>
      <c r="S856" s="253">
        <f>(WTG_BD[[#This Row],[Fault Clearance time]]-WTG_BD[[#This Row],[Fault Start TimeStamp]])*24</f>
        <v>0</v>
      </c>
      <c r="T856" s="135"/>
      <c r="U856" s="244"/>
      <c r="V856" s="246">
        <f>WTG_BD[[#This Row],[Breakdown Time]]*(1/39)</f>
        <v>0</v>
      </c>
      <c r="W856" s="244"/>
      <c r="X856" s="250"/>
      <c r="Y856" s="135"/>
      <c r="Z856" s="135"/>
      <c r="AA856" s="135"/>
      <c r="AB856" s="249">
        <f>(WTG_BD[[#This Row],[Paired WTG Generation for loss calculation.]]/24)*WTG_BD[[#This Row],[Breakdown Time]]</f>
        <v>0</v>
      </c>
      <c r="AC856" s="135"/>
      <c r="AD856" s="245"/>
      <c r="AE856" s="3"/>
    </row>
    <row r="857" spans="1:31">
      <c r="A857" s="241">
        <f t="shared" si="28"/>
        <v>856</v>
      </c>
      <c r="B857" s="255"/>
      <c r="C857" s="252"/>
      <c r="D857" s="252"/>
      <c r="E857" s="251">
        <f t="shared" si="27"/>
        <v>1</v>
      </c>
      <c r="F857" s="252"/>
      <c r="G857" s="248"/>
      <c r="H857" s="242" t="str">
        <f>IFERROR(VLOOKUP(WTG_BD[[#This Row],[Affected WTG]],'Basic Data'!$A$3:$E$56,2,0),"")</f>
        <v/>
      </c>
      <c r="I857" s="242" t="str">
        <f>IFERROR(VLOOKUP(WTG_BD[[#This Row],[Affected WTG]],'Basic Data'!$A$3:$E$56,3,0),"")</f>
        <v/>
      </c>
      <c r="J857" s="243" t="str">
        <f>IFERROR(VLOOKUP(WTG_BD[[#This Row],[Affected WTG]],'Basic Data'!$A$3:$E$56,5,0),"")</f>
        <v/>
      </c>
      <c r="K857" s="158"/>
      <c r="L857" s="247" t="e">
        <f>VLOOKUP(K857,'Basic Data'!T:U,2,0)</f>
        <v>#N/A</v>
      </c>
      <c r="M857" s="135"/>
      <c r="N857" s="256"/>
      <c r="O857" s="256"/>
      <c r="P857" s="256"/>
      <c r="Q857" s="253" t="str">
        <f>IF(WTG_BD[[#This Row],[Work Start TimeStamp]]="","",(WTG_BD[[#This Row],[Work Start TimeStamp]]-WTG_BD[[#This Row],[Fault Start TimeStamp]])*24)</f>
        <v/>
      </c>
      <c r="R857" s="253">
        <f>(WTG_BD[[#This Row],[Fault Clearance time]]-WTG_BD[[#This Row],[Work Start TimeStamp]])*24</f>
        <v>0</v>
      </c>
      <c r="S857" s="253">
        <f>(WTG_BD[[#This Row],[Fault Clearance time]]-WTG_BD[[#This Row],[Fault Start TimeStamp]])*24</f>
        <v>0</v>
      </c>
      <c r="T857" s="135"/>
      <c r="U857" s="244"/>
      <c r="V857" s="246">
        <f>WTG_BD[[#This Row],[Breakdown Time]]*(1/39)</f>
        <v>0</v>
      </c>
      <c r="W857" s="244"/>
      <c r="X857" s="250"/>
      <c r="Y857" s="135"/>
      <c r="Z857" s="135"/>
      <c r="AA857" s="135"/>
      <c r="AB857" s="249">
        <f>(WTG_BD[[#This Row],[Paired WTG Generation for loss calculation.]]/24)*WTG_BD[[#This Row],[Breakdown Time]]</f>
        <v>0</v>
      </c>
      <c r="AC857" s="135"/>
      <c r="AD857" s="245"/>
      <c r="AE857" s="3"/>
    </row>
    <row r="858" spans="1:31">
      <c r="A858" s="241">
        <f t="shared" si="28"/>
        <v>857</v>
      </c>
      <c r="B858" s="255"/>
      <c r="C858" s="252"/>
      <c r="D858" s="252"/>
      <c r="E858" s="251">
        <f t="shared" si="27"/>
        <v>1</v>
      </c>
      <c r="F858" s="252"/>
      <c r="G858" s="248"/>
      <c r="H858" s="242" t="str">
        <f>IFERROR(VLOOKUP(WTG_BD[[#This Row],[Affected WTG]],'Basic Data'!$A$3:$E$56,2,0),"")</f>
        <v/>
      </c>
      <c r="I858" s="242" t="str">
        <f>IFERROR(VLOOKUP(WTG_BD[[#This Row],[Affected WTG]],'Basic Data'!$A$3:$E$56,3,0),"")</f>
        <v/>
      </c>
      <c r="J858" s="243" t="str">
        <f>IFERROR(VLOOKUP(WTG_BD[[#This Row],[Affected WTG]],'Basic Data'!$A$3:$E$56,5,0),"")</f>
        <v/>
      </c>
      <c r="K858" s="158"/>
      <c r="L858" s="247" t="e">
        <f>VLOOKUP(K858,'Basic Data'!T:U,2,0)</f>
        <v>#N/A</v>
      </c>
      <c r="M858" s="135"/>
      <c r="N858" s="256"/>
      <c r="O858" s="256"/>
      <c r="P858" s="256"/>
      <c r="Q858" s="253" t="str">
        <f>IF(WTG_BD[[#This Row],[Work Start TimeStamp]]="","",(WTG_BD[[#This Row],[Work Start TimeStamp]]-WTG_BD[[#This Row],[Fault Start TimeStamp]])*24)</f>
        <v/>
      </c>
      <c r="R858" s="253">
        <f>(WTG_BD[[#This Row],[Fault Clearance time]]-WTG_BD[[#This Row],[Work Start TimeStamp]])*24</f>
        <v>0</v>
      </c>
      <c r="S858" s="253">
        <f>(WTG_BD[[#This Row],[Fault Clearance time]]-WTG_BD[[#This Row],[Fault Start TimeStamp]])*24</f>
        <v>0</v>
      </c>
      <c r="T858" s="135"/>
      <c r="U858" s="244"/>
      <c r="V858" s="246">
        <f>WTG_BD[[#This Row],[Breakdown Time]]*(1/39)</f>
        <v>0</v>
      </c>
      <c r="W858" s="244"/>
      <c r="X858" s="250"/>
      <c r="Y858" s="135"/>
      <c r="Z858" s="135"/>
      <c r="AA858" s="135"/>
      <c r="AB858" s="249">
        <f>(WTG_BD[[#This Row],[Paired WTG Generation for loss calculation.]]/24)*WTG_BD[[#This Row],[Breakdown Time]]</f>
        <v>0</v>
      </c>
      <c r="AC858" s="135"/>
      <c r="AD858" s="245"/>
      <c r="AE858" s="3"/>
    </row>
    <row r="859" spans="1:31">
      <c r="A859" s="241">
        <f t="shared" si="28"/>
        <v>858</v>
      </c>
      <c r="B859" s="255"/>
      <c r="C859" s="252"/>
      <c r="D859" s="252"/>
      <c r="E859" s="251">
        <f t="shared" si="27"/>
        <v>1</v>
      </c>
      <c r="F859" s="252"/>
      <c r="G859" s="248"/>
      <c r="H859" s="242" t="str">
        <f>IFERROR(VLOOKUP(WTG_BD[[#This Row],[Affected WTG]],'Basic Data'!$A$3:$E$56,2,0),"")</f>
        <v/>
      </c>
      <c r="I859" s="242" t="str">
        <f>IFERROR(VLOOKUP(WTG_BD[[#This Row],[Affected WTG]],'Basic Data'!$A$3:$E$56,3,0),"")</f>
        <v/>
      </c>
      <c r="J859" s="243" t="str">
        <f>IFERROR(VLOOKUP(WTG_BD[[#This Row],[Affected WTG]],'Basic Data'!$A$3:$E$56,5,0),"")</f>
        <v/>
      </c>
      <c r="K859" s="158"/>
      <c r="L859" s="247" t="e">
        <f>VLOOKUP(K859,'Basic Data'!T:U,2,0)</f>
        <v>#N/A</v>
      </c>
      <c r="M859" s="135"/>
      <c r="N859" s="256"/>
      <c r="O859" s="256"/>
      <c r="P859" s="256"/>
      <c r="Q859" s="253" t="str">
        <f>IF(WTG_BD[[#This Row],[Work Start TimeStamp]]="","",(WTG_BD[[#This Row],[Work Start TimeStamp]]-WTG_BD[[#This Row],[Fault Start TimeStamp]])*24)</f>
        <v/>
      </c>
      <c r="R859" s="253">
        <f>(WTG_BD[[#This Row],[Fault Clearance time]]-WTG_BD[[#This Row],[Work Start TimeStamp]])*24</f>
        <v>0</v>
      </c>
      <c r="S859" s="253">
        <f>(WTG_BD[[#This Row],[Fault Clearance time]]-WTG_BD[[#This Row],[Fault Start TimeStamp]])*24</f>
        <v>0</v>
      </c>
      <c r="T859" s="135"/>
      <c r="U859" s="244"/>
      <c r="V859" s="246">
        <f>WTG_BD[[#This Row],[Breakdown Time]]*(1/39)</f>
        <v>0</v>
      </c>
      <c r="W859" s="244"/>
      <c r="X859" s="250"/>
      <c r="Y859" s="135"/>
      <c r="Z859" s="135"/>
      <c r="AA859" s="135"/>
      <c r="AB859" s="249">
        <f>(WTG_BD[[#This Row],[Paired WTG Generation for loss calculation.]]/24)*WTG_BD[[#This Row],[Breakdown Time]]</f>
        <v>0</v>
      </c>
      <c r="AC859" s="135"/>
      <c r="AD859" s="245"/>
      <c r="AE859" s="3"/>
    </row>
    <row r="860" spans="1:31">
      <c r="A860" s="241">
        <f t="shared" si="28"/>
        <v>859</v>
      </c>
      <c r="B860" s="255"/>
      <c r="C860" s="252"/>
      <c r="D860" s="252"/>
      <c r="E860" s="251">
        <f t="shared" si="27"/>
        <v>1</v>
      </c>
      <c r="F860" s="252"/>
      <c r="G860" s="248"/>
      <c r="H860" s="242" t="str">
        <f>IFERROR(VLOOKUP(WTG_BD[[#This Row],[Affected WTG]],'Basic Data'!$A$3:$E$56,2,0),"")</f>
        <v/>
      </c>
      <c r="I860" s="242" t="str">
        <f>IFERROR(VLOOKUP(WTG_BD[[#This Row],[Affected WTG]],'Basic Data'!$A$3:$E$56,3,0),"")</f>
        <v/>
      </c>
      <c r="J860" s="243" t="str">
        <f>IFERROR(VLOOKUP(WTG_BD[[#This Row],[Affected WTG]],'Basic Data'!$A$3:$E$56,5,0),"")</f>
        <v/>
      </c>
      <c r="K860" s="158"/>
      <c r="L860" s="247" t="e">
        <f>VLOOKUP(K860,'Basic Data'!T:U,2,0)</f>
        <v>#N/A</v>
      </c>
      <c r="M860" s="135"/>
      <c r="N860" s="256"/>
      <c r="O860" s="256"/>
      <c r="P860" s="256"/>
      <c r="Q860" s="253" t="str">
        <f>IF(WTG_BD[[#This Row],[Work Start TimeStamp]]="","",(WTG_BD[[#This Row],[Work Start TimeStamp]]-WTG_BD[[#This Row],[Fault Start TimeStamp]])*24)</f>
        <v/>
      </c>
      <c r="R860" s="253">
        <f>(WTG_BD[[#This Row],[Fault Clearance time]]-WTG_BD[[#This Row],[Work Start TimeStamp]])*24</f>
        <v>0</v>
      </c>
      <c r="S860" s="253">
        <f>(WTG_BD[[#This Row],[Fault Clearance time]]-WTG_BD[[#This Row],[Fault Start TimeStamp]])*24</f>
        <v>0</v>
      </c>
      <c r="T860" s="135"/>
      <c r="U860" s="244"/>
      <c r="V860" s="246">
        <f>WTG_BD[[#This Row],[Breakdown Time]]*(1/39)</f>
        <v>0</v>
      </c>
      <c r="W860" s="244"/>
      <c r="X860" s="250"/>
      <c r="Y860" s="135"/>
      <c r="Z860" s="135"/>
      <c r="AA860" s="135"/>
      <c r="AB860" s="249">
        <f>(WTG_BD[[#This Row],[Paired WTG Generation for loss calculation.]]/24)*WTG_BD[[#This Row],[Breakdown Time]]</f>
        <v>0</v>
      </c>
      <c r="AC860" s="135"/>
      <c r="AD860" s="245"/>
      <c r="AE860" s="3"/>
    </row>
    <row r="861" spans="1:31">
      <c r="A861" s="241">
        <f t="shared" si="28"/>
        <v>860</v>
      </c>
      <c r="B861" s="255"/>
      <c r="C861" s="252"/>
      <c r="D861" s="252"/>
      <c r="E861" s="251">
        <f t="shared" si="27"/>
        <v>1</v>
      </c>
      <c r="F861" s="252"/>
      <c r="G861" s="248"/>
      <c r="H861" s="242" t="str">
        <f>IFERROR(VLOOKUP(WTG_BD[[#This Row],[Affected WTG]],'Basic Data'!$A$3:$E$56,2,0),"")</f>
        <v/>
      </c>
      <c r="I861" s="242" t="str">
        <f>IFERROR(VLOOKUP(WTG_BD[[#This Row],[Affected WTG]],'Basic Data'!$A$3:$E$56,3,0),"")</f>
        <v/>
      </c>
      <c r="J861" s="243" t="str">
        <f>IFERROR(VLOOKUP(WTG_BD[[#This Row],[Affected WTG]],'Basic Data'!$A$3:$E$56,5,0),"")</f>
        <v/>
      </c>
      <c r="K861" s="158"/>
      <c r="L861" s="247" t="e">
        <f>VLOOKUP(K861,'Basic Data'!T:U,2,0)</f>
        <v>#N/A</v>
      </c>
      <c r="M861" s="135"/>
      <c r="N861" s="256"/>
      <c r="O861" s="256"/>
      <c r="P861" s="256"/>
      <c r="Q861" s="253" t="str">
        <f>IF(WTG_BD[[#This Row],[Work Start TimeStamp]]="","",(WTG_BD[[#This Row],[Work Start TimeStamp]]-WTG_BD[[#This Row],[Fault Start TimeStamp]])*24)</f>
        <v/>
      </c>
      <c r="R861" s="253">
        <f>(WTG_BD[[#This Row],[Fault Clearance time]]-WTG_BD[[#This Row],[Work Start TimeStamp]])*24</f>
        <v>0</v>
      </c>
      <c r="S861" s="253">
        <f>(WTG_BD[[#This Row],[Fault Clearance time]]-WTG_BD[[#This Row],[Fault Start TimeStamp]])*24</f>
        <v>0</v>
      </c>
      <c r="T861" s="135"/>
      <c r="U861" s="244"/>
      <c r="V861" s="246">
        <f>WTG_BD[[#This Row],[Breakdown Time]]*(1/39)</f>
        <v>0</v>
      </c>
      <c r="W861" s="244"/>
      <c r="X861" s="250"/>
      <c r="Y861" s="135"/>
      <c r="Z861" s="135"/>
      <c r="AA861" s="135"/>
      <c r="AB861" s="249">
        <f>(WTG_BD[[#This Row],[Paired WTG Generation for loss calculation.]]/24)*WTG_BD[[#This Row],[Breakdown Time]]</f>
        <v>0</v>
      </c>
      <c r="AC861" s="135"/>
      <c r="AD861" s="245"/>
      <c r="AE861" s="3"/>
    </row>
    <row r="862" spans="1:31">
      <c r="A862" s="241">
        <f t="shared" si="28"/>
        <v>861</v>
      </c>
      <c r="B862" s="255"/>
      <c r="C862" s="252"/>
      <c r="D862" s="252"/>
      <c r="E862" s="251">
        <f t="shared" si="27"/>
        <v>1</v>
      </c>
      <c r="F862" s="252"/>
      <c r="G862" s="248"/>
      <c r="H862" s="242" t="str">
        <f>IFERROR(VLOOKUP(WTG_BD[[#This Row],[Affected WTG]],'Basic Data'!$A$3:$E$56,2,0),"")</f>
        <v/>
      </c>
      <c r="I862" s="242" t="str">
        <f>IFERROR(VLOOKUP(WTG_BD[[#This Row],[Affected WTG]],'Basic Data'!$A$3:$E$56,3,0),"")</f>
        <v/>
      </c>
      <c r="J862" s="243" t="str">
        <f>IFERROR(VLOOKUP(WTG_BD[[#This Row],[Affected WTG]],'Basic Data'!$A$3:$E$56,5,0),"")</f>
        <v/>
      </c>
      <c r="K862" s="158"/>
      <c r="L862" s="247" t="e">
        <f>VLOOKUP(K862,'Basic Data'!T:U,2,0)</f>
        <v>#N/A</v>
      </c>
      <c r="M862" s="135"/>
      <c r="N862" s="256"/>
      <c r="O862" s="256"/>
      <c r="P862" s="256"/>
      <c r="Q862" s="253" t="str">
        <f>IF(WTG_BD[[#This Row],[Work Start TimeStamp]]="","",(WTG_BD[[#This Row],[Work Start TimeStamp]]-WTG_BD[[#This Row],[Fault Start TimeStamp]])*24)</f>
        <v/>
      </c>
      <c r="R862" s="253">
        <f>(WTG_BD[[#This Row],[Fault Clearance time]]-WTG_BD[[#This Row],[Work Start TimeStamp]])*24</f>
        <v>0</v>
      </c>
      <c r="S862" s="253">
        <f>(WTG_BD[[#This Row],[Fault Clearance time]]-WTG_BD[[#This Row],[Fault Start TimeStamp]])*24</f>
        <v>0</v>
      </c>
      <c r="T862" s="135"/>
      <c r="U862" s="244"/>
      <c r="V862" s="246">
        <f>WTG_BD[[#This Row],[Breakdown Time]]*(1/39)</f>
        <v>0</v>
      </c>
      <c r="W862" s="244"/>
      <c r="X862" s="250"/>
      <c r="Y862" s="135"/>
      <c r="Z862" s="135"/>
      <c r="AA862" s="135"/>
      <c r="AB862" s="249">
        <f>(WTG_BD[[#This Row],[Paired WTG Generation for loss calculation.]]/24)*WTG_BD[[#This Row],[Breakdown Time]]</f>
        <v>0</v>
      </c>
      <c r="AC862" s="135"/>
      <c r="AD862" s="245"/>
      <c r="AE862" s="3"/>
    </row>
    <row r="863" spans="1:31">
      <c r="A863" s="241">
        <f t="shared" si="28"/>
        <v>862</v>
      </c>
      <c r="B863" s="255"/>
      <c r="C863" s="252"/>
      <c r="D863" s="252"/>
      <c r="E863" s="251">
        <f t="shared" si="27"/>
        <v>1</v>
      </c>
      <c r="F863" s="252"/>
      <c r="G863" s="248"/>
      <c r="H863" s="242" t="str">
        <f>IFERROR(VLOOKUP(WTG_BD[[#This Row],[Affected WTG]],'Basic Data'!$A$3:$E$56,2,0),"")</f>
        <v/>
      </c>
      <c r="I863" s="242" t="str">
        <f>IFERROR(VLOOKUP(WTG_BD[[#This Row],[Affected WTG]],'Basic Data'!$A$3:$E$56,3,0),"")</f>
        <v/>
      </c>
      <c r="J863" s="243" t="str">
        <f>IFERROR(VLOOKUP(WTG_BD[[#This Row],[Affected WTG]],'Basic Data'!$A$3:$E$56,5,0),"")</f>
        <v/>
      </c>
      <c r="K863" s="158"/>
      <c r="L863" s="247" t="e">
        <f>VLOOKUP(K863,'Basic Data'!T:U,2,0)</f>
        <v>#N/A</v>
      </c>
      <c r="M863" s="135"/>
      <c r="N863" s="256"/>
      <c r="O863" s="256"/>
      <c r="P863" s="256"/>
      <c r="Q863" s="253" t="str">
        <f>IF(WTG_BD[[#This Row],[Work Start TimeStamp]]="","",(WTG_BD[[#This Row],[Work Start TimeStamp]]-WTG_BD[[#This Row],[Fault Start TimeStamp]])*24)</f>
        <v/>
      </c>
      <c r="R863" s="253">
        <f>(WTG_BD[[#This Row],[Fault Clearance time]]-WTG_BD[[#This Row],[Work Start TimeStamp]])*24</f>
        <v>0</v>
      </c>
      <c r="S863" s="253">
        <f>(WTG_BD[[#This Row],[Fault Clearance time]]-WTG_BD[[#This Row],[Fault Start TimeStamp]])*24</f>
        <v>0</v>
      </c>
      <c r="T863" s="135"/>
      <c r="U863" s="244"/>
      <c r="V863" s="246">
        <f>WTG_BD[[#This Row],[Breakdown Time]]*(1/39)</f>
        <v>0</v>
      </c>
      <c r="W863" s="244"/>
      <c r="X863" s="250"/>
      <c r="Y863" s="135"/>
      <c r="Z863" s="135"/>
      <c r="AA863" s="135"/>
      <c r="AB863" s="249">
        <f>(WTG_BD[[#This Row],[Paired WTG Generation for loss calculation.]]/24)*WTG_BD[[#This Row],[Breakdown Time]]</f>
        <v>0</v>
      </c>
      <c r="AC863" s="135"/>
      <c r="AD863" s="245"/>
      <c r="AE863" s="3"/>
    </row>
    <row r="864" spans="1:31">
      <c r="A864" s="241">
        <f t="shared" si="28"/>
        <v>863</v>
      </c>
      <c r="B864" s="255"/>
      <c r="C864" s="252"/>
      <c r="D864" s="252"/>
      <c r="E864" s="251">
        <f t="shared" si="27"/>
        <v>1</v>
      </c>
      <c r="F864" s="252"/>
      <c r="G864" s="248"/>
      <c r="H864" s="242" t="str">
        <f>IFERROR(VLOOKUP(WTG_BD[[#This Row],[Affected WTG]],'Basic Data'!$A$3:$E$56,2,0),"")</f>
        <v/>
      </c>
      <c r="I864" s="242" t="str">
        <f>IFERROR(VLOOKUP(WTG_BD[[#This Row],[Affected WTG]],'Basic Data'!$A$3:$E$56,3,0),"")</f>
        <v/>
      </c>
      <c r="J864" s="243" t="str">
        <f>IFERROR(VLOOKUP(WTG_BD[[#This Row],[Affected WTG]],'Basic Data'!$A$3:$E$56,5,0),"")</f>
        <v/>
      </c>
      <c r="K864" s="158"/>
      <c r="L864" s="247" t="e">
        <f>VLOOKUP(K864,'Basic Data'!T:U,2,0)</f>
        <v>#N/A</v>
      </c>
      <c r="M864" s="135"/>
      <c r="N864" s="256"/>
      <c r="O864" s="256"/>
      <c r="P864" s="256"/>
      <c r="Q864" s="253" t="str">
        <f>IF(WTG_BD[[#This Row],[Work Start TimeStamp]]="","",(WTG_BD[[#This Row],[Work Start TimeStamp]]-WTG_BD[[#This Row],[Fault Start TimeStamp]])*24)</f>
        <v/>
      </c>
      <c r="R864" s="253">
        <f>(WTG_BD[[#This Row],[Fault Clearance time]]-WTG_BD[[#This Row],[Work Start TimeStamp]])*24</f>
        <v>0</v>
      </c>
      <c r="S864" s="253">
        <f>(WTG_BD[[#This Row],[Fault Clearance time]]-WTG_BD[[#This Row],[Fault Start TimeStamp]])*24</f>
        <v>0</v>
      </c>
      <c r="T864" s="135"/>
      <c r="U864" s="244"/>
      <c r="V864" s="246">
        <f>WTG_BD[[#This Row],[Breakdown Time]]*(1/39)</f>
        <v>0</v>
      </c>
      <c r="W864" s="244"/>
      <c r="X864" s="250"/>
      <c r="Y864" s="135"/>
      <c r="Z864" s="135"/>
      <c r="AA864" s="135"/>
      <c r="AB864" s="249">
        <f>(WTG_BD[[#This Row],[Paired WTG Generation for loss calculation.]]/24)*WTG_BD[[#This Row],[Breakdown Time]]</f>
        <v>0</v>
      </c>
      <c r="AC864" s="135"/>
      <c r="AD864" s="245"/>
      <c r="AE864" s="3"/>
    </row>
    <row r="865" spans="1:31">
      <c r="A865" s="241">
        <f t="shared" si="28"/>
        <v>864</v>
      </c>
      <c r="B865" s="255"/>
      <c r="C865" s="252"/>
      <c r="D865" s="252"/>
      <c r="E865" s="251">
        <f t="shared" si="27"/>
        <v>1</v>
      </c>
      <c r="F865" s="252"/>
      <c r="G865" s="248"/>
      <c r="H865" s="242" t="str">
        <f>IFERROR(VLOOKUP(WTG_BD[[#This Row],[Affected WTG]],'Basic Data'!$A$3:$E$56,2,0),"")</f>
        <v/>
      </c>
      <c r="I865" s="242" t="str">
        <f>IFERROR(VLOOKUP(WTG_BD[[#This Row],[Affected WTG]],'Basic Data'!$A$3:$E$56,3,0),"")</f>
        <v/>
      </c>
      <c r="J865" s="243" t="str">
        <f>IFERROR(VLOOKUP(WTG_BD[[#This Row],[Affected WTG]],'Basic Data'!$A$3:$E$56,5,0),"")</f>
        <v/>
      </c>
      <c r="K865" s="158"/>
      <c r="L865" s="247" t="e">
        <f>VLOOKUP(K865,'Basic Data'!T:U,2,0)</f>
        <v>#N/A</v>
      </c>
      <c r="M865" s="135"/>
      <c r="N865" s="256"/>
      <c r="O865" s="256"/>
      <c r="P865" s="256"/>
      <c r="Q865" s="253" t="str">
        <f>IF(WTG_BD[[#This Row],[Work Start TimeStamp]]="","",(WTG_BD[[#This Row],[Work Start TimeStamp]]-WTG_BD[[#This Row],[Fault Start TimeStamp]])*24)</f>
        <v/>
      </c>
      <c r="R865" s="253">
        <f>(WTG_BD[[#This Row],[Fault Clearance time]]-WTG_BD[[#This Row],[Work Start TimeStamp]])*24</f>
        <v>0</v>
      </c>
      <c r="S865" s="253">
        <f>(WTG_BD[[#This Row],[Fault Clearance time]]-WTG_BD[[#This Row],[Fault Start TimeStamp]])*24</f>
        <v>0</v>
      </c>
      <c r="T865" s="135"/>
      <c r="U865" s="244"/>
      <c r="V865" s="246">
        <f>WTG_BD[[#This Row],[Breakdown Time]]*(1/39)</f>
        <v>0</v>
      </c>
      <c r="W865" s="244"/>
      <c r="X865" s="250"/>
      <c r="Y865" s="135"/>
      <c r="Z865" s="135"/>
      <c r="AA865" s="135"/>
      <c r="AB865" s="249">
        <f>(WTG_BD[[#This Row],[Paired WTG Generation for loss calculation.]]/24)*WTG_BD[[#This Row],[Breakdown Time]]</f>
        <v>0</v>
      </c>
      <c r="AC865" s="135"/>
      <c r="AD865" s="245"/>
      <c r="AE865" s="3"/>
    </row>
    <row r="866" spans="1:31">
      <c r="A866" s="241">
        <f t="shared" si="28"/>
        <v>865</v>
      </c>
      <c r="B866" s="255"/>
      <c r="C866" s="252"/>
      <c r="D866" s="252"/>
      <c r="E866" s="251">
        <f t="shared" si="27"/>
        <v>1</v>
      </c>
      <c r="F866" s="252"/>
      <c r="G866" s="248"/>
      <c r="H866" s="242" t="str">
        <f>IFERROR(VLOOKUP(WTG_BD[[#This Row],[Affected WTG]],'Basic Data'!$A$3:$E$56,2,0),"")</f>
        <v/>
      </c>
      <c r="I866" s="242" t="str">
        <f>IFERROR(VLOOKUP(WTG_BD[[#This Row],[Affected WTG]],'Basic Data'!$A$3:$E$56,3,0),"")</f>
        <v/>
      </c>
      <c r="J866" s="243" t="str">
        <f>IFERROR(VLOOKUP(WTG_BD[[#This Row],[Affected WTG]],'Basic Data'!$A$3:$E$56,5,0),"")</f>
        <v/>
      </c>
      <c r="K866" s="158"/>
      <c r="L866" s="247" t="e">
        <f>VLOOKUP(K866,'Basic Data'!T:U,2,0)</f>
        <v>#N/A</v>
      </c>
      <c r="M866" s="135"/>
      <c r="N866" s="256"/>
      <c r="O866" s="256"/>
      <c r="P866" s="256"/>
      <c r="Q866" s="253" t="str">
        <f>IF(WTG_BD[[#This Row],[Work Start TimeStamp]]="","",(WTG_BD[[#This Row],[Work Start TimeStamp]]-WTG_BD[[#This Row],[Fault Start TimeStamp]])*24)</f>
        <v/>
      </c>
      <c r="R866" s="253">
        <f>(WTG_BD[[#This Row],[Fault Clearance time]]-WTG_BD[[#This Row],[Work Start TimeStamp]])*24</f>
        <v>0</v>
      </c>
      <c r="S866" s="253">
        <f>(WTG_BD[[#This Row],[Fault Clearance time]]-WTG_BD[[#This Row],[Fault Start TimeStamp]])*24</f>
        <v>0</v>
      </c>
      <c r="T866" s="135"/>
      <c r="U866" s="244"/>
      <c r="V866" s="246">
        <f>WTG_BD[[#This Row],[Breakdown Time]]*(1/39)</f>
        <v>0</v>
      </c>
      <c r="W866" s="244"/>
      <c r="X866" s="250"/>
      <c r="Y866" s="135"/>
      <c r="Z866" s="135"/>
      <c r="AA866" s="135"/>
      <c r="AB866" s="249">
        <f>(WTG_BD[[#This Row],[Paired WTG Generation for loss calculation.]]/24)*WTG_BD[[#This Row],[Breakdown Time]]</f>
        <v>0</v>
      </c>
      <c r="AC866" s="135"/>
      <c r="AD866" s="245"/>
      <c r="AE866" s="3"/>
    </row>
    <row r="867" spans="1:31">
      <c r="A867" s="241">
        <f t="shared" si="28"/>
        <v>866</v>
      </c>
      <c r="B867" s="255"/>
      <c r="C867" s="252"/>
      <c r="D867" s="252"/>
      <c r="E867" s="251">
        <f t="shared" si="27"/>
        <v>1</v>
      </c>
      <c r="F867" s="252"/>
      <c r="G867" s="248"/>
      <c r="H867" s="242" t="str">
        <f>IFERROR(VLOOKUP(WTG_BD[[#This Row],[Affected WTG]],'Basic Data'!$A$3:$E$56,2,0),"")</f>
        <v/>
      </c>
      <c r="I867" s="242" t="str">
        <f>IFERROR(VLOOKUP(WTG_BD[[#This Row],[Affected WTG]],'Basic Data'!$A$3:$E$56,3,0),"")</f>
        <v/>
      </c>
      <c r="J867" s="243" t="str">
        <f>IFERROR(VLOOKUP(WTG_BD[[#This Row],[Affected WTG]],'Basic Data'!$A$3:$E$56,5,0),"")</f>
        <v/>
      </c>
      <c r="K867" s="158"/>
      <c r="L867" s="247" t="e">
        <f>VLOOKUP(K867,'Basic Data'!T:U,2,0)</f>
        <v>#N/A</v>
      </c>
      <c r="M867" s="135"/>
      <c r="N867" s="256"/>
      <c r="O867" s="256"/>
      <c r="P867" s="256"/>
      <c r="Q867" s="253" t="str">
        <f>IF(WTG_BD[[#This Row],[Work Start TimeStamp]]="","",(WTG_BD[[#This Row],[Work Start TimeStamp]]-WTG_BD[[#This Row],[Fault Start TimeStamp]])*24)</f>
        <v/>
      </c>
      <c r="R867" s="253">
        <f>(WTG_BD[[#This Row],[Fault Clearance time]]-WTG_BD[[#This Row],[Work Start TimeStamp]])*24</f>
        <v>0</v>
      </c>
      <c r="S867" s="253">
        <f>(WTG_BD[[#This Row],[Fault Clearance time]]-WTG_BD[[#This Row],[Fault Start TimeStamp]])*24</f>
        <v>0</v>
      </c>
      <c r="T867" s="135"/>
      <c r="U867" s="244"/>
      <c r="V867" s="246">
        <f>WTG_BD[[#This Row],[Breakdown Time]]*(1/39)</f>
        <v>0</v>
      </c>
      <c r="W867" s="244"/>
      <c r="X867" s="250"/>
      <c r="Y867" s="135"/>
      <c r="Z867" s="135"/>
      <c r="AA867" s="135"/>
      <c r="AB867" s="249">
        <f>(WTG_BD[[#This Row],[Paired WTG Generation for loss calculation.]]/24)*WTG_BD[[#This Row],[Breakdown Time]]</f>
        <v>0</v>
      </c>
      <c r="AC867" s="135"/>
      <c r="AD867" s="245"/>
      <c r="AE867" s="3"/>
    </row>
    <row r="868" spans="1:31">
      <c r="A868" s="241">
        <f t="shared" si="28"/>
        <v>867</v>
      </c>
      <c r="B868" s="255"/>
      <c r="C868" s="252"/>
      <c r="D868" s="252"/>
      <c r="E868" s="251">
        <f t="shared" si="27"/>
        <v>1</v>
      </c>
      <c r="F868" s="252"/>
      <c r="G868" s="248"/>
      <c r="H868" s="242" t="str">
        <f>IFERROR(VLOOKUP(WTG_BD[[#This Row],[Affected WTG]],'Basic Data'!$A$3:$E$56,2,0),"")</f>
        <v/>
      </c>
      <c r="I868" s="242" t="str">
        <f>IFERROR(VLOOKUP(WTG_BD[[#This Row],[Affected WTG]],'Basic Data'!$A$3:$E$56,3,0),"")</f>
        <v/>
      </c>
      <c r="J868" s="243" t="str">
        <f>IFERROR(VLOOKUP(WTG_BD[[#This Row],[Affected WTG]],'Basic Data'!$A$3:$E$56,5,0),"")</f>
        <v/>
      </c>
      <c r="K868" s="158"/>
      <c r="L868" s="247" t="e">
        <f>VLOOKUP(K868,'Basic Data'!T:U,2,0)</f>
        <v>#N/A</v>
      </c>
      <c r="M868" s="135"/>
      <c r="N868" s="256"/>
      <c r="O868" s="256"/>
      <c r="P868" s="256"/>
      <c r="Q868" s="253" t="str">
        <f>IF(WTG_BD[[#This Row],[Work Start TimeStamp]]="","",(WTG_BD[[#This Row],[Work Start TimeStamp]]-WTG_BD[[#This Row],[Fault Start TimeStamp]])*24)</f>
        <v/>
      </c>
      <c r="R868" s="253">
        <f>(WTG_BD[[#This Row],[Fault Clearance time]]-WTG_BD[[#This Row],[Work Start TimeStamp]])*24</f>
        <v>0</v>
      </c>
      <c r="S868" s="253">
        <f>(WTG_BD[[#This Row],[Fault Clearance time]]-WTG_BD[[#This Row],[Fault Start TimeStamp]])*24</f>
        <v>0</v>
      </c>
      <c r="T868" s="135"/>
      <c r="U868" s="244"/>
      <c r="V868" s="246">
        <f>WTG_BD[[#This Row],[Breakdown Time]]*(1/39)</f>
        <v>0</v>
      </c>
      <c r="W868" s="244"/>
      <c r="X868" s="250"/>
      <c r="Y868" s="135"/>
      <c r="Z868" s="135"/>
      <c r="AA868" s="135"/>
      <c r="AB868" s="249">
        <f>(WTG_BD[[#This Row],[Paired WTG Generation for loss calculation.]]/24)*WTG_BD[[#This Row],[Breakdown Time]]</f>
        <v>0</v>
      </c>
      <c r="AC868" s="135"/>
      <c r="AD868" s="245"/>
      <c r="AE868" s="3"/>
    </row>
    <row r="869" spans="1:31">
      <c r="A869" s="241">
        <f t="shared" si="28"/>
        <v>868</v>
      </c>
      <c r="B869" s="255"/>
      <c r="C869" s="252"/>
      <c r="D869" s="252"/>
      <c r="E869" s="251">
        <f t="shared" si="27"/>
        <v>1</v>
      </c>
      <c r="F869" s="252"/>
      <c r="G869" s="248"/>
      <c r="H869" s="242" t="str">
        <f>IFERROR(VLOOKUP(WTG_BD[[#This Row],[Affected WTG]],'Basic Data'!$A$3:$E$56,2,0),"")</f>
        <v/>
      </c>
      <c r="I869" s="242" t="str">
        <f>IFERROR(VLOOKUP(WTG_BD[[#This Row],[Affected WTG]],'Basic Data'!$A$3:$E$56,3,0),"")</f>
        <v/>
      </c>
      <c r="J869" s="243" t="str">
        <f>IFERROR(VLOOKUP(WTG_BD[[#This Row],[Affected WTG]],'Basic Data'!$A$3:$E$56,5,0),"")</f>
        <v/>
      </c>
      <c r="K869" s="158"/>
      <c r="L869" s="247" t="e">
        <f>VLOOKUP(K869,'Basic Data'!T:U,2,0)</f>
        <v>#N/A</v>
      </c>
      <c r="M869" s="135"/>
      <c r="N869" s="256"/>
      <c r="O869" s="256"/>
      <c r="P869" s="256"/>
      <c r="Q869" s="253" t="str">
        <f>IF(WTG_BD[[#This Row],[Work Start TimeStamp]]="","",(WTG_BD[[#This Row],[Work Start TimeStamp]]-WTG_BD[[#This Row],[Fault Start TimeStamp]])*24)</f>
        <v/>
      </c>
      <c r="R869" s="253">
        <f>(WTG_BD[[#This Row],[Fault Clearance time]]-WTG_BD[[#This Row],[Work Start TimeStamp]])*24</f>
        <v>0</v>
      </c>
      <c r="S869" s="253">
        <f>(WTG_BD[[#This Row],[Fault Clearance time]]-WTG_BD[[#This Row],[Fault Start TimeStamp]])*24</f>
        <v>0</v>
      </c>
      <c r="T869" s="135"/>
      <c r="U869" s="244"/>
      <c r="V869" s="246">
        <f>WTG_BD[[#This Row],[Breakdown Time]]*(1/39)</f>
        <v>0</v>
      </c>
      <c r="W869" s="244"/>
      <c r="X869" s="250"/>
      <c r="Y869" s="135"/>
      <c r="Z869" s="135"/>
      <c r="AA869" s="135"/>
      <c r="AB869" s="249">
        <f>(WTG_BD[[#This Row],[Paired WTG Generation for loss calculation.]]/24)*WTG_BD[[#This Row],[Breakdown Time]]</f>
        <v>0</v>
      </c>
      <c r="AC869" s="135"/>
      <c r="AD869" s="245"/>
      <c r="AE869" s="3"/>
    </row>
    <row r="870" spans="1:31">
      <c r="A870" s="241">
        <f t="shared" si="28"/>
        <v>869</v>
      </c>
      <c r="B870" s="255"/>
      <c r="C870" s="252"/>
      <c r="D870" s="252"/>
      <c r="E870" s="251">
        <f t="shared" si="27"/>
        <v>1</v>
      </c>
      <c r="F870" s="252"/>
      <c r="G870" s="248"/>
      <c r="H870" s="242" t="str">
        <f>IFERROR(VLOOKUP(WTG_BD[[#This Row],[Affected WTG]],'Basic Data'!$A$3:$E$56,2,0),"")</f>
        <v/>
      </c>
      <c r="I870" s="242" t="str">
        <f>IFERROR(VLOOKUP(WTG_BD[[#This Row],[Affected WTG]],'Basic Data'!$A$3:$E$56,3,0),"")</f>
        <v/>
      </c>
      <c r="J870" s="243" t="str">
        <f>IFERROR(VLOOKUP(WTG_BD[[#This Row],[Affected WTG]],'Basic Data'!$A$3:$E$56,5,0),"")</f>
        <v/>
      </c>
      <c r="K870" s="158"/>
      <c r="L870" s="247" t="e">
        <f>VLOOKUP(K870,'Basic Data'!T:U,2,0)</f>
        <v>#N/A</v>
      </c>
      <c r="M870" s="135"/>
      <c r="N870" s="256"/>
      <c r="O870" s="256"/>
      <c r="P870" s="256"/>
      <c r="Q870" s="253" t="str">
        <f>IF(WTG_BD[[#This Row],[Work Start TimeStamp]]="","",(WTG_BD[[#This Row],[Work Start TimeStamp]]-WTG_BD[[#This Row],[Fault Start TimeStamp]])*24)</f>
        <v/>
      </c>
      <c r="R870" s="253">
        <f>(WTG_BD[[#This Row],[Fault Clearance time]]-WTG_BD[[#This Row],[Work Start TimeStamp]])*24</f>
        <v>0</v>
      </c>
      <c r="S870" s="253">
        <f>(WTG_BD[[#This Row],[Fault Clearance time]]-WTG_BD[[#This Row],[Fault Start TimeStamp]])*24</f>
        <v>0</v>
      </c>
      <c r="T870" s="135"/>
      <c r="U870" s="244"/>
      <c r="V870" s="246">
        <f>WTG_BD[[#This Row],[Breakdown Time]]*(1/39)</f>
        <v>0</v>
      </c>
      <c r="W870" s="244"/>
      <c r="X870" s="250"/>
      <c r="Y870" s="135"/>
      <c r="Z870" s="135"/>
      <c r="AA870" s="135"/>
      <c r="AB870" s="249">
        <f>(WTG_BD[[#This Row],[Paired WTG Generation for loss calculation.]]/24)*WTG_BD[[#This Row],[Breakdown Time]]</f>
        <v>0</v>
      </c>
      <c r="AC870" s="135"/>
      <c r="AD870" s="245"/>
      <c r="AE870" s="3"/>
    </row>
    <row r="871" spans="1:31">
      <c r="A871" s="241">
        <f t="shared" si="28"/>
        <v>870</v>
      </c>
      <c r="B871" s="255"/>
      <c r="C871" s="252"/>
      <c r="D871" s="252"/>
      <c r="E871" s="251">
        <f t="shared" si="27"/>
        <v>1</v>
      </c>
      <c r="F871" s="252"/>
      <c r="G871" s="248"/>
      <c r="H871" s="242" t="str">
        <f>IFERROR(VLOOKUP(WTG_BD[[#This Row],[Affected WTG]],'Basic Data'!$A$3:$E$56,2,0),"")</f>
        <v/>
      </c>
      <c r="I871" s="242" t="str">
        <f>IFERROR(VLOOKUP(WTG_BD[[#This Row],[Affected WTG]],'Basic Data'!$A$3:$E$56,3,0),"")</f>
        <v/>
      </c>
      <c r="J871" s="243" t="str">
        <f>IFERROR(VLOOKUP(WTG_BD[[#This Row],[Affected WTG]],'Basic Data'!$A$3:$E$56,5,0),"")</f>
        <v/>
      </c>
      <c r="K871" s="158"/>
      <c r="L871" s="247" t="e">
        <f>VLOOKUP(K871,'Basic Data'!T:U,2,0)</f>
        <v>#N/A</v>
      </c>
      <c r="M871" s="135"/>
      <c r="N871" s="256"/>
      <c r="O871" s="256"/>
      <c r="P871" s="256"/>
      <c r="Q871" s="253" t="str">
        <f>IF(WTG_BD[[#This Row],[Work Start TimeStamp]]="","",(WTG_BD[[#This Row],[Work Start TimeStamp]]-WTG_BD[[#This Row],[Fault Start TimeStamp]])*24)</f>
        <v/>
      </c>
      <c r="R871" s="253">
        <f>(WTG_BD[[#This Row],[Fault Clearance time]]-WTG_BD[[#This Row],[Work Start TimeStamp]])*24</f>
        <v>0</v>
      </c>
      <c r="S871" s="253">
        <f>(WTG_BD[[#This Row],[Fault Clearance time]]-WTG_BD[[#This Row],[Fault Start TimeStamp]])*24</f>
        <v>0</v>
      </c>
      <c r="T871" s="135"/>
      <c r="U871" s="244"/>
      <c r="V871" s="246">
        <f>WTG_BD[[#This Row],[Breakdown Time]]*(1/39)</f>
        <v>0</v>
      </c>
      <c r="W871" s="244"/>
      <c r="X871" s="250"/>
      <c r="Y871" s="135"/>
      <c r="Z871" s="135"/>
      <c r="AA871" s="135"/>
      <c r="AB871" s="249">
        <f>(WTG_BD[[#This Row],[Paired WTG Generation for loss calculation.]]/24)*WTG_BD[[#This Row],[Breakdown Time]]</f>
        <v>0</v>
      </c>
      <c r="AC871" s="135"/>
      <c r="AD871" s="245"/>
      <c r="AE871" s="3"/>
    </row>
    <row r="872" spans="1:31">
      <c r="A872" s="241">
        <f t="shared" si="28"/>
        <v>871</v>
      </c>
      <c r="B872" s="255"/>
      <c r="C872" s="252"/>
      <c r="D872" s="252"/>
      <c r="E872" s="251">
        <f t="shared" si="27"/>
        <v>1</v>
      </c>
      <c r="F872" s="252"/>
      <c r="G872" s="248"/>
      <c r="H872" s="242" t="str">
        <f>IFERROR(VLOOKUP(WTG_BD[[#This Row],[Affected WTG]],'Basic Data'!$A$3:$E$56,2,0),"")</f>
        <v/>
      </c>
      <c r="I872" s="242" t="str">
        <f>IFERROR(VLOOKUP(WTG_BD[[#This Row],[Affected WTG]],'Basic Data'!$A$3:$E$56,3,0),"")</f>
        <v/>
      </c>
      <c r="J872" s="243" t="str">
        <f>IFERROR(VLOOKUP(WTG_BD[[#This Row],[Affected WTG]],'Basic Data'!$A$3:$E$56,5,0),"")</f>
        <v/>
      </c>
      <c r="K872" s="158"/>
      <c r="L872" s="247" t="e">
        <f>VLOOKUP(K872,'Basic Data'!T:U,2,0)</f>
        <v>#N/A</v>
      </c>
      <c r="M872" s="135"/>
      <c r="N872" s="256"/>
      <c r="O872" s="256"/>
      <c r="P872" s="256"/>
      <c r="Q872" s="253" t="str">
        <f>IF(WTG_BD[[#This Row],[Work Start TimeStamp]]="","",(WTG_BD[[#This Row],[Work Start TimeStamp]]-WTG_BD[[#This Row],[Fault Start TimeStamp]])*24)</f>
        <v/>
      </c>
      <c r="R872" s="253">
        <f>(WTG_BD[[#This Row],[Fault Clearance time]]-WTG_BD[[#This Row],[Work Start TimeStamp]])*24</f>
        <v>0</v>
      </c>
      <c r="S872" s="253">
        <f>(WTG_BD[[#This Row],[Fault Clearance time]]-WTG_BD[[#This Row],[Fault Start TimeStamp]])*24</f>
        <v>0</v>
      </c>
      <c r="T872" s="135"/>
      <c r="U872" s="244"/>
      <c r="V872" s="246">
        <f>WTG_BD[[#This Row],[Breakdown Time]]*(1/39)</f>
        <v>0</v>
      </c>
      <c r="W872" s="244"/>
      <c r="X872" s="250"/>
      <c r="Y872" s="135"/>
      <c r="Z872" s="135"/>
      <c r="AA872" s="135"/>
      <c r="AB872" s="249">
        <f>(WTG_BD[[#This Row],[Paired WTG Generation for loss calculation.]]/24)*WTG_BD[[#This Row],[Breakdown Time]]</f>
        <v>0</v>
      </c>
      <c r="AC872" s="135"/>
      <c r="AD872" s="245"/>
      <c r="AE872" s="3"/>
    </row>
    <row r="873" spans="1:31">
      <c r="A873" s="241">
        <f t="shared" si="28"/>
        <v>872</v>
      </c>
      <c r="B873" s="255"/>
      <c r="C873" s="252"/>
      <c r="D873" s="252"/>
      <c r="E873" s="251">
        <f t="shared" si="27"/>
        <v>1</v>
      </c>
      <c r="F873" s="252"/>
      <c r="G873" s="248"/>
      <c r="H873" s="242" t="str">
        <f>IFERROR(VLOOKUP(WTG_BD[[#This Row],[Affected WTG]],'Basic Data'!$A$3:$E$56,2,0),"")</f>
        <v/>
      </c>
      <c r="I873" s="242" t="str">
        <f>IFERROR(VLOOKUP(WTG_BD[[#This Row],[Affected WTG]],'Basic Data'!$A$3:$E$56,3,0),"")</f>
        <v/>
      </c>
      <c r="J873" s="243" t="str">
        <f>IFERROR(VLOOKUP(WTG_BD[[#This Row],[Affected WTG]],'Basic Data'!$A$3:$E$56,5,0),"")</f>
        <v/>
      </c>
      <c r="K873" s="158"/>
      <c r="L873" s="247" t="e">
        <f>VLOOKUP(K873,'Basic Data'!T:U,2,0)</f>
        <v>#N/A</v>
      </c>
      <c r="M873" s="135"/>
      <c r="N873" s="256"/>
      <c r="O873" s="256"/>
      <c r="P873" s="256"/>
      <c r="Q873" s="253" t="str">
        <f>IF(WTG_BD[[#This Row],[Work Start TimeStamp]]="","",(WTG_BD[[#This Row],[Work Start TimeStamp]]-WTG_BD[[#This Row],[Fault Start TimeStamp]])*24)</f>
        <v/>
      </c>
      <c r="R873" s="253">
        <f>(WTG_BD[[#This Row],[Fault Clearance time]]-WTG_BD[[#This Row],[Work Start TimeStamp]])*24</f>
        <v>0</v>
      </c>
      <c r="S873" s="253">
        <f>(WTG_BD[[#This Row],[Fault Clearance time]]-WTG_BD[[#This Row],[Fault Start TimeStamp]])*24</f>
        <v>0</v>
      </c>
      <c r="T873" s="135"/>
      <c r="U873" s="244"/>
      <c r="V873" s="246">
        <f>WTG_BD[[#This Row],[Breakdown Time]]*(1/39)</f>
        <v>0</v>
      </c>
      <c r="W873" s="244"/>
      <c r="X873" s="250"/>
      <c r="Y873" s="135"/>
      <c r="Z873" s="135"/>
      <c r="AA873" s="135"/>
      <c r="AB873" s="249">
        <f>(WTG_BD[[#This Row],[Paired WTG Generation for loss calculation.]]/24)*WTG_BD[[#This Row],[Breakdown Time]]</f>
        <v>0</v>
      </c>
      <c r="AC873" s="135"/>
      <c r="AD873" s="245"/>
      <c r="AE873" s="3"/>
    </row>
    <row r="874" spans="1:31">
      <c r="A874" s="241">
        <f t="shared" si="28"/>
        <v>873</v>
      </c>
      <c r="B874" s="255"/>
      <c r="C874" s="252"/>
      <c r="D874" s="252"/>
      <c r="E874" s="251">
        <f t="shared" si="27"/>
        <v>1</v>
      </c>
      <c r="F874" s="252"/>
      <c r="G874" s="248"/>
      <c r="H874" s="242" t="str">
        <f>IFERROR(VLOOKUP(WTG_BD[[#This Row],[Affected WTG]],'Basic Data'!$A$3:$E$56,2,0),"")</f>
        <v/>
      </c>
      <c r="I874" s="242" t="str">
        <f>IFERROR(VLOOKUP(WTG_BD[[#This Row],[Affected WTG]],'Basic Data'!$A$3:$E$56,3,0),"")</f>
        <v/>
      </c>
      <c r="J874" s="243" t="str">
        <f>IFERROR(VLOOKUP(WTG_BD[[#This Row],[Affected WTG]],'Basic Data'!$A$3:$E$56,5,0),"")</f>
        <v/>
      </c>
      <c r="K874" s="158"/>
      <c r="L874" s="247" t="e">
        <f>VLOOKUP(K874,'Basic Data'!T:U,2,0)</f>
        <v>#N/A</v>
      </c>
      <c r="M874" s="135"/>
      <c r="N874" s="256"/>
      <c r="O874" s="256"/>
      <c r="P874" s="256"/>
      <c r="Q874" s="253" t="str">
        <f>IF(WTG_BD[[#This Row],[Work Start TimeStamp]]="","",(WTG_BD[[#This Row],[Work Start TimeStamp]]-WTG_BD[[#This Row],[Fault Start TimeStamp]])*24)</f>
        <v/>
      </c>
      <c r="R874" s="253">
        <f>(WTG_BD[[#This Row],[Fault Clearance time]]-WTG_BD[[#This Row],[Work Start TimeStamp]])*24</f>
        <v>0</v>
      </c>
      <c r="S874" s="253">
        <f>(WTG_BD[[#This Row],[Fault Clearance time]]-WTG_BD[[#This Row],[Fault Start TimeStamp]])*24</f>
        <v>0</v>
      </c>
      <c r="T874" s="135"/>
      <c r="U874" s="244"/>
      <c r="V874" s="246">
        <f>WTG_BD[[#This Row],[Breakdown Time]]*(1/39)</f>
        <v>0</v>
      </c>
      <c r="W874" s="244"/>
      <c r="X874" s="250"/>
      <c r="Y874" s="135"/>
      <c r="Z874" s="135"/>
      <c r="AA874" s="135"/>
      <c r="AB874" s="249">
        <f>(WTG_BD[[#This Row],[Paired WTG Generation for loss calculation.]]/24)*WTG_BD[[#This Row],[Breakdown Time]]</f>
        <v>0</v>
      </c>
      <c r="AC874" s="135"/>
      <c r="AD874" s="245"/>
      <c r="AE874" s="3"/>
    </row>
    <row r="875" spans="1:31">
      <c r="A875" s="241">
        <f t="shared" si="28"/>
        <v>874</v>
      </c>
      <c r="B875" s="255"/>
      <c r="C875" s="252"/>
      <c r="D875" s="252"/>
      <c r="E875" s="251">
        <f t="shared" si="27"/>
        <v>1</v>
      </c>
      <c r="F875" s="252"/>
      <c r="G875" s="248"/>
      <c r="H875" s="242" t="str">
        <f>IFERROR(VLOOKUP(WTG_BD[[#This Row],[Affected WTG]],'Basic Data'!$A$3:$E$56,2,0),"")</f>
        <v/>
      </c>
      <c r="I875" s="242" t="str">
        <f>IFERROR(VLOOKUP(WTG_BD[[#This Row],[Affected WTG]],'Basic Data'!$A$3:$E$56,3,0),"")</f>
        <v/>
      </c>
      <c r="J875" s="243" t="str">
        <f>IFERROR(VLOOKUP(WTG_BD[[#This Row],[Affected WTG]],'Basic Data'!$A$3:$E$56,5,0),"")</f>
        <v/>
      </c>
      <c r="K875" s="158"/>
      <c r="L875" s="247" t="e">
        <f>VLOOKUP(K875,'Basic Data'!T:U,2,0)</f>
        <v>#N/A</v>
      </c>
      <c r="M875" s="135"/>
      <c r="N875" s="256"/>
      <c r="O875" s="256"/>
      <c r="P875" s="256"/>
      <c r="Q875" s="253" t="str">
        <f>IF(WTG_BD[[#This Row],[Work Start TimeStamp]]="","",(WTG_BD[[#This Row],[Work Start TimeStamp]]-WTG_BD[[#This Row],[Fault Start TimeStamp]])*24)</f>
        <v/>
      </c>
      <c r="R875" s="253">
        <f>(WTG_BD[[#This Row],[Fault Clearance time]]-WTG_BD[[#This Row],[Work Start TimeStamp]])*24</f>
        <v>0</v>
      </c>
      <c r="S875" s="253">
        <f>(WTG_BD[[#This Row],[Fault Clearance time]]-WTG_BD[[#This Row],[Fault Start TimeStamp]])*24</f>
        <v>0</v>
      </c>
      <c r="T875" s="135"/>
      <c r="U875" s="244"/>
      <c r="V875" s="246">
        <f>WTG_BD[[#This Row],[Breakdown Time]]*(1/39)</f>
        <v>0</v>
      </c>
      <c r="W875" s="244"/>
      <c r="X875" s="250"/>
      <c r="Y875" s="135"/>
      <c r="Z875" s="135"/>
      <c r="AA875" s="135"/>
      <c r="AB875" s="249">
        <f>(WTG_BD[[#This Row],[Paired WTG Generation for loss calculation.]]/24)*WTG_BD[[#This Row],[Breakdown Time]]</f>
        <v>0</v>
      </c>
      <c r="AC875" s="135"/>
      <c r="AD875" s="245"/>
      <c r="AE875" s="3"/>
    </row>
    <row r="876" spans="1:31">
      <c r="A876" s="241">
        <f t="shared" si="28"/>
        <v>875</v>
      </c>
      <c r="B876" s="255"/>
      <c r="C876" s="252"/>
      <c r="D876" s="252"/>
      <c r="E876" s="251">
        <f t="shared" si="27"/>
        <v>1</v>
      </c>
      <c r="F876" s="252"/>
      <c r="G876" s="248"/>
      <c r="H876" s="242" t="str">
        <f>IFERROR(VLOOKUP(WTG_BD[[#This Row],[Affected WTG]],'Basic Data'!$A$3:$E$56,2,0),"")</f>
        <v/>
      </c>
      <c r="I876" s="242" t="str">
        <f>IFERROR(VLOOKUP(WTG_BD[[#This Row],[Affected WTG]],'Basic Data'!$A$3:$E$56,3,0),"")</f>
        <v/>
      </c>
      <c r="J876" s="243" t="str">
        <f>IFERROR(VLOOKUP(WTG_BD[[#This Row],[Affected WTG]],'Basic Data'!$A$3:$E$56,5,0),"")</f>
        <v/>
      </c>
      <c r="K876" s="158"/>
      <c r="L876" s="247" t="e">
        <f>VLOOKUP(K876,'Basic Data'!T:U,2,0)</f>
        <v>#N/A</v>
      </c>
      <c r="M876" s="135"/>
      <c r="N876" s="256"/>
      <c r="O876" s="256"/>
      <c r="P876" s="256"/>
      <c r="Q876" s="253" t="str">
        <f>IF(WTG_BD[[#This Row],[Work Start TimeStamp]]="","",(WTG_BD[[#This Row],[Work Start TimeStamp]]-WTG_BD[[#This Row],[Fault Start TimeStamp]])*24)</f>
        <v/>
      </c>
      <c r="R876" s="253">
        <f>(WTG_BD[[#This Row],[Fault Clearance time]]-WTG_BD[[#This Row],[Work Start TimeStamp]])*24</f>
        <v>0</v>
      </c>
      <c r="S876" s="253">
        <f>(WTG_BD[[#This Row],[Fault Clearance time]]-WTG_BD[[#This Row],[Fault Start TimeStamp]])*24</f>
        <v>0</v>
      </c>
      <c r="T876" s="135"/>
      <c r="U876" s="244"/>
      <c r="V876" s="246">
        <f>WTG_BD[[#This Row],[Breakdown Time]]*(1/39)</f>
        <v>0</v>
      </c>
      <c r="W876" s="244"/>
      <c r="X876" s="250"/>
      <c r="Y876" s="135"/>
      <c r="Z876" s="135"/>
      <c r="AA876" s="135"/>
      <c r="AB876" s="249">
        <f>(WTG_BD[[#This Row],[Paired WTG Generation for loss calculation.]]/24)*WTG_BD[[#This Row],[Breakdown Time]]</f>
        <v>0</v>
      </c>
      <c r="AC876" s="135"/>
      <c r="AD876" s="245"/>
      <c r="AE876" s="3"/>
    </row>
    <row r="877" spans="1:31">
      <c r="A877" s="241">
        <f t="shared" si="28"/>
        <v>876</v>
      </c>
      <c r="B877" s="255"/>
      <c r="C877" s="252"/>
      <c r="D877" s="252"/>
      <c r="E877" s="251">
        <f t="shared" si="27"/>
        <v>1</v>
      </c>
      <c r="F877" s="252"/>
      <c r="G877" s="248"/>
      <c r="H877" s="242" t="str">
        <f>IFERROR(VLOOKUP(WTG_BD[[#This Row],[Affected WTG]],'Basic Data'!$A$3:$E$56,2,0),"")</f>
        <v/>
      </c>
      <c r="I877" s="242" t="str">
        <f>IFERROR(VLOOKUP(WTG_BD[[#This Row],[Affected WTG]],'Basic Data'!$A$3:$E$56,3,0),"")</f>
        <v/>
      </c>
      <c r="J877" s="243" t="str">
        <f>IFERROR(VLOOKUP(WTG_BD[[#This Row],[Affected WTG]],'Basic Data'!$A$3:$E$56,5,0),"")</f>
        <v/>
      </c>
      <c r="K877" s="158"/>
      <c r="L877" s="247" t="e">
        <f>VLOOKUP(K877,'Basic Data'!T:U,2,0)</f>
        <v>#N/A</v>
      </c>
      <c r="M877" s="135"/>
      <c r="N877" s="256"/>
      <c r="O877" s="256"/>
      <c r="P877" s="256"/>
      <c r="Q877" s="253" t="str">
        <f>IF(WTG_BD[[#This Row],[Work Start TimeStamp]]="","",(WTG_BD[[#This Row],[Work Start TimeStamp]]-WTG_BD[[#This Row],[Fault Start TimeStamp]])*24)</f>
        <v/>
      </c>
      <c r="R877" s="253">
        <f>(WTG_BD[[#This Row],[Fault Clearance time]]-WTG_BD[[#This Row],[Work Start TimeStamp]])*24</f>
        <v>0</v>
      </c>
      <c r="S877" s="253">
        <f>(WTG_BD[[#This Row],[Fault Clearance time]]-WTG_BD[[#This Row],[Fault Start TimeStamp]])*24</f>
        <v>0</v>
      </c>
      <c r="T877" s="135"/>
      <c r="U877" s="244"/>
      <c r="V877" s="246">
        <f>WTG_BD[[#This Row],[Breakdown Time]]*(1/39)</f>
        <v>0</v>
      </c>
      <c r="W877" s="244"/>
      <c r="X877" s="250"/>
      <c r="Y877" s="135"/>
      <c r="Z877" s="135"/>
      <c r="AA877" s="135"/>
      <c r="AB877" s="249">
        <f>(WTG_BD[[#This Row],[Paired WTG Generation for loss calculation.]]/24)*WTG_BD[[#This Row],[Breakdown Time]]</f>
        <v>0</v>
      </c>
      <c r="AC877" s="135"/>
      <c r="AD877" s="245"/>
      <c r="AE877" s="3"/>
    </row>
    <row r="878" spans="1:31">
      <c r="A878" s="241">
        <f t="shared" si="28"/>
        <v>877</v>
      </c>
      <c r="B878" s="255"/>
      <c r="C878" s="252"/>
      <c r="D878" s="252"/>
      <c r="E878" s="251">
        <f t="shared" si="27"/>
        <v>1</v>
      </c>
      <c r="F878" s="252"/>
      <c r="G878" s="248"/>
      <c r="H878" s="242" t="str">
        <f>IFERROR(VLOOKUP(WTG_BD[[#This Row],[Affected WTG]],'Basic Data'!$A$3:$E$56,2,0),"")</f>
        <v/>
      </c>
      <c r="I878" s="242" t="str">
        <f>IFERROR(VLOOKUP(WTG_BD[[#This Row],[Affected WTG]],'Basic Data'!$A$3:$E$56,3,0),"")</f>
        <v/>
      </c>
      <c r="J878" s="243" t="str">
        <f>IFERROR(VLOOKUP(WTG_BD[[#This Row],[Affected WTG]],'Basic Data'!$A$3:$E$56,5,0),"")</f>
        <v/>
      </c>
      <c r="K878" s="158"/>
      <c r="L878" s="247" t="e">
        <f>VLOOKUP(K878,'Basic Data'!T:U,2,0)</f>
        <v>#N/A</v>
      </c>
      <c r="M878" s="135"/>
      <c r="N878" s="256"/>
      <c r="O878" s="256"/>
      <c r="P878" s="256"/>
      <c r="Q878" s="253" t="str">
        <f>IF(WTG_BD[[#This Row],[Work Start TimeStamp]]="","",(WTG_BD[[#This Row],[Work Start TimeStamp]]-WTG_BD[[#This Row],[Fault Start TimeStamp]])*24)</f>
        <v/>
      </c>
      <c r="R878" s="253">
        <f>(WTG_BD[[#This Row],[Fault Clearance time]]-WTG_BD[[#This Row],[Work Start TimeStamp]])*24</f>
        <v>0</v>
      </c>
      <c r="S878" s="253">
        <f>(WTG_BD[[#This Row],[Fault Clearance time]]-WTG_BD[[#This Row],[Fault Start TimeStamp]])*24</f>
        <v>0</v>
      </c>
      <c r="T878" s="135"/>
      <c r="U878" s="244"/>
      <c r="V878" s="246">
        <f>WTG_BD[[#This Row],[Breakdown Time]]*(1/39)</f>
        <v>0</v>
      </c>
      <c r="W878" s="244"/>
      <c r="X878" s="250"/>
      <c r="Y878" s="135"/>
      <c r="Z878" s="135"/>
      <c r="AA878" s="135"/>
      <c r="AB878" s="249">
        <f>(WTG_BD[[#This Row],[Paired WTG Generation for loss calculation.]]/24)*WTG_BD[[#This Row],[Breakdown Time]]</f>
        <v>0</v>
      </c>
      <c r="AC878" s="135"/>
      <c r="AD878" s="245"/>
      <c r="AE878" s="3"/>
    </row>
    <row r="879" spans="1:31">
      <c r="A879" s="241">
        <f t="shared" si="28"/>
        <v>878</v>
      </c>
      <c r="B879" s="255"/>
      <c r="C879" s="252"/>
      <c r="D879" s="252"/>
      <c r="E879" s="251">
        <f t="shared" si="27"/>
        <v>1</v>
      </c>
      <c r="F879" s="252"/>
      <c r="G879" s="248"/>
      <c r="H879" s="242" t="str">
        <f>IFERROR(VLOOKUP(WTG_BD[[#This Row],[Affected WTG]],'Basic Data'!$A$3:$E$56,2,0),"")</f>
        <v/>
      </c>
      <c r="I879" s="242" t="str">
        <f>IFERROR(VLOOKUP(WTG_BD[[#This Row],[Affected WTG]],'Basic Data'!$A$3:$E$56,3,0),"")</f>
        <v/>
      </c>
      <c r="J879" s="243" t="str">
        <f>IFERROR(VLOOKUP(WTG_BD[[#This Row],[Affected WTG]],'Basic Data'!$A$3:$E$56,5,0),"")</f>
        <v/>
      </c>
      <c r="K879" s="158"/>
      <c r="L879" s="247" t="e">
        <f>VLOOKUP(K879,'Basic Data'!T:U,2,0)</f>
        <v>#N/A</v>
      </c>
      <c r="M879" s="135"/>
      <c r="N879" s="256"/>
      <c r="O879" s="256"/>
      <c r="P879" s="256"/>
      <c r="Q879" s="253" t="str">
        <f>IF(WTG_BD[[#This Row],[Work Start TimeStamp]]="","",(WTG_BD[[#This Row],[Work Start TimeStamp]]-WTG_BD[[#This Row],[Fault Start TimeStamp]])*24)</f>
        <v/>
      </c>
      <c r="R879" s="253">
        <f>(WTG_BD[[#This Row],[Fault Clearance time]]-WTG_BD[[#This Row],[Work Start TimeStamp]])*24</f>
        <v>0</v>
      </c>
      <c r="S879" s="253">
        <f>(WTG_BD[[#This Row],[Fault Clearance time]]-WTG_BD[[#This Row],[Fault Start TimeStamp]])*24</f>
        <v>0</v>
      </c>
      <c r="T879" s="135"/>
      <c r="U879" s="244"/>
      <c r="V879" s="246">
        <f>WTG_BD[[#This Row],[Breakdown Time]]*(1/39)</f>
        <v>0</v>
      </c>
      <c r="W879" s="244"/>
      <c r="X879" s="250"/>
      <c r="Y879" s="135"/>
      <c r="Z879" s="135"/>
      <c r="AA879" s="135"/>
      <c r="AB879" s="249">
        <f>(WTG_BD[[#This Row],[Paired WTG Generation for loss calculation.]]/24)*WTG_BD[[#This Row],[Breakdown Time]]</f>
        <v>0</v>
      </c>
      <c r="AC879" s="135"/>
      <c r="AD879" s="245"/>
      <c r="AE879" s="3"/>
    </row>
    <row r="880" spans="1:31">
      <c r="A880" s="241">
        <f t="shared" si="28"/>
        <v>879</v>
      </c>
      <c r="B880" s="255"/>
      <c r="C880" s="252"/>
      <c r="D880" s="252"/>
      <c r="E880" s="251">
        <f t="shared" si="27"/>
        <v>1</v>
      </c>
      <c r="F880" s="252"/>
      <c r="G880" s="248"/>
      <c r="H880" s="242" t="str">
        <f>IFERROR(VLOOKUP(WTG_BD[[#This Row],[Affected WTG]],'Basic Data'!$A$3:$E$56,2,0),"")</f>
        <v/>
      </c>
      <c r="I880" s="242" t="str">
        <f>IFERROR(VLOOKUP(WTG_BD[[#This Row],[Affected WTG]],'Basic Data'!$A$3:$E$56,3,0),"")</f>
        <v/>
      </c>
      <c r="J880" s="243" t="str">
        <f>IFERROR(VLOOKUP(WTG_BD[[#This Row],[Affected WTG]],'Basic Data'!$A$3:$E$56,5,0),"")</f>
        <v/>
      </c>
      <c r="K880" s="158"/>
      <c r="L880" s="247" t="e">
        <f>VLOOKUP(K880,'Basic Data'!T:U,2,0)</f>
        <v>#N/A</v>
      </c>
      <c r="M880" s="135"/>
      <c r="N880" s="256"/>
      <c r="O880" s="256"/>
      <c r="P880" s="256"/>
      <c r="Q880" s="253" t="str">
        <f>IF(WTG_BD[[#This Row],[Work Start TimeStamp]]="","",(WTG_BD[[#This Row],[Work Start TimeStamp]]-WTG_BD[[#This Row],[Fault Start TimeStamp]])*24)</f>
        <v/>
      </c>
      <c r="R880" s="253">
        <f>(WTG_BD[[#This Row],[Fault Clearance time]]-WTG_BD[[#This Row],[Work Start TimeStamp]])*24</f>
        <v>0</v>
      </c>
      <c r="S880" s="253">
        <f>(WTG_BD[[#This Row],[Fault Clearance time]]-WTG_BD[[#This Row],[Fault Start TimeStamp]])*24</f>
        <v>0</v>
      </c>
      <c r="T880" s="135"/>
      <c r="U880" s="244"/>
      <c r="V880" s="246">
        <f>WTG_BD[[#This Row],[Breakdown Time]]*(1/39)</f>
        <v>0</v>
      </c>
      <c r="W880" s="244"/>
      <c r="X880" s="250"/>
      <c r="Y880" s="135"/>
      <c r="Z880" s="135"/>
      <c r="AA880" s="135"/>
      <c r="AB880" s="249">
        <f>(WTG_BD[[#This Row],[Paired WTG Generation for loss calculation.]]/24)*WTG_BD[[#This Row],[Breakdown Time]]</f>
        <v>0</v>
      </c>
      <c r="AC880" s="135"/>
      <c r="AD880" s="245"/>
      <c r="AE880" s="3"/>
    </row>
    <row r="881" spans="1:31">
      <c r="A881" s="241">
        <f t="shared" si="28"/>
        <v>880</v>
      </c>
      <c r="B881" s="255"/>
      <c r="C881" s="252"/>
      <c r="D881" s="252"/>
      <c r="E881" s="251">
        <f t="shared" si="27"/>
        <v>1</v>
      </c>
      <c r="F881" s="252"/>
      <c r="G881" s="248"/>
      <c r="H881" s="242" t="str">
        <f>IFERROR(VLOOKUP(WTG_BD[[#This Row],[Affected WTG]],'Basic Data'!$A$3:$E$56,2,0),"")</f>
        <v/>
      </c>
      <c r="I881" s="242" t="str">
        <f>IFERROR(VLOOKUP(WTG_BD[[#This Row],[Affected WTG]],'Basic Data'!$A$3:$E$56,3,0),"")</f>
        <v/>
      </c>
      <c r="J881" s="243" t="str">
        <f>IFERROR(VLOOKUP(WTG_BD[[#This Row],[Affected WTG]],'Basic Data'!$A$3:$E$56,5,0),"")</f>
        <v/>
      </c>
      <c r="K881" s="158"/>
      <c r="L881" s="247" t="e">
        <f>VLOOKUP(K881,'Basic Data'!T:U,2,0)</f>
        <v>#N/A</v>
      </c>
      <c r="M881" s="135"/>
      <c r="N881" s="256"/>
      <c r="O881" s="256"/>
      <c r="P881" s="256"/>
      <c r="Q881" s="253" t="str">
        <f>IF(WTG_BD[[#This Row],[Work Start TimeStamp]]="","",(WTG_BD[[#This Row],[Work Start TimeStamp]]-WTG_BD[[#This Row],[Fault Start TimeStamp]])*24)</f>
        <v/>
      </c>
      <c r="R881" s="253">
        <f>(WTG_BD[[#This Row],[Fault Clearance time]]-WTG_BD[[#This Row],[Work Start TimeStamp]])*24</f>
        <v>0</v>
      </c>
      <c r="S881" s="253">
        <f>(WTG_BD[[#This Row],[Fault Clearance time]]-WTG_BD[[#This Row],[Fault Start TimeStamp]])*24</f>
        <v>0</v>
      </c>
      <c r="T881" s="135"/>
      <c r="U881" s="244"/>
      <c r="V881" s="246">
        <f>WTG_BD[[#This Row],[Breakdown Time]]*(1/39)</f>
        <v>0</v>
      </c>
      <c r="W881" s="244"/>
      <c r="X881" s="250"/>
      <c r="Y881" s="135"/>
      <c r="Z881" s="135"/>
      <c r="AA881" s="135"/>
      <c r="AB881" s="249">
        <f>(WTG_BD[[#This Row],[Paired WTG Generation for loss calculation.]]/24)*WTG_BD[[#This Row],[Breakdown Time]]</f>
        <v>0</v>
      </c>
      <c r="AC881" s="135"/>
      <c r="AD881" s="245"/>
      <c r="AE881" s="3"/>
    </row>
    <row r="882" spans="1:31">
      <c r="A882" s="241">
        <f t="shared" si="28"/>
        <v>881</v>
      </c>
      <c r="B882" s="255"/>
      <c r="C882" s="252"/>
      <c r="D882" s="252"/>
      <c r="E882" s="251">
        <f t="shared" si="27"/>
        <v>1</v>
      </c>
      <c r="F882" s="252"/>
      <c r="G882" s="248"/>
      <c r="H882" s="242" t="str">
        <f>IFERROR(VLOOKUP(WTG_BD[[#This Row],[Affected WTG]],'Basic Data'!$A$3:$E$56,2,0),"")</f>
        <v/>
      </c>
      <c r="I882" s="242" t="str">
        <f>IFERROR(VLOOKUP(WTG_BD[[#This Row],[Affected WTG]],'Basic Data'!$A$3:$E$56,3,0),"")</f>
        <v/>
      </c>
      <c r="J882" s="243" t="str">
        <f>IFERROR(VLOOKUP(WTG_BD[[#This Row],[Affected WTG]],'Basic Data'!$A$3:$E$56,5,0),"")</f>
        <v/>
      </c>
      <c r="K882" s="158"/>
      <c r="L882" s="247" t="e">
        <f>VLOOKUP(K882,'Basic Data'!T:U,2,0)</f>
        <v>#N/A</v>
      </c>
      <c r="M882" s="135"/>
      <c r="N882" s="256"/>
      <c r="O882" s="256"/>
      <c r="P882" s="256"/>
      <c r="Q882" s="253" t="str">
        <f>IF(WTG_BD[[#This Row],[Work Start TimeStamp]]="","",(WTG_BD[[#This Row],[Work Start TimeStamp]]-WTG_BD[[#This Row],[Fault Start TimeStamp]])*24)</f>
        <v/>
      </c>
      <c r="R882" s="253">
        <f>(WTG_BD[[#This Row],[Fault Clearance time]]-WTG_BD[[#This Row],[Work Start TimeStamp]])*24</f>
        <v>0</v>
      </c>
      <c r="S882" s="253">
        <f>(WTG_BD[[#This Row],[Fault Clearance time]]-WTG_BD[[#This Row],[Fault Start TimeStamp]])*24</f>
        <v>0</v>
      </c>
      <c r="T882" s="135"/>
      <c r="U882" s="244"/>
      <c r="V882" s="246">
        <f>WTG_BD[[#This Row],[Breakdown Time]]*(1/39)</f>
        <v>0</v>
      </c>
      <c r="W882" s="244"/>
      <c r="X882" s="250"/>
      <c r="Y882" s="135"/>
      <c r="Z882" s="135"/>
      <c r="AA882" s="135"/>
      <c r="AB882" s="249">
        <f>(WTG_BD[[#This Row],[Paired WTG Generation for loss calculation.]]/24)*WTG_BD[[#This Row],[Breakdown Time]]</f>
        <v>0</v>
      </c>
      <c r="AC882" s="135"/>
      <c r="AD882" s="245"/>
      <c r="AE882" s="3"/>
    </row>
    <row r="883" spans="1:31">
      <c r="A883" s="241">
        <f t="shared" si="28"/>
        <v>882</v>
      </c>
      <c r="B883" s="255"/>
      <c r="C883" s="252"/>
      <c r="D883" s="252"/>
      <c r="E883" s="251">
        <f t="shared" si="27"/>
        <v>1</v>
      </c>
      <c r="F883" s="252"/>
      <c r="G883" s="248"/>
      <c r="H883" s="242" t="str">
        <f>IFERROR(VLOOKUP(WTG_BD[[#This Row],[Affected WTG]],'Basic Data'!$A$3:$E$56,2,0),"")</f>
        <v/>
      </c>
      <c r="I883" s="242" t="str">
        <f>IFERROR(VLOOKUP(WTG_BD[[#This Row],[Affected WTG]],'Basic Data'!$A$3:$E$56,3,0),"")</f>
        <v/>
      </c>
      <c r="J883" s="243" t="str">
        <f>IFERROR(VLOOKUP(WTG_BD[[#This Row],[Affected WTG]],'Basic Data'!$A$3:$E$56,5,0),"")</f>
        <v/>
      </c>
      <c r="K883" s="158"/>
      <c r="L883" s="247" t="e">
        <f>VLOOKUP(K883,'Basic Data'!T:U,2,0)</f>
        <v>#N/A</v>
      </c>
      <c r="M883" s="135"/>
      <c r="N883" s="256"/>
      <c r="O883" s="256"/>
      <c r="P883" s="256"/>
      <c r="Q883" s="253" t="str">
        <f>IF(WTG_BD[[#This Row],[Work Start TimeStamp]]="","",(WTG_BD[[#This Row],[Work Start TimeStamp]]-WTG_BD[[#This Row],[Fault Start TimeStamp]])*24)</f>
        <v/>
      </c>
      <c r="R883" s="253">
        <f>(WTG_BD[[#This Row],[Fault Clearance time]]-WTG_BD[[#This Row],[Work Start TimeStamp]])*24</f>
        <v>0</v>
      </c>
      <c r="S883" s="253">
        <f>(WTG_BD[[#This Row],[Fault Clearance time]]-WTG_BD[[#This Row],[Fault Start TimeStamp]])*24</f>
        <v>0</v>
      </c>
      <c r="T883" s="135"/>
      <c r="U883" s="244"/>
      <c r="V883" s="246">
        <f>WTG_BD[[#This Row],[Breakdown Time]]*(1/39)</f>
        <v>0</v>
      </c>
      <c r="W883" s="244"/>
      <c r="X883" s="250"/>
      <c r="Y883" s="135"/>
      <c r="Z883" s="135"/>
      <c r="AA883" s="135"/>
      <c r="AB883" s="249">
        <f>(WTG_BD[[#This Row],[Paired WTG Generation for loss calculation.]]/24)*WTG_BD[[#This Row],[Breakdown Time]]</f>
        <v>0</v>
      </c>
      <c r="AC883" s="135"/>
      <c r="AD883" s="245"/>
      <c r="AE883" s="3"/>
    </row>
    <row r="884" spans="1:31">
      <c r="A884" s="241">
        <f t="shared" si="28"/>
        <v>883</v>
      </c>
      <c r="B884" s="255"/>
      <c r="C884" s="252"/>
      <c r="D884" s="252"/>
      <c r="E884" s="251">
        <f t="shared" si="27"/>
        <v>1</v>
      </c>
      <c r="F884" s="252"/>
      <c r="G884" s="248"/>
      <c r="H884" s="242" t="str">
        <f>IFERROR(VLOOKUP(WTG_BD[[#This Row],[Affected WTG]],'Basic Data'!$A$3:$E$56,2,0),"")</f>
        <v/>
      </c>
      <c r="I884" s="242" t="str">
        <f>IFERROR(VLOOKUP(WTG_BD[[#This Row],[Affected WTG]],'Basic Data'!$A$3:$E$56,3,0),"")</f>
        <v/>
      </c>
      <c r="J884" s="243" t="str">
        <f>IFERROR(VLOOKUP(WTG_BD[[#This Row],[Affected WTG]],'Basic Data'!$A$3:$E$56,5,0),"")</f>
        <v/>
      </c>
      <c r="K884" s="158"/>
      <c r="L884" s="247" t="e">
        <f>VLOOKUP(K884,'Basic Data'!T:U,2,0)</f>
        <v>#N/A</v>
      </c>
      <c r="M884" s="135"/>
      <c r="N884" s="256"/>
      <c r="O884" s="256"/>
      <c r="P884" s="256"/>
      <c r="Q884" s="253" t="str">
        <f>IF(WTG_BD[[#This Row],[Work Start TimeStamp]]="","",(WTG_BD[[#This Row],[Work Start TimeStamp]]-WTG_BD[[#This Row],[Fault Start TimeStamp]])*24)</f>
        <v/>
      </c>
      <c r="R884" s="253">
        <f>(WTG_BD[[#This Row],[Fault Clearance time]]-WTG_BD[[#This Row],[Work Start TimeStamp]])*24</f>
        <v>0</v>
      </c>
      <c r="S884" s="253">
        <f>(WTG_BD[[#This Row],[Fault Clearance time]]-WTG_BD[[#This Row],[Fault Start TimeStamp]])*24</f>
        <v>0</v>
      </c>
      <c r="T884" s="135"/>
      <c r="U884" s="244"/>
      <c r="V884" s="246">
        <f>WTG_BD[[#This Row],[Breakdown Time]]*(1/39)</f>
        <v>0</v>
      </c>
      <c r="W884" s="244"/>
      <c r="X884" s="250"/>
      <c r="Y884" s="135"/>
      <c r="Z884" s="135"/>
      <c r="AA884" s="135"/>
      <c r="AB884" s="249">
        <f>(WTG_BD[[#This Row],[Paired WTG Generation for loss calculation.]]/24)*WTG_BD[[#This Row],[Breakdown Time]]</f>
        <v>0</v>
      </c>
      <c r="AC884" s="135"/>
      <c r="AD884" s="245"/>
      <c r="AE884" s="3"/>
    </row>
    <row r="885" spans="1:31">
      <c r="A885" s="241">
        <f t="shared" si="28"/>
        <v>884</v>
      </c>
      <c r="B885" s="255"/>
      <c r="C885" s="252"/>
      <c r="D885" s="252"/>
      <c r="E885" s="251">
        <f t="shared" si="27"/>
        <v>1</v>
      </c>
      <c r="F885" s="252"/>
      <c r="G885" s="248"/>
      <c r="H885" s="242" t="str">
        <f>IFERROR(VLOOKUP(WTG_BD[[#This Row],[Affected WTG]],'Basic Data'!$A$3:$E$56,2,0),"")</f>
        <v/>
      </c>
      <c r="I885" s="242" t="str">
        <f>IFERROR(VLOOKUP(WTG_BD[[#This Row],[Affected WTG]],'Basic Data'!$A$3:$E$56,3,0),"")</f>
        <v/>
      </c>
      <c r="J885" s="243" t="str">
        <f>IFERROR(VLOOKUP(WTG_BD[[#This Row],[Affected WTG]],'Basic Data'!$A$3:$E$56,5,0),"")</f>
        <v/>
      </c>
      <c r="K885" s="158"/>
      <c r="L885" s="247" t="e">
        <f>VLOOKUP(K885,'Basic Data'!T:U,2,0)</f>
        <v>#N/A</v>
      </c>
      <c r="M885" s="135"/>
      <c r="N885" s="256"/>
      <c r="O885" s="256"/>
      <c r="P885" s="256"/>
      <c r="Q885" s="253" t="str">
        <f>IF(WTG_BD[[#This Row],[Work Start TimeStamp]]="","",(WTG_BD[[#This Row],[Work Start TimeStamp]]-WTG_BD[[#This Row],[Fault Start TimeStamp]])*24)</f>
        <v/>
      </c>
      <c r="R885" s="253">
        <f>(WTG_BD[[#This Row],[Fault Clearance time]]-WTG_BD[[#This Row],[Work Start TimeStamp]])*24</f>
        <v>0</v>
      </c>
      <c r="S885" s="253">
        <f>(WTG_BD[[#This Row],[Fault Clearance time]]-WTG_BD[[#This Row],[Fault Start TimeStamp]])*24</f>
        <v>0</v>
      </c>
      <c r="T885" s="135"/>
      <c r="U885" s="244"/>
      <c r="V885" s="246">
        <f>WTG_BD[[#This Row],[Breakdown Time]]*(1/39)</f>
        <v>0</v>
      </c>
      <c r="W885" s="244"/>
      <c r="X885" s="250"/>
      <c r="Y885" s="135"/>
      <c r="Z885" s="135"/>
      <c r="AA885" s="135"/>
      <c r="AB885" s="249">
        <f>(WTG_BD[[#This Row],[Paired WTG Generation for loss calculation.]]/24)*WTG_BD[[#This Row],[Breakdown Time]]</f>
        <v>0</v>
      </c>
      <c r="AC885" s="135"/>
      <c r="AD885" s="245"/>
      <c r="AE885" s="3"/>
    </row>
    <row r="886" spans="1:31">
      <c r="A886" s="241">
        <f t="shared" si="28"/>
        <v>885</v>
      </c>
      <c r="B886" s="255"/>
      <c r="C886" s="252"/>
      <c r="D886" s="252"/>
      <c r="E886" s="251">
        <f t="shared" si="27"/>
        <v>1</v>
      </c>
      <c r="F886" s="252"/>
      <c r="G886" s="248"/>
      <c r="H886" s="242" t="str">
        <f>IFERROR(VLOOKUP(WTG_BD[[#This Row],[Affected WTG]],'Basic Data'!$A$3:$E$56,2,0),"")</f>
        <v/>
      </c>
      <c r="I886" s="242" t="str">
        <f>IFERROR(VLOOKUP(WTG_BD[[#This Row],[Affected WTG]],'Basic Data'!$A$3:$E$56,3,0),"")</f>
        <v/>
      </c>
      <c r="J886" s="243" t="str">
        <f>IFERROR(VLOOKUP(WTG_BD[[#This Row],[Affected WTG]],'Basic Data'!$A$3:$E$56,5,0),"")</f>
        <v/>
      </c>
      <c r="K886" s="158"/>
      <c r="L886" s="247" t="e">
        <f>VLOOKUP(K886,'Basic Data'!T:U,2,0)</f>
        <v>#N/A</v>
      </c>
      <c r="M886" s="135"/>
      <c r="N886" s="256"/>
      <c r="O886" s="256"/>
      <c r="P886" s="256"/>
      <c r="Q886" s="253" t="str">
        <f>IF(WTG_BD[[#This Row],[Work Start TimeStamp]]="","",(WTG_BD[[#This Row],[Work Start TimeStamp]]-WTG_BD[[#This Row],[Fault Start TimeStamp]])*24)</f>
        <v/>
      </c>
      <c r="R886" s="253">
        <f>(WTG_BD[[#This Row],[Fault Clearance time]]-WTG_BD[[#This Row],[Work Start TimeStamp]])*24</f>
        <v>0</v>
      </c>
      <c r="S886" s="253">
        <f>(WTG_BD[[#This Row],[Fault Clearance time]]-WTG_BD[[#This Row],[Fault Start TimeStamp]])*24</f>
        <v>0</v>
      </c>
      <c r="T886" s="135"/>
      <c r="U886" s="244"/>
      <c r="V886" s="246">
        <f>WTG_BD[[#This Row],[Breakdown Time]]*(1/39)</f>
        <v>0</v>
      </c>
      <c r="W886" s="244"/>
      <c r="X886" s="250"/>
      <c r="Y886" s="135"/>
      <c r="Z886" s="135"/>
      <c r="AA886" s="135"/>
      <c r="AB886" s="249">
        <f>(WTG_BD[[#This Row],[Paired WTG Generation for loss calculation.]]/24)*WTG_BD[[#This Row],[Breakdown Time]]</f>
        <v>0</v>
      </c>
      <c r="AC886" s="135"/>
      <c r="AD886" s="245"/>
      <c r="AE886" s="3"/>
    </row>
    <row r="887" spans="1:31">
      <c r="A887" s="241">
        <f t="shared" si="28"/>
        <v>886</v>
      </c>
      <c r="B887" s="255"/>
      <c r="C887" s="252"/>
      <c r="D887" s="252"/>
      <c r="E887" s="251">
        <f t="shared" si="27"/>
        <v>1</v>
      </c>
      <c r="F887" s="252"/>
      <c r="G887" s="248"/>
      <c r="H887" s="242" t="str">
        <f>IFERROR(VLOOKUP(WTG_BD[[#This Row],[Affected WTG]],'Basic Data'!$A$3:$E$56,2,0),"")</f>
        <v/>
      </c>
      <c r="I887" s="242" t="str">
        <f>IFERROR(VLOOKUP(WTG_BD[[#This Row],[Affected WTG]],'Basic Data'!$A$3:$E$56,3,0),"")</f>
        <v/>
      </c>
      <c r="J887" s="243" t="str">
        <f>IFERROR(VLOOKUP(WTG_BD[[#This Row],[Affected WTG]],'Basic Data'!$A$3:$E$56,5,0),"")</f>
        <v/>
      </c>
      <c r="K887" s="158"/>
      <c r="L887" s="247" t="e">
        <f>VLOOKUP(K887,'Basic Data'!T:U,2,0)</f>
        <v>#N/A</v>
      </c>
      <c r="M887" s="135"/>
      <c r="N887" s="256"/>
      <c r="O887" s="256"/>
      <c r="P887" s="256"/>
      <c r="Q887" s="253" t="str">
        <f>IF(WTG_BD[[#This Row],[Work Start TimeStamp]]="","",(WTG_BD[[#This Row],[Work Start TimeStamp]]-WTG_BD[[#This Row],[Fault Start TimeStamp]])*24)</f>
        <v/>
      </c>
      <c r="R887" s="253">
        <f>(WTG_BD[[#This Row],[Fault Clearance time]]-WTG_BD[[#This Row],[Work Start TimeStamp]])*24</f>
        <v>0</v>
      </c>
      <c r="S887" s="253">
        <f>(WTG_BD[[#This Row],[Fault Clearance time]]-WTG_BD[[#This Row],[Fault Start TimeStamp]])*24</f>
        <v>0</v>
      </c>
      <c r="T887" s="135"/>
      <c r="U887" s="244"/>
      <c r="V887" s="246">
        <f>WTG_BD[[#This Row],[Breakdown Time]]*(1/39)</f>
        <v>0</v>
      </c>
      <c r="W887" s="244"/>
      <c r="X887" s="250"/>
      <c r="Y887" s="135"/>
      <c r="Z887" s="135"/>
      <c r="AA887" s="135"/>
      <c r="AB887" s="249">
        <f>(WTG_BD[[#This Row],[Paired WTG Generation for loss calculation.]]/24)*WTG_BD[[#This Row],[Breakdown Time]]</f>
        <v>0</v>
      </c>
      <c r="AC887" s="135"/>
      <c r="AD887" s="245"/>
      <c r="AE887" s="3"/>
    </row>
    <row r="888" spans="1:31">
      <c r="A888" s="241">
        <f t="shared" si="28"/>
        <v>887</v>
      </c>
      <c r="B888" s="255"/>
      <c r="C888" s="252"/>
      <c r="D888" s="252"/>
      <c r="E888" s="251">
        <f t="shared" ref="E888:E951" si="29">B888-DAY(B888)+1</f>
        <v>1</v>
      </c>
      <c r="F888" s="252"/>
      <c r="G888" s="248"/>
      <c r="H888" s="242" t="str">
        <f>IFERROR(VLOOKUP(WTG_BD[[#This Row],[Affected WTG]],'Basic Data'!$A$3:$E$56,2,0),"")</f>
        <v/>
      </c>
      <c r="I888" s="242" t="str">
        <f>IFERROR(VLOOKUP(WTG_BD[[#This Row],[Affected WTG]],'Basic Data'!$A$3:$E$56,3,0),"")</f>
        <v/>
      </c>
      <c r="J888" s="243" t="str">
        <f>IFERROR(VLOOKUP(WTG_BD[[#This Row],[Affected WTG]],'Basic Data'!$A$3:$E$56,5,0),"")</f>
        <v/>
      </c>
      <c r="K888" s="158"/>
      <c r="L888" s="247" t="e">
        <f>VLOOKUP(K888,'Basic Data'!T:U,2,0)</f>
        <v>#N/A</v>
      </c>
      <c r="M888" s="135"/>
      <c r="N888" s="256"/>
      <c r="O888" s="256"/>
      <c r="P888" s="256"/>
      <c r="Q888" s="253" t="str">
        <f>IF(WTG_BD[[#This Row],[Work Start TimeStamp]]="","",(WTG_BD[[#This Row],[Work Start TimeStamp]]-WTG_BD[[#This Row],[Fault Start TimeStamp]])*24)</f>
        <v/>
      </c>
      <c r="R888" s="253">
        <f>(WTG_BD[[#This Row],[Fault Clearance time]]-WTG_BD[[#This Row],[Work Start TimeStamp]])*24</f>
        <v>0</v>
      </c>
      <c r="S888" s="253">
        <f>(WTG_BD[[#This Row],[Fault Clearance time]]-WTG_BD[[#This Row],[Fault Start TimeStamp]])*24</f>
        <v>0</v>
      </c>
      <c r="T888" s="135"/>
      <c r="U888" s="244"/>
      <c r="V888" s="246">
        <f>WTG_BD[[#This Row],[Breakdown Time]]*(1/39)</f>
        <v>0</v>
      </c>
      <c r="W888" s="244"/>
      <c r="X888" s="250"/>
      <c r="Y888" s="135"/>
      <c r="Z888" s="135"/>
      <c r="AA888" s="135"/>
      <c r="AB888" s="249">
        <f>(WTG_BD[[#This Row],[Paired WTG Generation for loss calculation.]]/24)*WTG_BD[[#This Row],[Breakdown Time]]</f>
        <v>0</v>
      </c>
      <c r="AC888" s="135"/>
      <c r="AD888" s="245"/>
      <c r="AE888" s="3"/>
    </row>
    <row r="889" spans="1:31">
      <c r="A889" s="241">
        <f t="shared" si="28"/>
        <v>888</v>
      </c>
      <c r="B889" s="255"/>
      <c r="C889" s="252"/>
      <c r="D889" s="252"/>
      <c r="E889" s="251">
        <f t="shared" si="29"/>
        <v>1</v>
      </c>
      <c r="F889" s="252"/>
      <c r="G889" s="248"/>
      <c r="H889" s="242" t="str">
        <f>IFERROR(VLOOKUP(WTG_BD[[#This Row],[Affected WTG]],'Basic Data'!$A$3:$E$56,2,0),"")</f>
        <v/>
      </c>
      <c r="I889" s="242" t="str">
        <f>IFERROR(VLOOKUP(WTG_BD[[#This Row],[Affected WTG]],'Basic Data'!$A$3:$E$56,3,0),"")</f>
        <v/>
      </c>
      <c r="J889" s="243" t="str">
        <f>IFERROR(VLOOKUP(WTG_BD[[#This Row],[Affected WTG]],'Basic Data'!$A$3:$E$56,5,0),"")</f>
        <v/>
      </c>
      <c r="K889" s="158"/>
      <c r="L889" s="247" t="e">
        <f>VLOOKUP(K889,'Basic Data'!T:U,2,0)</f>
        <v>#N/A</v>
      </c>
      <c r="M889" s="135"/>
      <c r="N889" s="256"/>
      <c r="O889" s="256"/>
      <c r="P889" s="256"/>
      <c r="Q889" s="253" t="str">
        <f>IF(WTG_BD[[#This Row],[Work Start TimeStamp]]="","",(WTG_BD[[#This Row],[Work Start TimeStamp]]-WTG_BD[[#This Row],[Fault Start TimeStamp]])*24)</f>
        <v/>
      </c>
      <c r="R889" s="253">
        <f>(WTG_BD[[#This Row],[Fault Clearance time]]-WTG_BD[[#This Row],[Work Start TimeStamp]])*24</f>
        <v>0</v>
      </c>
      <c r="S889" s="253">
        <f>(WTG_BD[[#This Row],[Fault Clearance time]]-WTG_BD[[#This Row],[Fault Start TimeStamp]])*24</f>
        <v>0</v>
      </c>
      <c r="T889" s="135"/>
      <c r="U889" s="244"/>
      <c r="V889" s="246">
        <f>WTG_BD[[#This Row],[Breakdown Time]]*(1/39)</f>
        <v>0</v>
      </c>
      <c r="W889" s="244"/>
      <c r="X889" s="250"/>
      <c r="Y889" s="135"/>
      <c r="Z889" s="135"/>
      <c r="AA889" s="135"/>
      <c r="AB889" s="249">
        <f>(WTG_BD[[#This Row],[Paired WTG Generation for loss calculation.]]/24)*WTG_BD[[#This Row],[Breakdown Time]]</f>
        <v>0</v>
      </c>
      <c r="AC889" s="135"/>
      <c r="AD889" s="245"/>
      <c r="AE889" s="3"/>
    </row>
    <row r="890" spans="1:31">
      <c r="A890" s="241">
        <f t="shared" si="28"/>
        <v>889</v>
      </c>
      <c r="B890" s="255"/>
      <c r="C890" s="252"/>
      <c r="D890" s="252"/>
      <c r="E890" s="251">
        <f t="shared" si="29"/>
        <v>1</v>
      </c>
      <c r="F890" s="252"/>
      <c r="G890" s="248"/>
      <c r="H890" s="242" t="str">
        <f>IFERROR(VLOOKUP(WTG_BD[[#This Row],[Affected WTG]],'Basic Data'!$A$3:$E$56,2,0),"")</f>
        <v/>
      </c>
      <c r="I890" s="242" t="str">
        <f>IFERROR(VLOOKUP(WTG_BD[[#This Row],[Affected WTG]],'Basic Data'!$A$3:$E$56,3,0),"")</f>
        <v/>
      </c>
      <c r="J890" s="243" t="str">
        <f>IFERROR(VLOOKUP(WTG_BD[[#This Row],[Affected WTG]],'Basic Data'!$A$3:$E$56,5,0),"")</f>
        <v/>
      </c>
      <c r="K890" s="158"/>
      <c r="L890" s="247" t="e">
        <f>VLOOKUP(K890,'Basic Data'!T:U,2,0)</f>
        <v>#N/A</v>
      </c>
      <c r="M890" s="135"/>
      <c r="N890" s="256"/>
      <c r="O890" s="256"/>
      <c r="P890" s="256"/>
      <c r="Q890" s="253" t="str">
        <f>IF(WTG_BD[[#This Row],[Work Start TimeStamp]]="","",(WTG_BD[[#This Row],[Work Start TimeStamp]]-WTG_BD[[#This Row],[Fault Start TimeStamp]])*24)</f>
        <v/>
      </c>
      <c r="R890" s="253">
        <f>(WTG_BD[[#This Row],[Fault Clearance time]]-WTG_BD[[#This Row],[Work Start TimeStamp]])*24</f>
        <v>0</v>
      </c>
      <c r="S890" s="253">
        <f>(WTG_BD[[#This Row],[Fault Clearance time]]-WTG_BD[[#This Row],[Fault Start TimeStamp]])*24</f>
        <v>0</v>
      </c>
      <c r="T890" s="135"/>
      <c r="U890" s="244"/>
      <c r="V890" s="246">
        <f>WTG_BD[[#This Row],[Breakdown Time]]*(1/39)</f>
        <v>0</v>
      </c>
      <c r="W890" s="244"/>
      <c r="X890" s="250"/>
      <c r="Y890" s="135"/>
      <c r="Z890" s="135"/>
      <c r="AA890" s="135"/>
      <c r="AB890" s="249">
        <f>(WTG_BD[[#This Row],[Paired WTG Generation for loss calculation.]]/24)*WTG_BD[[#This Row],[Breakdown Time]]</f>
        <v>0</v>
      </c>
      <c r="AC890" s="135"/>
      <c r="AD890" s="245"/>
      <c r="AE890" s="3"/>
    </row>
    <row r="891" spans="1:31">
      <c r="A891" s="241">
        <f t="shared" si="28"/>
        <v>890</v>
      </c>
      <c r="B891" s="255"/>
      <c r="C891" s="252"/>
      <c r="D891" s="252"/>
      <c r="E891" s="251">
        <f t="shared" si="29"/>
        <v>1</v>
      </c>
      <c r="F891" s="252"/>
      <c r="G891" s="248"/>
      <c r="H891" s="242" t="str">
        <f>IFERROR(VLOOKUP(WTG_BD[[#This Row],[Affected WTG]],'Basic Data'!$A$3:$E$56,2,0),"")</f>
        <v/>
      </c>
      <c r="I891" s="242" t="str">
        <f>IFERROR(VLOOKUP(WTG_BD[[#This Row],[Affected WTG]],'Basic Data'!$A$3:$E$56,3,0),"")</f>
        <v/>
      </c>
      <c r="J891" s="243" t="str">
        <f>IFERROR(VLOOKUP(WTG_BD[[#This Row],[Affected WTG]],'Basic Data'!$A$3:$E$56,5,0),"")</f>
        <v/>
      </c>
      <c r="K891" s="158"/>
      <c r="L891" s="247" t="e">
        <f>VLOOKUP(K891,'Basic Data'!T:U,2,0)</f>
        <v>#N/A</v>
      </c>
      <c r="M891" s="135"/>
      <c r="N891" s="256"/>
      <c r="O891" s="256"/>
      <c r="P891" s="256"/>
      <c r="Q891" s="253" t="str">
        <f>IF(WTG_BD[[#This Row],[Work Start TimeStamp]]="","",(WTG_BD[[#This Row],[Work Start TimeStamp]]-WTG_BD[[#This Row],[Fault Start TimeStamp]])*24)</f>
        <v/>
      </c>
      <c r="R891" s="253">
        <f>(WTG_BD[[#This Row],[Fault Clearance time]]-WTG_BD[[#This Row],[Work Start TimeStamp]])*24</f>
        <v>0</v>
      </c>
      <c r="S891" s="253">
        <f>(WTG_BD[[#This Row],[Fault Clearance time]]-WTG_BD[[#This Row],[Fault Start TimeStamp]])*24</f>
        <v>0</v>
      </c>
      <c r="T891" s="135"/>
      <c r="U891" s="244"/>
      <c r="V891" s="246">
        <f>WTG_BD[[#This Row],[Breakdown Time]]*(1/39)</f>
        <v>0</v>
      </c>
      <c r="W891" s="244"/>
      <c r="X891" s="250"/>
      <c r="Y891" s="135"/>
      <c r="Z891" s="135"/>
      <c r="AA891" s="135"/>
      <c r="AB891" s="249">
        <f>(WTG_BD[[#This Row],[Paired WTG Generation for loss calculation.]]/24)*WTG_BD[[#This Row],[Breakdown Time]]</f>
        <v>0</v>
      </c>
      <c r="AC891" s="135"/>
      <c r="AD891" s="245"/>
      <c r="AE891" s="3"/>
    </row>
    <row r="892" spans="1:31">
      <c r="A892" s="241">
        <f t="shared" si="28"/>
        <v>891</v>
      </c>
      <c r="B892" s="255"/>
      <c r="C892" s="252"/>
      <c r="D892" s="252"/>
      <c r="E892" s="251">
        <f t="shared" si="29"/>
        <v>1</v>
      </c>
      <c r="F892" s="252"/>
      <c r="G892" s="248"/>
      <c r="H892" s="242" t="str">
        <f>IFERROR(VLOOKUP(WTG_BD[[#This Row],[Affected WTG]],'Basic Data'!$A$3:$E$56,2,0),"")</f>
        <v/>
      </c>
      <c r="I892" s="242" t="str">
        <f>IFERROR(VLOOKUP(WTG_BD[[#This Row],[Affected WTG]],'Basic Data'!$A$3:$E$56,3,0),"")</f>
        <v/>
      </c>
      <c r="J892" s="243" t="str">
        <f>IFERROR(VLOOKUP(WTG_BD[[#This Row],[Affected WTG]],'Basic Data'!$A$3:$E$56,5,0),"")</f>
        <v/>
      </c>
      <c r="K892" s="158"/>
      <c r="L892" s="247" t="e">
        <f>VLOOKUP(K892,'Basic Data'!T:U,2,0)</f>
        <v>#N/A</v>
      </c>
      <c r="M892" s="135"/>
      <c r="N892" s="256"/>
      <c r="O892" s="256"/>
      <c r="P892" s="256"/>
      <c r="Q892" s="253" t="str">
        <f>IF(WTG_BD[[#This Row],[Work Start TimeStamp]]="","",(WTG_BD[[#This Row],[Work Start TimeStamp]]-WTG_BD[[#This Row],[Fault Start TimeStamp]])*24)</f>
        <v/>
      </c>
      <c r="R892" s="253">
        <f>(WTG_BD[[#This Row],[Fault Clearance time]]-WTG_BD[[#This Row],[Work Start TimeStamp]])*24</f>
        <v>0</v>
      </c>
      <c r="S892" s="253">
        <f>(WTG_BD[[#This Row],[Fault Clearance time]]-WTG_BD[[#This Row],[Fault Start TimeStamp]])*24</f>
        <v>0</v>
      </c>
      <c r="T892" s="135"/>
      <c r="U892" s="244"/>
      <c r="V892" s="246">
        <f>WTG_BD[[#This Row],[Breakdown Time]]*(1/39)</f>
        <v>0</v>
      </c>
      <c r="W892" s="244"/>
      <c r="X892" s="250"/>
      <c r="Y892" s="135"/>
      <c r="Z892" s="135"/>
      <c r="AA892" s="135"/>
      <c r="AB892" s="249">
        <f>(WTG_BD[[#This Row],[Paired WTG Generation for loss calculation.]]/24)*WTG_BD[[#This Row],[Breakdown Time]]</f>
        <v>0</v>
      </c>
      <c r="AC892" s="135"/>
      <c r="AD892" s="245"/>
      <c r="AE892" s="3"/>
    </row>
    <row r="893" spans="1:31">
      <c r="A893" s="241">
        <f t="shared" si="28"/>
        <v>892</v>
      </c>
      <c r="B893" s="255"/>
      <c r="C893" s="252"/>
      <c r="D893" s="252"/>
      <c r="E893" s="251">
        <f t="shared" si="29"/>
        <v>1</v>
      </c>
      <c r="F893" s="252"/>
      <c r="G893" s="248"/>
      <c r="H893" s="242" t="str">
        <f>IFERROR(VLOOKUP(WTG_BD[[#This Row],[Affected WTG]],'Basic Data'!$A$3:$E$56,2,0),"")</f>
        <v/>
      </c>
      <c r="I893" s="242" t="str">
        <f>IFERROR(VLOOKUP(WTG_BD[[#This Row],[Affected WTG]],'Basic Data'!$A$3:$E$56,3,0),"")</f>
        <v/>
      </c>
      <c r="J893" s="243" t="str">
        <f>IFERROR(VLOOKUP(WTG_BD[[#This Row],[Affected WTG]],'Basic Data'!$A$3:$E$56,5,0),"")</f>
        <v/>
      </c>
      <c r="K893" s="158"/>
      <c r="L893" s="247" t="e">
        <f>VLOOKUP(K893,'Basic Data'!T:U,2,0)</f>
        <v>#N/A</v>
      </c>
      <c r="M893" s="135"/>
      <c r="N893" s="256"/>
      <c r="O893" s="256"/>
      <c r="P893" s="256"/>
      <c r="Q893" s="253" t="str">
        <f>IF(WTG_BD[[#This Row],[Work Start TimeStamp]]="","",(WTG_BD[[#This Row],[Work Start TimeStamp]]-WTG_BD[[#This Row],[Fault Start TimeStamp]])*24)</f>
        <v/>
      </c>
      <c r="R893" s="253">
        <f>(WTG_BD[[#This Row],[Fault Clearance time]]-WTG_BD[[#This Row],[Work Start TimeStamp]])*24</f>
        <v>0</v>
      </c>
      <c r="S893" s="253">
        <f>(WTG_BD[[#This Row],[Fault Clearance time]]-WTG_BD[[#This Row],[Fault Start TimeStamp]])*24</f>
        <v>0</v>
      </c>
      <c r="T893" s="135"/>
      <c r="U893" s="244"/>
      <c r="V893" s="246">
        <f>WTG_BD[[#This Row],[Breakdown Time]]*(1/39)</f>
        <v>0</v>
      </c>
      <c r="W893" s="244"/>
      <c r="X893" s="250"/>
      <c r="Y893" s="135"/>
      <c r="Z893" s="135"/>
      <c r="AA893" s="135"/>
      <c r="AB893" s="249">
        <f>(WTG_BD[[#This Row],[Paired WTG Generation for loss calculation.]]/24)*WTG_BD[[#This Row],[Breakdown Time]]</f>
        <v>0</v>
      </c>
      <c r="AC893" s="135"/>
      <c r="AD893" s="245"/>
      <c r="AE893" s="3"/>
    </row>
    <row r="894" spans="1:31">
      <c r="A894" s="241">
        <f t="shared" si="28"/>
        <v>893</v>
      </c>
      <c r="B894" s="255"/>
      <c r="C894" s="252"/>
      <c r="D894" s="252"/>
      <c r="E894" s="251">
        <f t="shared" si="29"/>
        <v>1</v>
      </c>
      <c r="F894" s="252"/>
      <c r="G894" s="248"/>
      <c r="H894" s="242" t="str">
        <f>IFERROR(VLOOKUP(WTG_BD[[#This Row],[Affected WTG]],'Basic Data'!$A$3:$E$56,2,0),"")</f>
        <v/>
      </c>
      <c r="I894" s="242" t="str">
        <f>IFERROR(VLOOKUP(WTG_BD[[#This Row],[Affected WTG]],'Basic Data'!$A$3:$E$56,3,0),"")</f>
        <v/>
      </c>
      <c r="J894" s="243" t="str">
        <f>IFERROR(VLOOKUP(WTG_BD[[#This Row],[Affected WTG]],'Basic Data'!$A$3:$E$56,5,0),"")</f>
        <v/>
      </c>
      <c r="K894" s="158"/>
      <c r="L894" s="247" t="e">
        <f>VLOOKUP(K894,'Basic Data'!T:U,2,0)</f>
        <v>#N/A</v>
      </c>
      <c r="M894" s="135"/>
      <c r="N894" s="256"/>
      <c r="O894" s="256"/>
      <c r="P894" s="256"/>
      <c r="Q894" s="253" t="str">
        <f>IF(WTG_BD[[#This Row],[Work Start TimeStamp]]="","",(WTG_BD[[#This Row],[Work Start TimeStamp]]-WTG_BD[[#This Row],[Fault Start TimeStamp]])*24)</f>
        <v/>
      </c>
      <c r="R894" s="253">
        <f>(WTG_BD[[#This Row],[Fault Clearance time]]-WTG_BD[[#This Row],[Work Start TimeStamp]])*24</f>
        <v>0</v>
      </c>
      <c r="S894" s="253">
        <f>(WTG_BD[[#This Row],[Fault Clearance time]]-WTG_BD[[#This Row],[Fault Start TimeStamp]])*24</f>
        <v>0</v>
      </c>
      <c r="T894" s="135"/>
      <c r="U894" s="244"/>
      <c r="V894" s="246">
        <f>WTG_BD[[#This Row],[Breakdown Time]]*(1/39)</f>
        <v>0</v>
      </c>
      <c r="W894" s="244"/>
      <c r="X894" s="250"/>
      <c r="Y894" s="135"/>
      <c r="Z894" s="135"/>
      <c r="AA894" s="135"/>
      <c r="AB894" s="249">
        <f>(WTG_BD[[#This Row],[Paired WTG Generation for loss calculation.]]/24)*WTG_BD[[#This Row],[Breakdown Time]]</f>
        <v>0</v>
      </c>
      <c r="AC894" s="135"/>
      <c r="AD894" s="245"/>
      <c r="AE894" s="3"/>
    </row>
    <row r="895" spans="1:31">
      <c r="A895" s="241">
        <f t="shared" si="28"/>
        <v>894</v>
      </c>
      <c r="B895" s="255"/>
      <c r="C895" s="252"/>
      <c r="D895" s="252"/>
      <c r="E895" s="251">
        <f t="shared" si="29"/>
        <v>1</v>
      </c>
      <c r="F895" s="252"/>
      <c r="G895" s="248"/>
      <c r="H895" s="242" t="str">
        <f>IFERROR(VLOOKUP(WTG_BD[[#This Row],[Affected WTG]],'Basic Data'!$A$3:$E$56,2,0),"")</f>
        <v/>
      </c>
      <c r="I895" s="242" t="str">
        <f>IFERROR(VLOOKUP(WTG_BD[[#This Row],[Affected WTG]],'Basic Data'!$A$3:$E$56,3,0),"")</f>
        <v/>
      </c>
      <c r="J895" s="243" t="str">
        <f>IFERROR(VLOOKUP(WTG_BD[[#This Row],[Affected WTG]],'Basic Data'!$A$3:$E$56,5,0),"")</f>
        <v/>
      </c>
      <c r="K895" s="158"/>
      <c r="L895" s="247" t="e">
        <f>VLOOKUP(K895,'Basic Data'!T:U,2,0)</f>
        <v>#N/A</v>
      </c>
      <c r="M895" s="135"/>
      <c r="N895" s="256"/>
      <c r="O895" s="256"/>
      <c r="P895" s="256"/>
      <c r="Q895" s="253" t="str">
        <f>IF(WTG_BD[[#This Row],[Work Start TimeStamp]]="","",(WTG_BD[[#This Row],[Work Start TimeStamp]]-WTG_BD[[#This Row],[Fault Start TimeStamp]])*24)</f>
        <v/>
      </c>
      <c r="R895" s="253">
        <f>(WTG_BD[[#This Row],[Fault Clearance time]]-WTG_BD[[#This Row],[Work Start TimeStamp]])*24</f>
        <v>0</v>
      </c>
      <c r="S895" s="253">
        <f>(WTG_BD[[#This Row],[Fault Clearance time]]-WTG_BD[[#This Row],[Fault Start TimeStamp]])*24</f>
        <v>0</v>
      </c>
      <c r="T895" s="135"/>
      <c r="U895" s="244"/>
      <c r="V895" s="246">
        <f>WTG_BD[[#This Row],[Breakdown Time]]*(1/39)</f>
        <v>0</v>
      </c>
      <c r="W895" s="244"/>
      <c r="X895" s="250"/>
      <c r="Y895" s="135"/>
      <c r="Z895" s="135"/>
      <c r="AA895" s="135"/>
      <c r="AB895" s="249">
        <f>(WTG_BD[[#This Row],[Paired WTG Generation for loss calculation.]]/24)*WTG_BD[[#This Row],[Breakdown Time]]</f>
        <v>0</v>
      </c>
      <c r="AC895" s="135"/>
      <c r="AD895" s="245"/>
      <c r="AE895" s="3"/>
    </row>
    <row r="896" spans="1:31">
      <c r="A896" s="241">
        <f t="shared" si="28"/>
        <v>895</v>
      </c>
      <c r="B896" s="255"/>
      <c r="C896" s="252"/>
      <c r="D896" s="252"/>
      <c r="E896" s="251">
        <f t="shared" si="29"/>
        <v>1</v>
      </c>
      <c r="F896" s="252"/>
      <c r="G896" s="248"/>
      <c r="H896" s="242" t="str">
        <f>IFERROR(VLOOKUP(WTG_BD[[#This Row],[Affected WTG]],'Basic Data'!$A$3:$E$56,2,0),"")</f>
        <v/>
      </c>
      <c r="I896" s="242" t="str">
        <f>IFERROR(VLOOKUP(WTG_BD[[#This Row],[Affected WTG]],'Basic Data'!$A$3:$E$56,3,0),"")</f>
        <v/>
      </c>
      <c r="J896" s="243" t="str">
        <f>IFERROR(VLOOKUP(WTG_BD[[#This Row],[Affected WTG]],'Basic Data'!$A$3:$E$56,5,0),"")</f>
        <v/>
      </c>
      <c r="K896" s="158"/>
      <c r="L896" s="247" t="e">
        <f>VLOOKUP(K896,'Basic Data'!T:U,2,0)</f>
        <v>#N/A</v>
      </c>
      <c r="M896" s="135"/>
      <c r="N896" s="256"/>
      <c r="O896" s="256"/>
      <c r="P896" s="256"/>
      <c r="Q896" s="253" t="str">
        <f>IF(WTG_BD[[#This Row],[Work Start TimeStamp]]="","",(WTG_BD[[#This Row],[Work Start TimeStamp]]-WTG_BD[[#This Row],[Fault Start TimeStamp]])*24)</f>
        <v/>
      </c>
      <c r="R896" s="253">
        <f>(WTG_BD[[#This Row],[Fault Clearance time]]-WTG_BD[[#This Row],[Work Start TimeStamp]])*24</f>
        <v>0</v>
      </c>
      <c r="S896" s="253">
        <f>(WTG_BD[[#This Row],[Fault Clearance time]]-WTG_BD[[#This Row],[Fault Start TimeStamp]])*24</f>
        <v>0</v>
      </c>
      <c r="T896" s="135"/>
      <c r="U896" s="244"/>
      <c r="V896" s="246">
        <f>WTG_BD[[#This Row],[Breakdown Time]]*(1/39)</f>
        <v>0</v>
      </c>
      <c r="W896" s="244"/>
      <c r="X896" s="250"/>
      <c r="Y896" s="135"/>
      <c r="Z896" s="135"/>
      <c r="AA896" s="135"/>
      <c r="AB896" s="249">
        <f>(WTG_BD[[#This Row],[Paired WTG Generation for loss calculation.]]/24)*WTG_BD[[#This Row],[Breakdown Time]]</f>
        <v>0</v>
      </c>
      <c r="AC896" s="135"/>
      <c r="AD896" s="245"/>
      <c r="AE896" s="3"/>
    </row>
    <row r="897" spans="1:31">
      <c r="A897" s="241">
        <f t="shared" si="28"/>
        <v>896</v>
      </c>
      <c r="B897" s="255"/>
      <c r="C897" s="252"/>
      <c r="D897" s="252"/>
      <c r="E897" s="251">
        <f t="shared" si="29"/>
        <v>1</v>
      </c>
      <c r="F897" s="252"/>
      <c r="G897" s="248"/>
      <c r="H897" s="242" t="str">
        <f>IFERROR(VLOOKUP(WTG_BD[[#This Row],[Affected WTG]],'Basic Data'!$A$3:$E$56,2,0),"")</f>
        <v/>
      </c>
      <c r="I897" s="242" t="str">
        <f>IFERROR(VLOOKUP(WTG_BD[[#This Row],[Affected WTG]],'Basic Data'!$A$3:$E$56,3,0),"")</f>
        <v/>
      </c>
      <c r="J897" s="243" t="str">
        <f>IFERROR(VLOOKUP(WTG_BD[[#This Row],[Affected WTG]],'Basic Data'!$A$3:$E$56,5,0),"")</f>
        <v/>
      </c>
      <c r="K897" s="158"/>
      <c r="L897" s="247" t="e">
        <f>VLOOKUP(K897,'Basic Data'!T:U,2,0)</f>
        <v>#N/A</v>
      </c>
      <c r="M897" s="135"/>
      <c r="N897" s="256"/>
      <c r="O897" s="256"/>
      <c r="P897" s="256"/>
      <c r="Q897" s="253" t="str">
        <f>IF(WTG_BD[[#This Row],[Work Start TimeStamp]]="","",(WTG_BD[[#This Row],[Work Start TimeStamp]]-WTG_BD[[#This Row],[Fault Start TimeStamp]])*24)</f>
        <v/>
      </c>
      <c r="R897" s="253">
        <f>(WTG_BD[[#This Row],[Fault Clearance time]]-WTG_BD[[#This Row],[Work Start TimeStamp]])*24</f>
        <v>0</v>
      </c>
      <c r="S897" s="253">
        <f>(WTG_BD[[#This Row],[Fault Clearance time]]-WTG_BD[[#This Row],[Fault Start TimeStamp]])*24</f>
        <v>0</v>
      </c>
      <c r="T897" s="135"/>
      <c r="U897" s="244"/>
      <c r="V897" s="246">
        <f>WTG_BD[[#This Row],[Breakdown Time]]*(1/39)</f>
        <v>0</v>
      </c>
      <c r="W897" s="244"/>
      <c r="X897" s="250"/>
      <c r="Y897" s="135"/>
      <c r="Z897" s="135"/>
      <c r="AA897" s="135"/>
      <c r="AB897" s="249">
        <f>(WTG_BD[[#This Row],[Paired WTG Generation for loss calculation.]]/24)*WTG_BD[[#This Row],[Breakdown Time]]</f>
        <v>0</v>
      </c>
      <c r="AC897" s="135"/>
      <c r="AD897" s="245"/>
      <c r="AE897" s="3"/>
    </row>
    <row r="898" spans="1:31">
      <c r="A898" s="241">
        <f t="shared" si="28"/>
        <v>897</v>
      </c>
      <c r="B898" s="255"/>
      <c r="C898" s="252"/>
      <c r="D898" s="252"/>
      <c r="E898" s="251">
        <f t="shared" si="29"/>
        <v>1</v>
      </c>
      <c r="F898" s="252"/>
      <c r="G898" s="248"/>
      <c r="H898" s="242" t="str">
        <f>IFERROR(VLOOKUP(WTG_BD[[#This Row],[Affected WTG]],'Basic Data'!$A$3:$E$56,2,0),"")</f>
        <v/>
      </c>
      <c r="I898" s="242" t="str">
        <f>IFERROR(VLOOKUP(WTG_BD[[#This Row],[Affected WTG]],'Basic Data'!$A$3:$E$56,3,0),"")</f>
        <v/>
      </c>
      <c r="J898" s="243" t="str">
        <f>IFERROR(VLOOKUP(WTG_BD[[#This Row],[Affected WTG]],'Basic Data'!$A$3:$E$56,5,0),"")</f>
        <v/>
      </c>
      <c r="K898" s="158"/>
      <c r="L898" s="247" t="e">
        <f>VLOOKUP(K898,'Basic Data'!T:U,2,0)</f>
        <v>#N/A</v>
      </c>
      <c r="M898" s="135"/>
      <c r="N898" s="256"/>
      <c r="O898" s="256"/>
      <c r="P898" s="256"/>
      <c r="Q898" s="253" t="str">
        <f>IF(WTG_BD[[#This Row],[Work Start TimeStamp]]="","",(WTG_BD[[#This Row],[Work Start TimeStamp]]-WTG_BD[[#This Row],[Fault Start TimeStamp]])*24)</f>
        <v/>
      </c>
      <c r="R898" s="253">
        <f>(WTG_BD[[#This Row],[Fault Clearance time]]-WTG_BD[[#This Row],[Work Start TimeStamp]])*24</f>
        <v>0</v>
      </c>
      <c r="S898" s="253">
        <f>(WTG_BD[[#This Row],[Fault Clearance time]]-WTG_BD[[#This Row],[Fault Start TimeStamp]])*24</f>
        <v>0</v>
      </c>
      <c r="T898" s="135"/>
      <c r="U898" s="244"/>
      <c r="V898" s="246">
        <f>WTG_BD[[#This Row],[Breakdown Time]]*(1/39)</f>
        <v>0</v>
      </c>
      <c r="W898" s="244"/>
      <c r="X898" s="250"/>
      <c r="Y898" s="135"/>
      <c r="Z898" s="135"/>
      <c r="AA898" s="135"/>
      <c r="AB898" s="249">
        <f>(WTG_BD[[#This Row],[Paired WTG Generation for loss calculation.]]/24)*WTG_BD[[#This Row],[Breakdown Time]]</f>
        <v>0</v>
      </c>
      <c r="AC898" s="135"/>
      <c r="AD898" s="245"/>
      <c r="AE898" s="3"/>
    </row>
    <row r="899" spans="1:31">
      <c r="A899" s="241">
        <f t="shared" si="28"/>
        <v>898</v>
      </c>
      <c r="B899" s="255"/>
      <c r="C899" s="252"/>
      <c r="D899" s="252"/>
      <c r="E899" s="251">
        <f t="shared" si="29"/>
        <v>1</v>
      </c>
      <c r="F899" s="252"/>
      <c r="G899" s="248"/>
      <c r="H899" s="242" t="str">
        <f>IFERROR(VLOOKUP(WTG_BD[[#This Row],[Affected WTG]],'Basic Data'!$A$3:$E$56,2,0),"")</f>
        <v/>
      </c>
      <c r="I899" s="242" t="str">
        <f>IFERROR(VLOOKUP(WTG_BD[[#This Row],[Affected WTG]],'Basic Data'!$A$3:$E$56,3,0),"")</f>
        <v/>
      </c>
      <c r="J899" s="243" t="str">
        <f>IFERROR(VLOOKUP(WTG_BD[[#This Row],[Affected WTG]],'Basic Data'!$A$3:$E$56,5,0),"")</f>
        <v/>
      </c>
      <c r="K899" s="158"/>
      <c r="L899" s="247" t="e">
        <f>VLOOKUP(K899,'Basic Data'!T:U,2,0)</f>
        <v>#N/A</v>
      </c>
      <c r="M899" s="135"/>
      <c r="N899" s="256"/>
      <c r="O899" s="256"/>
      <c r="P899" s="256"/>
      <c r="Q899" s="253" t="str">
        <f>IF(WTG_BD[[#This Row],[Work Start TimeStamp]]="","",(WTG_BD[[#This Row],[Work Start TimeStamp]]-WTG_BD[[#This Row],[Fault Start TimeStamp]])*24)</f>
        <v/>
      </c>
      <c r="R899" s="253">
        <f>(WTG_BD[[#This Row],[Fault Clearance time]]-WTG_BD[[#This Row],[Work Start TimeStamp]])*24</f>
        <v>0</v>
      </c>
      <c r="S899" s="253">
        <f>(WTG_BD[[#This Row],[Fault Clearance time]]-WTG_BD[[#This Row],[Fault Start TimeStamp]])*24</f>
        <v>0</v>
      </c>
      <c r="T899" s="135"/>
      <c r="U899" s="244"/>
      <c r="V899" s="246">
        <f>WTG_BD[[#This Row],[Breakdown Time]]*(1/39)</f>
        <v>0</v>
      </c>
      <c r="W899" s="244"/>
      <c r="X899" s="250"/>
      <c r="Y899" s="135"/>
      <c r="Z899" s="135"/>
      <c r="AA899" s="135"/>
      <c r="AB899" s="249">
        <f>(WTG_BD[[#This Row],[Paired WTG Generation for loss calculation.]]/24)*WTG_BD[[#This Row],[Breakdown Time]]</f>
        <v>0</v>
      </c>
      <c r="AC899" s="135"/>
      <c r="AD899" s="245"/>
      <c r="AE899" s="3"/>
    </row>
    <row r="900" spans="1:31">
      <c r="A900" s="241">
        <f t="shared" si="28"/>
        <v>899</v>
      </c>
      <c r="B900" s="255"/>
      <c r="C900" s="252"/>
      <c r="D900" s="252"/>
      <c r="E900" s="251">
        <f t="shared" si="29"/>
        <v>1</v>
      </c>
      <c r="F900" s="252"/>
      <c r="G900" s="248"/>
      <c r="H900" s="242" t="str">
        <f>IFERROR(VLOOKUP(WTG_BD[[#This Row],[Affected WTG]],'Basic Data'!$A$3:$E$56,2,0),"")</f>
        <v/>
      </c>
      <c r="I900" s="242" t="str">
        <f>IFERROR(VLOOKUP(WTG_BD[[#This Row],[Affected WTG]],'Basic Data'!$A$3:$E$56,3,0),"")</f>
        <v/>
      </c>
      <c r="J900" s="243" t="str">
        <f>IFERROR(VLOOKUP(WTG_BD[[#This Row],[Affected WTG]],'Basic Data'!$A$3:$E$56,5,0),"")</f>
        <v/>
      </c>
      <c r="K900" s="158"/>
      <c r="L900" s="247" t="e">
        <f>VLOOKUP(K900,'Basic Data'!T:U,2,0)</f>
        <v>#N/A</v>
      </c>
      <c r="M900" s="135"/>
      <c r="N900" s="256"/>
      <c r="O900" s="256"/>
      <c r="P900" s="256"/>
      <c r="Q900" s="253" t="str">
        <f>IF(WTG_BD[[#This Row],[Work Start TimeStamp]]="","",(WTG_BD[[#This Row],[Work Start TimeStamp]]-WTG_BD[[#This Row],[Fault Start TimeStamp]])*24)</f>
        <v/>
      </c>
      <c r="R900" s="253">
        <f>(WTG_BD[[#This Row],[Fault Clearance time]]-WTG_BD[[#This Row],[Work Start TimeStamp]])*24</f>
        <v>0</v>
      </c>
      <c r="S900" s="253">
        <f>(WTG_BD[[#This Row],[Fault Clearance time]]-WTG_BD[[#This Row],[Fault Start TimeStamp]])*24</f>
        <v>0</v>
      </c>
      <c r="T900" s="135"/>
      <c r="U900" s="244"/>
      <c r="V900" s="246">
        <f>WTG_BD[[#This Row],[Breakdown Time]]*(1/39)</f>
        <v>0</v>
      </c>
      <c r="W900" s="244"/>
      <c r="X900" s="250"/>
      <c r="Y900" s="135"/>
      <c r="Z900" s="135"/>
      <c r="AA900" s="135"/>
      <c r="AB900" s="249">
        <f>(WTG_BD[[#This Row],[Paired WTG Generation for loss calculation.]]/24)*WTG_BD[[#This Row],[Breakdown Time]]</f>
        <v>0</v>
      </c>
      <c r="AC900" s="135"/>
      <c r="AD900" s="245"/>
      <c r="AE900" s="3"/>
    </row>
    <row r="901" spans="1:31">
      <c r="A901" s="241">
        <f t="shared" si="28"/>
        <v>900</v>
      </c>
      <c r="B901" s="255"/>
      <c r="C901" s="252"/>
      <c r="D901" s="252"/>
      <c r="E901" s="251">
        <f t="shared" si="29"/>
        <v>1</v>
      </c>
      <c r="F901" s="252"/>
      <c r="G901" s="248"/>
      <c r="H901" s="242" t="str">
        <f>IFERROR(VLOOKUP(WTG_BD[[#This Row],[Affected WTG]],'Basic Data'!$A$3:$E$56,2,0),"")</f>
        <v/>
      </c>
      <c r="I901" s="242" t="str">
        <f>IFERROR(VLOOKUP(WTG_BD[[#This Row],[Affected WTG]],'Basic Data'!$A$3:$E$56,3,0),"")</f>
        <v/>
      </c>
      <c r="J901" s="243" t="str">
        <f>IFERROR(VLOOKUP(WTG_BD[[#This Row],[Affected WTG]],'Basic Data'!$A$3:$E$56,5,0),"")</f>
        <v/>
      </c>
      <c r="K901" s="158"/>
      <c r="L901" s="247" t="e">
        <f>VLOOKUP(K901,'Basic Data'!T:U,2,0)</f>
        <v>#N/A</v>
      </c>
      <c r="M901" s="135"/>
      <c r="N901" s="256"/>
      <c r="O901" s="256"/>
      <c r="P901" s="256"/>
      <c r="Q901" s="253" t="str">
        <f>IF(WTG_BD[[#This Row],[Work Start TimeStamp]]="","",(WTG_BD[[#This Row],[Work Start TimeStamp]]-WTG_BD[[#This Row],[Fault Start TimeStamp]])*24)</f>
        <v/>
      </c>
      <c r="R901" s="253">
        <f>(WTG_BD[[#This Row],[Fault Clearance time]]-WTG_BD[[#This Row],[Work Start TimeStamp]])*24</f>
        <v>0</v>
      </c>
      <c r="S901" s="253">
        <f>(WTG_BD[[#This Row],[Fault Clearance time]]-WTG_BD[[#This Row],[Fault Start TimeStamp]])*24</f>
        <v>0</v>
      </c>
      <c r="T901" s="135"/>
      <c r="U901" s="244"/>
      <c r="V901" s="246">
        <f>WTG_BD[[#This Row],[Breakdown Time]]*(1/39)</f>
        <v>0</v>
      </c>
      <c r="W901" s="244"/>
      <c r="X901" s="250"/>
      <c r="Y901" s="135"/>
      <c r="Z901" s="135"/>
      <c r="AA901" s="135"/>
      <c r="AB901" s="249">
        <f>(WTG_BD[[#This Row],[Paired WTG Generation for loss calculation.]]/24)*WTG_BD[[#This Row],[Breakdown Time]]</f>
        <v>0</v>
      </c>
      <c r="AC901" s="135"/>
      <c r="AD901" s="245"/>
      <c r="AE901" s="3"/>
    </row>
    <row r="902" spans="1:31">
      <c r="A902" s="241">
        <f t="shared" ref="A902:A965" si="30">A901+1</f>
        <v>901</v>
      </c>
      <c r="B902" s="255"/>
      <c r="C902" s="252"/>
      <c r="D902" s="252"/>
      <c r="E902" s="251">
        <f t="shared" si="29"/>
        <v>1</v>
      </c>
      <c r="F902" s="252"/>
      <c r="G902" s="248"/>
      <c r="H902" s="242" t="str">
        <f>IFERROR(VLOOKUP(WTG_BD[[#This Row],[Affected WTG]],'Basic Data'!$A$3:$E$56,2,0),"")</f>
        <v/>
      </c>
      <c r="I902" s="242" t="str">
        <f>IFERROR(VLOOKUP(WTG_BD[[#This Row],[Affected WTG]],'Basic Data'!$A$3:$E$56,3,0),"")</f>
        <v/>
      </c>
      <c r="J902" s="243" t="str">
        <f>IFERROR(VLOOKUP(WTG_BD[[#This Row],[Affected WTG]],'Basic Data'!$A$3:$E$56,5,0),"")</f>
        <v/>
      </c>
      <c r="K902" s="158"/>
      <c r="L902" s="247" t="e">
        <f>VLOOKUP(K902,'Basic Data'!T:U,2,0)</f>
        <v>#N/A</v>
      </c>
      <c r="M902" s="135"/>
      <c r="N902" s="256"/>
      <c r="O902" s="256"/>
      <c r="P902" s="256"/>
      <c r="Q902" s="253" t="str">
        <f>IF(WTG_BD[[#This Row],[Work Start TimeStamp]]="","",(WTG_BD[[#This Row],[Work Start TimeStamp]]-WTG_BD[[#This Row],[Fault Start TimeStamp]])*24)</f>
        <v/>
      </c>
      <c r="R902" s="253">
        <f>(WTG_BD[[#This Row],[Fault Clearance time]]-WTG_BD[[#This Row],[Work Start TimeStamp]])*24</f>
        <v>0</v>
      </c>
      <c r="S902" s="253">
        <f>(WTG_BD[[#This Row],[Fault Clearance time]]-WTG_BD[[#This Row],[Fault Start TimeStamp]])*24</f>
        <v>0</v>
      </c>
      <c r="T902" s="135"/>
      <c r="U902" s="244"/>
      <c r="V902" s="246">
        <f>WTG_BD[[#This Row],[Breakdown Time]]*(1/39)</f>
        <v>0</v>
      </c>
      <c r="W902" s="244"/>
      <c r="X902" s="250"/>
      <c r="Y902" s="135"/>
      <c r="Z902" s="135"/>
      <c r="AA902" s="135"/>
      <c r="AB902" s="249">
        <f>(WTG_BD[[#This Row],[Paired WTG Generation for loss calculation.]]/24)*WTG_BD[[#This Row],[Breakdown Time]]</f>
        <v>0</v>
      </c>
      <c r="AC902" s="135"/>
      <c r="AD902" s="245"/>
      <c r="AE902" s="3"/>
    </row>
    <row r="903" spans="1:31">
      <c r="A903" s="241">
        <f t="shared" si="30"/>
        <v>902</v>
      </c>
      <c r="B903" s="255"/>
      <c r="C903" s="252"/>
      <c r="D903" s="252"/>
      <c r="E903" s="251">
        <f t="shared" si="29"/>
        <v>1</v>
      </c>
      <c r="F903" s="252"/>
      <c r="G903" s="248"/>
      <c r="H903" s="242" t="str">
        <f>IFERROR(VLOOKUP(WTG_BD[[#This Row],[Affected WTG]],'Basic Data'!$A$3:$E$56,2,0),"")</f>
        <v/>
      </c>
      <c r="I903" s="242" t="str">
        <f>IFERROR(VLOOKUP(WTG_BD[[#This Row],[Affected WTG]],'Basic Data'!$A$3:$E$56,3,0),"")</f>
        <v/>
      </c>
      <c r="J903" s="243" t="str">
        <f>IFERROR(VLOOKUP(WTG_BD[[#This Row],[Affected WTG]],'Basic Data'!$A$3:$E$56,5,0),"")</f>
        <v/>
      </c>
      <c r="K903" s="158"/>
      <c r="L903" s="247" t="e">
        <f>VLOOKUP(K903,'Basic Data'!T:U,2,0)</f>
        <v>#N/A</v>
      </c>
      <c r="M903" s="135"/>
      <c r="N903" s="256"/>
      <c r="O903" s="256"/>
      <c r="P903" s="256"/>
      <c r="Q903" s="253" t="str">
        <f>IF(WTG_BD[[#This Row],[Work Start TimeStamp]]="","",(WTG_BD[[#This Row],[Work Start TimeStamp]]-WTG_BD[[#This Row],[Fault Start TimeStamp]])*24)</f>
        <v/>
      </c>
      <c r="R903" s="253">
        <f>(WTG_BD[[#This Row],[Fault Clearance time]]-WTG_BD[[#This Row],[Work Start TimeStamp]])*24</f>
        <v>0</v>
      </c>
      <c r="S903" s="253">
        <f>(WTG_BD[[#This Row],[Fault Clearance time]]-WTG_BD[[#This Row],[Fault Start TimeStamp]])*24</f>
        <v>0</v>
      </c>
      <c r="T903" s="135"/>
      <c r="U903" s="244"/>
      <c r="V903" s="246">
        <f>WTG_BD[[#This Row],[Breakdown Time]]*(1/39)</f>
        <v>0</v>
      </c>
      <c r="W903" s="244"/>
      <c r="X903" s="250"/>
      <c r="Y903" s="135"/>
      <c r="Z903" s="135"/>
      <c r="AA903" s="135"/>
      <c r="AB903" s="249">
        <f>(WTG_BD[[#This Row],[Paired WTG Generation for loss calculation.]]/24)*WTG_BD[[#This Row],[Breakdown Time]]</f>
        <v>0</v>
      </c>
      <c r="AC903" s="135"/>
      <c r="AD903" s="245"/>
      <c r="AE903" s="3"/>
    </row>
    <row r="904" spans="1:31">
      <c r="A904" s="241">
        <f t="shared" si="30"/>
        <v>903</v>
      </c>
      <c r="B904" s="255"/>
      <c r="C904" s="252"/>
      <c r="D904" s="252"/>
      <c r="E904" s="251">
        <f t="shared" si="29"/>
        <v>1</v>
      </c>
      <c r="F904" s="252"/>
      <c r="G904" s="248"/>
      <c r="H904" s="242" t="str">
        <f>IFERROR(VLOOKUP(WTG_BD[[#This Row],[Affected WTG]],'Basic Data'!$A$3:$E$56,2,0),"")</f>
        <v/>
      </c>
      <c r="I904" s="242" t="str">
        <f>IFERROR(VLOOKUP(WTG_BD[[#This Row],[Affected WTG]],'Basic Data'!$A$3:$E$56,3,0),"")</f>
        <v/>
      </c>
      <c r="J904" s="243" t="str">
        <f>IFERROR(VLOOKUP(WTG_BD[[#This Row],[Affected WTG]],'Basic Data'!$A$3:$E$56,5,0),"")</f>
        <v/>
      </c>
      <c r="K904" s="158"/>
      <c r="L904" s="247" t="e">
        <f>VLOOKUP(K904,'Basic Data'!T:U,2,0)</f>
        <v>#N/A</v>
      </c>
      <c r="M904" s="135"/>
      <c r="N904" s="256"/>
      <c r="O904" s="256"/>
      <c r="P904" s="256"/>
      <c r="Q904" s="253" t="str">
        <f>IF(WTG_BD[[#This Row],[Work Start TimeStamp]]="","",(WTG_BD[[#This Row],[Work Start TimeStamp]]-WTG_BD[[#This Row],[Fault Start TimeStamp]])*24)</f>
        <v/>
      </c>
      <c r="R904" s="253">
        <f>(WTG_BD[[#This Row],[Fault Clearance time]]-WTG_BD[[#This Row],[Work Start TimeStamp]])*24</f>
        <v>0</v>
      </c>
      <c r="S904" s="253">
        <f>(WTG_BD[[#This Row],[Fault Clearance time]]-WTG_BD[[#This Row],[Fault Start TimeStamp]])*24</f>
        <v>0</v>
      </c>
      <c r="T904" s="135"/>
      <c r="U904" s="244"/>
      <c r="V904" s="246">
        <f>WTG_BD[[#This Row],[Breakdown Time]]*(1/39)</f>
        <v>0</v>
      </c>
      <c r="W904" s="244"/>
      <c r="X904" s="250"/>
      <c r="Y904" s="135"/>
      <c r="Z904" s="135"/>
      <c r="AA904" s="135"/>
      <c r="AB904" s="249">
        <f>(WTG_BD[[#This Row],[Paired WTG Generation for loss calculation.]]/24)*WTG_BD[[#This Row],[Breakdown Time]]</f>
        <v>0</v>
      </c>
      <c r="AC904" s="135"/>
      <c r="AD904" s="245"/>
      <c r="AE904" s="3"/>
    </row>
    <row r="905" spans="1:31">
      <c r="A905" s="241">
        <f t="shared" si="30"/>
        <v>904</v>
      </c>
      <c r="B905" s="255"/>
      <c r="C905" s="252"/>
      <c r="D905" s="252"/>
      <c r="E905" s="251">
        <f t="shared" si="29"/>
        <v>1</v>
      </c>
      <c r="F905" s="252"/>
      <c r="G905" s="248"/>
      <c r="H905" s="242" t="str">
        <f>IFERROR(VLOOKUP(WTG_BD[[#This Row],[Affected WTG]],'Basic Data'!$A$3:$E$56,2,0),"")</f>
        <v/>
      </c>
      <c r="I905" s="242" t="str">
        <f>IFERROR(VLOOKUP(WTG_BD[[#This Row],[Affected WTG]],'Basic Data'!$A$3:$E$56,3,0),"")</f>
        <v/>
      </c>
      <c r="J905" s="243" t="str">
        <f>IFERROR(VLOOKUP(WTG_BD[[#This Row],[Affected WTG]],'Basic Data'!$A$3:$E$56,5,0),"")</f>
        <v/>
      </c>
      <c r="K905" s="158"/>
      <c r="L905" s="247" t="e">
        <f>VLOOKUP(K905,'Basic Data'!T:U,2,0)</f>
        <v>#N/A</v>
      </c>
      <c r="M905" s="135"/>
      <c r="N905" s="256"/>
      <c r="O905" s="256"/>
      <c r="P905" s="256"/>
      <c r="Q905" s="253" t="str">
        <f>IF(WTG_BD[[#This Row],[Work Start TimeStamp]]="","",(WTG_BD[[#This Row],[Work Start TimeStamp]]-WTG_BD[[#This Row],[Fault Start TimeStamp]])*24)</f>
        <v/>
      </c>
      <c r="R905" s="253">
        <f>(WTG_BD[[#This Row],[Fault Clearance time]]-WTG_BD[[#This Row],[Work Start TimeStamp]])*24</f>
        <v>0</v>
      </c>
      <c r="S905" s="253">
        <f>(WTG_BD[[#This Row],[Fault Clearance time]]-WTG_BD[[#This Row],[Fault Start TimeStamp]])*24</f>
        <v>0</v>
      </c>
      <c r="T905" s="135"/>
      <c r="U905" s="244"/>
      <c r="V905" s="246">
        <f>WTG_BD[[#This Row],[Breakdown Time]]*(1/39)</f>
        <v>0</v>
      </c>
      <c r="W905" s="244"/>
      <c r="X905" s="250"/>
      <c r="Y905" s="135"/>
      <c r="Z905" s="135"/>
      <c r="AA905" s="135"/>
      <c r="AB905" s="249">
        <f>(WTG_BD[[#This Row],[Paired WTG Generation for loss calculation.]]/24)*WTG_BD[[#This Row],[Breakdown Time]]</f>
        <v>0</v>
      </c>
      <c r="AC905" s="135"/>
      <c r="AD905" s="245"/>
      <c r="AE905" s="3"/>
    </row>
    <row r="906" spans="1:31">
      <c r="A906" s="241">
        <f t="shared" si="30"/>
        <v>905</v>
      </c>
      <c r="B906" s="255"/>
      <c r="C906" s="252"/>
      <c r="D906" s="252"/>
      <c r="E906" s="251">
        <f t="shared" si="29"/>
        <v>1</v>
      </c>
      <c r="F906" s="252"/>
      <c r="G906" s="248"/>
      <c r="H906" s="242" t="str">
        <f>IFERROR(VLOOKUP(WTG_BD[[#This Row],[Affected WTG]],'Basic Data'!$A$3:$E$56,2,0),"")</f>
        <v/>
      </c>
      <c r="I906" s="242" t="str">
        <f>IFERROR(VLOOKUP(WTG_BD[[#This Row],[Affected WTG]],'Basic Data'!$A$3:$E$56,3,0),"")</f>
        <v/>
      </c>
      <c r="J906" s="243" t="str">
        <f>IFERROR(VLOOKUP(WTG_BD[[#This Row],[Affected WTG]],'Basic Data'!$A$3:$E$56,5,0),"")</f>
        <v/>
      </c>
      <c r="K906" s="158"/>
      <c r="L906" s="247" t="e">
        <f>VLOOKUP(K906,'Basic Data'!T:U,2,0)</f>
        <v>#N/A</v>
      </c>
      <c r="M906" s="135"/>
      <c r="N906" s="256"/>
      <c r="O906" s="256"/>
      <c r="P906" s="256"/>
      <c r="Q906" s="253" t="str">
        <f>IF(WTG_BD[[#This Row],[Work Start TimeStamp]]="","",(WTG_BD[[#This Row],[Work Start TimeStamp]]-WTG_BD[[#This Row],[Fault Start TimeStamp]])*24)</f>
        <v/>
      </c>
      <c r="R906" s="253">
        <f>(WTG_BD[[#This Row],[Fault Clearance time]]-WTG_BD[[#This Row],[Work Start TimeStamp]])*24</f>
        <v>0</v>
      </c>
      <c r="S906" s="253">
        <f>(WTG_BD[[#This Row],[Fault Clearance time]]-WTG_BD[[#This Row],[Fault Start TimeStamp]])*24</f>
        <v>0</v>
      </c>
      <c r="T906" s="135"/>
      <c r="U906" s="244"/>
      <c r="V906" s="246">
        <f>WTG_BD[[#This Row],[Breakdown Time]]*(1/39)</f>
        <v>0</v>
      </c>
      <c r="W906" s="244"/>
      <c r="X906" s="250"/>
      <c r="Y906" s="135"/>
      <c r="Z906" s="135"/>
      <c r="AA906" s="135"/>
      <c r="AB906" s="249">
        <f>(WTG_BD[[#This Row],[Paired WTG Generation for loss calculation.]]/24)*WTG_BD[[#This Row],[Breakdown Time]]</f>
        <v>0</v>
      </c>
      <c r="AC906" s="135"/>
      <c r="AD906" s="245"/>
      <c r="AE906" s="3"/>
    </row>
    <row r="907" spans="1:31">
      <c r="A907" s="241">
        <f t="shared" si="30"/>
        <v>906</v>
      </c>
      <c r="B907" s="255"/>
      <c r="C907" s="252"/>
      <c r="D907" s="252"/>
      <c r="E907" s="251">
        <f t="shared" si="29"/>
        <v>1</v>
      </c>
      <c r="F907" s="252"/>
      <c r="G907" s="248"/>
      <c r="H907" s="242" t="str">
        <f>IFERROR(VLOOKUP(WTG_BD[[#This Row],[Affected WTG]],'Basic Data'!$A$3:$E$56,2,0),"")</f>
        <v/>
      </c>
      <c r="I907" s="242" t="str">
        <f>IFERROR(VLOOKUP(WTG_BD[[#This Row],[Affected WTG]],'Basic Data'!$A$3:$E$56,3,0),"")</f>
        <v/>
      </c>
      <c r="J907" s="243" t="str">
        <f>IFERROR(VLOOKUP(WTG_BD[[#This Row],[Affected WTG]],'Basic Data'!$A$3:$E$56,5,0),"")</f>
        <v/>
      </c>
      <c r="K907" s="158"/>
      <c r="L907" s="247" t="e">
        <f>VLOOKUP(K907,'Basic Data'!T:U,2,0)</f>
        <v>#N/A</v>
      </c>
      <c r="M907" s="135"/>
      <c r="N907" s="256"/>
      <c r="O907" s="256"/>
      <c r="P907" s="256"/>
      <c r="Q907" s="253" t="str">
        <f>IF(WTG_BD[[#This Row],[Work Start TimeStamp]]="","",(WTG_BD[[#This Row],[Work Start TimeStamp]]-WTG_BD[[#This Row],[Fault Start TimeStamp]])*24)</f>
        <v/>
      </c>
      <c r="R907" s="253">
        <f>(WTG_BD[[#This Row],[Fault Clearance time]]-WTG_BD[[#This Row],[Work Start TimeStamp]])*24</f>
        <v>0</v>
      </c>
      <c r="S907" s="253">
        <f>(WTG_BD[[#This Row],[Fault Clearance time]]-WTG_BD[[#This Row],[Fault Start TimeStamp]])*24</f>
        <v>0</v>
      </c>
      <c r="T907" s="135"/>
      <c r="U907" s="244"/>
      <c r="V907" s="246">
        <f>WTG_BD[[#This Row],[Breakdown Time]]*(1/39)</f>
        <v>0</v>
      </c>
      <c r="W907" s="244"/>
      <c r="X907" s="250"/>
      <c r="Y907" s="135"/>
      <c r="Z907" s="135"/>
      <c r="AA907" s="135"/>
      <c r="AB907" s="249">
        <f>(WTG_BD[[#This Row],[Paired WTG Generation for loss calculation.]]/24)*WTG_BD[[#This Row],[Breakdown Time]]</f>
        <v>0</v>
      </c>
      <c r="AC907" s="135"/>
      <c r="AD907" s="245"/>
      <c r="AE907" s="3"/>
    </row>
    <row r="908" spans="1:31">
      <c r="A908" s="241">
        <f t="shared" si="30"/>
        <v>907</v>
      </c>
      <c r="B908" s="255"/>
      <c r="C908" s="252"/>
      <c r="D908" s="252"/>
      <c r="E908" s="251">
        <f t="shared" si="29"/>
        <v>1</v>
      </c>
      <c r="F908" s="252"/>
      <c r="G908" s="248"/>
      <c r="H908" s="242" t="str">
        <f>IFERROR(VLOOKUP(WTG_BD[[#This Row],[Affected WTG]],'Basic Data'!$A$3:$E$56,2,0),"")</f>
        <v/>
      </c>
      <c r="I908" s="242" t="str">
        <f>IFERROR(VLOOKUP(WTG_BD[[#This Row],[Affected WTG]],'Basic Data'!$A$3:$E$56,3,0),"")</f>
        <v/>
      </c>
      <c r="J908" s="243" t="str">
        <f>IFERROR(VLOOKUP(WTG_BD[[#This Row],[Affected WTG]],'Basic Data'!$A$3:$E$56,5,0),"")</f>
        <v/>
      </c>
      <c r="K908" s="158"/>
      <c r="L908" s="247" t="e">
        <f>VLOOKUP(K908,'Basic Data'!T:U,2,0)</f>
        <v>#N/A</v>
      </c>
      <c r="M908" s="135"/>
      <c r="N908" s="256"/>
      <c r="O908" s="256"/>
      <c r="P908" s="256"/>
      <c r="Q908" s="253" t="str">
        <f>IF(WTG_BD[[#This Row],[Work Start TimeStamp]]="","",(WTG_BD[[#This Row],[Work Start TimeStamp]]-WTG_BD[[#This Row],[Fault Start TimeStamp]])*24)</f>
        <v/>
      </c>
      <c r="R908" s="253">
        <f>(WTG_BD[[#This Row],[Fault Clearance time]]-WTG_BD[[#This Row],[Work Start TimeStamp]])*24</f>
        <v>0</v>
      </c>
      <c r="S908" s="253">
        <f>(WTG_BD[[#This Row],[Fault Clearance time]]-WTG_BD[[#This Row],[Fault Start TimeStamp]])*24</f>
        <v>0</v>
      </c>
      <c r="T908" s="135"/>
      <c r="U908" s="244"/>
      <c r="V908" s="246">
        <f>WTG_BD[[#This Row],[Breakdown Time]]*(1/39)</f>
        <v>0</v>
      </c>
      <c r="W908" s="244"/>
      <c r="X908" s="250"/>
      <c r="Y908" s="135"/>
      <c r="Z908" s="135"/>
      <c r="AA908" s="135"/>
      <c r="AB908" s="249">
        <f>(WTG_BD[[#This Row],[Paired WTG Generation for loss calculation.]]/24)*WTG_BD[[#This Row],[Breakdown Time]]</f>
        <v>0</v>
      </c>
      <c r="AC908" s="135"/>
      <c r="AD908" s="245"/>
      <c r="AE908" s="3"/>
    </row>
    <row r="909" spans="1:31">
      <c r="A909" s="241">
        <f t="shared" si="30"/>
        <v>908</v>
      </c>
      <c r="B909" s="255"/>
      <c r="C909" s="252"/>
      <c r="D909" s="252"/>
      <c r="E909" s="251">
        <f t="shared" si="29"/>
        <v>1</v>
      </c>
      <c r="F909" s="252"/>
      <c r="G909" s="248"/>
      <c r="H909" s="242" t="str">
        <f>IFERROR(VLOOKUP(WTG_BD[[#This Row],[Affected WTG]],'Basic Data'!$A$3:$E$56,2,0),"")</f>
        <v/>
      </c>
      <c r="I909" s="242" t="str">
        <f>IFERROR(VLOOKUP(WTG_BD[[#This Row],[Affected WTG]],'Basic Data'!$A$3:$E$56,3,0),"")</f>
        <v/>
      </c>
      <c r="J909" s="243" t="str">
        <f>IFERROR(VLOOKUP(WTG_BD[[#This Row],[Affected WTG]],'Basic Data'!$A$3:$E$56,5,0),"")</f>
        <v/>
      </c>
      <c r="K909" s="158"/>
      <c r="L909" s="247" t="e">
        <f>VLOOKUP(K909,'Basic Data'!T:U,2,0)</f>
        <v>#N/A</v>
      </c>
      <c r="M909" s="135"/>
      <c r="N909" s="256"/>
      <c r="O909" s="256"/>
      <c r="P909" s="256"/>
      <c r="Q909" s="253" t="str">
        <f>IF(WTG_BD[[#This Row],[Work Start TimeStamp]]="","",(WTG_BD[[#This Row],[Work Start TimeStamp]]-WTG_BD[[#This Row],[Fault Start TimeStamp]])*24)</f>
        <v/>
      </c>
      <c r="R909" s="253">
        <f>(WTG_BD[[#This Row],[Fault Clearance time]]-WTG_BD[[#This Row],[Work Start TimeStamp]])*24</f>
        <v>0</v>
      </c>
      <c r="S909" s="253">
        <f>(WTG_BD[[#This Row],[Fault Clearance time]]-WTG_BD[[#This Row],[Fault Start TimeStamp]])*24</f>
        <v>0</v>
      </c>
      <c r="T909" s="135"/>
      <c r="U909" s="244"/>
      <c r="V909" s="246">
        <f>WTG_BD[[#This Row],[Breakdown Time]]*(1/39)</f>
        <v>0</v>
      </c>
      <c r="W909" s="244"/>
      <c r="X909" s="250"/>
      <c r="Y909" s="135"/>
      <c r="Z909" s="135"/>
      <c r="AA909" s="135"/>
      <c r="AB909" s="249">
        <f>(WTG_BD[[#This Row],[Paired WTG Generation for loss calculation.]]/24)*WTG_BD[[#This Row],[Breakdown Time]]</f>
        <v>0</v>
      </c>
      <c r="AC909" s="135"/>
      <c r="AD909" s="245"/>
      <c r="AE909" s="3"/>
    </row>
    <row r="910" spans="1:31">
      <c r="A910" s="241">
        <f t="shared" si="30"/>
        <v>909</v>
      </c>
      <c r="B910" s="255"/>
      <c r="C910" s="252"/>
      <c r="D910" s="252"/>
      <c r="E910" s="251">
        <f t="shared" si="29"/>
        <v>1</v>
      </c>
      <c r="F910" s="252"/>
      <c r="G910" s="248"/>
      <c r="H910" s="242" t="str">
        <f>IFERROR(VLOOKUP(WTG_BD[[#This Row],[Affected WTG]],'Basic Data'!$A$3:$E$56,2,0),"")</f>
        <v/>
      </c>
      <c r="I910" s="242" t="str">
        <f>IFERROR(VLOOKUP(WTG_BD[[#This Row],[Affected WTG]],'Basic Data'!$A$3:$E$56,3,0),"")</f>
        <v/>
      </c>
      <c r="J910" s="243" t="str">
        <f>IFERROR(VLOOKUP(WTG_BD[[#This Row],[Affected WTG]],'Basic Data'!$A$3:$E$56,5,0),"")</f>
        <v/>
      </c>
      <c r="K910" s="158"/>
      <c r="L910" s="247" t="e">
        <f>VLOOKUP(K910,'Basic Data'!T:U,2,0)</f>
        <v>#N/A</v>
      </c>
      <c r="M910" s="135"/>
      <c r="N910" s="256"/>
      <c r="O910" s="256"/>
      <c r="P910" s="256"/>
      <c r="Q910" s="253" t="str">
        <f>IF(WTG_BD[[#This Row],[Work Start TimeStamp]]="","",(WTG_BD[[#This Row],[Work Start TimeStamp]]-WTG_BD[[#This Row],[Fault Start TimeStamp]])*24)</f>
        <v/>
      </c>
      <c r="R910" s="253">
        <f>(WTG_BD[[#This Row],[Fault Clearance time]]-WTG_BD[[#This Row],[Work Start TimeStamp]])*24</f>
        <v>0</v>
      </c>
      <c r="S910" s="253">
        <f>(WTG_BD[[#This Row],[Fault Clearance time]]-WTG_BD[[#This Row],[Fault Start TimeStamp]])*24</f>
        <v>0</v>
      </c>
      <c r="T910" s="135"/>
      <c r="U910" s="244"/>
      <c r="V910" s="246">
        <f>WTG_BD[[#This Row],[Breakdown Time]]*(1/39)</f>
        <v>0</v>
      </c>
      <c r="W910" s="244"/>
      <c r="X910" s="250"/>
      <c r="Y910" s="135"/>
      <c r="Z910" s="135"/>
      <c r="AA910" s="135"/>
      <c r="AB910" s="249">
        <f>(WTG_BD[[#This Row],[Paired WTG Generation for loss calculation.]]/24)*WTG_BD[[#This Row],[Breakdown Time]]</f>
        <v>0</v>
      </c>
      <c r="AC910" s="135"/>
      <c r="AD910" s="245"/>
      <c r="AE910" s="3"/>
    </row>
    <row r="911" spans="1:31">
      <c r="A911" s="241">
        <f t="shared" si="30"/>
        <v>910</v>
      </c>
      <c r="B911" s="255"/>
      <c r="C911" s="252"/>
      <c r="D911" s="252"/>
      <c r="E911" s="251">
        <f t="shared" si="29"/>
        <v>1</v>
      </c>
      <c r="F911" s="252"/>
      <c r="G911" s="248"/>
      <c r="H911" s="242" t="str">
        <f>IFERROR(VLOOKUP(WTG_BD[[#This Row],[Affected WTG]],'Basic Data'!$A$3:$E$56,2,0),"")</f>
        <v/>
      </c>
      <c r="I911" s="242" t="str">
        <f>IFERROR(VLOOKUP(WTG_BD[[#This Row],[Affected WTG]],'Basic Data'!$A$3:$E$56,3,0),"")</f>
        <v/>
      </c>
      <c r="J911" s="243" t="str">
        <f>IFERROR(VLOOKUP(WTG_BD[[#This Row],[Affected WTG]],'Basic Data'!$A$3:$E$56,5,0),"")</f>
        <v/>
      </c>
      <c r="K911" s="158"/>
      <c r="L911" s="247" t="e">
        <f>VLOOKUP(K911,'Basic Data'!T:U,2,0)</f>
        <v>#N/A</v>
      </c>
      <c r="M911" s="135"/>
      <c r="N911" s="256"/>
      <c r="O911" s="256"/>
      <c r="P911" s="256"/>
      <c r="Q911" s="253" t="str">
        <f>IF(WTG_BD[[#This Row],[Work Start TimeStamp]]="","",(WTG_BD[[#This Row],[Work Start TimeStamp]]-WTG_BD[[#This Row],[Fault Start TimeStamp]])*24)</f>
        <v/>
      </c>
      <c r="R911" s="253">
        <f>(WTG_BD[[#This Row],[Fault Clearance time]]-WTG_BD[[#This Row],[Work Start TimeStamp]])*24</f>
        <v>0</v>
      </c>
      <c r="S911" s="253">
        <f>(WTG_BD[[#This Row],[Fault Clearance time]]-WTG_BD[[#This Row],[Fault Start TimeStamp]])*24</f>
        <v>0</v>
      </c>
      <c r="T911" s="135"/>
      <c r="U911" s="244"/>
      <c r="V911" s="246">
        <f>WTG_BD[[#This Row],[Breakdown Time]]*(1/39)</f>
        <v>0</v>
      </c>
      <c r="W911" s="244"/>
      <c r="X911" s="250"/>
      <c r="Y911" s="135"/>
      <c r="Z911" s="135"/>
      <c r="AA911" s="135"/>
      <c r="AB911" s="249">
        <f>(WTG_BD[[#This Row],[Paired WTG Generation for loss calculation.]]/24)*WTG_BD[[#This Row],[Breakdown Time]]</f>
        <v>0</v>
      </c>
      <c r="AC911" s="135"/>
      <c r="AD911" s="245"/>
      <c r="AE911" s="3"/>
    </row>
    <row r="912" spans="1:31">
      <c r="A912" s="241">
        <f t="shared" si="30"/>
        <v>911</v>
      </c>
      <c r="B912" s="255"/>
      <c r="C912" s="252"/>
      <c r="D912" s="252"/>
      <c r="E912" s="251">
        <f t="shared" si="29"/>
        <v>1</v>
      </c>
      <c r="F912" s="252"/>
      <c r="G912" s="248"/>
      <c r="H912" s="242" t="str">
        <f>IFERROR(VLOOKUP(WTG_BD[[#This Row],[Affected WTG]],'Basic Data'!$A$3:$E$56,2,0),"")</f>
        <v/>
      </c>
      <c r="I912" s="242" t="str">
        <f>IFERROR(VLOOKUP(WTG_BD[[#This Row],[Affected WTG]],'Basic Data'!$A$3:$E$56,3,0),"")</f>
        <v/>
      </c>
      <c r="J912" s="243" t="str">
        <f>IFERROR(VLOOKUP(WTG_BD[[#This Row],[Affected WTG]],'Basic Data'!$A$3:$E$56,5,0),"")</f>
        <v/>
      </c>
      <c r="K912" s="158"/>
      <c r="L912" s="247" t="e">
        <f>VLOOKUP(K912,'Basic Data'!T:U,2,0)</f>
        <v>#N/A</v>
      </c>
      <c r="M912" s="135"/>
      <c r="N912" s="256"/>
      <c r="O912" s="256"/>
      <c r="P912" s="256"/>
      <c r="Q912" s="253" t="str">
        <f>IF(WTG_BD[[#This Row],[Work Start TimeStamp]]="","",(WTG_BD[[#This Row],[Work Start TimeStamp]]-WTG_BD[[#This Row],[Fault Start TimeStamp]])*24)</f>
        <v/>
      </c>
      <c r="R912" s="253">
        <f>(WTG_BD[[#This Row],[Fault Clearance time]]-WTG_BD[[#This Row],[Work Start TimeStamp]])*24</f>
        <v>0</v>
      </c>
      <c r="S912" s="253">
        <f>(WTG_BD[[#This Row],[Fault Clearance time]]-WTG_BD[[#This Row],[Fault Start TimeStamp]])*24</f>
        <v>0</v>
      </c>
      <c r="T912" s="135"/>
      <c r="U912" s="244"/>
      <c r="V912" s="246">
        <f>WTG_BD[[#This Row],[Breakdown Time]]*(1/39)</f>
        <v>0</v>
      </c>
      <c r="W912" s="244"/>
      <c r="X912" s="250"/>
      <c r="Y912" s="135"/>
      <c r="Z912" s="135"/>
      <c r="AA912" s="135"/>
      <c r="AB912" s="249">
        <f>(WTG_BD[[#This Row],[Paired WTG Generation for loss calculation.]]/24)*WTG_BD[[#This Row],[Breakdown Time]]</f>
        <v>0</v>
      </c>
      <c r="AC912" s="135"/>
      <c r="AD912" s="245"/>
      <c r="AE912" s="3"/>
    </row>
    <row r="913" spans="1:31">
      <c r="A913" s="241">
        <f t="shared" si="30"/>
        <v>912</v>
      </c>
      <c r="B913" s="255"/>
      <c r="C913" s="252"/>
      <c r="D913" s="252"/>
      <c r="E913" s="251">
        <f t="shared" si="29"/>
        <v>1</v>
      </c>
      <c r="F913" s="252"/>
      <c r="G913" s="248"/>
      <c r="H913" s="242" t="str">
        <f>IFERROR(VLOOKUP(WTG_BD[[#This Row],[Affected WTG]],'Basic Data'!$A$3:$E$56,2,0),"")</f>
        <v/>
      </c>
      <c r="I913" s="242" t="str">
        <f>IFERROR(VLOOKUP(WTG_BD[[#This Row],[Affected WTG]],'Basic Data'!$A$3:$E$56,3,0),"")</f>
        <v/>
      </c>
      <c r="J913" s="243" t="str">
        <f>IFERROR(VLOOKUP(WTG_BD[[#This Row],[Affected WTG]],'Basic Data'!$A$3:$E$56,5,0),"")</f>
        <v/>
      </c>
      <c r="K913" s="158"/>
      <c r="L913" s="247" t="e">
        <f>VLOOKUP(K913,'Basic Data'!T:U,2,0)</f>
        <v>#N/A</v>
      </c>
      <c r="M913" s="135"/>
      <c r="N913" s="256"/>
      <c r="O913" s="256"/>
      <c r="P913" s="256"/>
      <c r="Q913" s="253" t="str">
        <f>IF(WTG_BD[[#This Row],[Work Start TimeStamp]]="","",(WTG_BD[[#This Row],[Work Start TimeStamp]]-WTG_BD[[#This Row],[Fault Start TimeStamp]])*24)</f>
        <v/>
      </c>
      <c r="R913" s="253">
        <f>(WTG_BD[[#This Row],[Fault Clearance time]]-WTG_BD[[#This Row],[Work Start TimeStamp]])*24</f>
        <v>0</v>
      </c>
      <c r="S913" s="253">
        <f>(WTG_BD[[#This Row],[Fault Clearance time]]-WTG_BD[[#This Row],[Fault Start TimeStamp]])*24</f>
        <v>0</v>
      </c>
      <c r="T913" s="135"/>
      <c r="U913" s="244"/>
      <c r="V913" s="246">
        <f>WTG_BD[[#This Row],[Breakdown Time]]*(1/39)</f>
        <v>0</v>
      </c>
      <c r="W913" s="244"/>
      <c r="X913" s="250"/>
      <c r="Y913" s="135"/>
      <c r="Z913" s="135"/>
      <c r="AA913" s="135"/>
      <c r="AB913" s="249">
        <f>(WTG_BD[[#This Row],[Paired WTG Generation for loss calculation.]]/24)*WTG_BD[[#This Row],[Breakdown Time]]</f>
        <v>0</v>
      </c>
      <c r="AC913" s="135"/>
      <c r="AD913" s="245"/>
      <c r="AE913" s="3"/>
    </row>
    <row r="914" spans="1:31">
      <c r="A914" s="241">
        <f t="shared" si="30"/>
        <v>913</v>
      </c>
      <c r="B914" s="255"/>
      <c r="C914" s="252"/>
      <c r="D914" s="252"/>
      <c r="E914" s="251">
        <f t="shared" si="29"/>
        <v>1</v>
      </c>
      <c r="F914" s="252"/>
      <c r="G914" s="248"/>
      <c r="H914" s="242" t="str">
        <f>IFERROR(VLOOKUP(WTG_BD[[#This Row],[Affected WTG]],'Basic Data'!$A$3:$E$56,2,0),"")</f>
        <v/>
      </c>
      <c r="I914" s="242" t="str">
        <f>IFERROR(VLOOKUP(WTG_BD[[#This Row],[Affected WTG]],'Basic Data'!$A$3:$E$56,3,0),"")</f>
        <v/>
      </c>
      <c r="J914" s="243" t="str">
        <f>IFERROR(VLOOKUP(WTG_BD[[#This Row],[Affected WTG]],'Basic Data'!$A$3:$E$56,5,0),"")</f>
        <v/>
      </c>
      <c r="K914" s="158"/>
      <c r="L914" s="247" t="e">
        <f>VLOOKUP(K914,'Basic Data'!T:U,2,0)</f>
        <v>#N/A</v>
      </c>
      <c r="M914" s="135"/>
      <c r="N914" s="256"/>
      <c r="O914" s="256"/>
      <c r="P914" s="256"/>
      <c r="Q914" s="253" t="str">
        <f>IF(WTG_BD[[#This Row],[Work Start TimeStamp]]="","",(WTG_BD[[#This Row],[Work Start TimeStamp]]-WTG_BD[[#This Row],[Fault Start TimeStamp]])*24)</f>
        <v/>
      </c>
      <c r="R914" s="253">
        <f>(WTG_BD[[#This Row],[Fault Clearance time]]-WTG_BD[[#This Row],[Work Start TimeStamp]])*24</f>
        <v>0</v>
      </c>
      <c r="S914" s="253">
        <f>(WTG_BD[[#This Row],[Fault Clearance time]]-WTG_BD[[#This Row],[Fault Start TimeStamp]])*24</f>
        <v>0</v>
      </c>
      <c r="T914" s="135"/>
      <c r="U914" s="244"/>
      <c r="V914" s="246">
        <f>WTG_BD[[#This Row],[Breakdown Time]]*(1/39)</f>
        <v>0</v>
      </c>
      <c r="W914" s="244"/>
      <c r="X914" s="250"/>
      <c r="Y914" s="135"/>
      <c r="Z914" s="135"/>
      <c r="AA914" s="135"/>
      <c r="AB914" s="249">
        <f>(WTG_BD[[#This Row],[Paired WTG Generation for loss calculation.]]/24)*WTG_BD[[#This Row],[Breakdown Time]]</f>
        <v>0</v>
      </c>
      <c r="AC914" s="135"/>
      <c r="AD914" s="245"/>
      <c r="AE914" s="3"/>
    </row>
    <row r="915" spans="1:31">
      <c r="A915" s="241">
        <f t="shared" si="30"/>
        <v>914</v>
      </c>
      <c r="B915" s="255"/>
      <c r="C915" s="252"/>
      <c r="D915" s="252"/>
      <c r="E915" s="251">
        <f t="shared" si="29"/>
        <v>1</v>
      </c>
      <c r="F915" s="252"/>
      <c r="G915" s="248"/>
      <c r="H915" s="242" t="str">
        <f>IFERROR(VLOOKUP(WTG_BD[[#This Row],[Affected WTG]],'Basic Data'!$A$3:$E$56,2,0),"")</f>
        <v/>
      </c>
      <c r="I915" s="242" t="str">
        <f>IFERROR(VLOOKUP(WTG_BD[[#This Row],[Affected WTG]],'Basic Data'!$A$3:$E$56,3,0),"")</f>
        <v/>
      </c>
      <c r="J915" s="243" t="str">
        <f>IFERROR(VLOOKUP(WTG_BD[[#This Row],[Affected WTG]],'Basic Data'!$A$3:$E$56,5,0),"")</f>
        <v/>
      </c>
      <c r="K915" s="158"/>
      <c r="L915" s="247" t="e">
        <f>VLOOKUP(K915,'Basic Data'!T:U,2,0)</f>
        <v>#N/A</v>
      </c>
      <c r="M915" s="135"/>
      <c r="N915" s="256"/>
      <c r="O915" s="256"/>
      <c r="P915" s="256"/>
      <c r="Q915" s="253" t="str">
        <f>IF(WTG_BD[[#This Row],[Work Start TimeStamp]]="","",(WTG_BD[[#This Row],[Work Start TimeStamp]]-WTG_BD[[#This Row],[Fault Start TimeStamp]])*24)</f>
        <v/>
      </c>
      <c r="R915" s="253">
        <f>(WTG_BD[[#This Row],[Fault Clearance time]]-WTG_BD[[#This Row],[Work Start TimeStamp]])*24</f>
        <v>0</v>
      </c>
      <c r="S915" s="253">
        <f>(WTG_BD[[#This Row],[Fault Clearance time]]-WTG_BD[[#This Row],[Fault Start TimeStamp]])*24</f>
        <v>0</v>
      </c>
      <c r="T915" s="135"/>
      <c r="U915" s="244"/>
      <c r="V915" s="246">
        <f>WTG_BD[[#This Row],[Breakdown Time]]*(1/39)</f>
        <v>0</v>
      </c>
      <c r="W915" s="244"/>
      <c r="X915" s="250"/>
      <c r="Y915" s="135"/>
      <c r="Z915" s="135"/>
      <c r="AA915" s="135"/>
      <c r="AB915" s="249">
        <f>(WTG_BD[[#This Row],[Paired WTG Generation for loss calculation.]]/24)*WTG_BD[[#This Row],[Breakdown Time]]</f>
        <v>0</v>
      </c>
      <c r="AC915" s="135"/>
      <c r="AD915" s="245"/>
      <c r="AE915" s="3"/>
    </row>
    <row r="916" spans="1:31">
      <c r="A916" s="241">
        <f t="shared" si="30"/>
        <v>915</v>
      </c>
      <c r="B916" s="255"/>
      <c r="C916" s="252"/>
      <c r="D916" s="252"/>
      <c r="E916" s="251">
        <f t="shared" si="29"/>
        <v>1</v>
      </c>
      <c r="F916" s="252"/>
      <c r="G916" s="248"/>
      <c r="H916" s="242" t="str">
        <f>IFERROR(VLOOKUP(WTG_BD[[#This Row],[Affected WTG]],'Basic Data'!$A$3:$E$56,2,0),"")</f>
        <v/>
      </c>
      <c r="I916" s="242" t="str">
        <f>IFERROR(VLOOKUP(WTG_BD[[#This Row],[Affected WTG]],'Basic Data'!$A$3:$E$56,3,0),"")</f>
        <v/>
      </c>
      <c r="J916" s="243" t="str">
        <f>IFERROR(VLOOKUP(WTG_BD[[#This Row],[Affected WTG]],'Basic Data'!$A$3:$E$56,5,0),"")</f>
        <v/>
      </c>
      <c r="K916" s="158"/>
      <c r="L916" s="247" t="e">
        <f>VLOOKUP(K916,'Basic Data'!T:U,2,0)</f>
        <v>#N/A</v>
      </c>
      <c r="M916" s="135"/>
      <c r="N916" s="256"/>
      <c r="O916" s="256"/>
      <c r="P916" s="256"/>
      <c r="Q916" s="253" t="str">
        <f>IF(WTG_BD[[#This Row],[Work Start TimeStamp]]="","",(WTG_BD[[#This Row],[Work Start TimeStamp]]-WTG_BD[[#This Row],[Fault Start TimeStamp]])*24)</f>
        <v/>
      </c>
      <c r="R916" s="253">
        <f>(WTG_BD[[#This Row],[Fault Clearance time]]-WTG_BD[[#This Row],[Work Start TimeStamp]])*24</f>
        <v>0</v>
      </c>
      <c r="S916" s="253">
        <f>(WTG_BD[[#This Row],[Fault Clearance time]]-WTG_BD[[#This Row],[Fault Start TimeStamp]])*24</f>
        <v>0</v>
      </c>
      <c r="T916" s="135"/>
      <c r="U916" s="244"/>
      <c r="V916" s="246">
        <f>WTG_BD[[#This Row],[Breakdown Time]]*(1/39)</f>
        <v>0</v>
      </c>
      <c r="W916" s="244"/>
      <c r="X916" s="250"/>
      <c r="Y916" s="135"/>
      <c r="Z916" s="135"/>
      <c r="AA916" s="135"/>
      <c r="AB916" s="249">
        <f>(WTG_BD[[#This Row],[Paired WTG Generation for loss calculation.]]/24)*WTG_BD[[#This Row],[Breakdown Time]]</f>
        <v>0</v>
      </c>
      <c r="AC916" s="135"/>
      <c r="AD916" s="245"/>
      <c r="AE916" s="3"/>
    </row>
    <row r="917" spans="1:31">
      <c r="A917" s="241">
        <f t="shared" si="30"/>
        <v>916</v>
      </c>
      <c r="B917" s="255"/>
      <c r="C917" s="252"/>
      <c r="D917" s="252"/>
      <c r="E917" s="251">
        <f t="shared" si="29"/>
        <v>1</v>
      </c>
      <c r="F917" s="252"/>
      <c r="G917" s="248"/>
      <c r="H917" s="242" t="str">
        <f>IFERROR(VLOOKUP(WTG_BD[[#This Row],[Affected WTG]],'Basic Data'!$A$3:$E$56,2,0),"")</f>
        <v/>
      </c>
      <c r="I917" s="242" t="str">
        <f>IFERROR(VLOOKUP(WTG_BD[[#This Row],[Affected WTG]],'Basic Data'!$A$3:$E$56,3,0),"")</f>
        <v/>
      </c>
      <c r="J917" s="243" t="str">
        <f>IFERROR(VLOOKUP(WTG_BD[[#This Row],[Affected WTG]],'Basic Data'!$A$3:$E$56,5,0),"")</f>
        <v/>
      </c>
      <c r="K917" s="158"/>
      <c r="L917" s="247" t="e">
        <f>VLOOKUP(K917,'Basic Data'!T:U,2,0)</f>
        <v>#N/A</v>
      </c>
      <c r="M917" s="135"/>
      <c r="N917" s="256"/>
      <c r="O917" s="256"/>
      <c r="P917" s="256"/>
      <c r="Q917" s="253" t="str">
        <f>IF(WTG_BD[[#This Row],[Work Start TimeStamp]]="","",(WTG_BD[[#This Row],[Work Start TimeStamp]]-WTG_BD[[#This Row],[Fault Start TimeStamp]])*24)</f>
        <v/>
      </c>
      <c r="R917" s="253">
        <f>(WTG_BD[[#This Row],[Fault Clearance time]]-WTG_BD[[#This Row],[Work Start TimeStamp]])*24</f>
        <v>0</v>
      </c>
      <c r="S917" s="253">
        <f>(WTG_BD[[#This Row],[Fault Clearance time]]-WTG_BD[[#This Row],[Fault Start TimeStamp]])*24</f>
        <v>0</v>
      </c>
      <c r="T917" s="135"/>
      <c r="U917" s="244"/>
      <c r="V917" s="246">
        <f>WTG_BD[[#This Row],[Breakdown Time]]*(1/39)</f>
        <v>0</v>
      </c>
      <c r="W917" s="244"/>
      <c r="X917" s="250"/>
      <c r="Y917" s="135"/>
      <c r="Z917" s="135"/>
      <c r="AA917" s="135"/>
      <c r="AB917" s="249">
        <f>(WTG_BD[[#This Row],[Paired WTG Generation for loss calculation.]]/24)*WTG_BD[[#This Row],[Breakdown Time]]</f>
        <v>0</v>
      </c>
      <c r="AC917" s="135"/>
      <c r="AD917" s="245"/>
      <c r="AE917" s="3"/>
    </row>
    <row r="918" spans="1:31">
      <c r="A918" s="241">
        <f t="shared" si="30"/>
        <v>917</v>
      </c>
      <c r="B918" s="255"/>
      <c r="C918" s="252"/>
      <c r="D918" s="252"/>
      <c r="E918" s="251">
        <f t="shared" si="29"/>
        <v>1</v>
      </c>
      <c r="F918" s="252"/>
      <c r="G918" s="248"/>
      <c r="H918" s="242" t="str">
        <f>IFERROR(VLOOKUP(WTG_BD[[#This Row],[Affected WTG]],'Basic Data'!$A$3:$E$56,2,0),"")</f>
        <v/>
      </c>
      <c r="I918" s="242" t="str">
        <f>IFERROR(VLOOKUP(WTG_BD[[#This Row],[Affected WTG]],'Basic Data'!$A$3:$E$56,3,0),"")</f>
        <v/>
      </c>
      <c r="J918" s="243" t="str">
        <f>IFERROR(VLOOKUP(WTG_BD[[#This Row],[Affected WTG]],'Basic Data'!$A$3:$E$56,5,0),"")</f>
        <v/>
      </c>
      <c r="K918" s="158"/>
      <c r="L918" s="247" t="e">
        <f>VLOOKUP(K918,'Basic Data'!T:U,2,0)</f>
        <v>#N/A</v>
      </c>
      <c r="M918" s="135"/>
      <c r="N918" s="256"/>
      <c r="O918" s="256"/>
      <c r="P918" s="256"/>
      <c r="Q918" s="253" t="str">
        <f>IF(WTG_BD[[#This Row],[Work Start TimeStamp]]="","",(WTG_BD[[#This Row],[Work Start TimeStamp]]-WTG_BD[[#This Row],[Fault Start TimeStamp]])*24)</f>
        <v/>
      </c>
      <c r="R918" s="253">
        <f>(WTG_BD[[#This Row],[Fault Clearance time]]-WTG_BD[[#This Row],[Work Start TimeStamp]])*24</f>
        <v>0</v>
      </c>
      <c r="S918" s="253">
        <f>(WTG_BD[[#This Row],[Fault Clearance time]]-WTG_BD[[#This Row],[Fault Start TimeStamp]])*24</f>
        <v>0</v>
      </c>
      <c r="T918" s="135"/>
      <c r="U918" s="244"/>
      <c r="V918" s="246">
        <f>WTG_BD[[#This Row],[Breakdown Time]]*(1/39)</f>
        <v>0</v>
      </c>
      <c r="W918" s="244"/>
      <c r="X918" s="250"/>
      <c r="Y918" s="135"/>
      <c r="Z918" s="135"/>
      <c r="AA918" s="135"/>
      <c r="AB918" s="249">
        <f>(WTG_BD[[#This Row],[Paired WTG Generation for loss calculation.]]/24)*WTG_BD[[#This Row],[Breakdown Time]]</f>
        <v>0</v>
      </c>
      <c r="AC918" s="135"/>
      <c r="AD918" s="245"/>
      <c r="AE918" s="3"/>
    </row>
    <row r="919" spans="1:31">
      <c r="A919" s="241">
        <f t="shared" si="30"/>
        <v>918</v>
      </c>
      <c r="B919" s="255"/>
      <c r="C919" s="252"/>
      <c r="D919" s="252"/>
      <c r="E919" s="251">
        <f t="shared" si="29"/>
        <v>1</v>
      </c>
      <c r="F919" s="252"/>
      <c r="G919" s="248"/>
      <c r="H919" s="242" t="str">
        <f>IFERROR(VLOOKUP(WTG_BD[[#This Row],[Affected WTG]],'Basic Data'!$A$3:$E$56,2,0),"")</f>
        <v/>
      </c>
      <c r="I919" s="242" t="str">
        <f>IFERROR(VLOOKUP(WTG_BD[[#This Row],[Affected WTG]],'Basic Data'!$A$3:$E$56,3,0),"")</f>
        <v/>
      </c>
      <c r="J919" s="243" t="str">
        <f>IFERROR(VLOOKUP(WTG_BD[[#This Row],[Affected WTG]],'Basic Data'!$A$3:$E$56,5,0),"")</f>
        <v/>
      </c>
      <c r="K919" s="158"/>
      <c r="L919" s="247" t="e">
        <f>VLOOKUP(K919,'Basic Data'!T:U,2,0)</f>
        <v>#N/A</v>
      </c>
      <c r="M919" s="135"/>
      <c r="N919" s="256"/>
      <c r="O919" s="256"/>
      <c r="P919" s="256"/>
      <c r="Q919" s="253" t="str">
        <f>IF(WTG_BD[[#This Row],[Work Start TimeStamp]]="","",(WTG_BD[[#This Row],[Work Start TimeStamp]]-WTG_BD[[#This Row],[Fault Start TimeStamp]])*24)</f>
        <v/>
      </c>
      <c r="R919" s="253">
        <f>(WTG_BD[[#This Row],[Fault Clearance time]]-WTG_BD[[#This Row],[Work Start TimeStamp]])*24</f>
        <v>0</v>
      </c>
      <c r="S919" s="253">
        <f>(WTG_BD[[#This Row],[Fault Clearance time]]-WTG_BD[[#This Row],[Fault Start TimeStamp]])*24</f>
        <v>0</v>
      </c>
      <c r="T919" s="135"/>
      <c r="U919" s="244"/>
      <c r="V919" s="246">
        <f>WTG_BD[[#This Row],[Breakdown Time]]*(1/39)</f>
        <v>0</v>
      </c>
      <c r="W919" s="244"/>
      <c r="X919" s="250"/>
      <c r="Y919" s="135"/>
      <c r="Z919" s="135"/>
      <c r="AA919" s="135"/>
      <c r="AB919" s="249">
        <f>(WTG_BD[[#This Row],[Paired WTG Generation for loss calculation.]]/24)*WTG_BD[[#This Row],[Breakdown Time]]</f>
        <v>0</v>
      </c>
      <c r="AC919" s="135"/>
      <c r="AD919" s="245"/>
      <c r="AE919" s="3"/>
    </row>
    <row r="920" spans="1:31">
      <c r="A920" s="241">
        <f t="shared" si="30"/>
        <v>919</v>
      </c>
      <c r="B920" s="255"/>
      <c r="C920" s="252"/>
      <c r="D920" s="252"/>
      <c r="E920" s="251">
        <f t="shared" si="29"/>
        <v>1</v>
      </c>
      <c r="F920" s="252"/>
      <c r="G920" s="248"/>
      <c r="H920" s="242" t="str">
        <f>IFERROR(VLOOKUP(WTG_BD[[#This Row],[Affected WTG]],'Basic Data'!$A$3:$E$56,2,0),"")</f>
        <v/>
      </c>
      <c r="I920" s="242" t="str">
        <f>IFERROR(VLOOKUP(WTG_BD[[#This Row],[Affected WTG]],'Basic Data'!$A$3:$E$56,3,0),"")</f>
        <v/>
      </c>
      <c r="J920" s="243" t="str">
        <f>IFERROR(VLOOKUP(WTG_BD[[#This Row],[Affected WTG]],'Basic Data'!$A$3:$E$56,5,0),"")</f>
        <v/>
      </c>
      <c r="K920" s="158"/>
      <c r="L920" s="247" t="e">
        <f>VLOOKUP(K920,'Basic Data'!T:U,2,0)</f>
        <v>#N/A</v>
      </c>
      <c r="M920" s="135"/>
      <c r="N920" s="256"/>
      <c r="O920" s="256"/>
      <c r="P920" s="256"/>
      <c r="Q920" s="253" t="str">
        <f>IF(WTG_BD[[#This Row],[Work Start TimeStamp]]="","",(WTG_BD[[#This Row],[Work Start TimeStamp]]-WTG_BD[[#This Row],[Fault Start TimeStamp]])*24)</f>
        <v/>
      </c>
      <c r="R920" s="253">
        <f>(WTG_BD[[#This Row],[Fault Clearance time]]-WTG_BD[[#This Row],[Work Start TimeStamp]])*24</f>
        <v>0</v>
      </c>
      <c r="S920" s="253">
        <f>(WTG_BD[[#This Row],[Fault Clearance time]]-WTG_BD[[#This Row],[Fault Start TimeStamp]])*24</f>
        <v>0</v>
      </c>
      <c r="T920" s="135"/>
      <c r="U920" s="244"/>
      <c r="V920" s="246">
        <f>WTG_BD[[#This Row],[Breakdown Time]]*(1/39)</f>
        <v>0</v>
      </c>
      <c r="W920" s="244"/>
      <c r="X920" s="250"/>
      <c r="Y920" s="135"/>
      <c r="Z920" s="135"/>
      <c r="AA920" s="135"/>
      <c r="AB920" s="249">
        <f>(WTG_BD[[#This Row],[Paired WTG Generation for loss calculation.]]/24)*WTG_BD[[#This Row],[Breakdown Time]]</f>
        <v>0</v>
      </c>
      <c r="AC920" s="135"/>
      <c r="AD920" s="245"/>
      <c r="AE920" s="3"/>
    </row>
    <row r="921" spans="1:31">
      <c r="A921" s="241">
        <f t="shared" si="30"/>
        <v>920</v>
      </c>
      <c r="B921" s="255"/>
      <c r="C921" s="252"/>
      <c r="D921" s="252"/>
      <c r="E921" s="251">
        <f t="shared" si="29"/>
        <v>1</v>
      </c>
      <c r="F921" s="252"/>
      <c r="G921" s="248"/>
      <c r="H921" s="242" t="str">
        <f>IFERROR(VLOOKUP(WTG_BD[[#This Row],[Affected WTG]],'Basic Data'!$A$3:$E$56,2,0),"")</f>
        <v/>
      </c>
      <c r="I921" s="242" t="str">
        <f>IFERROR(VLOOKUP(WTG_BD[[#This Row],[Affected WTG]],'Basic Data'!$A$3:$E$56,3,0),"")</f>
        <v/>
      </c>
      <c r="J921" s="243" t="str">
        <f>IFERROR(VLOOKUP(WTG_BD[[#This Row],[Affected WTG]],'Basic Data'!$A$3:$E$56,5,0),"")</f>
        <v/>
      </c>
      <c r="K921" s="158"/>
      <c r="L921" s="247" t="e">
        <f>VLOOKUP(K921,'Basic Data'!T:U,2,0)</f>
        <v>#N/A</v>
      </c>
      <c r="M921" s="135"/>
      <c r="N921" s="256"/>
      <c r="O921" s="256"/>
      <c r="P921" s="256"/>
      <c r="Q921" s="253" t="str">
        <f>IF(WTG_BD[[#This Row],[Work Start TimeStamp]]="","",(WTG_BD[[#This Row],[Work Start TimeStamp]]-WTG_BD[[#This Row],[Fault Start TimeStamp]])*24)</f>
        <v/>
      </c>
      <c r="R921" s="253">
        <f>(WTG_BD[[#This Row],[Fault Clearance time]]-WTG_BD[[#This Row],[Work Start TimeStamp]])*24</f>
        <v>0</v>
      </c>
      <c r="S921" s="253">
        <f>(WTG_BD[[#This Row],[Fault Clearance time]]-WTG_BD[[#This Row],[Fault Start TimeStamp]])*24</f>
        <v>0</v>
      </c>
      <c r="T921" s="135"/>
      <c r="U921" s="244"/>
      <c r="V921" s="246">
        <f>WTG_BD[[#This Row],[Breakdown Time]]*(1/39)</f>
        <v>0</v>
      </c>
      <c r="W921" s="244"/>
      <c r="X921" s="250"/>
      <c r="Y921" s="135"/>
      <c r="Z921" s="135"/>
      <c r="AA921" s="135"/>
      <c r="AB921" s="249">
        <f>(WTG_BD[[#This Row],[Paired WTG Generation for loss calculation.]]/24)*WTG_BD[[#This Row],[Breakdown Time]]</f>
        <v>0</v>
      </c>
      <c r="AC921" s="135"/>
      <c r="AD921" s="245"/>
      <c r="AE921" s="3"/>
    </row>
    <row r="922" spans="1:31">
      <c r="A922" s="241">
        <f t="shared" si="30"/>
        <v>921</v>
      </c>
      <c r="B922" s="255"/>
      <c r="C922" s="252"/>
      <c r="D922" s="252"/>
      <c r="E922" s="251">
        <f t="shared" si="29"/>
        <v>1</v>
      </c>
      <c r="F922" s="252"/>
      <c r="G922" s="248"/>
      <c r="H922" s="242" t="str">
        <f>IFERROR(VLOOKUP(WTG_BD[[#This Row],[Affected WTG]],'Basic Data'!$A$3:$E$56,2,0),"")</f>
        <v/>
      </c>
      <c r="I922" s="242" t="str">
        <f>IFERROR(VLOOKUP(WTG_BD[[#This Row],[Affected WTG]],'Basic Data'!$A$3:$E$56,3,0),"")</f>
        <v/>
      </c>
      <c r="J922" s="243" t="str">
        <f>IFERROR(VLOOKUP(WTG_BD[[#This Row],[Affected WTG]],'Basic Data'!$A$3:$E$56,5,0),"")</f>
        <v/>
      </c>
      <c r="K922" s="158"/>
      <c r="L922" s="247" t="e">
        <f>VLOOKUP(K922,'Basic Data'!T:U,2,0)</f>
        <v>#N/A</v>
      </c>
      <c r="M922" s="135"/>
      <c r="N922" s="256"/>
      <c r="O922" s="256"/>
      <c r="P922" s="256"/>
      <c r="Q922" s="253" t="str">
        <f>IF(WTG_BD[[#This Row],[Work Start TimeStamp]]="","",(WTG_BD[[#This Row],[Work Start TimeStamp]]-WTG_BD[[#This Row],[Fault Start TimeStamp]])*24)</f>
        <v/>
      </c>
      <c r="R922" s="253">
        <f>(WTG_BD[[#This Row],[Fault Clearance time]]-WTG_BD[[#This Row],[Work Start TimeStamp]])*24</f>
        <v>0</v>
      </c>
      <c r="S922" s="253">
        <f>(WTG_BD[[#This Row],[Fault Clearance time]]-WTG_BD[[#This Row],[Fault Start TimeStamp]])*24</f>
        <v>0</v>
      </c>
      <c r="T922" s="135"/>
      <c r="U922" s="244"/>
      <c r="V922" s="246">
        <f>WTG_BD[[#This Row],[Breakdown Time]]*(1/39)</f>
        <v>0</v>
      </c>
      <c r="W922" s="244"/>
      <c r="X922" s="250"/>
      <c r="Y922" s="135"/>
      <c r="Z922" s="135"/>
      <c r="AA922" s="135"/>
      <c r="AB922" s="249">
        <f>(WTG_BD[[#This Row],[Paired WTG Generation for loss calculation.]]/24)*WTG_BD[[#This Row],[Breakdown Time]]</f>
        <v>0</v>
      </c>
      <c r="AC922" s="135"/>
      <c r="AD922" s="245"/>
      <c r="AE922" s="3"/>
    </row>
    <row r="923" spans="1:31">
      <c r="A923" s="241">
        <f t="shared" si="30"/>
        <v>922</v>
      </c>
      <c r="B923" s="255"/>
      <c r="C923" s="252"/>
      <c r="D923" s="252"/>
      <c r="E923" s="251">
        <f t="shared" si="29"/>
        <v>1</v>
      </c>
      <c r="F923" s="252"/>
      <c r="G923" s="248"/>
      <c r="H923" s="242" t="str">
        <f>IFERROR(VLOOKUP(WTG_BD[[#This Row],[Affected WTG]],'Basic Data'!$A$3:$E$56,2,0),"")</f>
        <v/>
      </c>
      <c r="I923" s="242" t="str">
        <f>IFERROR(VLOOKUP(WTG_BD[[#This Row],[Affected WTG]],'Basic Data'!$A$3:$E$56,3,0),"")</f>
        <v/>
      </c>
      <c r="J923" s="243" t="str">
        <f>IFERROR(VLOOKUP(WTG_BD[[#This Row],[Affected WTG]],'Basic Data'!$A$3:$E$56,5,0),"")</f>
        <v/>
      </c>
      <c r="K923" s="158"/>
      <c r="L923" s="247" t="e">
        <f>VLOOKUP(K923,'Basic Data'!T:U,2,0)</f>
        <v>#N/A</v>
      </c>
      <c r="M923" s="135"/>
      <c r="N923" s="256"/>
      <c r="O923" s="256"/>
      <c r="P923" s="256"/>
      <c r="Q923" s="253" t="str">
        <f>IF(WTG_BD[[#This Row],[Work Start TimeStamp]]="","",(WTG_BD[[#This Row],[Work Start TimeStamp]]-WTG_BD[[#This Row],[Fault Start TimeStamp]])*24)</f>
        <v/>
      </c>
      <c r="R923" s="253">
        <f>(WTG_BD[[#This Row],[Fault Clearance time]]-WTG_BD[[#This Row],[Work Start TimeStamp]])*24</f>
        <v>0</v>
      </c>
      <c r="S923" s="253">
        <f>(WTG_BD[[#This Row],[Fault Clearance time]]-WTG_BD[[#This Row],[Fault Start TimeStamp]])*24</f>
        <v>0</v>
      </c>
      <c r="T923" s="135"/>
      <c r="U923" s="244"/>
      <c r="V923" s="246">
        <f>WTG_BD[[#This Row],[Breakdown Time]]*(1/39)</f>
        <v>0</v>
      </c>
      <c r="W923" s="244"/>
      <c r="X923" s="250"/>
      <c r="Y923" s="135"/>
      <c r="Z923" s="135"/>
      <c r="AA923" s="135"/>
      <c r="AB923" s="249">
        <f>(WTG_BD[[#This Row],[Paired WTG Generation for loss calculation.]]/24)*WTG_BD[[#This Row],[Breakdown Time]]</f>
        <v>0</v>
      </c>
      <c r="AC923" s="135"/>
      <c r="AD923" s="245"/>
      <c r="AE923" s="3"/>
    </row>
    <row r="924" spans="1:31">
      <c r="A924" s="241">
        <f t="shared" si="30"/>
        <v>923</v>
      </c>
      <c r="B924" s="255"/>
      <c r="C924" s="252"/>
      <c r="D924" s="252"/>
      <c r="E924" s="251">
        <f t="shared" si="29"/>
        <v>1</v>
      </c>
      <c r="F924" s="252"/>
      <c r="G924" s="248"/>
      <c r="H924" s="242" t="str">
        <f>IFERROR(VLOOKUP(WTG_BD[[#This Row],[Affected WTG]],'Basic Data'!$A$3:$E$56,2,0),"")</f>
        <v/>
      </c>
      <c r="I924" s="242" t="str">
        <f>IFERROR(VLOOKUP(WTG_BD[[#This Row],[Affected WTG]],'Basic Data'!$A$3:$E$56,3,0),"")</f>
        <v/>
      </c>
      <c r="J924" s="243" t="str">
        <f>IFERROR(VLOOKUP(WTG_BD[[#This Row],[Affected WTG]],'Basic Data'!$A$3:$E$56,5,0),"")</f>
        <v/>
      </c>
      <c r="K924" s="158"/>
      <c r="L924" s="247" t="e">
        <f>VLOOKUP(K924,'Basic Data'!T:U,2,0)</f>
        <v>#N/A</v>
      </c>
      <c r="M924" s="135"/>
      <c r="N924" s="256"/>
      <c r="O924" s="256"/>
      <c r="P924" s="256"/>
      <c r="Q924" s="253" t="str">
        <f>IF(WTG_BD[[#This Row],[Work Start TimeStamp]]="","",(WTG_BD[[#This Row],[Work Start TimeStamp]]-WTG_BD[[#This Row],[Fault Start TimeStamp]])*24)</f>
        <v/>
      </c>
      <c r="R924" s="253">
        <f>(WTG_BD[[#This Row],[Fault Clearance time]]-WTG_BD[[#This Row],[Work Start TimeStamp]])*24</f>
        <v>0</v>
      </c>
      <c r="S924" s="253">
        <f>(WTG_BD[[#This Row],[Fault Clearance time]]-WTG_BD[[#This Row],[Fault Start TimeStamp]])*24</f>
        <v>0</v>
      </c>
      <c r="T924" s="135"/>
      <c r="U924" s="244"/>
      <c r="V924" s="246">
        <f>WTG_BD[[#This Row],[Breakdown Time]]*(1/39)</f>
        <v>0</v>
      </c>
      <c r="W924" s="244"/>
      <c r="X924" s="250"/>
      <c r="Y924" s="135"/>
      <c r="Z924" s="135"/>
      <c r="AA924" s="135"/>
      <c r="AB924" s="249">
        <f>(WTG_BD[[#This Row],[Paired WTG Generation for loss calculation.]]/24)*WTG_BD[[#This Row],[Breakdown Time]]</f>
        <v>0</v>
      </c>
      <c r="AC924" s="135"/>
      <c r="AD924" s="245"/>
      <c r="AE924" s="3"/>
    </row>
    <row r="925" spans="1:31">
      <c r="A925" s="241">
        <f t="shared" si="30"/>
        <v>924</v>
      </c>
      <c r="B925" s="255"/>
      <c r="C925" s="252"/>
      <c r="D925" s="252"/>
      <c r="E925" s="251">
        <f t="shared" si="29"/>
        <v>1</v>
      </c>
      <c r="F925" s="252"/>
      <c r="G925" s="248"/>
      <c r="H925" s="242" t="str">
        <f>IFERROR(VLOOKUP(WTG_BD[[#This Row],[Affected WTG]],'Basic Data'!$A$3:$E$56,2,0),"")</f>
        <v/>
      </c>
      <c r="I925" s="242" t="str">
        <f>IFERROR(VLOOKUP(WTG_BD[[#This Row],[Affected WTG]],'Basic Data'!$A$3:$E$56,3,0),"")</f>
        <v/>
      </c>
      <c r="J925" s="243" t="str">
        <f>IFERROR(VLOOKUP(WTG_BD[[#This Row],[Affected WTG]],'Basic Data'!$A$3:$E$56,5,0),"")</f>
        <v/>
      </c>
      <c r="K925" s="158"/>
      <c r="L925" s="247" t="e">
        <f>VLOOKUP(K925,'Basic Data'!T:U,2,0)</f>
        <v>#N/A</v>
      </c>
      <c r="M925" s="135"/>
      <c r="N925" s="256"/>
      <c r="O925" s="256"/>
      <c r="P925" s="256"/>
      <c r="Q925" s="253" t="str">
        <f>IF(WTG_BD[[#This Row],[Work Start TimeStamp]]="","",(WTG_BD[[#This Row],[Work Start TimeStamp]]-WTG_BD[[#This Row],[Fault Start TimeStamp]])*24)</f>
        <v/>
      </c>
      <c r="R925" s="253">
        <f>(WTG_BD[[#This Row],[Fault Clearance time]]-WTG_BD[[#This Row],[Work Start TimeStamp]])*24</f>
        <v>0</v>
      </c>
      <c r="S925" s="253">
        <f>(WTG_BD[[#This Row],[Fault Clearance time]]-WTG_BD[[#This Row],[Fault Start TimeStamp]])*24</f>
        <v>0</v>
      </c>
      <c r="T925" s="135"/>
      <c r="U925" s="244"/>
      <c r="V925" s="246">
        <f>WTG_BD[[#This Row],[Breakdown Time]]*(1/39)</f>
        <v>0</v>
      </c>
      <c r="W925" s="244"/>
      <c r="X925" s="250"/>
      <c r="Y925" s="135"/>
      <c r="Z925" s="135"/>
      <c r="AA925" s="135"/>
      <c r="AB925" s="249">
        <f>(WTG_BD[[#This Row],[Paired WTG Generation for loss calculation.]]/24)*WTG_BD[[#This Row],[Breakdown Time]]</f>
        <v>0</v>
      </c>
      <c r="AC925" s="135"/>
      <c r="AD925" s="245"/>
      <c r="AE925" s="3"/>
    </row>
    <row r="926" spans="1:31">
      <c r="A926" s="241">
        <f t="shared" si="30"/>
        <v>925</v>
      </c>
      <c r="B926" s="255"/>
      <c r="C926" s="252"/>
      <c r="D926" s="252"/>
      <c r="E926" s="251">
        <f t="shared" si="29"/>
        <v>1</v>
      </c>
      <c r="F926" s="252"/>
      <c r="G926" s="248"/>
      <c r="H926" s="242" t="str">
        <f>IFERROR(VLOOKUP(WTG_BD[[#This Row],[Affected WTG]],'Basic Data'!$A$3:$E$56,2,0),"")</f>
        <v/>
      </c>
      <c r="I926" s="242" t="str">
        <f>IFERROR(VLOOKUP(WTG_BD[[#This Row],[Affected WTG]],'Basic Data'!$A$3:$E$56,3,0),"")</f>
        <v/>
      </c>
      <c r="J926" s="243" t="str">
        <f>IFERROR(VLOOKUP(WTG_BD[[#This Row],[Affected WTG]],'Basic Data'!$A$3:$E$56,5,0),"")</f>
        <v/>
      </c>
      <c r="K926" s="158"/>
      <c r="L926" s="247" t="e">
        <f>VLOOKUP(K926,'Basic Data'!T:U,2,0)</f>
        <v>#N/A</v>
      </c>
      <c r="M926" s="135"/>
      <c r="N926" s="256"/>
      <c r="O926" s="256"/>
      <c r="P926" s="256"/>
      <c r="Q926" s="253" t="str">
        <f>IF(WTG_BD[[#This Row],[Work Start TimeStamp]]="","",(WTG_BD[[#This Row],[Work Start TimeStamp]]-WTG_BD[[#This Row],[Fault Start TimeStamp]])*24)</f>
        <v/>
      </c>
      <c r="R926" s="253">
        <f>(WTG_BD[[#This Row],[Fault Clearance time]]-WTG_BD[[#This Row],[Work Start TimeStamp]])*24</f>
        <v>0</v>
      </c>
      <c r="S926" s="253">
        <f>(WTG_BD[[#This Row],[Fault Clearance time]]-WTG_BD[[#This Row],[Fault Start TimeStamp]])*24</f>
        <v>0</v>
      </c>
      <c r="T926" s="135"/>
      <c r="U926" s="244"/>
      <c r="V926" s="246">
        <f>WTG_BD[[#This Row],[Breakdown Time]]*(1/39)</f>
        <v>0</v>
      </c>
      <c r="W926" s="244"/>
      <c r="X926" s="250"/>
      <c r="Y926" s="135"/>
      <c r="Z926" s="135"/>
      <c r="AA926" s="135"/>
      <c r="AB926" s="249">
        <f>(WTG_BD[[#This Row],[Paired WTG Generation for loss calculation.]]/24)*WTG_BD[[#This Row],[Breakdown Time]]</f>
        <v>0</v>
      </c>
      <c r="AC926" s="135"/>
      <c r="AD926" s="245"/>
      <c r="AE926" s="3"/>
    </row>
    <row r="927" spans="1:31">
      <c r="A927" s="241">
        <f t="shared" si="30"/>
        <v>926</v>
      </c>
      <c r="B927" s="255"/>
      <c r="C927" s="252"/>
      <c r="D927" s="252"/>
      <c r="E927" s="251">
        <f t="shared" si="29"/>
        <v>1</v>
      </c>
      <c r="F927" s="252"/>
      <c r="G927" s="248"/>
      <c r="H927" s="242" t="str">
        <f>IFERROR(VLOOKUP(WTG_BD[[#This Row],[Affected WTG]],'Basic Data'!$A$3:$E$56,2,0),"")</f>
        <v/>
      </c>
      <c r="I927" s="242" t="str">
        <f>IFERROR(VLOOKUP(WTG_BD[[#This Row],[Affected WTG]],'Basic Data'!$A$3:$E$56,3,0),"")</f>
        <v/>
      </c>
      <c r="J927" s="243" t="str">
        <f>IFERROR(VLOOKUP(WTG_BD[[#This Row],[Affected WTG]],'Basic Data'!$A$3:$E$56,5,0),"")</f>
        <v/>
      </c>
      <c r="K927" s="158"/>
      <c r="L927" s="247" t="e">
        <f>VLOOKUP(K927,'Basic Data'!T:U,2,0)</f>
        <v>#N/A</v>
      </c>
      <c r="M927" s="135"/>
      <c r="N927" s="256"/>
      <c r="O927" s="256"/>
      <c r="P927" s="256"/>
      <c r="Q927" s="253" t="str">
        <f>IF(WTG_BD[[#This Row],[Work Start TimeStamp]]="","",(WTG_BD[[#This Row],[Work Start TimeStamp]]-WTG_BD[[#This Row],[Fault Start TimeStamp]])*24)</f>
        <v/>
      </c>
      <c r="R927" s="253">
        <f>(WTG_BD[[#This Row],[Fault Clearance time]]-WTG_BD[[#This Row],[Work Start TimeStamp]])*24</f>
        <v>0</v>
      </c>
      <c r="S927" s="253">
        <f>(WTG_BD[[#This Row],[Fault Clearance time]]-WTG_BD[[#This Row],[Fault Start TimeStamp]])*24</f>
        <v>0</v>
      </c>
      <c r="T927" s="135"/>
      <c r="U927" s="244"/>
      <c r="V927" s="246">
        <f>WTG_BD[[#This Row],[Breakdown Time]]*(1/39)</f>
        <v>0</v>
      </c>
      <c r="W927" s="244"/>
      <c r="X927" s="250"/>
      <c r="Y927" s="135"/>
      <c r="Z927" s="135"/>
      <c r="AA927" s="135"/>
      <c r="AB927" s="249">
        <f>(WTG_BD[[#This Row],[Paired WTG Generation for loss calculation.]]/24)*WTG_BD[[#This Row],[Breakdown Time]]</f>
        <v>0</v>
      </c>
      <c r="AC927" s="135"/>
      <c r="AD927" s="245"/>
      <c r="AE927" s="3"/>
    </row>
    <row r="928" spans="1:31">
      <c r="A928" s="241">
        <f t="shared" si="30"/>
        <v>927</v>
      </c>
      <c r="B928" s="255"/>
      <c r="C928" s="252"/>
      <c r="D928" s="252"/>
      <c r="E928" s="251">
        <f t="shared" si="29"/>
        <v>1</v>
      </c>
      <c r="F928" s="252"/>
      <c r="G928" s="248"/>
      <c r="H928" s="242" t="str">
        <f>IFERROR(VLOOKUP(WTG_BD[[#This Row],[Affected WTG]],'Basic Data'!$A$3:$E$56,2,0),"")</f>
        <v/>
      </c>
      <c r="I928" s="242" t="str">
        <f>IFERROR(VLOOKUP(WTG_BD[[#This Row],[Affected WTG]],'Basic Data'!$A$3:$E$56,3,0),"")</f>
        <v/>
      </c>
      <c r="J928" s="243" t="str">
        <f>IFERROR(VLOOKUP(WTG_BD[[#This Row],[Affected WTG]],'Basic Data'!$A$3:$E$56,5,0),"")</f>
        <v/>
      </c>
      <c r="K928" s="158"/>
      <c r="L928" s="247" t="e">
        <f>VLOOKUP(K928,'Basic Data'!T:U,2,0)</f>
        <v>#N/A</v>
      </c>
      <c r="M928" s="135"/>
      <c r="N928" s="256"/>
      <c r="O928" s="256"/>
      <c r="P928" s="256"/>
      <c r="Q928" s="253" t="str">
        <f>IF(WTG_BD[[#This Row],[Work Start TimeStamp]]="","",(WTG_BD[[#This Row],[Work Start TimeStamp]]-WTG_BD[[#This Row],[Fault Start TimeStamp]])*24)</f>
        <v/>
      </c>
      <c r="R928" s="253">
        <f>(WTG_BD[[#This Row],[Fault Clearance time]]-WTG_BD[[#This Row],[Work Start TimeStamp]])*24</f>
        <v>0</v>
      </c>
      <c r="S928" s="253">
        <f>(WTG_BD[[#This Row],[Fault Clearance time]]-WTG_BD[[#This Row],[Fault Start TimeStamp]])*24</f>
        <v>0</v>
      </c>
      <c r="T928" s="135"/>
      <c r="U928" s="244"/>
      <c r="V928" s="246">
        <f>WTG_BD[[#This Row],[Breakdown Time]]*(1/39)</f>
        <v>0</v>
      </c>
      <c r="W928" s="244"/>
      <c r="X928" s="250"/>
      <c r="Y928" s="135"/>
      <c r="Z928" s="135"/>
      <c r="AA928" s="135"/>
      <c r="AB928" s="249">
        <f>(WTG_BD[[#This Row],[Paired WTG Generation for loss calculation.]]/24)*WTG_BD[[#This Row],[Breakdown Time]]</f>
        <v>0</v>
      </c>
      <c r="AC928" s="135"/>
      <c r="AD928" s="245"/>
      <c r="AE928" s="3"/>
    </row>
    <row r="929" spans="1:31">
      <c r="A929" s="241">
        <f t="shared" si="30"/>
        <v>928</v>
      </c>
      <c r="B929" s="255"/>
      <c r="C929" s="252"/>
      <c r="D929" s="252"/>
      <c r="E929" s="251">
        <f t="shared" si="29"/>
        <v>1</v>
      </c>
      <c r="F929" s="252"/>
      <c r="G929" s="248"/>
      <c r="H929" s="242" t="str">
        <f>IFERROR(VLOOKUP(WTG_BD[[#This Row],[Affected WTG]],'Basic Data'!$A$3:$E$56,2,0),"")</f>
        <v/>
      </c>
      <c r="I929" s="242" t="str">
        <f>IFERROR(VLOOKUP(WTG_BD[[#This Row],[Affected WTG]],'Basic Data'!$A$3:$E$56,3,0),"")</f>
        <v/>
      </c>
      <c r="J929" s="243" t="str">
        <f>IFERROR(VLOOKUP(WTG_BD[[#This Row],[Affected WTG]],'Basic Data'!$A$3:$E$56,5,0),"")</f>
        <v/>
      </c>
      <c r="K929" s="158"/>
      <c r="L929" s="247" t="e">
        <f>VLOOKUP(K929,'Basic Data'!T:U,2,0)</f>
        <v>#N/A</v>
      </c>
      <c r="M929" s="135"/>
      <c r="N929" s="256"/>
      <c r="O929" s="256"/>
      <c r="P929" s="256"/>
      <c r="Q929" s="253" t="str">
        <f>IF(WTG_BD[[#This Row],[Work Start TimeStamp]]="","",(WTG_BD[[#This Row],[Work Start TimeStamp]]-WTG_BD[[#This Row],[Fault Start TimeStamp]])*24)</f>
        <v/>
      </c>
      <c r="R929" s="253">
        <f>(WTG_BD[[#This Row],[Fault Clearance time]]-WTG_BD[[#This Row],[Work Start TimeStamp]])*24</f>
        <v>0</v>
      </c>
      <c r="S929" s="253">
        <f>(WTG_BD[[#This Row],[Fault Clearance time]]-WTG_BD[[#This Row],[Fault Start TimeStamp]])*24</f>
        <v>0</v>
      </c>
      <c r="T929" s="135"/>
      <c r="U929" s="244"/>
      <c r="V929" s="246">
        <f>WTG_BD[[#This Row],[Breakdown Time]]*(1/39)</f>
        <v>0</v>
      </c>
      <c r="W929" s="244"/>
      <c r="X929" s="250"/>
      <c r="Y929" s="135"/>
      <c r="Z929" s="135"/>
      <c r="AA929" s="135"/>
      <c r="AB929" s="249">
        <f>(WTG_BD[[#This Row],[Paired WTG Generation for loss calculation.]]/24)*WTG_BD[[#This Row],[Breakdown Time]]</f>
        <v>0</v>
      </c>
      <c r="AC929" s="135"/>
      <c r="AD929" s="245"/>
      <c r="AE929" s="3"/>
    </row>
    <row r="930" spans="1:31">
      <c r="A930" s="241">
        <f t="shared" si="30"/>
        <v>929</v>
      </c>
      <c r="B930" s="255"/>
      <c r="C930" s="252"/>
      <c r="D930" s="252"/>
      <c r="E930" s="251">
        <f t="shared" si="29"/>
        <v>1</v>
      </c>
      <c r="F930" s="252"/>
      <c r="G930" s="248"/>
      <c r="H930" s="242" t="str">
        <f>IFERROR(VLOOKUP(WTG_BD[[#This Row],[Affected WTG]],'Basic Data'!$A$3:$E$56,2,0),"")</f>
        <v/>
      </c>
      <c r="I930" s="242" t="str">
        <f>IFERROR(VLOOKUP(WTG_BD[[#This Row],[Affected WTG]],'Basic Data'!$A$3:$E$56,3,0),"")</f>
        <v/>
      </c>
      <c r="J930" s="243" t="str">
        <f>IFERROR(VLOOKUP(WTG_BD[[#This Row],[Affected WTG]],'Basic Data'!$A$3:$E$56,5,0),"")</f>
        <v/>
      </c>
      <c r="K930" s="158"/>
      <c r="L930" s="247" t="e">
        <f>VLOOKUP(K930,'Basic Data'!T:U,2,0)</f>
        <v>#N/A</v>
      </c>
      <c r="M930" s="135"/>
      <c r="N930" s="256"/>
      <c r="O930" s="256"/>
      <c r="P930" s="256"/>
      <c r="Q930" s="253" t="str">
        <f>IF(WTG_BD[[#This Row],[Work Start TimeStamp]]="","",(WTG_BD[[#This Row],[Work Start TimeStamp]]-WTG_BD[[#This Row],[Fault Start TimeStamp]])*24)</f>
        <v/>
      </c>
      <c r="R930" s="253">
        <f>(WTG_BD[[#This Row],[Fault Clearance time]]-WTG_BD[[#This Row],[Work Start TimeStamp]])*24</f>
        <v>0</v>
      </c>
      <c r="S930" s="253">
        <f>(WTG_BD[[#This Row],[Fault Clearance time]]-WTG_BD[[#This Row],[Fault Start TimeStamp]])*24</f>
        <v>0</v>
      </c>
      <c r="T930" s="135"/>
      <c r="U930" s="244"/>
      <c r="V930" s="246">
        <f>WTG_BD[[#This Row],[Breakdown Time]]*(1/39)</f>
        <v>0</v>
      </c>
      <c r="W930" s="244"/>
      <c r="X930" s="250"/>
      <c r="Y930" s="135"/>
      <c r="Z930" s="135"/>
      <c r="AA930" s="135"/>
      <c r="AB930" s="249">
        <f>(WTG_BD[[#This Row],[Paired WTG Generation for loss calculation.]]/24)*WTG_BD[[#This Row],[Breakdown Time]]</f>
        <v>0</v>
      </c>
      <c r="AC930" s="135"/>
      <c r="AD930" s="245"/>
      <c r="AE930" s="3"/>
    </row>
    <row r="931" spans="1:31">
      <c r="A931" s="241">
        <f t="shared" si="30"/>
        <v>930</v>
      </c>
      <c r="B931" s="255"/>
      <c r="C931" s="252"/>
      <c r="D931" s="252"/>
      <c r="E931" s="251">
        <f t="shared" si="29"/>
        <v>1</v>
      </c>
      <c r="F931" s="252"/>
      <c r="G931" s="248"/>
      <c r="H931" s="242" t="str">
        <f>IFERROR(VLOOKUP(WTG_BD[[#This Row],[Affected WTG]],'Basic Data'!$A$3:$E$56,2,0),"")</f>
        <v/>
      </c>
      <c r="I931" s="242" t="str">
        <f>IFERROR(VLOOKUP(WTG_BD[[#This Row],[Affected WTG]],'Basic Data'!$A$3:$E$56,3,0),"")</f>
        <v/>
      </c>
      <c r="J931" s="243" t="str">
        <f>IFERROR(VLOOKUP(WTG_BD[[#This Row],[Affected WTG]],'Basic Data'!$A$3:$E$56,5,0),"")</f>
        <v/>
      </c>
      <c r="K931" s="158"/>
      <c r="L931" s="247" t="e">
        <f>VLOOKUP(K931,'Basic Data'!T:U,2,0)</f>
        <v>#N/A</v>
      </c>
      <c r="M931" s="135"/>
      <c r="N931" s="256"/>
      <c r="O931" s="256"/>
      <c r="P931" s="256"/>
      <c r="Q931" s="253" t="str">
        <f>IF(WTG_BD[[#This Row],[Work Start TimeStamp]]="","",(WTG_BD[[#This Row],[Work Start TimeStamp]]-WTG_BD[[#This Row],[Fault Start TimeStamp]])*24)</f>
        <v/>
      </c>
      <c r="R931" s="253">
        <f>(WTG_BD[[#This Row],[Fault Clearance time]]-WTG_BD[[#This Row],[Work Start TimeStamp]])*24</f>
        <v>0</v>
      </c>
      <c r="S931" s="253">
        <f>(WTG_BD[[#This Row],[Fault Clearance time]]-WTG_BD[[#This Row],[Fault Start TimeStamp]])*24</f>
        <v>0</v>
      </c>
      <c r="T931" s="135"/>
      <c r="U931" s="244"/>
      <c r="V931" s="246">
        <f>WTG_BD[[#This Row],[Breakdown Time]]*(1/39)</f>
        <v>0</v>
      </c>
      <c r="W931" s="244"/>
      <c r="X931" s="250"/>
      <c r="Y931" s="135"/>
      <c r="Z931" s="135"/>
      <c r="AA931" s="135"/>
      <c r="AB931" s="249">
        <f>(WTG_BD[[#This Row],[Paired WTG Generation for loss calculation.]]/24)*WTG_BD[[#This Row],[Breakdown Time]]</f>
        <v>0</v>
      </c>
      <c r="AC931" s="135"/>
      <c r="AD931" s="245"/>
      <c r="AE931" s="3"/>
    </row>
    <row r="932" spans="1:31">
      <c r="A932" s="241">
        <f t="shared" si="30"/>
        <v>931</v>
      </c>
      <c r="B932" s="255"/>
      <c r="C932" s="252"/>
      <c r="D932" s="252"/>
      <c r="E932" s="251">
        <f t="shared" si="29"/>
        <v>1</v>
      </c>
      <c r="F932" s="252"/>
      <c r="G932" s="248"/>
      <c r="H932" s="242" t="str">
        <f>IFERROR(VLOOKUP(WTG_BD[[#This Row],[Affected WTG]],'Basic Data'!$A$3:$E$56,2,0),"")</f>
        <v/>
      </c>
      <c r="I932" s="242" t="str">
        <f>IFERROR(VLOOKUP(WTG_BD[[#This Row],[Affected WTG]],'Basic Data'!$A$3:$E$56,3,0),"")</f>
        <v/>
      </c>
      <c r="J932" s="243" t="str">
        <f>IFERROR(VLOOKUP(WTG_BD[[#This Row],[Affected WTG]],'Basic Data'!$A$3:$E$56,5,0),"")</f>
        <v/>
      </c>
      <c r="K932" s="158"/>
      <c r="L932" s="247" t="e">
        <f>VLOOKUP(K932,'Basic Data'!T:U,2,0)</f>
        <v>#N/A</v>
      </c>
      <c r="M932" s="135"/>
      <c r="N932" s="256"/>
      <c r="O932" s="256"/>
      <c r="P932" s="256"/>
      <c r="Q932" s="253" t="str">
        <f>IF(WTG_BD[[#This Row],[Work Start TimeStamp]]="","",(WTG_BD[[#This Row],[Work Start TimeStamp]]-WTG_BD[[#This Row],[Fault Start TimeStamp]])*24)</f>
        <v/>
      </c>
      <c r="R932" s="253">
        <f>(WTG_BD[[#This Row],[Fault Clearance time]]-WTG_BD[[#This Row],[Work Start TimeStamp]])*24</f>
        <v>0</v>
      </c>
      <c r="S932" s="253">
        <f>(WTG_BD[[#This Row],[Fault Clearance time]]-WTG_BD[[#This Row],[Fault Start TimeStamp]])*24</f>
        <v>0</v>
      </c>
      <c r="T932" s="135"/>
      <c r="U932" s="244"/>
      <c r="V932" s="246">
        <f>WTG_BD[[#This Row],[Breakdown Time]]*(1/39)</f>
        <v>0</v>
      </c>
      <c r="W932" s="244"/>
      <c r="X932" s="250"/>
      <c r="Y932" s="135"/>
      <c r="Z932" s="135"/>
      <c r="AA932" s="135"/>
      <c r="AB932" s="249">
        <f>(WTG_BD[[#This Row],[Paired WTG Generation for loss calculation.]]/24)*WTG_BD[[#This Row],[Breakdown Time]]</f>
        <v>0</v>
      </c>
      <c r="AC932" s="135"/>
      <c r="AD932" s="245"/>
      <c r="AE932" s="3"/>
    </row>
    <row r="933" spans="1:31">
      <c r="A933" s="241">
        <f t="shared" si="30"/>
        <v>932</v>
      </c>
      <c r="B933" s="255"/>
      <c r="C933" s="252"/>
      <c r="D933" s="252"/>
      <c r="E933" s="251">
        <f t="shared" si="29"/>
        <v>1</v>
      </c>
      <c r="F933" s="252"/>
      <c r="G933" s="248"/>
      <c r="H933" s="242" t="str">
        <f>IFERROR(VLOOKUP(WTG_BD[[#This Row],[Affected WTG]],'Basic Data'!$A$3:$E$56,2,0),"")</f>
        <v/>
      </c>
      <c r="I933" s="242" t="str">
        <f>IFERROR(VLOOKUP(WTG_BD[[#This Row],[Affected WTG]],'Basic Data'!$A$3:$E$56,3,0),"")</f>
        <v/>
      </c>
      <c r="J933" s="243" t="str">
        <f>IFERROR(VLOOKUP(WTG_BD[[#This Row],[Affected WTG]],'Basic Data'!$A$3:$E$56,5,0),"")</f>
        <v/>
      </c>
      <c r="K933" s="158"/>
      <c r="L933" s="247" t="e">
        <f>VLOOKUP(K933,'Basic Data'!T:U,2,0)</f>
        <v>#N/A</v>
      </c>
      <c r="M933" s="135"/>
      <c r="N933" s="256"/>
      <c r="O933" s="256"/>
      <c r="P933" s="256"/>
      <c r="Q933" s="253" t="str">
        <f>IF(WTG_BD[[#This Row],[Work Start TimeStamp]]="","",(WTG_BD[[#This Row],[Work Start TimeStamp]]-WTG_BD[[#This Row],[Fault Start TimeStamp]])*24)</f>
        <v/>
      </c>
      <c r="R933" s="253">
        <f>(WTG_BD[[#This Row],[Fault Clearance time]]-WTG_BD[[#This Row],[Work Start TimeStamp]])*24</f>
        <v>0</v>
      </c>
      <c r="S933" s="253">
        <f>(WTG_BD[[#This Row],[Fault Clearance time]]-WTG_BD[[#This Row],[Fault Start TimeStamp]])*24</f>
        <v>0</v>
      </c>
      <c r="T933" s="135"/>
      <c r="U933" s="244"/>
      <c r="V933" s="246">
        <f>WTG_BD[[#This Row],[Breakdown Time]]*(1/39)</f>
        <v>0</v>
      </c>
      <c r="W933" s="244"/>
      <c r="X933" s="250"/>
      <c r="Y933" s="135"/>
      <c r="Z933" s="135"/>
      <c r="AA933" s="135"/>
      <c r="AB933" s="249">
        <f>(WTG_BD[[#This Row],[Paired WTG Generation for loss calculation.]]/24)*WTG_BD[[#This Row],[Breakdown Time]]</f>
        <v>0</v>
      </c>
      <c r="AC933" s="135"/>
      <c r="AD933" s="245"/>
      <c r="AE933" s="3"/>
    </row>
    <row r="934" spans="1:31">
      <c r="A934" s="241">
        <f t="shared" si="30"/>
        <v>933</v>
      </c>
      <c r="B934" s="255"/>
      <c r="C934" s="252"/>
      <c r="D934" s="252"/>
      <c r="E934" s="251">
        <f t="shared" si="29"/>
        <v>1</v>
      </c>
      <c r="F934" s="252"/>
      <c r="G934" s="248"/>
      <c r="H934" s="242" t="str">
        <f>IFERROR(VLOOKUP(WTG_BD[[#This Row],[Affected WTG]],'Basic Data'!$A$3:$E$56,2,0),"")</f>
        <v/>
      </c>
      <c r="I934" s="242" t="str">
        <f>IFERROR(VLOOKUP(WTG_BD[[#This Row],[Affected WTG]],'Basic Data'!$A$3:$E$56,3,0),"")</f>
        <v/>
      </c>
      <c r="J934" s="243" t="str">
        <f>IFERROR(VLOOKUP(WTG_BD[[#This Row],[Affected WTG]],'Basic Data'!$A$3:$E$56,5,0),"")</f>
        <v/>
      </c>
      <c r="K934" s="158"/>
      <c r="L934" s="247" t="e">
        <f>VLOOKUP(K934,'Basic Data'!T:U,2,0)</f>
        <v>#N/A</v>
      </c>
      <c r="M934" s="135"/>
      <c r="N934" s="256"/>
      <c r="O934" s="256"/>
      <c r="P934" s="256"/>
      <c r="Q934" s="253" t="str">
        <f>IF(WTG_BD[[#This Row],[Work Start TimeStamp]]="","",(WTG_BD[[#This Row],[Work Start TimeStamp]]-WTG_BD[[#This Row],[Fault Start TimeStamp]])*24)</f>
        <v/>
      </c>
      <c r="R934" s="253">
        <f>(WTG_BD[[#This Row],[Fault Clearance time]]-WTG_BD[[#This Row],[Work Start TimeStamp]])*24</f>
        <v>0</v>
      </c>
      <c r="S934" s="253">
        <f>(WTG_BD[[#This Row],[Fault Clearance time]]-WTG_BD[[#This Row],[Fault Start TimeStamp]])*24</f>
        <v>0</v>
      </c>
      <c r="T934" s="135"/>
      <c r="U934" s="244"/>
      <c r="V934" s="246">
        <f>WTG_BD[[#This Row],[Breakdown Time]]*(1/39)</f>
        <v>0</v>
      </c>
      <c r="W934" s="244"/>
      <c r="X934" s="250"/>
      <c r="Y934" s="135"/>
      <c r="Z934" s="135"/>
      <c r="AA934" s="135"/>
      <c r="AB934" s="249">
        <f>(WTG_BD[[#This Row],[Paired WTG Generation for loss calculation.]]/24)*WTG_BD[[#This Row],[Breakdown Time]]</f>
        <v>0</v>
      </c>
      <c r="AC934" s="135"/>
      <c r="AD934" s="245"/>
      <c r="AE934" s="3"/>
    </row>
    <row r="935" spans="1:31">
      <c r="A935" s="241">
        <f t="shared" si="30"/>
        <v>934</v>
      </c>
      <c r="B935" s="255"/>
      <c r="C935" s="252"/>
      <c r="D935" s="252"/>
      <c r="E935" s="251">
        <f t="shared" si="29"/>
        <v>1</v>
      </c>
      <c r="F935" s="252"/>
      <c r="G935" s="248"/>
      <c r="H935" s="242" t="str">
        <f>IFERROR(VLOOKUP(WTG_BD[[#This Row],[Affected WTG]],'Basic Data'!$A$3:$E$56,2,0),"")</f>
        <v/>
      </c>
      <c r="I935" s="242" t="str">
        <f>IFERROR(VLOOKUP(WTG_BD[[#This Row],[Affected WTG]],'Basic Data'!$A$3:$E$56,3,0),"")</f>
        <v/>
      </c>
      <c r="J935" s="243" t="str">
        <f>IFERROR(VLOOKUP(WTG_BD[[#This Row],[Affected WTG]],'Basic Data'!$A$3:$E$56,5,0),"")</f>
        <v/>
      </c>
      <c r="K935" s="158"/>
      <c r="L935" s="247" t="e">
        <f>VLOOKUP(K935,'Basic Data'!T:U,2,0)</f>
        <v>#N/A</v>
      </c>
      <c r="M935" s="135"/>
      <c r="N935" s="256"/>
      <c r="O935" s="256"/>
      <c r="P935" s="256"/>
      <c r="Q935" s="253" t="str">
        <f>IF(WTG_BD[[#This Row],[Work Start TimeStamp]]="","",(WTG_BD[[#This Row],[Work Start TimeStamp]]-WTG_BD[[#This Row],[Fault Start TimeStamp]])*24)</f>
        <v/>
      </c>
      <c r="R935" s="253">
        <f>(WTG_BD[[#This Row],[Fault Clearance time]]-WTG_BD[[#This Row],[Work Start TimeStamp]])*24</f>
        <v>0</v>
      </c>
      <c r="S935" s="253">
        <f>(WTG_BD[[#This Row],[Fault Clearance time]]-WTG_BD[[#This Row],[Fault Start TimeStamp]])*24</f>
        <v>0</v>
      </c>
      <c r="T935" s="135"/>
      <c r="U935" s="244"/>
      <c r="V935" s="246">
        <f>WTG_BD[[#This Row],[Breakdown Time]]*(1/39)</f>
        <v>0</v>
      </c>
      <c r="W935" s="244"/>
      <c r="X935" s="250"/>
      <c r="Y935" s="135"/>
      <c r="Z935" s="135"/>
      <c r="AA935" s="135"/>
      <c r="AB935" s="249">
        <f>(WTG_BD[[#This Row],[Paired WTG Generation for loss calculation.]]/24)*WTG_BD[[#This Row],[Breakdown Time]]</f>
        <v>0</v>
      </c>
      <c r="AC935" s="135"/>
      <c r="AD935" s="245"/>
      <c r="AE935" s="3"/>
    </row>
    <row r="936" spans="1:31">
      <c r="A936" s="241">
        <f t="shared" si="30"/>
        <v>935</v>
      </c>
      <c r="B936" s="255"/>
      <c r="C936" s="252"/>
      <c r="D936" s="252"/>
      <c r="E936" s="251">
        <f t="shared" si="29"/>
        <v>1</v>
      </c>
      <c r="F936" s="252"/>
      <c r="G936" s="248"/>
      <c r="H936" s="242" t="str">
        <f>IFERROR(VLOOKUP(WTG_BD[[#This Row],[Affected WTG]],'Basic Data'!$A$3:$E$56,2,0),"")</f>
        <v/>
      </c>
      <c r="I936" s="242" t="str">
        <f>IFERROR(VLOOKUP(WTG_BD[[#This Row],[Affected WTG]],'Basic Data'!$A$3:$E$56,3,0),"")</f>
        <v/>
      </c>
      <c r="J936" s="243" t="str">
        <f>IFERROR(VLOOKUP(WTG_BD[[#This Row],[Affected WTG]],'Basic Data'!$A$3:$E$56,5,0),"")</f>
        <v/>
      </c>
      <c r="K936" s="158"/>
      <c r="L936" s="247" t="e">
        <f>VLOOKUP(K936,'Basic Data'!T:U,2,0)</f>
        <v>#N/A</v>
      </c>
      <c r="M936" s="135"/>
      <c r="N936" s="256"/>
      <c r="O936" s="256"/>
      <c r="P936" s="256"/>
      <c r="Q936" s="253" t="str">
        <f>IF(WTG_BD[[#This Row],[Work Start TimeStamp]]="","",(WTG_BD[[#This Row],[Work Start TimeStamp]]-WTG_BD[[#This Row],[Fault Start TimeStamp]])*24)</f>
        <v/>
      </c>
      <c r="R936" s="253">
        <f>(WTG_BD[[#This Row],[Fault Clearance time]]-WTG_BD[[#This Row],[Work Start TimeStamp]])*24</f>
        <v>0</v>
      </c>
      <c r="S936" s="253">
        <f>(WTG_BD[[#This Row],[Fault Clearance time]]-WTG_BD[[#This Row],[Fault Start TimeStamp]])*24</f>
        <v>0</v>
      </c>
      <c r="T936" s="135"/>
      <c r="U936" s="244"/>
      <c r="V936" s="246">
        <f>WTG_BD[[#This Row],[Breakdown Time]]*(1/39)</f>
        <v>0</v>
      </c>
      <c r="W936" s="244"/>
      <c r="X936" s="250"/>
      <c r="Y936" s="135"/>
      <c r="Z936" s="135"/>
      <c r="AA936" s="135"/>
      <c r="AB936" s="249">
        <f>(WTG_BD[[#This Row],[Paired WTG Generation for loss calculation.]]/24)*WTG_BD[[#This Row],[Breakdown Time]]</f>
        <v>0</v>
      </c>
      <c r="AC936" s="135"/>
      <c r="AD936" s="245"/>
      <c r="AE936" s="3"/>
    </row>
    <row r="937" spans="1:31">
      <c r="A937" s="241">
        <f t="shared" si="30"/>
        <v>936</v>
      </c>
      <c r="B937" s="255"/>
      <c r="C937" s="252"/>
      <c r="D937" s="252"/>
      <c r="E937" s="251">
        <f t="shared" si="29"/>
        <v>1</v>
      </c>
      <c r="F937" s="252"/>
      <c r="G937" s="248"/>
      <c r="H937" s="242" t="str">
        <f>IFERROR(VLOOKUP(WTG_BD[[#This Row],[Affected WTG]],'Basic Data'!$A$3:$E$56,2,0),"")</f>
        <v/>
      </c>
      <c r="I937" s="242" t="str">
        <f>IFERROR(VLOOKUP(WTG_BD[[#This Row],[Affected WTG]],'Basic Data'!$A$3:$E$56,3,0),"")</f>
        <v/>
      </c>
      <c r="J937" s="243" t="str">
        <f>IFERROR(VLOOKUP(WTG_BD[[#This Row],[Affected WTG]],'Basic Data'!$A$3:$E$56,5,0),"")</f>
        <v/>
      </c>
      <c r="K937" s="158"/>
      <c r="L937" s="247" t="e">
        <f>VLOOKUP(K937,'Basic Data'!T:U,2,0)</f>
        <v>#N/A</v>
      </c>
      <c r="M937" s="135"/>
      <c r="N937" s="256"/>
      <c r="O937" s="256"/>
      <c r="P937" s="256"/>
      <c r="Q937" s="253" t="str">
        <f>IF(WTG_BD[[#This Row],[Work Start TimeStamp]]="","",(WTG_BD[[#This Row],[Work Start TimeStamp]]-WTG_BD[[#This Row],[Fault Start TimeStamp]])*24)</f>
        <v/>
      </c>
      <c r="R937" s="253">
        <f>(WTG_BD[[#This Row],[Fault Clearance time]]-WTG_BD[[#This Row],[Work Start TimeStamp]])*24</f>
        <v>0</v>
      </c>
      <c r="S937" s="253">
        <f>(WTG_BD[[#This Row],[Fault Clearance time]]-WTG_BD[[#This Row],[Fault Start TimeStamp]])*24</f>
        <v>0</v>
      </c>
      <c r="T937" s="135"/>
      <c r="U937" s="244"/>
      <c r="V937" s="246">
        <f>WTG_BD[[#This Row],[Breakdown Time]]*(1/39)</f>
        <v>0</v>
      </c>
      <c r="W937" s="244"/>
      <c r="X937" s="250"/>
      <c r="Y937" s="135"/>
      <c r="Z937" s="135"/>
      <c r="AA937" s="135"/>
      <c r="AB937" s="249">
        <f>(WTG_BD[[#This Row],[Paired WTG Generation for loss calculation.]]/24)*WTG_BD[[#This Row],[Breakdown Time]]</f>
        <v>0</v>
      </c>
      <c r="AC937" s="135"/>
      <c r="AD937" s="245"/>
      <c r="AE937" s="3"/>
    </row>
    <row r="938" spans="1:31">
      <c r="A938" s="241">
        <f t="shared" si="30"/>
        <v>937</v>
      </c>
      <c r="B938" s="255"/>
      <c r="C938" s="252"/>
      <c r="D938" s="252"/>
      <c r="E938" s="251">
        <f t="shared" si="29"/>
        <v>1</v>
      </c>
      <c r="F938" s="252"/>
      <c r="G938" s="248"/>
      <c r="H938" s="242" t="str">
        <f>IFERROR(VLOOKUP(WTG_BD[[#This Row],[Affected WTG]],'Basic Data'!$A$3:$E$56,2,0),"")</f>
        <v/>
      </c>
      <c r="I938" s="242" t="str">
        <f>IFERROR(VLOOKUP(WTG_BD[[#This Row],[Affected WTG]],'Basic Data'!$A$3:$E$56,3,0),"")</f>
        <v/>
      </c>
      <c r="J938" s="243" t="str">
        <f>IFERROR(VLOOKUP(WTG_BD[[#This Row],[Affected WTG]],'Basic Data'!$A$3:$E$56,5,0),"")</f>
        <v/>
      </c>
      <c r="K938" s="158"/>
      <c r="L938" s="247" t="e">
        <f>VLOOKUP(K938,'Basic Data'!T:U,2,0)</f>
        <v>#N/A</v>
      </c>
      <c r="M938" s="135"/>
      <c r="N938" s="256"/>
      <c r="O938" s="256"/>
      <c r="P938" s="256"/>
      <c r="Q938" s="253" t="str">
        <f>IF(WTG_BD[[#This Row],[Work Start TimeStamp]]="","",(WTG_BD[[#This Row],[Work Start TimeStamp]]-WTG_BD[[#This Row],[Fault Start TimeStamp]])*24)</f>
        <v/>
      </c>
      <c r="R938" s="253">
        <f>(WTG_BD[[#This Row],[Fault Clearance time]]-WTG_BD[[#This Row],[Work Start TimeStamp]])*24</f>
        <v>0</v>
      </c>
      <c r="S938" s="253">
        <f>(WTG_BD[[#This Row],[Fault Clearance time]]-WTG_BD[[#This Row],[Fault Start TimeStamp]])*24</f>
        <v>0</v>
      </c>
      <c r="T938" s="135"/>
      <c r="U938" s="244"/>
      <c r="V938" s="246">
        <f>WTG_BD[[#This Row],[Breakdown Time]]*(1/39)</f>
        <v>0</v>
      </c>
      <c r="W938" s="244"/>
      <c r="X938" s="250"/>
      <c r="Y938" s="135"/>
      <c r="Z938" s="135"/>
      <c r="AA938" s="135"/>
      <c r="AB938" s="249">
        <f>(WTG_BD[[#This Row],[Paired WTG Generation for loss calculation.]]/24)*WTG_BD[[#This Row],[Breakdown Time]]</f>
        <v>0</v>
      </c>
      <c r="AC938" s="135"/>
      <c r="AD938" s="245"/>
      <c r="AE938" s="3"/>
    </row>
    <row r="939" spans="1:31">
      <c r="A939" s="241">
        <f t="shared" si="30"/>
        <v>938</v>
      </c>
      <c r="B939" s="255"/>
      <c r="C939" s="252"/>
      <c r="D939" s="252"/>
      <c r="E939" s="251">
        <f t="shared" si="29"/>
        <v>1</v>
      </c>
      <c r="F939" s="252"/>
      <c r="G939" s="248"/>
      <c r="H939" s="242" t="str">
        <f>IFERROR(VLOOKUP(WTG_BD[[#This Row],[Affected WTG]],'Basic Data'!$A$3:$E$56,2,0),"")</f>
        <v/>
      </c>
      <c r="I939" s="242" t="str">
        <f>IFERROR(VLOOKUP(WTG_BD[[#This Row],[Affected WTG]],'Basic Data'!$A$3:$E$56,3,0),"")</f>
        <v/>
      </c>
      <c r="J939" s="243" t="str">
        <f>IFERROR(VLOOKUP(WTG_BD[[#This Row],[Affected WTG]],'Basic Data'!$A$3:$E$56,5,0),"")</f>
        <v/>
      </c>
      <c r="K939" s="158"/>
      <c r="L939" s="247" t="e">
        <f>VLOOKUP(K939,'Basic Data'!T:U,2,0)</f>
        <v>#N/A</v>
      </c>
      <c r="M939" s="135"/>
      <c r="N939" s="256"/>
      <c r="O939" s="256"/>
      <c r="P939" s="256"/>
      <c r="Q939" s="253" t="str">
        <f>IF(WTG_BD[[#This Row],[Work Start TimeStamp]]="","",(WTG_BD[[#This Row],[Work Start TimeStamp]]-WTG_BD[[#This Row],[Fault Start TimeStamp]])*24)</f>
        <v/>
      </c>
      <c r="R939" s="253">
        <f>(WTG_BD[[#This Row],[Fault Clearance time]]-WTG_BD[[#This Row],[Work Start TimeStamp]])*24</f>
        <v>0</v>
      </c>
      <c r="S939" s="253">
        <f>(WTG_BD[[#This Row],[Fault Clearance time]]-WTG_BD[[#This Row],[Fault Start TimeStamp]])*24</f>
        <v>0</v>
      </c>
      <c r="T939" s="135"/>
      <c r="U939" s="244"/>
      <c r="V939" s="246">
        <f>WTG_BD[[#This Row],[Breakdown Time]]*(1/39)</f>
        <v>0</v>
      </c>
      <c r="W939" s="244"/>
      <c r="X939" s="250"/>
      <c r="Y939" s="135"/>
      <c r="Z939" s="135"/>
      <c r="AA939" s="135"/>
      <c r="AB939" s="249">
        <f>(WTG_BD[[#This Row],[Paired WTG Generation for loss calculation.]]/24)*WTG_BD[[#This Row],[Breakdown Time]]</f>
        <v>0</v>
      </c>
      <c r="AC939" s="135"/>
      <c r="AD939" s="245"/>
      <c r="AE939" s="3"/>
    </row>
    <row r="940" spans="1:31">
      <c r="A940" s="241">
        <f t="shared" si="30"/>
        <v>939</v>
      </c>
      <c r="B940" s="255"/>
      <c r="C940" s="252"/>
      <c r="D940" s="252"/>
      <c r="E940" s="251">
        <f t="shared" si="29"/>
        <v>1</v>
      </c>
      <c r="F940" s="252"/>
      <c r="G940" s="248"/>
      <c r="H940" s="242" t="str">
        <f>IFERROR(VLOOKUP(WTG_BD[[#This Row],[Affected WTG]],'Basic Data'!$A$3:$E$56,2,0),"")</f>
        <v/>
      </c>
      <c r="I940" s="242" t="str">
        <f>IFERROR(VLOOKUP(WTG_BD[[#This Row],[Affected WTG]],'Basic Data'!$A$3:$E$56,3,0),"")</f>
        <v/>
      </c>
      <c r="J940" s="243" t="str">
        <f>IFERROR(VLOOKUP(WTG_BD[[#This Row],[Affected WTG]],'Basic Data'!$A$3:$E$56,5,0),"")</f>
        <v/>
      </c>
      <c r="K940" s="158"/>
      <c r="L940" s="247" t="e">
        <f>VLOOKUP(K940,'Basic Data'!T:U,2,0)</f>
        <v>#N/A</v>
      </c>
      <c r="M940" s="135"/>
      <c r="N940" s="256"/>
      <c r="O940" s="256"/>
      <c r="P940" s="256"/>
      <c r="Q940" s="253" t="str">
        <f>IF(WTG_BD[[#This Row],[Work Start TimeStamp]]="","",(WTG_BD[[#This Row],[Work Start TimeStamp]]-WTG_BD[[#This Row],[Fault Start TimeStamp]])*24)</f>
        <v/>
      </c>
      <c r="R940" s="253">
        <f>(WTG_BD[[#This Row],[Fault Clearance time]]-WTG_BD[[#This Row],[Work Start TimeStamp]])*24</f>
        <v>0</v>
      </c>
      <c r="S940" s="253">
        <f>(WTG_BD[[#This Row],[Fault Clearance time]]-WTG_BD[[#This Row],[Fault Start TimeStamp]])*24</f>
        <v>0</v>
      </c>
      <c r="T940" s="135"/>
      <c r="U940" s="244"/>
      <c r="V940" s="246">
        <f>WTG_BD[[#This Row],[Breakdown Time]]*(1/39)</f>
        <v>0</v>
      </c>
      <c r="W940" s="244"/>
      <c r="X940" s="250"/>
      <c r="Y940" s="135"/>
      <c r="Z940" s="135"/>
      <c r="AA940" s="135"/>
      <c r="AB940" s="249">
        <f>(WTG_BD[[#This Row],[Paired WTG Generation for loss calculation.]]/24)*WTG_BD[[#This Row],[Breakdown Time]]</f>
        <v>0</v>
      </c>
      <c r="AC940" s="135"/>
      <c r="AD940" s="245"/>
      <c r="AE940" s="3"/>
    </row>
    <row r="941" spans="1:31">
      <c r="A941" s="241">
        <f t="shared" si="30"/>
        <v>940</v>
      </c>
      <c r="B941" s="255"/>
      <c r="C941" s="252"/>
      <c r="D941" s="252"/>
      <c r="E941" s="251">
        <f t="shared" si="29"/>
        <v>1</v>
      </c>
      <c r="F941" s="252"/>
      <c r="G941" s="248"/>
      <c r="H941" s="242" t="str">
        <f>IFERROR(VLOOKUP(WTG_BD[[#This Row],[Affected WTG]],'Basic Data'!$A$3:$E$56,2,0),"")</f>
        <v/>
      </c>
      <c r="I941" s="242" t="str">
        <f>IFERROR(VLOOKUP(WTG_BD[[#This Row],[Affected WTG]],'Basic Data'!$A$3:$E$56,3,0),"")</f>
        <v/>
      </c>
      <c r="J941" s="243" t="str">
        <f>IFERROR(VLOOKUP(WTG_BD[[#This Row],[Affected WTG]],'Basic Data'!$A$3:$E$56,5,0),"")</f>
        <v/>
      </c>
      <c r="K941" s="158"/>
      <c r="L941" s="247" t="e">
        <f>VLOOKUP(K941,'Basic Data'!T:U,2,0)</f>
        <v>#N/A</v>
      </c>
      <c r="M941" s="135"/>
      <c r="N941" s="256"/>
      <c r="O941" s="256"/>
      <c r="P941" s="256"/>
      <c r="Q941" s="253" t="str">
        <f>IF(WTG_BD[[#This Row],[Work Start TimeStamp]]="","",(WTG_BD[[#This Row],[Work Start TimeStamp]]-WTG_BD[[#This Row],[Fault Start TimeStamp]])*24)</f>
        <v/>
      </c>
      <c r="R941" s="253">
        <f>(WTG_BD[[#This Row],[Fault Clearance time]]-WTG_BD[[#This Row],[Work Start TimeStamp]])*24</f>
        <v>0</v>
      </c>
      <c r="S941" s="253">
        <f>(WTG_BD[[#This Row],[Fault Clearance time]]-WTG_BD[[#This Row],[Fault Start TimeStamp]])*24</f>
        <v>0</v>
      </c>
      <c r="T941" s="135"/>
      <c r="U941" s="244"/>
      <c r="V941" s="246">
        <f>WTG_BD[[#This Row],[Breakdown Time]]*(1/39)</f>
        <v>0</v>
      </c>
      <c r="W941" s="244"/>
      <c r="X941" s="250"/>
      <c r="Y941" s="135"/>
      <c r="Z941" s="135"/>
      <c r="AA941" s="135"/>
      <c r="AB941" s="249">
        <f>(WTG_BD[[#This Row],[Paired WTG Generation for loss calculation.]]/24)*WTG_BD[[#This Row],[Breakdown Time]]</f>
        <v>0</v>
      </c>
      <c r="AC941" s="135"/>
      <c r="AD941" s="245"/>
      <c r="AE941" s="3"/>
    </row>
    <row r="942" spans="1:31">
      <c r="A942" s="241">
        <f t="shared" si="30"/>
        <v>941</v>
      </c>
      <c r="B942" s="255"/>
      <c r="C942" s="252"/>
      <c r="D942" s="252"/>
      <c r="E942" s="251">
        <f t="shared" si="29"/>
        <v>1</v>
      </c>
      <c r="F942" s="252"/>
      <c r="G942" s="248"/>
      <c r="H942" s="242" t="str">
        <f>IFERROR(VLOOKUP(WTG_BD[[#This Row],[Affected WTG]],'Basic Data'!$A$3:$E$56,2,0),"")</f>
        <v/>
      </c>
      <c r="I942" s="242" t="str">
        <f>IFERROR(VLOOKUP(WTG_BD[[#This Row],[Affected WTG]],'Basic Data'!$A$3:$E$56,3,0),"")</f>
        <v/>
      </c>
      <c r="J942" s="243" t="str">
        <f>IFERROR(VLOOKUP(WTG_BD[[#This Row],[Affected WTG]],'Basic Data'!$A$3:$E$56,5,0),"")</f>
        <v/>
      </c>
      <c r="K942" s="158"/>
      <c r="L942" s="247" t="e">
        <f>VLOOKUP(K942,'Basic Data'!T:U,2,0)</f>
        <v>#N/A</v>
      </c>
      <c r="M942" s="135"/>
      <c r="N942" s="256"/>
      <c r="O942" s="256"/>
      <c r="P942" s="256"/>
      <c r="Q942" s="253" t="str">
        <f>IF(WTG_BD[[#This Row],[Work Start TimeStamp]]="","",(WTG_BD[[#This Row],[Work Start TimeStamp]]-WTG_BD[[#This Row],[Fault Start TimeStamp]])*24)</f>
        <v/>
      </c>
      <c r="R942" s="253">
        <f>(WTG_BD[[#This Row],[Fault Clearance time]]-WTG_BD[[#This Row],[Work Start TimeStamp]])*24</f>
        <v>0</v>
      </c>
      <c r="S942" s="253">
        <f>(WTG_BD[[#This Row],[Fault Clearance time]]-WTG_BD[[#This Row],[Fault Start TimeStamp]])*24</f>
        <v>0</v>
      </c>
      <c r="T942" s="135"/>
      <c r="U942" s="244"/>
      <c r="V942" s="246">
        <f>WTG_BD[[#This Row],[Breakdown Time]]*(1/39)</f>
        <v>0</v>
      </c>
      <c r="W942" s="244"/>
      <c r="X942" s="250"/>
      <c r="Y942" s="135"/>
      <c r="Z942" s="135"/>
      <c r="AA942" s="135"/>
      <c r="AB942" s="249">
        <f>(WTG_BD[[#This Row],[Paired WTG Generation for loss calculation.]]/24)*WTG_BD[[#This Row],[Breakdown Time]]</f>
        <v>0</v>
      </c>
      <c r="AC942" s="135"/>
      <c r="AD942" s="245"/>
      <c r="AE942" s="3"/>
    </row>
    <row r="943" spans="1:31">
      <c r="A943" s="241">
        <f t="shared" si="30"/>
        <v>942</v>
      </c>
      <c r="B943" s="255"/>
      <c r="C943" s="252"/>
      <c r="D943" s="252"/>
      <c r="E943" s="251">
        <f t="shared" si="29"/>
        <v>1</v>
      </c>
      <c r="F943" s="252"/>
      <c r="G943" s="248"/>
      <c r="H943" s="242" t="str">
        <f>IFERROR(VLOOKUP(WTG_BD[[#This Row],[Affected WTG]],'Basic Data'!$A$3:$E$56,2,0),"")</f>
        <v/>
      </c>
      <c r="I943" s="242" t="str">
        <f>IFERROR(VLOOKUP(WTG_BD[[#This Row],[Affected WTG]],'Basic Data'!$A$3:$E$56,3,0),"")</f>
        <v/>
      </c>
      <c r="J943" s="243" t="str">
        <f>IFERROR(VLOOKUP(WTG_BD[[#This Row],[Affected WTG]],'Basic Data'!$A$3:$E$56,5,0),"")</f>
        <v/>
      </c>
      <c r="K943" s="158"/>
      <c r="L943" s="247" t="e">
        <f>VLOOKUP(K943,'Basic Data'!T:U,2,0)</f>
        <v>#N/A</v>
      </c>
      <c r="M943" s="135"/>
      <c r="N943" s="256"/>
      <c r="O943" s="256"/>
      <c r="P943" s="256"/>
      <c r="Q943" s="253" t="str">
        <f>IF(WTG_BD[[#This Row],[Work Start TimeStamp]]="","",(WTG_BD[[#This Row],[Work Start TimeStamp]]-WTG_BD[[#This Row],[Fault Start TimeStamp]])*24)</f>
        <v/>
      </c>
      <c r="R943" s="253">
        <f>(WTG_BD[[#This Row],[Fault Clearance time]]-WTG_BD[[#This Row],[Work Start TimeStamp]])*24</f>
        <v>0</v>
      </c>
      <c r="S943" s="253">
        <f>(WTG_BD[[#This Row],[Fault Clearance time]]-WTG_BD[[#This Row],[Fault Start TimeStamp]])*24</f>
        <v>0</v>
      </c>
      <c r="T943" s="135"/>
      <c r="U943" s="244"/>
      <c r="V943" s="246">
        <f>WTG_BD[[#This Row],[Breakdown Time]]*(1/39)</f>
        <v>0</v>
      </c>
      <c r="W943" s="244"/>
      <c r="X943" s="250"/>
      <c r="Y943" s="135"/>
      <c r="Z943" s="135"/>
      <c r="AA943" s="135"/>
      <c r="AB943" s="249">
        <f>(WTG_BD[[#This Row],[Paired WTG Generation for loss calculation.]]/24)*WTG_BD[[#This Row],[Breakdown Time]]</f>
        <v>0</v>
      </c>
      <c r="AC943" s="135"/>
      <c r="AD943" s="245"/>
      <c r="AE943" s="3"/>
    </row>
    <row r="944" spans="1:31">
      <c r="A944" s="241">
        <f t="shared" si="30"/>
        <v>943</v>
      </c>
      <c r="B944" s="255"/>
      <c r="C944" s="252"/>
      <c r="D944" s="252"/>
      <c r="E944" s="251">
        <f t="shared" si="29"/>
        <v>1</v>
      </c>
      <c r="F944" s="252"/>
      <c r="G944" s="248"/>
      <c r="H944" s="242" t="str">
        <f>IFERROR(VLOOKUP(WTG_BD[[#This Row],[Affected WTG]],'Basic Data'!$A$3:$E$56,2,0),"")</f>
        <v/>
      </c>
      <c r="I944" s="242" t="str">
        <f>IFERROR(VLOOKUP(WTG_BD[[#This Row],[Affected WTG]],'Basic Data'!$A$3:$E$56,3,0),"")</f>
        <v/>
      </c>
      <c r="J944" s="243" t="str">
        <f>IFERROR(VLOOKUP(WTG_BD[[#This Row],[Affected WTG]],'Basic Data'!$A$3:$E$56,5,0),"")</f>
        <v/>
      </c>
      <c r="K944" s="158"/>
      <c r="L944" s="247" t="e">
        <f>VLOOKUP(K944,'Basic Data'!T:U,2,0)</f>
        <v>#N/A</v>
      </c>
      <c r="M944" s="135"/>
      <c r="N944" s="256"/>
      <c r="O944" s="256"/>
      <c r="P944" s="256"/>
      <c r="Q944" s="253" t="str">
        <f>IF(WTG_BD[[#This Row],[Work Start TimeStamp]]="","",(WTG_BD[[#This Row],[Work Start TimeStamp]]-WTG_BD[[#This Row],[Fault Start TimeStamp]])*24)</f>
        <v/>
      </c>
      <c r="R944" s="253">
        <f>(WTG_BD[[#This Row],[Fault Clearance time]]-WTG_BD[[#This Row],[Work Start TimeStamp]])*24</f>
        <v>0</v>
      </c>
      <c r="S944" s="253">
        <f>(WTG_BD[[#This Row],[Fault Clearance time]]-WTG_BD[[#This Row],[Fault Start TimeStamp]])*24</f>
        <v>0</v>
      </c>
      <c r="T944" s="135"/>
      <c r="U944" s="244"/>
      <c r="V944" s="246">
        <f>WTG_BD[[#This Row],[Breakdown Time]]*(1/39)</f>
        <v>0</v>
      </c>
      <c r="W944" s="244"/>
      <c r="X944" s="250"/>
      <c r="Y944" s="135"/>
      <c r="Z944" s="135"/>
      <c r="AA944" s="135"/>
      <c r="AB944" s="249">
        <f>(WTG_BD[[#This Row],[Paired WTG Generation for loss calculation.]]/24)*WTG_BD[[#This Row],[Breakdown Time]]</f>
        <v>0</v>
      </c>
      <c r="AC944" s="135"/>
      <c r="AD944" s="245"/>
      <c r="AE944" s="3"/>
    </row>
    <row r="945" spans="1:31">
      <c r="A945" s="241">
        <f t="shared" si="30"/>
        <v>944</v>
      </c>
      <c r="B945" s="255"/>
      <c r="C945" s="252"/>
      <c r="D945" s="252"/>
      <c r="E945" s="251">
        <f t="shared" si="29"/>
        <v>1</v>
      </c>
      <c r="F945" s="252"/>
      <c r="G945" s="248"/>
      <c r="H945" s="242" t="str">
        <f>IFERROR(VLOOKUP(WTG_BD[[#This Row],[Affected WTG]],'Basic Data'!$A$3:$E$56,2,0),"")</f>
        <v/>
      </c>
      <c r="I945" s="242" t="str">
        <f>IFERROR(VLOOKUP(WTG_BD[[#This Row],[Affected WTG]],'Basic Data'!$A$3:$E$56,3,0),"")</f>
        <v/>
      </c>
      <c r="J945" s="243" t="str">
        <f>IFERROR(VLOOKUP(WTG_BD[[#This Row],[Affected WTG]],'Basic Data'!$A$3:$E$56,5,0),"")</f>
        <v/>
      </c>
      <c r="K945" s="158"/>
      <c r="L945" s="247" t="e">
        <f>VLOOKUP(K945,'Basic Data'!T:U,2,0)</f>
        <v>#N/A</v>
      </c>
      <c r="M945" s="135"/>
      <c r="N945" s="256"/>
      <c r="O945" s="256"/>
      <c r="P945" s="256"/>
      <c r="Q945" s="253" t="str">
        <f>IF(WTG_BD[[#This Row],[Work Start TimeStamp]]="","",(WTG_BD[[#This Row],[Work Start TimeStamp]]-WTG_BD[[#This Row],[Fault Start TimeStamp]])*24)</f>
        <v/>
      </c>
      <c r="R945" s="253">
        <f>(WTG_BD[[#This Row],[Fault Clearance time]]-WTG_BD[[#This Row],[Work Start TimeStamp]])*24</f>
        <v>0</v>
      </c>
      <c r="S945" s="253">
        <f>(WTG_BD[[#This Row],[Fault Clearance time]]-WTG_BD[[#This Row],[Fault Start TimeStamp]])*24</f>
        <v>0</v>
      </c>
      <c r="T945" s="135"/>
      <c r="U945" s="244"/>
      <c r="V945" s="246">
        <f>WTG_BD[[#This Row],[Breakdown Time]]*(1/39)</f>
        <v>0</v>
      </c>
      <c r="W945" s="244"/>
      <c r="X945" s="250"/>
      <c r="Y945" s="135"/>
      <c r="Z945" s="135"/>
      <c r="AA945" s="135"/>
      <c r="AB945" s="249">
        <f>(WTG_BD[[#This Row],[Paired WTG Generation for loss calculation.]]/24)*WTG_BD[[#This Row],[Breakdown Time]]</f>
        <v>0</v>
      </c>
      <c r="AC945" s="135"/>
      <c r="AD945" s="245"/>
      <c r="AE945" s="3"/>
    </row>
    <row r="946" spans="1:31">
      <c r="A946" s="241">
        <f t="shared" si="30"/>
        <v>945</v>
      </c>
      <c r="B946" s="255"/>
      <c r="C946" s="252"/>
      <c r="D946" s="252"/>
      <c r="E946" s="251">
        <f t="shared" si="29"/>
        <v>1</v>
      </c>
      <c r="F946" s="252"/>
      <c r="G946" s="248"/>
      <c r="H946" s="242" t="str">
        <f>IFERROR(VLOOKUP(WTG_BD[[#This Row],[Affected WTG]],'Basic Data'!$A$3:$E$56,2,0),"")</f>
        <v/>
      </c>
      <c r="I946" s="242" t="str">
        <f>IFERROR(VLOOKUP(WTG_BD[[#This Row],[Affected WTG]],'Basic Data'!$A$3:$E$56,3,0),"")</f>
        <v/>
      </c>
      <c r="J946" s="243" t="str">
        <f>IFERROR(VLOOKUP(WTG_BD[[#This Row],[Affected WTG]],'Basic Data'!$A$3:$E$56,5,0),"")</f>
        <v/>
      </c>
      <c r="K946" s="158"/>
      <c r="L946" s="247" t="e">
        <f>VLOOKUP(K946,'Basic Data'!T:U,2,0)</f>
        <v>#N/A</v>
      </c>
      <c r="M946" s="135"/>
      <c r="N946" s="256"/>
      <c r="O946" s="256"/>
      <c r="P946" s="256"/>
      <c r="Q946" s="253" t="str">
        <f>IF(WTG_BD[[#This Row],[Work Start TimeStamp]]="","",(WTG_BD[[#This Row],[Work Start TimeStamp]]-WTG_BD[[#This Row],[Fault Start TimeStamp]])*24)</f>
        <v/>
      </c>
      <c r="R946" s="253">
        <f>(WTG_BD[[#This Row],[Fault Clearance time]]-WTG_BD[[#This Row],[Work Start TimeStamp]])*24</f>
        <v>0</v>
      </c>
      <c r="S946" s="253">
        <f>(WTG_BD[[#This Row],[Fault Clearance time]]-WTG_BD[[#This Row],[Fault Start TimeStamp]])*24</f>
        <v>0</v>
      </c>
      <c r="T946" s="135"/>
      <c r="U946" s="244"/>
      <c r="V946" s="246">
        <f>WTG_BD[[#This Row],[Breakdown Time]]*(1/39)</f>
        <v>0</v>
      </c>
      <c r="W946" s="244"/>
      <c r="X946" s="250"/>
      <c r="Y946" s="135"/>
      <c r="Z946" s="135"/>
      <c r="AA946" s="135"/>
      <c r="AB946" s="249">
        <f>(WTG_BD[[#This Row],[Paired WTG Generation for loss calculation.]]/24)*WTG_BD[[#This Row],[Breakdown Time]]</f>
        <v>0</v>
      </c>
      <c r="AC946" s="135"/>
      <c r="AD946" s="245"/>
      <c r="AE946" s="3"/>
    </row>
    <row r="947" spans="1:31">
      <c r="A947" s="241">
        <f t="shared" si="30"/>
        <v>946</v>
      </c>
      <c r="B947" s="255"/>
      <c r="C947" s="252"/>
      <c r="D947" s="252"/>
      <c r="E947" s="251">
        <f t="shared" si="29"/>
        <v>1</v>
      </c>
      <c r="F947" s="252"/>
      <c r="G947" s="248"/>
      <c r="H947" s="242" t="str">
        <f>IFERROR(VLOOKUP(WTG_BD[[#This Row],[Affected WTG]],'Basic Data'!$A$3:$E$56,2,0),"")</f>
        <v/>
      </c>
      <c r="I947" s="242" t="str">
        <f>IFERROR(VLOOKUP(WTG_BD[[#This Row],[Affected WTG]],'Basic Data'!$A$3:$E$56,3,0),"")</f>
        <v/>
      </c>
      <c r="J947" s="243" t="str">
        <f>IFERROR(VLOOKUP(WTG_BD[[#This Row],[Affected WTG]],'Basic Data'!$A$3:$E$56,5,0),"")</f>
        <v/>
      </c>
      <c r="K947" s="158"/>
      <c r="L947" s="247" t="e">
        <f>VLOOKUP(K947,'Basic Data'!T:U,2,0)</f>
        <v>#N/A</v>
      </c>
      <c r="M947" s="135"/>
      <c r="N947" s="256"/>
      <c r="O947" s="256"/>
      <c r="P947" s="256"/>
      <c r="Q947" s="253" t="str">
        <f>IF(WTG_BD[[#This Row],[Work Start TimeStamp]]="","",(WTG_BD[[#This Row],[Work Start TimeStamp]]-WTG_BD[[#This Row],[Fault Start TimeStamp]])*24)</f>
        <v/>
      </c>
      <c r="R947" s="253">
        <f>(WTG_BD[[#This Row],[Fault Clearance time]]-WTG_BD[[#This Row],[Work Start TimeStamp]])*24</f>
        <v>0</v>
      </c>
      <c r="S947" s="253">
        <f>(WTG_BD[[#This Row],[Fault Clearance time]]-WTG_BD[[#This Row],[Fault Start TimeStamp]])*24</f>
        <v>0</v>
      </c>
      <c r="T947" s="135"/>
      <c r="U947" s="244"/>
      <c r="V947" s="246">
        <f>WTG_BD[[#This Row],[Breakdown Time]]*(1/39)</f>
        <v>0</v>
      </c>
      <c r="W947" s="244"/>
      <c r="X947" s="250"/>
      <c r="Y947" s="135"/>
      <c r="Z947" s="135"/>
      <c r="AA947" s="135"/>
      <c r="AB947" s="249">
        <f>(WTG_BD[[#This Row],[Paired WTG Generation for loss calculation.]]/24)*WTG_BD[[#This Row],[Breakdown Time]]</f>
        <v>0</v>
      </c>
      <c r="AC947" s="135"/>
      <c r="AD947" s="245"/>
      <c r="AE947" s="3"/>
    </row>
    <row r="948" spans="1:31">
      <c r="A948" s="241">
        <f t="shared" si="30"/>
        <v>947</v>
      </c>
      <c r="B948" s="255"/>
      <c r="C948" s="252"/>
      <c r="D948" s="252"/>
      <c r="E948" s="251">
        <f t="shared" si="29"/>
        <v>1</v>
      </c>
      <c r="F948" s="252"/>
      <c r="G948" s="248"/>
      <c r="H948" s="242" t="str">
        <f>IFERROR(VLOOKUP(WTG_BD[[#This Row],[Affected WTG]],'Basic Data'!$A$3:$E$56,2,0),"")</f>
        <v/>
      </c>
      <c r="I948" s="242" t="str">
        <f>IFERROR(VLOOKUP(WTG_BD[[#This Row],[Affected WTG]],'Basic Data'!$A$3:$E$56,3,0),"")</f>
        <v/>
      </c>
      <c r="J948" s="243" t="str">
        <f>IFERROR(VLOOKUP(WTG_BD[[#This Row],[Affected WTG]],'Basic Data'!$A$3:$E$56,5,0),"")</f>
        <v/>
      </c>
      <c r="K948" s="158"/>
      <c r="L948" s="247" t="e">
        <f>VLOOKUP(K948,'Basic Data'!T:U,2,0)</f>
        <v>#N/A</v>
      </c>
      <c r="M948" s="135"/>
      <c r="N948" s="256"/>
      <c r="O948" s="256"/>
      <c r="P948" s="256"/>
      <c r="Q948" s="253" t="str">
        <f>IF(WTG_BD[[#This Row],[Work Start TimeStamp]]="","",(WTG_BD[[#This Row],[Work Start TimeStamp]]-WTG_BD[[#This Row],[Fault Start TimeStamp]])*24)</f>
        <v/>
      </c>
      <c r="R948" s="253">
        <f>(WTG_BD[[#This Row],[Fault Clearance time]]-WTG_BD[[#This Row],[Work Start TimeStamp]])*24</f>
        <v>0</v>
      </c>
      <c r="S948" s="253">
        <f>(WTG_BD[[#This Row],[Fault Clearance time]]-WTG_BD[[#This Row],[Fault Start TimeStamp]])*24</f>
        <v>0</v>
      </c>
      <c r="T948" s="135"/>
      <c r="U948" s="244"/>
      <c r="V948" s="246">
        <f>WTG_BD[[#This Row],[Breakdown Time]]*(1/39)</f>
        <v>0</v>
      </c>
      <c r="W948" s="244"/>
      <c r="X948" s="250"/>
      <c r="Y948" s="135"/>
      <c r="Z948" s="135"/>
      <c r="AA948" s="135"/>
      <c r="AB948" s="249">
        <f>(WTG_BD[[#This Row],[Paired WTG Generation for loss calculation.]]/24)*WTG_BD[[#This Row],[Breakdown Time]]</f>
        <v>0</v>
      </c>
      <c r="AC948" s="135"/>
      <c r="AD948" s="245"/>
      <c r="AE948" s="3"/>
    </row>
    <row r="949" spans="1:31">
      <c r="A949" s="241">
        <f t="shared" si="30"/>
        <v>948</v>
      </c>
      <c r="B949" s="255"/>
      <c r="C949" s="252"/>
      <c r="D949" s="252"/>
      <c r="E949" s="251">
        <f t="shared" si="29"/>
        <v>1</v>
      </c>
      <c r="F949" s="252"/>
      <c r="G949" s="248"/>
      <c r="H949" s="242" t="str">
        <f>IFERROR(VLOOKUP(WTG_BD[[#This Row],[Affected WTG]],'Basic Data'!$A$3:$E$56,2,0),"")</f>
        <v/>
      </c>
      <c r="I949" s="242" t="str">
        <f>IFERROR(VLOOKUP(WTG_BD[[#This Row],[Affected WTG]],'Basic Data'!$A$3:$E$56,3,0),"")</f>
        <v/>
      </c>
      <c r="J949" s="243" t="str">
        <f>IFERROR(VLOOKUP(WTG_BD[[#This Row],[Affected WTG]],'Basic Data'!$A$3:$E$56,5,0),"")</f>
        <v/>
      </c>
      <c r="K949" s="158"/>
      <c r="L949" s="247" t="e">
        <f>VLOOKUP(K949,'Basic Data'!T:U,2,0)</f>
        <v>#N/A</v>
      </c>
      <c r="M949" s="135"/>
      <c r="N949" s="256"/>
      <c r="O949" s="256"/>
      <c r="P949" s="256"/>
      <c r="Q949" s="253" t="str">
        <f>IF(WTG_BD[[#This Row],[Work Start TimeStamp]]="","",(WTG_BD[[#This Row],[Work Start TimeStamp]]-WTG_BD[[#This Row],[Fault Start TimeStamp]])*24)</f>
        <v/>
      </c>
      <c r="R949" s="253">
        <f>(WTG_BD[[#This Row],[Fault Clearance time]]-WTG_BD[[#This Row],[Work Start TimeStamp]])*24</f>
        <v>0</v>
      </c>
      <c r="S949" s="253">
        <f>(WTG_BD[[#This Row],[Fault Clearance time]]-WTG_BD[[#This Row],[Fault Start TimeStamp]])*24</f>
        <v>0</v>
      </c>
      <c r="T949" s="135"/>
      <c r="U949" s="244"/>
      <c r="V949" s="246">
        <f>WTG_BD[[#This Row],[Breakdown Time]]*(1/39)</f>
        <v>0</v>
      </c>
      <c r="W949" s="244"/>
      <c r="X949" s="250"/>
      <c r="Y949" s="135"/>
      <c r="Z949" s="135"/>
      <c r="AA949" s="135"/>
      <c r="AB949" s="249">
        <f>(WTG_BD[[#This Row],[Paired WTG Generation for loss calculation.]]/24)*WTG_BD[[#This Row],[Breakdown Time]]</f>
        <v>0</v>
      </c>
      <c r="AC949" s="135"/>
      <c r="AD949" s="245"/>
      <c r="AE949" s="3"/>
    </row>
    <row r="950" spans="1:31">
      <c r="A950" s="241">
        <f t="shared" si="30"/>
        <v>949</v>
      </c>
      <c r="B950" s="255"/>
      <c r="C950" s="252"/>
      <c r="D950" s="252"/>
      <c r="E950" s="251">
        <f t="shared" si="29"/>
        <v>1</v>
      </c>
      <c r="F950" s="252"/>
      <c r="G950" s="248"/>
      <c r="H950" s="242" t="str">
        <f>IFERROR(VLOOKUP(WTG_BD[[#This Row],[Affected WTG]],'Basic Data'!$A$3:$E$56,2,0),"")</f>
        <v/>
      </c>
      <c r="I950" s="242" t="str">
        <f>IFERROR(VLOOKUP(WTG_BD[[#This Row],[Affected WTG]],'Basic Data'!$A$3:$E$56,3,0),"")</f>
        <v/>
      </c>
      <c r="J950" s="243" t="str">
        <f>IFERROR(VLOOKUP(WTG_BD[[#This Row],[Affected WTG]],'Basic Data'!$A$3:$E$56,5,0),"")</f>
        <v/>
      </c>
      <c r="K950" s="158"/>
      <c r="L950" s="247" t="e">
        <f>VLOOKUP(K950,'Basic Data'!T:U,2,0)</f>
        <v>#N/A</v>
      </c>
      <c r="M950" s="135"/>
      <c r="N950" s="256"/>
      <c r="O950" s="256"/>
      <c r="P950" s="256"/>
      <c r="Q950" s="253" t="str">
        <f>IF(WTG_BD[[#This Row],[Work Start TimeStamp]]="","",(WTG_BD[[#This Row],[Work Start TimeStamp]]-WTG_BD[[#This Row],[Fault Start TimeStamp]])*24)</f>
        <v/>
      </c>
      <c r="R950" s="253">
        <f>(WTG_BD[[#This Row],[Fault Clearance time]]-WTG_BD[[#This Row],[Work Start TimeStamp]])*24</f>
        <v>0</v>
      </c>
      <c r="S950" s="253">
        <f>(WTG_BD[[#This Row],[Fault Clearance time]]-WTG_BD[[#This Row],[Fault Start TimeStamp]])*24</f>
        <v>0</v>
      </c>
      <c r="T950" s="135"/>
      <c r="U950" s="244"/>
      <c r="V950" s="246">
        <f>WTG_BD[[#This Row],[Breakdown Time]]*(1/39)</f>
        <v>0</v>
      </c>
      <c r="W950" s="244"/>
      <c r="X950" s="250"/>
      <c r="Y950" s="135"/>
      <c r="Z950" s="135"/>
      <c r="AA950" s="135"/>
      <c r="AB950" s="249">
        <f>(WTG_BD[[#This Row],[Paired WTG Generation for loss calculation.]]/24)*WTG_BD[[#This Row],[Breakdown Time]]</f>
        <v>0</v>
      </c>
      <c r="AC950" s="135"/>
      <c r="AD950" s="245"/>
      <c r="AE950" s="3"/>
    </row>
    <row r="951" spans="1:31">
      <c r="A951" s="241">
        <f t="shared" si="30"/>
        <v>950</v>
      </c>
      <c r="B951" s="255"/>
      <c r="C951" s="252"/>
      <c r="D951" s="252"/>
      <c r="E951" s="251">
        <f t="shared" si="29"/>
        <v>1</v>
      </c>
      <c r="F951" s="252"/>
      <c r="G951" s="248"/>
      <c r="H951" s="242" t="str">
        <f>IFERROR(VLOOKUP(WTG_BD[[#This Row],[Affected WTG]],'Basic Data'!$A$3:$E$56,2,0),"")</f>
        <v/>
      </c>
      <c r="I951" s="242" t="str">
        <f>IFERROR(VLOOKUP(WTG_BD[[#This Row],[Affected WTG]],'Basic Data'!$A$3:$E$56,3,0),"")</f>
        <v/>
      </c>
      <c r="J951" s="243" t="str">
        <f>IFERROR(VLOOKUP(WTG_BD[[#This Row],[Affected WTG]],'Basic Data'!$A$3:$E$56,5,0),"")</f>
        <v/>
      </c>
      <c r="K951" s="158"/>
      <c r="L951" s="247" t="e">
        <f>VLOOKUP(K951,'Basic Data'!T:U,2,0)</f>
        <v>#N/A</v>
      </c>
      <c r="M951" s="135"/>
      <c r="N951" s="256"/>
      <c r="O951" s="256"/>
      <c r="P951" s="256"/>
      <c r="Q951" s="253" t="str">
        <f>IF(WTG_BD[[#This Row],[Work Start TimeStamp]]="","",(WTG_BD[[#This Row],[Work Start TimeStamp]]-WTG_BD[[#This Row],[Fault Start TimeStamp]])*24)</f>
        <v/>
      </c>
      <c r="R951" s="253">
        <f>(WTG_BD[[#This Row],[Fault Clearance time]]-WTG_BD[[#This Row],[Work Start TimeStamp]])*24</f>
        <v>0</v>
      </c>
      <c r="S951" s="253">
        <f>(WTG_BD[[#This Row],[Fault Clearance time]]-WTG_BD[[#This Row],[Fault Start TimeStamp]])*24</f>
        <v>0</v>
      </c>
      <c r="T951" s="135"/>
      <c r="U951" s="244"/>
      <c r="V951" s="246">
        <f>WTG_BD[[#This Row],[Breakdown Time]]*(1/39)</f>
        <v>0</v>
      </c>
      <c r="W951" s="244"/>
      <c r="X951" s="250"/>
      <c r="Y951" s="135"/>
      <c r="Z951" s="135"/>
      <c r="AA951" s="135"/>
      <c r="AB951" s="249">
        <f>(WTG_BD[[#This Row],[Paired WTG Generation for loss calculation.]]/24)*WTG_BD[[#This Row],[Breakdown Time]]</f>
        <v>0</v>
      </c>
      <c r="AC951" s="135"/>
      <c r="AD951" s="245"/>
      <c r="AE951" s="3"/>
    </row>
    <row r="952" spans="1:31">
      <c r="A952" s="241">
        <f t="shared" si="30"/>
        <v>951</v>
      </c>
      <c r="B952" s="255"/>
      <c r="C952" s="252"/>
      <c r="D952" s="252"/>
      <c r="E952" s="251">
        <f t="shared" ref="E952:E1015" si="31">B952-DAY(B952)+1</f>
        <v>1</v>
      </c>
      <c r="F952" s="252"/>
      <c r="G952" s="248"/>
      <c r="H952" s="242" t="str">
        <f>IFERROR(VLOOKUP(WTG_BD[[#This Row],[Affected WTG]],'Basic Data'!$A$3:$E$56,2,0),"")</f>
        <v/>
      </c>
      <c r="I952" s="242" t="str">
        <f>IFERROR(VLOOKUP(WTG_BD[[#This Row],[Affected WTG]],'Basic Data'!$A$3:$E$56,3,0),"")</f>
        <v/>
      </c>
      <c r="J952" s="243" t="str">
        <f>IFERROR(VLOOKUP(WTG_BD[[#This Row],[Affected WTG]],'Basic Data'!$A$3:$E$56,5,0),"")</f>
        <v/>
      </c>
      <c r="K952" s="158"/>
      <c r="L952" s="247" t="e">
        <f>VLOOKUP(K952,'Basic Data'!T:U,2,0)</f>
        <v>#N/A</v>
      </c>
      <c r="M952" s="135"/>
      <c r="N952" s="256"/>
      <c r="O952" s="256"/>
      <c r="P952" s="256"/>
      <c r="Q952" s="253" t="str">
        <f>IF(WTG_BD[[#This Row],[Work Start TimeStamp]]="","",(WTG_BD[[#This Row],[Work Start TimeStamp]]-WTG_BD[[#This Row],[Fault Start TimeStamp]])*24)</f>
        <v/>
      </c>
      <c r="R952" s="253">
        <f>(WTG_BD[[#This Row],[Fault Clearance time]]-WTG_BD[[#This Row],[Work Start TimeStamp]])*24</f>
        <v>0</v>
      </c>
      <c r="S952" s="253">
        <f>(WTG_BD[[#This Row],[Fault Clearance time]]-WTG_BD[[#This Row],[Fault Start TimeStamp]])*24</f>
        <v>0</v>
      </c>
      <c r="T952" s="135"/>
      <c r="U952" s="244"/>
      <c r="V952" s="246">
        <f>WTG_BD[[#This Row],[Breakdown Time]]*(1/39)</f>
        <v>0</v>
      </c>
      <c r="W952" s="244"/>
      <c r="X952" s="250"/>
      <c r="Y952" s="135"/>
      <c r="Z952" s="135"/>
      <c r="AA952" s="135"/>
      <c r="AB952" s="249">
        <f>(WTG_BD[[#This Row],[Paired WTG Generation for loss calculation.]]/24)*WTG_BD[[#This Row],[Breakdown Time]]</f>
        <v>0</v>
      </c>
      <c r="AC952" s="135"/>
      <c r="AD952" s="245"/>
      <c r="AE952" s="3"/>
    </row>
    <row r="953" spans="1:31">
      <c r="A953" s="241">
        <f t="shared" si="30"/>
        <v>952</v>
      </c>
      <c r="B953" s="255"/>
      <c r="C953" s="252"/>
      <c r="D953" s="252"/>
      <c r="E953" s="251">
        <f t="shared" si="31"/>
        <v>1</v>
      </c>
      <c r="F953" s="252"/>
      <c r="G953" s="248"/>
      <c r="H953" s="242" t="str">
        <f>IFERROR(VLOOKUP(WTG_BD[[#This Row],[Affected WTG]],'Basic Data'!$A$3:$E$56,2,0),"")</f>
        <v/>
      </c>
      <c r="I953" s="242" t="str">
        <f>IFERROR(VLOOKUP(WTG_BD[[#This Row],[Affected WTG]],'Basic Data'!$A$3:$E$56,3,0),"")</f>
        <v/>
      </c>
      <c r="J953" s="243" t="str">
        <f>IFERROR(VLOOKUP(WTG_BD[[#This Row],[Affected WTG]],'Basic Data'!$A$3:$E$56,5,0),"")</f>
        <v/>
      </c>
      <c r="K953" s="158"/>
      <c r="L953" s="247" t="e">
        <f>VLOOKUP(K953,'Basic Data'!T:U,2,0)</f>
        <v>#N/A</v>
      </c>
      <c r="M953" s="135"/>
      <c r="N953" s="256"/>
      <c r="O953" s="256"/>
      <c r="P953" s="256"/>
      <c r="Q953" s="253" t="str">
        <f>IF(WTG_BD[[#This Row],[Work Start TimeStamp]]="","",(WTG_BD[[#This Row],[Work Start TimeStamp]]-WTG_BD[[#This Row],[Fault Start TimeStamp]])*24)</f>
        <v/>
      </c>
      <c r="R953" s="253">
        <f>(WTG_BD[[#This Row],[Fault Clearance time]]-WTG_BD[[#This Row],[Work Start TimeStamp]])*24</f>
        <v>0</v>
      </c>
      <c r="S953" s="253">
        <f>(WTG_BD[[#This Row],[Fault Clearance time]]-WTG_BD[[#This Row],[Fault Start TimeStamp]])*24</f>
        <v>0</v>
      </c>
      <c r="T953" s="135"/>
      <c r="U953" s="244"/>
      <c r="V953" s="246">
        <f>WTG_BD[[#This Row],[Breakdown Time]]*(1/39)</f>
        <v>0</v>
      </c>
      <c r="W953" s="244"/>
      <c r="X953" s="250"/>
      <c r="Y953" s="135"/>
      <c r="Z953" s="135"/>
      <c r="AA953" s="135"/>
      <c r="AB953" s="249">
        <f>(WTG_BD[[#This Row],[Paired WTG Generation for loss calculation.]]/24)*WTG_BD[[#This Row],[Breakdown Time]]</f>
        <v>0</v>
      </c>
      <c r="AC953" s="135"/>
      <c r="AD953" s="245"/>
      <c r="AE953" s="3"/>
    </row>
    <row r="954" spans="1:31">
      <c r="A954" s="241">
        <f t="shared" si="30"/>
        <v>953</v>
      </c>
      <c r="B954" s="255"/>
      <c r="C954" s="252"/>
      <c r="D954" s="252"/>
      <c r="E954" s="251">
        <f t="shared" si="31"/>
        <v>1</v>
      </c>
      <c r="F954" s="252"/>
      <c r="G954" s="248"/>
      <c r="H954" s="242" t="str">
        <f>IFERROR(VLOOKUP(WTG_BD[[#This Row],[Affected WTG]],'Basic Data'!$A$3:$E$56,2,0),"")</f>
        <v/>
      </c>
      <c r="I954" s="242" t="str">
        <f>IFERROR(VLOOKUP(WTG_BD[[#This Row],[Affected WTG]],'Basic Data'!$A$3:$E$56,3,0),"")</f>
        <v/>
      </c>
      <c r="J954" s="243" t="str">
        <f>IFERROR(VLOOKUP(WTG_BD[[#This Row],[Affected WTG]],'Basic Data'!$A$3:$E$56,5,0),"")</f>
        <v/>
      </c>
      <c r="K954" s="158"/>
      <c r="L954" s="247" t="e">
        <f>VLOOKUP(K954,'Basic Data'!T:U,2,0)</f>
        <v>#N/A</v>
      </c>
      <c r="M954" s="135"/>
      <c r="N954" s="256"/>
      <c r="O954" s="256"/>
      <c r="P954" s="256"/>
      <c r="Q954" s="253" t="str">
        <f>IF(WTG_BD[[#This Row],[Work Start TimeStamp]]="","",(WTG_BD[[#This Row],[Work Start TimeStamp]]-WTG_BD[[#This Row],[Fault Start TimeStamp]])*24)</f>
        <v/>
      </c>
      <c r="R954" s="253">
        <f>(WTG_BD[[#This Row],[Fault Clearance time]]-WTG_BD[[#This Row],[Work Start TimeStamp]])*24</f>
        <v>0</v>
      </c>
      <c r="S954" s="253">
        <f>(WTG_BD[[#This Row],[Fault Clearance time]]-WTG_BD[[#This Row],[Fault Start TimeStamp]])*24</f>
        <v>0</v>
      </c>
      <c r="T954" s="135"/>
      <c r="U954" s="244"/>
      <c r="V954" s="246">
        <f>WTG_BD[[#This Row],[Breakdown Time]]*(1/39)</f>
        <v>0</v>
      </c>
      <c r="W954" s="244"/>
      <c r="X954" s="250"/>
      <c r="Y954" s="135"/>
      <c r="Z954" s="135"/>
      <c r="AA954" s="135"/>
      <c r="AB954" s="249">
        <f>(WTG_BD[[#This Row],[Paired WTG Generation for loss calculation.]]/24)*WTG_BD[[#This Row],[Breakdown Time]]</f>
        <v>0</v>
      </c>
      <c r="AC954" s="135"/>
      <c r="AD954" s="245"/>
      <c r="AE954" s="3"/>
    </row>
    <row r="955" spans="1:31">
      <c r="A955" s="241">
        <f t="shared" si="30"/>
        <v>954</v>
      </c>
      <c r="B955" s="255"/>
      <c r="C955" s="252"/>
      <c r="D955" s="252"/>
      <c r="E955" s="251">
        <f t="shared" si="31"/>
        <v>1</v>
      </c>
      <c r="F955" s="252"/>
      <c r="G955" s="248"/>
      <c r="H955" s="242" t="str">
        <f>IFERROR(VLOOKUP(WTG_BD[[#This Row],[Affected WTG]],'Basic Data'!$A$3:$E$56,2,0),"")</f>
        <v/>
      </c>
      <c r="I955" s="242" t="str">
        <f>IFERROR(VLOOKUP(WTG_BD[[#This Row],[Affected WTG]],'Basic Data'!$A$3:$E$56,3,0),"")</f>
        <v/>
      </c>
      <c r="J955" s="243" t="str">
        <f>IFERROR(VLOOKUP(WTG_BD[[#This Row],[Affected WTG]],'Basic Data'!$A$3:$E$56,5,0),"")</f>
        <v/>
      </c>
      <c r="K955" s="158"/>
      <c r="L955" s="247" t="e">
        <f>VLOOKUP(K955,'Basic Data'!T:U,2,0)</f>
        <v>#N/A</v>
      </c>
      <c r="M955" s="135"/>
      <c r="N955" s="256"/>
      <c r="O955" s="256"/>
      <c r="P955" s="256"/>
      <c r="Q955" s="253" t="str">
        <f>IF(WTG_BD[[#This Row],[Work Start TimeStamp]]="","",(WTG_BD[[#This Row],[Work Start TimeStamp]]-WTG_BD[[#This Row],[Fault Start TimeStamp]])*24)</f>
        <v/>
      </c>
      <c r="R955" s="253">
        <f>(WTG_BD[[#This Row],[Fault Clearance time]]-WTG_BD[[#This Row],[Work Start TimeStamp]])*24</f>
        <v>0</v>
      </c>
      <c r="S955" s="253">
        <f>(WTG_BD[[#This Row],[Fault Clearance time]]-WTG_BD[[#This Row],[Fault Start TimeStamp]])*24</f>
        <v>0</v>
      </c>
      <c r="T955" s="135"/>
      <c r="U955" s="244"/>
      <c r="V955" s="246">
        <f>WTG_BD[[#This Row],[Breakdown Time]]*(1/39)</f>
        <v>0</v>
      </c>
      <c r="W955" s="244"/>
      <c r="X955" s="250"/>
      <c r="Y955" s="135"/>
      <c r="Z955" s="135"/>
      <c r="AA955" s="135"/>
      <c r="AB955" s="249">
        <f>(WTG_BD[[#This Row],[Paired WTG Generation for loss calculation.]]/24)*WTG_BD[[#This Row],[Breakdown Time]]</f>
        <v>0</v>
      </c>
      <c r="AC955" s="135"/>
      <c r="AD955" s="245"/>
      <c r="AE955" s="3"/>
    </row>
    <row r="956" spans="1:31">
      <c r="A956" s="241">
        <f t="shared" si="30"/>
        <v>955</v>
      </c>
      <c r="B956" s="255"/>
      <c r="C956" s="252"/>
      <c r="D956" s="252"/>
      <c r="E956" s="251">
        <f t="shared" si="31"/>
        <v>1</v>
      </c>
      <c r="F956" s="252"/>
      <c r="G956" s="248"/>
      <c r="H956" s="242" t="str">
        <f>IFERROR(VLOOKUP(WTG_BD[[#This Row],[Affected WTG]],'Basic Data'!$A$3:$E$56,2,0),"")</f>
        <v/>
      </c>
      <c r="I956" s="242" t="str">
        <f>IFERROR(VLOOKUP(WTG_BD[[#This Row],[Affected WTG]],'Basic Data'!$A$3:$E$56,3,0),"")</f>
        <v/>
      </c>
      <c r="J956" s="243" t="str">
        <f>IFERROR(VLOOKUP(WTG_BD[[#This Row],[Affected WTG]],'Basic Data'!$A$3:$E$56,5,0),"")</f>
        <v/>
      </c>
      <c r="K956" s="158"/>
      <c r="L956" s="247" t="e">
        <f>VLOOKUP(K956,'Basic Data'!T:U,2,0)</f>
        <v>#N/A</v>
      </c>
      <c r="M956" s="135"/>
      <c r="N956" s="256"/>
      <c r="O956" s="256"/>
      <c r="P956" s="256"/>
      <c r="Q956" s="253" t="str">
        <f>IF(WTG_BD[[#This Row],[Work Start TimeStamp]]="","",(WTG_BD[[#This Row],[Work Start TimeStamp]]-WTG_BD[[#This Row],[Fault Start TimeStamp]])*24)</f>
        <v/>
      </c>
      <c r="R956" s="253">
        <f>(WTG_BD[[#This Row],[Fault Clearance time]]-WTG_BD[[#This Row],[Work Start TimeStamp]])*24</f>
        <v>0</v>
      </c>
      <c r="S956" s="253">
        <f>(WTG_BD[[#This Row],[Fault Clearance time]]-WTG_BD[[#This Row],[Fault Start TimeStamp]])*24</f>
        <v>0</v>
      </c>
      <c r="T956" s="135"/>
      <c r="U956" s="244"/>
      <c r="V956" s="246">
        <f>WTG_BD[[#This Row],[Breakdown Time]]*(1/39)</f>
        <v>0</v>
      </c>
      <c r="W956" s="244"/>
      <c r="X956" s="250"/>
      <c r="Y956" s="135"/>
      <c r="Z956" s="135"/>
      <c r="AA956" s="135"/>
      <c r="AB956" s="249">
        <f>(WTG_BD[[#This Row],[Paired WTG Generation for loss calculation.]]/24)*WTG_BD[[#This Row],[Breakdown Time]]</f>
        <v>0</v>
      </c>
      <c r="AC956" s="135"/>
      <c r="AD956" s="245"/>
      <c r="AE956" s="3"/>
    </row>
    <row r="957" spans="1:31">
      <c r="A957" s="241">
        <f t="shared" si="30"/>
        <v>956</v>
      </c>
      <c r="B957" s="255"/>
      <c r="C957" s="252"/>
      <c r="D957" s="252"/>
      <c r="E957" s="251">
        <f t="shared" si="31"/>
        <v>1</v>
      </c>
      <c r="F957" s="252"/>
      <c r="G957" s="248"/>
      <c r="H957" s="242" t="str">
        <f>IFERROR(VLOOKUP(WTG_BD[[#This Row],[Affected WTG]],'Basic Data'!$A$3:$E$56,2,0),"")</f>
        <v/>
      </c>
      <c r="I957" s="242" t="str">
        <f>IFERROR(VLOOKUP(WTG_BD[[#This Row],[Affected WTG]],'Basic Data'!$A$3:$E$56,3,0),"")</f>
        <v/>
      </c>
      <c r="J957" s="243" t="str">
        <f>IFERROR(VLOOKUP(WTG_BD[[#This Row],[Affected WTG]],'Basic Data'!$A$3:$E$56,5,0),"")</f>
        <v/>
      </c>
      <c r="K957" s="158"/>
      <c r="L957" s="247" t="e">
        <f>VLOOKUP(K957,'Basic Data'!T:U,2,0)</f>
        <v>#N/A</v>
      </c>
      <c r="M957" s="135"/>
      <c r="N957" s="256"/>
      <c r="O957" s="256"/>
      <c r="P957" s="256"/>
      <c r="Q957" s="253" t="str">
        <f>IF(WTG_BD[[#This Row],[Work Start TimeStamp]]="","",(WTG_BD[[#This Row],[Work Start TimeStamp]]-WTG_BD[[#This Row],[Fault Start TimeStamp]])*24)</f>
        <v/>
      </c>
      <c r="R957" s="253">
        <f>(WTG_BD[[#This Row],[Fault Clearance time]]-WTG_BD[[#This Row],[Work Start TimeStamp]])*24</f>
        <v>0</v>
      </c>
      <c r="S957" s="253">
        <f>(WTG_BD[[#This Row],[Fault Clearance time]]-WTG_BD[[#This Row],[Fault Start TimeStamp]])*24</f>
        <v>0</v>
      </c>
      <c r="T957" s="135"/>
      <c r="U957" s="244"/>
      <c r="V957" s="246">
        <f>WTG_BD[[#This Row],[Breakdown Time]]*(1/39)</f>
        <v>0</v>
      </c>
      <c r="W957" s="244"/>
      <c r="X957" s="250"/>
      <c r="Y957" s="135"/>
      <c r="Z957" s="135"/>
      <c r="AA957" s="135"/>
      <c r="AB957" s="249">
        <f>(WTG_BD[[#This Row],[Paired WTG Generation for loss calculation.]]/24)*WTG_BD[[#This Row],[Breakdown Time]]</f>
        <v>0</v>
      </c>
      <c r="AC957" s="135"/>
      <c r="AD957" s="245"/>
      <c r="AE957" s="3"/>
    </row>
    <row r="958" spans="1:31">
      <c r="A958" s="241">
        <f t="shared" si="30"/>
        <v>957</v>
      </c>
      <c r="B958" s="255"/>
      <c r="C958" s="252"/>
      <c r="D958" s="252"/>
      <c r="E958" s="251">
        <f t="shared" si="31"/>
        <v>1</v>
      </c>
      <c r="F958" s="252"/>
      <c r="G958" s="248"/>
      <c r="H958" s="242" t="str">
        <f>IFERROR(VLOOKUP(WTG_BD[[#This Row],[Affected WTG]],'Basic Data'!$A$3:$E$56,2,0),"")</f>
        <v/>
      </c>
      <c r="I958" s="242" t="str">
        <f>IFERROR(VLOOKUP(WTG_BD[[#This Row],[Affected WTG]],'Basic Data'!$A$3:$E$56,3,0),"")</f>
        <v/>
      </c>
      <c r="J958" s="243" t="str">
        <f>IFERROR(VLOOKUP(WTG_BD[[#This Row],[Affected WTG]],'Basic Data'!$A$3:$E$56,5,0),"")</f>
        <v/>
      </c>
      <c r="K958" s="158"/>
      <c r="L958" s="247" t="e">
        <f>VLOOKUP(K958,'Basic Data'!T:U,2,0)</f>
        <v>#N/A</v>
      </c>
      <c r="M958" s="135"/>
      <c r="N958" s="256"/>
      <c r="O958" s="256"/>
      <c r="P958" s="256"/>
      <c r="Q958" s="253" t="str">
        <f>IF(WTG_BD[[#This Row],[Work Start TimeStamp]]="","",(WTG_BD[[#This Row],[Work Start TimeStamp]]-WTG_BD[[#This Row],[Fault Start TimeStamp]])*24)</f>
        <v/>
      </c>
      <c r="R958" s="253">
        <f>(WTG_BD[[#This Row],[Fault Clearance time]]-WTG_BD[[#This Row],[Work Start TimeStamp]])*24</f>
        <v>0</v>
      </c>
      <c r="S958" s="253">
        <f>(WTG_BD[[#This Row],[Fault Clearance time]]-WTG_BD[[#This Row],[Fault Start TimeStamp]])*24</f>
        <v>0</v>
      </c>
      <c r="T958" s="135"/>
      <c r="U958" s="244"/>
      <c r="V958" s="246">
        <f>WTG_BD[[#This Row],[Breakdown Time]]*(1/39)</f>
        <v>0</v>
      </c>
      <c r="W958" s="244"/>
      <c r="X958" s="250"/>
      <c r="Y958" s="135"/>
      <c r="Z958" s="135"/>
      <c r="AA958" s="135"/>
      <c r="AB958" s="249">
        <f>(WTG_BD[[#This Row],[Paired WTG Generation for loss calculation.]]/24)*WTG_BD[[#This Row],[Breakdown Time]]</f>
        <v>0</v>
      </c>
      <c r="AC958" s="135"/>
      <c r="AD958" s="245"/>
      <c r="AE958" s="3"/>
    </row>
    <row r="959" spans="1:31">
      <c r="A959" s="241">
        <f t="shared" si="30"/>
        <v>958</v>
      </c>
      <c r="B959" s="255"/>
      <c r="C959" s="252"/>
      <c r="D959" s="252"/>
      <c r="E959" s="251">
        <f t="shared" si="31"/>
        <v>1</v>
      </c>
      <c r="F959" s="252"/>
      <c r="G959" s="248"/>
      <c r="H959" s="242" t="str">
        <f>IFERROR(VLOOKUP(WTG_BD[[#This Row],[Affected WTG]],'Basic Data'!$A$3:$E$56,2,0),"")</f>
        <v/>
      </c>
      <c r="I959" s="242" t="str">
        <f>IFERROR(VLOOKUP(WTG_BD[[#This Row],[Affected WTG]],'Basic Data'!$A$3:$E$56,3,0),"")</f>
        <v/>
      </c>
      <c r="J959" s="243" t="str">
        <f>IFERROR(VLOOKUP(WTG_BD[[#This Row],[Affected WTG]],'Basic Data'!$A$3:$E$56,5,0),"")</f>
        <v/>
      </c>
      <c r="K959" s="158"/>
      <c r="L959" s="247" t="e">
        <f>VLOOKUP(K959,'Basic Data'!T:U,2,0)</f>
        <v>#N/A</v>
      </c>
      <c r="M959" s="135"/>
      <c r="N959" s="256"/>
      <c r="O959" s="256"/>
      <c r="P959" s="256"/>
      <c r="Q959" s="253" t="str">
        <f>IF(WTG_BD[[#This Row],[Work Start TimeStamp]]="","",(WTG_BD[[#This Row],[Work Start TimeStamp]]-WTG_BD[[#This Row],[Fault Start TimeStamp]])*24)</f>
        <v/>
      </c>
      <c r="R959" s="253">
        <f>(WTG_BD[[#This Row],[Fault Clearance time]]-WTG_BD[[#This Row],[Work Start TimeStamp]])*24</f>
        <v>0</v>
      </c>
      <c r="S959" s="253">
        <f>(WTG_BD[[#This Row],[Fault Clearance time]]-WTG_BD[[#This Row],[Fault Start TimeStamp]])*24</f>
        <v>0</v>
      </c>
      <c r="T959" s="135"/>
      <c r="U959" s="244"/>
      <c r="V959" s="246">
        <f>WTG_BD[[#This Row],[Breakdown Time]]*(1/39)</f>
        <v>0</v>
      </c>
      <c r="W959" s="244"/>
      <c r="X959" s="250"/>
      <c r="Y959" s="135"/>
      <c r="Z959" s="135"/>
      <c r="AA959" s="135"/>
      <c r="AB959" s="249">
        <f>(WTG_BD[[#This Row],[Paired WTG Generation for loss calculation.]]/24)*WTG_BD[[#This Row],[Breakdown Time]]</f>
        <v>0</v>
      </c>
      <c r="AC959" s="135"/>
      <c r="AD959" s="245"/>
      <c r="AE959" s="3"/>
    </row>
    <row r="960" spans="1:31">
      <c r="A960" s="241">
        <f t="shared" si="30"/>
        <v>959</v>
      </c>
      <c r="B960" s="255"/>
      <c r="C960" s="252"/>
      <c r="D960" s="252"/>
      <c r="E960" s="251">
        <f t="shared" si="31"/>
        <v>1</v>
      </c>
      <c r="F960" s="252"/>
      <c r="G960" s="248"/>
      <c r="H960" s="242" t="str">
        <f>IFERROR(VLOOKUP(WTG_BD[[#This Row],[Affected WTG]],'Basic Data'!$A$3:$E$56,2,0),"")</f>
        <v/>
      </c>
      <c r="I960" s="242" t="str">
        <f>IFERROR(VLOOKUP(WTG_BD[[#This Row],[Affected WTG]],'Basic Data'!$A$3:$E$56,3,0),"")</f>
        <v/>
      </c>
      <c r="J960" s="243" t="str">
        <f>IFERROR(VLOOKUP(WTG_BD[[#This Row],[Affected WTG]],'Basic Data'!$A$3:$E$56,5,0),"")</f>
        <v/>
      </c>
      <c r="K960" s="158"/>
      <c r="L960" s="247" t="e">
        <f>VLOOKUP(K960,'Basic Data'!T:U,2,0)</f>
        <v>#N/A</v>
      </c>
      <c r="M960" s="135"/>
      <c r="N960" s="256"/>
      <c r="O960" s="256"/>
      <c r="P960" s="256"/>
      <c r="Q960" s="253" t="str">
        <f>IF(WTG_BD[[#This Row],[Work Start TimeStamp]]="","",(WTG_BD[[#This Row],[Work Start TimeStamp]]-WTG_BD[[#This Row],[Fault Start TimeStamp]])*24)</f>
        <v/>
      </c>
      <c r="R960" s="253">
        <f>(WTG_BD[[#This Row],[Fault Clearance time]]-WTG_BD[[#This Row],[Work Start TimeStamp]])*24</f>
        <v>0</v>
      </c>
      <c r="S960" s="253">
        <f>(WTG_BD[[#This Row],[Fault Clearance time]]-WTG_BD[[#This Row],[Fault Start TimeStamp]])*24</f>
        <v>0</v>
      </c>
      <c r="T960" s="135"/>
      <c r="U960" s="244"/>
      <c r="V960" s="246">
        <f>WTG_BD[[#This Row],[Breakdown Time]]*(1/39)</f>
        <v>0</v>
      </c>
      <c r="W960" s="244"/>
      <c r="X960" s="250"/>
      <c r="Y960" s="135"/>
      <c r="Z960" s="135"/>
      <c r="AA960" s="135"/>
      <c r="AB960" s="249">
        <f>(WTG_BD[[#This Row],[Paired WTG Generation for loss calculation.]]/24)*WTG_BD[[#This Row],[Breakdown Time]]</f>
        <v>0</v>
      </c>
      <c r="AC960" s="135"/>
      <c r="AD960" s="245"/>
      <c r="AE960" s="3"/>
    </row>
    <row r="961" spans="1:31">
      <c r="A961" s="241">
        <f t="shared" si="30"/>
        <v>960</v>
      </c>
      <c r="B961" s="255"/>
      <c r="C961" s="252"/>
      <c r="D961" s="252"/>
      <c r="E961" s="251">
        <f t="shared" si="31"/>
        <v>1</v>
      </c>
      <c r="F961" s="252"/>
      <c r="G961" s="248"/>
      <c r="H961" s="242" t="str">
        <f>IFERROR(VLOOKUP(WTG_BD[[#This Row],[Affected WTG]],'Basic Data'!$A$3:$E$56,2,0),"")</f>
        <v/>
      </c>
      <c r="I961" s="242" t="str">
        <f>IFERROR(VLOOKUP(WTG_BD[[#This Row],[Affected WTG]],'Basic Data'!$A$3:$E$56,3,0),"")</f>
        <v/>
      </c>
      <c r="J961" s="243" t="str">
        <f>IFERROR(VLOOKUP(WTG_BD[[#This Row],[Affected WTG]],'Basic Data'!$A$3:$E$56,5,0),"")</f>
        <v/>
      </c>
      <c r="K961" s="158"/>
      <c r="L961" s="247" t="e">
        <f>VLOOKUP(K961,'Basic Data'!T:U,2,0)</f>
        <v>#N/A</v>
      </c>
      <c r="M961" s="135"/>
      <c r="N961" s="256"/>
      <c r="O961" s="256"/>
      <c r="P961" s="256"/>
      <c r="Q961" s="253" t="str">
        <f>IF(WTG_BD[[#This Row],[Work Start TimeStamp]]="","",(WTG_BD[[#This Row],[Work Start TimeStamp]]-WTG_BD[[#This Row],[Fault Start TimeStamp]])*24)</f>
        <v/>
      </c>
      <c r="R961" s="253">
        <f>(WTG_BD[[#This Row],[Fault Clearance time]]-WTG_BD[[#This Row],[Work Start TimeStamp]])*24</f>
        <v>0</v>
      </c>
      <c r="S961" s="253">
        <f>(WTG_BD[[#This Row],[Fault Clearance time]]-WTG_BD[[#This Row],[Fault Start TimeStamp]])*24</f>
        <v>0</v>
      </c>
      <c r="T961" s="135"/>
      <c r="U961" s="244"/>
      <c r="V961" s="246">
        <f>WTG_BD[[#This Row],[Breakdown Time]]*(1/39)</f>
        <v>0</v>
      </c>
      <c r="W961" s="244"/>
      <c r="X961" s="250"/>
      <c r="Y961" s="135"/>
      <c r="Z961" s="135"/>
      <c r="AA961" s="135"/>
      <c r="AB961" s="249">
        <f>(WTG_BD[[#This Row],[Paired WTG Generation for loss calculation.]]/24)*WTG_BD[[#This Row],[Breakdown Time]]</f>
        <v>0</v>
      </c>
      <c r="AC961" s="135"/>
      <c r="AD961" s="245"/>
      <c r="AE961" s="3"/>
    </row>
    <row r="962" spans="1:31">
      <c r="A962" s="241">
        <f t="shared" si="30"/>
        <v>961</v>
      </c>
      <c r="B962" s="255"/>
      <c r="C962" s="252"/>
      <c r="D962" s="252"/>
      <c r="E962" s="251">
        <f t="shared" si="31"/>
        <v>1</v>
      </c>
      <c r="F962" s="252"/>
      <c r="G962" s="248"/>
      <c r="H962" s="242" t="str">
        <f>IFERROR(VLOOKUP(WTG_BD[[#This Row],[Affected WTG]],'Basic Data'!$A$3:$E$56,2,0),"")</f>
        <v/>
      </c>
      <c r="I962" s="242" t="str">
        <f>IFERROR(VLOOKUP(WTG_BD[[#This Row],[Affected WTG]],'Basic Data'!$A$3:$E$56,3,0),"")</f>
        <v/>
      </c>
      <c r="J962" s="243" t="str">
        <f>IFERROR(VLOOKUP(WTG_BD[[#This Row],[Affected WTG]],'Basic Data'!$A$3:$E$56,5,0),"")</f>
        <v/>
      </c>
      <c r="K962" s="158"/>
      <c r="L962" s="247" t="e">
        <f>VLOOKUP(K962,'Basic Data'!T:U,2,0)</f>
        <v>#N/A</v>
      </c>
      <c r="M962" s="135"/>
      <c r="N962" s="256"/>
      <c r="O962" s="256"/>
      <c r="P962" s="256"/>
      <c r="Q962" s="253" t="str">
        <f>IF(WTG_BD[[#This Row],[Work Start TimeStamp]]="","",(WTG_BD[[#This Row],[Work Start TimeStamp]]-WTG_BD[[#This Row],[Fault Start TimeStamp]])*24)</f>
        <v/>
      </c>
      <c r="R962" s="253">
        <f>(WTG_BD[[#This Row],[Fault Clearance time]]-WTG_BD[[#This Row],[Work Start TimeStamp]])*24</f>
        <v>0</v>
      </c>
      <c r="S962" s="253">
        <f>(WTG_BD[[#This Row],[Fault Clearance time]]-WTG_BD[[#This Row],[Fault Start TimeStamp]])*24</f>
        <v>0</v>
      </c>
      <c r="T962" s="135"/>
      <c r="U962" s="244"/>
      <c r="V962" s="246">
        <f>WTG_BD[[#This Row],[Breakdown Time]]*(1/39)</f>
        <v>0</v>
      </c>
      <c r="W962" s="244"/>
      <c r="X962" s="250"/>
      <c r="Y962" s="135"/>
      <c r="Z962" s="135"/>
      <c r="AA962" s="135"/>
      <c r="AB962" s="249">
        <f>(WTG_BD[[#This Row],[Paired WTG Generation for loss calculation.]]/24)*WTG_BD[[#This Row],[Breakdown Time]]</f>
        <v>0</v>
      </c>
      <c r="AC962" s="135"/>
      <c r="AD962" s="245"/>
      <c r="AE962" s="3"/>
    </row>
    <row r="963" spans="1:31">
      <c r="A963" s="241">
        <f t="shared" si="30"/>
        <v>962</v>
      </c>
      <c r="B963" s="255"/>
      <c r="C963" s="252"/>
      <c r="D963" s="252"/>
      <c r="E963" s="251">
        <f t="shared" si="31"/>
        <v>1</v>
      </c>
      <c r="F963" s="252"/>
      <c r="G963" s="248"/>
      <c r="H963" s="242" t="str">
        <f>IFERROR(VLOOKUP(WTG_BD[[#This Row],[Affected WTG]],'Basic Data'!$A$3:$E$56,2,0),"")</f>
        <v/>
      </c>
      <c r="I963" s="242" t="str">
        <f>IFERROR(VLOOKUP(WTG_BD[[#This Row],[Affected WTG]],'Basic Data'!$A$3:$E$56,3,0),"")</f>
        <v/>
      </c>
      <c r="J963" s="243" t="str">
        <f>IFERROR(VLOOKUP(WTG_BD[[#This Row],[Affected WTG]],'Basic Data'!$A$3:$E$56,5,0),"")</f>
        <v/>
      </c>
      <c r="K963" s="158"/>
      <c r="L963" s="247" t="e">
        <f>VLOOKUP(K963,'Basic Data'!T:U,2,0)</f>
        <v>#N/A</v>
      </c>
      <c r="M963" s="135"/>
      <c r="N963" s="256"/>
      <c r="O963" s="256"/>
      <c r="P963" s="256"/>
      <c r="Q963" s="253" t="str">
        <f>IF(WTG_BD[[#This Row],[Work Start TimeStamp]]="","",(WTG_BD[[#This Row],[Work Start TimeStamp]]-WTG_BD[[#This Row],[Fault Start TimeStamp]])*24)</f>
        <v/>
      </c>
      <c r="R963" s="253">
        <f>(WTG_BD[[#This Row],[Fault Clearance time]]-WTG_BD[[#This Row],[Work Start TimeStamp]])*24</f>
        <v>0</v>
      </c>
      <c r="S963" s="253">
        <f>(WTG_BD[[#This Row],[Fault Clearance time]]-WTG_BD[[#This Row],[Fault Start TimeStamp]])*24</f>
        <v>0</v>
      </c>
      <c r="T963" s="135"/>
      <c r="U963" s="244"/>
      <c r="V963" s="246">
        <f>WTG_BD[[#This Row],[Breakdown Time]]*(1/39)</f>
        <v>0</v>
      </c>
      <c r="W963" s="244"/>
      <c r="X963" s="250"/>
      <c r="Y963" s="135"/>
      <c r="Z963" s="135"/>
      <c r="AA963" s="135"/>
      <c r="AB963" s="249">
        <f>(WTG_BD[[#This Row],[Paired WTG Generation for loss calculation.]]/24)*WTG_BD[[#This Row],[Breakdown Time]]</f>
        <v>0</v>
      </c>
      <c r="AC963" s="135"/>
      <c r="AD963" s="245"/>
      <c r="AE963" s="3"/>
    </row>
    <row r="964" spans="1:31">
      <c r="A964" s="241">
        <f t="shared" si="30"/>
        <v>963</v>
      </c>
      <c r="B964" s="255"/>
      <c r="C964" s="252"/>
      <c r="D964" s="252"/>
      <c r="E964" s="251">
        <f t="shared" si="31"/>
        <v>1</v>
      </c>
      <c r="F964" s="252"/>
      <c r="G964" s="248"/>
      <c r="H964" s="242" t="str">
        <f>IFERROR(VLOOKUP(WTG_BD[[#This Row],[Affected WTG]],'Basic Data'!$A$3:$E$56,2,0),"")</f>
        <v/>
      </c>
      <c r="I964" s="242" t="str">
        <f>IFERROR(VLOOKUP(WTG_BD[[#This Row],[Affected WTG]],'Basic Data'!$A$3:$E$56,3,0),"")</f>
        <v/>
      </c>
      <c r="J964" s="243" t="str">
        <f>IFERROR(VLOOKUP(WTG_BD[[#This Row],[Affected WTG]],'Basic Data'!$A$3:$E$56,5,0),"")</f>
        <v/>
      </c>
      <c r="K964" s="158"/>
      <c r="L964" s="247" t="e">
        <f>VLOOKUP(K964,'Basic Data'!T:U,2,0)</f>
        <v>#N/A</v>
      </c>
      <c r="M964" s="135"/>
      <c r="N964" s="256"/>
      <c r="O964" s="256"/>
      <c r="P964" s="256"/>
      <c r="Q964" s="253" t="str">
        <f>IF(WTG_BD[[#This Row],[Work Start TimeStamp]]="","",(WTG_BD[[#This Row],[Work Start TimeStamp]]-WTG_BD[[#This Row],[Fault Start TimeStamp]])*24)</f>
        <v/>
      </c>
      <c r="R964" s="253">
        <f>(WTG_BD[[#This Row],[Fault Clearance time]]-WTG_BD[[#This Row],[Work Start TimeStamp]])*24</f>
        <v>0</v>
      </c>
      <c r="S964" s="253">
        <f>(WTG_BD[[#This Row],[Fault Clearance time]]-WTG_BD[[#This Row],[Fault Start TimeStamp]])*24</f>
        <v>0</v>
      </c>
      <c r="T964" s="135"/>
      <c r="U964" s="244"/>
      <c r="V964" s="246">
        <f>WTG_BD[[#This Row],[Breakdown Time]]*(1/39)</f>
        <v>0</v>
      </c>
      <c r="W964" s="244"/>
      <c r="X964" s="250"/>
      <c r="Y964" s="135"/>
      <c r="Z964" s="135"/>
      <c r="AA964" s="135"/>
      <c r="AB964" s="249">
        <f>(WTG_BD[[#This Row],[Paired WTG Generation for loss calculation.]]/24)*WTG_BD[[#This Row],[Breakdown Time]]</f>
        <v>0</v>
      </c>
      <c r="AC964" s="135"/>
      <c r="AD964" s="245"/>
      <c r="AE964" s="3"/>
    </row>
    <row r="965" spans="1:31">
      <c r="A965" s="241">
        <f t="shared" si="30"/>
        <v>964</v>
      </c>
      <c r="B965" s="255"/>
      <c r="C965" s="252"/>
      <c r="D965" s="252"/>
      <c r="E965" s="251">
        <f t="shared" si="31"/>
        <v>1</v>
      </c>
      <c r="F965" s="252"/>
      <c r="G965" s="248"/>
      <c r="H965" s="242" t="str">
        <f>IFERROR(VLOOKUP(WTG_BD[[#This Row],[Affected WTG]],'Basic Data'!$A$3:$E$56,2,0),"")</f>
        <v/>
      </c>
      <c r="I965" s="242" t="str">
        <f>IFERROR(VLOOKUP(WTG_BD[[#This Row],[Affected WTG]],'Basic Data'!$A$3:$E$56,3,0),"")</f>
        <v/>
      </c>
      <c r="J965" s="243" t="str">
        <f>IFERROR(VLOOKUP(WTG_BD[[#This Row],[Affected WTG]],'Basic Data'!$A$3:$E$56,5,0),"")</f>
        <v/>
      </c>
      <c r="K965" s="158"/>
      <c r="L965" s="247" t="e">
        <f>VLOOKUP(K965,'Basic Data'!T:U,2,0)</f>
        <v>#N/A</v>
      </c>
      <c r="M965" s="135"/>
      <c r="N965" s="256"/>
      <c r="O965" s="256"/>
      <c r="P965" s="256"/>
      <c r="Q965" s="253" t="str">
        <f>IF(WTG_BD[[#This Row],[Work Start TimeStamp]]="","",(WTG_BD[[#This Row],[Work Start TimeStamp]]-WTG_BD[[#This Row],[Fault Start TimeStamp]])*24)</f>
        <v/>
      </c>
      <c r="R965" s="253">
        <f>(WTG_BD[[#This Row],[Fault Clearance time]]-WTG_BD[[#This Row],[Work Start TimeStamp]])*24</f>
        <v>0</v>
      </c>
      <c r="S965" s="253">
        <f>(WTG_BD[[#This Row],[Fault Clearance time]]-WTG_BD[[#This Row],[Fault Start TimeStamp]])*24</f>
        <v>0</v>
      </c>
      <c r="T965" s="135"/>
      <c r="U965" s="244"/>
      <c r="V965" s="246">
        <f>WTG_BD[[#This Row],[Breakdown Time]]*(1/39)</f>
        <v>0</v>
      </c>
      <c r="W965" s="244"/>
      <c r="X965" s="250"/>
      <c r="Y965" s="135"/>
      <c r="Z965" s="135"/>
      <c r="AA965" s="135"/>
      <c r="AB965" s="249">
        <f>(WTG_BD[[#This Row],[Paired WTG Generation for loss calculation.]]/24)*WTG_BD[[#This Row],[Breakdown Time]]</f>
        <v>0</v>
      </c>
      <c r="AC965" s="135"/>
      <c r="AD965" s="245"/>
      <c r="AE965" s="3"/>
    </row>
    <row r="966" spans="1:31">
      <c r="A966" s="241">
        <f t="shared" ref="A966:A1029" si="32">A965+1</f>
        <v>965</v>
      </c>
      <c r="B966" s="255"/>
      <c r="C966" s="252"/>
      <c r="D966" s="252"/>
      <c r="E966" s="251">
        <f t="shared" si="31"/>
        <v>1</v>
      </c>
      <c r="F966" s="252"/>
      <c r="G966" s="248"/>
      <c r="H966" s="242" t="str">
        <f>IFERROR(VLOOKUP(WTG_BD[[#This Row],[Affected WTG]],'Basic Data'!$A$3:$E$56,2,0),"")</f>
        <v/>
      </c>
      <c r="I966" s="242" t="str">
        <f>IFERROR(VLOOKUP(WTG_BD[[#This Row],[Affected WTG]],'Basic Data'!$A$3:$E$56,3,0),"")</f>
        <v/>
      </c>
      <c r="J966" s="243" t="str">
        <f>IFERROR(VLOOKUP(WTG_BD[[#This Row],[Affected WTG]],'Basic Data'!$A$3:$E$56,5,0),"")</f>
        <v/>
      </c>
      <c r="K966" s="158"/>
      <c r="L966" s="247" t="e">
        <f>VLOOKUP(K966,'Basic Data'!T:U,2,0)</f>
        <v>#N/A</v>
      </c>
      <c r="M966" s="135"/>
      <c r="N966" s="256"/>
      <c r="O966" s="256"/>
      <c r="P966" s="256"/>
      <c r="Q966" s="253" t="str">
        <f>IF(WTG_BD[[#This Row],[Work Start TimeStamp]]="","",(WTG_BD[[#This Row],[Work Start TimeStamp]]-WTG_BD[[#This Row],[Fault Start TimeStamp]])*24)</f>
        <v/>
      </c>
      <c r="R966" s="253">
        <f>(WTG_BD[[#This Row],[Fault Clearance time]]-WTG_BD[[#This Row],[Work Start TimeStamp]])*24</f>
        <v>0</v>
      </c>
      <c r="S966" s="253">
        <f>(WTG_BD[[#This Row],[Fault Clearance time]]-WTG_BD[[#This Row],[Fault Start TimeStamp]])*24</f>
        <v>0</v>
      </c>
      <c r="T966" s="135"/>
      <c r="U966" s="244"/>
      <c r="V966" s="246">
        <f>WTG_BD[[#This Row],[Breakdown Time]]*(1/39)</f>
        <v>0</v>
      </c>
      <c r="W966" s="244"/>
      <c r="X966" s="250"/>
      <c r="Y966" s="135"/>
      <c r="Z966" s="135"/>
      <c r="AA966" s="135"/>
      <c r="AB966" s="249">
        <f>(WTG_BD[[#This Row],[Paired WTG Generation for loss calculation.]]/24)*WTG_BD[[#This Row],[Breakdown Time]]</f>
        <v>0</v>
      </c>
      <c r="AC966" s="135"/>
      <c r="AD966" s="245"/>
      <c r="AE966" s="3"/>
    </row>
    <row r="967" spans="1:31">
      <c r="A967" s="241">
        <f t="shared" si="32"/>
        <v>966</v>
      </c>
      <c r="B967" s="255"/>
      <c r="C967" s="252"/>
      <c r="D967" s="252"/>
      <c r="E967" s="251">
        <f t="shared" si="31"/>
        <v>1</v>
      </c>
      <c r="F967" s="252"/>
      <c r="G967" s="248"/>
      <c r="H967" s="242" t="str">
        <f>IFERROR(VLOOKUP(WTG_BD[[#This Row],[Affected WTG]],'Basic Data'!$A$3:$E$56,2,0),"")</f>
        <v/>
      </c>
      <c r="I967" s="242" t="str">
        <f>IFERROR(VLOOKUP(WTG_BD[[#This Row],[Affected WTG]],'Basic Data'!$A$3:$E$56,3,0),"")</f>
        <v/>
      </c>
      <c r="J967" s="243" t="str">
        <f>IFERROR(VLOOKUP(WTG_BD[[#This Row],[Affected WTG]],'Basic Data'!$A$3:$E$56,5,0),"")</f>
        <v/>
      </c>
      <c r="K967" s="158"/>
      <c r="L967" s="247" t="e">
        <f>VLOOKUP(K967,'Basic Data'!T:U,2,0)</f>
        <v>#N/A</v>
      </c>
      <c r="M967" s="135"/>
      <c r="N967" s="256"/>
      <c r="O967" s="256"/>
      <c r="P967" s="256"/>
      <c r="Q967" s="253" t="str">
        <f>IF(WTG_BD[[#This Row],[Work Start TimeStamp]]="","",(WTG_BD[[#This Row],[Work Start TimeStamp]]-WTG_BD[[#This Row],[Fault Start TimeStamp]])*24)</f>
        <v/>
      </c>
      <c r="R967" s="253">
        <f>(WTG_BD[[#This Row],[Fault Clearance time]]-WTG_BD[[#This Row],[Work Start TimeStamp]])*24</f>
        <v>0</v>
      </c>
      <c r="S967" s="253">
        <f>(WTG_BD[[#This Row],[Fault Clearance time]]-WTG_BD[[#This Row],[Fault Start TimeStamp]])*24</f>
        <v>0</v>
      </c>
      <c r="T967" s="135"/>
      <c r="U967" s="244"/>
      <c r="V967" s="246">
        <f>WTG_BD[[#This Row],[Breakdown Time]]*(1/39)</f>
        <v>0</v>
      </c>
      <c r="W967" s="244"/>
      <c r="X967" s="250"/>
      <c r="Y967" s="135"/>
      <c r="Z967" s="135"/>
      <c r="AA967" s="135"/>
      <c r="AB967" s="249">
        <f>(WTG_BD[[#This Row],[Paired WTG Generation for loss calculation.]]/24)*WTG_BD[[#This Row],[Breakdown Time]]</f>
        <v>0</v>
      </c>
      <c r="AC967" s="135"/>
      <c r="AD967" s="245"/>
      <c r="AE967" s="3"/>
    </row>
    <row r="968" spans="1:31">
      <c r="A968" s="241">
        <f t="shared" si="32"/>
        <v>967</v>
      </c>
      <c r="B968" s="255"/>
      <c r="C968" s="252"/>
      <c r="D968" s="252"/>
      <c r="E968" s="251">
        <f t="shared" si="31"/>
        <v>1</v>
      </c>
      <c r="F968" s="252"/>
      <c r="G968" s="248"/>
      <c r="H968" s="242" t="str">
        <f>IFERROR(VLOOKUP(WTG_BD[[#This Row],[Affected WTG]],'Basic Data'!$A$3:$E$56,2,0),"")</f>
        <v/>
      </c>
      <c r="I968" s="242" t="str">
        <f>IFERROR(VLOOKUP(WTG_BD[[#This Row],[Affected WTG]],'Basic Data'!$A$3:$E$56,3,0),"")</f>
        <v/>
      </c>
      <c r="J968" s="243" t="str">
        <f>IFERROR(VLOOKUP(WTG_BD[[#This Row],[Affected WTG]],'Basic Data'!$A$3:$E$56,5,0),"")</f>
        <v/>
      </c>
      <c r="K968" s="158"/>
      <c r="L968" s="247" t="e">
        <f>VLOOKUP(K968,'Basic Data'!T:U,2,0)</f>
        <v>#N/A</v>
      </c>
      <c r="M968" s="135"/>
      <c r="N968" s="256"/>
      <c r="O968" s="256"/>
      <c r="P968" s="256"/>
      <c r="Q968" s="253" t="str">
        <f>IF(WTG_BD[[#This Row],[Work Start TimeStamp]]="","",(WTG_BD[[#This Row],[Work Start TimeStamp]]-WTG_BD[[#This Row],[Fault Start TimeStamp]])*24)</f>
        <v/>
      </c>
      <c r="R968" s="253">
        <f>(WTG_BD[[#This Row],[Fault Clearance time]]-WTG_BD[[#This Row],[Work Start TimeStamp]])*24</f>
        <v>0</v>
      </c>
      <c r="S968" s="253">
        <f>(WTG_BD[[#This Row],[Fault Clearance time]]-WTG_BD[[#This Row],[Fault Start TimeStamp]])*24</f>
        <v>0</v>
      </c>
      <c r="T968" s="135"/>
      <c r="U968" s="244"/>
      <c r="V968" s="246">
        <f>WTG_BD[[#This Row],[Breakdown Time]]*(1/39)</f>
        <v>0</v>
      </c>
      <c r="W968" s="244"/>
      <c r="X968" s="250"/>
      <c r="Y968" s="135"/>
      <c r="Z968" s="135"/>
      <c r="AA968" s="135"/>
      <c r="AB968" s="249">
        <f>(WTG_BD[[#This Row],[Paired WTG Generation for loss calculation.]]/24)*WTG_BD[[#This Row],[Breakdown Time]]</f>
        <v>0</v>
      </c>
      <c r="AC968" s="135"/>
      <c r="AD968" s="245"/>
      <c r="AE968" s="3"/>
    </row>
    <row r="969" spans="1:31">
      <c r="A969" s="241">
        <f t="shared" si="32"/>
        <v>968</v>
      </c>
      <c r="B969" s="255"/>
      <c r="C969" s="252"/>
      <c r="D969" s="252"/>
      <c r="E969" s="251">
        <f t="shared" si="31"/>
        <v>1</v>
      </c>
      <c r="F969" s="252"/>
      <c r="G969" s="248"/>
      <c r="H969" s="242" t="str">
        <f>IFERROR(VLOOKUP(WTG_BD[[#This Row],[Affected WTG]],'Basic Data'!$A$3:$E$56,2,0),"")</f>
        <v/>
      </c>
      <c r="I969" s="242" t="str">
        <f>IFERROR(VLOOKUP(WTG_BD[[#This Row],[Affected WTG]],'Basic Data'!$A$3:$E$56,3,0),"")</f>
        <v/>
      </c>
      <c r="J969" s="243" t="str">
        <f>IFERROR(VLOOKUP(WTG_BD[[#This Row],[Affected WTG]],'Basic Data'!$A$3:$E$56,5,0),"")</f>
        <v/>
      </c>
      <c r="K969" s="158"/>
      <c r="L969" s="247" t="e">
        <f>VLOOKUP(K969,'Basic Data'!T:U,2,0)</f>
        <v>#N/A</v>
      </c>
      <c r="M969" s="135"/>
      <c r="N969" s="256"/>
      <c r="O969" s="256"/>
      <c r="P969" s="256"/>
      <c r="Q969" s="253" t="str">
        <f>IF(WTG_BD[[#This Row],[Work Start TimeStamp]]="","",(WTG_BD[[#This Row],[Work Start TimeStamp]]-WTG_BD[[#This Row],[Fault Start TimeStamp]])*24)</f>
        <v/>
      </c>
      <c r="R969" s="253">
        <f>(WTG_BD[[#This Row],[Fault Clearance time]]-WTG_BD[[#This Row],[Work Start TimeStamp]])*24</f>
        <v>0</v>
      </c>
      <c r="S969" s="253">
        <f>(WTG_BD[[#This Row],[Fault Clearance time]]-WTG_BD[[#This Row],[Fault Start TimeStamp]])*24</f>
        <v>0</v>
      </c>
      <c r="T969" s="135"/>
      <c r="U969" s="244"/>
      <c r="V969" s="246">
        <f>WTG_BD[[#This Row],[Breakdown Time]]*(1/39)</f>
        <v>0</v>
      </c>
      <c r="W969" s="244"/>
      <c r="X969" s="250"/>
      <c r="Y969" s="135"/>
      <c r="Z969" s="135"/>
      <c r="AA969" s="135"/>
      <c r="AB969" s="249">
        <f>(WTG_BD[[#This Row],[Paired WTG Generation for loss calculation.]]/24)*WTG_BD[[#This Row],[Breakdown Time]]</f>
        <v>0</v>
      </c>
      <c r="AC969" s="135"/>
      <c r="AD969" s="245"/>
      <c r="AE969" s="3"/>
    </row>
    <row r="970" spans="1:31">
      <c r="A970" s="241">
        <f t="shared" si="32"/>
        <v>969</v>
      </c>
      <c r="B970" s="255"/>
      <c r="C970" s="252"/>
      <c r="D970" s="252"/>
      <c r="E970" s="251">
        <f t="shared" si="31"/>
        <v>1</v>
      </c>
      <c r="F970" s="252"/>
      <c r="G970" s="248"/>
      <c r="H970" s="242" t="str">
        <f>IFERROR(VLOOKUP(WTG_BD[[#This Row],[Affected WTG]],'Basic Data'!$A$3:$E$56,2,0),"")</f>
        <v/>
      </c>
      <c r="I970" s="242" t="str">
        <f>IFERROR(VLOOKUP(WTG_BD[[#This Row],[Affected WTG]],'Basic Data'!$A$3:$E$56,3,0),"")</f>
        <v/>
      </c>
      <c r="J970" s="243" t="str">
        <f>IFERROR(VLOOKUP(WTG_BD[[#This Row],[Affected WTG]],'Basic Data'!$A$3:$E$56,5,0),"")</f>
        <v/>
      </c>
      <c r="K970" s="158"/>
      <c r="L970" s="247" t="e">
        <f>VLOOKUP(K970,'Basic Data'!T:U,2,0)</f>
        <v>#N/A</v>
      </c>
      <c r="M970" s="135"/>
      <c r="N970" s="256"/>
      <c r="O970" s="256"/>
      <c r="P970" s="256"/>
      <c r="Q970" s="253" t="str">
        <f>IF(WTG_BD[[#This Row],[Work Start TimeStamp]]="","",(WTG_BD[[#This Row],[Work Start TimeStamp]]-WTG_BD[[#This Row],[Fault Start TimeStamp]])*24)</f>
        <v/>
      </c>
      <c r="R970" s="253">
        <f>(WTG_BD[[#This Row],[Fault Clearance time]]-WTG_BD[[#This Row],[Work Start TimeStamp]])*24</f>
        <v>0</v>
      </c>
      <c r="S970" s="253">
        <f>(WTG_BD[[#This Row],[Fault Clearance time]]-WTG_BD[[#This Row],[Fault Start TimeStamp]])*24</f>
        <v>0</v>
      </c>
      <c r="T970" s="135"/>
      <c r="U970" s="244"/>
      <c r="V970" s="246">
        <f>WTG_BD[[#This Row],[Breakdown Time]]*(1/39)</f>
        <v>0</v>
      </c>
      <c r="W970" s="244"/>
      <c r="X970" s="250"/>
      <c r="Y970" s="135"/>
      <c r="Z970" s="135"/>
      <c r="AA970" s="135"/>
      <c r="AB970" s="249">
        <f>(WTG_BD[[#This Row],[Paired WTG Generation for loss calculation.]]/24)*WTG_BD[[#This Row],[Breakdown Time]]</f>
        <v>0</v>
      </c>
      <c r="AC970" s="135"/>
      <c r="AD970" s="245"/>
      <c r="AE970" s="3"/>
    </row>
    <row r="971" spans="1:31">
      <c r="A971" s="241">
        <f t="shared" si="32"/>
        <v>970</v>
      </c>
      <c r="B971" s="255"/>
      <c r="C971" s="252"/>
      <c r="D971" s="252"/>
      <c r="E971" s="251">
        <f t="shared" si="31"/>
        <v>1</v>
      </c>
      <c r="F971" s="252"/>
      <c r="G971" s="248"/>
      <c r="H971" s="242" t="str">
        <f>IFERROR(VLOOKUP(WTG_BD[[#This Row],[Affected WTG]],'Basic Data'!$A$3:$E$56,2,0),"")</f>
        <v/>
      </c>
      <c r="I971" s="242" t="str">
        <f>IFERROR(VLOOKUP(WTG_BD[[#This Row],[Affected WTG]],'Basic Data'!$A$3:$E$56,3,0),"")</f>
        <v/>
      </c>
      <c r="J971" s="243" t="str">
        <f>IFERROR(VLOOKUP(WTG_BD[[#This Row],[Affected WTG]],'Basic Data'!$A$3:$E$56,5,0),"")</f>
        <v/>
      </c>
      <c r="K971" s="158"/>
      <c r="L971" s="247" t="e">
        <f>VLOOKUP(K971,'Basic Data'!T:U,2,0)</f>
        <v>#N/A</v>
      </c>
      <c r="M971" s="135"/>
      <c r="N971" s="256"/>
      <c r="O971" s="256"/>
      <c r="P971" s="256"/>
      <c r="Q971" s="253" t="str">
        <f>IF(WTG_BD[[#This Row],[Work Start TimeStamp]]="","",(WTG_BD[[#This Row],[Work Start TimeStamp]]-WTG_BD[[#This Row],[Fault Start TimeStamp]])*24)</f>
        <v/>
      </c>
      <c r="R971" s="253">
        <f>(WTG_BD[[#This Row],[Fault Clearance time]]-WTG_BD[[#This Row],[Work Start TimeStamp]])*24</f>
        <v>0</v>
      </c>
      <c r="S971" s="253">
        <f>(WTG_BD[[#This Row],[Fault Clearance time]]-WTG_BD[[#This Row],[Fault Start TimeStamp]])*24</f>
        <v>0</v>
      </c>
      <c r="T971" s="135"/>
      <c r="U971" s="244"/>
      <c r="V971" s="246">
        <f>WTG_BD[[#This Row],[Breakdown Time]]*(1/39)</f>
        <v>0</v>
      </c>
      <c r="W971" s="244"/>
      <c r="X971" s="250"/>
      <c r="Y971" s="135"/>
      <c r="Z971" s="135"/>
      <c r="AA971" s="135"/>
      <c r="AB971" s="249">
        <f>(WTG_BD[[#This Row],[Paired WTG Generation for loss calculation.]]/24)*WTG_BD[[#This Row],[Breakdown Time]]</f>
        <v>0</v>
      </c>
      <c r="AC971" s="135"/>
      <c r="AD971" s="245"/>
      <c r="AE971" s="3"/>
    </row>
    <row r="972" spans="1:31">
      <c r="A972" s="241">
        <f t="shared" si="32"/>
        <v>971</v>
      </c>
      <c r="B972" s="255"/>
      <c r="C972" s="252"/>
      <c r="D972" s="252"/>
      <c r="E972" s="251">
        <f t="shared" si="31"/>
        <v>1</v>
      </c>
      <c r="F972" s="252"/>
      <c r="G972" s="248"/>
      <c r="H972" s="242" t="str">
        <f>IFERROR(VLOOKUP(WTG_BD[[#This Row],[Affected WTG]],'Basic Data'!$A$3:$E$56,2,0),"")</f>
        <v/>
      </c>
      <c r="I972" s="242" t="str">
        <f>IFERROR(VLOOKUP(WTG_BD[[#This Row],[Affected WTG]],'Basic Data'!$A$3:$E$56,3,0),"")</f>
        <v/>
      </c>
      <c r="J972" s="243" t="str">
        <f>IFERROR(VLOOKUP(WTG_BD[[#This Row],[Affected WTG]],'Basic Data'!$A$3:$E$56,5,0),"")</f>
        <v/>
      </c>
      <c r="K972" s="158"/>
      <c r="L972" s="247" t="e">
        <f>VLOOKUP(K972,'Basic Data'!T:U,2,0)</f>
        <v>#N/A</v>
      </c>
      <c r="M972" s="135"/>
      <c r="N972" s="256"/>
      <c r="O972" s="256"/>
      <c r="P972" s="256"/>
      <c r="Q972" s="253" t="str">
        <f>IF(WTG_BD[[#This Row],[Work Start TimeStamp]]="","",(WTG_BD[[#This Row],[Work Start TimeStamp]]-WTG_BD[[#This Row],[Fault Start TimeStamp]])*24)</f>
        <v/>
      </c>
      <c r="R972" s="253">
        <f>(WTG_BD[[#This Row],[Fault Clearance time]]-WTG_BD[[#This Row],[Work Start TimeStamp]])*24</f>
        <v>0</v>
      </c>
      <c r="S972" s="253">
        <f>(WTG_BD[[#This Row],[Fault Clearance time]]-WTG_BD[[#This Row],[Fault Start TimeStamp]])*24</f>
        <v>0</v>
      </c>
      <c r="T972" s="135"/>
      <c r="U972" s="244"/>
      <c r="V972" s="246">
        <f>WTG_BD[[#This Row],[Breakdown Time]]*(1/39)</f>
        <v>0</v>
      </c>
      <c r="W972" s="244"/>
      <c r="X972" s="250"/>
      <c r="Y972" s="135"/>
      <c r="Z972" s="135"/>
      <c r="AA972" s="135"/>
      <c r="AB972" s="249">
        <f>(WTG_BD[[#This Row],[Paired WTG Generation for loss calculation.]]/24)*WTG_BD[[#This Row],[Breakdown Time]]</f>
        <v>0</v>
      </c>
      <c r="AC972" s="135"/>
      <c r="AD972" s="245"/>
      <c r="AE972" s="3"/>
    </row>
    <row r="973" spans="1:31">
      <c r="A973" s="241">
        <f t="shared" si="32"/>
        <v>972</v>
      </c>
      <c r="B973" s="255"/>
      <c r="C973" s="252"/>
      <c r="D973" s="252"/>
      <c r="E973" s="251">
        <f t="shared" si="31"/>
        <v>1</v>
      </c>
      <c r="F973" s="252"/>
      <c r="G973" s="248"/>
      <c r="H973" s="242" t="str">
        <f>IFERROR(VLOOKUP(WTG_BD[[#This Row],[Affected WTG]],'Basic Data'!$A$3:$E$56,2,0),"")</f>
        <v/>
      </c>
      <c r="I973" s="242" t="str">
        <f>IFERROR(VLOOKUP(WTG_BD[[#This Row],[Affected WTG]],'Basic Data'!$A$3:$E$56,3,0),"")</f>
        <v/>
      </c>
      <c r="J973" s="243" t="str">
        <f>IFERROR(VLOOKUP(WTG_BD[[#This Row],[Affected WTG]],'Basic Data'!$A$3:$E$56,5,0),"")</f>
        <v/>
      </c>
      <c r="K973" s="158"/>
      <c r="L973" s="247" t="e">
        <f>VLOOKUP(K973,'Basic Data'!T:U,2,0)</f>
        <v>#N/A</v>
      </c>
      <c r="M973" s="135"/>
      <c r="N973" s="256"/>
      <c r="O973" s="256"/>
      <c r="P973" s="256"/>
      <c r="Q973" s="253" t="str">
        <f>IF(WTG_BD[[#This Row],[Work Start TimeStamp]]="","",(WTG_BD[[#This Row],[Work Start TimeStamp]]-WTG_BD[[#This Row],[Fault Start TimeStamp]])*24)</f>
        <v/>
      </c>
      <c r="R973" s="253">
        <f>(WTG_BD[[#This Row],[Fault Clearance time]]-WTG_BD[[#This Row],[Work Start TimeStamp]])*24</f>
        <v>0</v>
      </c>
      <c r="S973" s="253">
        <f>(WTG_BD[[#This Row],[Fault Clearance time]]-WTG_BD[[#This Row],[Fault Start TimeStamp]])*24</f>
        <v>0</v>
      </c>
      <c r="T973" s="135"/>
      <c r="U973" s="244"/>
      <c r="V973" s="246">
        <f>WTG_BD[[#This Row],[Breakdown Time]]*(1/39)</f>
        <v>0</v>
      </c>
      <c r="W973" s="244"/>
      <c r="X973" s="250"/>
      <c r="Y973" s="135"/>
      <c r="Z973" s="135"/>
      <c r="AA973" s="135"/>
      <c r="AB973" s="249">
        <f>(WTG_BD[[#This Row],[Paired WTG Generation for loss calculation.]]/24)*WTG_BD[[#This Row],[Breakdown Time]]</f>
        <v>0</v>
      </c>
      <c r="AC973" s="135"/>
      <c r="AD973" s="245"/>
      <c r="AE973" s="3"/>
    </row>
    <row r="974" spans="1:31">
      <c r="A974" s="241">
        <f t="shared" si="32"/>
        <v>973</v>
      </c>
      <c r="B974" s="255"/>
      <c r="C974" s="252"/>
      <c r="D974" s="252"/>
      <c r="E974" s="251">
        <f t="shared" si="31"/>
        <v>1</v>
      </c>
      <c r="F974" s="252"/>
      <c r="G974" s="248"/>
      <c r="H974" s="242" t="str">
        <f>IFERROR(VLOOKUP(WTG_BD[[#This Row],[Affected WTG]],'Basic Data'!$A$3:$E$56,2,0),"")</f>
        <v/>
      </c>
      <c r="I974" s="242" t="str">
        <f>IFERROR(VLOOKUP(WTG_BD[[#This Row],[Affected WTG]],'Basic Data'!$A$3:$E$56,3,0),"")</f>
        <v/>
      </c>
      <c r="J974" s="243" t="str">
        <f>IFERROR(VLOOKUP(WTG_BD[[#This Row],[Affected WTG]],'Basic Data'!$A$3:$E$56,5,0),"")</f>
        <v/>
      </c>
      <c r="K974" s="158"/>
      <c r="L974" s="247" t="e">
        <f>VLOOKUP(K974,'Basic Data'!T:U,2,0)</f>
        <v>#N/A</v>
      </c>
      <c r="M974" s="135"/>
      <c r="N974" s="256"/>
      <c r="O974" s="256"/>
      <c r="P974" s="256"/>
      <c r="Q974" s="253" t="str">
        <f>IF(WTG_BD[[#This Row],[Work Start TimeStamp]]="","",(WTG_BD[[#This Row],[Work Start TimeStamp]]-WTG_BD[[#This Row],[Fault Start TimeStamp]])*24)</f>
        <v/>
      </c>
      <c r="R974" s="253">
        <f>(WTG_BD[[#This Row],[Fault Clearance time]]-WTG_BD[[#This Row],[Work Start TimeStamp]])*24</f>
        <v>0</v>
      </c>
      <c r="S974" s="253">
        <f>(WTG_BD[[#This Row],[Fault Clearance time]]-WTG_BD[[#This Row],[Fault Start TimeStamp]])*24</f>
        <v>0</v>
      </c>
      <c r="T974" s="135"/>
      <c r="U974" s="244"/>
      <c r="V974" s="246">
        <f>WTG_BD[[#This Row],[Breakdown Time]]*(1/39)</f>
        <v>0</v>
      </c>
      <c r="W974" s="244"/>
      <c r="X974" s="250"/>
      <c r="Y974" s="135"/>
      <c r="Z974" s="135"/>
      <c r="AA974" s="135"/>
      <c r="AB974" s="249">
        <f>(WTG_BD[[#This Row],[Paired WTG Generation for loss calculation.]]/24)*WTG_BD[[#This Row],[Breakdown Time]]</f>
        <v>0</v>
      </c>
      <c r="AC974" s="135"/>
      <c r="AD974" s="245"/>
      <c r="AE974" s="3"/>
    </row>
    <row r="975" spans="1:31">
      <c r="A975" s="241">
        <f t="shared" si="32"/>
        <v>974</v>
      </c>
      <c r="B975" s="255"/>
      <c r="C975" s="252"/>
      <c r="D975" s="252"/>
      <c r="E975" s="251">
        <f t="shared" si="31"/>
        <v>1</v>
      </c>
      <c r="F975" s="252"/>
      <c r="G975" s="248"/>
      <c r="H975" s="242" t="str">
        <f>IFERROR(VLOOKUP(WTG_BD[[#This Row],[Affected WTG]],'Basic Data'!$A$3:$E$56,2,0),"")</f>
        <v/>
      </c>
      <c r="I975" s="242" t="str">
        <f>IFERROR(VLOOKUP(WTG_BD[[#This Row],[Affected WTG]],'Basic Data'!$A$3:$E$56,3,0),"")</f>
        <v/>
      </c>
      <c r="J975" s="243" t="str">
        <f>IFERROR(VLOOKUP(WTG_BD[[#This Row],[Affected WTG]],'Basic Data'!$A$3:$E$56,5,0),"")</f>
        <v/>
      </c>
      <c r="K975" s="158"/>
      <c r="L975" s="247" t="e">
        <f>VLOOKUP(K975,'Basic Data'!T:U,2,0)</f>
        <v>#N/A</v>
      </c>
      <c r="M975" s="135"/>
      <c r="N975" s="256"/>
      <c r="O975" s="256"/>
      <c r="P975" s="256"/>
      <c r="Q975" s="253" t="str">
        <f>IF(WTG_BD[[#This Row],[Work Start TimeStamp]]="","",(WTG_BD[[#This Row],[Work Start TimeStamp]]-WTG_BD[[#This Row],[Fault Start TimeStamp]])*24)</f>
        <v/>
      </c>
      <c r="R975" s="253">
        <f>(WTG_BD[[#This Row],[Fault Clearance time]]-WTG_BD[[#This Row],[Work Start TimeStamp]])*24</f>
        <v>0</v>
      </c>
      <c r="S975" s="253">
        <f>(WTG_BD[[#This Row],[Fault Clearance time]]-WTG_BD[[#This Row],[Fault Start TimeStamp]])*24</f>
        <v>0</v>
      </c>
      <c r="T975" s="135"/>
      <c r="U975" s="244"/>
      <c r="V975" s="246">
        <f>WTG_BD[[#This Row],[Breakdown Time]]*(1/39)</f>
        <v>0</v>
      </c>
      <c r="W975" s="244"/>
      <c r="X975" s="250"/>
      <c r="Y975" s="135"/>
      <c r="Z975" s="135"/>
      <c r="AA975" s="135"/>
      <c r="AB975" s="249">
        <f>(WTG_BD[[#This Row],[Paired WTG Generation for loss calculation.]]/24)*WTG_BD[[#This Row],[Breakdown Time]]</f>
        <v>0</v>
      </c>
      <c r="AC975" s="135"/>
      <c r="AD975" s="245"/>
      <c r="AE975" s="3"/>
    </row>
    <row r="976" spans="1:31">
      <c r="A976" s="241">
        <f t="shared" si="32"/>
        <v>975</v>
      </c>
      <c r="B976" s="255"/>
      <c r="C976" s="252"/>
      <c r="D976" s="252"/>
      <c r="E976" s="251">
        <f t="shared" si="31"/>
        <v>1</v>
      </c>
      <c r="F976" s="252"/>
      <c r="G976" s="248"/>
      <c r="H976" s="242" t="str">
        <f>IFERROR(VLOOKUP(WTG_BD[[#This Row],[Affected WTG]],'Basic Data'!$A$3:$E$56,2,0),"")</f>
        <v/>
      </c>
      <c r="I976" s="242" t="str">
        <f>IFERROR(VLOOKUP(WTG_BD[[#This Row],[Affected WTG]],'Basic Data'!$A$3:$E$56,3,0),"")</f>
        <v/>
      </c>
      <c r="J976" s="243" t="str">
        <f>IFERROR(VLOOKUP(WTG_BD[[#This Row],[Affected WTG]],'Basic Data'!$A$3:$E$56,5,0),"")</f>
        <v/>
      </c>
      <c r="K976" s="158"/>
      <c r="L976" s="247" t="e">
        <f>VLOOKUP(K976,'Basic Data'!T:U,2,0)</f>
        <v>#N/A</v>
      </c>
      <c r="M976" s="135"/>
      <c r="N976" s="256"/>
      <c r="O976" s="256"/>
      <c r="P976" s="256"/>
      <c r="Q976" s="253" t="str">
        <f>IF(WTG_BD[[#This Row],[Work Start TimeStamp]]="","",(WTG_BD[[#This Row],[Work Start TimeStamp]]-WTG_BD[[#This Row],[Fault Start TimeStamp]])*24)</f>
        <v/>
      </c>
      <c r="R976" s="253">
        <f>(WTG_BD[[#This Row],[Fault Clearance time]]-WTG_BD[[#This Row],[Work Start TimeStamp]])*24</f>
        <v>0</v>
      </c>
      <c r="S976" s="253">
        <f>(WTG_BD[[#This Row],[Fault Clearance time]]-WTG_BD[[#This Row],[Fault Start TimeStamp]])*24</f>
        <v>0</v>
      </c>
      <c r="T976" s="135"/>
      <c r="U976" s="244"/>
      <c r="V976" s="246">
        <f>WTG_BD[[#This Row],[Breakdown Time]]*(1/39)</f>
        <v>0</v>
      </c>
      <c r="W976" s="244"/>
      <c r="X976" s="250"/>
      <c r="Y976" s="135"/>
      <c r="Z976" s="135"/>
      <c r="AA976" s="135"/>
      <c r="AB976" s="249">
        <f>(WTG_BD[[#This Row],[Paired WTG Generation for loss calculation.]]/24)*WTG_BD[[#This Row],[Breakdown Time]]</f>
        <v>0</v>
      </c>
      <c r="AC976" s="135"/>
      <c r="AD976" s="245"/>
      <c r="AE976" s="3"/>
    </row>
    <row r="977" spans="1:31">
      <c r="A977" s="241">
        <f t="shared" si="32"/>
        <v>976</v>
      </c>
      <c r="B977" s="255"/>
      <c r="C977" s="252"/>
      <c r="D977" s="252"/>
      <c r="E977" s="251">
        <f t="shared" si="31"/>
        <v>1</v>
      </c>
      <c r="F977" s="252"/>
      <c r="G977" s="248"/>
      <c r="H977" s="242" t="str">
        <f>IFERROR(VLOOKUP(WTG_BD[[#This Row],[Affected WTG]],'Basic Data'!$A$3:$E$56,2,0),"")</f>
        <v/>
      </c>
      <c r="I977" s="242" t="str">
        <f>IFERROR(VLOOKUP(WTG_BD[[#This Row],[Affected WTG]],'Basic Data'!$A$3:$E$56,3,0),"")</f>
        <v/>
      </c>
      <c r="J977" s="243" t="str">
        <f>IFERROR(VLOOKUP(WTG_BD[[#This Row],[Affected WTG]],'Basic Data'!$A$3:$E$56,5,0),"")</f>
        <v/>
      </c>
      <c r="K977" s="158"/>
      <c r="L977" s="247" t="e">
        <f>VLOOKUP(K977,'Basic Data'!T:U,2,0)</f>
        <v>#N/A</v>
      </c>
      <c r="M977" s="135"/>
      <c r="N977" s="256"/>
      <c r="O977" s="256"/>
      <c r="P977" s="256"/>
      <c r="Q977" s="253" t="str">
        <f>IF(WTG_BD[[#This Row],[Work Start TimeStamp]]="","",(WTG_BD[[#This Row],[Work Start TimeStamp]]-WTG_BD[[#This Row],[Fault Start TimeStamp]])*24)</f>
        <v/>
      </c>
      <c r="R977" s="253">
        <f>(WTG_BD[[#This Row],[Fault Clearance time]]-WTG_BD[[#This Row],[Work Start TimeStamp]])*24</f>
        <v>0</v>
      </c>
      <c r="S977" s="253">
        <f>(WTG_BD[[#This Row],[Fault Clearance time]]-WTG_BD[[#This Row],[Fault Start TimeStamp]])*24</f>
        <v>0</v>
      </c>
      <c r="T977" s="135"/>
      <c r="U977" s="244"/>
      <c r="V977" s="246">
        <f>WTG_BD[[#This Row],[Breakdown Time]]*(1/39)</f>
        <v>0</v>
      </c>
      <c r="W977" s="244"/>
      <c r="X977" s="250"/>
      <c r="Y977" s="135"/>
      <c r="Z977" s="135"/>
      <c r="AA977" s="135"/>
      <c r="AB977" s="249">
        <f>(WTG_BD[[#This Row],[Paired WTG Generation for loss calculation.]]/24)*WTG_BD[[#This Row],[Breakdown Time]]</f>
        <v>0</v>
      </c>
      <c r="AC977" s="135"/>
      <c r="AD977" s="245"/>
      <c r="AE977" s="3"/>
    </row>
    <row r="978" spans="1:31">
      <c r="A978" s="241">
        <f t="shared" si="32"/>
        <v>977</v>
      </c>
      <c r="B978" s="255"/>
      <c r="C978" s="252"/>
      <c r="D978" s="252"/>
      <c r="E978" s="251">
        <f t="shared" si="31"/>
        <v>1</v>
      </c>
      <c r="F978" s="252"/>
      <c r="G978" s="248"/>
      <c r="H978" s="242" t="str">
        <f>IFERROR(VLOOKUP(WTG_BD[[#This Row],[Affected WTG]],'Basic Data'!$A$3:$E$56,2,0),"")</f>
        <v/>
      </c>
      <c r="I978" s="242" t="str">
        <f>IFERROR(VLOOKUP(WTG_BD[[#This Row],[Affected WTG]],'Basic Data'!$A$3:$E$56,3,0),"")</f>
        <v/>
      </c>
      <c r="J978" s="243" t="str">
        <f>IFERROR(VLOOKUP(WTG_BD[[#This Row],[Affected WTG]],'Basic Data'!$A$3:$E$56,5,0),"")</f>
        <v/>
      </c>
      <c r="K978" s="158"/>
      <c r="L978" s="247" t="e">
        <f>VLOOKUP(K978,'Basic Data'!T:U,2,0)</f>
        <v>#N/A</v>
      </c>
      <c r="M978" s="135"/>
      <c r="N978" s="256"/>
      <c r="O978" s="256"/>
      <c r="P978" s="256"/>
      <c r="Q978" s="253" t="str">
        <f>IF(WTG_BD[[#This Row],[Work Start TimeStamp]]="","",(WTG_BD[[#This Row],[Work Start TimeStamp]]-WTG_BD[[#This Row],[Fault Start TimeStamp]])*24)</f>
        <v/>
      </c>
      <c r="R978" s="253">
        <f>(WTG_BD[[#This Row],[Fault Clearance time]]-WTG_BD[[#This Row],[Work Start TimeStamp]])*24</f>
        <v>0</v>
      </c>
      <c r="S978" s="253">
        <f>(WTG_BD[[#This Row],[Fault Clearance time]]-WTG_BD[[#This Row],[Fault Start TimeStamp]])*24</f>
        <v>0</v>
      </c>
      <c r="T978" s="135"/>
      <c r="U978" s="244"/>
      <c r="V978" s="246">
        <f>WTG_BD[[#This Row],[Breakdown Time]]*(1/39)</f>
        <v>0</v>
      </c>
      <c r="W978" s="244"/>
      <c r="X978" s="250"/>
      <c r="Y978" s="135"/>
      <c r="Z978" s="135"/>
      <c r="AA978" s="135"/>
      <c r="AB978" s="249">
        <f>(WTG_BD[[#This Row],[Paired WTG Generation for loss calculation.]]/24)*WTG_BD[[#This Row],[Breakdown Time]]</f>
        <v>0</v>
      </c>
      <c r="AC978" s="135"/>
      <c r="AD978" s="245"/>
      <c r="AE978" s="3"/>
    </row>
    <row r="979" spans="1:31">
      <c r="A979" s="241">
        <f t="shared" si="32"/>
        <v>978</v>
      </c>
      <c r="B979" s="255"/>
      <c r="C979" s="252"/>
      <c r="D979" s="252"/>
      <c r="E979" s="251">
        <f t="shared" si="31"/>
        <v>1</v>
      </c>
      <c r="F979" s="252"/>
      <c r="G979" s="248"/>
      <c r="H979" s="242" t="str">
        <f>IFERROR(VLOOKUP(WTG_BD[[#This Row],[Affected WTG]],'Basic Data'!$A$3:$E$56,2,0),"")</f>
        <v/>
      </c>
      <c r="I979" s="242" t="str">
        <f>IFERROR(VLOOKUP(WTG_BD[[#This Row],[Affected WTG]],'Basic Data'!$A$3:$E$56,3,0),"")</f>
        <v/>
      </c>
      <c r="J979" s="243" t="str">
        <f>IFERROR(VLOOKUP(WTG_BD[[#This Row],[Affected WTG]],'Basic Data'!$A$3:$E$56,5,0),"")</f>
        <v/>
      </c>
      <c r="K979" s="158"/>
      <c r="L979" s="247" t="e">
        <f>VLOOKUP(K979,'Basic Data'!T:U,2,0)</f>
        <v>#N/A</v>
      </c>
      <c r="M979" s="135"/>
      <c r="N979" s="256"/>
      <c r="O979" s="256"/>
      <c r="P979" s="256"/>
      <c r="Q979" s="253" t="str">
        <f>IF(WTG_BD[[#This Row],[Work Start TimeStamp]]="","",(WTG_BD[[#This Row],[Work Start TimeStamp]]-WTG_BD[[#This Row],[Fault Start TimeStamp]])*24)</f>
        <v/>
      </c>
      <c r="R979" s="253">
        <f>(WTG_BD[[#This Row],[Fault Clearance time]]-WTG_BD[[#This Row],[Work Start TimeStamp]])*24</f>
        <v>0</v>
      </c>
      <c r="S979" s="253">
        <f>(WTG_BD[[#This Row],[Fault Clearance time]]-WTG_BD[[#This Row],[Fault Start TimeStamp]])*24</f>
        <v>0</v>
      </c>
      <c r="T979" s="135"/>
      <c r="U979" s="244"/>
      <c r="V979" s="246">
        <f>WTG_BD[[#This Row],[Breakdown Time]]*(1/39)</f>
        <v>0</v>
      </c>
      <c r="W979" s="244"/>
      <c r="X979" s="250"/>
      <c r="Y979" s="135"/>
      <c r="Z979" s="135"/>
      <c r="AA979" s="135"/>
      <c r="AB979" s="249">
        <f>(WTG_BD[[#This Row],[Paired WTG Generation for loss calculation.]]/24)*WTG_BD[[#This Row],[Breakdown Time]]</f>
        <v>0</v>
      </c>
      <c r="AC979" s="135"/>
      <c r="AD979" s="245"/>
      <c r="AE979" s="3"/>
    </row>
    <row r="980" spans="1:31">
      <c r="A980" s="241">
        <f t="shared" si="32"/>
        <v>979</v>
      </c>
      <c r="B980" s="255"/>
      <c r="C980" s="252"/>
      <c r="D980" s="252"/>
      <c r="E980" s="251">
        <f t="shared" si="31"/>
        <v>1</v>
      </c>
      <c r="F980" s="252"/>
      <c r="G980" s="248"/>
      <c r="H980" s="242" t="str">
        <f>IFERROR(VLOOKUP(WTG_BD[[#This Row],[Affected WTG]],'Basic Data'!$A$3:$E$56,2,0),"")</f>
        <v/>
      </c>
      <c r="I980" s="242" t="str">
        <f>IFERROR(VLOOKUP(WTG_BD[[#This Row],[Affected WTG]],'Basic Data'!$A$3:$E$56,3,0),"")</f>
        <v/>
      </c>
      <c r="J980" s="243" t="str">
        <f>IFERROR(VLOOKUP(WTG_BD[[#This Row],[Affected WTG]],'Basic Data'!$A$3:$E$56,5,0),"")</f>
        <v/>
      </c>
      <c r="K980" s="158"/>
      <c r="L980" s="247" t="e">
        <f>VLOOKUP(K980,'Basic Data'!T:U,2,0)</f>
        <v>#N/A</v>
      </c>
      <c r="M980" s="135"/>
      <c r="N980" s="256"/>
      <c r="O980" s="256"/>
      <c r="P980" s="256"/>
      <c r="Q980" s="253" t="str">
        <f>IF(WTG_BD[[#This Row],[Work Start TimeStamp]]="","",(WTG_BD[[#This Row],[Work Start TimeStamp]]-WTG_BD[[#This Row],[Fault Start TimeStamp]])*24)</f>
        <v/>
      </c>
      <c r="R980" s="253">
        <f>(WTG_BD[[#This Row],[Fault Clearance time]]-WTG_BD[[#This Row],[Work Start TimeStamp]])*24</f>
        <v>0</v>
      </c>
      <c r="S980" s="253">
        <f>(WTG_BD[[#This Row],[Fault Clearance time]]-WTG_BD[[#This Row],[Fault Start TimeStamp]])*24</f>
        <v>0</v>
      </c>
      <c r="T980" s="135"/>
      <c r="U980" s="244"/>
      <c r="V980" s="246">
        <f>WTG_BD[[#This Row],[Breakdown Time]]*(1/39)</f>
        <v>0</v>
      </c>
      <c r="W980" s="244"/>
      <c r="X980" s="250"/>
      <c r="Y980" s="135"/>
      <c r="Z980" s="135"/>
      <c r="AA980" s="135"/>
      <c r="AB980" s="249">
        <f>(WTG_BD[[#This Row],[Paired WTG Generation for loss calculation.]]/24)*WTG_BD[[#This Row],[Breakdown Time]]</f>
        <v>0</v>
      </c>
      <c r="AC980" s="135"/>
      <c r="AD980" s="245"/>
      <c r="AE980" s="3"/>
    </row>
    <row r="981" spans="1:31">
      <c r="A981" s="241">
        <f t="shared" si="32"/>
        <v>980</v>
      </c>
      <c r="B981" s="255"/>
      <c r="C981" s="252"/>
      <c r="D981" s="252"/>
      <c r="E981" s="251">
        <f t="shared" si="31"/>
        <v>1</v>
      </c>
      <c r="F981" s="252"/>
      <c r="G981" s="248"/>
      <c r="H981" s="242" t="str">
        <f>IFERROR(VLOOKUP(WTG_BD[[#This Row],[Affected WTG]],'Basic Data'!$A$3:$E$56,2,0),"")</f>
        <v/>
      </c>
      <c r="I981" s="242" t="str">
        <f>IFERROR(VLOOKUP(WTG_BD[[#This Row],[Affected WTG]],'Basic Data'!$A$3:$E$56,3,0),"")</f>
        <v/>
      </c>
      <c r="J981" s="243" t="str">
        <f>IFERROR(VLOOKUP(WTG_BD[[#This Row],[Affected WTG]],'Basic Data'!$A$3:$E$56,5,0),"")</f>
        <v/>
      </c>
      <c r="K981" s="158"/>
      <c r="L981" s="247" t="e">
        <f>VLOOKUP(K981,'Basic Data'!T:U,2,0)</f>
        <v>#N/A</v>
      </c>
      <c r="M981" s="135"/>
      <c r="N981" s="256"/>
      <c r="O981" s="256"/>
      <c r="P981" s="256"/>
      <c r="Q981" s="253" t="str">
        <f>IF(WTG_BD[[#This Row],[Work Start TimeStamp]]="","",(WTG_BD[[#This Row],[Work Start TimeStamp]]-WTG_BD[[#This Row],[Fault Start TimeStamp]])*24)</f>
        <v/>
      </c>
      <c r="R981" s="253">
        <f>(WTG_BD[[#This Row],[Fault Clearance time]]-WTG_BD[[#This Row],[Work Start TimeStamp]])*24</f>
        <v>0</v>
      </c>
      <c r="S981" s="253">
        <f>(WTG_BD[[#This Row],[Fault Clearance time]]-WTG_BD[[#This Row],[Fault Start TimeStamp]])*24</f>
        <v>0</v>
      </c>
      <c r="T981" s="135"/>
      <c r="U981" s="244"/>
      <c r="V981" s="246">
        <f>WTG_BD[[#This Row],[Breakdown Time]]*(1/39)</f>
        <v>0</v>
      </c>
      <c r="W981" s="244"/>
      <c r="X981" s="250"/>
      <c r="Y981" s="135"/>
      <c r="Z981" s="135"/>
      <c r="AA981" s="135"/>
      <c r="AB981" s="249">
        <f>(WTG_BD[[#This Row],[Paired WTG Generation for loss calculation.]]/24)*WTG_BD[[#This Row],[Breakdown Time]]</f>
        <v>0</v>
      </c>
      <c r="AC981" s="135"/>
      <c r="AD981" s="245"/>
      <c r="AE981" s="3"/>
    </row>
    <row r="982" spans="1:31">
      <c r="A982" s="241">
        <f t="shared" si="32"/>
        <v>981</v>
      </c>
      <c r="B982" s="255"/>
      <c r="C982" s="252"/>
      <c r="D982" s="252"/>
      <c r="E982" s="251">
        <f t="shared" si="31"/>
        <v>1</v>
      </c>
      <c r="F982" s="252"/>
      <c r="G982" s="248"/>
      <c r="H982" s="242" t="str">
        <f>IFERROR(VLOOKUP(WTG_BD[[#This Row],[Affected WTG]],'Basic Data'!$A$3:$E$56,2,0),"")</f>
        <v/>
      </c>
      <c r="I982" s="242" t="str">
        <f>IFERROR(VLOOKUP(WTG_BD[[#This Row],[Affected WTG]],'Basic Data'!$A$3:$E$56,3,0),"")</f>
        <v/>
      </c>
      <c r="J982" s="243" t="str">
        <f>IFERROR(VLOOKUP(WTG_BD[[#This Row],[Affected WTG]],'Basic Data'!$A$3:$E$56,5,0),"")</f>
        <v/>
      </c>
      <c r="K982" s="158"/>
      <c r="L982" s="247" t="e">
        <f>VLOOKUP(K982,'Basic Data'!T:U,2,0)</f>
        <v>#N/A</v>
      </c>
      <c r="M982" s="135"/>
      <c r="N982" s="256"/>
      <c r="O982" s="256"/>
      <c r="P982" s="256"/>
      <c r="Q982" s="253" t="str">
        <f>IF(WTG_BD[[#This Row],[Work Start TimeStamp]]="","",(WTG_BD[[#This Row],[Work Start TimeStamp]]-WTG_BD[[#This Row],[Fault Start TimeStamp]])*24)</f>
        <v/>
      </c>
      <c r="R982" s="253">
        <f>(WTG_BD[[#This Row],[Fault Clearance time]]-WTG_BD[[#This Row],[Work Start TimeStamp]])*24</f>
        <v>0</v>
      </c>
      <c r="S982" s="253">
        <f>(WTG_BD[[#This Row],[Fault Clearance time]]-WTG_BD[[#This Row],[Fault Start TimeStamp]])*24</f>
        <v>0</v>
      </c>
      <c r="T982" s="135"/>
      <c r="U982" s="244"/>
      <c r="V982" s="246">
        <f>WTG_BD[[#This Row],[Breakdown Time]]*(1/39)</f>
        <v>0</v>
      </c>
      <c r="W982" s="244"/>
      <c r="X982" s="250"/>
      <c r="Y982" s="135"/>
      <c r="Z982" s="135"/>
      <c r="AA982" s="135"/>
      <c r="AB982" s="249">
        <f>(WTG_BD[[#This Row],[Paired WTG Generation for loss calculation.]]/24)*WTG_BD[[#This Row],[Breakdown Time]]</f>
        <v>0</v>
      </c>
      <c r="AC982" s="135"/>
      <c r="AD982" s="245"/>
      <c r="AE982" s="3"/>
    </row>
    <row r="983" spans="1:31">
      <c r="A983" s="241">
        <f t="shared" si="32"/>
        <v>982</v>
      </c>
      <c r="B983" s="255"/>
      <c r="C983" s="252"/>
      <c r="D983" s="252"/>
      <c r="E983" s="251">
        <f t="shared" si="31"/>
        <v>1</v>
      </c>
      <c r="F983" s="252"/>
      <c r="G983" s="248"/>
      <c r="H983" s="242" t="str">
        <f>IFERROR(VLOOKUP(WTG_BD[[#This Row],[Affected WTG]],'Basic Data'!$A$3:$E$56,2,0),"")</f>
        <v/>
      </c>
      <c r="I983" s="242" t="str">
        <f>IFERROR(VLOOKUP(WTG_BD[[#This Row],[Affected WTG]],'Basic Data'!$A$3:$E$56,3,0),"")</f>
        <v/>
      </c>
      <c r="J983" s="243" t="str">
        <f>IFERROR(VLOOKUP(WTG_BD[[#This Row],[Affected WTG]],'Basic Data'!$A$3:$E$56,5,0),"")</f>
        <v/>
      </c>
      <c r="K983" s="158"/>
      <c r="L983" s="247" t="e">
        <f>VLOOKUP(K983,'Basic Data'!T:U,2,0)</f>
        <v>#N/A</v>
      </c>
      <c r="M983" s="135"/>
      <c r="N983" s="256"/>
      <c r="O983" s="256"/>
      <c r="P983" s="256"/>
      <c r="Q983" s="253" t="str">
        <f>IF(WTG_BD[[#This Row],[Work Start TimeStamp]]="","",(WTG_BD[[#This Row],[Work Start TimeStamp]]-WTG_BD[[#This Row],[Fault Start TimeStamp]])*24)</f>
        <v/>
      </c>
      <c r="R983" s="253">
        <f>(WTG_BD[[#This Row],[Fault Clearance time]]-WTG_BD[[#This Row],[Work Start TimeStamp]])*24</f>
        <v>0</v>
      </c>
      <c r="S983" s="253">
        <f>(WTG_BD[[#This Row],[Fault Clearance time]]-WTG_BD[[#This Row],[Fault Start TimeStamp]])*24</f>
        <v>0</v>
      </c>
      <c r="T983" s="135"/>
      <c r="U983" s="244"/>
      <c r="V983" s="246">
        <f>WTG_BD[[#This Row],[Breakdown Time]]*(1/39)</f>
        <v>0</v>
      </c>
      <c r="W983" s="244"/>
      <c r="X983" s="250"/>
      <c r="Y983" s="135"/>
      <c r="Z983" s="135"/>
      <c r="AA983" s="135"/>
      <c r="AB983" s="249">
        <f>(WTG_BD[[#This Row],[Paired WTG Generation for loss calculation.]]/24)*WTG_BD[[#This Row],[Breakdown Time]]</f>
        <v>0</v>
      </c>
      <c r="AC983" s="135"/>
      <c r="AD983" s="245"/>
      <c r="AE983" s="3"/>
    </row>
    <row r="984" spans="1:31">
      <c r="A984" s="241">
        <f t="shared" si="32"/>
        <v>983</v>
      </c>
      <c r="B984" s="255"/>
      <c r="C984" s="252"/>
      <c r="D984" s="252"/>
      <c r="E984" s="251">
        <f t="shared" si="31"/>
        <v>1</v>
      </c>
      <c r="F984" s="252"/>
      <c r="G984" s="248"/>
      <c r="H984" s="242" t="str">
        <f>IFERROR(VLOOKUP(WTG_BD[[#This Row],[Affected WTG]],'Basic Data'!$A$3:$E$56,2,0),"")</f>
        <v/>
      </c>
      <c r="I984" s="242" t="str">
        <f>IFERROR(VLOOKUP(WTG_BD[[#This Row],[Affected WTG]],'Basic Data'!$A$3:$E$56,3,0),"")</f>
        <v/>
      </c>
      <c r="J984" s="243" t="str">
        <f>IFERROR(VLOOKUP(WTG_BD[[#This Row],[Affected WTG]],'Basic Data'!$A$3:$E$56,5,0),"")</f>
        <v/>
      </c>
      <c r="K984" s="158"/>
      <c r="L984" s="247" t="e">
        <f>VLOOKUP(K984,'Basic Data'!T:U,2,0)</f>
        <v>#N/A</v>
      </c>
      <c r="M984" s="135"/>
      <c r="N984" s="256"/>
      <c r="O984" s="256"/>
      <c r="P984" s="256"/>
      <c r="Q984" s="253" t="str">
        <f>IF(WTG_BD[[#This Row],[Work Start TimeStamp]]="","",(WTG_BD[[#This Row],[Work Start TimeStamp]]-WTG_BD[[#This Row],[Fault Start TimeStamp]])*24)</f>
        <v/>
      </c>
      <c r="R984" s="253">
        <f>(WTG_BD[[#This Row],[Fault Clearance time]]-WTG_BD[[#This Row],[Work Start TimeStamp]])*24</f>
        <v>0</v>
      </c>
      <c r="S984" s="253">
        <f>(WTG_BD[[#This Row],[Fault Clearance time]]-WTG_BD[[#This Row],[Fault Start TimeStamp]])*24</f>
        <v>0</v>
      </c>
      <c r="T984" s="135"/>
      <c r="U984" s="244"/>
      <c r="V984" s="246">
        <f>WTG_BD[[#This Row],[Breakdown Time]]*(1/39)</f>
        <v>0</v>
      </c>
      <c r="W984" s="244"/>
      <c r="X984" s="250"/>
      <c r="Y984" s="135"/>
      <c r="Z984" s="135"/>
      <c r="AA984" s="135"/>
      <c r="AB984" s="249">
        <f>(WTG_BD[[#This Row],[Paired WTG Generation for loss calculation.]]/24)*WTG_BD[[#This Row],[Breakdown Time]]</f>
        <v>0</v>
      </c>
      <c r="AC984" s="135"/>
      <c r="AD984" s="245"/>
      <c r="AE984" s="3"/>
    </row>
    <row r="985" spans="1:31">
      <c r="A985" s="241">
        <f t="shared" si="32"/>
        <v>984</v>
      </c>
      <c r="B985" s="255"/>
      <c r="C985" s="252"/>
      <c r="D985" s="252"/>
      <c r="E985" s="251">
        <f t="shared" si="31"/>
        <v>1</v>
      </c>
      <c r="F985" s="252"/>
      <c r="G985" s="248"/>
      <c r="H985" s="242" t="str">
        <f>IFERROR(VLOOKUP(WTG_BD[[#This Row],[Affected WTG]],'Basic Data'!$A$3:$E$56,2,0),"")</f>
        <v/>
      </c>
      <c r="I985" s="242" t="str">
        <f>IFERROR(VLOOKUP(WTG_BD[[#This Row],[Affected WTG]],'Basic Data'!$A$3:$E$56,3,0),"")</f>
        <v/>
      </c>
      <c r="J985" s="243" t="str">
        <f>IFERROR(VLOOKUP(WTG_BD[[#This Row],[Affected WTG]],'Basic Data'!$A$3:$E$56,5,0),"")</f>
        <v/>
      </c>
      <c r="K985" s="158"/>
      <c r="L985" s="247" t="e">
        <f>VLOOKUP(K985,'Basic Data'!T:U,2,0)</f>
        <v>#N/A</v>
      </c>
      <c r="M985" s="135"/>
      <c r="N985" s="256"/>
      <c r="O985" s="256"/>
      <c r="P985" s="256"/>
      <c r="Q985" s="253" t="str">
        <f>IF(WTG_BD[[#This Row],[Work Start TimeStamp]]="","",(WTG_BD[[#This Row],[Work Start TimeStamp]]-WTG_BD[[#This Row],[Fault Start TimeStamp]])*24)</f>
        <v/>
      </c>
      <c r="R985" s="253">
        <f>(WTG_BD[[#This Row],[Fault Clearance time]]-WTG_BD[[#This Row],[Work Start TimeStamp]])*24</f>
        <v>0</v>
      </c>
      <c r="S985" s="253">
        <f>(WTG_BD[[#This Row],[Fault Clearance time]]-WTG_BD[[#This Row],[Fault Start TimeStamp]])*24</f>
        <v>0</v>
      </c>
      <c r="T985" s="135"/>
      <c r="U985" s="244"/>
      <c r="V985" s="246">
        <f>WTG_BD[[#This Row],[Breakdown Time]]*(1/39)</f>
        <v>0</v>
      </c>
      <c r="W985" s="244"/>
      <c r="X985" s="250"/>
      <c r="Y985" s="135"/>
      <c r="Z985" s="135"/>
      <c r="AA985" s="135"/>
      <c r="AB985" s="249">
        <f>(WTG_BD[[#This Row],[Paired WTG Generation for loss calculation.]]/24)*WTG_BD[[#This Row],[Breakdown Time]]</f>
        <v>0</v>
      </c>
      <c r="AC985" s="135"/>
      <c r="AD985" s="245"/>
      <c r="AE985" s="3"/>
    </row>
    <row r="986" spans="1:31">
      <c r="A986" s="241">
        <f t="shared" si="32"/>
        <v>985</v>
      </c>
      <c r="B986" s="255"/>
      <c r="C986" s="252"/>
      <c r="D986" s="252"/>
      <c r="E986" s="251">
        <f t="shared" si="31"/>
        <v>1</v>
      </c>
      <c r="F986" s="252"/>
      <c r="G986" s="248"/>
      <c r="H986" s="242" t="str">
        <f>IFERROR(VLOOKUP(WTG_BD[[#This Row],[Affected WTG]],'Basic Data'!$A$3:$E$56,2,0),"")</f>
        <v/>
      </c>
      <c r="I986" s="242" t="str">
        <f>IFERROR(VLOOKUP(WTG_BD[[#This Row],[Affected WTG]],'Basic Data'!$A$3:$E$56,3,0),"")</f>
        <v/>
      </c>
      <c r="J986" s="243" t="str">
        <f>IFERROR(VLOOKUP(WTG_BD[[#This Row],[Affected WTG]],'Basic Data'!$A$3:$E$56,5,0),"")</f>
        <v/>
      </c>
      <c r="K986" s="158"/>
      <c r="L986" s="247" t="e">
        <f>VLOOKUP(K986,'Basic Data'!T:U,2,0)</f>
        <v>#N/A</v>
      </c>
      <c r="M986" s="135"/>
      <c r="N986" s="256"/>
      <c r="O986" s="256"/>
      <c r="P986" s="256"/>
      <c r="Q986" s="253" t="str">
        <f>IF(WTG_BD[[#This Row],[Work Start TimeStamp]]="","",(WTG_BD[[#This Row],[Work Start TimeStamp]]-WTG_BD[[#This Row],[Fault Start TimeStamp]])*24)</f>
        <v/>
      </c>
      <c r="R986" s="253">
        <f>(WTG_BD[[#This Row],[Fault Clearance time]]-WTG_BD[[#This Row],[Work Start TimeStamp]])*24</f>
        <v>0</v>
      </c>
      <c r="S986" s="253">
        <f>(WTG_BD[[#This Row],[Fault Clearance time]]-WTG_BD[[#This Row],[Fault Start TimeStamp]])*24</f>
        <v>0</v>
      </c>
      <c r="T986" s="135"/>
      <c r="U986" s="244"/>
      <c r="V986" s="246">
        <f>WTG_BD[[#This Row],[Breakdown Time]]*(1/39)</f>
        <v>0</v>
      </c>
      <c r="W986" s="244"/>
      <c r="X986" s="250"/>
      <c r="Y986" s="135"/>
      <c r="Z986" s="135"/>
      <c r="AA986" s="135"/>
      <c r="AB986" s="249">
        <f>(WTG_BD[[#This Row],[Paired WTG Generation for loss calculation.]]/24)*WTG_BD[[#This Row],[Breakdown Time]]</f>
        <v>0</v>
      </c>
      <c r="AC986" s="135"/>
      <c r="AD986" s="245"/>
      <c r="AE986" s="3"/>
    </row>
    <row r="987" spans="1:31">
      <c r="A987" s="241">
        <f t="shared" si="32"/>
        <v>986</v>
      </c>
      <c r="B987" s="255"/>
      <c r="C987" s="252"/>
      <c r="D987" s="252"/>
      <c r="E987" s="251">
        <f t="shared" si="31"/>
        <v>1</v>
      </c>
      <c r="F987" s="252"/>
      <c r="G987" s="248"/>
      <c r="H987" s="242" t="str">
        <f>IFERROR(VLOOKUP(WTG_BD[[#This Row],[Affected WTG]],'Basic Data'!$A$3:$E$56,2,0),"")</f>
        <v/>
      </c>
      <c r="I987" s="242" t="str">
        <f>IFERROR(VLOOKUP(WTG_BD[[#This Row],[Affected WTG]],'Basic Data'!$A$3:$E$56,3,0),"")</f>
        <v/>
      </c>
      <c r="J987" s="243" t="str">
        <f>IFERROR(VLOOKUP(WTG_BD[[#This Row],[Affected WTG]],'Basic Data'!$A$3:$E$56,5,0),"")</f>
        <v/>
      </c>
      <c r="K987" s="158"/>
      <c r="L987" s="247" t="e">
        <f>VLOOKUP(K987,'Basic Data'!T:U,2,0)</f>
        <v>#N/A</v>
      </c>
      <c r="M987" s="135"/>
      <c r="N987" s="256"/>
      <c r="O987" s="256"/>
      <c r="P987" s="256"/>
      <c r="Q987" s="253" t="str">
        <f>IF(WTG_BD[[#This Row],[Work Start TimeStamp]]="","",(WTG_BD[[#This Row],[Work Start TimeStamp]]-WTG_BD[[#This Row],[Fault Start TimeStamp]])*24)</f>
        <v/>
      </c>
      <c r="R987" s="253">
        <f>(WTG_BD[[#This Row],[Fault Clearance time]]-WTG_BD[[#This Row],[Work Start TimeStamp]])*24</f>
        <v>0</v>
      </c>
      <c r="S987" s="253">
        <f>(WTG_BD[[#This Row],[Fault Clearance time]]-WTG_BD[[#This Row],[Fault Start TimeStamp]])*24</f>
        <v>0</v>
      </c>
      <c r="T987" s="135"/>
      <c r="U987" s="244"/>
      <c r="V987" s="246">
        <f>WTG_BD[[#This Row],[Breakdown Time]]*(1/39)</f>
        <v>0</v>
      </c>
      <c r="W987" s="244"/>
      <c r="X987" s="250"/>
      <c r="Y987" s="135"/>
      <c r="Z987" s="135"/>
      <c r="AA987" s="135"/>
      <c r="AB987" s="249">
        <f>(WTG_BD[[#This Row],[Paired WTG Generation for loss calculation.]]/24)*WTG_BD[[#This Row],[Breakdown Time]]</f>
        <v>0</v>
      </c>
      <c r="AC987" s="135"/>
      <c r="AD987" s="245"/>
      <c r="AE987" s="3"/>
    </row>
    <row r="988" spans="1:31">
      <c r="A988" s="241">
        <f t="shared" si="32"/>
        <v>987</v>
      </c>
      <c r="B988" s="255"/>
      <c r="C988" s="252"/>
      <c r="D988" s="252"/>
      <c r="E988" s="251">
        <f t="shared" si="31"/>
        <v>1</v>
      </c>
      <c r="F988" s="252"/>
      <c r="G988" s="248"/>
      <c r="H988" s="242" t="str">
        <f>IFERROR(VLOOKUP(WTG_BD[[#This Row],[Affected WTG]],'Basic Data'!$A$3:$E$56,2,0),"")</f>
        <v/>
      </c>
      <c r="I988" s="242" t="str">
        <f>IFERROR(VLOOKUP(WTG_BD[[#This Row],[Affected WTG]],'Basic Data'!$A$3:$E$56,3,0),"")</f>
        <v/>
      </c>
      <c r="J988" s="243" t="str">
        <f>IFERROR(VLOOKUP(WTG_BD[[#This Row],[Affected WTG]],'Basic Data'!$A$3:$E$56,5,0),"")</f>
        <v/>
      </c>
      <c r="K988" s="158"/>
      <c r="L988" s="247" t="e">
        <f>VLOOKUP(K988,'Basic Data'!T:U,2,0)</f>
        <v>#N/A</v>
      </c>
      <c r="M988" s="135"/>
      <c r="N988" s="256"/>
      <c r="O988" s="256"/>
      <c r="P988" s="256"/>
      <c r="Q988" s="253" t="str">
        <f>IF(WTG_BD[[#This Row],[Work Start TimeStamp]]="","",(WTG_BD[[#This Row],[Work Start TimeStamp]]-WTG_BD[[#This Row],[Fault Start TimeStamp]])*24)</f>
        <v/>
      </c>
      <c r="R988" s="253">
        <f>(WTG_BD[[#This Row],[Fault Clearance time]]-WTG_BD[[#This Row],[Work Start TimeStamp]])*24</f>
        <v>0</v>
      </c>
      <c r="S988" s="253">
        <f>(WTG_BD[[#This Row],[Fault Clearance time]]-WTG_BD[[#This Row],[Fault Start TimeStamp]])*24</f>
        <v>0</v>
      </c>
      <c r="T988" s="135"/>
      <c r="U988" s="244"/>
      <c r="V988" s="246">
        <f>WTG_BD[[#This Row],[Breakdown Time]]*(1/39)</f>
        <v>0</v>
      </c>
      <c r="W988" s="244"/>
      <c r="X988" s="250"/>
      <c r="Y988" s="135"/>
      <c r="Z988" s="135"/>
      <c r="AA988" s="135"/>
      <c r="AB988" s="249">
        <f>(WTG_BD[[#This Row],[Paired WTG Generation for loss calculation.]]/24)*WTG_BD[[#This Row],[Breakdown Time]]</f>
        <v>0</v>
      </c>
      <c r="AC988" s="135"/>
      <c r="AD988" s="245"/>
      <c r="AE988" s="3"/>
    </row>
    <row r="989" spans="1:31">
      <c r="A989" s="241">
        <f t="shared" si="32"/>
        <v>988</v>
      </c>
      <c r="B989" s="255"/>
      <c r="C989" s="252"/>
      <c r="D989" s="252"/>
      <c r="E989" s="251">
        <f t="shared" si="31"/>
        <v>1</v>
      </c>
      <c r="F989" s="252"/>
      <c r="G989" s="248"/>
      <c r="H989" s="242" t="str">
        <f>IFERROR(VLOOKUP(WTG_BD[[#This Row],[Affected WTG]],'Basic Data'!$A$3:$E$56,2,0),"")</f>
        <v/>
      </c>
      <c r="I989" s="242" t="str">
        <f>IFERROR(VLOOKUP(WTG_BD[[#This Row],[Affected WTG]],'Basic Data'!$A$3:$E$56,3,0),"")</f>
        <v/>
      </c>
      <c r="J989" s="243" t="str">
        <f>IFERROR(VLOOKUP(WTG_BD[[#This Row],[Affected WTG]],'Basic Data'!$A$3:$E$56,5,0),"")</f>
        <v/>
      </c>
      <c r="K989" s="158"/>
      <c r="L989" s="247" t="e">
        <f>VLOOKUP(K989,'Basic Data'!T:U,2,0)</f>
        <v>#N/A</v>
      </c>
      <c r="M989" s="135"/>
      <c r="N989" s="256"/>
      <c r="O989" s="256"/>
      <c r="P989" s="256"/>
      <c r="Q989" s="253" t="str">
        <f>IF(WTG_BD[[#This Row],[Work Start TimeStamp]]="","",(WTG_BD[[#This Row],[Work Start TimeStamp]]-WTG_BD[[#This Row],[Fault Start TimeStamp]])*24)</f>
        <v/>
      </c>
      <c r="R989" s="253">
        <f>(WTG_BD[[#This Row],[Fault Clearance time]]-WTG_BD[[#This Row],[Work Start TimeStamp]])*24</f>
        <v>0</v>
      </c>
      <c r="S989" s="253">
        <f>(WTG_BD[[#This Row],[Fault Clearance time]]-WTG_BD[[#This Row],[Fault Start TimeStamp]])*24</f>
        <v>0</v>
      </c>
      <c r="T989" s="135"/>
      <c r="U989" s="244"/>
      <c r="V989" s="246">
        <f>WTG_BD[[#This Row],[Breakdown Time]]*(1/39)</f>
        <v>0</v>
      </c>
      <c r="W989" s="244"/>
      <c r="X989" s="250"/>
      <c r="Y989" s="135"/>
      <c r="Z989" s="135"/>
      <c r="AA989" s="135"/>
      <c r="AB989" s="249">
        <f>(WTG_BD[[#This Row],[Paired WTG Generation for loss calculation.]]/24)*WTG_BD[[#This Row],[Breakdown Time]]</f>
        <v>0</v>
      </c>
      <c r="AC989" s="135"/>
      <c r="AD989" s="245"/>
      <c r="AE989" s="3"/>
    </row>
    <row r="990" spans="1:31">
      <c r="A990" s="241">
        <f t="shared" si="32"/>
        <v>989</v>
      </c>
      <c r="B990" s="255"/>
      <c r="C990" s="252"/>
      <c r="D990" s="252"/>
      <c r="E990" s="251">
        <f t="shared" si="31"/>
        <v>1</v>
      </c>
      <c r="F990" s="252"/>
      <c r="G990" s="248"/>
      <c r="H990" s="242" t="str">
        <f>IFERROR(VLOOKUP(WTG_BD[[#This Row],[Affected WTG]],'Basic Data'!$A$3:$E$56,2,0),"")</f>
        <v/>
      </c>
      <c r="I990" s="242" t="str">
        <f>IFERROR(VLOOKUP(WTG_BD[[#This Row],[Affected WTG]],'Basic Data'!$A$3:$E$56,3,0),"")</f>
        <v/>
      </c>
      <c r="J990" s="243" t="str">
        <f>IFERROR(VLOOKUP(WTG_BD[[#This Row],[Affected WTG]],'Basic Data'!$A$3:$E$56,5,0),"")</f>
        <v/>
      </c>
      <c r="K990" s="158"/>
      <c r="L990" s="247" t="e">
        <f>VLOOKUP(K990,'Basic Data'!T:U,2,0)</f>
        <v>#N/A</v>
      </c>
      <c r="M990" s="135"/>
      <c r="N990" s="256"/>
      <c r="O990" s="256"/>
      <c r="P990" s="256"/>
      <c r="Q990" s="253" t="str">
        <f>IF(WTG_BD[[#This Row],[Work Start TimeStamp]]="","",(WTG_BD[[#This Row],[Work Start TimeStamp]]-WTG_BD[[#This Row],[Fault Start TimeStamp]])*24)</f>
        <v/>
      </c>
      <c r="R990" s="253">
        <f>(WTG_BD[[#This Row],[Fault Clearance time]]-WTG_BD[[#This Row],[Work Start TimeStamp]])*24</f>
        <v>0</v>
      </c>
      <c r="S990" s="253">
        <f>(WTG_BD[[#This Row],[Fault Clearance time]]-WTG_BD[[#This Row],[Fault Start TimeStamp]])*24</f>
        <v>0</v>
      </c>
      <c r="T990" s="135"/>
      <c r="U990" s="244"/>
      <c r="V990" s="246">
        <f>WTG_BD[[#This Row],[Breakdown Time]]*(1/39)</f>
        <v>0</v>
      </c>
      <c r="W990" s="244"/>
      <c r="X990" s="250"/>
      <c r="Y990" s="135"/>
      <c r="Z990" s="135"/>
      <c r="AA990" s="135"/>
      <c r="AB990" s="249">
        <f>(WTG_BD[[#This Row],[Paired WTG Generation for loss calculation.]]/24)*WTG_BD[[#This Row],[Breakdown Time]]</f>
        <v>0</v>
      </c>
      <c r="AC990" s="135"/>
      <c r="AD990" s="245"/>
      <c r="AE990" s="3"/>
    </row>
    <row r="991" spans="1:31">
      <c r="A991" s="241">
        <f t="shared" si="32"/>
        <v>990</v>
      </c>
      <c r="B991" s="255"/>
      <c r="C991" s="252"/>
      <c r="D991" s="252"/>
      <c r="E991" s="251">
        <f t="shared" si="31"/>
        <v>1</v>
      </c>
      <c r="F991" s="252"/>
      <c r="G991" s="248"/>
      <c r="H991" s="242" t="str">
        <f>IFERROR(VLOOKUP(WTG_BD[[#This Row],[Affected WTG]],'Basic Data'!$A$3:$E$56,2,0),"")</f>
        <v/>
      </c>
      <c r="I991" s="242" t="str">
        <f>IFERROR(VLOOKUP(WTG_BD[[#This Row],[Affected WTG]],'Basic Data'!$A$3:$E$56,3,0),"")</f>
        <v/>
      </c>
      <c r="J991" s="243" t="str">
        <f>IFERROR(VLOOKUP(WTG_BD[[#This Row],[Affected WTG]],'Basic Data'!$A$3:$E$56,5,0),"")</f>
        <v/>
      </c>
      <c r="K991" s="158"/>
      <c r="L991" s="247" t="e">
        <f>VLOOKUP(K991,'Basic Data'!T:U,2,0)</f>
        <v>#N/A</v>
      </c>
      <c r="M991" s="135"/>
      <c r="N991" s="256"/>
      <c r="O991" s="256"/>
      <c r="P991" s="256"/>
      <c r="Q991" s="253" t="str">
        <f>IF(WTG_BD[[#This Row],[Work Start TimeStamp]]="","",(WTG_BD[[#This Row],[Work Start TimeStamp]]-WTG_BD[[#This Row],[Fault Start TimeStamp]])*24)</f>
        <v/>
      </c>
      <c r="R991" s="253">
        <f>(WTG_BD[[#This Row],[Fault Clearance time]]-WTG_BD[[#This Row],[Work Start TimeStamp]])*24</f>
        <v>0</v>
      </c>
      <c r="S991" s="253">
        <f>(WTG_BD[[#This Row],[Fault Clearance time]]-WTG_BD[[#This Row],[Fault Start TimeStamp]])*24</f>
        <v>0</v>
      </c>
      <c r="T991" s="135"/>
      <c r="U991" s="244"/>
      <c r="V991" s="246">
        <f>WTG_BD[[#This Row],[Breakdown Time]]*(1/39)</f>
        <v>0</v>
      </c>
      <c r="W991" s="244"/>
      <c r="X991" s="250"/>
      <c r="Y991" s="135"/>
      <c r="Z991" s="135"/>
      <c r="AA991" s="135"/>
      <c r="AB991" s="249">
        <f>(WTG_BD[[#This Row],[Paired WTG Generation for loss calculation.]]/24)*WTG_BD[[#This Row],[Breakdown Time]]</f>
        <v>0</v>
      </c>
      <c r="AC991" s="135"/>
      <c r="AD991" s="245"/>
      <c r="AE991" s="3"/>
    </row>
    <row r="992" spans="1:31">
      <c r="A992" s="241">
        <f t="shared" si="32"/>
        <v>991</v>
      </c>
      <c r="B992" s="255"/>
      <c r="C992" s="252"/>
      <c r="D992" s="252"/>
      <c r="E992" s="251">
        <f t="shared" si="31"/>
        <v>1</v>
      </c>
      <c r="F992" s="252"/>
      <c r="G992" s="248"/>
      <c r="H992" s="242" t="str">
        <f>IFERROR(VLOOKUP(WTG_BD[[#This Row],[Affected WTG]],'Basic Data'!$A$3:$E$56,2,0),"")</f>
        <v/>
      </c>
      <c r="I992" s="242" t="str">
        <f>IFERROR(VLOOKUP(WTG_BD[[#This Row],[Affected WTG]],'Basic Data'!$A$3:$E$56,3,0),"")</f>
        <v/>
      </c>
      <c r="J992" s="243" t="str">
        <f>IFERROR(VLOOKUP(WTG_BD[[#This Row],[Affected WTG]],'Basic Data'!$A$3:$E$56,5,0),"")</f>
        <v/>
      </c>
      <c r="K992" s="158"/>
      <c r="L992" s="247" t="e">
        <f>VLOOKUP(K992,'Basic Data'!T:U,2,0)</f>
        <v>#N/A</v>
      </c>
      <c r="M992" s="135"/>
      <c r="N992" s="256"/>
      <c r="O992" s="256"/>
      <c r="P992" s="256"/>
      <c r="Q992" s="253" t="str">
        <f>IF(WTG_BD[[#This Row],[Work Start TimeStamp]]="","",(WTG_BD[[#This Row],[Work Start TimeStamp]]-WTG_BD[[#This Row],[Fault Start TimeStamp]])*24)</f>
        <v/>
      </c>
      <c r="R992" s="253">
        <f>(WTG_BD[[#This Row],[Fault Clearance time]]-WTG_BD[[#This Row],[Work Start TimeStamp]])*24</f>
        <v>0</v>
      </c>
      <c r="S992" s="253">
        <f>(WTG_BD[[#This Row],[Fault Clearance time]]-WTG_BD[[#This Row],[Fault Start TimeStamp]])*24</f>
        <v>0</v>
      </c>
      <c r="T992" s="135"/>
      <c r="U992" s="244"/>
      <c r="V992" s="246">
        <f>WTG_BD[[#This Row],[Breakdown Time]]*(1/39)</f>
        <v>0</v>
      </c>
      <c r="W992" s="244"/>
      <c r="X992" s="250"/>
      <c r="Y992" s="135"/>
      <c r="Z992" s="135"/>
      <c r="AA992" s="135"/>
      <c r="AB992" s="249">
        <f>(WTG_BD[[#This Row],[Paired WTG Generation for loss calculation.]]/24)*WTG_BD[[#This Row],[Breakdown Time]]</f>
        <v>0</v>
      </c>
      <c r="AC992" s="135"/>
      <c r="AD992" s="245"/>
      <c r="AE992" s="3"/>
    </row>
    <row r="993" spans="1:31">
      <c r="A993" s="241">
        <f t="shared" si="32"/>
        <v>992</v>
      </c>
      <c r="B993" s="255"/>
      <c r="C993" s="252"/>
      <c r="D993" s="252"/>
      <c r="E993" s="251">
        <f t="shared" si="31"/>
        <v>1</v>
      </c>
      <c r="F993" s="252"/>
      <c r="G993" s="248"/>
      <c r="H993" s="242" t="str">
        <f>IFERROR(VLOOKUP(WTG_BD[[#This Row],[Affected WTG]],'Basic Data'!$A$3:$E$56,2,0),"")</f>
        <v/>
      </c>
      <c r="I993" s="242" t="str">
        <f>IFERROR(VLOOKUP(WTG_BD[[#This Row],[Affected WTG]],'Basic Data'!$A$3:$E$56,3,0),"")</f>
        <v/>
      </c>
      <c r="J993" s="243" t="str">
        <f>IFERROR(VLOOKUP(WTG_BD[[#This Row],[Affected WTG]],'Basic Data'!$A$3:$E$56,5,0),"")</f>
        <v/>
      </c>
      <c r="K993" s="158"/>
      <c r="L993" s="247" t="e">
        <f>VLOOKUP(K993,'Basic Data'!T:U,2,0)</f>
        <v>#N/A</v>
      </c>
      <c r="M993" s="135"/>
      <c r="N993" s="256"/>
      <c r="O993" s="256"/>
      <c r="P993" s="256"/>
      <c r="Q993" s="253" t="str">
        <f>IF(WTG_BD[[#This Row],[Work Start TimeStamp]]="","",(WTG_BD[[#This Row],[Work Start TimeStamp]]-WTG_BD[[#This Row],[Fault Start TimeStamp]])*24)</f>
        <v/>
      </c>
      <c r="R993" s="253">
        <f>(WTG_BD[[#This Row],[Fault Clearance time]]-WTG_BD[[#This Row],[Work Start TimeStamp]])*24</f>
        <v>0</v>
      </c>
      <c r="S993" s="253">
        <f>(WTG_BD[[#This Row],[Fault Clearance time]]-WTG_BD[[#This Row],[Fault Start TimeStamp]])*24</f>
        <v>0</v>
      </c>
      <c r="T993" s="135"/>
      <c r="U993" s="244"/>
      <c r="V993" s="246">
        <f>WTG_BD[[#This Row],[Breakdown Time]]*(1/39)</f>
        <v>0</v>
      </c>
      <c r="W993" s="244"/>
      <c r="X993" s="250"/>
      <c r="Y993" s="135"/>
      <c r="Z993" s="135"/>
      <c r="AA993" s="135"/>
      <c r="AB993" s="249">
        <f>(WTG_BD[[#This Row],[Paired WTG Generation for loss calculation.]]/24)*WTG_BD[[#This Row],[Breakdown Time]]</f>
        <v>0</v>
      </c>
      <c r="AC993" s="135"/>
      <c r="AD993" s="245"/>
      <c r="AE993" s="3"/>
    </row>
    <row r="994" spans="1:31">
      <c r="A994" s="241">
        <f t="shared" si="32"/>
        <v>993</v>
      </c>
      <c r="B994" s="255"/>
      <c r="C994" s="252"/>
      <c r="D994" s="252"/>
      <c r="E994" s="251">
        <f t="shared" si="31"/>
        <v>1</v>
      </c>
      <c r="F994" s="252"/>
      <c r="G994" s="248"/>
      <c r="H994" s="242" t="str">
        <f>IFERROR(VLOOKUP(WTG_BD[[#This Row],[Affected WTG]],'Basic Data'!$A$3:$E$56,2,0),"")</f>
        <v/>
      </c>
      <c r="I994" s="242" t="str">
        <f>IFERROR(VLOOKUP(WTG_BD[[#This Row],[Affected WTG]],'Basic Data'!$A$3:$E$56,3,0),"")</f>
        <v/>
      </c>
      <c r="J994" s="243" t="str">
        <f>IFERROR(VLOOKUP(WTG_BD[[#This Row],[Affected WTG]],'Basic Data'!$A$3:$E$56,5,0),"")</f>
        <v/>
      </c>
      <c r="K994" s="158"/>
      <c r="L994" s="247" t="e">
        <f>VLOOKUP(K994,'Basic Data'!T:U,2,0)</f>
        <v>#N/A</v>
      </c>
      <c r="M994" s="135"/>
      <c r="N994" s="256"/>
      <c r="O994" s="256"/>
      <c r="P994" s="256"/>
      <c r="Q994" s="253" t="str">
        <f>IF(WTG_BD[[#This Row],[Work Start TimeStamp]]="","",(WTG_BD[[#This Row],[Work Start TimeStamp]]-WTG_BD[[#This Row],[Fault Start TimeStamp]])*24)</f>
        <v/>
      </c>
      <c r="R994" s="253">
        <f>(WTG_BD[[#This Row],[Fault Clearance time]]-WTG_BD[[#This Row],[Work Start TimeStamp]])*24</f>
        <v>0</v>
      </c>
      <c r="S994" s="253">
        <f>(WTG_BD[[#This Row],[Fault Clearance time]]-WTG_BD[[#This Row],[Fault Start TimeStamp]])*24</f>
        <v>0</v>
      </c>
      <c r="T994" s="135"/>
      <c r="U994" s="244"/>
      <c r="V994" s="246">
        <f>WTG_BD[[#This Row],[Breakdown Time]]*(1/39)</f>
        <v>0</v>
      </c>
      <c r="W994" s="244"/>
      <c r="X994" s="250"/>
      <c r="Y994" s="135"/>
      <c r="Z994" s="135"/>
      <c r="AA994" s="135"/>
      <c r="AB994" s="249">
        <f>(WTG_BD[[#This Row],[Paired WTG Generation for loss calculation.]]/24)*WTG_BD[[#This Row],[Breakdown Time]]</f>
        <v>0</v>
      </c>
      <c r="AC994" s="135"/>
      <c r="AD994" s="245"/>
      <c r="AE994" s="3"/>
    </row>
    <row r="995" spans="1:31">
      <c r="A995" s="241">
        <f t="shared" si="32"/>
        <v>994</v>
      </c>
      <c r="B995" s="255"/>
      <c r="C995" s="252"/>
      <c r="D995" s="252"/>
      <c r="E995" s="251">
        <f t="shared" si="31"/>
        <v>1</v>
      </c>
      <c r="F995" s="252"/>
      <c r="G995" s="248"/>
      <c r="H995" s="242" t="str">
        <f>IFERROR(VLOOKUP(WTG_BD[[#This Row],[Affected WTG]],'Basic Data'!$A$3:$E$56,2,0),"")</f>
        <v/>
      </c>
      <c r="I995" s="242" t="str">
        <f>IFERROR(VLOOKUP(WTG_BD[[#This Row],[Affected WTG]],'Basic Data'!$A$3:$E$56,3,0),"")</f>
        <v/>
      </c>
      <c r="J995" s="243" t="str">
        <f>IFERROR(VLOOKUP(WTG_BD[[#This Row],[Affected WTG]],'Basic Data'!$A$3:$E$56,5,0),"")</f>
        <v/>
      </c>
      <c r="K995" s="158"/>
      <c r="L995" s="247" t="e">
        <f>VLOOKUP(K995,'Basic Data'!T:U,2,0)</f>
        <v>#N/A</v>
      </c>
      <c r="M995" s="135"/>
      <c r="N995" s="256"/>
      <c r="O995" s="256"/>
      <c r="P995" s="256"/>
      <c r="Q995" s="253" t="str">
        <f>IF(WTG_BD[[#This Row],[Work Start TimeStamp]]="","",(WTG_BD[[#This Row],[Work Start TimeStamp]]-WTG_BD[[#This Row],[Fault Start TimeStamp]])*24)</f>
        <v/>
      </c>
      <c r="R995" s="253">
        <f>(WTG_BD[[#This Row],[Fault Clearance time]]-WTG_BD[[#This Row],[Work Start TimeStamp]])*24</f>
        <v>0</v>
      </c>
      <c r="S995" s="253">
        <f>(WTG_BD[[#This Row],[Fault Clearance time]]-WTG_BD[[#This Row],[Fault Start TimeStamp]])*24</f>
        <v>0</v>
      </c>
      <c r="T995" s="135"/>
      <c r="U995" s="244"/>
      <c r="V995" s="246">
        <f>WTG_BD[[#This Row],[Breakdown Time]]*(1/39)</f>
        <v>0</v>
      </c>
      <c r="W995" s="244"/>
      <c r="X995" s="250"/>
      <c r="Y995" s="135"/>
      <c r="Z995" s="135"/>
      <c r="AA995" s="135"/>
      <c r="AB995" s="249">
        <f>(WTG_BD[[#This Row],[Paired WTG Generation for loss calculation.]]/24)*WTG_BD[[#This Row],[Breakdown Time]]</f>
        <v>0</v>
      </c>
      <c r="AC995" s="135"/>
      <c r="AD995" s="245"/>
      <c r="AE995" s="3"/>
    </row>
    <row r="996" spans="1:31">
      <c r="A996" s="241">
        <f t="shared" si="32"/>
        <v>995</v>
      </c>
      <c r="B996" s="255"/>
      <c r="C996" s="252"/>
      <c r="D996" s="252"/>
      <c r="E996" s="251">
        <f t="shared" si="31"/>
        <v>1</v>
      </c>
      <c r="F996" s="252"/>
      <c r="G996" s="248"/>
      <c r="H996" s="242" t="str">
        <f>IFERROR(VLOOKUP(WTG_BD[[#This Row],[Affected WTG]],'Basic Data'!$A$3:$E$56,2,0),"")</f>
        <v/>
      </c>
      <c r="I996" s="242" t="str">
        <f>IFERROR(VLOOKUP(WTG_BD[[#This Row],[Affected WTG]],'Basic Data'!$A$3:$E$56,3,0),"")</f>
        <v/>
      </c>
      <c r="J996" s="243" t="str">
        <f>IFERROR(VLOOKUP(WTG_BD[[#This Row],[Affected WTG]],'Basic Data'!$A$3:$E$56,5,0),"")</f>
        <v/>
      </c>
      <c r="K996" s="158"/>
      <c r="L996" s="247" t="e">
        <f>VLOOKUP(K996,'Basic Data'!T:U,2,0)</f>
        <v>#N/A</v>
      </c>
      <c r="M996" s="135"/>
      <c r="N996" s="256"/>
      <c r="O996" s="256"/>
      <c r="P996" s="256"/>
      <c r="Q996" s="253" t="str">
        <f>IF(WTG_BD[[#This Row],[Work Start TimeStamp]]="","",(WTG_BD[[#This Row],[Work Start TimeStamp]]-WTG_BD[[#This Row],[Fault Start TimeStamp]])*24)</f>
        <v/>
      </c>
      <c r="R996" s="253">
        <f>(WTG_BD[[#This Row],[Fault Clearance time]]-WTG_BD[[#This Row],[Work Start TimeStamp]])*24</f>
        <v>0</v>
      </c>
      <c r="S996" s="253">
        <f>(WTG_BD[[#This Row],[Fault Clearance time]]-WTG_BD[[#This Row],[Fault Start TimeStamp]])*24</f>
        <v>0</v>
      </c>
      <c r="T996" s="135"/>
      <c r="U996" s="244"/>
      <c r="V996" s="246">
        <f>WTG_BD[[#This Row],[Breakdown Time]]*(1/39)</f>
        <v>0</v>
      </c>
      <c r="W996" s="244"/>
      <c r="X996" s="250"/>
      <c r="Y996" s="135"/>
      <c r="Z996" s="135"/>
      <c r="AA996" s="135"/>
      <c r="AB996" s="249">
        <f>(WTG_BD[[#This Row],[Paired WTG Generation for loss calculation.]]/24)*WTG_BD[[#This Row],[Breakdown Time]]</f>
        <v>0</v>
      </c>
      <c r="AC996" s="135"/>
      <c r="AD996" s="245"/>
      <c r="AE996" s="3"/>
    </row>
    <row r="997" spans="1:31">
      <c r="A997" s="241">
        <f t="shared" si="32"/>
        <v>996</v>
      </c>
      <c r="B997" s="255"/>
      <c r="C997" s="252"/>
      <c r="D997" s="252"/>
      <c r="E997" s="251">
        <f t="shared" si="31"/>
        <v>1</v>
      </c>
      <c r="F997" s="252"/>
      <c r="G997" s="248"/>
      <c r="H997" s="242" t="str">
        <f>IFERROR(VLOOKUP(WTG_BD[[#This Row],[Affected WTG]],'Basic Data'!$A$3:$E$56,2,0),"")</f>
        <v/>
      </c>
      <c r="I997" s="242" t="str">
        <f>IFERROR(VLOOKUP(WTG_BD[[#This Row],[Affected WTG]],'Basic Data'!$A$3:$E$56,3,0),"")</f>
        <v/>
      </c>
      <c r="J997" s="243" t="str">
        <f>IFERROR(VLOOKUP(WTG_BD[[#This Row],[Affected WTG]],'Basic Data'!$A$3:$E$56,5,0),"")</f>
        <v/>
      </c>
      <c r="K997" s="158"/>
      <c r="L997" s="247" t="e">
        <f>VLOOKUP(K997,'Basic Data'!T:U,2,0)</f>
        <v>#N/A</v>
      </c>
      <c r="M997" s="135"/>
      <c r="N997" s="256"/>
      <c r="O997" s="256"/>
      <c r="P997" s="256"/>
      <c r="Q997" s="253" t="str">
        <f>IF(WTG_BD[[#This Row],[Work Start TimeStamp]]="","",(WTG_BD[[#This Row],[Work Start TimeStamp]]-WTG_BD[[#This Row],[Fault Start TimeStamp]])*24)</f>
        <v/>
      </c>
      <c r="R997" s="253">
        <f>(WTG_BD[[#This Row],[Fault Clearance time]]-WTG_BD[[#This Row],[Work Start TimeStamp]])*24</f>
        <v>0</v>
      </c>
      <c r="S997" s="253">
        <f>(WTG_BD[[#This Row],[Fault Clearance time]]-WTG_BD[[#This Row],[Fault Start TimeStamp]])*24</f>
        <v>0</v>
      </c>
      <c r="T997" s="135"/>
      <c r="U997" s="244"/>
      <c r="V997" s="246">
        <f>WTG_BD[[#This Row],[Breakdown Time]]*(1/39)</f>
        <v>0</v>
      </c>
      <c r="W997" s="244"/>
      <c r="X997" s="250"/>
      <c r="Y997" s="135"/>
      <c r="Z997" s="135"/>
      <c r="AA997" s="135"/>
      <c r="AB997" s="249">
        <f>(WTG_BD[[#This Row],[Paired WTG Generation for loss calculation.]]/24)*WTG_BD[[#This Row],[Breakdown Time]]</f>
        <v>0</v>
      </c>
      <c r="AC997" s="135"/>
      <c r="AD997" s="245"/>
      <c r="AE997" s="3"/>
    </row>
    <row r="998" spans="1:31">
      <c r="A998" s="241">
        <f t="shared" si="32"/>
        <v>997</v>
      </c>
      <c r="B998" s="255"/>
      <c r="C998" s="252"/>
      <c r="D998" s="252"/>
      <c r="E998" s="251">
        <f t="shared" si="31"/>
        <v>1</v>
      </c>
      <c r="F998" s="252"/>
      <c r="G998" s="248"/>
      <c r="H998" s="242" t="str">
        <f>IFERROR(VLOOKUP(WTG_BD[[#This Row],[Affected WTG]],'Basic Data'!$A$3:$E$56,2,0),"")</f>
        <v/>
      </c>
      <c r="I998" s="242" t="str">
        <f>IFERROR(VLOOKUP(WTG_BD[[#This Row],[Affected WTG]],'Basic Data'!$A$3:$E$56,3,0),"")</f>
        <v/>
      </c>
      <c r="J998" s="243" t="str">
        <f>IFERROR(VLOOKUP(WTG_BD[[#This Row],[Affected WTG]],'Basic Data'!$A$3:$E$56,5,0),"")</f>
        <v/>
      </c>
      <c r="K998" s="158"/>
      <c r="L998" s="247" t="e">
        <f>VLOOKUP(K998,'Basic Data'!T:U,2,0)</f>
        <v>#N/A</v>
      </c>
      <c r="M998" s="135"/>
      <c r="N998" s="256"/>
      <c r="O998" s="256"/>
      <c r="P998" s="256"/>
      <c r="Q998" s="253" t="str">
        <f>IF(WTG_BD[[#This Row],[Work Start TimeStamp]]="","",(WTG_BD[[#This Row],[Work Start TimeStamp]]-WTG_BD[[#This Row],[Fault Start TimeStamp]])*24)</f>
        <v/>
      </c>
      <c r="R998" s="253">
        <f>(WTG_BD[[#This Row],[Fault Clearance time]]-WTG_BD[[#This Row],[Work Start TimeStamp]])*24</f>
        <v>0</v>
      </c>
      <c r="S998" s="253">
        <f>(WTG_BD[[#This Row],[Fault Clearance time]]-WTG_BD[[#This Row],[Fault Start TimeStamp]])*24</f>
        <v>0</v>
      </c>
      <c r="T998" s="135"/>
      <c r="U998" s="244"/>
      <c r="V998" s="246">
        <f>WTG_BD[[#This Row],[Breakdown Time]]*(1/39)</f>
        <v>0</v>
      </c>
      <c r="W998" s="244"/>
      <c r="X998" s="250"/>
      <c r="Y998" s="135"/>
      <c r="Z998" s="135"/>
      <c r="AA998" s="135"/>
      <c r="AB998" s="249">
        <f>(WTG_BD[[#This Row],[Paired WTG Generation for loss calculation.]]/24)*WTG_BD[[#This Row],[Breakdown Time]]</f>
        <v>0</v>
      </c>
      <c r="AC998" s="135"/>
      <c r="AD998" s="245"/>
      <c r="AE998" s="3"/>
    </row>
    <row r="999" spans="1:31">
      <c r="A999" s="241">
        <f t="shared" si="32"/>
        <v>998</v>
      </c>
      <c r="B999" s="255"/>
      <c r="C999" s="252"/>
      <c r="D999" s="252"/>
      <c r="E999" s="251">
        <f t="shared" si="31"/>
        <v>1</v>
      </c>
      <c r="F999" s="252"/>
      <c r="G999" s="248"/>
      <c r="H999" s="242" t="str">
        <f>IFERROR(VLOOKUP(WTG_BD[[#This Row],[Affected WTG]],'Basic Data'!$A$3:$E$56,2,0),"")</f>
        <v/>
      </c>
      <c r="I999" s="242" t="str">
        <f>IFERROR(VLOOKUP(WTG_BD[[#This Row],[Affected WTG]],'Basic Data'!$A$3:$E$56,3,0),"")</f>
        <v/>
      </c>
      <c r="J999" s="243" t="str">
        <f>IFERROR(VLOOKUP(WTG_BD[[#This Row],[Affected WTG]],'Basic Data'!$A$3:$E$56,5,0),"")</f>
        <v/>
      </c>
      <c r="K999" s="158"/>
      <c r="L999" s="247" t="e">
        <f>VLOOKUP(K999,'Basic Data'!T:U,2,0)</f>
        <v>#N/A</v>
      </c>
      <c r="M999" s="135"/>
      <c r="N999" s="256"/>
      <c r="O999" s="256"/>
      <c r="P999" s="256"/>
      <c r="Q999" s="253" t="str">
        <f>IF(WTG_BD[[#This Row],[Work Start TimeStamp]]="","",(WTG_BD[[#This Row],[Work Start TimeStamp]]-WTG_BD[[#This Row],[Fault Start TimeStamp]])*24)</f>
        <v/>
      </c>
      <c r="R999" s="253">
        <f>(WTG_BD[[#This Row],[Fault Clearance time]]-WTG_BD[[#This Row],[Work Start TimeStamp]])*24</f>
        <v>0</v>
      </c>
      <c r="S999" s="253">
        <f>(WTG_BD[[#This Row],[Fault Clearance time]]-WTG_BD[[#This Row],[Fault Start TimeStamp]])*24</f>
        <v>0</v>
      </c>
      <c r="T999" s="135"/>
      <c r="U999" s="244"/>
      <c r="V999" s="246">
        <f>WTG_BD[[#This Row],[Breakdown Time]]*(1/39)</f>
        <v>0</v>
      </c>
      <c r="W999" s="244"/>
      <c r="X999" s="250"/>
      <c r="Y999" s="135"/>
      <c r="Z999" s="135"/>
      <c r="AA999" s="135"/>
      <c r="AB999" s="249">
        <f>(WTG_BD[[#This Row],[Paired WTG Generation for loss calculation.]]/24)*WTG_BD[[#This Row],[Breakdown Time]]</f>
        <v>0</v>
      </c>
      <c r="AC999" s="135"/>
      <c r="AD999" s="245"/>
      <c r="AE999" s="3"/>
    </row>
    <row r="1000" spans="1:31">
      <c r="A1000" s="241">
        <f t="shared" si="32"/>
        <v>999</v>
      </c>
      <c r="B1000" s="255"/>
      <c r="C1000" s="252"/>
      <c r="D1000" s="252"/>
      <c r="E1000" s="251">
        <f t="shared" si="31"/>
        <v>1</v>
      </c>
      <c r="F1000" s="252"/>
      <c r="G1000" s="248"/>
      <c r="H1000" s="242" t="str">
        <f>IFERROR(VLOOKUP(WTG_BD[[#This Row],[Affected WTG]],'Basic Data'!$A$3:$E$56,2,0),"")</f>
        <v/>
      </c>
      <c r="I1000" s="242" t="str">
        <f>IFERROR(VLOOKUP(WTG_BD[[#This Row],[Affected WTG]],'Basic Data'!$A$3:$E$56,3,0),"")</f>
        <v/>
      </c>
      <c r="J1000" s="243" t="str">
        <f>IFERROR(VLOOKUP(WTG_BD[[#This Row],[Affected WTG]],'Basic Data'!$A$3:$E$56,5,0),"")</f>
        <v/>
      </c>
      <c r="K1000" s="158"/>
      <c r="L1000" s="247" t="e">
        <f>VLOOKUP(K1000,'Basic Data'!T:U,2,0)</f>
        <v>#N/A</v>
      </c>
      <c r="M1000" s="135"/>
      <c r="N1000" s="256"/>
      <c r="O1000" s="256"/>
      <c r="P1000" s="256"/>
      <c r="Q1000" s="253" t="str">
        <f>IF(WTG_BD[[#This Row],[Work Start TimeStamp]]="","",(WTG_BD[[#This Row],[Work Start TimeStamp]]-WTG_BD[[#This Row],[Fault Start TimeStamp]])*24)</f>
        <v/>
      </c>
      <c r="R1000" s="253">
        <f>(WTG_BD[[#This Row],[Fault Clearance time]]-WTG_BD[[#This Row],[Work Start TimeStamp]])*24</f>
        <v>0</v>
      </c>
      <c r="S1000" s="253">
        <f>(WTG_BD[[#This Row],[Fault Clearance time]]-WTG_BD[[#This Row],[Fault Start TimeStamp]])*24</f>
        <v>0</v>
      </c>
      <c r="T1000" s="135"/>
      <c r="U1000" s="244"/>
      <c r="V1000" s="246">
        <f>WTG_BD[[#This Row],[Breakdown Time]]*(1/39)</f>
        <v>0</v>
      </c>
      <c r="W1000" s="244"/>
      <c r="X1000" s="250"/>
      <c r="Y1000" s="135"/>
      <c r="Z1000" s="135"/>
      <c r="AA1000" s="135"/>
      <c r="AB1000" s="249">
        <f>(WTG_BD[[#This Row],[Paired WTG Generation for loss calculation.]]/24)*WTG_BD[[#This Row],[Breakdown Time]]</f>
        <v>0</v>
      </c>
      <c r="AC1000" s="135"/>
      <c r="AD1000" s="245"/>
      <c r="AE1000" s="3"/>
    </row>
    <row r="1001" spans="1:31">
      <c r="A1001" s="241">
        <f t="shared" si="32"/>
        <v>1000</v>
      </c>
      <c r="B1001" s="255"/>
      <c r="C1001" s="252"/>
      <c r="D1001" s="252"/>
      <c r="E1001" s="251">
        <f t="shared" si="31"/>
        <v>1</v>
      </c>
      <c r="F1001" s="252"/>
      <c r="G1001" s="248"/>
      <c r="H1001" s="242" t="str">
        <f>IFERROR(VLOOKUP(WTG_BD[[#This Row],[Affected WTG]],'Basic Data'!$A$3:$E$56,2,0),"")</f>
        <v/>
      </c>
      <c r="I1001" s="242" t="str">
        <f>IFERROR(VLOOKUP(WTG_BD[[#This Row],[Affected WTG]],'Basic Data'!$A$3:$E$56,3,0),"")</f>
        <v/>
      </c>
      <c r="J1001" s="243" t="str">
        <f>IFERROR(VLOOKUP(WTG_BD[[#This Row],[Affected WTG]],'Basic Data'!$A$3:$E$56,5,0),"")</f>
        <v/>
      </c>
      <c r="K1001" s="158"/>
      <c r="L1001" s="247" t="e">
        <f>VLOOKUP(K1001,'Basic Data'!T:U,2,0)</f>
        <v>#N/A</v>
      </c>
      <c r="M1001" s="135"/>
      <c r="N1001" s="256"/>
      <c r="O1001" s="256"/>
      <c r="P1001" s="256"/>
      <c r="Q1001" s="253" t="str">
        <f>IF(WTG_BD[[#This Row],[Work Start TimeStamp]]="","",(WTG_BD[[#This Row],[Work Start TimeStamp]]-WTG_BD[[#This Row],[Fault Start TimeStamp]])*24)</f>
        <v/>
      </c>
      <c r="R1001" s="253">
        <f>(WTG_BD[[#This Row],[Fault Clearance time]]-WTG_BD[[#This Row],[Work Start TimeStamp]])*24</f>
        <v>0</v>
      </c>
      <c r="S1001" s="253">
        <f>(WTG_BD[[#This Row],[Fault Clearance time]]-WTG_BD[[#This Row],[Fault Start TimeStamp]])*24</f>
        <v>0</v>
      </c>
      <c r="T1001" s="135"/>
      <c r="U1001" s="244"/>
      <c r="V1001" s="246">
        <f>WTG_BD[[#This Row],[Breakdown Time]]*(1/39)</f>
        <v>0</v>
      </c>
      <c r="W1001" s="244"/>
      <c r="X1001" s="250"/>
      <c r="Y1001" s="135"/>
      <c r="Z1001" s="135"/>
      <c r="AA1001" s="135"/>
      <c r="AB1001" s="249">
        <f>(WTG_BD[[#This Row],[Paired WTG Generation for loss calculation.]]/24)*WTG_BD[[#This Row],[Breakdown Time]]</f>
        <v>0</v>
      </c>
      <c r="AC1001" s="135"/>
      <c r="AD1001" s="245"/>
      <c r="AE1001" s="3"/>
    </row>
    <row r="1002" spans="1:31">
      <c r="A1002" s="241">
        <f t="shared" si="32"/>
        <v>1001</v>
      </c>
      <c r="B1002" s="255"/>
      <c r="C1002" s="252"/>
      <c r="D1002" s="252"/>
      <c r="E1002" s="251">
        <f t="shared" si="31"/>
        <v>1</v>
      </c>
      <c r="F1002" s="252"/>
      <c r="G1002" s="248"/>
      <c r="H1002" s="242" t="str">
        <f>IFERROR(VLOOKUP(WTG_BD[[#This Row],[Affected WTG]],'Basic Data'!$A$3:$E$56,2,0),"")</f>
        <v/>
      </c>
      <c r="I1002" s="242" t="str">
        <f>IFERROR(VLOOKUP(WTG_BD[[#This Row],[Affected WTG]],'Basic Data'!$A$3:$E$56,3,0),"")</f>
        <v/>
      </c>
      <c r="J1002" s="243" t="str">
        <f>IFERROR(VLOOKUP(WTG_BD[[#This Row],[Affected WTG]],'Basic Data'!$A$3:$E$56,5,0),"")</f>
        <v/>
      </c>
      <c r="K1002" s="158"/>
      <c r="L1002" s="247" t="e">
        <f>VLOOKUP(K1002,'Basic Data'!T:U,2,0)</f>
        <v>#N/A</v>
      </c>
      <c r="M1002" s="135"/>
      <c r="N1002" s="256"/>
      <c r="O1002" s="256"/>
      <c r="P1002" s="256"/>
      <c r="Q1002" s="253" t="str">
        <f>IF(WTG_BD[[#This Row],[Work Start TimeStamp]]="","",(WTG_BD[[#This Row],[Work Start TimeStamp]]-WTG_BD[[#This Row],[Fault Start TimeStamp]])*24)</f>
        <v/>
      </c>
      <c r="R1002" s="253">
        <f>(WTG_BD[[#This Row],[Fault Clearance time]]-WTG_BD[[#This Row],[Work Start TimeStamp]])*24</f>
        <v>0</v>
      </c>
      <c r="S1002" s="253">
        <f>(WTG_BD[[#This Row],[Fault Clearance time]]-WTG_BD[[#This Row],[Fault Start TimeStamp]])*24</f>
        <v>0</v>
      </c>
      <c r="T1002" s="135"/>
      <c r="U1002" s="244"/>
      <c r="V1002" s="246">
        <f>WTG_BD[[#This Row],[Breakdown Time]]*(1/39)</f>
        <v>0</v>
      </c>
      <c r="W1002" s="244"/>
      <c r="X1002" s="250"/>
      <c r="Y1002" s="135"/>
      <c r="Z1002" s="135"/>
      <c r="AA1002" s="135"/>
      <c r="AB1002" s="249">
        <f>(WTG_BD[[#This Row],[Paired WTG Generation for loss calculation.]]/24)*WTG_BD[[#This Row],[Breakdown Time]]</f>
        <v>0</v>
      </c>
      <c r="AC1002" s="135"/>
      <c r="AD1002" s="245"/>
      <c r="AE1002" s="3"/>
    </row>
    <row r="1003" spans="1:31">
      <c r="A1003" s="241">
        <f t="shared" si="32"/>
        <v>1002</v>
      </c>
      <c r="B1003" s="255"/>
      <c r="C1003" s="252"/>
      <c r="D1003" s="252"/>
      <c r="E1003" s="251">
        <f t="shared" si="31"/>
        <v>1</v>
      </c>
      <c r="F1003" s="252"/>
      <c r="G1003" s="248"/>
      <c r="H1003" s="242" t="str">
        <f>IFERROR(VLOOKUP(WTG_BD[[#This Row],[Affected WTG]],'Basic Data'!$A$3:$E$56,2,0),"")</f>
        <v/>
      </c>
      <c r="I1003" s="242" t="str">
        <f>IFERROR(VLOOKUP(WTG_BD[[#This Row],[Affected WTG]],'Basic Data'!$A$3:$E$56,3,0),"")</f>
        <v/>
      </c>
      <c r="J1003" s="243" t="str">
        <f>IFERROR(VLOOKUP(WTG_BD[[#This Row],[Affected WTG]],'Basic Data'!$A$3:$E$56,5,0),"")</f>
        <v/>
      </c>
      <c r="K1003" s="158"/>
      <c r="L1003" s="247" t="e">
        <f>VLOOKUP(K1003,'Basic Data'!T:U,2,0)</f>
        <v>#N/A</v>
      </c>
      <c r="M1003" s="135"/>
      <c r="N1003" s="256"/>
      <c r="O1003" s="256"/>
      <c r="P1003" s="256"/>
      <c r="Q1003" s="253" t="str">
        <f>IF(WTG_BD[[#This Row],[Work Start TimeStamp]]="","",(WTG_BD[[#This Row],[Work Start TimeStamp]]-WTG_BD[[#This Row],[Fault Start TimeStamp]])*24)</f>
        <v/>
      </c>
      <c r="R1003" s="253">
        <f>(WTG_BD[[#This Row],[Fault Clearance time]]-WTG_BD[[#This Row],[Work Start TimeStamp]])*24</f>
        <v>0</v>
      </c>
      <c r="S1003" s="253">
        <f>(WTG_BD[[#This Row],[Fault Clearance time]]-WTG_BD[[#This Row],[Fault Start TimeStamp]])*24</f>
        <v>0</v>
      </c>
      <c r="T1003" s="135"/>
      <c r="U1003" s="244"/>
      <c r="V1003" s="246">
        <f>WTG_BD[[#This Row],[Breakdown Time]]*(1/39)</f>
        <v>0</v>
      </c>
      <c r="W1003" s="244"/>
      <c r="X1003" s="250"/>
      <c r="Y1003" s="135"/>
      <c r="Z1003" s="135"/>
      <c r="AA1003" s="135"/>
      <c r="AB1003" s="249">
        <f>(WTG_BD[[#This Row],[Paired WTG Generation for loss calculation.]]/24)*WTG_BD[[#This Row],[Breakdown Time]]</f>
        <v>0</v>
      </c>
      <c r="AC1003" s="135"/>
      <c r="AD1003" s="245"/>
      <c r="AE1003" s="3"/>
    </row>
    <row r="1004" spans="1:31">
      <c r="A1004" s="241">
        <f t="shared" si="32"/>
        <v>1003</v>
      </c>
      <c r="B1004" s="255"/>
      <c r="C1004" s="252"/>
      <c r="D1004" s="252"/>
      <c r="E1004" s="251">
        <f t="shared" si="31"/>
        <v>1</v>
      </c>
      <c r="F1004" s="252"/>
      <c r="G1004" s="248"/>
      <c r="H1004" s="242" t="str">
        <f>IFERROR(VLOOKUP(WTG_BD[[#This Row],[Affected WTG]],'Basic Data'!$A$3:$E$56,2,0),"")</f>
        <v/>
      </c>
      <c r="I1004" s="242" t="str">
        <f>IFERROR(VLOOKUP(WTG_BD[[#This Row],[Affected WTG]],'Basic Data'!$A$3:$E$56,3,0),"")</f>
        <v/>
      </c>
      <c r="J1004" s="243" t="str">
        <f>IFERROR(VLOOKUP(WTG_BD[[#This Row],[Affected WTG]],'Basic Data'!$A$3:$E$56,5,0),"")</f>
        <v/>
      </c>
      <c r="K1004" s="158"/>
      <c r="L1004" s="247" t="e">
        <f>VLOOKUP(K1004,'Basic Data'!T:U,2,0)</f>
        <v>#N/A</v>
      </c>
      <c r="M1004" s="135"/>
      <c r="N1004" s="256"/>
      <c r="O1004" s="256"/>
      <c r="P1004" s="256"/>
      <c r="Q1004" s="253" t="str">
        <f>IF(WTG_BD[[#This Row],[Work Start TimeStamp]]="","",(WTG_BD[[#This Row],[Work Start TimeStamp]]-WTG_BD[[#This Row],[Fault Start TimeStamp]])*24)</f>
        <v/>
      </c>
      <c r="R1004" s="253">
        <f>(WTG_BD[[#This Row],[Fault Clearance time]]-WTG_BD[[#This Row],[Work Start TimeStamp]])*24</f>
        <v>0</v>
      </c>
      <c r="S1004" s="253">
        <f>(WTG_BD[[#This Row],[Fault Clearance time]]-WTG_BD[[#This Row],[Fault Start TimeStamp]])*24</f>
        <v>0</v>
      </c>
      <c r="T1004" s="135"/>
      <c r="U1004" s="244"/>
      <c r="V1004" s="246">
        <f>WTG_BD[[#This Row],[Breakdown Time]]*(1/39)</f>
        <v>0</v>
      </c>
      <c r="W1004" s="244"/>
      <c r="X1004" s="250"/>
      <c r="Y1004" s="135"/>
      <c r="Z1004" s="135"/>
      <c r="AA1004" s="135"/>
      <c r="AB1004" s="249">
        <f>(WTG_BD[[#This Row],[Paired WTG Generation for loss calculation.]]/24)*WTG_BD[[#This Row],[Breakdown Time]]</f>
        <v>0</v>
      </c>
      <c r="AC1004" s="135"/>
      <c r="AD1004" s="245"/>
      <c r="AE1004" s="3"/>
    </row>
    <row r="1005" spans="1:31">
      <c r="A1005" s="241">
        <f t="shared" si="32"/>
        <v>1004</v>
      </c>
      <c r="B1005" s="255"/>
      <c r="C1005" s="252"/>
      <c r="D1005" s="252"/>
      <c r="E1005" s="251">
        <f t="shared" si="31"/>
        <v>1</v>
      </c>
      <c r="F1005" s="252"/>
      <c r="G1005" s="248"/>
      <c r="H1005" s="242" t="str">
        <f>IFERROR(VLOOKUP(WTG_BD[[#This Row],[Affected WTG]],'Basic Data'!$A$3:$E$56,2,0),"")</f>
        <v/>
      </c>
      <c r="I1005" s="242" t="str">
        <f>IFERROR(VLOOKUP(WTG_BD[[#This Row],[Affected WTG]],'Basic Data'!$A$3:$E$56,3,0),"")</f>
        <v/>
      </c>
      <c r="J1005" s="243" t="str">
        <f>IFERROR(VLOOKUP(WTG_BD[[#This Row],[Affected WTG]],'Basic Data'!$A$3:$E$56,5,0),"")</f>
        <v/>
      </c>
      <c r="K1005" s="158"/>
      <c r="L1005" s="247" t="e">
        <f>VLOOKUP(K1005,'Basic Data'!T:U,2,0)</f>
        <v>#N/A</v>
      </c>
      <c r="M1005" s="135"/>
      <c r="N1005" s="256"/>
      <c r="O1005" s="256"/>
      <c r="P1005" s="256"/>
      <c r="Q1005" s="253" t="str">
        <f>IF(WTG_BD[[#This Row],[Work Start TimeStamp]]="","",(WTG_BD[[#This Row],[Work Start TimeStamp]]-WTG_BD[[#This Row],[Fault Start TimeStamp]])*24)</f>
        <v/>
      </c>
      <c r="R1005" s="253">
        <f>(WTG_BD[[#This Row],[Fault Clearance time]]-WTG_BD[[#This Row],[Work Start TimeStamp]])*24</f>
        <v>0</v>
      </c>
      <c r="S1005" s="253">
        <f>(WTG_BD[[#This Row],[Fault Clearance time]]-WTG_BD[[#This Row],[Fault Start TimeStamp]])*24</f>
        <v>0</v>
      </c>
      <c r="T1005" s="135"/>
      <c r="U1005" s="244"/>
      <c r="V1005" s="246">
        <f>WTG_BD[[#This Row],[Breakdown Time]]*(1/39)</f>
        <v>0</v>
      </c>
      <c r="W1005" s="244"/>
      <c r="X1005" s="250"/>
      <c r="Y1005" s="135"/>
      <c r="Z1005" s="135"/>
      <c r="AA1005" s="135"/>
      <c r="AB1005" s="249">
        <f>(WTG_BD[[#This Row],[Paired WTG Generation for loss calculation.]]/24)*WTG_BD[[#This Row],[Breakdown Time]]</f>
        <v>0</v>
      </c>
      <c r="AC1005" s="135"/>
      <c r="AD1005" s="245"/>
      <c r="AE1005" s="3"/>
    </row>
    <row r="1006" spans="1:31">
      <c r="A1006" s="241">
        <f t="shared" si="32"/>
        <v>1005</v>
      </c>
      <c r="B1006" s="255"/>
      <c r="C1006" s="252"/>
      <c r="D1006" s="252"/>
      <c r="E1006" s="251">
        <f t="shared" si="31"/>
        <v>1</v>
      </c>
      <c r="F1006" s="252"/>
      <c r="G1006" s="248"/>
      <c r="H1006" s="242" t="str">
        <f>IFERROR(VLOOKUP(WTG_BD[[#This Row],[Affected WTG]],'Basic Data'!$A$3:$E$56,2,0),"")</f>
        <v/>
      </c>
      <c r="I1006" s="242" t="str">
        <f>IFERROR(VLOOKUP(WTG_BD[[#This Row],[Affected WTG]],'Basic Data'!$A$3:$E$56,3,0),"")</f>
        <v/>
      </c>
      <c r="J1006" s="243" t="str">
        <f>IFERROR(VLOOKUP(WTG_BD[[#This Row],[Affected WTG]],'Basic Data'!$A$3:$E$56,5,0),"")</f>
        <v/>
      </c>
      <c r="K1006" s="158"/>
      <c r="L1006" s="247" t="e">
        <f>VLOOKUP(K1006,'Basic Data'!T:U,2,0)</f>
        <v>#N/A</v>
      </c>
      <c r="M1006" s="135"/>
      <c r="N1006" s="256"/>
      <c r="O1006" s="256"/>
      <c r="P1006" s="256"/>
      <c r="Q1006" s="253" t="str">
        <f>IF(WTG_BD[[#This Row],[Work Start TimeStamp]]="","",(WTG_BD[[#This Row],[Work Start TimeStamp]]-WTG_BD[[#This Row],[Fault Start TimeStamp]])*24)</f>
        <v/>
      </c>
      <c r="R1006" s="253">
        <f>(WTG_BD[[#This Row],[Fault Clearance time]]-WTG_BD[[#This Row],[Work Start TimeStamp]])*24</f>
        <v>0</v>
      </c>
      <c r="S1006" s="253">
        <f>(WTG_BD[[#This Row],[Fault Clearance time]]-WTG_BD[[#This Row],[Fault Start TimeStamp]])*24</f>
        <v>0</v>
      </c>
      <c r="T1006" s="135"/>
      <c r="U1006" s="244"/>
      <c r="V1006" s="246">
        <f>WTG_BD[[#This Row],[Breakdown Time]]*(1/39)</f>
        <v>0</v>
      </c>
      <c r="W1006" s="244"/>
      <c r="X1006" s="250"/>
      <c r="Y1006" s="135"/>
      <c r="Z1006" s="135"/>
      <c r="AA1006" s="135"/>
      <c r="AB1006" s="249">
        <f>(WTG_BD[[#This Row],[Paired WTG Generation for loss calculation.]]/24)*WTG_BD[[#This Row],[Breakdown Time]]</f>
        <v>0</v>
      </c>
      <c r="AC1006" s="135"/>
      <c r="AD1006" s="245"/>
      <c r="AE1006" s="3"/>
    </row>
    <row r="1007" spans="1:31">
      <c r="A1007" s="241">
        <f t="shared" si="32"/>
        <v>1006</v>
      </c>
      <c r="B1007" s="255"/>
      <c r="C1007" s="252"/>
      <c r="D1007" s="252"/>
      <c r="E1007" s="251">
        <f t="shared" si="31"/>
        <v>1</v>
      </c>
      <c r="F1007" s="252"/>
      <c r="G1007" s="248"/>
      <c r="H1007" s="242" t="str">
        <f>IFERROR(VLOOKUP(WTG_BD[[#This Row],[Affected WTG]],'Basic Data'!$A$3:$E$56,2,0),"")</f>
        <v/>
      </c>
      <c r="I1007" s="242" t="str">
        <f>IFERROR(VLOOKUP(WTG_BD[[#This Row],[Affected WTG]],'Basic Data'!$A$3:$E$56,3,0),"")</f>
        <v/>
      </c>
      <c r="J1007" s="243" t="str">
        <f>IFERROR(VLOOKUP(WTG_BD[[#This Row],[Affected WTG]],'Basic Data'!$A$3:$E$56,5,0),"")</f>
        <v/>
      </c>
      <c r="K1007" s="158"/>
      <c r="L1007" s="247" t="e">
        <f>VLOOKUP(K1007,'Basic Data'!T:U,2,0)</f>
        <v>#N/A</v>
      </c>
      <c r="M1007" s="135"/>
      <c r="N1007" s="256"/>
      <c r="O1007" s="256"/>
      <c r="P1007" s="256"/>
      <c r="Q1007" s="253" t="str">
        <f>IF(WTG_BD[[#This Row],[Work Start TimeStamp]]="","",(WTG_BD[[#This Row],[Work Start TimeStamp]]-WTG_BD[[#This Row],[Fault Start TimeStamp]])*24)</f>
        <v/>
      </c>
      <c r="R1007" s="253">
        <f>(WTG_BD[[#This Row],[Fault Clearance time]]-WTG_BD[[#This Row],[Work Start TimeStamp]])*24</f>
        <v>0</v>
      </c>
      <c r="S1007" s="253">
        <f>(WTG_BD[[#This Row],[Fault Clearance time]]-WTG_BD[[#This Row],[Fault Start TimeStamp]])*24</f>
        <v>0</v>
      </c>
      <c r="T1007" s="135"/>
      <c r="U1007" s="244"/>
      <c r="V1007" s="246">
        <f>WTG_BD[[#This Row],[Breakdown Time]]*(1/39)</f>
        <v>0</v>
      </c>
      <c r="W1007" s="244"/>
      <c r="X1007" s="250"/>
      <c r="Y1007" s="135"/>
      <c r="Z1007" s="135"/>
      <c r="AA1007" s="135"/>
      <c r="AB1007" s="249">
        <f>(WTG_BD[[#This Row],[Paired WTG Generation for loss calculation.]]/24)*WTG_BD[[#This Row],[Breakdown Time]]</f>
        <v>0</v>
      </c>
      <c r="AC1007" s="135"/>
      <c r="AD1007" s="245"/>
      <c r="AE1007" s="3"/>
    </row>
    <row r="1008" spans="1:31">
      <c r="A1008" s="241">
        <f t="shared" si="32"/>
        <v>1007</v>
      </c>
      <c r="B1008" s="255"/>
      <c r="C1008" s="252"/>
      <c r="D1008" s="252"/>
      <c r="E1008" s="251">
        <f t="shared" si="31"/>
        <v>1</v>
      </c>
      <c r="F1008" s="252"/>
      <c r="G1008" s="248"/>
      <c r="H1008" s="242" t="str">
        <f>IFERROR(VLOOKUP(WTG_BD[[#This Row],[Affected WTG]],'Basic Data'!$A$3:$E$56,2,0),"")</f>
        <v/>
      </c>
      <c r="I1008" s="242" t="str">
        <f>IFERROR(VLOOKUP(WTG_BD[[#This Row],[Affected WTG]],'Basic Data'!$A$3:$E$56,3,0),"")</f>
        <v/>
      </c>
      <c r="J1008" s="243" t="str">
        <f>IFERROR(VLOOKUP(WTG_BD[[#This Row],[Affected WTG]],'Basic Data'!$A$3:$E$56,5,0),"")</f>
        <v/>
      </c>
      <c r="K1008" s="158"/>
      <c r="L1008" s="247" t="e">
        <f>VLOOKUP(K1008,'Basic Data'!T:U,2,0)</f>
        <v>#N/A</v>
      </c>
      <c r="M1008" s="135"/>
      <c r="N1008" s="256"/>
      <c r="O1008" s="256"/>
      <c r="P1008" s="256"/>
      <c r="Q1008" s="253" t="str">
        <f>IF(WTG_BD[[#This Row],[Work Start TimeStamp]]="","",(WTG_BD[[#This Row],[Work Start TimeStamp]]-WTG_BD[[#This Row],[Fault Start TimeStamp]])*24)</f>
        <v/>
      </c>
      <c r="R1008" s="253">
        <f>(WTG_BD[[#This Row],[Fault Clearance time]]-WTG_BD[[#This Row],[Work Start TimeStamp]])*24</f>
        <v>0</v>
      </c>
      <c r="S1008" s="253">
        <f>(WTG_BD[[#This Row],[Fault Clearance time]]-WTG_BD[[#This Row],[Fault Start TimeStamp]])*24</f>
        <v>0</v>
      </c>
      <c r="T1008" s="135"/>
      <c r="U1008" s="244"/>
      <c r="V1008" s="246">
        <f>WTG_BD[[#This Row],[Breakdown Time]]*(1/39)</f>
        <v>0</v>
      </c>
      <c r="W1008" s="244"/>
      <c r="X1008" s="250"/>
      <c r="Y1008" s="135"/>
      <c r="Z1008" s="135"/>
      <c r="AA1008" s="135"/>
      <c r="AB1008" s="249">
        <f>(WTG_BD[[#This Row],[Paired WTG Generation for loss calculation.]]/24)*WTG_BD[[#This Row],[Breakdown Time]]</f>
        <v>0</v>
      </c>
      <c r="AC1008" s="135"/>
      <c r="AD1008" s="245"/>
      <c r="AE1008" s="3"/>
    </row>
    <row r="1009" spans="1:31">
      <c r="A1009" s="241">
        <f t="shared" si="32"/>
        <v>1008</v>
      </c>
      <c r="B1009" s="255"/>
      <c r="C1009" s="252"/>
      <c r="D1009" s="252"/>
      <c r="E1009" s="251">
        <f t="shared" si="31"/>
        <v>1</v>
      </c>
      <c r="F1009" s="252"/>
      <c r="G1009" s="248"/>
      <c r="H1009" s="242" t="str">
        <f>IFERROR(VLOOKUP(WTG_BD[[#This Row],[Affected WTG]],'Basic Data'!$A$3:$E$56,2,0),"")</f>
        <v/>
      </c>
      <c r="I1009" s="242" t="str">
        <f>IFERROR(VLOOKUP(WTG_BD[[#This Row],[Affected WTG]],'Basic Data'!$A$3:$E$56,3,0),"")</f>
        <v/>
      </c>
      <c r="J1009" s="243" t="str">
        <f>IFERROR(VLOOKUP(WTG_BD[[#This Row],[Affected WTG]],'Basic Data'!$A$3:$E$56,5,0),"")</f>
        <v/>
      </c>
      <c r="K1009" s="158"/>
      <c r="L1009" s="247" t="e">
        <f>VLOOKUP(K1009,'Basic Data'!T:U,2,0)</f>
        <v>#N/A</v>
      </c>
      <c r="M1009" s="135"/>
      <c r="N1009" s="256"/>
      <c r="O1009" s="256"/>
      <c r="P1009" s="256"/>
      <c r="Q1009" s="253" t="str">
        <f>IF(WTG_BD[[#This Row],[Work Start TimeStamp]]="","",(WTG_BD[[#This Row],[Work Start TimeStamp]]-WTG_BD[[#This Row],[Fault Start TimeStamp]])*24)</f>
        <v/>
      </c>
      <c r="R1009" s="253">
        <f>(WTG_BD[[#This Row],[Fault Clearance time]]-WTG_BD[[#This Row],[Work Start TimeStamp]])*24</f>
        <v>0</v>
      </c>
      <c r="S1009" s="253">
        <f>(WTG_BD[[#This Row],[Fault Clearance time]]-WTG_BD[[#This Row],[Fault Start TimeStamp]])*24</f>
        <v>0</v>
      </c>
      <c r="T1009" s="135"/>
      <c r="U1009" s="244"/>
      <c r="V1009" s="246">
        <f>WTG_BD[[#This Row],[Breakdown Time]]*(1/39)</f>
        <v>0</v>
      </c>
      <c r="W1009" s="244"/>
      <c r="X1009" s="250"/>
      <c r="Y1009" s="135"/>
      <c r="Z1009" s="135"/>
      <c r="AA1009" s="135"/>
      <c r="AB1009" s="249">
        <f>(WTG_BD[[#This Row],[Paired WTG Generation for loss calculation.]]/24)*WTG_BD[[#This Row],[Breakdown Time]]</f>
        <v>0</v>
      </c>
      <c r="AC1009" s="135"/>
      <c r="AD1009" s="245"/>
      <c r="AE1009" s="3"/>
    </row>
    <row r="1010" spans="1:31">
      <c r="A1010" s="241">
        <f t="shared" si="32"/>
        <v>1009</v>
      </c>
      <c r="B1010" s="255"/>
      <c r="C1010" s="252"/>
      <c r="D1010" s="252"/>
      <c r="E1010" s="251">
        <f t="shared" si="31"/>
        <v>1</v>
      </c>
      <c r="F1010" s="252"/>
      <c r="G1010" s="248"/>
      <c r="H1010" s="242" t="str">
        <f>IFERROR(VLOOKUP(WTG_BD[[#This Row],[Affected WTG]],'Basic Data'!$A$3:$E$56,2,0),"")</f>
        <v/>
      </c>
      <c r="I1010" s="242" t="str">
        <f>IFERROR(VLOOKUP(WTG_BD[[#This Row],[Affected WTG]],'Basic Data'!$A$3:$E$56,3,0),"")</f>
        <v/>
      </c>
      <c r="J1010" s="243" t="str">
        <f>IFERROR(VLOOKUP(WTG_BD[[#This Row],[Affected WTG]],'Basic Data'!$A$3:$E$56,5,0),"")</f>
        <v/>
      </c>
      <c r="K1010" s="158"/>
      <c r="L1010" s="247" t="e">
        <f>VLOOKUP(K1010,'Basic Data'!T:U,2,0)</f>
        <v>#N/A</v>
      </c>
      <c r="M1010" s="135"/>
      <c r="N1010" s="256"/>
      <c r="O1010" s="256"/>
      <c r="P1010" s="256"/>
      <c r="Q1010" s="253" t="str">
        <f>IF(WTG_BD[[#This Row],[Work Start TimeStamp]]="","",(WTG_BD[[#This Row],[Work Start TimeStamp]]-WTG_BD[[#This Row],[Fault Start TimeStamp]])*24)</f>
        <v/>
      </c>
      <c r="R1010" s="253">
        <f>(WTG_BD[[#This Row],[Fault Clearance time]]-WTG_BD[[#This Row],[Work Start TimeStamp]])*24</f>
        <v>0</v>
      </c>
      <c r="S1010" s="253">
        <f>(WTG_BD[[#This Row],[Fault Clearance time]]-WTG_BD[[#This Row],[Fault Start TimeStamp]])*24</f>
        <v>0</v>
      </c>
      <c r="T1010" s="135"/>
      <c r="U1010" s="244"/>
      <c r="V1010" s="246">
        <f>WTG_BD[[#This Row],[Breakdown Time]]*(1/39)</f>
        <v>0</v>
      </c>
      <c r="W1010" s="244"/>
      <c r="X1010" s="250"/>
      <c r="Y1010" s="135"/>
      <c r="Z1010" s="135"/>
      <c r="AA1010" s="135"/>
      <c r="AB1010" s="249">
        <f>(WTG_BD[[#This Row],[Paired WTG Generation for loss calculation.]]/24)*WTG_BD[[#This Row],[Breakdown Time]]</f>
        <v>0</v>
      </c>
      <c r="AC1010" s="135"/>
      <c r="AD1010" s="245"/>
      <c r="AE1010" s="3"/>
    </row>
    <row r="1011" spans="1:31">
      <c r="A1011" s="241">
        <f t="shared" si="32"/>
        <v>1010</v>
      </c>
      <c r="B1011" s="255"/>
      <c r="C1011" s="252"/>
      <c r="D1011" s="252"/>
      <c r="E1011" s="251">
        <f t="shared" si="31"/>
        <v>1</v>
      </c>
      <c r="F1011" s="252"/>
      <c r="G1011" s="248"/>
      <c r="H1011" s="242" t="str">
        <f>IFERROR(VLOOKUP(WTG_BD[[#This Row],[Affected WTG]],'Basic Data'!$A$3:$E$56,2,0),"")</f>
        <v/>
      </c>
      <c r="I1011" s="242" t="str">
        <f>IFERROR(VLOOKUP(WTG_BD[[#This Row],[Affected WTG]],'Basic Data'!$A$3:$E$56,3,0),"")</f>
        <v/>
      </c>
      <c r="J1011" s="243" t="str">
        <f>IFERROR(VLOOKUP(WTG_BD[[#This Row],[Affected WTG]],'Basic Data'!$A$3:$E$56,5,0),"")</f>
        <v/>
      </c>
      <c r="K1011" s="158"/>
      <c r="L1011" s="247" t="e">
        <f>VLOOKUP(K1011,'Basic Data'!T:U,2,0)</f>
        <v>#N/A</v>
      </c>
      <c r="M1011" s="135"/>
      <c r="N1011" s="256"/>
      <c r="O1011" s="256"/>
      <c r="P1011" s="256"/>
      <c r="Q1011" s="253" t="str">
        <f>IF(WTG_BD[[#This Row],[Work Start TimeStamp]]="","",(WTG_BD[[#This Row],[Work Start TimeStamp]]-WTG_BD[[#This Row],[Fault Start TimeStamp]])*24)</f>
        <v/>
      </c>
      <c r="R1011" s="253">
        <f>(WTG_BD[[#This Row],[Fault Clearance time]]-WTG_BD[[#This Row],[Work Start TimeStamp]])*24</f>
        <v>0</v>
      </c>
      <c r="S1011" s="253">
        <f>(WTG_BD[[#This Row],[Fault Clearance time]]-WTG_BD[[#This Row],[Fault Start TimeStamp]])*24</f>
        <v>0</v>
      </c>
      <c r="T1011" s="135"/>
      <c r="U1011" s="244"/>
      <c r="V1011" s="246">
        <f>WTG_BD[[#This Row],[Breakdown Time]]*(1/39)</f>
        <v>0</v>
      </c>
      <c r="W1011" s="244"/>
      <c r="X1011" s="250"/>
      <c r="Y1011" s="135"/>
      <c r="Z1011" s="135"/>
      <c r="AA1011" s="135"/>
      <c r="AB1011" s="249">
        <f>(WTG_BD[[#This Row],[Paired WTG Generation for loss calculation.]]/24)*WTG_BD[[#This Row],[Breakdown Time]]</f>
        <v>0</v>
      </c>
      <c r="AC1011" s="135"/>
      <c r="AD1011" s="245"/>
      <c r="AE1011" s="3"/>
    </row>
    <row r="1012" spans="1:31">
      <c r="A1012" s="241">
        <f t="shared" si="32"/>
        <v>1011</v>
      </c>
      <c r="B1012" s="255"/>
      <c r="C1012" s="252"/>
      <c r="D1012" s="252"/>
      <c r="E1012" s="251">
        <f t="shared" si="31"/>
        <v>1</v>
      </c>
      <c r="F1012" s="252"/>
      <c r="G1012" s="248"/>
      <c r="H1012" s="242" t="str">
        <f>IFERROR(VLOOKUP(WTG_BD[[#This Row],[Affected WTG]],'Basic Data'!$A$3:$E$56,2,0),"")</f>
        <v/>
      </c>
      <c r="I1012" s="242" t="str">
        <f>IFERROR(VLOOKUP(WTG_BD[[#This Row],[Affected WTG]],'Basic Data'!$A$3:$E$56,3,0),"")</f>
        <v/>
      </c>
      <c r="J1012" s="243" t="str">
        <f>IFERROR(VLOOKUP(WTG_BD[[#This Row],[Affected WTG]],'Basic Data'!$A$3:$E$56,5,0),"")</f>
        <v/>
      </c>
      <c r="K1012" s="158"/>
      <c r="L1012" s="247" t="e">
        <f>VLOOKUP(K1012,'Basic Data'!T:U,2,0)</f>
        <v>#N/A</v>
      </c>
      <c r="M1012" s="135"/>
      <c r="N1012" s="256"/>
      <c r="O1012" s="256"/>
      <c r="P1012" s="256"/>
      <c r="Q1012" s="253" t="str">
        <f>IF(WTG_BD[[#This Row],[Work Start TimeStamp]]="","",(WTG_BD[[#This Row],[Work Start TimeStamp]]-WTG_BD[[#This Row],[Fault Start TimeStamp]])*24)</f>
        <v/>
      </c>
      <c r="R1012" s="253">
        <f>(WTG_BD[[#This Row],[Fault Clearance time]]-WTG_BD[[#This Row],[Work Start TimeStamp]])*24</f>
        <v>0</v>
      </c>
      <c r="S1012" s="253">
        <f>(WTG_BD[[#This Row],[Fault Clearance time]]-WTG_BD[[#This Row],[Fault Start TimeStamp]])*24</f>
        <v>0</v>
      </c>
      <c r="T1012" s="135"/>
      <c r="U1012" s="244"/>
      <c r="V1012" s="246">
        <f>WTG_BD[[#This Row],[Breakdown Time]]*(1/39)</f>
        <v>0</v>
      </c>
      <c r="W1012" s="244"/>
      <c r="X1012" s="250"/>
      <c r="Y1012" s="135"/>
      <c r="Z1012" s="135"/>
      <c r="AA1012" s="135"/>
      <c r="AB1012" s="249">
        <f>(WTG_BD[[#This Row],[Paired WTG Generation for loss calculation.]]/24)*WTG_BD[[#This Row],[Breakdown Time]]</f>
        <v>0</v>
      </c>
      <c r="AC1012" s="135"/>
      <c r="AD1012" s="245"/>
      <c r="AE1012" s="3"/>
    </row>
    <row r="1013" spans="1:31">
      <c r="A1013" s="241">
        <f t="shared" si="32"/>
        <v>1012</v>
      </c>
      <c r="B1013" s="255"/>
      <c r="C1013" s="252"/>
      <c r="D1013" s="252"/>
      <c r="E1013" s="251">
        <f t="shared" si="31"/>
        <v>1</v>
      </c>
      <c r="F1013" s="252"/>
      <c r="G1013" s="248"/>
      <c r="H1013" s="242" t="str">
        <f>IFERROR(VLOOKUP(WTG_BD[[#This Row],[Affected WTG]],'Basic Data'!$A$3:$E$56,2,0),"")</f>
        <v/>
      </c>
      <c r="I1013" s="242" t="str">
        <f>IFERROR(VLOOKUP(WTG_BD[[#This Row],[Affected WTG]],'Basic Data'!$A$3:$E$56,3,0),"")</f>
        <v/>
      </c>
      <c r="J1013" s="243" t="str">
        <f>IFERROR(VLOOKUP(WTG_BD[[#This Row],[Affected WTG]],'Basic Data'!$A$3:$E$56,5,0),"")</f>
        <v/>
      </c>
      <c r="K1013" s="158"/>
      <c r="L1013" s="247" t="e">
        <f>VLOOKUP(K1013,'Basic Data'!T:U,2,0)</f>
        <v>#N/A</v>
      </c>
      <c r="M1013" s="135"/>
      <c r="N1013" s="256"/>
      <c r="O1013" s="256"/>
      <c r="P1013" s="256"/>
      <c r="Q1013" s="253" t="str">
        <f>IF(WTG_BD[[#This Row],[Work Start TimeStamp]]="","",(WTG_BD[[#This Row],[Work Start TimeStamp]]-WTG_BD[[#This Row],[Fault Start TimeStamp]])*24)</f>
        <v/>
      </c>
      <c r="R1013" s="253">
        <f>(WTG_BD[[#This Row],[Fault Clearance time]]-WTG_BD[[#This Row],[Work Start TimeStamp]])*24</f>
        <v>0</v>
      </c>
      <c r="S1013" s="253">
        <f>(WTG_BD[[#This Row],[Fault Clearance time]]-WTG_BD[[#This Row],[Fault Start TimeStamp]])*24</f>
        <v>0</v>
      </c>
      <c r="T1013" s="135"/>
      <c r="U1013" s="244"/>
      <c r="V1013" s="246">
        <f>WTG_BD[[#This Row],[Breakdown Time]]*(1/39)</f>
        <v>0</v>
      </c>
      <c r="W1013" s="244"/>
      <c r="X1013" s="250"/>
      <c r="Y1013" s="135"/>
      <c r="Z1013" s="135"/>
      <c r="AA1013" s="135"/>
      <c r="AB1013" s="249">
        <f>(WTG_BD[[#This Row],[Paired WTG Generation for loss calculation.]]/24)*WTG_BD[[#This Row],[Breakdown Time]]</f>
        <v>0</v>
      </c>
      <c r="AC1013" s="135"/>
      <c r="AD1013" s="245"/>
      <c r="AE1013" s="3"/>
    </row>
    <row r="1014" spans="1:31">
      <c r="A1014" s="241">
        <f t="shared" si="32"/>
        <v>1013</v>
      </c>
      <c r="B1014" s="255"/>
      <c r="C1014" s="252"/>
      <c r="D1014" s="252"/>
      <c r="E1014" s="251">
        <f t="shared" si="31"/>
        <v>1</v>
      </c>
      <c r="F1014" s="252"/>
      <c r="G1014" s="248"/>
      <c r="H1014" s="242" t="str">
        <f>IFERROR(VLOOKUP(WTG_BD[[#This Row],[Affected WTG]],'Basic Data'!$A$3:$E$56,2,0),"")</f>
        <v/>
      </c>
      <c r="I1014" s="242" t="str">
        <f>IFERROR(VLOOKUP(WTG_BD[[#This Row],[Affected WTG]],'Basic Data'!$A$3:$E$56,3,0),"")</f>
        <v/>
      </c>
      <c r="J1014" s="243" t="str">
        <f>IFERROR(VLOOKUP(WTG_BD[[#This Row],[Affected WTG]],'Basic Data'!$A$3:$E$56,5,0),"")</f>
        <v/>
      </c>
      <c r="K1014" s="158"/>
      <c r="L1014" s="247" t="e">
        <f>VLOOKUP(K1014,'Basic Data'!T:U,2,0)</f>
        <v>#N/A</v>
      </c>
      <c r="M1014" s="135"/>
      <c r="N1014" s="256"/>
      <c r="O1014" s="256"/>
      <c r="P1014" s="256"/>
      <c r="Q1014" s="253" t="str">
        <f>IF(WTG_BD[[#This Row],[Work Start TimeStamp]]="","",(WTG_BD[[#This Row],[Work Start TimeStamp]]-WTG_BD[[#This Row],[Fault Start TimeStamp]])*24)</f>
        <v/>
      </c>
      <c r="R1014" s="253">
        <f>(WTG_BD[[#This Row],[Fault Clearance time]]-WTG_BD[[#This Row],[Work Start TimeStamp]])*24</f>
        <v>0</v>
      </c>
      <c r="S1014" s="253">
        <f>(WTG_BD[[#This Row],[Fault Clearance time]]-WTG_BD[[#This Row],[Fault Start TimeStamp]])*24</f>
        <v>0</v>
      </c>
      <c r="T1014" s="135"/>
      <c r="U1014" s="244"/>
      <c r="V1014" s="246">
        <f>WTG_BD[[#This Row],[Breakdown Time]]*(1/39)</f>
        <v>0</v>
      </c>
      <c r="W1014" s="244"/>
      <c r="X1014" s="250"/>
      <c r="Y1014" s="135"/>
      <c r="Z1014" s="135"/>
      <c r="AA1014" s="135"/>
      <c r="AB1014" s="249">
        <f>(WTG_BD[[#This Row],[Paired WTG Generation for loss calculation.]]/24)*WTG_BD[[#This Row],[Breakdown Time]]</f>
        <v>0</v>
      </c>
      <c r="AC1014" s="135"/>
      <c r="AD1014" s="245"/>
      <c r="AE1014" s="3"/>
    </row>
    <row r="1015" spans="1:31">
      <c r="A1015" s="241">
        <f t="shared" si="32"/>
        <v>1014</v>
      </c>
      <c r="B1015" s="255"/>
      <c r="C1015" s="252"/>
      <c r="D1015" s="252"/>
      <c r="E1015" s="251">
        <f t="shared" si="31"/>
        <v>1</v>
      </c>
      <c r="F1015" s="252"/>
      <c r="G1015" s="248"/>
      <c r="H1015" s="242" t="str">
        <f>IFERROR(VLOOKUP(WTG_BD[[#This Row],[Affected WTG]],'Basic Data'!$A$3:$E$56,2,0),"")</f>
        <v/>
      </c>
      <c r="I1015" s="242" t="str">
        <f>IFERROR(VLOOKUP(WTG_BD[[#This Row],[Affected WTG]],'Basic Data'!$A$3:$E$56,3,0),"")</f>
        <v/>
      </c>
      <c r="J1015" s="243" t="str">
        <f>IFERROR(VLOOKUP(WTG_BD[[#This Row],[Affected WTG]],'Basic Data'!$A$3:$E$56,5,0),"")</f>
        <v/>
      </c>
      <c r="K1015" s="158"/>
      <c r="L1015" s="247" t="e">
        <f>VLOOKUP(K1015,'Basic Data'!T:U,2,0)</f>
        <v>#N/A</v>
      </c>
      <c r="M1015" s="135"/>
      <c r="N1015" s="256"/>
      <c r="O1015" s="256"/>
      <c r="P1015" s="256"/>
      <c r="Q1015" s="253" t="str">
        <f>IF(WTG_BD[[#This Row],[Work Start TimeStamp]]="","",(WTG_BD[[#This Row],[Work Start TimeStamp]]-WTG_BD[[#This Row],[Fault Start TimeStamp]])*24)</f>
        <v/>
      </c>
      <c r="R1015" s="253">
        <f>(WTG_BD[[#This Row],[Fault Clearance time]]-WTG_BD[[#This Row],[Work Start TimeStamp]])*24</f>
        <v>0</v>
      </c>
      <c r="S1015" s="253">
        <f>(WTG_BD[[#This Row],[Fault Clearance time]]-WTG_BD[[#This Row],[Fault Start TimeStamp]])*24</f>
        <v>0</v>
      </c>
      <c r="T1015" s="135"/>
      <c r="U1015" s="244"/>
      <c r="V1015" s="246">
        <f>WTG_BD[[#This Row],[Breakdown Time]]*(1/39)</f>
        <v>0</v>
      </c>
      <c r="W1015" s="244"/>
      <c r="X1015" s="250"/>
      <c r="Y1015" s="135"/>
      <c r="Z1015" s="135"/>
      <c r="AA1015" s="135"/>
      <c r="AB1015" s="249">
        <f>(WTG_BD[[#This Row],[Paired WTG Generation for loss calculation.]]/24)*WTG_BD[[#This Row],[Breakdown Time]]</f>
        <v>0</v>
      </c>
      <c r="AC1015" s="135"/>
      <c r="AD1015" s="245"/>
      <c r="AE1015" s="3"/>
    </row>
    <row r="1016" spans="1:31">
      <c r="A1016" s="241">
        <f t="shared" si="32"/>
        <v>1015</v>
      </c>
      <c r="B1016" s="255"/>
      <c r="C1016" s="252"/>
      <c r="D1016" s="252"/>
      <c r="E1016" s="251">
        <f t="shared" ref="E1016:E1059" si="33">B1016-DAY(B1016)+1</f>
        <v>1</v>
      </c>
      <c r="F1016" s="252"/>
      <c r="G1016" s="248"/>
      <c r="H1016" s="242" t="str">
        <f>IFERROR(VLOOKUP(WTG_BD[[#This Row],[Affected WTG]],'Basic Data'!$A$3:$E$56,2,0),"")</f>
        <v/>
      </c>
      <c r="I1016" s="242" t="str">
        <f>IFERROR(VLOOKUP(WTG_BD[[#This Row],[Affected WTG]],'Basic Data'!$A$3:$E$56,3,0),"")</f>
        <v/>
      </c>
      <c r="J1016" s="243" t="str">
        <f>IFERROR(VLOOKUP(WTG_BD[[#This Row],[Affected WTG]],'Basic Data'!$A$3:$E$56,5,0),"")</f>
        <v/>
      </c>
      <c r="K1016" s="158"/>
      <c r="L1016" s="247" t="e">
        <f>VLOOKUP(K1016,'Basic Data'!T:U,2,0)</f>
        <v>#N/A</v>
      </c>
      <c r="M1016" s="135"/>
      <c r="N1016" s="256"/>
      <c r="O1016" s="256"/>
      <c r="P1016" s="256"/>
      <c r="Q1016" s="253" t="str">
        <f>IF(WTG_BD[[#This Row],[Work Start TimeStamp]]="","",(WTG_BD[[#This Row],[Work Start TimeStamp]]-WTG_BD[[#This Row],[Fault Start TimeStamp]])*24)</f>
        <v/>
      </c>
      <c r="R1016" s="253">
        <f>(WTG_BD[[#This Row],[Fault Clearance time]]-WTG_BD[[#This Row],[Work Start TimeStamp]])*24</f>
        <v>0</v>
      </c>
      <c r="S1016" s="253">
        <f>(WTG_BD[[#This Row],[Fault Clearance time]]-WTG_BD[[#This Row],[Fault Start TimeStamp]])*24</f>
        <v>0</v>
      </c>
      <c r="T1016" s="135"/>
      <c r="U1016" s="244"/>
      <c r="V1016" s="246">
        <f>WTG_BD[[#This Row],[Breakdown Time]]*(1/39)</f>
        <v>0</v>
      </c>
      <c r="W1016" s="244"/>
      <c r="X1016" s="250"/>
      <c r="Y1016" s="135"/>
      <c r="Z1016" s="135"/>
      <c r="AA1016" s="135"/>
      <c r="AB1016" s="249">
        <f>(WTG_BD[[#This Row],[Paired WTG Generation for loss calculation.]]/24)*WTG_BD[[#This Row],[Breakdown Time]]</f>
        <v>0</v>
      </c>
      <c r="AC1016" s="135"/>
      <c r="AD1016" s="245"/>
      <c r="AE1016" s="3"/>
    </row>
    <row r="1017" spans="1:31">
      <c r="A1017" s="241">
        <f t="shared" si="32"/>
        <v>1016</v>
      </c>
      <c r="B1017" s="255"/>
      <c r="C1017" s="252"/>
      <c r="D1017" s="252"/>
      <c r="E1017" s="251">
        <f t="shared" si="33"/>
        <v>1</v>
      </c>
      <c r="F1017" s="252"/>
      <c r="G1017" s="248"/>
      <c r="H1017" s="242" t="str">
        <f>IFERROR(VLOOKUP(WTG_BD[[#This Row],[Affected WTG]],'Basic Data'!$A$3:$E$56,2,0),"")</f>
        <v/>
      </c>
      <c r="I1017" s="242" t="str">
        <f>IFERROR(VLOOKUP(WTG_BD[[#This Row],[Affected WTG]],'Basic Data'!$A$3:$E$56,3,0),"")</f>
        <v/>
      </c>
      <c r="J1017" s="243" t="str">
        <f>IFERROR(VLOOKUP(WTG_BD[[#This Row],[Affected WTG]],'Basic Data'!$A$3:$E$56,5,0),"")</f>
        <v/>
      </c>
      <c r="K1017" s="158"/>
      <c r="L1017" s="247" t="e">
        <f>VLOOKUP(K1017,'Basic Data'!T:U,2,0)</f>
        <v>#N/A</v>
      </c>
      <c r="M1017" s="135"/>
      <c r="N1017" s="256"/>
      <c r="O1017" s="256"/>
      <c r="P1017" s="256"/>
      <c r="Q1017" s="253" t="str">
        <f>IF(WTG_BD[[#This Row],[Work Start TimeStamp]]="","",(WTG_BD[[#This Row],[Work Start TimeStamp]]-WTG_BD[[#This Row],[Fault Start TimeStamp]])*24)</f>
        <v/>
      </c>
      <c r="R1017" s="253">
        <f>(WTG_BD[[#This Row],[Fault Clearance time]]-WTG_BD[[#This Row],[Work Start TimeStamp]])*24</f>
        <v>0</v>
      </c>
      <c r="S1017" s="253">
        <f>(WTG_BD[[#This Row],[Fault Clearance time]]-WTG_BD[[#This Row],[Fault Start TimeStamp]])*24</f>
        <v>0</v>
      </c>
      <c r="T1017" s="135"/>
      <c r="U1017" s="244"/>
      <c r="V1017" s="246">
        <f>WTG_BD[[#This Row],[Breakdown Time]]*(1/39)</f>
        <v>0</v>
      </c>
      <c r="W1017" s="244"/>
      <c r="X1017" s="250"/>
      <c r="Y1017" s="135"/>
      <c r="Z1017" s="135"/>
      <c r="AA1017" s="135"/>
      <c r="AB1017" s="249">
        <f>(WTG_BD[[#This Row],[Paired WTG Generation for loss calculation.]]/24)*WTG_BD[[#This Row],[Breakdown Time]]</f>
        <v>0</v>
      </c>
      <c r="AC1017" s="135"/>
      <c r="AD1017" s="245"/>
      <c r="AE1017" s="3"/>
    </row>
    <row r="1018" spans="1:31">
      <c r="A1018" s="241">
        <f t="shared" si="32"/>
        <v>1017</v>
      </c>
      <c r="B1018" s="255"/>
      <c r="C1018" s="252"/>
      <c r="D1018" s="252"/>
      <c r="E1018" s="251">
        <f t="shared" si="33"/>
        <v>1</v>
      </c>
      <c r="F1018" s="252"/>
      <c r="G1018" s="248"/>
      <c r="H1018" s="242" t="str">
        <f>IFERROR(VLOOKUP(WTG_BD[[#This Row],[Affected WTG]],'Basic Data'!$A$3:$E$56,2,0),"")</f>
        <v/>
      </c>
      <c r="I1018" s="242" t="str">
        <f>IFERROR(VLOOKUP(WTG_BD[[#This Row],[Affected WTG]],'Basic Data'!$A$3:$E$56,3,0),"")</f>
        <v/>
      </c>
      <c r="J1018" s="243" t="str">
        <f>IFERROR(VLOOKUP(WTG_BD[[#This Row],[Affected WTG]],'Basic Data'!$A$3:$E$56,5,0),"")</f>
        <v/>
      </c>
      <c r="K1018" s="158"/>
      <c r="L1018" s="247" t="e">
        <f>VLOOKUP(K1018,'Basic Data'!T:U,2,0)</f>
        <v>#N/A</v>
      </c>
      <c r="M1018" s="135"/>
      <c r="N1018" s="256"/>
      <c r="O1018" s="256"/>
      <c r="P1018" s="256"/>
      <c r="Q1018" s="253" t="str">
        <f>IF(WTG_BD[[#This Row],[Work Start TimeStamp]]="","",(WTG_BD[[#This Row],[Work Start TimeStamp]]-WTG_BD[[#This Row],[Fault Start TimeStamp]])*24)</f>
        <v/>
      </c>
      <c r="R1018" s="253">
        <f>(WTG_BD[[#This Row],[Fault Clearance time]]-WTG_BD[[#This Row],[Work Start TimeStamp]])*24</f>
        <v>0</v>
      </c>
      <c r="S1018" s="253">
        <f>(WTG_BD[[#This Row],[Fault Clearance time]]-WTG_BD[[#This Row],[Fault Start TimeStamp]])*24</f>
        <v>0</v>
      </c>
      <c r="T1018" s="135"/>
      <c r="U1018" s="244"/>
      <c r="V1018" s="246">
        <f>WTG_BD[[#This Row],[Breakdown Time]]*(1/39)</f>
        <v>0</v>
      </c>
      <c r="W1018" s="244"/>
      <c r="X1018" s="250"/>
      <c r="Y1018" s="135"/>
      <c r="Z1018" s="135"/>
      <c r="AA1018" s="135"/>
      <c r="AB1018" s="249">
        <f>(WTG_BD[[#This Row],[Paired WTG Generation for loss calculation.]]/24)*WTG_BD[[#This Row],[Breakdown Time]]</f>
        <v>0</v>
      </c>
      <c r="AC1018" s="135"/>
      <c r="AD1018" s="245"/>
      <c r="AE1018" s="3"/>
    </row>
    <row r="1019" spans="1:31">
      <c r="A1019" s="241">
        <f t="shared" si="32"/>
        <v>1018</v>
      </c>
      <c r="B1019" s="255"/>
      <c r="C1019" s="252"/>
      <c r="D1019" s="252"/>
      <c r="E1019" s="251">
        <f t="shared" si="33"/>
        <v>1</v>
      </c>
      <c r="F1019" s="252"/>
      <c r="G1019" s="248"/>
      <c r="H1019" s="242" t="str">
        <f>IFERROR(VLOOKUP(WTG_BD[[#This Row],[Affected WTG]],'Basic Data'!$A$3:$E$56,2,0),"")</f>
        <v/>
      </c>
      <c r="I1019" s="242" t="str">
        <f>IFERROR(VLOOKUP(WTG_BD[[#This Row],[Affected WTG]],'Basic Data'!$A$3:$E$56,3,0),"")</f>
        <v/>
      </c>
      <c r="J1019" s="243" t="str">
        <f>IFERROR(VLOOKUP(WTG_BD[[#This Row],[Affected WTG]],'Basic Data'!$A$3:$E$56,5,0),"")</f>
        <v/>
      </c>
      <c r="K1019" s="158"/>
      <c r="L1019" s="247" t="e">
        <f>VLOOKUP(K1019,'Basic Data'!T:U,2,0)</f>
        <v>#N/A</v>
      </c>
      <c r="M1019" s="135"/>
      <c r="N1019" s="256"/>
      <c r="O1019" s="256"/>
      <c r="P1019" s="256"/>
      <c r="Q1019" s="253" t="str">
        <f>IF(WTG_BD[[#This Row],[Work Start TimeStamp]]="","",(WTG_BD[[#This Row],[Work Start TimeStamp]]-WTG_BD[[#This Row],[Fault Start TimeStamp]])*24)</f>
        <v/>
      </c>
      <c r="R1019" s="253">
        <f>(WTG_BD[[#This Row],[Fault Clearance time]]-WTG_BD[[#This Row],[Work Start TimeStamp]])*24</f>
        <v>0</v>
      </c>
      <c r="S1019" s="253">
        <f>(WTG_BD[[#This Row],[Fault Clearance time]]-WTG_BD[[#This Row],[Fault Start TimeStamp]])*24</f>
        <v>0</v>
      </c>
      <c r="T1019" s="135"/>
      <c r="U1019" s="244"/>
      <c r="V1019" s="246">
        <f>WTG_BD[[#This Row],[Breakdown Time]]*(1/39)</f>
        <v>0</v>
      </c>
      <c r="W1019" s="244"/>
      <c r="X1019" s="250"/>
      <c r="Y1019" s="135"/>
      <c r="Z1019" s="135"/>
      <c r="AA1019" s="135"/>
      <c r="AB1019" s="249">
        <f>(WTG_BD[[#This Row],[Paired WTG Generation for loss calculation.]]/24)*WTG_BD[[#This Row],[Breakdown Time]]</f>
        <v>0</v>
      </c>
      <c r="AC1019" s="135"/>
      <c r="AD1019" s="245"/>
      <c r="AE1019" s="3"/>
    </row>
    <row r="1020" spans="1:31">
      <c r="A1020" s="241">
        <f t="shared" si="32"/>
        <v>1019</v>
      </c>
      <c r="B1020" s="255"/>
      <c r="C1020" s="252"/>
      <c r="D1020" s="252"/>
      <c r="E1020" s="251">
        <f t="shared" si="33"/>
        <v>1</v>
      </c>
      <c r="F1020" s="252"/>
      <c r="G1020" s="248"/>
      <c r="H1020" s="242" t="str">
        <f>IFERROR(VLOOKUP(WTG_BD[[#This Row],[Affected WTG]],'Basic Data'!$A$3:$E$56,2,0),"")</f>
        <v/>
      </c>
      <c r="I1020" s="242" t="str">
        <f>IFERROR(VLOOKUP(WTG_BD[[#This Row],[Affected WTG]],'Basic Data'!$A$3:$E$56,3,0),"")</f>
        <v/>
      </c>
      <c r="J1020" s="243" t="str">
        <f>IFERROR(VLOOKUP(WTG_BD[[#This Row],[Affected WTG]],'Basic Data'!$A$3:$E$56,5,0),"")</f>
        <v/>
      </c>
      <c r="K1020" s="158"/>
      <c r="L1020" s="247" t="e">
        <f>VLOOKUP(K1020,'Basic Data'!T:U,2,0)</f>
        <v>#N/A</v>
      </c>
      <c r="M1020" s="135"/>
      <c r="N1020" s="256"/>
      <c r="O1020" s="256"/>
      <c r="P1020" s="256"/>
      <c r="Q1020" s="253" t="str">
        <f>IF(WTG_BD[[#This Row],[Work Start TimeStamp]]="","",(WTG_BD[[#This Row],[Work Start TimeStamp]]-WTG_BD[[#This Row],[Fault Start TimeStamp]])*24)</f>
        <v/>
      </c>
      <c r="R1020" s="253">
        <f>(WTG_BD[[#This Row],[Fault Clearance time]]-WTG_BD[[#This Row],[Work Start TimeStamp]])*24</f>
        <v>0</v>
      </c>
      <c r="S1020" s="253">
        <f>(WTG_BD[[#This Row],[Fault Clearance time]]-WTG_BD[[#This Row],[Fault Start TimeStamp]])*24</f>
        <v>0</v>
      </c>
      <c r="T1020" s="135"/>
      <c r="U1020" s="244"/>
      <c r="V1020" s="246">
        <f>WTG_BD[[#This Row],[Breakdown Time]]*(1/39)</f>
        <v>0</v>
      </c>
      <c r="W1020" s="244"/>
      <c r="X1020" s="250"/>
      <c r="Y1020" s="135"/>
      <c r="Z1020" s="135"/>
      <c r="AA1020" s="135"/>
      <c r="AB1020" s="249">
        <f>(WTG_BD[[#This Row],[Paired WTG Generation for loss calculation.]]/24)*WTG_BD[[#This Row],[Breakdown Time]]</f>
        <v>0</v>
      </c>
      <c r="AC1020" s="135"/>
      <c r="AD1020" s="245"/>
      <c r="AE1020" s="3"/>
    </row>
    <row r="1021" spans="1:31">
      <c r="A1021" s="241">
        <f t="shared" si="32"/>
        <v>1020</v>
      </c>
      <c r="B1021" s="255"/>
      <c r="C1021" s="252"/>
      <c r="D1021" s="252"/>
      <c r="E1021" s="251">
        <f t="shared" si="33"/>
        <v>1</v>
      </c>
      <c r="F1021" s="252"/>
      <c r="G1021" s="248"/>
      <c r="H1021" s="242" t="str">
        <f>IFERROR(VLOOKUP(WTG_BD[[#This Row],[Affected WTG]],'Basic Data'!$A$3:$E$56,2,0),"")</f>
        <v/>
      </c>
      <c r="I1021" s="242" t="str">
        <f>IFERROR(VLOOKUP(WTG_BD[[#This Row],[Affected WTG]],'Basic Data'!$A$3:$E$56,3,0),"")</f>
        <v/>
      </c>
      <c r="J1021" s="243" t="str">
        <f>IFERROR(VLOOKUP(WTG_BD[[#This Row],[Affected WTG]],'Basic Data'!$A$3:$E$56,5,0),"")</f>
        <v/>
      </c>
      <c r="K1021" s="158"/>
      <c r="L1021" s="247" t="e">
        <f>VLOOKUP(K1021,'Basic Data'!T:U,2,0)</f>
        <v>#N/A</v>
      </c>
      <c r="M1021" s="135"/>
      <c r="N1021" s="256"/>
      <c r="O1021" s="256"/>
      <c r="P1021" s="256"/>
      <c r="Q1021" s="253" t="str">
        <f>IF(WTG_BD[[#This Row],[Work Start TimeStamp]]="","",(WTG_BD[[#This Row],[Work Start TimeStamp]]-WTG_BD[[#This Row],[Fault Start TimeStamp]])*24)</f>
        <v/>
      </c>
      <c r="R1021" s="253">
        <f>(WTG_BD[[#This Row],[Fault Clearance time]]-WTG_BD[[#This Row],[Work Start TimeStamp]])*24</f>
        <v>0</v>
      </c>
      <c r="S1021" s="253">
        <f>(WTG_BD[[#This Row],[Fault Clearance time]]-WTG_BD[[#This Row],[Fault Start TimeStamp]])*24</f>
        <v>0</v>
      </c>
      <c r="T1021" s="135"/>
      <c r="U1021" s="244"/>
      <c r="V1021" s="246">
        <f>WTG_BD[[#This Row],[Breakdown Time]]*(1/39)</f>
        <v>0</v>
      </c>
      <c r="W1021" s="244"/>
      <c r="X1021" s="250"/>
      <c r="Y1021" s="135"/>
      <c r="Z1021" s="135"/>
      <c r="AA1021" s="135"/>
      <c r="AB1021" s="249">
        <f>(WTG_BD[[#This Row],[Paired WTG Generation for loss calculation.]]/24)*WTG_BD[[#This Row],[Breakdown Time]]</f>
        <v>0</v>
      </c>
      <c r="AC1021" s="135"/>
      <c r="AD1021" s="245"/>
      <c r="AE1021" s="3"/>
    </row>
    <row r="1022" spans="1:31">
      <c r="A1022" s="241">
        <f t="shared" si="32"/>
        <v>1021</v>
      </c>
      <c r="B1022" s="255"/>
      <c r="C1022" s="252"/>
      <c r="D1022" s="252"/>
      <c r="E1022" s="251">
        <f t="shared" si="33"/>
        <v>1</v>
      </c>
      <c r="F1022" s="252"/>
      <c r="G1022" s="248"/>
      <c r="H1022" s="242" t="str">
        <f>IFERROR(VLOOKUP(WTG_BD[[#This Row],[Affected WTG]],'Basic Data'!$A$3:$E$56,2,0),"")</f>
        <v/>
      </c>
      <c r="I1022" s="242" t="str">
        <f>IFERROR(VLOOKUP(WTG_BD[[#This Row],[Affected WTG]],'Basic Data'!$A$3:$E$56,3,0),"")</f>
        <v/>
      </c>
      <c r="J1022" s="243" t="str">
        <f>IFERROR(VLOOKUP(WTG_BD[[#This Row],[Affected WTG]],'Basic Data'!$A$3:$E$56,5,0),"")</f>
        <v/>
      </c>
      <c r="K1022" s="158"/>
      <c r="L1022" s="247" t="e">
        <f>VLOOKUP(K1022,'Basic Data'!T:U,2,0)</f>
        <v>#N/A</v>
      </c>
      <c r="M1022" s="135"/>
      <c r="N1022" s="256"/>
      <c r="O1022" s="256"/>
      <c r="P1022" s="256"/>
      <c r="Q1022" s="253" t="str">
        <f>IF(WTG_BD[[#This Row],[Work Start TimeStamp]]="","",(WTG_BD[[#This Row],[Work Start TimeStamp]]-WTG_BD[[#This Row],[Fault Start TimeStamp]])*24)</f>
        <v/>
      </c>
      <c r="R1022" s="253">
        <f>(WTG_BD[[#This Row],[Fault Clearance time]]-WTG_BD[[#This Row],[Work Start TimeStamp]])*24</f>
        <v>0</v>
      </c>
      <c r="S1022" s="253">
        <f>(WTG_BD[[#This Row],[Fault Clearance time]]-WTG_BD[[#This Row],[Fault Start TimeStamp]])*24</f>
        <v>0</v>
      </c>
      <c r="T1022" s="135"/>
      <c r="U1022" s="244"/>
      <c r="V1022" s="246">
        <f>WTG_BD[[#This Row],[Breakdown Time]]*(1/39)</f>
        <v>0</v>
      </c>
      <c r="W1022" s="244"/>
      <c r="X1022" s="250"/>
      <c r="Y1022" s="135"/>
      <c r="Z1022" s="135"/>
      <c r="AA1022" s="135"/>
      <c r="AB1022" s="249">
        <f>(WTG_BD[[#This Row],[Paired WTG Generation for loss calculation.]]/24)*WTG_BD[[#This Row],[Breakdown Time]]</f>
        <v>0</v>
      </c>
      <c r="AC1022" s="135"/>
      <c r="AD1022" s="245"/>
      <c r="AE1022" s="3"/>
    </row>
    <row r="1023" spans="1:31">
      <c r="A1023" s="241">
        <f t="shared" si="32"/>
        <v>1022</v>
      </c>
      <c r="B1023" s="255"/>
      <c r="C1023" s="252"/>
      <c r="D1023" s="252"/>
      <c r="E1023" s="251">
        <f t="shared" si="33"/>
        <v>1</v>
      </c>
      <c r="F1023" s="252"/>
      <c r="G1023" s="248"/>
      <c r="H1023" s="242" t="str">
        <f>IFERROR(VLOOKUP(WTG_BD[[#This Row],[Affected WTG]],'Basic Data'!$A$3:$E$56,2,0),"")</f>
        <v/>
      </c>
      <c r="I1023" s="242" t="str">
        <f>IFERROR(VLOOKUP(WTG_BD[[#This Row],[Affected WTG]],'Basic Data'!$A$3:$E$56,3,0),"")</f>
        <v/>
      </c>
      <c r="J1023" s="243" t="str">
        <f>IFERROR(VLOOKUP(WTG_BD[[#This Row],[Affected WTG]],'Basic Data'!$A$3:$E$56,5,0),"")</f>
        <v/>
      </c>
      <c r="K1023" s="158"/>
      <c r="L1023" s="247" t="e">
        <f>VLOOKUP(K1023,'Basic Data'!T:U,2,0)</f>
        <v>#N/A</v>
      </c>
      <c r="M1023" s="135"/>
      <c r="N1023" s="256"/>
      <c r="O1023" s="256"/>
      <c r="P1023" s="256"/>
      <c r="Q1023" s="253" t="str">
        <f>IF(WTG_BD[[#This Row],[Work Start TimeStamp]]="","",(WTG_BD[[#This Row],[Work Start TimeStamp]]-WTG_BD[[#This Row],[Fault Start TimeStamp]])*24)</f>
        <v/>
      </c>
      <c r="R1023" s="253">
        <f>(WTG_BD[[#This Row],[Fault Clearance time]]-WTG_BD[[#This Row],[Work Start TimeStamp]])*24</f>
        <v>0</v>
      </c>
      <c r="S1023" s="253">
        <f>(WTG_BD[[#This Row],[Fault Clearance time]]-WTG_BD[[#This Row],[Fault Start TimeStamp]])*24</f>
        <v>0</v>
      </c>
      <c r="T1023" s="135"/>
      <c r="U1023" s="244"/>
      <c r="V1023" s="246">
        <f>WTG_BD[[#This Row],[Breakdown Time]]*(1/39)</f>
        <v>0</v>
      </c>
      <c r="W1023" s="244"/>
      <c r="X1023" s="250"/>
      <c r="Y1023" s="135"/>
      <c r="Z1023" s="135"/>
      <c r="AA1023" s="135"/>
      <c r="AB1023" s="249">
        <f>(WTG_BD[[#This Row],[Paired WTG Generation for loss calculation.]]/24)*WTG_BD[[#This Row],[Breakdown Time]]</f>
        <v>0</v>
      </c>
      <c r="AC1023" s="135"/>
      <c r="AD1023" s="245"/>
      <c r="AE1023" s="3"/>
    </row>
    <row r="1024" spans="1:31">
      <c r="A1024" s="241">
        <f t="shared" si="32"/>
        <v>1023</v>
      </c>
      <c r="B1024" s="255"/>
      <c r="C1024" s="252"/>
      <c r="D1024" s="252"/>
      <c r="E1024" s="251">
        <f t="shared" si="33"/>
        <v>1</v>
      </c>
      <c r="F1024" s="252"/>
      <c r="G1024" s="248"/>
      <c r="H1024" s="242" t="str">
        <f>IFERROR(VLOOKUP(WTG_BD[[#This Row],[Affected WTG]],'Basic Data'!$A$3:$E$56,2,0),"")</f>
        <v/>
      </c>
      <c r="I1024" s="242" t="str">
        <f>IFERROR(VLOOKUP(WTG_BD[[#This Row],[Affected WTG]],'Basic Data'!$A$3:$E$56,3,0),"")</f>
        <v/>
      </c>
      <c r="J1024" s="243" t="str">
        <f>IFERROR(VLOOKUP(WTG_BD[[#This Row],[Affected WTG]],'Basic Data'!$A$3:$E$56,5,0),"")</f>
        <v/>
      </c>
      <c r="K1024" s="158"/>
      <c r="L1024" s="247" t="e">
        <f>VLOOKUP(K1024,'Basic Data'!T:U,2,0)</f>
        <v>#N/A</v>
      </c>
      <c r="M1024" s="135"/>
      <c r="N1024" s="256"/>
      <c r="O1024" s="256"/>
      <c r="P1024" s="256"/>
      <c r="Q1024" s="253" t="str">
        <f>IF(WTG_BD[[#This Row],[Work Start TimeStamp]]="","",(WTG_BD[[#This Row],[Work Start TimeStamp]]-WTG_BD[[#This Row],[Fault Start TimeStamp]])*24)</f>
        <v/>
      </c>
      <c r="R1024" s="253">
        <f>(WTG_BD[[#This Row],[Fault Clearance time]]-WTG_BD[[#This Row],[Work Start TimeStamp]])*24</f>
        <v>0</v>
      </c>
      <c r="S1024" s="253">
        <f>(WTG_BD[[#This Row],[Fault Clearance time]]-WTG_BD[[#This Row],[Fault Start TimeStamp]])*24</f>
        <v>0</v>
      </c>
      <c r="T1024" s="135"/>
      <c r="U1024" s="244"/>
      <c r="V1024" s="246">
        <f>WTG_BD[[#This Row],[Breakdown Time]]*(1/39)</f>
        <v>0</v>
      </c>
      <c r="W1024" s="244"/>
      <c r="X1024" s="250"/>
      <c r="Y1024" s="135"/>
      <c r="Z1024" s="135"/>
      <c r="AA1024" s="135"/>
      <c r="AB1024" s="249">
        <f>(WTG_BD[[#This Row],[Paired WTG Generation for loss calculation.]]/24)*WTG_BD[[#This Row],[Breakdown Time]]</f>
        <v>0</v>
      </c>
      <c r="AC1024" s="135"/>
      <c r="AD1024" s="245"/>
      <c r="AE1024" s="3"/>
    </row>
    <row r="1025" spans="1:31">
      <c r="A1025" s="241">
        <f t="shared" si="32"/>
        <v>1024</v>
      </c>
      <c r="B1025" s="255"/>
      <c r="C1025" s="252"/>
      <c r="D1025" s="252"/>
      <c r="E1025" s="251">
        <f t="shared" si="33"/>
        <v>1</v>
      </c>
      <c r="F1025" s="252"/>
      <c r="G1025" s="248"/>
      <c r="H1025" s="242" t="str">
        <f>IFERROR(VLOOKUP(WTG_BD[[#This Row],[Affected WTG]],'Basic Data'!$A$3:$E$56,2,0),"")</f>
        <v/>
      </c>
      <c r="I1025" s="242" t="str">
        <f>IFERROR(VLOOKUP(WTG_BD[[#This Row],[Affected WTG]],'Basic Data'!$A$3:$E$56,3,0),"")</f>
        <v/>
      </c>
      <c r="J1025" s="243" t="str">
        <f>IFERROR(VLOOKUP(WTG_BD[[#This Row],[Affected WTG]],'Basic Data'!$A$3:$E$56,5,0),"")</f>
        <v/>
      </c>
      <c r="K1025" s="158"/>
      <c r="L1025" s="247" t="e">
        <f>VLOOKUP(K1025,'Basic Data'!T:U,2,0)</f>
        <v>#N/A</v>
      </c>
      <c r="M1025" s="135"/>
      <c r="N1025" s="256"/>
      <c r="O1025" s="256"/>
      <c r="P1025" s="256"/>
      <c r="Q1025" s="253" t="str">
        <f>IF(WTG_BD[[#This Row],[Work Start TimeStamp]]="","",(WTG_BD[[#This Row],[Work Start TimeStamp]]-WTG_BD[[#This Row],[Fault Start TimeStamp]])*24)</f>
        <v/>
      </c>
      <c r="R1025" s="253">
        <f>(WTG_BD[[#This Row],[Fault Clearance time]]-WTG_BD[[#This Row],[Work Start TimeStamp]])*24</f>
        <v>0</v>
      </c>
      <c r="S1025" s="253">
        <f>(WTG_BD[[#This Row],[Fault Clearance time]]-WTG_BD[[#This Row],[Fault Start TimeStamp]])*24</f>
        <v>0</v>
      </c>
      <c r="T1025" s="135"/>
      <c r="U1025" s="244"/>
      <c r="V1025" s="246">
        <f>WTG_BD[[#This Row],[Breakdown Time]]*(1/39)</f>
        <v>0</v>
      </c>
      <c r="W1025" s="244"/>
      <c r="X1025" s="250"/>
      <c r="Y1025" s="135"/>
      <c r="Z1025" s="135"/>
      <c r="AA1025" s="135"/>
      <c r="AB1025" s="249">
        <f>(WTG_BD[[#This Row],[Paired WTG Generation for loss calculation.]]/24)*WTG_BD[[#This Row],[Breakdown Time]]</f>
        <v>0</v>
      </c>
      <c r="AC1025" s="135"/>
      <c r="AD1025" s="245"/>
      <c r="AE1025" s="3"/>
    </row>
    <row r="1026" spans="1:31">
      <c r="A1026" s="241">
        <f t="shared" si="32"/>
        <v>1025</v>
      </c>
      <c r="B1026" s="255"/>
      <c r="C1026" s="252"/>
      <c r="D1026" s="252"/>
      <c r="E1026" s="251">
        <f t="shared" si="33"/>
        <v>1</v>
      </c>
      <c r="F1026" s="252"/>
      <c r="G1026" s="248"/>
      <c r="H1026" s="242" t="str">
        <f>IFERROR(VLOOKUP(WTG_BD[[#This Row],[Affected WTG]],'Basic Data'!$A$3:$E$56,2,0),"")</f>
        <v/>
      </c>
      <c r="I1026" s="242" t="str">
        <f>IFERROR(VLOOKUP(WTG_BD[[#This Row],[Affected WTG]],'Basic Data'!$A$3:$E$56,3,0),"")</f>
        <v/>
      </c>
      <c r="J1026" s="243" t="str">
        <f>IFERROR(VLOOKUP(WTG_BD[[#This Row],[Affected WTG]],'Basic Data'!$A$3:$E$56,5,0),"")</f>
        <v/>
      </c>
      <c r="K1026" s="158"/>
      <c r="L1026" s="247" t="e">
        <f>VLOOKUP(K1026,'Basic Data'!T:U,2,0)</f>
        <v>#N/A</v>
      </c>
      <c r="M1026" s="135"/>
      <c r="N1026" s="256"/>
      <c r="O1026" s="256"/>
      <c r="P1026" s="256"/>
      <c r="Q1026" s="253" t="str">
        <f>IF(WTG_BD[[#This Row],[Work Start TimeStamp]]="","",(WTG_BD[[#This Row],[Work Start TimeStamp]]-WTG_BD[[#This Row],[Fault Start TimeStamp]])*24)</f>
        <v/>
      </c>
      <c r="R1026" s="253">
        <f>(WTG_BD[[#This Row],[Fault Clearance time]]-WTG_BD[[#This Row],[Work Start TimeStamp]])*24</f>
        <v>0</v>
      </c>
      <c r="S1026" s="253">
        <f>(WTG_BD[[#This Row],[Fault Clearance time]]-WTG_BD[[#This Row],[Fault Start TimeStamp]])*24</f>
        <v>0</v>
      </c>
      <c r="T1026" s="135"/>
      <c r="U1026" s="244"/>
      <c r="V1026" s="246">
        <f>WTG_BD[[#This Row],[Breakdown Time]]*(1/39)</f>
        <v>0</v>
      </c>
      <c r="W1026" s="244"/>
      <c r="X1026" s="250"/>
      <c r="Y1026" s="135"/>
      <c r="Z1026" s="135"/>
      <c r="AA1026" s="135"/>
      <c r="AB1026" s="249">
        <f>(WTG_BD[[#This Row],[Paired WTG Generation for loss calculation.]]/24)*WTG_BD[[#This Row],[Breakdown Time]]</f>
        <v>0</v>
      </c>
      <c r="AC1026" s="135"/>
      <c r="AD1026" s="245"/>
      <c r="AE1026" s="3"/>
    </row>
    <row r="1027" spans="1:31">
      <c r="A1027" s="241">
        <f t="shared" si="32"/>
        <v>1026</v>
      </c>
      <c r="B1027" s="255"/>
      <c r="C1027" s="252"/>
      <c r="D1027" s="252"/>
      <c r="E1027" s="251">
        <f t="shared" si="33"/>
        <v>1</v>
      </c>
      <c r="F1027" s="252"/>
      <c r="G1027" s="248"/>
      <c r="H1027" s="242" t="str">
        <f>IFERROR(VLOOKUP(WTG_BD[[#This Row],[Affected WTG]],'Basic Data'!$A$3:$E$56,2,0),"")</f>
        <v/>
      </c>
      <c r="I1027" s="242" t="str">
        <f>IFERROR(VLOOKUP(WTG_BD[[#This Row],[Affected WTG]],'Basic Data'!$A$3:$E$56,3,0),"")</f>
        <v/>
      </c>
      <c r="J1027" s="243" t="str">
        <f>IFERROR(VLOOKUP(WTG_BD[[#This Row],[Affected WTG]],'Basic Data'!$A$3:$E$56,5,0),"")</f>
        <v/>
      </c>
      <c r="K1027" s="158"/>
      <c r="L1027" s="247" t="e">
        <f>VLOOKUP(K1027,'Basic Data'!T:U,2,0)</f>
        <v>#N/A</v>
      </c>
      <c r="M1027" s="135"/>
      <c r="N1027" s="256"/>
      <c r="O1027" s="256"/>
      <c r="P1027" s="256"/>
      <c r="Q1027" s="253" t="str">
        <f>IF(WTG_BD[[#This Row],[Work Start TimeStamp]]="","",(WTG_BD[[#This Row],[Work Start TimeStamp]]-WTG_BD[[#This Row],[Fault Start TimeStamp]])*24)</f>
        <v/>
      </c>
      <c r="R1027" s="253">
        <f>(WTG_BD[[#This Row],[Fault Clearance time]]-WTG_BD[[#This Row],[Work Start TimeStamp]])*24</f>
        <v>0</v>
      </c>
      <c r="S1027" s="253">
        <f>(WTG_BD[[#This Row],[Fault Clearance time]]-WTG_BD[[#This Row],[Fault Start TimeStamp]])*24</f>
        <v>0</v>
      </c>
      <c r="T1027" s="135"/>
      <c r="U1027" s="244"/>
      <c r="V1027" s="246">
        <f>WTG_BD[[#This Row],[Breakdown Time]]*(1/39)</f>
        <v>0</v>
      </c>
      <c r="W1027" s="244"/>
      <c r="X1027" s="250"/>
      <c r="Y1027" s="135"/>
      <c r="Z1027" s="135"/>
      <c r="AA1027" s="135"/>
      <c r="AB1027" s="249">
        <f>(WTG_BD[[#This Row],[Paired WTG Generation for loss calculation.]]/24)*WTG_BD[[#This Row],[Breakdown Time]]</f>
        <v>0</v>
      </c>
      <c r="AC1027" s="135"/>
      <c r="AD1027" s="245"/>
      <c r="AE1027" s="3"/>
    </row>
    <row r="1028" spans="1:31">
      <c r="A1028" s="241">
        <f t="shared" si="32"/>
        <v>1027</v>
      </c>
      <c r="B1028" s="255"/>
      <c r="C1028" s="252"/>
      <c r="D1028" s="252"/>
      <c r="E1028" s="251">
        <f t="shared" si="33"/>
        <v>1</v>
      </c>
      <c r="F1028" s="252"/>
      <c r="G1028" s="248"/>
      <c r="H1028" s="242" t="str">
        <f>IFERROR(VLOOKUP(WTG_BD[[#This Row],[Affected WTG]],'Basic Data'!$A$3:$E$56,2,0),"")</f>
        <v/>
      </c>
      <c r="I1028" s="242" t="str">
        <f>IFERROR(VLOOKUP(WTG_BD[[#This Row],[Affected WTG]],'Basic Data'!$A$3:$E$56,3,0),"")</f>
        <v/>
      </c>
      <c r="J1028" s="243" t="str">
        <f>IFERROR(VLOOKUP(WTG_BD[[#This Row],[Affected WTG]],'Basic Data'!$A$3:$E$56,5,0),"")</f>
        <v/>
      </c>
      <c r="K1028" s="158"/>
      <c r="L1028" s="247" t="e">
        <f>VLOOKUP(K1028,'Basic Data'!T:U,2,0)</f>
        <v>#N/A</v>
      </c>
      <c r="M1028" s="135"/>
      <c r="N1028" s="256"/>
      <c r="O1028" s="256"/>
      <c r="P1028" s="256"/>
      <c r="Q1028" s="253" t="str">
        <f>IF(WTG_BD[[#This Row],[Work Start TimeStamp]]="","",(WTG_BD[[#This Row],[Work Start TimeStamp]]-WTG_BD[[#This Row],[Fault Start TimeStamp]])*24)</f>
        <v/>
      </c>
      <c r="R1028" s="253">
        <f>(WTG_BD[[#This Row],[Fault Clearance time]]-WTG_BD[[#This Row],[Work Start TimeStamp]])*24</f>
        <v>0</v>
      </c>
      <c r="S1028" s="253">
        <f>(WTG_BD[[#This Row],[Fault Clearance time]]-WTG_BD[[#This Row],[Fault Start TimeStamp]])*24</f>
        <v>0</v>
      </c>
      <c r="T1028" s="135"/>
      <c r="U1028" s="244"/>
      <c r="V1028" s="246">
        <f>WTG_BD[[#This Row],[Breakdown Time]]*(1/39)</f>
        <v>0</v>
      </c>
      <c r="W1028" s="244"/>
      <c r="X1028" s="250"/>
      <c r="Y1028" s="135"/>
      <c r="Z1028" s="135"/>
      <c r="AA1028" s="135"/>
      <c r="AB1028" s="249">
        <f>(WTG_BD[[#This Row],[Paired WTG Generation for loss calculation.]]/24)*WTG_BD[[#This Row],[Breakdown Time]]</f>
        <v>0</v>
      </c>
      <c r="AC1028" s="135"/>
      <c r="AD1028" s="245"/>
      <c r="AE1028" s="3"/>
    </row>
    <row r="1029" spans="1:31">
      <c r="A1029" s="241">
        <f t="shared" si="32"/>
        <v>1028</v>
      </c>
      <c r="B1029" s="255"/>
      <c r="C1029" s="252"/>
      <c r="D1029" s="252"/>
      <c r="E1029" s="251">
        <f t="shared" si="33"/>
        <v>1</v>
      </c>
      <c r="F1029" s="252"/>
      <c r="G1029" s="248"/>
      <c r="H1029" s="242" t="str">
        <f>IFERROR(VLOOKUP(WTG_BD[[#This Row],[Affected WTG]],'Basic Data'!$A$3:$E$56,2,0),"")</f>
        <v/>
      </c>
      <c r="I1029" s="242" t="str">
        <f>IFERROR(VLOOKUP(WTG_BD[[#This Row],[Affected WTG]],'Basic Data'!$A$3:$E$56,3,0),"")</f>
        <v/>
      </c>
      <c r="J1029" s="243" t="str">
        <f>IFERROR(VLOOKUP(WTG_BD[[#This Row],[Affected WTG]],'Basic Data'!$A$3:$E$56,5,0),"")</f>
        <v/>
      </c>
      <c r="K1029" s="158"/>
      <c r="L1029" s="247" t="e">
        <f>VLOOKUP(K1029,'Basic Data'!T:U,2,0)</f>
        <v>#N/A</v>
      </c>
      <c r="M1029" s="135"/>
      <c r="N1029" s="256"/>
      <c r="O1029" s="256"/>
      <c r="P1029" s="256"/>
      <c r="Q1029" s="253" t="str">
        <f>IF(WTG_BD[[#This Row],[Work Start TimeStamp]]="","",(WTG_BD[[#This Row],[Work Start TimeStamp]]-WTG_BD[[#This Row],[Fault Start TimeStamp]])*24)</f>
        <v/>
      </c>
      <c r="R1029" s="253">
        <f>(WTG_BD[[#This Row],[Fault Clearance time]]-WTG_BD[[#This Row],[Work Start TimeStamp]])*24</f>
        <v>0</v>
      </c>
      <c r="S1029" s="253">
        <f>(WTG_BD[[#This Row],[Fault Clearance time]]-WTG_BD[[#This Row],[Fault Start TimeStamp]])*24</f>
        <v>0</v>
      </c>
      <c r="T1029" s="135"/>
      <c r="U1029" s="244"/>
      <c r="V1029" s="246">
        <f>WTG_BD[[#This Row],[Breakdown Time]]*(1/39)</f>
        <v>0</v>
      </c>
      <c r="W1029" s="244"/>
      <c r="X1029" s="250"/>
      <c r="Y1029" s="135"/>
      <c r="Z1029" s="135"/>
      <c r="AA1029" s="135"/>
      <c r="AB1029" s="249">
        <f>(WTG_BD[[#This Row],[Paired WTG Generation for loss calculation.]]/24)*WTG_BD[[#This Row],[Breakdown Time]]</f>
        <v>0</v>
      </c>
      <c r="AC1029" s="135"/>
      <c r="AD1029" s="245"/>
      <c r="AE1029" s="3"/>
    </row>
    <row r="1030" spans="1:31">
      <c r="A1030" s="241">
        <f t="shared" ref="A1030:A1059" si="34">A1029+1</f>
        <v>1029</v>
      </c>
      <c r="B1030" s="255"/>
      <c r="C1030" s="252"/>
      <c r="D1030" s="252"/>
      <c r="E1030" s="251">
        <f t="shared" si="33"/>
        <v>1</v>
      </c>
      <c r="F1030" s="252"/>
      <c r="G1030" s="248"/>
      <c r="H1030" s="242" t="str">
        <f>IFERROR(VLOOKUP(WTG_BD[[#This Row],[Affected WTG]],'Basic Data'!$A$3:$E$56,2,0),"")</f>
        <v/>
      </c>
      <c r="I1030" s="242" t="str">
        <f>IFERROR(VLOOKUP(WTG_BD[[#This Row],[Affected WTG]],'Basic Data'!$A$3:$E$56,3,0),"")</f>
        <v/>
      </c>
      <c r="J1030" s="243" t="str">
        <f>IFERROR(VLOOKUP(WTG_BD[[#This Row],[Affected WTG]],'Basic Data'!$A$3:$E$56,5,0),"")</f>
        <v/>
      </c>
      <c r="K1030" s="158"/>
      <c r="L1030" s="247" t="e">
        <f>VLOOKUP(K1030,'Basic Data'!T:U,2,0)</f>
        <v>#N/A</v>
      </c>
      <c r="M1030" s="135"/>
      <c r="N1030" s="256"/>
      <c r="O1030" s="256"/>
      <c r="P1030" s="256"/>
      <c r="Q1030" s="253" t="str">
        <f>IF(WTG_BD[[#This Row],[Work Start TimeStamp]]="","",(WTG_BD[[#This Row],[Work Start TimeStamp]]-WTG_BD[[#This Row],[Fault Start TimeStamp]])*24)</f>
        <v/>
      </c>
      <c r="R1030" s="253">
        <f>(WTG_BD[[#This Row],[Fault Clearance time]]-WTG_BD[[#This Row],[Work Start TimeStamp]])*24</f>
        <v>0</v>
      </c>
      <c r="S1030" s="253">
        <f>(WTG_BD[[#This Row],[Fault Clearance time]]-WTG_BD[[#This Row],[Fault Start TimeStamp]])*24</f>
        <v>0</v>
      </c>
      <c r="T1030" s="135"/>
      <c r="U1030" s="244"/>
      <c r="V1030" s="246">
        <f>WTG_BD[[#This Row],[Breakdown Time]]*(1/39)</f>
        <v>0</v>
      </c>
      <c r="W1030" s="244"/>
      <c r="X1030" s="250"/>
      <c r="Y1030" s="135"/>
      <c r="Z1030" s="135"/>
      <c r="AA1030" s="135"/>
      <c r="AB1030" s="249">
        <f>(WTG_BD[[#This Row],[Paired WTG Generation for loss calculation.]]/24)*WTG_BD[[#This Row],[Breakdown Time]]</f>
        <v>0</v>
      </c>
      <c r="AC1030" s="135"/>
      <c r="AD1030" s="245"/>
      <c r="AE1030" s="3"/>
    </row>
    <row r="1031" spans="1:31">
      <c r="A1031" s="241">
        <f t="shared" si="34"/>
        <v>1030</v>
      </c>
      <c r="B1031" s="255"/>
      <c r="C1031" s="252"/>
      <c r="D1031" s="252"/>
      <c r="E1031" s="251">
        <f t="shared" si="33"/>
        <v>1</v>
      </c>
      <c r="F1031" s="252"/>
      <c r="G1031" s="248"/>
      <c r="H1031" s="242" t="str">
        <f>IFERROR(VLOOKUP(WTG_BD[[#This Row],[Affected WTG]],'Basic Data'!$A$3:$E$56,2,0),"")</f>
        <v/>
      </c>
      <c r="I1031" s="242" t="str">
        <f>IFERROR(VLOOKUP(WTG_BD[[#This Row],[Affected WTG]],'Basic Data'!$A$3:$E$56,3,0),"")</f>
        <v/>
      </c>
      <c r="J1031" s="243" t="str">
        <f>IFERROR(VLOOKUP(WTG_BD[[#This Row],[Affected WTG]],'Basic Data'!$A$3:$E$56,5,0),"")</f>
        <v/>
      </c>
      <c r="K1031" s="158"/>
      <c r="L1031" s="247" t="e">
        <f>VLOOKUP(K1031,'Basic Data'!T:U,2,0)</f>
        <v>#N/A</v>
      </c>
      <c r="M1031" s="135"/>
      <c r="N1031" s="256"/>
      <c r="O1031" s="256"/>
      <c r="P1031" s="256"/>
      <c r="Q1031" s="253" t="str">
        <f>IF(WTG_BD[[#This Row],[Work Start TimeStamp]]="","",(WTG_BD[[#This Row],[Work Start TimeStamp]]-WTG_BD[[#This Row],[Fault Start TimeStamp]])*24)</f>
        <v/>
      </c>
      <c r="R1031" s="253">
        <f>(WTG_BD[[#This Row],[Fault Clearance time]]-WTG_BD[[#This Row],[Work Start TimeStamp]])*24</f>
        <v>0</v>
      </c>
      <c r="S1031" s="253">
        <f>(WTG_BD[[#This Row],[Fault Clearance time]]-WTG_BD[[#This Row],[Fault Start TimeStamp]])*24</f>
        <v>0</v>
      </c>
      <c r="T1031" s="135"/>
      <c r="U1031" s="244"/>
      <c r="V1031" s="246">
        <f>WTG_BD[[#This Row],[Breakdown Time]]*(1/39)</f>
        <v>0</v>
      </c>
      <c r="W1031" s="244"/>
      <c r="X1031" s="250"/>
      <c r="Y1031" s="135"/>
      <c r="Z1031" s="135"/>
      <c r="AA1031" s="135"/>
      <c r="AB1031" s="249">
        <f>(WTG_BD[[#This Row],[Paired WTG Generation for loss calculation.]]/24)*WTG_BD[[#This Row],[Breakdown Time]]</f>
        <v>0</v>
      </c>
      <c r="AC1031" s="135"/>
      <c r="AD1031" s="245"/>
      <c r="AE1031" s="3"/>
    </row>
    <row r="1032" spans="1:31">
      <c r="A1032" s="241">
        <f t="shared" si="34"/>
        <v>1031</v>
      </c>
      <c r="B1032" s="255"/>
      <c r="C1032" s="252"/>
      <c r="D1032" s="252"/>
      <c r="E1032" s="251">
        <f t="shared" si="33"/>
        <v>1</v>
      </c>
      <c r="F1032" s="252"/>
      <c r="G1032" s="248"/>
      <c r="H1032" s="242" t="str">
        <f>IFERROR(VLOOKUP(WTG_BD[[#This Row],[Affected WTG]],'Basic Data'!$A$3:$E$56,2,0),"")</f>
        <v/>
      </c>
      <c r="I1032" s="242" t="str">
        <f>IFERROR(VLOOKUP(WTG_BD[[#This Row],[Affected WTG]],'Basic Data'!$A$3:$E$56,3,0),"")</f>
        <v/>
      </c>
      <c r="J1032" s="243" t="str">
        <f>IFERROR(VLOOKUP(WTG_BD[[#This Row],[Affected WTG]],'Basic Data'!$A$3:$E$56,5,0),"")</f>
        <v/>
      </c>
      <c r="K1032" s="158"/>
      <c r="L1032" s="247" t="e">
        <f>VLOOKUP(K1032,'Basic Data'!T:U,2,0)</f>
        <v>#N/A</v>
      </c>
      <c r="M1032" s="135"/>
      <c r="N1032" s="256"/>
      <c r="O1032" s="256"/>
      <c r="P1032" s="256"/>
      <c r="Q1032" s="253" t="str">
        <f>IF(WTG_BD[[#This Row],[Work Start TimeStamp]]="","",(WTG_BD[[#This Row],[Work Start TimeStamp]]-WTG_BD[[#This Row],[Fault Start TimeStamp]])*24)</f>
        <v/>
      </c>
      <c r="R1032" s="253">
        <f>(WTG_BD[[#This Row],[Fault Clearance time]]-WTG_BD[[#This Row],[Work Start TimeStamp]])*24</f>
        <v>0</v>
      </c>
      <c r="S1032" s="253">
        <f>(WTG_BD[[#This Row],[Fault Clearance time]]-WTG_BD[[#This Row],[Fault Start TimeStamp]])*24</f>
        <v>0</v>
      </c>
      <c r="T1032" s="135"/>
      <c r="U1032" s="244"/>
      <c r="V1032" s="246">
        <f>WTG_BD[[#This Row],[Breakdown Time]]*(1/39)</f>
        <v>0</v>
      </c>
      <c r="W1032" s="244"/>
      <c r="X1032" s="250"/>
      <c r="Y1032" s="135"/>
      <c r="Z1032" s="135"/>
      <c r="AA1032" s="135"/>
      <c r="AB1032" s="249">
        <f>(WTG_BD[[#This Row],[Paired WTG Generation for loss calculation.]]/24)*WTG_BD[[#This Row],[Breakdown Time]]</f>
        <v>0</v>
      </c>
      <c r="AC1032" s="135"/>
      <c r="AD1032" s="245"/>
      <c r="AE1032" s="3"/>
    </row>
    <row r="1033" spans="1:31">
      <c r="A1033" s="241">
        <f t="shared" si="34"/>
        <v>1032</v>
      </c>
      <c r="B1033" s="255"/>
      <c r="C1033" s="252"/>
      <c r="D1033" s="252"/>
      <c r="E1033" s="251">
        <f t="shared" si="33"/>
        <v>1</v>
      </c>
      <c r="F1033" s="252"/>
      <c r="G1033" s="248"/>
      <c r="H1033" s="242" t="str">
        <f>IFERROR(VLOOKUP(WTG_BD[[#This Row],[Affected WTG]],'Basic Data'!$A$3:$E$56,2,0),"")</f>
        <v/>
      </c>
      <c r="I1033" s="242" t="str">
        <f>IFERROR(VLOOKUP(WTG_BD[[#This Row],[Affected WTG]],'Basic Data'!$A$3:$E$56,3,0),"")</f>
        <v/>
      </c>
      <c r="J1033" s="243" t="str">
        <f>IFERROR(VLOOKUP(WTG_BD[[#This Row],[Affected WTG]],'Basic Data'!$A$3:$E$56,5,0),"")</f>
        <v/>
      </c>
      <c r="K1033" s="158"/>
      <c r="L1033" s="247" t="e">
        <f>VLOOKUP(K1033,'Basic Data'!T:U,2,0)</f>
        <v>#N/A</v>
      </c>
      <c r="M1033" s="135"/>
      <c r="N1033" s="256"/>
      <c r="O1033" s="256"/>
      <c r="P1033" s="256"/>
      <c r="Q1033" s="253" t="str">
        <f>IF(WTG_BD[[#This Row],[Work Start TimeStamp]]="","",(WTG_BD[[#This Row],[Work Start TimeStamp]]-WTG_BD[[#This Row],[Fault Start TimeStamp]])*24)</f>
        <v/>
      </c>
      <c r="R1033" s="253">
        <f>(WTG_BD[[#This Row],[Fault Clearance time]]-WTG_BD[[#This Row],[Work Start TimeStamp]])*24</f>
        <v>0</v>
      </c>
      <c r="S1033" s="253">
        <f>(WTG_BD[[#This Row],[Fault Clearance time]]-WTG_BD[[#This Row],[Fault Start TimeStamp]])*24</f>
        <v>0</v>
      </c>
      <c r="T1033" s="135"/>
      <c r="U1033" s="244"/>
      <c r="V1033" s="246">
        <f>WTG_BD[[#This Row],[Breakdown Time]]*(1/39)</f>
        <v>0</v>
      </c>
      <c r="W1033" s="244"/>
      <c r="X1033" s="250"/>
      <c r="Y1033" s="135"/>
      <c r="Z1033" s="135"/>
      <c r="AA1033" s="135"/>
      <c r="AB1033" s="249">
        <f>(WTG_BD[[#This Row],[Paired WTG Generation for loss calculation.]]/24)*WTG_BD[[#This Row],[Breakdown Time]]</f>
        <v>0</v>
      </c>
      <c r="AC1033" s="135"/>
      <c r="AD1033" s="245"/>
      <c r="AE1033" s="3"/>
    </row>
    <row r="1034" spans="1:31">
      <c r="A1034" s="241">
        <f t="shared" si="34"/>
        <v>1033</v>
      </c>
      <c r="B1034" s="255"/>
      <c r="C1034" s="252"/>
      <c r="D1034" s="252"/>
      <c r="E1034" s="251">
        <f t="shared" si="33"/>
        <v>1</v>
      </c>
      <c r="F1034" s="252"/>
      <c r="G1034" s="248"/>
      <c r="H1034" s="242" t="str">
        <f>IFERROR(VLOOKUP(WTG_BD[[#This Row],[Affected WTG]],'Basic Data'!$A$3:$E$56,2,0),"")</f>
        <v/>
      </c>
      <c r="I1034" s="242" t="str">
        <f>IFERROR(VLOOKUP(WTG_BD[[#This Row],[Affected WTG]],'Basic Data'!$A$3:$E$56,3,0),"")</f>
        <v/>
      </c>
      <c r="J1034" s="243" t="str">
        <f>IFERROR(VLOOKUP(WTG_BD[[#This Row],[Affected WTG]],'Basic Data'!$A$3:$E$56,5,0),"")</f>
        <v/>
      </c>
      <c r="K1034" s="158"/>
      <c r="L1034" s="247" t="e">
        <f>VLOOKUP(K1034,'Basic Data'!T:U,2,0)</f>
        <v>#N/A</v>
      </c>
      <c r="M1034" s="135"/>
      <c r="N1034" s="256"/>
      <c r="O1034" s="256"/>
      <c r="P1034" s="256"/>
      <c r="Q1034" s="253" t="str">
        <f>IF(WTG_BD[[#This Row],[Work Start TimeStamp]]="","",(WTG_BD[[#This Row],[Work Start TimeStamp]]-WTG_BD[[#This Row],[Fault Start TimeStamp]])*24)</f>
        <v/>
      </c>
      <c r="R1034" s="253">
        <f>(WTG_BD[[#This Row],[Fault Clearance time]]-WTG_BD[[#This Row],[Work Start TimeStamp]])*24</f>
        <v>0</v>
      </c>
      <c r="S1034" s="253">
        <f>(WTG_BD[[#This Row],[Fault Clearance time]]-WTG_BD[[#This Row],[Fault Start TimeStamp]])*24</f>
        <v>0</v>
      </c>
      <c r="T1034" s="135"/>
      <c r="U1034" s="244"/>
      <c r="V1034" s="246">
        <f>WTG_BD[[#This Row],[Breakdown Time]]*(1/39)</f>
        <v>0</v>
      </c>
      <c r="W1034" s="244"/>
      <c r="X1034" s="250"/>
      <c r="Y1034" s="135"/>
      <c r="Z1034" s="135"/>
      <c r="AA1034" s="135"/>
      <c r="AB1034" s="249">
        <f>(WTG_BD[[#This Row],[Paired WTG Generation for loss calculation.]]/24)*WTG_BD[[#This Row],[Breakdown Time]]</f>
        <v>0</v>
      </c>
      <c r="AC1034" s="135"/>
      <c r="AD1034" s="245"/>
      <c r="AE1034" s="3"/>
    </row>
    <row r="1035" spans="1:31">
      <c r="A1035" s="241">
        <f t="shared" si="34"/>
        <v>1034</v>
      </c>
      <c r="B1035" s="255"/>
      <c r="C1035" s="252"/>
      <c r="D1035" s="252"/>
      <c r="E1035" s="251">
        <f t="shared" si="33"/>
        <v>1</v>
      </c>
      <c r="F1035" s="252"/>
      <c r="G1035" s="248"/>
      <c r="H1035" s="242" t="str">
        <f>IFERROR(VLOOKUP(WTG_BD[[#This Row],[Affected WTG]],'Basic Data'!$A$3:$E$56,2,0),"")</f>
        <v/>
      </c>
      <c r="I1035" s="242" t="str">
        <f>IFERROR(VLOOKUP(WTG_BD[[#This Row],[Affected WTG]],'Basic Data'!$A$3:$E$56,3,0),"")</f>
        <v/>
      </c>
      <c r="J1035" s="243" t="str">
        <f>IFERROR(VLOOKUP(WTG_BD[[#This Row],[Affected WTG]],'Basic Data'!$A$3:$E$56,5,0),"")</f>
        <v/>
      </c>
      <c r="K1035" s="158"/>
      <c r="L1035" s="247" t="e">
        <f>VLOOKUP(K1035,'Basic Data'!T:U,2,0)</f>
        <v>#N/A</v>
      </c>
      <c r="M1035" s="135"/>
      <c r="N1035" s="256"/>
      <c r="O1035" s="256"/>
      <c r="P1035" s="256"/>
      <c r="Q1035" s="253" t="str">
        <f>IF(WTG_BD[[#This Row],[Work Start TimeStamp]]="","",(WTG_BD[[#This Row],[Work Start TimeStamp]]-WTG_BD[[#This Row],[Fault Start TimeStamp]])*24)</f>
        <v/>
      </c>
      <c r="R1035" s="253">
        <f>(WTG_BD[[#This Row],[Fault Clearance time]]-WTG_BD[[#This Row],[Work Start TimeStamp]])*24</f>
        <v>0</v>
      </c>
      <c r="S1035" s="253">
        <f>(WTG_BD[[#This Row],[Fault Clearance time]]-WTG_BD[[#This Row],[Fault Start TimeStamp]])*24</f>
        <v>0</v>
      </c>
      <c r="T1035" s="135"/>
      <c r="U1035" s="244"/>
      <c r="V1035" s="246">
        <f>WTG_BD[[#This Row],[Breakdown Time]]*(1/39)</f>
        <v>0</v>
      </c>
      <c r="W1035" s="244"/>
      <c r="X1035" s="250"/>
      <c r="Y1035" s="135"/>
      <c r="Z1035" s="135"/>
      <c r="AA1035" s="135"/>
      <c r="AB1035" s="249">
        <f>(WTG_BD[[#This Row],[Paired WTG Generation for loss calculation.]]/24)*WTG_BD[[#This Row],[Breakdown Time]]</f>
        <v>0</v>
      </c>
      <c r="AC1035" s="135"/>
      <c r="AD1035" s="245"/>
      <c r="AE1035" s="3"/>
    </row>
    <row r="1036" spans="1:31">
      <c r="A1036" s="241">
        <f t="shared" si="34"/>
        <v>1035</v>
      </c>
      <c r="B1036" s="255"/>
      <c r="C1036" s="252"/>
      <c r="D1036" s="252"/>
      <c r="E1036" s="251">
        <f t="shared" si="33"/>
        <v>1</v>
      </c>
      <c r="F1036" s="252"/>
      <c r="G1036" s="248"/>
      <c r="H1036" s="242" t="str">
        <f>IFERROR(VLOOKUP(WTG_BD[[#This Row],[Affected WTG]],'Basic Data'!$A$3:$E$56,2,0),"")</f>
        <v/>
      </c>
      <c r="I1036" s="242" t="str">
        <f>IFERROR(VLOOKUP(WTG_BD[[#This Row],[Affected WTG]],'Basic Data'!$A$3:$E$56,3,0),"")</f>
        <v/>
      </c>
      <c r="J1036" s="243" t="str">
        <f>IFERROR(VLOOKUP(WTG_BD[[#This Row],[Affected WTG]],'Basic Data'!$A$3:$E$56,5,0),"")</f>
        <v/>
      </c>
      <c r="K1036" s="158"/>
      <c r="L1036" s="247" t="e">
        <f>VLOOKUP(K1036,'Basic Data'!T:U,2,0)</f>
        <v>#N/A</v>
      </c>
      <c r="M1036" s="135"/>
      <c r="N1036" s="256"/>
      <c r="O1036" s="256"/>
      <c r="P1036" s="256"/>
      <c r="Q1036" s="253" t="str">
        <f>IF(WTG_BD[[#This Row],[Work Start TimeStamp]]="","",(WTG_BD[[#This Row],[Work Start TimeStamp]]-WTG_BD[[#This Row],[Fault Start TimeStamp]])*24)</f>
        <v/>
      </c>
      <c r="R1036" s="253">
        <f>(WTG_BD[[#This Row],[Fault Clearance time]]-WTG_BD[[#This Row],[Work Start TimeStamp]])*24</f>
        <v>0</v>
      </c>
      <c r="S1036" s="253">
        <f>(WTG_BD[[#This Row],[Fault Clearance time]]-WTG_BD[[#This Row],[Fault Start TimeStamp]])*24</f>
        <v>0</v>
      </c>
      <c r="T1036" s="135"/>
      <c r="U1036" s="244"/>
      <c r="V1036" s="246">
        <f>WTG_BD[[#This Row],[Breakdown Time]]*(1/39)</f>
        <v>0</v>
      </c>
      <c r="W1036" s="244"/>
      <c r="X1036" s="250"/>
      <c r="Y1036" s="135"/>
      <c r="Z1036" s="135"/>
      <c r="AA1036" s="135"/>
      <c r="AB1036" s="249">
        <f>(WTG_BD[[#This Row],[Paired WTG Generation for loss calculation.]]/24)*WTG_BD[[#This Row],[Breakdown Time]]</f>
        <v>0</v>
      </c>
      <c r="AC1036" s="135"/>
      <c r="AD1036" s="245"/>
      <c r="AE1036" s="3"/>
    </row>
    <row r="1037" spans="1:31">
      <c r="A1037" s="241">
        <f t="shared" si="34"/>
        <v>1036</v>
      </c>
      <c r="B1037" s="255"/>
      <c r="C1037" s="252"/>
      <c r="D1037" s="252"/>
      <c r="E1037" s="251">
        <f t="shared" si="33"/>
        <v>1</v>
      </c>
      <c r="F1037" s="252"/>
      <c r="G1037" s="248"/>
      <c r="H1037" s="242" t="str">
        <f>IFERROR(VLOOKUP(WTG_BD[[#This Row],[Affected WTG]],'Basic Data'!$A$3:$E$56,2,0),"")</f>
        <v/>
      </c>
      <c r="I1037" s="242" t="str">
        <f>IFERROR(VLOOKUP(WTG_BD[[#This Row],[Affected WTG]],'Basic Data'!$A$3:$E$56,3,0),"")</f>
        <v/>
      </c>
      <c r="J1037" s="243" t="str">
        <f>IFERROR(VLOOKUP(WTG_BD[[#This Row],[Affected WTG]],'Basic Data'!$A$3:$E$56,5,0),"")</f>
        <v/>
      </c>
      <c r="K1037" s="158"/>
      <c r="L1037" s="247" t="e">
        <f>VLOOKUP(K1037,'Basic Data'!T:U,2,0)</f>
        <v>#N/A</v>
      </c>
      <c r="M1037" s="135"/>
      <c r="N1037" s="256"/>
      <c r="O1037" s="256"/>
      <c r="P1037" s="256"/>
      <c r="Q1037" s="253" t="str">
        <f>IF(WTG_BD[[#This Row],[Work Start TimeStamp]]="","",(WTG_BD[[#This Row],[Work Start TimeStamp]]-WTG_BD[[#This Row],[Fault Start TimeStamp]])*24)</f>
        <v/>
      </c>
      <c r="R1037" s="253">
        <f>(WTG_BD[[#This Row],[Fault Clearance time]]-WTG_BD[[#This Row],[Work Start TimeStamp]])*24</f>
        <v>0</v>
      </c>
      <c r="S1037" s="253">
        <f>(WTG_BD[[#This Row],[Fault Clearance time]]-WTG_BD[[#This Row],[Fault Start TimeStamp]])*24</f>
        <v>0</v>
      </c>
      <c r="T1037" s="135"/>
      <c r="U1037" s="244"/>
      <c r="V1037" s="246">
        <f>WTG_BD[[#This Row],[Breakdown Time]]*(1/39)</f>
        <v>0</v>
      </c>
      <c r="W1037" s="244"/>
      <c r="X1037" s="250"/>
      <c r="Y1037" s="135"/>
      <c r="Z1037" s="135"/>
      <c r="AA1037" s="135"/>
      <c r="AB1037" s="249">
        <f>(WTG_BD[[#This Row],[Paired WTG Generation for loss calculation.]]/24)*WTG_BD[[#This Row],[Breakdown Time]]</f>
        <v>0</v>
      </c>
      <c r="AC1037" s="135"/>
      <c r="AD1037" s="245"/>
      <c r="AE1037" s="3"/>
    </row>
    <row r="1038" spans="1:31">
      <c r="A1038" s="241">
        <f t="shared" si="34"/>
        <v>1037</v>
      </c>
      <c r="B1038" s="255"/>
      <c r="C1038" s="252"/>
      <c r="D1038" s="252"/>
      <c r="E1038" s="251">
        <f t="shared" si="33"/>
        <v>1</v>
      </c>
      <c r="F1038" s="252"/>
      <c r="G1038" s="248"/>
      <c r="H1038" s="242" t="str">
        <f>IFERROR(VLOOKUP(WTG_BD[[#This Row],[Affected WTG]],'Basic Data'!$A$3:$E$56,2,0),"")</f>
        <v/>
      </c>
      <c r="I1038" s="242" t="str">
        <f>IFERROR(VLOOKUP(WTG_BD[[#This Row],[Affected WTG]],'Basic Data'!$A$3:$E$56,3,0),"")</f>
        <v/>
      </c>
      <c r="J1038" s="243" t="str">
        <f>IFERROR(VLOOKUP(WTG_BD[[#This Row],[Affected WTG]],'Basic Data'!$A$3:$E$56,5,0),"")</f>
        <v/>
      </c>
      <c r="K1038" s="158"/>
      <c r="L1038" s="247" t="e">
        <f>VLOOKUP(K1038,'Basic Data'!T:U,2,0)</f>
        <v>#N/A</v>
      </c>
      <c r="M1038" s="135"/>
      <c r="N1038" s="256"/>
      <c r="O1038" s="256"/>
      <c r="P1038" s="256"/>
      <c r="Q1038" s="253" t="str">
        <f>IF(WTG_BD[[#This Row],[Work Start TimeStamp]]="","",(WTG_BD[[#This Row],[Work Start TimeStamp]]-WTG_BD[[#This Row],[Fault Start TimeStamp]])*24)</f>
        <v/>
      </c>
      <c r="R1038" s="253">
        <f>(WTG_BD[[#This Row],[Fault Clearance time]]-WTG_BD[[#This Row],[Work Start TimeStamp]])*24</f>
        <v>0</v>
      </c>
      <c r="S1038" s="253">
        <f>(WTG_BD[[#This Row],[Fault Clearance time]]-WTG_BD[[#This Row],[Fault Start TimeStamp]])*24</f>
        <v>0</v>
      </c>
      <c r="T1038" s="135"/>
      <c r="U1038" s="244"/>
      <c r="V1038" s="246">
        <f>WTG_BD[[#This Row],[Breakdown Time]]*(1/39)</f>
        <v>0</v>
      </c>
      <c r="W1038" s="244"/>
      <c r="X1038" s="250"/>
      <c r="Y1038" s="135"/>
      <c r="Z1038" s="135"/>
      <c r="AA1038" s="135"/>
      <c r="AB1038" s="249">
        <f>(WTG_BD[[#This Row],[Paired WTG Generation for loss calculation.]]/24)*WTG_BD[[#This Row],[Breakdown Time]]</f>
        <v>0</v>
      </c>
      <c r="AC1038" s="135"/>
      <c r="AD1038" s="245"/>
      <c r="AE1038" s="3"/>
    </row>
    <row r="1039" spans="1:31">
      <c r="A1039" s="241">
        <f t="shared" si="34"/>
        <v>1038</v>
      </c>
      <c r="B1039" s="255"/>
      <c r="C1039" s="252"/>
      <c r="D1039" s="252"/>
      <c r="E1039" s="251">
        <f t="shared" si="33"/>
        <v>1</v>
      </c>
      <c r="F1039" s="252"/>
      <c r="G1039" s="248"/>
      <c r="H1039" s="242" t="str">
        <f>IFERROR(VLOOKUP(WTG_BD[[#This Row],[Affected WTG]],'Basic Data'!$A$3:$E$56,2,0),"")</f>
        <v/>
      </c>
      <c r="I1039" s="242" t="str">
        <f>IFERROR(VLOOKUP(WTG_BD[[#This Row],[Affected WTG]],'Basic Data'!$A$3:$E$56,3,0),"")</f>
        <v/>
      </c>
      <c r="J1039" s="243" t="str">
        <f>IFERROR(VLOOKUP(WTG_BD[[#This Row],[Affected WTG]],'Basic Data'!$A$3:$E$56,5,0),"")</f>
        <v/>
      </c>
      <c r="K1039" s="158"/>
      <c r="L1039" s="247" t="e">
        <f>VLOOKUP(K1039,'Basic Data'!T:U,2,0)</f>
        <v>#N/A</v>
      </c>
      <c r="M1039" s="135"/>
      <c r="N1039" s="256"/>
      <c r="O1039" s="256"/>
      <c r="P1039" s="256"/>
      <c r="Q1039" s="253" t="str">
        <f>IF(WTG_BD[[#This Row],[Work Start TimeStamp]]="","",(WTG_BD[[#This Row],[Work Start TimeStamp]]-WTG_BD[[#This Row],[Fault Start TimeStamp]])*24)</f>
        <v/>
      </c>
      <c r="R1039" s="253">
        <f>(WTG_BD[[#This Row],[Fault Clearance time]]-WTG_BD[[#This Row],[Work Start TimeStamp]])*24</f>
        <v>0</v>
      </c>
      <c r="S1039" s="253">
        <f>(WTG_BD[[#This Row],[Fault Clearance time]]-WTG_BD[[#This Row],[Fault Start TimeStamp]])*24</f>
        <v>0</v>
      </c>
      <c r="T1039" s="135"/>
      <c r="U1039" s="244"/>
      <c r="V1039" s="246">
        <f>WTG_BD[[#This Row],[Breakdown Time]]*(1/39)</f>
        <v>0</v>
      </c>
      <c r="W1039" s="244"/>
      <c r="X1039" s="250"/>
      <c r="Y1039" s="135"/>
      <c r="Z1039" s="135"/>
      <c r="AA1039" s="135"/>
      <c r="AB1039" s="249">
        <f>(WTG_BD[[#This Row],[Paired WTG Generation for loss calculation.]]/24)*WTG_BD[[#This Row],[Breakdown Time]]</f>
        <v>0</v>
      </c>
      <c r="AC1039" s="135"/>
      <c r="AD1039" s="245"/>
      <c r="AE1039" s="3"/>
    </row>
    <row r="1040" spans="1:31">
      <c r="A1040" s="241">
        <f t="shared" si="34"/>
        <v>1039</v>
      </c>
      <c r="B1040" s="255"/>
      <c r="C1040" s="252"/>
      <c r="D1040" s="252"/>
      <c r="E1040" s="251">
        <f t="shared" si="33"/>
        <v>1</v>
      </c>
      <c r="F1040" s="252"/>
      <c r="G1040" s="248"/>
      <c r="H1040" s="242" t="str">
        <f>IFERROR(VLOOKUP(WTG_BD[[#This Row],[Affected WTG]],'Basic Data'!$A$3:$E$56,2,0),"")</f>
        <v/>
      </c>
      <c r="I1040" s="242" t="str">
        <f>IFERROR(VLOOKUP(WTG_BD[[#This Row],[Affected WTG]],'Basic Data'!$A$3:$E$56,3,0),"")</f>
        <v/>
      </c>
      <c r="J1040" s="243" t="str">
        <f>IFERROR(VLOOKUP(WTG_BD[[#This Row],[Affected WTG]],'Basic Data'!$A$3:$E$56,5,0),"")</f>
        <v/>
      </c>
      <c r="K1040" s="158"/>
      <c r="L1040" s="247" t="e">
        <f>VLOOKUP(K1040,'Basic Data'!T:U,2,0)</f>
        <v>#N/A</v>
      </c>
      <c r="M1040" s="135"/>
      <c r="N1040" s="256"/>
      <c r="O1040" s="256"/>
      <c r="P1040" s="256"/>
      <c r="Q1040" s="253" t="str">
        <f>IF(WTG_BD[[#This Row],[Work Start TimeStamp]]="","",(WTG_BD[[#This Row],[Work Start TimeStamp]]-WTG_BD[[#This Row],[Fault Start TimeStamp]])*24)</f>
        <v/>
      </c>
      <c r="R1040" s="253">
        <f>(WTG_BD[[#This Row],[Fault Clearance time]]-WTG_BD[[#This Row],[Work Start TimeStamp]])*24</f>
        <v>0</v>
      </c>
      <c r="S1040" s="253">
        <f>(WTG_BD[[#This Row],[Fault Clearance time]]-WTG_BD[[#This Row],[Fault Start TimeStamp]])*24</f>
        <v>0</v>
      </c>
      <c r="T1040" s="135"/>
      <c r="U1040" s="244"/>
      <c r="V1040" s="246">
        <f>WTG_BD[[#This Row],[Breakdown Time]]*(1/39)</f>
        <v>0</v>
      </c>
      <c r="W1040" s="244"/>
      <c r="X1040" s="250"/>
      <c r="Y1040" s="135"/>
      <c r="Z1040" s="135"/>
      <c r="AA1040" s="135"/>
      <c r="AB1040" s="249">
        <f>(WTG_BD[[#This Row],[Paired WTG Generation for loss calculation.]]/24)*WTG_BD[[#This Row],[Breakdown Time]]</f>
        <v>0</v>
      </c>
      <c r="AC1040" s="135"/>
      <c r="AD1040" s="245"/>
      <c r="AE1040" s="3"/>
    </row>
    <row r="1041" spans="1:31">
      <c r="A1041" s="241">
        <f t="shared" si="34"/>
        <v>1040</v>
      </c>
      <c r="B1041" s="255"/>
      <c r="C1041" s="252"/>
      <c r="D1041" s="252"/>
      <c r="E1041" s="251">
        <f t="shared" si="33"/>
        <v>1</v>
      </c>
      <c r="F1041" s="252"/>
      <c r="G1041" s="248"/>
      <c r="H1041" s="242" t="str">
        <f>IFERROR(VLOOKUP(WTG_BD[[#This Row],[Affected WTG]],'Basic Data'!$A$3:$E$56,2,0),"")</f>
        <v/>
      </c>
      <c r="I1041" s="242" t="str">
        <f>IFERROR(VLOOKUP(WTG_BD[[#This Row],[Affected WTG]],'Basic Data'!$A$3:$E$56,3,0),"")</f>
        <v/>
      </c>
      <c r="J1041" s="243" t="str">
        <f>IFERROR(VLOOKUP(WTG_BD[[#This Row],[Affected WTG]],'Basic Data'!$A$3:$E$56,5,0),"")</f>
        <v/>
      </c>
      <c r="K1041" s="158"/>
      <c r="L1041" s="247" t="e">
        <f>VLOOKUP(K1041,'Basic Data'!T:U,2,0)</f>
        <v>#N/A</v>
      </c>
      <c r="M1041" s="135"/>
      <c r="N1041" s="256"/>
      <c r="O1041" s="256"/>
      <c r="P1041" s="256"/>
      <c r="Q1041" s="253" t="str">
        <f>IF(WTG_BD[[#This Row],[Work Start TimeStamp]]="","",(WTG_BD[[#This Row],[Work Start TimeStamp]]-WTG_BD[[#This Row],[Fault Start TimeStamp]])*24)</f>
        <v/>
      </c>
      <c r="R1041" s="253">
        <f>(WTG_BD[[#This Row],[Fault Clearance time]]-WTG_BD[[#This Row],[Work Start TimeStamp]])*24</f>
        <v>0</v>
      </c>
      <c r="S1041" s="253">
        <f>(WTG_BD[[#This Row],[Fault Clearance time]]-WTG_BD[[#This Row],[Fault Start TimeStamp]])*24</f>
        <v>0</v>
      </c>
      <c r="T1041" s="135"/>
      <c r="U1041" s="244"/>
      <c r="V1041" s="246">
        <f>WTG_BD[[#This Row],[Breakdown Time]]*(1/39)</f>
        <v>0</v>
      </c>
      <c r="W1041" s="244"/>
      <c r="X1041" s="250"/>
      <c r="Y1041" s="135"/>
      <c r="Z1041" s="135"/>
      <c r="AA1041" s="135"/>
      <c r="AB1041" s="249">
        <f>(WTG_BD[[#This Row],[Paired WTG Generation for loss calculation.]]/24)*WTG_BD[[#This Row],[Breakdown Time]]</f>
        <v>0</v>
      </c>
      <c r="AC1041" s="135"/>
      <c r="AD1041" s="245"/>
      <c r="AE1041" s="3"/>
    </row>
    <row r="1042" spans="1:31">
      <c r="A1042" s="241">
        <f t="shared" si="34"/>
        <v>1041</v>
      </c>
      <c r="B1042" s="255"/>
      <c r="C1042" s="252"/>
      <c r="D1042" s="252"/>
      <c r="E1042" s="251">
        <f t="shared" si="33"/>
        <v>1</v>
      </c>
      <c r="F1042" s="252"/>
      <c r="G1042" s="248"/>
      <c r="H1042" s="242" t="str">
        <f>IFERROR(VLOOKUP(WTG_BD[[#This Row],[Affected WTG]],'Basic Data'!$A$3:$E$56,2,0),"")</f>
        <v/>
      </c>
      <c r="I1042" s="242" t="str">
        <f>IFERROR(VLOOKUP(WTG_BD[[#This Row],[Affected WTG]],'Basic Data'!$A$3:$E$56,3,0),"")</f>
        <v/>
      </c>
      <c r="J1042" s="243" t="str">
        <f>IFERROR(VLOOKUP(WTG_BD[[#This Row],[Affected WTG]],'Basic Data'!$A$3:$E$56,5,0),"")</f>
        <v/>
      </c>
      <c r="K1042" s="158"/>
      <c r="L1042" s="247" t="e">
        <f>VLOOKUP(K1042,'Basic Data'!T:U,2,0)</f>
        <v>#N/A</v>
      </c>
      <c r="M1042" s="135"/>
      <c r="N1042" s="256"/>
      <c r="O1042" s="256"/>
      <c r="P1042" s="256"/>
      <c r="Q1042" s="253" t="str">
        <f>IF(WTG_BD[[#This Row],[Work Start TimeStamp]]="","",(WTG_BD[[#This Row],[Work Start TimeStamp]]-WTG_BD[[#This Row],[Fault Start TimeStamp]])*24)</f>
        <v/>
      </c>
      <c r="R1042" s="253">
        <f>(WTG_BD[[#This Row],[Fault Clearance time]]-WTG_BD[[#This Row],[Work Start TimeStamp]])*24</f>
        <v>0</v>
      </c>
      <c r="S1042" s="253">
        <f>(WTG_BD[[#This Row],[Fault Clearance time]]-WTG_BD[[#This Row],[Fault Start TimeStamp]])*24</f>
        <v>0</v>
      </c>
      <c r="T1042" s="135"/>
      <c r="U1042" s="244"/>
      <c r="V1042" s="246">
        <f>WTG_BD[[#This Row],[Breakdown Time]]*(1/39)</f>
        <v>0</v>
      </c>
      <c r="W1042" s="244"/>
      <c r="X1042" s="250"/>
      <c r="Y1042" s="135"/>
      <c r="Z1042" s="135"/>
      <c r="AA1042" s="135"/>
      <c r="AB1042" s="249">
        <f>(WTG_BD[[#This Row],[Paired WTG Generation for loss calculation.]]/24)*WTG_BD[[#This Row],[Breakdown Time]]</f>
        <v>0</v>
      </c>
      <c r="AC1042" s="135"/>
      <c r="AD1042" s="245"/>
      <c r="AE1042" s="3"/>
    </row>
    <row r="1043" spans="1:31">
      <c r="A1043" s="241">
        <f t="shared" si="34"/>
        <v>1042</v>
      </c>
      <c r="B1043" s="255"/>
      <c r="C1043" s="252"/>
      <c r="D1043" s="252"/>
      <c r="E1043" s="251">
        <f t="shared" si="33"/>
        <v>1</v>
      </c>
      <c r="F1043" s="252"/>
      <c r="G1043" s="248"/>
      <c r="H1043" s="242" t="str">
        <f>IFERROR(VLOOKUP(WTG_BD[[#This Row],[Affected WTG]],'Basic Data'!$A$3:$E$56,2,0),"")</f>
        <v/>
      </c>
      <c r="I1043" s="242" t="str">
        <f>IFERROR(VLOOKUP(WTG_BD[[#This Row],[Affected WTG]],'Basic Data'!$A$3:$E$56,3,0),"")</f>
        <v/>
      </c>
      <c r="J1043" s="243" t="str">
        <f>IFERROR(VLOOKUP(WTG_BD[[#This Row],[Affected WTG]],'Basic Data'!$A$3:$E$56,5,0),"")</f>
        <v/>
      </c>
      <c r="K1043" s="158"/>
      <c r="L1043" s="247" t="e">
        <f>VLOOKUP(K1043,'Basic Data'!T:U,2,0)</f>
        <v>#N/A</v>
      </c>
      <c r="M1043" s="135"/>
      <c r="N1043" s="256"/>
      <c r="O1043" s="256"/>
      <c r="P1043" s="256"/>
      <c r="Q1043" s="253" t="str">
        <f>IF(WTG_BD[[#This Row],[Work Start TimeStamp]]="","",(WTG_BD[[#This Row],[Work Start TimeStamp]]-WTG_BD[[#This Row],[Fault Start TimeStamp]])*24)</f>
        <v/>
      </c>
      <c r="R1043" s="253">
        <f>(WTG_BD[[#This Row],[Fault Clearance time]]-WTG_BD[[#This Row],[Work Start TimeStamp]])*24</f>
        <v>0</v>
      </c>
      <c r="S1043" s="253">
        <f>(WTG_BD[[#This Row],[Fault Clearance time]]-WTG_BD[[#This Row],[Fault Start TimeStamp]])*24</f>
        <v>0</v>
      </c>
      <c r="T1043" s="135"/>
      <c r="U1043" s="244"/>
      <c r="V1043" s="246">
        <f>WTG_BD[[#This Row],[Breakdown Time]]*(1/39)</f>
        <v>0</v>
      </c>
      <c r="W1043" s="244"/>
      <c r="X1043" s="250"/>
      <c r="Y1043" s="135"/>
      <c r="Z1043" s="135"/>
      <c r="AA1043" s="135"/>
      <c r="AB1043" s="249">
        <f>(WTG_BD[[#This Row],[Paired WTG Generation for loss calculation.]]/24)*WTG_BD[[#This Row],[Breakdown Time]]</f>
        <v>0</v>
      </c>
      <c r="AC1043" s="135"/>
      <c r="AD1043" s="245"/>
      <c r="AE1043" s="3"/>
    </row>
    <row r="1044" spans="1:31">
      <c r="A1044" s="241">
        <f t="shared" si="34"/>
        <v>1043</v>
      </c>
      <c r="B1044" s="255"/>
      <c r="C1044" s="252"/>
      <c r="D1044" s="252"/>
      <c r="E1044" s="251">
        <f t="shared" si="33"/>
        <v>1</v>
      </c>
      <c r="F1044" s="252"/>
      <c r="G1044" s="248"/>
      <c r="H1044" s="242" t="str">
        <f>IFERROR(VLOOKUP(WTG_BD[[#This Row],[Affected WTG]],'Basic Data'!$A$3:$E$56,2,0),"")</f>
        <v/>
      </c>
      <c r="I1044" s="242" t="str">
        <f>IFERROR(VLOOKUP(WTG_BD[[#This Row],[Affected WTG]],'Basic Data'!$A$3:$E$56,3,0),"")</f>
        <v/>
      </c>
      <c r="J1044" s="243" t="str">
        <f>IFERROR(VLOOKUP(WTG_BD[[#This Row],[Affected WTG]],'Basic Data'!$A$3:$E$56,5,0),"")</f>
        <v/>
      </c>
      <c r="K1044" s="158"/>
      <c r="L1044" s="247" t="e">
        <f>VLOOKUP(K1044,'Basic Data'!T:U,2,0)</f>
        <v>#N/A</v>
      </c>
      <c r="M1044" s="135"/>
      <c r="N1044" s="256"/>
      <c r="O1044" s="256"/>
      <c r="P1044" s="256"/>
      <c r="Q1044" s="253" t="str">
        <f>IF(WTG_BD[[#This Row],[Work Start TimeStamp]]="","",(WTG_BD[[#This Row],[Work Start TimeStamp]]-WTG_BD[[#This Row],[Fault Start TimeStamp]])*24)</f>
        <v/>
      </c>
      <c r="R1044" s="253">
        <f>(WTG_BD[[#This Row],[Fault Clearance time]]-WTG_BD[[#This Row],[Work Start TimeStamp]])*24</f>
        <v>0</v>
      </c>
      <c r="S1044" s="253">
        <f>(WTG_BD[[#This Row],[Fault Clearance time]]-WTG_BD[[#This Row],[Fault Start TimeStamp]])*24</f>
        <v>0</v>
      </c>
      <c r="T1044" s="135"/>
      <c r="U1044" s="244"/>
      <c r="V1044" s="246">
        <f>WTG_BD[[#This Row],[Breakdown Time]]*(1/39)</f>
        <v>0</v>
      </c>
      <c r="W1044" s="244"/>
      <c r="X1044" s="250"/>
      <c r="Y1044" s="135"/>
      <c r="Z1044" s="135"/>
      <c r="AA1044" s="135"/>
      <c r="AB1044" s="249">
        <f>(WTG_BD[[#This Row],[Paired WTG Generation for loss calculation.]]/24)*WTG_BD[[#This Row],[Breakdown Time]]</f>
        <v>0</v>
      </c>
      <c r="AC1044" s="135"/>
      <c r="AD1044" s="245"/>
      <c r="AE1044" s="3"/>
    </row>
    <row r="1045" spans="1:31">
      <c r="A1045" s="241">
        <f t="shared" si="34"/>
        <v>1044</v>
      </c>
      <c r="B1045" s="255"/>
      <c r="C1045" s="252"/>
      <c r="D1045" s="252"/>
      <c r="E1045" s="251">
        <f t="shared" si="33"/>
        <v>1</v>
      </c>
      <c r="F1045" s="252"/>
      <c r="G1045" s="248"/>
      <c r="H1045" s="242" t="str">
        <f>IFERROR(VLOOKUP(WTG_BD[[#This Row],[Affected WTG]],'Basic Data'!$A$3:$E$56,2,0),"")</f>
        <v/>
      </c>
      <c r="I1045" s="242" t="str">
        <f>IFERROR(VLOOKUP(WTG_BD[[#This Row],[Affected WTG]],'Basic Data'!$A$3:$E$56,3,0),"")</f>
        <v/>
      </c>
      <c r="J1045" s="243" t="str">
        <f>IFERROR(VLOOKUP(WTG_BD[[#This Row],[Affected WTG]],'Basic Data'!$A$3:$E$56,5,0),"")</f>
        <v/>
      </c>
      <c r="K1045" s="158"/>
      <c r="L1045" s="247" t="e">
        <f>VLOOKUP(K1045,'Basic Data'!T:U,2,0)</f>
        <v>#N/A</v>
      </c>
      <c r="M1045" s="135"/>
      <c r="N1045" s="256"/>
      <c r="O1045" s="256"/>
      <c r="P1045" s="256"/>
      <c r="Q1045" s="253" t="str">
        <f>IF(WTG_BD[[#This Row],[Work Start TimeStamp]]="","",(WTG_BD[[#This Row],[Work Start TimeStamp]]-WTG_BD[[#This Row],[Fault Start TimeStamp]])*24)</f>
        <v/>
      </c>
      <c r="R1045" s="253">
        <f>(WTG_BD[[#This Row],[Fault Clearance time]]-WTG_BD[[#This Row],[Work Start TimeStamp]])*24</f>
        <v>0</v>
      </c>
      <c r="S1045" s="253">
        <f>(WTG_BD[[#This Row],[Fault Clearance time]]-WTG_BD[[#This Row],[Fault Start TimeStamp]])*24</f>
        <v>0</v>
      </c>
      <c r="T1045" s="135"/>
      <c r="U1045" s="244"/>
      <c r="V1045" s="246">
        <f>WTG_BD[[#This Row],[Breakdown Time]]*(1/39)</f>
        <v>0</v>
      </c>
      <c r="W1045" s="244"/>
      <c r="X1045" s="250"/>
      <c r="Y1045" s="135"/>
      <c r="Z1045" s="135"/>
      <c r="AA1045" s="135"/>
      <c r="AB1045" s="249">
        <f>(WTG_BD[[#This Row],[Paired WTG Generation for loss calculation.]]/24)*WTG_BD[[#This Row],[Breakdown Time]]</f>
        <v>0</v>
      </c>
      <c r="AC1045" s="135"/>
      <c r="AD1045" s="245"/>
      <c r="AE1045" s="3"/>
    </row>
    <row r="1046" spans="1:31">
      <c r="A1046" s="241">
        <f t="shared" si="34"/>
        <v>1045</v>
      </c>
      <c r="B1046" s="255"/>
      <c r="C1046" s="252"/>
      <c r="D1046" s="252"/>
      <c r="E1046" s="251">
        <f t="shared" si="33"/>
        <v>1</v>
      </c>
      <c r="F1046" s="252"/>
      <c r="G1046" s="248"/>
      <c r="H1046" s="242" t="str">
        <f>IFERROR(VLOOKUP(WTG_BD[[#This Row],[Affected WTG]],'Basic Data'!$A$3:$E$56,2,0),"")</f>
        <v/>
      </c>
      <c r="I1046" s="242" t="str">
        <f>IFERROR(VLOOKUP(WTG_BD[[#This Row],[Affected WTG]],'Basic Data'!$A$3:$E$56,3,0),"")</f>
        <v/>
      </c>
      <c r="J1046" s="243" t="str">
        <f>IFERROR(VLOOKUP(WTG_BD[[#This Row],[Affected WTG]],'Basic Data'!$A$3:$E$56,5,0),"")</f>
        <v/>
      </c>
      <c r="K1046" s="158"/>
      <c r="L1046" s="247" t="e">
        <f>VLOOKUP(K1046,'Basic Data'!T:U,2,0)</f>
        <v>#N/A</v>
      </c>
      <c r="M1046" s="135"/>
      <c r="N1046" s="256"/>
      <c r="O1046" s="256"/>
      <c r="P1046" s="256"/>
      <c r="Q1046" s="253" t="str">
        <f>IF(WTG_BD[[#This Row],[Work Start TimeStamp]]="","",(WTG_BD[[#This Row],[Work Start TimeStamp]]-WTG_BD[[#This Row],[Fault Start TimeStamp]])*24)</f>
        <v/>
      </c>
      <c r="R1046" s="253">
        <f>(WTG_BD[[#This Row],[Fault Clearance time]]-WTG_BD[[#This Row],[Work Start TimeStamp]])*24</f>
        <v>0</v>
      </c>
      <c r="S1046" s="253">
        <f>(WTG_BD[[#This Row],[Fault Clearance time]]-WTG_BD[[#This Row],[Fault Start TimeStamp]])*24</f>
        <v>0</v>
      </c>
      <c r="T1046" s="135"/>
      <c r="U1046" s="244"/>
      <c r="V1046" s="246">
        <f>WTG_BD[[#This Row],[Breakdown Time]]*(1/39)</f>
        <v>0</v>
      </c>
      <c r="W1046" s="244"/>
      <c r="X1046" s="250"/>
      <c r="Y1046" s="135"/>
      <c r="Z1046" s="135"/>
      <c r="AA1046" s="135"/>
      <c r="AB1046" s="249">
        <f>(WTG_BD[[#This Row],[Paired WTG Generation for loss calculation.]]/24)*WTG_BD[[#This Row],[Breakdown Time]]</f>
        <v>0</v>
      </c>
      <c r="AC1046" s="135"/>
      <c r="AD1046" s="245"/>
      <c r="AE1046" s="3"/>
    </row>
    <row r="1047" spans="1:31">
      <c r="A1047" s="241">
        <f t="shared" si="34"/>
        <v>1046</v>
      </c>
      <c r="B1047" s="255"/>
      <c r="C1047" s="252"/>
      <c r="D1047" s="252"/>
      <c r="E1047" s="251">
        <f t="shared" si="33"/>
        <v>1</v>
      </c>
      <c r="F1047" s="252"/>
      <c r="G1047" s="248"/>
      <c r="H1047" s="242" t="str">
        <f>IFERROR(VLOOKUP(WTG_BD[[#This Row],[Affected WTG]],'Basic Data'!$A$3:$E$56,2,0),"")</f>
        <v/>
      </c>
      <c r="I1047" s="242" t="str">
        <f>IFERROR(VLOOKUP(WTG_BD[[#This Row],[Affected WTG]],'Basic Data'!$A$3:$E$56,3,0),"")</f>
        <v/>
      </c>
      <c r="J1047" s="243" t="str">
        <f>IFERROR(VLOOKUP(WTG_BD[[#This Row],[Affected WTG]],'Basic Data'!$A$3:$E$56,5,0),"")</f>
        <v/>
      </c>
      <c r="K1047" s="158"/>
      <c r="L1047" s="247" t="e">
        <f>VLOOKUP(K1047,'Basic Data'!T:U,2,0)</f>
        <v>#N/A</v>
      </c>
      <c r="M1047" s="135"/>
      <c r="N1047" s="256"/>
      <c r="O1047" s="256"/>
      <c r="P1047" s="256"/>
      <c r="Q1047" s="253" t="str">
        <f>IF(WTG_BD[[#This Row],[Work Start TimeStamp]]="","",(WTG_BD[[#This Row],[Work Start TimeStamp]]-WTG_BD[[#This Row],[Fault Start TimeStamp]])*24)</f>
        <v/>
      </c>
      <c r="R1047" s="253">
        <f>(WTG_BD[[#This Row],[Fault Clearance time]]-WTG_BD[[#This Row],[Work Start TimeStamp]])*24</f>
        <v>0</v>
      </c>
      <c r="S1047" s="253">
        <f>(WTG_BD[[#This Row],[Fault Clearance time]]-WTG_BD[[#This Row],[Fault Start TimeStamp]])*24</f>
        <v>0</v>
      </c>
      <c r="T1047" s="135"/>
      <c r="U1047" s="244"/>
      <c r="V1047" s="246">
        <f>WTG_BD[[#This Row],[Breakdown Time]]*(1/39)</f>
        <v>0</v>
      </c>
      <c r="W1047" s="244"/>
      <c r="X1047" s="250"/>
      <c r="Y1047" s="135"/>
      <c r="Z1047" s="135"/>
      <c r="AA1047" s="135"/>
      <c r="AB1047" s="249">
        <f>(WTG_BD[[#This Row],[Paired WTG Generation for loss calculation.]]/24)*WTG_BD[[#This Row],[Breakdown Time]]</f>
        <v>0</v>
      </c>
      <c r="AC1047" s="135"/>
      <c r="AD1047" s="245"/>
      <c r="AE1047" s="3"/>
    </row>
    <row r="1048" spans="1:31">
      <c r="A1048" s="241">
        <f t="shared" si="34"/>
        <v>1047</v>
      </c>
      <c r="B1048" s="255"/>
      <c r="C1048" s="252"/>
      <c r="D1048" s="252"/>
      <c r="E1048" s="251">
        <f t="shared" si="33"/>
        <v>1</v>
      </c>
      <c r="F1048" s="252"/>
      <c r="G1048" s="248"/>
      <c r="H1048" s="242" t="str">
        <f>IFERROR(VLOOKUP(WTG_BD[[#This Row],[Affected WTG]],'Basic Data'!$A$3:$E$56,2,0),"")</f>
        <v/>
      </c>
      <c r="I1048" s="242" t="str">
        <f>IFERROR(VLOOKUP(WTG_BD[[#This Row],[Affected WTG]],'Basic Data'!$A$3:$E$56,3,0),"")</f>
        <v/>
      </c>
      <c r="J1048" s="243" t="str">
        <f>IFERROR(VLOOKUP(WTG_BD[[#This Row],[Affected WTG]],'Basic Data'!$A$3:$E$56,5,0),"")</f>
        <v/>
      </c>
      <c r="K1048" s="158"/>
      <c r="L1048" s="247" t="e">
        <f>VLOOKUP(K1048,'Basic Data'!T:U,2,0)</f>
        <v>#N/A</v>
      </c>
      <c r="M1048" s="135"/>
      <c r="N1048" s="256"/>
      <c r="O1048" s="256"/>
      <c r="P1048" s="256"/>
      <c r="Q1048" s="253" t="str">
        <f>IF(WTG_BD[[#This Row],[Work Start TimeStamp]]="","",(WTG_BD[[#This Row],[Work Start TimeStamp]]-WTG_BD[[#This Row],[Fault Start TimeStamp]])*24)</f>
        <v/>
      </c>
      <c r="R1048" s="253">
        <f>(WTG_BD[[#This Row],[Fault Clearance time]]-WTG_BD[[#This Row],[Work Start TimeStamp]])*24</f>
        <v>0</v>
      </c>
      <c r="S1048" s="253">
        <f>(WTG_BD[[#This Row],[Fault Clearance time]]-WTG_BD[[#This Row],[Fault Start TimeStamp]])*24</f>
        <v>0</v>
      </c>
      <c r="T1048" s="135"/>
      <c r="U1048" s="244"/>
      <c r="V1048" s="246">
        <f>WTG_BD[[#This Row],[Breakdown Time]]*(1/39)</f>
        <v>0</v>
      </c>
      <c r="W1048" s="244"/>
      <c r="X1048" s="250"/>
      <c r="Y1048" s="135"/>
      <c r="Z1048" s="135"/>
      <c r="AA1048" s="135"/>
      <c r="AB1048" s="249">
        <f>(WTG_BD[[#This Row],[Paired WTG Generation for loss calculation.]]/24)*WTG_BD[[#This Row],[Breakdown Time]]</f>
        <v>0</v>
      </c>
      <c r="AC1048" s="135"/>
      <c r="AD1048" s="245"/>
      <c r="AE1048" s="3"/>
    </row>
    <row r="1049" spans="1:31">
      <c r="A1049" s="241">
        <f t="shared" si="34"/>
        <v>1048</v>
      </c>
      <c r="B1049" s="255"/>
      <c r="C1049" s="252"/>
      <c r="D1049" s="252"/>
      <c r="E1049" s="251">
        <f t="shared" si="33"/>
        <v>1</v>
      </c>
      <c r="F1049" s="252"/>
      <c r="G1049" s="248"/>
      <c r="H1049" s="242" t="str">
        <f>IFERROR(VLOOKUP(WTG_BD[[#This Row],[Affected WTG]],'Basic Data'!$A$3:$E$56,2,0),"")</f>
        <v/>
      </c>
      <c r="I1049" s="242" t="str">
        <f>IFERROR(VLOOKUP(WTG_BD[[#This Row],[Affected WTG]],'Basic Data'!$A$3:$E$56,3,0),"")</f>
        <v/>
      </c>
      <c r="J1049" s="243" t="str">
        <f>IFERROR(VLOOKUP(WTG_BD[[#This Row],[Affected WTG]],'Basic Data'!$A$3:$E$56,5,0),"")</f>
        <v/>
      </c>
      <c r="K1049" s="158"/>
      <c r="L1049" s="247" t="e">
        <f>VLOOKUP(K1049,'Basic Data'!T:U,2,0)</f>
        <v>#N/A</v>
      </c>
      <c r="M1049" s="135"/>
      <c r="N1049" s="256"/>
      <c r="O1049" s="256"/>
      <c r="P1049" s="256"/>
      <c r="Q1049" s="253" t="str">
        <f>IF(WTG_BD[[#This Row],[Work Start TimeStamp]]="","",(WTG_BD[[#This Row],[Work Start TimeStamp]]-WTG_BD[[#This Row],[Fault Start TimeStamp]])*24)</f>
        <v/>
      </c>
      <c r="R1049" s="253">
        <f>(WTG_BD[[#This Row],[Fault Clearance time]]-WTG_BD[[#This Row],[Work Start TimeStamp]])*24</f>
        <v>0</v>
      </c>
      <c r="S1049" s="253">
        <f>(WTG_BD[[#This Row],[Fault Clearance time]]-WTG_BD[[#This Row],[Fault Start TimeStamp]])*24</f>
        <v>0</v>
      </c>
      <c r="T1049" s="135"/>
      <c r="U1049" s="244"/>
      <c r="V1049" s="246">
        <f>WTG_BD[[#This Row],[Breakdown Time]]*(1/39)</f>
        <v>0</v>
      </c>
      <c r="W1049" s="244"/>
      <c r="X1049" s="250"/>
      <c r="Y1049" s="135"/>
      <c r="Z1049" s="135"/>
      <c r="AA1049" s="135"/>
      <c r="AB1049" s="249">
        <f>(WTG_BD[[#This Row],[Paired WTG Generation for loss calculation.]]/24)*WTG_BD[[#This Row],[Breakdown Time]]</f>
        <v>0</v>
      </c>
      <c r="AC1049" s="135"/>
      <c r="AD1049" s="245"/>
      <c r="AE1049" s="3"/>
    </row>
    <row r="1050" spans="1:31">
      <c r="A1050" s="241">
        <f t="shared" si="34"/>
        <v>1049</v>
      </c>
      <c r="B1050" s="255"/>
      <c r="C1050" s="252"/>
      <c r="D1050" s="252"/>
      <c r="E1050" s="251">
        <f t="shared" si="33"/>
        <v>1</v>
      </c>
      <c r="F1050" s="252"/>
      <c r="G1050" s="248"/>
      <c r="H1050" s="242" t="str">
        <f>IFERROR(VLOOKUP(WTG_BD[[#This Row],[Affected WTG]],'Basic Data'!$A$3:$E$56,2,0),"")</f>
        <v/>
      </c>
      <c r="I1050" s="242" t="str">
        <f>IFERROR(VLOOKUP(WTG_BD[[#This Row],[Affected WTG]],'Basic Data'!$A$3:$E$56,3,0),"")</f>
        <v/>
      </c>
      <c r="J1050" s="243" t="str">
        <f>IFERROR(VLOOKUP(WTG_BD[[#This Row],[Affected WTG]],'Basic Data'!$A$3:$E$56,5,0),"")</f>
        <v/>
      </c>
      <c r="K1050" s="158"/>
      <c r="L1050" s="247" t="e">
        <f>VLOOKUP(K1050,'Basic Data'!T:U,2,0)</f>
        <v>#N/A</v>
      </c>
      <c r="M1050" s="135"/>
      <c r="N1050" s="256"/>
      <c r="O1050" s="256"/>
      <c r="P1050" s="256"/>
      <c r="Q1050" s="253" t="str">
        <f>IF(WTG_BD[[#This Row],[Work Start TimeStamp]]="","",(WTG_BD[[#This Row],[Work Start TimeStamp]]-WTG_BD[[#This Row],[Fault Start TimeStamp]])*24)</f>
        <v/>
      </c>
      <c r="R1050" s="253">
        <f>(WTG_BD[[#This Row],[Fault Clearance time]]-WTG_BD[[#This Row],[Work Start TimeStamp]])*24</f>
        <v>0</v>
      </c>
      <c r="S1050" s="253">
        <f>(WTG_BD[[#This Row],[Fault Clearance time]]-WTG_BD[[#This Row],[Fault Start TimeStamp]])*24</f>
        <v>0</v>
      </c>
      <c r="T1050" s="135"/>
      <c r="U1050" s="244"/>
      <c r="V1050" s="246">
        <f>WTG_BD[[#This Row],[Breakdown Time]]*(1/39)</f>
        <v>0</v>
      </c>
      <c r="W1050" s="244"/>
      <c r="X1050" s="250"/>
      <c r="Y1050" s="135"/>
      <c r="Z1050" s="135"/>
      <c r="AA1050" s="135"/>
      <c r="AB1050" s="249">
        <f>(WTG_BD[[#This Row],[Paired WTG Generation for loss calculation.]]/24)*WTG_BD[[#This Row],[Breakdown Time]]</f>
        <v>0</v>
      </c>
      <c r="AC1050" s="135"/>
      <c r="AD1050" s="245"/>
      <c r="AE1050" s="3"/>
    </row>
    <row r="1051" spans="1:31">
      <c r="A1051" s="241">
        <f t="shared" si="34"/>
        <v>1050</v>
      </c>
      <c r="B1051" s="255"/>
      <c r="C1051" s="252"/>
      <c r="D1051" s="252"/>
      <c r="E1051" s="251">
        <f t="shared" si="33"/>
        <v>1</v>
      </c>
      <c r="F1051" s="252"/>
      <c r="G1051" s="248"/>
      <c r="H1051" s="242" t="str">
        <f>IFERROR(VLOOKUP(WTG_BD[[#This Row],[Affected WTG]],'Basic Data'!$A$3:$E$56,2,0),"")</f>
        <v/>
      </c>
      <c r="I1051" s="242" t="str">
        <f>IFERROR(VLOOKUP(WTG_BD[[#This Row],[Affected WTG]],'Basic Data'!$A$3:$E$56,3,0),"")</f>
        <v/>
      </c>
      <c r="J1051" s="243" t="str">
        <f>IFERROR(VLOOKUP(WTG_BD[[#This Row],[Affected WTG]],'Basic Data'!$A$3:$E$56,5,0),"")</f>
        <v/>
      </c>
      <c r="K1051" s="158"/>
      <c r="L1051" s="247" t="e">
        <f>VLOOKUP(K1051,'Basic Data'!T:U,2,0)</f>
        <v>#N/A</v>
      </c>
      <c r="M1051" s="135"/>
      <c r="N1051" s="256"/>
      <c r="O1051" s="256"/>
      <c r="P1051" s="256"/>
      <c r="Q1051" s="253" t="str">
        <f>IF(WTG_BD[[#This Row],[Work Start TimeStamp]]="","",(WTG_BD[[#This Row],[Work Start TimeStamp]]-WTG_BD[[#This Row],[Fault Start TimeStamp]])*24)</f>
        <v/>
      </c>
      <c r="R1051" s="253">
        <f>(WTG_BD[[#This Row],[Fault Clearance time]]-WTG_BD[[#This Row],[Work Start TimeStamp]])*24</f>
        <v>0</v>
      </c>
      <c r="S1051" s="253">
        <f>(WTG_BD[[#This Row],[Fault Clearance time]]-WTG_BD[[#This Row],[Fault Start TimeStamp]])*24</f>
        <v>0</v>
      </c>
      <c r="T1051" s="135"/>
      <c r="U1051" s="244"/>
      <c r="V1051" s="246">
        <f>WTG_BD[[#This Row],[Breakdown Time]]*(1/39)</f>
        <v>0</v>
      </c>
      <c r="W1051" s="244"/>
      <c r="X1051" s="250"/>
      <c r="Y1051" s="135"/>
      <c r="Z1051" s="135"/>
      <c r="AA1051" s="135"/>
      <c r="AB1051" s="249">
        <f>(WTG_BD[[#This Row],[Paired WTG Generation for loss calculation.]]/24)*WTG_BD[[#This Row],[Breakdown Time]]</f>
        <v>0</v>
      </c>
      <c r="AC1051" s="135"/>
      <c r="AD1051" s="245"/>
      <c r="AE1051" s="3"/>
    </row>
    <row r="1052" spans="1:31">
      <c r="A1052" s="241">
        <f t="shared" si="34"/>
        <v>1051</v>
      </c>
      <c r="B1052" s="255"/>
      <c r="C1052" s="252"/>
      <c r="D1052" s="252"/>
      <c r="E1052" s="251">
        <f t="shared" si="33"/>
        <v>1</v>
      </c>
      <c r="F1052" s="252"/>
      <c r="G1052" s="248"/>
      <c r="H1052" s="242" t="str">
        <f>IFERROR(VLOOKUP(WTG_BD[[#This Row],[Affected WTG]],'Basic Data'!$A$3:$E$56,2,0),"")</f>
        <v/>
      </c>
      <c r="I1052" s="242" t="str">
        <f>IFERROR(VLOOKUP(WTG_BD[[#This Row],[Affected WTG]],'Basic Data'!$A$3:$E$56,3,0),"")</f>
        <v/>
      </c>
      <c r="J1052" s="243" t="str">
        <f>IFERROR(VLOOKUP(WTG_BD[[#This Row],[Affected WTG]],'Basic Data'!$A$3:$E$56,5,0),"")</f>
        <v/>
      </c>
      <c r="K1052" s="158"/>
      <c r="L1052" s="247" t="e">
        <f>VLOOKUP(K1052,'Basic Data'!T:U,2,0)</f>
        <v>#N/A</v>
      </c>
      <c r="M1052" s="135"/>
      <c r="N1052" s="256"/>
      <c r="O1052" s="256"/>
      <c r="P1052" s="256"/>
      <c r="Q1052" s="253" t="str">
        <f>IF(WTG_BD[[#This Row],[Work Start TimeStamp]]="","",(WTG_BD[[#This Row],[Work Start TimeStamp]]-WTG_BD[[#This Row],[Fault Start TimeStamp]])*24)</f>
        <v/>
      </c>
      <c r="R1052" s="253">
        <f>(WTG_BD[[#This Row],[Fault Clearance time]]-WTG_BD[[#This Row],[Work Start TimeStamp]])*24</f>
        <v>0</v>
      </c>
      <c r="S1052" s="253">
        <f>(WTG_BD[[#This Row],[Fault Clearance time]]-WTG_BD[[#This Row],[Fault Start TimeStamp]])*24</f>
        <v>0</v>
      </c>
      <c r="T1052" s="135"/>
      <c r="U1052" s="244"/>
      <c r="V1052" s="246">
        <f>WTG_BD[[#This Row],[Breakdown Time]]*(1/39)</f>
        <v>0</v>
      </c>
      <c r="W1052" s="244"/>
      <c r="X1052" s="250"/>
      <c r="Y1052" s="135"/>
      <c r="Z1052" s="135"/>
      <c r="AA1052" s="135"/>
      <c r="AB1052" s="249">
        <f>(WTG_BD[[#This Row],[Paired WTG Generation for loss calculation.]]/24)*WTG_BD[[#This Row],[Breakdown Time]]</f>
        <v>0</v>
      </c>
      <c r="AC1052" s="135"/>
      <c r="AD1052" s="245"/>
      <c r="AE1052" s="3"/>
    </row>
    <row r="1053" spans="1:31">
      <c r="A1053" s="241">
        <f t="shared" si="34"/>
        <v>1052</v>
      </c>
      <c r="B1053" s="255"/>
      <c r="C1053" s="252"/>
      <c r="D1053" s="252"/>
      <c r="E1053" s="251">
        <f t="shared" si="33"/>
        <v>1</v>
      </c>
      <c r="F1053" s="252"/>
      <c r="G1053" s="248"/>
      <c r="H1053" s="242" t="str">
        <f>IFERROR(VLOOKUP(WTG_BD[[#This Row],[Affected WTG]],'Basic Data'!$A$3:$E$56,2,0),"")</f>
        <v/>
      </c>
      <c r="I1053" s="242" t="str">
        <f>IFERROR(VLOOKUP(WTG_BD[[#This Row],[Affected WTG]],'Basic Data'!$A$3:$E$56,3,0),"")</f>
        <v/>
      </c>
      <c r="J1053" s="243" t="str">
        <f>IFERROR(VLOOKUP(WTG_BD[[#This Row],[Affected WTG]],'Basic Data'!$A$3:$E$56,5,0),"")</f>
        <v/>
      </c>
      <c r="K1053" s="158"/>
      <c r="L1053" s="247" t="e">
        <f>VLOOKUP(K1053,'Basic Data'!T:U,2,0)</f>
        <v>#N/A</v>
      </c>
      <c r="M1053" s="135"/>
      <c r="N1053" s="256"/>
      <c r="O1053" s="256"/>
      <c r="P1053" s="256"/>
      <c r="Q1053" s="253" t="str">
        <f>IF(WTG_BD[[#This Row],[Work Start TimeStamp]]="","",(WTG_BD[[#This Row],[Work Start TimeStamp]]-WTG_BD[[#This Row],[Fault Start TimeStamp]])*24)</f>
        <v/>
      </c>
      <c r="R1053" s="253">
        <f>(WTG_BD[[#This Row],[Fault Clearance time]]-WTG_BD[[#This Row],[Work Start TimeStamp]])*24</f>
        <v>0</v>
      </c>
      <c r="S1053" s="253">
        <f>(WTG_BD[[#This Row],[Fault Clearance time]]-WTG_BD[[#This Row],[Fault Start TimeStamp]])*24</f>
        <v>0</v>
      </c>
      <c r="T1053" s="135"/>
      <c r="U1053" s="244"/>
      <c r="V1053" s="246">
        <f>WTG_BD[[#This Row],[Breakdown Time]]*(1/39)</f>
        <v>0</v>
      </c>
      <c r="W1053" s="244"/>
      <c r="X1053" s="250"/>
      <c r="Y1053" s="135"/>
      <c r="Z1053" s="135"/>
      <c r="AA1053" s="135"/>
      <c r="AB1053" s="249">
        <f>(WTG_BD[[#This Row],[Paired WTG Generation for loss calculation.]]/24)*WTG_BD[[#This Row],[Breakdown Time]]</f>
        <v>0</v>
      </c>
      <c r="AC1053" s="135"/>
      <c r="AD1053" s="245"/>
      <c r="AE1053" s="3"/>
    </row>
    <row r="1054" spans="1:31">
      <c r="A1054" s="241">
        <f t="shared" si="34"/>
        <v>1053</v>
      </c>
      <c r="B1054" s="255"/>
      <c r="C1054" s="252"/>
      <c r="D1054" s="252"/>
      <c r="E1054" s="251">
        <f t="shared" si="33"/>
        <v>1</v>
      </c>
      <c r="F1054" s="252"/>
      <c r="G1054" s="248"/>
      <c r="H1054" s="242" t="str">
        <f>IFERROR(VLOOKUP(WTG_BD[[#This Row],[Affected WTG]],'Basic Data'!$A$3:$E$56,2,0),"")</f>
        <v/>
      </c>
      <c r="I1054" s="242" t="str">
        <f>IFERROR(VLOOKUP(WTG_BD[[#This Row],[Affected WTG]],'Basic Data'!$A$3:$E$56,3,0),"")</f>
        <v/>
      </c>
      <c r="J1054" s="243" t="str">
        <f>IFERROR(VLOOKUP(WTG_BD[[#This Row],[Affected WTG]],'Basic Data'!$A$3:$E$56,5,0),"")</f>
        <v/>
      </c>
      <c r="K1054" s="158"/>
      <c r="L1054" s="247" t="e">
        <f>VLOOKUP(K1054,'Basic Data'!T:U,2,0)</f>
        <v>#N/A</v>
      </c>
      <c r="M1054" s="135"/>
      <c r="N1054" s="256"/>
      <c r="O1054" s="256"/>
      <c r="P1054" s="256"/>
      <c r="Q1054" s="253" t="str">
        <f>IF(WTG_BD[[#This Row],[Work Start TimeStamp]]="","",(WTG_BD[[#This Row],[Work Start TimeStamp]]-WTG_BD[[#This Row],[Fault Start TimeStamp]])*24)</f>
        <v/>
      </c>
      <c r="R1054" s="253">
        <f>(WTG_BD[[#This Row],[Fault Clearance time]]-WTG_BD[[#This Row],[Work Start TimeStamp]])*24</f>
        <v>0</v>
      </c>
      <c r="S1054" s="253">
        <f>(WTG_BD[[#This Row],[Fault Clearance time]]-WTG_BD[[#This Row],[Fault Start TimeStamp]])*24</f>
        <v>0</v>
      </c>
      <c r="T1054" s="135"/>
      <c r="U1054" s="244"/>
      <c r="V1054" s="246">
        <f>WTG_BD[[#This Row],[Breakdown Time]]*(1/39)</f>
        <v>0</v>
      </c>
      <c r="W1054" s="244"/>
      <c r="X1054" s="250"/>
      <c r="Y1054" s="135"/>
      <c r="Z1054" s="135"/>
      <c r="AA1054" s="135"/>
      <c r="AB1054" s="249">
        <f>(WTG_BD[[#This Row],[Paired WTG Generation for loss calculation.]]/24)*WTG_BD[[#This Row],[Breakdown Time]]</f>
        <v>0</v>
      </c>
      <c r="AC1054" s="135"/>
      <c r="AD1054" s="245"/>
      <c r="AE1054" s="3"/>
    </row>
    <row r="1055" spans="1:31">
      <c r="A1055" s="241">
        <f t="shared" si="34"/>
        <v>1054</v>
      </c>
      <c r="B1055" s="255"/>
      <c r="C1055" s="252"/>
      <c r="D1055" s="252"/>
      <c r="E1055" s="251">
        <f t="shared" si="33"/>
        <v>1</v>
      </c>
      <c r="F1055" s="252"/>
      <c r="G1055" s="248"/>
      <c r="H1055" s="242" t="str">
        <f>IFERROR(VLOOKUP(WTG_BD[[#This Row],[Affected WTG]],'Basic Data'!$A$3:$E$56,2,0),"")</f>
        <v/>
      </c>
      <c r="I1055" s="242" t="str">
        <f>IFERROR(VLOOKUP(WTG_BD[[#This Row],[Affected WTG]],'Basic Data'!$A$3:$E$56,3,0),"")</f>
        <v/>
      </c>
      <c r="J1055" s="243" t="str">
        <f>IFERROR(VLOOKUP(WTG_BD[[#This Row],[Affected WTG]],'Basic Data'!$A$3:$E$56,5,0),"")</f>
        <v/>
      </c>
      <c r="K1055" s="158"/>
      <c r="L1055" s="247" t="e">
        <f>VLOOKUP(K1055,'Basic Data'!T:U,2,0)</f>
        <v>#N/A</v>
      </c>
      <c r="M1055" s="135"/>
      <c r="N1055" s="256"/>
      <c r="O1055" s="256"/>
      <c r="P1055" s="256"/>
      <c r="Q1055" s="253" t="str">
        <f>IF(WTG_BD[[#This Row],[Work Start TimeStamp]]="","",(WTG_BD[[#This Row],[Work Start TimeStamp]]-WTG_BD[[#This Row],[Fault Start TimeStamp]])*24)</f>
        <v/>
      </c>
      <c r="R1055" s="253">
        <f>(WTG_BD[[#This Row],[Fault Clearance time]]-WTG_BD[[#This Row],[Work Start TimeStamp]])*24</f>
        <v>0</v>
      </c>
      <c r="S1055" s="253">
        <f>(WTG_BD[[#This Row],[Fault Clearance time]]-WTG_BD[[#This Row],[Fault Start TimeStamp]])*24</f>
        <v>0</v>
      </c>
      <c r="T1055" s="135"/>
      <c r="U1055" s="244"/>
      <c r="V1055" s="246">
        <f>WTG_BD[[#This Row],[Breakdown Time]]*(1/39)</f>
        <v>0</v>
      </c>
      <c r="W1055" s="244"/>
      <c r="X1055" s="250"/>
      <c r="Y1055" s="135"/>
      <c r="Z1055" s="135"/>
      <c r="AA1055" s="135"/>
      <c r="AB1055" s="249">
        <f>(WTG_BD[[#This Row],[Paired WTG Generation for loss calculation.]]/24)*WTG_BD[[#This Row],[Breakdown Time]]</f>
        <v>0</v>
      </c>
      <c r="AC1055" s="135"/>
      <c r="AD1055" s="245"/>
      <c r="AE1055" s="3"/>
    </row>
    <row r="1056" spans="1:31">
      <c r="A1056" s="241">
        <f t="shared" si="34"/>
        <v>1055</v>
      </c>
      <c r="B1056" s="255"/>
      <c r="C1056" s="252"/>
      <c r="D1056" s="252"/>
      <c r="E1056" s="251">
        <f t="shared" si="33"/>
        <v>1</v>
      </c>
      <c r="F1056" s="252"/>
      <c r="G1056" s="248"/>
      <c r="H1056" s="242" t="str">
        <f>IFERROR(VLOOKUP(WTG_BD[[#This Row],[Affected WTG]],'Basic Data'!$A$3:$E$56,2,0),"")</f>
        <v/>
      </c>
      <c r="I1056" s="242" t="str">
        <f>IFERROR(VLOOKUP(WTG_BD[[#This Row],[Affected WTG]],'Basic Data'!$A$3:$E$56,3,0),"")</f>
        <v/>
      </c>
      <c r="J1056" s="243" t="str">
        <f>IFERROR(VLOOKUP(WTG_BD[[#This Row],[Affected WTG]],'Basic Data'!$A$3:$E$56,5,0),"")</f>
        <v/>
      </c>
      <c r="K1056" s="158"/>
      <c r="L1056" s="247" t="e">
        <f>VLOOKUP(K1056,'Basic Data'!T:U,2,0)</f>
        <v>#N/A</v>
      </c>
      <c r="M1056" s="135"/>
      <c r="N1056" s="256"/>
      <c r="O1056" s="256"/>
      <c r="P1056" s="256"/>
      <c r="Q1056" s="253" t="str">
        <f>IF(WTG_BD[[#This Row],[Work Start TimeStamp]]="","",(WTG_BD[[#This Row],[Work Start TimeStamp]]-WTG_BD[[#This Row],[Fault Start TimeStamp]])*24)</f>
        <v/>
      </c>
      <c r="R1056" s="253">
        <f>(WTG_BD[[#This Row],[Fault Clearance time]]-WTG_BD[[#This Row],[Work Start TimeStamp]])*24</f>
        <v>0</v>
      </c>
      <c r="S1056" s="253">
        <f>(WTG_BD[[#This Row],[Fault Clearance time]]-WTG_BD[[#This Row],[Fault Start TimeStamp]])*24</f>
        <v>0</v>
      </c>
      <c r="T1056" s="135"/>
      <c r="U1056" s="244"/>
      <c r="V1056" s="246">
        <f>WTG_BD[[#This Row],[Breakdown Time]]*(1/39)</f>
        <v>0</v>
      </c>
      <c r="W1056" s="244"/>
      <c r="X1056" s="250"/>
      <c r="Y1056" s="135"/>
      <c r="Z1056" s="135"/>
      <c r="AA1056" s="135"/>
      <c r="AB1056" s="249">
        <f>(WTG_BD[[#This Row],[Paired WTG Generation for loss calculation.]]/24)*WTG_BD[[#This Row],[Breakdown Time]]</f>
        <v>0</v>
      </c>
      <c r="AC1056" s="135"/>
      <c r="AD1056" s="245"/>
      <c r="AE1056" s="3"/>
    </row>
    <row r="1057" spans="1:31">
      <c r="A1057" s="241">
        <f t="shared" si="34"/>
        <v>1056</v>
      </c>
      <c r="B1057" s="255"/>
      <c r="C1057" s="252"/>
      <c r="D1057" s="252"/>
      <c r="E1057" s="251">
        <f t="shared" si="33"/>
        <v>1</v>
      </c>
      <c r="F1057" s="252"/>
      <c r="G1057" s="248"/>
      <c r="H1057" s="242" t="str">
        <f>IFERROR(VLOOKUP(WTG_BD[[#This Row],[Affected WTG]],'Basic Data'!$A$3:$E$56,2,0),"")</f>
        <v/>
      </c>
      <c r="I1057" s="242" t="str">
        <f>IFERROR(VLOOKUP(WTG_BD[[#This Row],[Affected WTG]],'Basic Data'!$A$3:$E$56,3,0),"")</f>
        <v/>
      </c>
      <c r="J1057" s="243" t="str">
        <f>IFERROR(VLOOKUP(WTG_BD[[#This Row],[Affected WTG]],'Basic Data'!$A$3:$E$56,5,0),"")</f>
        <v/>
      </c>
      <c r="K1057" s="158"/>
      <c r="L1057" s="247" t="e">
        <f>VLOOKUP(K1057,'Basic Data'!T:U,2,0)</f>
        <v>#N/A</v>
      </c>
      <c r="M1057" s="135"/>
      <c r="N1057" s="256"/>
      <c r="O1057" s="256"/>
      <c r="P1057" s="256"/>
      <c r="Q1057" s="253" t="str">
        <f>IF(WTG_BD[[#This Row],[Work Start TimeStamp]]="","",(WTG_BD[[#This Row],[Work Start TimeStamp]]-WTG_BD[[#This Row],[Fault Start TimeStamp]])*24)</f>
        <v/>
      </c>
      <c r="R1057" s="253">
        <f>(WTG_BD[[#This Row],[Fault Clearance time]]-WTG_BD[[#This Row],[Work Start TimeStamp]])*24</f>
        <v>0</v>
      </c>
      <c r="S1057" s="253">
        <f>(WTG_BD[[#This Row],[Fault Clearance time]]-WTG_BD[[#This Row],[Fault Start TimeStamp]])*24</f>
        <v>0</v>
      </c>
      <c r="T1057" s="135"/>
      <c r="U1057" s="244"/>
      <c r="V1057" s="246">
        <f>WTG_BD[[#This Row],[Breakdown Time]]*(1/39)</f>
        <v>0</v>
      </c>
      <c r="W1057" s="244"/>
      <c r="X1057" s="250"/>
      <c r="Y1057" s="135"/>
      <c r="Z1057" s="135"/>
      <c r="AA1057" s="135"/>
      <c r="AB1057" s="249">
        <f>(WTG_BD[[#This Row],[Paired WTG Generation for loss calculation.]]/24)*WTG_BD[[#This Row],[Breakdown Time]]</f>
        <v>0</v>
      </c>
      <c r="AC1057" s="135"/>
      <c r="AD1057" s="245"/>
      <c r="AE1057" s="3"/>
    </row>
    <row r="1058" spans="1:31">
      <c r="A1058" s="241">
        <f t="shared" si="34"/>
        <v>1057</v>
      </c>
      <c r="B1058" s="255"/>
      <c r="C1058" s="252"/>
      <c r="D1058" s="252"/>
      <c r="E1058" s="251">
        <f t="shared" si="33"/>
        <v>1</v>
      </c>
      <c r="F1058" s="252"/>
      <c r="G1058" s="248"/>
      <c r="H1058" s="242" t="str">
        <f>IFERROR(VLOOKUP(WTG_BD[[#This Row],[Affected WTG]],'Basic Data'!$A$3:$E$56,2,0),"")</f>
        <v/>
      </c>
      <c r="I1058" s="242" t="str">
        <f>IFERROR(VLOOKUP(WTG_BD[[#This Row],[Affected WTG]],'Basic Data'!$A$3:$E$56,3,0),"")</f>
        <v/>
      </c>
      <c r="J1058" s="243" t="str">
        <f>IFERROR(VLOOKUP(WTG_BD[[#This Row],[Affected WTG]],'Basic Data'!$A$3:$E$56,5,0),"")</f>
        <v/>
      </c>
      <c r="K1058" s="158"/>
      <c r="L1058" s="247" t="e">
        <f>VLOOKUP(K1058,'Basic Data'!T:U,2,0)</f>
        <v>#N/A</v>
      </c>
      <c r="M1058" s="135"/>
      <c r="N1058" s="256"/>
      <c r="O1058" s="256"/>
      <c r="P1058" s="256"/>
      <c r="Q1058" s="253" t="str">
        <f>IF(WTG_BD[[#This Row],[Work Start TimeStamp]]="","",(WTG_BD[[#This Row],[Work Start TimeStamp]]-WTG_BD[[#This Row],[Fault Start TimeStamp]])*24)</f>
        <v/>
      </c>
      <c r="R1058" s="253">
        <f>(WTG_BD[[#This Row],[Fault Clearance time]]-WTG_BD[[#This Row],[Work Start TimeStamp]])*24</f>
        <v>0</v>
      </c>
      <c r="S1058" s="253">
        <f>(WTG_BD[[#This Row],[Fault Clearance time]]-WTG_BD[[#This Row],[Fault Start TimeStamp]])*24</f>
        <v>0</v>
      </c>
      <c r="T1058" s="135"/>
      <c r="U1058" s="244"/>
      <c r="V1058" s="246">
        <f>WTG_BD[[#This Row],[Breakdown Time]]*(1/39)</f>
        <v>0</v>
      </c>
      <c r="W1058" s="244"/>
      <c r="X1058" s="250"/>
      <c r="Y1058" s="135"/>
      <c r="Z1058" s="135"/>
      <c r="AA1058" s="135"/>
      <c r="AB1058" s="249">
        <f>(WTG_BD[[#This Row],[Paired WTG Generation for loss calculation.]]/24)*WTG_BD[[#This Row],[Breakdown Time]]</f>
        <v>0</v>
      </c>
      <c r="AC1058" s="135"/>
      <c r="AD1058" s="245"/>
      <c r="AE1058" s="3"/>
    </row>
    <row r="1059" spans="1:31">
      <c r="A1059" s="241">
        <f t="shared" si="34"/>
        <v>1058</v>
      </c>
      <c r="B1059" s="255"/>
      <c r="C1059" s="252"/>
      <c r="D1059" s="252"/>
      <c r="E1059" s="251">
        <f t="shared" si="33"/>
        <v>1</v>
      </c>
      <c r="F1059" s="252"/>
      <c r="G1059" s="248"/>
      <c r="H1059" s="242" t="str">
        <f>IFERROR(VLOOKUP(WTG_BD[[#This Row],[Affected WTG]],'Basic Data'!$A$3:$E$56,2,0),"")</f>
        <v/>
      </c>
      <c r="I1059" s="242" t="str">
        <f>IFERROR(VLOOKUP(WTG_BD[[#This Row],[Affected WTG]],'Basic Data'!$A$3:$E$56,3,0),"")</f>
        <v/>
      </c>
      <c r="J1059" s="243" t="str">
        <f>IFERROR(VLOOKUP(WTG_BD[[#This Row],[Affected WTG]],'Basic Data'!$A$3:$E$56,5,0),"")</f>
        <v/>
      </c>
      <c r="K1059" s="158"/>
      <c r="L1059" s="247" t="e">
        <f>VLOOKUP(K1059,'Basic Data'!T:U,2,0)</f>
        <v>#N/A</v>
      </c>
      <c r="M1059" s="135"/>
      <c r="N1059" s="256"/>
      <c r="O1059" s="256"/>
      <c r="P1059" s="256"/>
      <c r="Q1059" s="253" t="str">
        <f>IF(WTG_BD[[#This Row],[Work Start TimeStamp]]="","",(WTG_BD[[#This Row],[Work Start TimeStamp]]-WTG_BD[[#This Row],[Fault Start TimeStamp]])*24)</f>
        <v/>
      </c>
      <c r="R1059" s="253">
        <f>(WTG_BD[[#This Row],[Fault Clearance time]]-WTG_BD[[#This Row],[Work Start TimeStamp]])*24</f>
        <v>0</v>
      </c>
      <c r="S1059" s="253">
        <f>(WTG_BD[[#This Row],[Fault Clearance time]]-WTG_BD[[#This Row],[Fault Start TimeStamp]])*24</f>
        <v>0</v>
      </c>
      <c r="T1059" s="135"/>
      <c r="U1059" s="244"/>
      <c r="V1059" s="246">
        <f>WTG_BD[[#This Row],[Breakdown Time]]*(1/39)</f>
        <v>0</v>
      </c>
      <c r="W1059" s="244"/>
      <c r="X1059" s="250"/>
      <c r="Y1059" s="135"/>
      <c r="Z1059" s="135"/>
      <c r="AA1059" s="135"/>
      <c r="AB1059" s="249">
        <f>(WTG_BD[[#This Row],[Paired WTG Generation for loss calculation.]]/24)*WTG_BD[[#This Row],[Breakdown Time]]</f>
        <v>0</v>
      </c>
      <c r="AC1059" s="135"/>
      <c r="AD1059" s="245"/>
      <c r="AE1059" s="3"/>
    </row>
    <row r="1060" spans="1:31">
      <c r="A1060" s="257"/>
      <c r="B1060" s="258"/>
      <c r="C1060" s="259"/>
      <c r="D1060" s="259"/>
      <c r="E1060" s="260">
        <f>B1060-DAY(B1060)+1</f>
        <v>1</v>
      </c>
      <c r="F1060" s="259"/>
      <c r="G1060" s="261"/>
      <c r="H1060" s="262" t="str">
        <f>IFERROR(VLOOKUP(WTG_BD[[#This Row],[Affected WTG]],'Basic Data'!$A$3:$E$56,2,0),"")</f>
        <v/>
      </c>
      <c r="I1060" s="262" t="str">
        <f>IFERROR(VLOOKUP(WTG_BD[[#This Row],[Affected WTG]],'Basic Data'!$A$3:$E$56,3,0),"")</f>
        <v/>
      </c>
      <c r="J1060" s="263" t="str">
        <f>IFERROR(VLOOKUP(WTG_BD[[#This Row],[Affected WTG]],'Basic Data'!$A$3:$E$56,5,0),"")</f>
        <v/>
      </c>
      <c r="K1060" s="264"/>
      <c r="L1060" s="265" t="e">
        <f>VLOOKUP(K1060,'Basic Data'!T:U,2,0)</f>
        <v>#N/A</v>
      </c>
      <c r="M1060" s="266"/>
      <c r="N1060" s="267"/>
      <c r="O1060" s="267"/>
      <c r="P1060" s="267"/>
      <c r="Q1060" s="268" t="str">
        <f>IF(WTG_BD[[#This Row],[Work Start TimeStamp]]="","",(WTG_BD[[#This Row],[Work Start TimeStamp]]-WTG_BD[[#This Row],[Fault Start TimeStamp]])*24)</f>
        <v/>
      </c>
      <c r="R1060" s="268">
        <f>(WTG_BD[[#This Row],[Fault Clearance time]]-WTG_BD[[#This Row],[Work Start TimeStamp]])*24</f>
        <v>0</v>
      </c>
      <c r="S1060" s="268">
        <f>(WTG_BD[[#This Row],[Fault Clearance time]]-WTG_BD[[#This Row],[Fault Start TimeStamp]])*24</f>
        <v>0</v>
      </c>
      <c r="T1060" s="266"/>
      <c r="U1060" s="269"/>
      <c r="V1060" s="270">
        <f>WTG_BD[[#This Row],[Breakdown Time]]*(1/39)</f>
        <v>0</v>
      </c>
      <c r="W1060" s="269"/>
      <c r="X1060" s="271"/>
      <c r="Y1060" s="266"/>
      <c r="Z1060" s="266"/>
      <c r="AA1060" s="266"/>
      <c r="AB1060" s="439">
        <f>(WTG_BD[[#This Row],[Paired WTG Generation for loss calculation.]]/24)*WTG_BD[[#This Row],[Breakdown Time]]</f>
        <v>0</v>
      </c>
      <c r="AC1060" s="266"/>
      <c r="AD1060" s="272"/>
      <c r="AE1060" s="3"/>
    </row>
    <row r="1061" spans="1:31">
      <c r="A1061" s="224"/>
      <c r="B1061" s="225"/>
      <c r="C1061" s="226"/>
      <c r="D1061" s="226"/>
      <c r="E1061" s="227"/>
      <c r="F1061" s="226"/>
      <c r="G1061" s="228"/>
      <c r="H1061" s="229"/>
      <c r="I1061" s="229"/>
      <c r="J1061" s="230"/>
      <c r="K1061" s="140"/>
      <c r="L1061" s="231"/>
      <c r="M1061" s="140"/>
      <c r="N1061" s="232"/>
      <c r="O1061" s="232"/>
      <c r="P1061" s="232"/>
      <c r="Q1061" s="233"/>
      <c r="R1061" s="233"/>
      <c r="S1061" s="233"/>
      <c r="T1061" s="140"/>
      <c r="U1061" s="234"/>
      <c r="V1061" s="235"/>
      <c r="W1061" s="234"/>
      <c r="X1061" s="236"/>
      <c r="AE1061" s="3"/>
    </row>
    <row r="1062" spans="1:31">
      <c r="A1062" s="39"/>
      <c r="B1062" s="118"/>
      <c r="C1062" s="119"/>
      <c r="D1062" s="119"/>
      <c r="E1062" s="120"/>
      <c r="F1062" s="119"/>
      <c r="G1062" s="38"/>
      <c r="H1062" s="42"/>
      <c r="I1062" s="42"/>
      <c r="J1062" s="43"/>
      <c r="K1062" s="34"/>
      <c r="L1062" s="127"/>
      <c r="M1062" s="34"/>
      <c r="N1062" s="50"/>
      <c r="O1062" s="50"/>
      <c r="P1062" s="50"/>
      <c r="Q1062" s="121"/>
      <c r="R1062" s="121"/>
      <c r="S1062" s="121"/>
      <c r="T1062" s="34"/>
      <c r="U1062" s="35"/>
      <c r="V1062" s="37"/>
      <c r="W1062" s="35"/>
      <c r="X1062" s="122"/>
      <c r="AE1062" s="3"/>
    </row>
    <row r="1063" spans="1:31">
      <c r="A1063" s="39"/>
      <c r="B1063" s="118"/>
      <c r="C1063" s="119"/>
      <c r="D1063" s="119"/>
      <c r="E1063" s="120"/>
      <c r="F1063" s="119"/>
      <c r="G1063" s="38"/>
      <c r="H1063" s="42"/>
      <c r="I1063" s="42"/>
      <c r="J1063" s="43"/>
      <c r="K1063" s="34"/>
      <c r="L1063" s="127"/>
      <c r="M1063" s="34"/>
      <c r="N1063" s="50"/>
      <c r="O1063" s="50"/>
      <c r="P1063" s="50"/>
      <c r="Q1063" s="121"/>
      <c r="R1063" s="121"/>
      <c r="S1063" s="121"/>
      <c r="T1063" s="34"/>
      <c r="U1063" s="35"/>
      <c r="V1063" s="37"/>
      <c r="W1063" s="35"/>
      <c r="X1063" s="122"/>
      <c r="AE1063" s="3"/>
    </row>
    <row r="1064" spans="1:31">
      <c r="A1064" s="39"/>
      <c r="B1064" s="118"/>
      <c r="C1064" s="119"/>
      <c r="D1064" s="119"/>
      <c r="E1064" s="120"/>
      <c r="F1064" s="119"/>
      <c r="G1064" s="38"/>
      <c r="H1064" s="42"/>
      <c r="I1064" s="42"/>
      <c r="J1064" s="43"/>
      <c r="K1064" s="34"/>
      <c r="L1064" s="127"/>
      <c r="M1064" s="34"/>
      <c r="N1064" s="50"/>
      <c r="O1064" s="50"/>
      <c r="P1064" s="50"/>
      <c r="Q1064" s="121"/>
      <c r="R1064" s="121"/>
      <c r="S1064" s="121"/>
      <c r="T1064" s="34"/>
      <c r="U1064" s="35"/>
      <c r="V1064" s="37"/>
      <c r="W1064" s="35"/>
      <c r="X1064" s="122"/>
      <c r="AE1064" s="3"/>
    </row>
    <row r="1065" spans="1:31">
      <c r="A1065" s="39"/>
      <c r="B1065" s="118"/>
      <c r="C1065" s="119"/>
      <c r="D1065" s="119"/>
      <c r="E1065" s="120"/>
      <c r="F1065" s="119"/>
      <c r="G1065" s="38"/>
      <c r="H1065" s="42"/>
      <c r="I1065" s="42"/>
      <c r="J1065" s="43"/>
      <c r="K1065" s="34"/>
      <c r="L1065" s="127"/>
      <c r="M1065" s="34"/>
      <c r="N1065" s="50"/>
      <c r="O1065" s="50"/>
      <c r="P1065" s="50"/>
      <c r="Q1065" s="121"/>
      <c r="R1065" s="121"/>
      <c r="S1065" s="121"/>
      <c r="T1065" s="34"/>
      <c r="U1065" s="35"/>
      <c r="V1065" s="37"/>
      <c r="W1065" s="35"/>
      <c r="X1065" s="122"/>
      <c r="AE1065" s="3"/>
    </row>
    <row r="1066" spans="1:31">
      <c r="A1066" s="39"/>
      <c r="B1066" s="118"/>
      <c r="C1066" s="119"/>
      <c r="D1066" s="119"/>
      <c r="E1066" s="120"/>
      <c r="F1066" s="119"/>
      <c r="G1066" s="38"/>
      <c r="H1066" s="42"/>
      <c r="I1066" s="42"/>
      <c r="J1066" s="43"/>
      <c r="K1066" s="34"/>
      <c r="L1066" s="127"/>
      <c r="M1066" s="34"/>
      <c r="N1066" s="50"/>
      <c r="O1066" s="50"/>
      <c r="P1066" s="50"/>
      <c r="Q1066" s="121"/>
      <c r="R1066" s="121"/>
      <c r="S1066" s="121"/>
      <c r="T1066" s="34"/>
      <c r="U1066" s="35"/>
      <c r="V1066" s="37"/>
      <c r="W1066" s="35"/>
      <c r="X1066" s="122"/>
      <c r="AE1066" s="3"/>
    </row>
    <row r="1067" spans="1:31">
      <c r="A1067" s="39"/>
      <c r="B1067" s="118"/>
      <c r="C1067" s="119"/>
      <c r="D1067" s="119"/>
      <c r="E1067" s="120"/>
      <c r="F1067" s="119"/>
      <c r="G1067" s="38"/>
      <c r="H1067" s="42"/>
      <c r="I1067" s="42"/>
      <c r="J1067" s="43"/>
      <c r="K1067" s="34"/>
      <c r="L1067" s="127"/>
      <c r="M1067" s="34"/>
      <c r="N1067" s="50"/>
      <c r="O1067" s="50"/>
      <c r="P1067" s="50"/>
      <c r="Q1067" s="121"/>
      <c r="R1067" s="121"/>
      <c r="S1067" s="121"/>
      <c r="T1067" s="34"/>
      <c r="U1067" s="35"/>
      <c r="V1067" s="37"/>
      <c r="W1067" s="35"/>
      <c r="X1067" s="122"/>
      <c r="AE1067" s="3"/>
    </row>
    <row r="1068" spans="1:31">
      <c r="A1068" s="39"/>
      <c r="B1068" s="118"/>
      <c r="C1068" s="119"/>
      <c r="D1068" s="119"/>
      <c r="E1068" s="120"/>
      <c r="F1068" s="119"/>
      <c r="G1068" s="38"/>
      <c r="H1068" s="42"/>
      <c r="I1068" s="42"/>
      <c r="J1068" s="43"/>
      <c r="K1068" s="34"/>
      <c r="L1068" s="127"/>
      <c r="M1068" s="34"/>
      <c r="N1068" s="50"/>
      <c r="O1068" s="50"/>
      <c r="P1068" s="50"/>
      <c r="Q1068" s="121"/>
      <c r="R1068" s="121"/>
      <c r="S1068" s="121"/>
      <c r="T1068" s="34"/>
      <c r="U1068" s="35"/>
      <c r="V1068" s="37"/>
      <c r="W1068" s="35"/>
      <c r="X1068" s="122"/>
      <c r="AE1068" s="3"/>
    </row>
    <row r="1069" spans="1:31">
      <c r="A1069" s="39"/>
      <c r="B1069" s="118"/>
      <c r="C1069" s="119"/>
      <c r="D1069" s="119"/>
      <c r="E1069" s="120"/>
      <c r="F1069" s="119"/>
      <c r="G1069" s="38"/>
      <c r="H1069" s="42"/>
      <c r="I1069" s="42"/>
      <c r="J1069" s="43"/>
      <c r="K1069" s="34"/>
      <c r="L1069" s="127"/>
      <c r="M1069" s="34"/>
      <c r="N1069" s="50"/>
      <c r="O1069" s="50"/>
      <c r="P1069" s="50"/>
      <c r="Q1069" s="121"/>
      <c r="R1069" s="121"/>
      <c r="S1069" s="121"/>
      <c r="T1069" s="34"/>
      <c r="U1069" s="35"/>
      <c r="V1069" s="37"/>
      <c r="W1069" s="35"/>
      <c r="X1069" s="122"/>
      <c r="AE1069" s="3"/>
    </row>
    <row r="1070" spans="1:31">
      <c r="A1070" s="39"/>
      <c r="B1070" s="118"/>
      <c r="C1070" s="119"/>
      <c r="D1070" s="119"/>
      <c r="E1070" s="120"/>
      <c r="F1070" s="119"/>
      <c r="G1070" s="38"/>
      <c r="H1070" s="42"/>
      <c r="I1070" s="42"/>
      <c r="J1070" s="43"/>
      <c r="K1070" s="34"/>
      <c r="L1070" s="127"/>
      <c r="M1070" s="34"/>
      <c r="N1070" s="50"/>
      <c r="O1070" s="50"/>
      <c r="P1070" s="50"/>
      <c r="Q1070" s="121"/>
      <c r="R1070" s="121"/>
      <c r="S1070" s="121"/>
      <c r="T1070" s="34"/>
      <c r="U1070" s="35"/>
      <c r="V1070" s="37"/>
      <c r="W1070" s="35"/>
      <c r="X1070" s="122"/>
      <c r="AE1070" s="3"/>
    </row>
    <row r="1071" spans="1:31">
      <c r="A1071" s="39"/>
      <c r="B1071" s="118"/>
      <c r="C1071" s="119"/>
      <c r="D1071" s="119"/>
      <c r="E1071" s="120"/>
      <c r="F1071" s="119"/>
      <c r="G1071" s="38"/>
      <c r="H1071" s="42"/>
      <c r="I1071" s="42"/>
      <c r="J1071" s="43"/>
      <c r="K1071" s="34"/>
      <c r="L1071" s="127"/>
      <c r="M1071" s="34"/>
      <c r="N1071" s="50"/>
      <c r="O1071" s="50"/>
      <c r="P1071" s="50"/>
      <c r="Q1071" s="121"/>
      <c r="R1071" s="121"/>
      <c r="S1071" s="121"/>
      <c r="T1071" s="34"/>
      <c r="U1071" s="35"/>
      <c r="V1071" s="37"/>
      <c r="W1071" s="35"/>
      <c r="X1071" s="122"/>
      <c r="AE1071" s="3"/>
    </row>
    <row r="1072" spans="1:31">
      <c r="A1072" s="39"/>
      <c r="B1072" s="118"/>
      <c r="C1072" s="119"/>
      <c r="D1072" s="119"/>
      <c r="E1072" s="120"/>
      <c r="F1072" s="119"/>
      <c r="G1072" s="38"/>
      <c r="H1072" s="42"/>
      <c r="I1072" s="42"/>
      <c r="J1072" s="43"/>
      <c r="K1072" s="34"/>
      <c r="L1072" s="127"/>
      <c r="M1072" s="34"/>
      <c r="N1072" s="50"/>
      <c r="O1072" s="50"/>
      <c r="P1072" s="50"/>
      <c r="Q1072" s="121"/>
      <c r="R1072" s="121"/>
      <c r="S1072" s="121"/>
      <c r="T1072" s="34"/>
      <c r="U1072" s="35"/>
      <c r="V1072" s="37"/>
      <c r="W1072" s="35"/>
      <c r="X1072" s="122"/>
      <c r="AE1072" s="3"/>
    </row>
    <row r="1073" spans="1:31">
      <c r="A1073" s="39"/>
      <c r="B1073" s="118"/>
      <c r="C1073" s="119"/>
      <c r="D1073" s="119"/>
      <c r="E1073" s="120"/>
      <c r="F1073" s="119"/>
      <c r="G1073" s="38"/>
      <c r="H1073" s="42"/>
      <c r="I1073" s="42"/>
      <c r="J1073" s="43"/>
      <c r="K1073" s="34"/>
      <c r="L1073" s="127"/>
      <c r="M1073" s="34"/>
      <c r="N1073" s="50"/>
      <c r="O1073" s="50"/>
      <c r="P1073" s="50"/>
      <c r="Q1073" s="121"/>
      <c r="R1073" s="121"/>
      <c r="S1073" s="121"/>
      <c r="T1073" s="34"/>
      <c r="U1073" s="35"/>
      <c r="V1073" s="37"/>
      <c r="W1073" s="35"/>
      <c r="X1073" s="122"/>
      <c r="AE1073" s="3"/>
    </row>
    <row r="1074" spans="1:31">
      <c r="A1074" s="39"/>
      <c r="B1074" s="118"/>
      <c r="C1074" s="119"/>
      <c r="D1074" s="119"/>
      <c r="E1074" s="120"/>
      <c r="F1074" s="119"/>
      <c r="G1074" s="38"/>
      <c r="H1074" s="42"/>
      <c r="I1074" s="42"/>
      <c r="J1074" s="43"/>
      <c r="K1074" s="34"/>
      <c r="L1074" s="127"/>
      <c r="M1074" s="34"/>
      <c r="N1074" s="50"/>
      <c r="O1074" s="50"/>
      <c r="P1074" s="50"/>
      <c r="Q1074" s="121"/>
      <c r="R1074" s="121"/>
      <c r="S1074" s="121"/>
      <c r="T1074" s="34"/>
      <c r="U1074" s="35"/>
      <c r="V1074" s="37"/>
      <c r="W1074" s="35"/>
      <c r="X1074" s="122"/>
      <c r="AE1074" s="3"/>
    </row>
    <row r="1075" spans="1:31">
      <c r="A1075" s="39"/>
      <c r="B1075" s="118"/>
      <c r="C1075" s="119"/>
      <c r="D1075" s="119"/>
      <c r="E1075" s="120"/>
      <c r="F1075" s="119"/>
      <c r="G1075" s="38"/>
      <c r="H1075" s="42"/>
      <c r="I1075" s="42"/>
      <c r="J1075" s="43"/>
      <c r="K1075" s="34"/>
      <c r="L1075" s="127"/>
      <c r="M1075" s="34"/>
      <c r="N1075" s="50"/>
      <c r="O1075" s="50"/>
      <c r="P1075" s="50"/>
      <c r="Q1075" s="121"/>
      <c r="R1075" s="121"/>
      <c r="S1075" s="121"/>
      <c r="T1075" s="34"/>
      <c r="U1075" s="35"/>
      <c r="V1075" s="37"/>
      <c r="W1075" s="35"/>
      <c r="X1075" s="122"/>
      <c r="AE1075" s="3"/>
    </row>
    <row r="1076" spans="1:31">
      <c r="A1076" s="39"/>
      <c r="B1076" s="118"/>
      <c r="C1076" s="119"/>
      <c r="D1076" s="119"/>
      <c r="E1076" s="120"/>
      <c r="F1076" s="119"/>
      <c r="G1076" s="38"/>
      <c r="H1076" s="42"/>
      <c r="I1076" s="42"/>
      <c r="J1076" s="43"/>
      <c r="K1076" s="34"/>
      <c r="L1076" s="127"/>
      <c r="M1076" s="34"/>
      <c r="N1076" s="50"/>
      <c r="O1076" s="50"/>
      <c r="P1076" s="50"/>
      <c r="Q1076" s="121"/>
      <c r="R1076" s="121"/>
      <c r="S1076" s="121"/>
      <c r="T1076" s="34"/>
      <c r="U1076" s="35"/>
      <c r="V1076" s="37"/>
      <c r="W1076" s="35"/>
      <c r="X1076" s="122"/>
      <c r="AE1076" s="3"/>
    </row>
    <row r="1077" spans="1:31">
      <c r="A1077" s="39"/>
      <c r="B1077" s="118"/>
      <c r="C1077" s="119"/>
      <c r="D1077" s="119"/>
      <c r="E1077" s="120"/>
      <c r="F1077" s="119"/>
      <c r="G1077" s="38"/>
      <c r="H1077" s="42"/>
      <c r="I1077" s="42"/>
      <c r="J1077" s="43"/>
      <c r="K1077" s="34"/>
      <c r="L1077" s="127"/>
      <c r="M1077" s="34"/>
      <c r="N1077" s="50"/>
      <c r="O1077" s="50"/>
      <c r="P1077" s="50"/>
      <c r="Q1077" s="121"/>
      <c r="R1077" s="121"/>
      <c r="S1077" s="121"/>
      <c r="T1077" s="34"/>
      <c r="U1077" s="35"/>
      <c r="V1077" s="37"/>
      <c r="W1077" s="35"/>
      <c r="X1077" s="122"/>
      <c r="AE1077" s="3"/>
    </row>
    <row r="1078" spans="1:31">
      <c r="A1078" s="39"/>
      <c r="B1078" s="118"/>
      <c r="C1078" s="119"/>
      <c r="D1078" s="119"/>
      <c r="E1078" s="120"/>
      <c r="F1078" s="119"/>
      <c r="G1078" s="38"/>
      <c r="H1078" s="42"/>
      <c r="I1078" s="42"/>
      <c r="J1078" s="43"/>
      <c r="K1078" s="34"/>
      <c r="L1078" s="127"/>
      <c r="M1078" s="34"/>
      <c r="N1078" s="50"/>
      <c r="O1078" s="50"/>
      <c r="P1078" s="50"/>
      <c r="Q1078" s="121"/>
      <c r="R1078" s="121"/>
      <c r="S1078" s="121"/>
      <c r="T1078" s="34"/>
      <c r="U1078" s="35"/>
      <c r="V1078" s="37"/>
      <c r="W1078" s="35"/>
      <c r="X1078" s="122"/>
      <c r="AE1078" s="3"/>
    </row>
    <row r="1079" spans="1:31">
      <c r="A1079" s="39"/>
      <c r="B1079" s="118"/>
      <c r="C1079" s="119"/>
      <c r="D1079" s="119"/>
      <c r="E1079" s="120"/>
      <c r="F1079" s="119"/>
      <c r="G1079" s="38"/>
      <c r="H1079" s="42"/>
      <c r="I1079" s="42"/>
      <c r="J1079" s="43"/>
      <c r="K1079" s="34"/>
      <c r="L1079" s="127"/>
      <c r="M1079" s="34"/>
      <c r="N1079" s="50"/>
      <c r="O1079" s="50"/>
      <c r="P1079" s="50"/>
      <c r="Q1079" s="121"/>
      <c r="R1079" s="121"/>
      <c r="S1079" s="121"/>
      <c r="T1079" s="34"/>
      <c r="U1079" s="35"/>
      <c r="V1079" s="37"/>
      <c r="W1079" s="35"/>
      <c r="X1079" s="122"/>
      <c r="AE1079" s="3"/>
    </row>
    <row r="1080" spans="1:31">
      <c r="A1080" s="39"/>
      <c r="B1080" s="118"/>
      <c r="C1080" s="119"/>
      <c r="D1080" s="119"/>
      <c r="E1080" s="120"/>
      <c r="F1080" s="119"/>
      <c r="G1080" s="38"/>
      <c r="H1080" s="42"/>
      <c r="I1080" s="42"/>
      <c r="J1080" s="43"/>
      <c r="K1080" s="34"/>
      <c r="L1080" s="127"/>
      <c r="M1080" s="34"/>
      <c r="N1080" s="50"/>
      <c r="O1080" s="50"/>
      <c r="P1080" s="50"/>
      <c r="Q1080" s="121"/>
      <c r="R1080" s="121"/>
      <c r="S1080" s="121"/>
      <c r="T1080" s="34"/>
      <c r="U1080" s="35"/>
      <c r="V1080" s="37"/>
      <c r="W1080" s="35"/>
      <c r="X1080" s="122"/>
      <c r="AE1080" s="3"/>
    </row>
    <row r="1081" spans="1:31">
      <c r="A1081" s="39"/>
      <c r="B1081" s="118"/>
      <c r="C1081" s="119"/>
      <c r="D1081" s="119"/>
      <c r="E1081" s="120"/>
      <c r="F1081" s="119"/>
      <c r="G1081" s="38"/>
      <c r="H1081" s="42"/>
      <c r="I1081" s="42"/>
      <c r="J1081" s="43"/>
      <c r="K1081" s="34"/>
      <c r="L1081" s="127"/>
      <c r="M1081" s="34"/>
      <c r="N1081" s="50"/>
      <c r="O1081" s="50"/>
      <c r="P1081" s="50"/>
      <c r="Q1081" s="121"/>
      <c r="R1081" s="121"/>
      <c r="S1081" s="121"/>
      <c r="T1081" s="34"/>
      <c r="U1081" s="35"/>
      <c r="V1081" s="37"/>
      <c r="W1081" s="35"/>
      <c r="X1081" s="122"/>
      <c r="AE1081" s="3"/>
    </row>
    <row r="1082" spans="1:31">
      <c r="A1082" s="39"/>
      <c r="B1082" s="118"/>
      <c r="C1082" s="119"/>
      <c r="D1082" s="119"/>
      <c r="E1082" s="120"/>
      <c r="F1082" s="119"/>
      <c r="G1082" s="38"/>
      <c r="H1082" s="42"/>
      <c r="I1082" s="42"/>
      <c r="J1082" s="43"/>
      <c r="K1082" s="34"/>
      <c r="L1082" s="127"/>
      <c r="M1082" s="34"/>
      <c r="N1082" s="50"/>
      <c r="O1082" s="50"/>
      <c r="P1082" s="50"/>
      <c r="Q1082" s="121"/>
      <c r="R1082" s="121"/>
      <c r="S1082" s="121"/>
      <c r="T1082" s="34"/>
      <c r="U1082" s="35"/>
      <c r="V1082" s="37"/>
      <c r="W1082" s="35"/>
      <c r="X1082" s="122"/>
      <c r="AE1082" s="3"/>
    </row>
    <row r="1083" spans="1:31">
      <c r="A1083" s="39"/>
      <c r="B1083" s="118"/>
      <c r="C1083" s="119"/>
      <c r="D1083" s="119"/>
      <c r="E1083" s="120"/>
      <c r="F1083" s="119"/>
      <c r="G1083" s="38"/>
      <c r="H1083" s="42"/>
      <c r="I1083" s="42"/>
      <c r="J1083" s="43"/>
      <c r="K1083" s="34"/>
      <c r="L1083" s="127"/>
      <c r="M1083" s="34"/>
      <c r="N1083" s="50"/>
      <c r="O1083" s="50"/>
      <c r="P1083" s="50"/>
      <c r="Q1083" s="121"/>
      <c r="R1083" s="121"/>
      <c r="S1083" s="121"/>
      <c r="T1083" s="34"/>
      <c r="U1083" s="35"/>
      <c r="V1083" s="37"/>
      <c r="W1083" s="35"/>
      <c r="X1083" s="122"/>
      <c r="AE1083" s="3"/>
    </row>
    <row r="1084" spans="1:31">
      <c r="A1084" s="39"/>
      <c r="B1084" s="118"/>
      <c r="C1084" s="119"/>
      <c r="D1084" s="119"/>
      <c r="E1084" s="120"/>
      <c r="F1084" s="119"/>
      <c r="G1084" s="38"/>
      <c r="H1084" s="42"/>
      <c r="I1084" s="42"/>
      <c r="J1084" s="43"/>
      <c r="K1084" s="34"/>
      <c r="L1084" s="127"/>
      <c r="M1084" s="34"/>
      <c r="N1084" s="50"/>
      <c r="O1084" s="50"/>
      <c r="P1084" s="50"/>
      <c r="Q1084" s="121"/>
      <c r="R1084" s="121"/>
      <c r="S1084" s="121"/>
      <c r="T1084" s="34"/>
      <c r="U1084" s="35"/>
      <c r="V1084" s="37"/>
      <c r="W1084" s="35"/>
      <c r="X1084" s="122"/>
      <c r="AE1084" s="3"/>
    </row>
    <row r="1085" spans="1:31">
      <c r="A1085" s="39"/>
      <c r="B1085" s="118"/>
      <c r="C1085" s="119"/>
      <c r="D1085" s="119"/>
      <c r="E1085" s="120"/>
      <c r="F1085" s="119"/>
      <c r="G1085" s="38"/>
      <c r="H1085" s="42"/>
      <c r="I1085" s="42"/>
      <c r="J1085" s="43"/>
      <c r="K1085" s="34"/>
      <c r="L1085" s="127"/>
      <c r="M1085" s="34"/>
      <c r="N1085" s="50"/>
      <c r="O1085" s="50"/>
      <c r="P1085" s="50"/>
      <c r="Q1085" s="121"/>
      <c r="R1085" s="121"/>
      <c r="S1085" s="121"/>
      <c r="T1085" s="34"/>
      <c r="U1085" s="35"/>
      <c r="V1085" s="37"/>
      <c r="W1085" s="35"/>
      <c r="X1085" s="122"/>
      <c r="AE1085" s="3"/>
    </row>
    <row r="1086" spans="1:31">
      <c r="A1086" s="39"/>
      <c r="B1086" s="118"/>
      <c r="C1086" s="119"/>
      <c r="D1086" s="119"/>
      <c r="E1086" s="120"/>
      <c r="F1086" s="119"/>
      <c r="G1086" s="38"/>
      <c r="H1086" s="42"/>
      <c r="I1086" s="42"/>
      <c r="J1086" s="43"/>
      <c r="K1086" s="34"/>
      <c r="L1086" s="127"/>
      <c r="M1086" s="34"/>
      <c r="N1086" s="50"/>
      <c r="O1086" s="50"/>
      <c r="P1086" s="50"/>
      <c r="Q1086" s="121"/>
      <c r="R1086" s="121"/>
      <c r="S1086" s="121"/>
      <c r="T1086" s="34"/>
      <c r="U1086" s="35"/>
      <c r="V1086" s="37"/>
      <c r="W1086" s="35"/>
      <c r="X1086" s="122"/>
      <c r="AE1086" s="3"/>
    </row>
    <row r="1087" spans="1:31">
      <c r="A1087" s="39"/>
      <c r="B1087" s="118"/>
      <c r="C1087" s="119"/>
      <c r="D1087" s="119"/>
      <c r="E1087" s="120"/>
      <c r="F1087" s="119"/>
      <c r="G1087" s="38"/>
      <c r="H1087" s="42"/>
      <c r="I1087" s="42"/>
      <c r="J1087" s="43"/>
      <c r="K1087" s="34"/>
      <c r="L1087" s="127"/>
      <c r="M1087" s="34"/>
      <c r="N1087" s="50"/>
      <c r="O1087" s="50"/>
      <c r="P1087" s="50"/>
      <c r="Q1087" s="121"/>
      <c r="R1087" s="121"/>
      <c r="S1087" s="121"/>
      <c r="T1087" s="34"/>
      <c r="U1087" s="35"/>
      <c r="V1087" s="37"/>
      <c r="W1087" s="35"/>
      <c r="X1087" s="122"/>
      <c r="AE1087" s="3"/>
    </row>
    <row r="1088" spans="1:31">
      <c r="A1088" s="39"/>
      <c r="B1088" s="118"/>
      <c r="C1088" s="119"/>
      <c r="D1088" s="119"/>
      <c r="E1088" s="120"/>
      <c r="F1088" s="119"/>
      <c r="G1088" s="38"/>
      <c r="H1088" s="42"/>
      <c r="I1088" s="42"/>
      <c r="J1088" s="43"/>
      <c r="K1088" s="34"/>
      <c r="L1088" s="127"/>
      <c r="M1088" s="34"/>
      <c r="N1088" s="50"/>
      <c r="O1088" s="50"/>
      <c r="P1088" s="50"/>
      <c r="Q1088" s="121"/>
      <c r="R1088" s="121"/>
      <c r="S1088" s="121"/>
      <c r="T1088" s="34"/>
      <c r="U1088" s="35"/>
      <c r="V1088" s="37"/>
      <c r="W1088" s="35"/>
      <c r="X1088" s="122"/>
      <c r="AE1088" s="3"/>
    </row>
    <row r="1089" spans="1:31">
      <c r="A1089" s="39"/>
      <c r="B1089" s="118"/>
      <c r="C1089" s="119"/>
      <c r="D1089" s="119"/>
      <c r="E1089" s="120"/>
      <c r="F1089" s="119"/>
      <c r="G1089" s="38"/>
      <c r="H1089" s="42"/>
      <c r="I1089" s="42"/>
      <c r="J1089" s="43"/>
      <c r="K1089" s="34"/>
      <c r="L1089" s="127"/>
      <c r="M1089" s="34"/>
      <c r="N1089" s="50"/>
      <c r="O1089" s="50"/>
      <c r="P1089" s="50"/>
      <c r="Q1089" s="121"/>
      <c r="R1089" s="121"/>
      <c r="S1089" s="121"/>
      <c r="T1089" s="34"/>
      <c r="U1089" s="35"/>
      <c r="V1089" s="37"/>
      <c r="W1089" s="35"/>
      <c r="X1089" s="122"/>
      <c r="AE1089" s="3"/>
    </row>
    <row r="1090" spans="1:31">
      <c r="A1090" s="39"/>
      <c r="B1090" s="118"/>
      <c r="C1090" s="119"/>
      <c r="D1090" s="119"/>
      <c r="E1090" s="120"/>
      <c r="F1090" s="119"/>
      <c r="G1090" s="38"/>
      <c r="H1090" s="42"/>
      <c r="I1090" s="42"/>
      <c r="J1090" s="43"/>
      <c r="K1090" s="34"/>
      <c r="L1090" s="127"/>
      <c r="M1090" s="34"/>
      <c r="N1090" s="50"/>
      <c r="O1090" s="50"/>
      <c r="P1090" s="50"/>
      <c r="Q1090" s="121"/>
      <c r="R1090" s="121"/>
      <c r="S1090" s="121"/>
      <c r="T1090" s="34"/>
      <c r="U1090" s="35"/>
      <c r="V1090" s="37"/>
      <c r="W1090" s="35"/>
      <c r="X1090" s="122"/>
      <c r="AE1090" s="3"/>
    </row>
    <row r="1091" spans="1:31">
      <c r="A1091" s="39"/>
      <c r="B1091" s="118"/>
      <c r="C1091" s="119"/>
      <c r="D1091" s="119"/>
      <c r="E1091" s="120"/>
      <c r="F1091" s="119"/>
      <c r="G1091" s="38"/>
      <c r="H1091" s="42"/>
      <c r="I1091" s="42"/>
      <c r="J1091" s="43"/>
      <c r="K1091" s="34"/>
      <c r="L1091" s="127"/>
      <c r="M1091" s="34"/>
      <c r="N1091" s="50"/>
      <c r="O1091" s="50"/>
      <c r="P1091" s="50"/>
      <c r="Q1091" s="121"/>
      <c r="R1091" s="121"/>
      <c r="S1091" s="121"/>
      <c r="T1091" s="34"/>
      <c r="U1091" s="35"/>
      <c r="V1091" s="37"/>
      <c r="W1091" s="35"/>
      <c r="X1091" s="122"/>
      <c r="AE1091" s="3"/>
    </row>
    <row r="1092" spans="1:31">
      <c r="A1092" s="39"/>
      <c r="B1092" s="118"/>
      <c r="C1092" s="119"/>
      <c r="D1092" s="119"/>
      <c r="E1092" s="120"/>
      <c r="F1092" s="119"/>
      <c r="G1092" s="38"/>
      <c r="H1092" s="42"/>
      <c r="I1092" s="42"/>
      <c r="J1092" s="43"/>
      <c r="K1092" s="34"/>
      <c r="L1092" s="127"/>
      <c r="M1092" s="34"/>
      <c r="N1092" s="50"/>
      <c r="O1092" s="50"/>
      <c r="P1092" s="50"/>
      <c r="Q1092" s="121"/>
      <c r="R1092" s="121"/>
      <c r="S1092" s="121"/>
      <c r="T1092" s="34"/>
      <c r="U1092" s="35"/>
      <c r="V1092" s="37"/>
      <c r="W1092" s="35"/>
      <c r="X1092" s="122"/>
      <c r="AE1092" s="3"/>
    </row>
    <row r="1093" spans="1:31">
      <c r="A1093" s="39"/>
      <c r="B1093" s="118"/>
      <c r="C1093" s="119"/>
      <c r="D1093" s="119"/>
      <c r="E1093" s="120"/>
      <c r="F1093" s="119"/>
      <c r="G1093" s="38"/>
      <c r="H1093" s="42"/>
      <c r="I1093" s="42"/>
      <c r="J1093" s="43"/>
      <c r="K1093" s="34"/>
      <c r="L1093" s="127"/>
      <c r="M1093" s="34"/>
      <c r="N1093" s="50"/>
      <c r="O1093" s="50"/>
      <c r="P1093" s="50"/>
      <c r="Q1093" s="121"/>
      <c r="R1093" s="121"/>
      <c r="S1093" s="121"/>
      <c r="T1093" s="34"/>
      <c r="U1093" s="35"/>
      <c r="V1093" s="37"/>
      <c r="W1093" s="35"/>
      <c r="X1093" s="122"/>
      <c r="AE1093" s="3"/>
    </row>
    <row r="1094" spans="1:31">
      <c r="A1094" s="39"/>
      <c r="B1094" s="118"/>
      <c r="C1094" s="119"/>
      <c r="D1094" s="119"/>
      <c r="E1094" s="120"/>
      <c r="F1094" s="119"/>
      <c r="G1094" s="38"/>
      <c r="H1094" s="42"/>
      <c r="I1094" s="42"/>
      <c r="J1094" s="43"/>
      <c r="K1094" s="34"/>
      <c r="L1094" s="127"/>
      <c r="M1094" s="34"/>
      <c r="N1094" s="50"/>
      <c r="O1094" s="50"/>
      <c r="P1094" s="50"/>
      <c r="Q1094" s="121"/>
      <c r="R1094" s="121"/>
      <c r="S1094" s="121"/>
      <c r="T1094" s="34"/>
      <c r="U1094" s="35"/>
      <c r="V1094" s="37"/>
      <c r="W1094" s="35"/>
      <c r="X1094" s="122"/>
      <c r="AE1094" s="3"/>
    </row>
    <row r="1095" spans="1:31">
      <c r="A1095" s="39"/>
      <c r="B1095" s="118"/>
      <c r="C1095" s="119"/>
      <c r="D1095" s="119"/>
      <c r="E1095" s="120"/>
      <c r="F1095" s="119"/>
      <c r="G1095" s="38"/>
      <c r="H1095" s="42"/>
      <c r="I1095" s="42"/>
      <c r="J1095" s="43"/>
      <c r="K1095" s="34"/>
      <c r="L1095" s="127"/>
      <c r="M1095" s="34"/>
      <c r="N1095" s="50"/>
      <c r="O1095" s="50"/>
      <c r="P1095" s="50"/>
      <c r="Q1095" s="121"/>
      <c r="R1095" s="121"/>
      <c r="S1095" s="121"/>
      <c r="T1095" s="34"/>
      <c r="U1095" s="35"/>
      <c r="V1095" s="37"/>
      <c r="W1095" s="35"/>
      <c r="X1095" s="122"/>
      <c r="AE1095" s="3"/>
    </row>
    <row r="1096" spans="1:31">
      <c r="A1096" s="39"/>
      <c r="B1096" s="118"/>
      <c r="C1096" s="119"/>
      <c r="D1096" s="119"/>
      <c r="E1096" s="120"/>
      <c r="F1096" s="119"/>
      <c r="G1096" s="38"/>
      <c r="H1096" s="42"/>
      <c r="I1096" s="42"/>
      <c r="J1096" s="43"/>
      <c r="K1096" s="34"/>
      <c r="L1096" s="127"/>
      <c r="M1096" s="34"/>
      <c r="N1096" s="50"/>
      <c r="O1096" s="50"/>
      <c r="P1096" s="50"/>
      <c r="Q1096" s="121"/>
      <c r="R1096" s="121"/>
      <c r="S1096" s="121"/>
      <c r="T1096" s="34"/>
      <c r="U1096" s="35"/>
      <c r="V1096" s="37"/>
      <c r="W1096" s="35"/>
      <c r="X1096" s="122"/>
      <c r="AE1096" s="3"/>
    </row>
    <row r="1097" spans="1:31">
      <c r="A1097" s="39"/>
      <c r="B1097" s="118"/>
      <c r="C1097" s="119"/>
      <c r="D1097" s="119"/>
      <c r="E1097" s="120"/>
      <c r="F1097" s="119"/>
      <c r="G1097" s="38"/>
      <c r="H1097" s="42"/>
      <c r="I1097" s="42"/>
      <c r="J1097" s="43"/>
      <c r="K1097" s="34"/>
      <c r="L1097" s="127"/>
      <c r="M1097" s="34"/>
      <c r="N1097" s="50"/>
      <c r="O1097" s="50"/>
      <c r="P1097" s="50"/>
      <c r="Q1097" s="121"/>
      <c r="R1097" s="121"/>
      <c r="S1097" s="121"/>
      <c r="T1097" s="34"/>
      <c r="U1097" s="35"/>
      <c r="V1097" s="37"/>
      <c r="W1097" s="35"/>
      <c r="X1097" s="122"/>
      <c r="AE1097" s="3"/>
    </row>
    <row r="1098" spans="1:31">
      <c r="A1098" s="39"/>
      <c r="B1098" s="118"/>
      <c r="C1098" s="119"/>
      <c r="D1098" s="119"/>
      <c r="E1098" s="120"/>
      <c r="F1098" s="119"/>
      <c r="G1098" s="38"/>
      <c r="H1098" s="42"/>
      <c r="I1098" s="42"/>
      <c r="J1098" s="43"/>
      <c r="K1098" s="34"/>
      <c r="L1098" s="127"/>
      <c r="M1098" s="34"/>
      <c r="N1098" s="50"/>
      <c r="O1098" s="50"/>
      <c r="P1098" s="50"/>
      <c r="Q1098" s="121"/>
      <c r="R1098" s="121"/>
      <c r="S1098" s="121"/>
      <c r="T1098" s="34"/>
      <c r="U1098" s="35"/>
      <c r="V1098" s="37"/>
      <c r="W1098" s="35"/>
      <c r="X1098" s="122"/>
      <c r="AE1098" s="3"/>
    </row>
    <row r="1099" spans="1:31">
      <c r="A1099" s="39"/>
      <c r="B1099" s="118"/>
      <c r="C1099" s="119"/>
      <c r="D1099" s="119"/>
      <c r="E1099" s="120"/>
      <c r="F1099" s="119"/>
      <c r="G1099" s="38"/>
      <c r="H1099" s="42"/>
      <c r="I1099" s="42"/>
      <c r="J1099" s="43"/>
      <c r="K1099" s="34"/>
      <c r="L1099" s="127"/>
      <c r="M1099" s="34"/>
      <c r="N1099" s="50"/>
      <c r="O1099" s="50"/>
      <c r="P1099" s="50"/>
      <c r="Q1099" s="121"/>
      <c r="R1099" s="121"/>
      <c r="S1099" s="121"/>
      <c r="T1099" s="34"/>
      <c r="U1099" s="35"/>
      <c r="V1099" s="37"/>
      <c r="W1099" s="35"/>
      <c r="X1099" s="122"/>
      <c r="AE1099" s="3"/>
    </row>
    <row r="1100" spans="1:31">
      <c r="A1100" s="39"/>
      <c r="B1100" s="118"/>
      <c r="C1100" s="119"/>
      <c r="D1100" s="119"/>
      <c r="E1100" s="120"/>
      <c r="F1100" s="119"/>
      <c r="G1100" s="38"/>
      <c r="H1100" s="42"/>
      <c r="I1100" s="42"/>
      <c r="J1100" s="43"/>
      <c r="K1100" s="34"/>
      <c r="L1100" s="127"/>
      <c r="M1100" s="34"/>
      <c r="N1100" s="50"/>
      <c r="O1100" s="50"/>
      <c r="P1100" s="50"/>
      <c r="Q1100" s="121"/>
      <c r="R1100" s="121"/>
      <c r="S1100" s="121"/>
      <c r="T1100" s="34"/>
      <c r="U1100" s="35"/>
      <c r="V1100" s="37"/>
      <c r="W1100" s="35"/>
      <c r="X1100" s="122"/>
      <c r="AE1100" s="3"/>
    </row>
    <row r="1101" spans="1:31">
      <c r="A1101" s="39"/>
      <c r="B1101" s="118"/>
      <c r="C1101" s="119"/>
      <c r="D1101" s="119"/>
      <c r="E1101" s="120"/>
      <c r="F1101" s="119"/>
      <c r="G1101" s="38"/>
      <c r="H1101" s="42"/>
      <c r="I1101" s="42"/>
      <c r="J1101" s="43"/>
      <c r="K1101" s="34"/>
      <c r="L1101" s="127"/>
      <c r="M1101" s="34"/>
      <c r="N1101" s="50"/>
      <c r="O1101" s="50"/>
      <c r="P1101" s="50"/>
      <c r="Q1101" s="121"/>
      <c r="R1101" s="121"/>
      <c r="S1101" s="121"/>
      <c r="T1101" s="34"/>
      <c r="U1101" s="35"/>
      <c r="V1101" s="37"/>
      <c r="W1101" s="35"/>
      <c r="X1101" s="122"/>
      <c r="AE1101" s="3"/>
    </row>
    <row r="1102" spans="1:31">
      <c r="A1102" s="39"/>
      <c r="B1102" s="118"/>
      <c r="C1102" s="119"/>
      <c r="D1102" s="119"/>
      <c r="E1102" s="120"/>
      <c r="F1102" s="119"/>
      <c r="G1102" s="38"/>
      <c r="H1102" s="42"/>
      <c r="I1102" s="42"/>
      <c r="J1102" s="43"/>
      <c r="K1102" s="34"/>
      <c r="L1102" s="127"/>
      <c r="M1102" s="34"/>
      <c r="N1102" s="50"/>
      <c r="O1102" s="50"/>
      <c r="P1102" s="50"/>
      <c r="Q1102" s="121"/>
      <c r="R1102" s="121"/>
      <c r="S1102" s="121"/>
      <c r="T1102" s="34"/>
      <c r="U1102" s="35"/>
      <c r="V1102" s="37"/>
      <c r="W1102" s="35"/>
      <c r="X1102" s="122"/>
      <c r="AE1102" s="3"/>
    </row>
    <row r="1103" spans="1:31">
      <c r="A1103" s="39"/>
      <c r="B1103" s="118"/>
      <c r="C1103" s="119"/>
      <c r="D1103" s="119"/>
      <c r="E1103" s="120"/>
      <c r="F1103" s="119"/>
      <c r="G1103" s="38"/>
      <c r="H1103" s="42"/>
      <c r="I1103" s="42"/>
      <c r="J1103" s="43"/>
      <c r="K1103" s="34"/>
      <c r="L1103" s="127"/>
      <c r="M1103" s="34"/>
      <c r="N1103" s="50"/>
      <c r="O1103" s="50"/>
      <c r="P1103" s="50"/>
      <c r="Q1103" s="121"/>
      <c r="R1103" s="121"/>
      <c r="S1103" s="121"/>
      <c r="T1103" s="34"/>
      <c r="U1103" s="35"/>
      <c r="V1103" s="37"/>
      <c r="W1103" s="35"/>
      <c r="X1103" s="122"/>
      <c r="AE1103" s="3"/>
    </row>
    <row r="1104" spans="1:31">
      <c r="A1104" s="39"/>
      <c r="B1104" s="118"/>
      <c r="C1104" s="119"/>
      <c r="D1104" s="119"/>
      <c r="E1104" s="120"/>
      <c r="F1104" s="119"/>
      <c r="G1104" s="38"/>
      <c r="H1104" s="42"/>
      <c r="I1104" s="42"/>
      <c r="J1104" s="43"/>
      <c r="K1104" s="34"/>
      <c r="L1104" s="127"/>
      <c r="M1104" s="34"/>
      <c r="N1104" s="50"/>
      <c r="O1104" s="50"/>
      <c r="P1104" s="50"/>
      <c r="Q1104" s="121"/>
      <c r="R1104" s="121"/>
      <c r="S1104" s="121"/>
      <c r="T1104" s="34"/>
      <c r="U1104" s="35"/>
      <c r="V1104" s="37"/>
      <c r="W1104" s="35"/>
      <c r="X1104" s="122"/>
      <c r="AE1104" s="3"/>
    </row>
    <row r="1105" spans="1:31">
      <c r="A1105" s="39"/>
      <c r="B1105" s="118"/>
      <c r="C1105" s="119"/>
      <c r="D1105" s="119"/>
      <c r="E1105" s="120"/>
      <c r="F1105" s="119"/>
      <c r="G1105" s="38"/>
      <c r="H1105" s="42"/>
      <c r="I1105" s="42"/>
      <c r="J1105" s="43"/>
      <c r="K1105" s="34"/>
      <c r="L1105" s="127"/>
      <c r="M1105" s="34"/>
      <c r="N1105" s="50"/>
      <c r="O1105" s="50"/>
      <c r="P1105" s="50"/>
      <c r="Q1105" s="121"/>
      <c r="R1105" s="121"/>
      <c r="S1105" s="121"/>
      <c r="T1105" s="34"/>
      <c r="U1105" s="35"/>
      <c r="V1105" s="37"/>
      <c r="W1105" s="35"/>
      <c r="X1105" s="122"/>
      <c r="AE1105" s="3"/>
    </row>
    <row r="1106" spans="1:31">
      <c r="A1106" s="39"/>
      <c r="B1106" s="118"/>
      <c r="C1106" s="119"/>
      <c r="D1106" s="119"/>
      <c r="E1106" s="120"/>
      <c r="F1106" s="119"/>
      <c r="G1106" s="38"/>
      <c r="H1106" s="42"/>
      <c r="I1106" s="42"/>
      <c r="J1106" s="43"/>
      <c r="K1106" s="34"/>
      <c r="L1106" s="127"/>
      <c r="M1106" s="34"/>
      <c r="N1106" s="50"/>
      <c r="O1106" s="50"/>
      <c r="P1106" s="50"/>
      <c r="Q1106" s="121"/>
      <c r="R1106" s="121"/>
      <c r="S1106" s="121"/>
      <c r="T1106" s="34"/>
      <c r="U1106" s="35"/>
      <c r="V1106" s="37"/>
      <c r="W1106" s="35"/>
      <c r="X1106" s="122"/>
      <c r="AE1106" s="3"/>
    </row>
    <row r="1107" spans="1:31">
      <c r="A1107" s="39"/>
      <c r="B1107" s="118"/>
      <c r="C1107" s="119"/>
      <c r="D1107" s="119"/>
      <c r="E1107" s="120"/>
      <c r="F1107" s="119"/>
      <c r="G1107" s="38"/>
      <c r="H1107" s="42"/>
      <c r="I1107" s="42"/>
      <c r="J1107" s="43"/>
      <c r="K1107" s="34"/>
      <c r="L1107" s="127"/>
      <c r="M1107" s="34"/>
      <c r="N1107" s="50"/>
      <c r="O1107" s="50"/>
      <c r="P1107" s="50"/>
      <c r="Q1107" s="121"/>
      <c r="R1107" s="121"/>
      <c r="S1107" s="121"/>
      <c r="T1107" s="34"/>
      <c r="U1107" s="35"/>
      <c r="V1107" s="37"/>
      <c r="W1107" s="35"/>
      <c r="X1107" s="122"/>
      <c r="AE1107" s="3"/>
    </row>
    <row r="1108" spans="1:31">
      <c r="A1108" s="39"/>
      <c r="B1108" s="118"/>
      <c r="C1108" s="119"/>
      <c r="D1108" s="119"/>
      <c r="E1108" s="120"/>
      <c r="F1108" s="119"/>
      <c r="G1108" s="38"/>
      <c r="H1108" s="42"/>
      <c r="I1108" s="42"/>
      <c r="J1108" s="43"/>
      <c r="K1108" s="34"/>
      <c r="L1108" s="127"/>
      <c r="M1108" s="34"/>
      <c r="N1108" s="50"/>
      <c r="O1108" s="50"/>
      <c r="P1108" s="50"/>
      <c r="Q1108" s="121"/>
      <c r="R1108" s="121"/>
      <c r="S1108" s="121"/>
      <c r="T1108" s="34"/>
      <c r="U1108" s="35"/>
      <c r="V1108" s="37"/>
      <c r="W1108" s="35"/>
      <c r="X1108" s="122"/>
      <c r="AE1108" s="3"/>
    </row>
    <row r="1109" spans="1:31">
      <c r="A1109" s="39"/>
      <c r="B1109" s="118"/>
      <c r="C1109" s="119"/>
      <c r="D1109" s="119"/>
      <c r="E1109" s="120"/>
      <c r="F1109" s="119"/>
      <c r="G1109" s="38"/>
      <c r="H1109" s="42"/>
      <c r="I1109" s="42"/>
      <c r="J1109" s="43"/>
      <c r="K1109" s="34"/>
      <c r="L1109" s="127"/>
      <c r="M1109" s="34"/>
      <c r="N1109" s="50"/>
      <c r="O1109" s="50"/>
      <c r="P1109" s="50"/>
      <c r="Q1109" s="121"/>
      <c r="R1109" s="121"/>
      <c r="S1109" s="121"/>
      <c r="T1109" s="34"/>
      <c r="U1109" s="35"/>
      <c r="V1109" s="37"/>
      <c r="W1109" s="35"/>
      <c r="X1109" s="122"/>
      <c r="AE1109" s="3"/>
    </row>
    <row r="1110" spans="1:31">
      <c r="A1110" s="39"/>
      <c r="B1110" s="118"/>
      <c r="C1110" s="119"/>
      <c r="D1110" s="119"/>
      <c r="E1110" s="120"/>
      <c r="F1110" s="119"/>
      <c r="G1110" s="38"/>
      <c r="H1110" s="42"/>
      <c r="I1110" s="42"/>
      <c r="J1110" s="43"/>
      <c r="K1110" s="34"/>
      <c r="L1110" s="127"/>
      <c r="M1110" s="34"/>
      <c r="N1110" s="50"/>
      <c r="O1110" s="50"/>
      <c r="P1110" s="50"/>
      <c r="Q1110" s="121"/>
      <c r="R1110" s="121"/>
      <c r="S1110" s="121"/>
      <c r="T1110" s="34"/>
      <c r="U1110" s="35"/>
      <c r="V1110" s="37"/>
      <c r="W1110" s="35"/>
      <c r="X1110" s="122"/>
      <c r="AE1110" s="3"/>
    </row>
    <row r="1111" spans="1:31">
      <c r="A1111" s="39"/>
      <c r="B1111" s="118"/>
      <c r="C1111" s="119"/>
      <c r="D1111" s="119"/>
      <c r="E1111" s="120"/>
      <c r="F1111" s="119"/>
      <c r="G1111" s="38"/>
      <c r="H1111" s="42"/>
      <c r="I1111" s="42"/>
      <c r="J1111" s="43"/>
      <c r="K1111" s="34"/>
      <c r="L1111" s="127"/>
      <c r="M1111" s="34"/>
      <c r="N1111" s="50"/>
      <c r="O1111" s="50"/>
      <c r="P1111" s="50"/>
      <c r="Q1111" s="121"/>
      <c r="R1111" s="121"/>
      <c r="S1111" s="121"/>
      <c r="T1111" s="34"/>
      <c r="U1111" s="35"/>
      <c r="V1111" s="37"/>
      <c r="W1111" s="35"/>
      <c r="X1111" s="122"/>
      <c r="AE1111" s="3"/>
    </row>
    <row r="1112" spans="1:31">
      <c r="A1112" s="39"/>
      <c r="B1112" s="118"/>
      <c r="C1112" s="119"/>
      <c r="D1112" s="119"/>
      <c r="E1112" s="120"/>
      <c r="F1112" s="119"/>
      <c r="G1112" s="38"/>
      <c r="H1112" s="42"/>
      <c r="I1112" s="42"/>
      <c r="J1112" s="43"/>
      <c r="K1112" s="34"/>
      <c r="L1112" s="127"/>
      <c r="M1112" s="34"/>
      <c r="N1112" s="50"/>
      <c r="O1112" s="50"/>
      <c r="P1112" s="50"/>
      <c r="Q1112" s="121"/>
      <c r="R1112" s="121"/>
      <c r="S1112" s="121"/>
      <c r="T1112" s="34"/>
      <c r="U1112" s="35"/>
      <c r="V1112" s="37"/>
      <c r="W1112" s="35"/>
      <c r="X1112" s="122"/>
      <c r="AE1112" s="3"/>
    </row>
    <row r="1113" spans="1:31">
      <c r="A1113" s="39"/>
      <c r="B1113" s="118"/>
      <c r="C1113" s="119"/>
      <c r="D1113" s="119"/>
      <c r="E1113" s="120"/>
      <c r="F1113" s="119"/>
      <c r="G1113" s="38"/>
      <c r="H1113" s="42"/>
      <c r="I1113" s="42"/>
      <c r="J1113" s="43"/>
      <c r="K1113" s="34"/>
      <c r="L1113" s="127"/>
      <c r="M1113" s="34"/>
      <c r="N1113" s="50"/>
      <c r="O1113" s="50"/>
      <c r="P1113" s="50"/>
      <c r="Q1113" s="121"/>
      <c r="R1113" s="121"/>
      <c r="S1113" s="121"/>
      <c r="T1113" s="34"/>
      <c r="U1113" s="35"/>
      <c r="V1113" s="37"/>
      <c r="W1113" s="35"/>
      <c r="X1113" s="122"/>
      <c r="AE1113" s="3"/>
    </row>
    <row r="1114" spans="1:31">
      <c r="A1114" s="39"/>
      <c r="B1114" s="118"/>
      <c r="C1114" s="119"/>
      <c r="D1114" s="119"/>
      <c r="E1114" s="120"/>
      <c r="F1114" s="119"/>
      <c r="G1114" s="38"/>
      <c r="H1114" s="42"/>
      <c r="I1114" s="42"/>
      <c r="J1114" s="43"/>
      <c r="K1114" s="34"/>
      <c r="L1114" s="127"/>
      <c r="M1114" s="34"/>
      <c r="N1114" s="50"/>
      <c r="O1114" s="50"/>
      <c r="P1114" s="50"/>
      <c r="Q1114" s="121"/>
      <c r="R1114" s="121"/>
      <c r="S1114" s="121"/>
      <c r="T1114" s="34"/>
      <c r="U1114" s="35"/>
      <c r="V1114" s="37"/>
      <c r="W1114" s="35"/>
      <c r="X1114" s="122"/>
      <c r="AE1114" s="3"/>
    </row>
    <row r="1115" spans="1:31">
      <c r="A1115" s="39"/>
      <c r="B1115" s="118"/>
      <c r="C1115" s="119"/>
      <c r="D1115" s="119"/>
      <c r="E1115" s="120"/>
      <c r="F1115" s="119"/>
      <c r="G1115" s="38"/>
      <c r="H1115" s="42"/>
      <c r="I1115" s="42"/>
      <c r="J1115" s="43"/>
      <c r="K1115" s="34"/>
      <c r="L1115" s="127"/>
      <c r="M1115" s="34"/>
      <c r="N1115" s="50"/>
      <c r="O1115" s="50"/>
      <c r="P1115" s="50"/>
      <c r="Q1115" s="121"/>
      <c r="R1115" s="121"/>
      <c r="S1115" s="121"/>
      <c r="T1115" s="34"/>
      <c r="U1115" s="35"/>
      <c r="V1115" s="37"/>
      <c r="W1115" s="35"/>
      <c r="X1115" s="122"/>
      <c r="AE1115" s="3"/>
    </row>
    <row r="1116" spans="1:31">
      <c r="A1116" s="39"/>
      <c r="B1116" s="118"/>
      <c r="C1116" s="119"/>
      <c r="D1116" s="119"/>
      <c r="E1116" s="120"/>
      <c r="F1116" s="119"/>
      <c r="G1116" s="38"/>
      <c r="H1116" s="42"/>
      <c r="I1116" s="42"/>
      <c r="J1116" s="43"/>
      <c r="K1116" s="34"/>
      <c r="L1116" s="127"/>
      <c r="M1116" s="34"/>
      <c r="N1116" s="50"/>
      <c r="O1116" s="50"/>
      <c r="P1116" s="50"/>
      <c r="Q1116" s="121"/>
      <c r="R1116" s="121"/>
      <c r="S1116" s="121"/>
      <c r="T1116" s="34"/>
      <c r="U1116" s="35"/>
      <c r="V1116" s="37"/>
      <c r="W1116" s="35"/>
      <c r="X1116" s="122"/>
      <c r="AE1116" s="3"/>
    </row>
    <row r="1117" spans="1:31">
      <c r="A1117" s="39"/>
      <c r="B1117" s="118"/>
      <c r="C1117" s="119"/>
      <c r="D1117" s="119"/>
      <c r="E1117" s="120"/>
      <c r="F1117" s="119"/>
      <c r="G1117" s="38"/>
      <c r="H1117" s="42"/>
      <c r="I1117" s="42"/>
      <c r="J1117" s="43"/>
      <c r="K1117" s="34"/>
      <c r="L1117" s="127"/>
      <c r="M1117" s="34"/>
      <c r="N1117" s="50"/>
      <c r="O1117" s="50"/>
      <c r="P1117" s="50"/>
      <c r="Q1117" s="121"/>
      <c r="R1117" s="121"/>
      <c r="S1117" s="121"/>
      <c r="T1117" s="34"/>
      <c r="U1117" s="35"/>
      <c r="V1117" s="37"/>
      <c r="W1117" s="35"/>
      <c r="X1117" s="122"/>
      <c r="AE1117" s="3"/>
    </row>
    <row r="1118" spans="1:31">
      <c r="A1118" s="39"/>
      <c r="B1118" s="118"/>
      <c r="C1118" s="119"/>
      <c r="D1118" s="119"/>
      <c r="E1118" s="120"/>
      <c r="F1118" s="119"/>
      <c r="G1118" s="38"/>
      <c r="H1118" s="42"/>
      <c r="I1118" s="42"/>
      <c r="J1118" s="43"/>
      <c r="K1118" s="34"/>
      <c r="L1118" s="127"/>
      <c r="M1118" s="34"/>
      <c r="N1118" s="50"/>
      <c r="O1118" s="50"/>
      <c r="P1118" s="50"/>
      <c r="Q1118" s="121"/>
      <c r="R1118" s="121"/>
      <c r="S1118" s="121"/>
      <c r="T1118" s="34"/>
      <c r="U1118" s="35"/>
      <c r="V1118" s="37"/>
      <c r="W1118" s="35"/>
      <c r="X1118" s="122"/>
      <c r="AE1118" s="3"/>
    </row>
    <row r="1119" spans="1:31">
      <c r="A1119" s="39"/>
      <c r="B1119" s="118"/>
      <c r="C1119" s="119"/>
      <c r="D1119" s="119"/>
      <c r="E1119" s="120"/>
      <c r="F1119" s="119"/>
      <c r="G1119" s="38"/>
      <c r="H1119" s="42"/>
      <c r="I1119" s="42"/>
      <c r="J1119" s="43"/>
      <c r="K1119" s="34"/>
      <c r="L1119" s="127"/>
      <c r="M1119" s="34"/>
      <c r="N1119" s="50"/>
      <c r="O1119" s="50"/>
      <c r="P1119" s="50"/>
      <c r="Q1119" s="121"/>
      <c r="R1119" s="121"/>
      <c r="S1119" s="121"/>
      <c r="T1119" s="34"/>
      <c r="U1119" s="35"/>
      <c r="V1119" s="37"/>
      <c r="W1119" s="35"/>
      <c r="X1119" s="122"/>
      <c r="AE1119" s="3"/>
    </row>
    <row r="1120" spans="1:31">
      <c r="A1120" s="39"/>
      <c r="B1120" s="118"/>
      <c r="C1120" s="119"/>
      <c r="D1120" s="119"/>
      <c r="E1120" s="120"/>
      <c r="F1120" s="119"/>
      <c r="G1120" s="38"/>
      <c r="H1120" s="42"/>
      <c r="I1120" s="42"/>
      <c r="J1120" s="43"/>
      <c r="K1120" s="34"/>
      <c r="L1120" s="127"/>
      <c r="M1120" s="34"/>
      <c r="N1120" s="50"/>
      <c r="O1120" s="50"/>
      <c r="P1120" s="50"/>
      <c r="Q1120" s="121"/>
      <c r="R1120" s="121"/>
      <c r="S1120" s="121"/>
      <c r="T1120" s="34"/>
      <c r="U1120" s="35"/>
      <c r="V1120" s="37"/>
      <c r="W1120" s="35"/>
      <c r="X1120" s="122"/>
      <c r="AE1120" s="3"/>
    </row>
    <row r="1121" spans="1:31">
      <c r="A1121" s="39"/>
      <c r="B1121" s="118"/>
      <c r="C1121" s="119"/>
      <c r="D1121" s="119"/>
      <c r="E1121" s="120"/>
      <c r="F1121" s="119"/>
      <c r="G1121" s="38"/>
      <c r="H1121" s="42"/>
      <c r="I1121" s="42"/>
      <c r="J1121" s="43"/>
      <c r="K1121" s="34"/>
      <c r="L1121" s="127"/>
      <c r="M1121" s="34"/>
      <c r="N1121" s="50"/>
      <c r="O1121" s="50"/>
      <c r="P1121" s="50"/>
      <c r="Q1121" s="121"/>
      <c r="R1121" s="121"/>
      <c r="S1121" s="121"/>
      <c r="T1121" s="34"/>
      <c r="U1121" s="35"/>
      <c r="V1121" s="37"/>
      <c r="W1121" s="35"/>
      <c r="X1121" s="122"/>
      <c r="AE1121" s="3"/>
    </row>
    <row r="1122" spans="1:31">
      <c r="A1122" s="39"/>
      <c r="B1122" s="118"/>
      <c r="C1122" s="119"/>
      <c r="D1122" s="119"/>
      <c r="E1122" s="120"/>
      <c r="F1122" s="119"/>
      <c r="G1122" s="38"/>
      <c r="H1122" s="42"/>
      <c r="I1122" s="42"/>
      <c r="J1122" s="43"/>
      <c r="K1122" s="34"/>
      <c r="L1122" s="127"/>
      <c r="M1122" s="34"/>
      <c r="N1122" s="50"/>
      <c r="O1122" s="50"/>
      <c r="P1122" s="50"/>
      <c r="Q1122" s="121"/>
      <c r="R1122" s="121"/>
      <c r="S1122" s="121"/>
      <c r="T1122" s="34"/>
      <c r="U1122" s="35"/>
      <c r="V1122" s="37"/>
      <c r="W1122" s="35"/>
      <c r="X1122" s="122"/>
      <c r="AE1122" s="3"/>
    </row>
    <row r="1123" spans="1:31">
      <c r="A1123" s="39"/>
      <c r="B1123" s="118"/>
      <c r="C1123" s="119"/>
      <c r="D1123" s="119"/>
      <c r="E1123" s="120"/>
      <c r="F1123" s="119"/>
      <c r="G1123" s="38"/>
      <c r="H1123" s="42"/>
      <c r="I1123" s="42"/>
      <c r="J1123" s="43"/>
      <c r="K1123" s="34"/>
      <c r="L1123" s="127"/>
      <c r="M1123" s="34"/>
      <c r="N1123" s="50"/>
      <c r="O1123" s="50"/>
      <c r="P1123" s="50"/>
      <c r="Q1123" s="121"/>
      <c r="R1123" s="121"/>
      <c r="S1123" s="121"/>
      <c r="T1123" s="34"/>
      <c r="U1123" s="35"/>
      <c r="V1123" s="37"/>
      <c r="W1123" s="35"/>
      <c r="X1123" s="122"/>
      <c r="AE1123" s="3"/>
    </row>
    <row r="1124" spans="1:31">
      <c r="A1124" s="39"/>
      <c r="B1124" s="118"/>
      <c r="C1124" s="119"/>
      <c r="D1124" s="119"/>
      <c r="E1124" s="120"/>
      <c r="F1124" s="119"/>
      <c r="G1124" s="38"/>
      <c r="H1124" s="42"/>
      <c r="I1124" s="42"/>
      <c r="J1124" s="43"/>
      <c r="K1124" s="34"/>
      <c r="L1124" s="127"/>
      <c r="M1124" s="34"/>
      <c r="N1124" s="50"/>
      <c r="O1124" s="50"/>
      <c r="P1124" s="50"/>
      <c r="Q1124" s="121"/>
      <c r="R1124" s="121"/>
      <c r="S1124" s="121"/>
      <c r="T1124" s="34"/>
      <c r="U1124" s="35"/>
      <c r="V1124" s="37"/>
      <c r="W1124" s="35"/>
      <c r="X1124" s="122"/>
      <c r="AE1124" s="3"/>
    </row>
    <row r="1125" spans="1:31">
      <c r="A1125" s="39"/>
      <c r="B1125" s="118"/>
      <c r="C1125" s="119"/>
      <c r="D1125" s="119"/>
      <c r="E1125" s="120"/>
      <c r="F1125" s="119"/>
      <c r="G1125" s="38"/>
      <c r="H1125" s="42"/>
      <c r="I1125" s="42"/>
      <c r="J1125" s="43"/>
      <c r="K1125" s="34"/>
      <c r="L1125" s="127"/>
      <c r="M1125" s="34"/>
      <c r="N1125" s="50"/>
      <c r="O1125" s="50"/>
      <c r="P1125" s="50"/>
      <c r="Q1125" s="121"/>
      <c r="R1125" s="121"/>
      <c r="S1125" s="121"/>
      <c r="T1125" s="34"/>
      <c r="U1125" s="35"/>
      <c r="V1125" s="37"/>
      <c r="W1125" s="35"/>
      <c r="X1125" s="122"/>
      <c r="AE1125" s="3"/>
    </row>
    <row r="1126" spans="1:31">
      <c r="A1126" s="39"/>
      <c r="B1126" s="118"/>
      <c r="C1126" s="119"/>
      <c r="D1126" s="119"/>
      <c r="E1126" s="120"/>
      <c r="F1126" s="119"/>
      <c r="G1126" s="38"/>
      <c r="H1126" s="42"/>
      <c r="I1126" s="42"/>
      <c r="J1126" s="43"/>
      <c r="K1126" s="34"/>
      <c r="L1126" s="127"/>
      <c r="M1126" s="34"/>
      <c r="N1126" s="50"/>
      <c r="O1126" s="50"/>
      <c r="P1126" s="50"/>
      <c r="Q1126" s="121"/>
      <c r="R1126" s="121"/>
      <c r="S1126" s="121"/>
      <c r="T1126" s="34"/>
      <c r="U1126" s="35"/>
      <c r="V1126" s="37"/>
      <c r="W1126" s="35"/>
      <c r="X1126" s="122"/>
      <c r="AE1126" s="3"/>
    </row>
    <row r="1127" spans="1:31">
      <c r="A1127" s="39"/>
      <c r="B1127" s="118"/>
      <c r="C1127" s="119"/>
      <c r="D1127" s="119"/>
      <c r="E1127" s="120"/>
      <c r="F1127" s="119"/>
      <c r="G1127" s="38"/>
      <c r="H1127" s="42"/>
      <c r="I1127" s="42"/>
      <c r="J1127" s="43"/>
      <c r="K1127" s="34"/>
      <c r="L1127" s="127"/>
      <c r="M1127" s="34"/>
      <c r="N1127" s="50"/>
      <c r="O1127" s="50"/>
      <c r="P1127" s="50"/>
      <c r="Q1127" s="121"/>
      <c r="R1127" s="121"/>
      <c r="S1127" s="121"/>
      <c r="T1127" s="34"/>
      <c r="U1127" s="35"/>
      <c r="V1127" s="37"/>
      <c r="W1127" s="35"/>
      <c r="X1127" s="122"/>
      <c r="AE1127" s="3"/>
    </row>
    <row r="1128" spans="1:31">
      <c r="A1128" s="39"/>
      <c r="B1128" s="118"/>
      <c r="C1128" s="119"/>
      <c r="D1128" s="119"/>
      <c r="E1128" s="120"/>
      <c r="F1128" s="119"/>
      <c r="G1128" s="38"/>
      <c r="H1128" s="42"/>
      <c r="I1128" s="42"/>
      <c r="J1128" s="43"/>
      <c r="K1128" s="34"/>
      <c r="L1128" s="127"/>
      <c r="M1128" s="34"/>
      <c r="N1128" s="50"/>
      <c r="O1128" s="50"/>
      <c r="P1128" s="50"/>
      <c r="Q1128" s="121"/>
      <c r="R1128" s="121"/>
      <c r="S1128" s="121"/>
      <c r="T1128" s="34"/>
      <c r="U1128" s="35"/>
      <c r="V1128" s="37"/>
      <c r="W1128" s="35"/>
      <c r="X1128" s="122"/>
      <c r="AE1128" s="3"/>
    </row>
    <row r="1129" spans="1:31">
      <c r="A1129" s="39"/>
      <c r="B1129" s="118"/>
      <c r="C1129" s="119"/>
      <c r="D1129" s="119"/>
      <c r="E1129" s="120"/>
      <c r="F1129" s="119"/>
      <c r="G1129" s="38"/>
      <c r="H1129" s="42"/>
      <c r="I1129" s="42"/>
      <c r="J1129" s="43"/>
      <c r="K1129" s="34"/>
      <c r="L1129" s="127"/>
      <c r="M1129" s="34"/>
      <c r="N1129" s="50"/>
      <c r="O1129" s="50"/>
      <c r="P1129" s="50"/>
      <c r="Q1129" s="121"/>
      <c r="R1129" s="121"/>
      <c r="S1129" s="121"/>
      <c r="T1129" s="34"/>
      <c r="U1129" s="35"/>
      <c r="V1129" s="37"/>
      <c r="W1129" s="35"/>
      <c r="X1129" s="122"/>
      <c r="AE1129" s="3"/>
    </row>
    <row r="1130" spans="1:31">
      <c r="A1130" s="39"/>
      <c r="B1130" s="118"/>
      <c r="C1130" s="119"/>
      <c r="D1130" s="119"/>
      <c r="E1130" s="120"/>
      <c r="F1130" s="119"/>
      <c r="G1130" s="38"/>
      <c r="H1130" s="42"/>
      <c r="I1130" s="42"/>
      <c r="J1130" s="43"/>
      <c r="K1130" s="34"/>
      <c r="L1130" s="127"/>
      <c r="M1130" s="34"/>
      <c r="N1130" s="50"/>
      <c r="O1130" s="50"/>
      <c r="P1130" s="50"/>
      <c r="Q1130" s="121"/>
      <c r="R1130" s="121"/>
      <c r="S1130" s="121"/>
      <c r="T1130" s="34"/>
      <c r="U1130" s="35"/>
      <c r="V1130" s="37"/>
      <c r="W1130" s="35"/>
      <c r="X1130" s="122"/>
      <c r="AE1130" s="3"/>
    </row>
    <row r="1131" spans="1:31">
      <c r="A1131" s="39"/>
      <c r="B1131" s="118"/>
      <c r="C1131" s="119"/>
      <c r="D1131" s="119"/>
      <c r="E1131" s="120"/>
      <c r="F1131" s="119"/>
      <c r="G1131" s="38"/>
      <c r="H1131" s="42"/>
      <c r="I1131" s="42"/>
      <c r="J1131" s="43"/>
      <c r="K1131" s="34"/>
      <c r="L1131" s="127"/>
      <c r="M1131" s="34"/>
      <c r="N1131" s="50"/>
      <c r="O1131" s="50"/>
      <c r="P1131" s="50"/>
      <c r="Q1131" s="121"/>
      <c r="R1131" s="121"/>
      <c r="S1131" s="121"/>
      <c r="T1131" s="34"/>
      <c r="U1131" s="35"/>
      <c r="V1131" s="37"/>
      <c r="W1131" s="35"/>
      <c r="X1131" s="122"/>
      <c r="AE1131" s="3"/>
    </row>
    <row r="1132" spans="1:31">
      <c r="A1132" s="39"/>
      <c r="B1132" s="118"/>
      <c r="C1132" s="119"/>
      <c r="D1132" s="119"/>
      <c r="E1132" s="120"/>
      <c r="F1132" s="119"/>
      <c r="G1132" s="38"/>
      <c r="H1132" s="42"/>
      <c r="I1132" s="42"/>
      <c r="J1132" s="43"/>
      <c r="K1132" s="34"/>
      <c r="L1132" s="127"/>
      <c r="M1132" s="34"/>
      <c r="N1132" s="50"/>
      <c r="O1132" s="50"/>
      <c r="P1132" s="50"/>
      <c r="Q1132" s="121"/>
      <c r="R1132" s="121"/>
      <c r="S1132" s="121"/>
      <c r="T1132" s="34"/>
      <c r="U1132" s="35"/>
      <c r="V1132" s="37"/>
      <c r="W1132" s="35"/>
      <c r="X1132" s="122"/>
      <c r="AE1132" s="3"/>
    </row>
    <row r="1133" spans="1:31">
      <c r="A1133" s="39"/>
      <c r="B1133" s="118"/>
      <c r="C1133" s="119"/>
      <c r="D1133" s="119"/>
      <c r="E1133" s="120"/>
      <c r="F1133" s="119"/>
      <c r="G1133" s="38"/>
      <c r="H1133" s="42"/>
      <c r="I1133" s="42"/>
      <c r="J1133" s="43"/>
      <c r="K1133" s="34"/>
      <c r="L1133" s="127"/>
      <c r="M1133" s="34"/>
      <c r="N1133" s="50"/>
      <c r="O1133" s="50"/>
      <c r="P1133" s="50"/>
      <c r="Q1133" s="121"/>
      <c r="R1133" s="121"/>
      <c r="S1133" s="121"/>
      <c r="T1133" s="34"/>
      <c r="U1133" s="35"/>
      <c r="V1133" s="37"/>
      <c r="W1133" s="35"/>
      <c r="X1133" s="122"/>
      <c r="AE1133" s="3"/>
    </row>
    <row r="1134" spans="1:31">
      <c r="A1134" s="39"/>
      <c r="B1134" s="118"/>
      <c r="C1134" s="119"/>
      <c r="D1134" s="119"/>
      <c r="E1134" s="120"/>
      <c r="F1134" s="119"/>
      <c r="G1134" s="38"/>
      <c r="H1134" s="42"/>
      <c r="I1134" s="42"/>
      <c r="J1134" s="43"/>
      <c r="K1134" s="34"/>
      <c r="L1134" s="127"/>
      <c r="M1134" s="34"/>
      <c r="N1134" s="50"/>
      <c r="O1134" s="50"/>
      <c r="P1134" s="50"/>
      <c r="Q1134" s="121"/>
      <c r="R1134" s="121"/>
      <c r="S1134" s="121"/>
      <c r="T1134" s="34"/>
      <c r="U1134" s="35"/>
      <c r="V1134" s="37"/>
      <c r="W1134" s="35"/>
      <c r="X1134" s="122"/>
      <c r="AE1134" s="3"/>
    </row>
    <row r="1135" spans="1:31">
      <c r="A1135" s="39"/>
      <c r="B1135" s="118"/>
      <c r="C1135" s="119"/>
      <c r="D1135" s="119"/>
      <c r="E1135" s="120"/>
      <c r="F1135" s="119"/>
      <c r="G1135" s="38"/>
      <c r="H1135" s="42"/>
      <c r="I1135" s="42"/>
      <c r="J1135" s="43"/>
      <c r="K1135" s="34"/>
      <c r="L1135" s="127"/>
      <c r="M1135" s="34"/>
      <c r="N1135" s="50"/>
      <c r="O1135" s="50"/>
      <c r="P1135" s="50"/>
      <c r="Q1135" s="121"/>
      <c r="R1135" s="121"/>
      <c r="S1135" s="121"/>
      <c r="T1135" s="34"/>
      <c r="U1135" s="35"/>
      <c r="V1135" s="37"/>
      <c r="W1135" s="35"/>
      <c r="X1135" s="122"/>
      <c r="AE1135" s="3"/>
    </row>
    <row r="1136" spans="1:31">
      <c r="A1136" s="39"/>
      <c r="B1136" s="118"/>
      <c r="C1136" s="119"/>
      <c r="D1136" s="119"/>
      <c r="E1136" s="120"/>
      <c r="F1136" s="119"/>
      <c r="G1136" s="38"/>
      <c r="H1136" s="42"/>
      <c r="I1136" s="42"/>
      <c r="J1136" s="43"/>
      <c r="K1136" s="34"/>
      <c r="L1136" s="127"/>
      <c r="M1136" s="34"/>
      <c r="N1136" s="50"/>
      <c r="O1136" s="50"/>
      <c r="P1136" s="50"/>
      <c r="Q1136" s="121"/>
      <c r="R1136" s="121"/>
      <c r="S1136" s="121"/>
      <c r="T1136" s="34"/>
      <c r="U1136" s="35"/>
      <c r="V1136" s="37"/>
      <c r="W1136" s="35"/>
      <c r="X1136" s="122"/>
      <c r="AE1136" s="3"/>
    </row>
    <row r="1137" spans="1:31">
      <c r="A1137" s="39"/>
      <c r="B1137" s="118"/>
      <c r="C1137" s="119"/>
      <c r="D1137" s="119"/>
      <c r="E1137" s="120"/>
      <c r="F1137" s="119"/>
      <c r="G1137" s="38"/>
      <c r="H1137" s="42"/>
      <c r="I1137" s="42"/>
      <c r="J1137" s="43"/>
      <c r="K1137" s="34"/>
      <c r="L1137" s="127"/>
      <c r="M1137" s="34"/>
      <c r="N1137" s="50"/>
      <c r="O1137" s="50"/>
      <c r="P1137" s="50"/>
      <c r="Q1137" s="121"/>
      <c r="R1137" s="121"/>
      <c r="S1137" s="121"/>
      <c r="T1137" s="34"/>
      <c r="U1137" s="35"/>
      <c r="V1137" s="37"/>
      <c r="W1137" s="35"/>
      <c r="X1137" s="122"/>
      <c r="AE1137" s="3"/>
    </row>
    <row r="1138" spans="1:31">
      <c r="A1138" s="39"/>
      <c r="B1138" s="118"/>
      <c r="C1138" s="119"/>
      <c r="D1138" s="119"/>
      <c r="E1138" s="120"/>
      <c r="F1138" s="119"/>
      <c r="G1138" s="38"/>
      <c r="H1138" s="42"/>
      <c r="I1138" s="42"/>
      <c r="J1138" s="43"/>
      <c r="K1138" s="34"/>
      <c r="L1138" s="127"/>
      <c r="M1138" s="34"/>
      <c r="N1138" s="50"/>
      <c r="O1138" s="50"/>
      <c r="P1138" s="50"/>
      <c r="Q1138" s="121"/>
      <c r="R1138" s="121"/>
      <c r="S1138" s="121"/>
      <c r="T1138" s="34"/>
      <c r="U1138" s="35"/>
      <c r="V1138" s="37"/>
      <c r="W1138" s="35"/>
      <c r="X1138" s="122"/>
      <c r="AE1138" s="3"/>
    </row>
    <row r="1139" spans="1:31">
      <c r="A1139" s="39"/>
      <c r="B1139" s="118"/>
      <c r="C1139" s="119"/>
      <c r="D1139" s="119"/>
      <c r="E1139" s="120"/>
      <c r="F1139" s="119"/>
      <c r="G1139" s="38"/>
      <c r="H1139" s="42"/>
      <c r="I1139" s="42"/>
      <c r="J1139" s="43"/>
      <c r="K1139" s="34"/>
      <c r="L1139" s="127"/>
      <c r="M1139" s="34"/>
      <c r="N1139" s="50"/>
      <c r="O1139" s="50"/>
      <c r="P1139" s="50"/>
      <c r="Q1139" s="121"/>
      <c r="R1139" s="121"/>
      <c r="S1139" s="121"/>
      <c r="T1139" s="34"/>
      <c r="U1139" s="35"/>
      <c r="V1139" s="37"/>
      <c r="W1139" s="35"/>
      <c r="X1139" s="122"/>
      <c r="AE1139" s="3"/>
    </row>
    <row r="1140" spans="1:31">
      <c r="A1140" s="39"/>
      <c r="B1140" s="118"/>
      <c r="C1140" s="119"/>
      <c r="D1140" s="119"/>
      <c r="E1140" s="120"/>
      <c r="F1140" s="119"/>
      <c r="G1140" s="38"/>
      <c r="H1140" s="42"/>
      <c r="I1140" s="42"/>
      <c r="J1140" s="43"/>
      <c r="K1140" s="34"/>
      <c r="L1140" s="127"/>
      <c r="M1140" s="34"/>
      <c r="N1140" s="50"/>
      <c r="O1140" s="50"/>
      <c r="P1140" s="50"/>
      <c r="Q1140" s="121"/>
      <c r="R1140" s="121"/>
      <c r="S1140" s="121"/>
      <c r="T1140" s="34"/>
      <c r="U1140" s="35"/>
      <c r="V1140" s="37"/>
      <c r="W1140" s="35"/>
      <c r="X1140" s="122"/>
      <c r="AE1140" s="3"/>
    </row>
    <row r="1141" spans="1:31">
      <c r="A1141" s="39"/>
      <c r="B1141" s="118"/>
      <c r="C1141" s="119"/>
      <c r="D1141" s="119"/>
      <c r="E1141" s="120"/>
      <c r="F1141" s="119"/>
      <c r="G1141" s="38"/>
      <c r="H1141" s="42"/>
      <c r="I1141" s="42"/>
      <c r="J1141" s="43"/>
      <c r="K1141" s="34"/>
      <c r="L1141" s="127"/>
      <c r="M1141" s="34"/>
      <c r="N1141" s="50"/>
      <c r="O1141" s="50"/>
      <c r="P1141" s="50"/>
      <c r="Q1141" s="121"/>
      <c r="R1141" s="121"/>
      <c r="S1141" s="121"/>
      <c r="T1141" s="34"/>
      <c r="U1141" s="35"/>
      <c r="V1141" s="37"/>
      <c r="W1141" s="35"/>
      <c r="X1141" s="122"/>
      <c r="AE1141" s="3"/>
    </row>
    <row r="1142" spans="1:31">
      <c r="A1142" s="39"/>
      <c r="B1142" s="118"/>
      <c r="C1142" s="119"/>
      <c r="D1142" s="119"/>
      <c r="E1142" s="120"/>
      <c r="F1142" s="119"/>
      <c r="G1142" s="38"/>
      <c r="H1142" s="42"/>
      <c r="I1142" s="42"/>
      <c r="J1142" s="43"/>
      <c r="K1142" s="34"/>
      <c r="L1142" s="127"/>
      <c r="M1142" s="34"/>
      <c r="N1142" s="50"/>
      <c r="O1142" s="50"/>
      <c r="P1142" s="50"/>
      <c r="Q1142" s="121"/>
      <c r="R1142" s="121"/>
      <c r="S1142" s="121"/>
      <c r="T1142" s="34"/>
      <c r="U1142" s="35"/>
      <c r="V1142" s="37"/>
      <c r="W1142" s="35"/>
      <c r="X1142" s="122"/>
      <c r="AE1142" s="3"/>
    </row>
    <row r="1143" spans="1:31">
      <c r="A1143" s="39"/>
      <c r="B1143" s="118"/>
      <c r="C1143" s="119"/>
      <c r="D1143" s="119"/>
      <c r="E1143" s="120"/>
      <c r="F1143" s="119"/>
      <c r="G1143" s="38"/>
      <c r="H1143" s="42"/>
      <c r="I1143" s="42"/>
      <c r="J1143" s="43"/>
      <c r="K1143" s="34"/>
      <c r="L1143" s="127"/>
      <c r="M1143" s="34"/>
      <c r="N1143" s="50"/>
      <c r="O1143" s="50"/>
      <c r="P1143" s="50"/>
      <c r="Q1143" s="121"/>
      <c r="R1143" s="121"/>
      <c r="S1143" s="121"/>
      <c r="T1143" s="34"/>
      <c r="U1143" s="35"/>
      <c r="V1143" s="37"/>
      <c r="W1143" s="35"/>
      <c r="X1143" s="122"/>
      <c r="AE1143" s="3"/>
    </row>
    <row r="1144" spans="1:31">
      <c r="A1144" s="39"/>
      <c r="B1144" s="118"/>
      <c r="C1144" s="119"/>
      <c r="D1144" s="119"/>
      <c r="E1144" s="120"/>
      <c r="F1144" s="119"/>
      <c r="G1144" s="38"/>
      <c r="H1144" s="42"/>
      <c r="I1144" s="42"/>
      <c r="J1144" s="43"/>
      <c r="K1144" s="34"/>
      <c r="L1144" s="127"/>
      <c r="M1144" s="34"/>
      <c r="N1144" s="50"/>
      <c r="O1144" s="50"/>
      <c r="P1144" s="50"/>
      <c r="Q1144" s="121"/>
      <c r="R1144" s="121"/>
      <c r="S1144" s="121"/>
      <c r="T1144" s="34"/>
      <c r="U1144" s="35"/>
      <c r="V1144" s="37"/>
      <c r="W1144" s="35"/>
      <c r="X1144" s="122"/>
      <c r="AE1144" s="3"/>
    </row>
    <row r="1145" spans="1:31">
      <c r="A1145" s="39"/>
      <c r="B1145" s="118"/>
      <c r="C1145" s="119"/>
      <c r="D1145" s="119"/>
      <c r="E1145" s="120"/>
      <c r="F1145" s="119"/>
      <c r="G1145" s="38"/>
      <c r="H1145" s="42"/>
      <c r="I1145" s="42"/>
      <c r="J1145" s="43"/>
      <c r="K1145" s="34"/>
      <c r="L1145" s="127"/>
      <c r="M1145" s="34"/>
      <c r="N1145" s="50"/>
      <c r="O1145" s="50"/>
      <c r="P1145" s="50"/>
      <c r="Q1145" s="121"/>
      <c r="R1145" s="121"/>
      <c r="S1145" s="121"/>
      <c r="T1145" s="34"/>
      <c r="U1145" s="35"/>
      <c r="V1145" s="37"/>
      <c r="W1145" s="35"/>
      <c r="X1145" s="122"/>
      <c r="AE1145" s="3"/>
    </row>
    <row r="1146" spans="1:31">
      <c r="A1146" s="39"/>
      <c r="B1146" s="118"/>
      <c r="C1146" s="119"/>
      <c r="D1146" s="119"/>
      <c r="E1146" s="120"/>
      <c r="F1146" s="119"/>
      <c r="G1146" s="38"/>
      <c r="H1146" s="42"/>
      <c r="I1146" s="42"/>
      <c r="J1146" s="43"/>
      <c r="K1146" s="34"/>
      <c r="L1146" s="127"/>
      <c r="M1146" s="34"/>
      <c r="N1146" s="50"/>
      <c r="O1146" s="50"/>
      <c r="P1146" s="50"/>
      <c r="Q1146" s="121"/>
      <c r="R1146" s="121"/>
      <c r="S1146" s="121"/>
      <c r="T1146" s="34"/>
      <c r="U1146" s="35"/>
      <c r="V1146" s="37"/>
      <c r="W1146" s="35"/>
      <c r="X1146" s="122"/>
      <c r="AE1146" s="3"/>
    </row>
    <row r="1147" spans="1:31">
      <c r="A1147" s="39"/>
      <c r="B1147" s="118"/>
      <c r="C1147" s="119"/>
      <c r="D1147" s="119"/>
      <c r="E1147" s="120"/>
      <c r="F1147" s="119"/>
      <c r="G1147" s="38"/>
      <c r="H1147" s="42"/>
      <c r="I1147" s="42"/>
      <c r="J1147" s="43"/>
      <c r="K1147" s="34"/>
      <c r="L1147" s="127"/>
      <c r="M1147" s="34"/>
      <c r="N1147" s="50"/>
      <c r="O1147" s="50"/>
      <c r="P1147" s="50"/>
      <c r="Q1147" s="121"/>
      <c r="R1147" s="121"/>
      <c r="S1147" s="121"/>
      <c r="T1147" s="34"/>
      <c r="U1147" s="35"/>
      <c r="V1147" s="37"/>
      <c r="W1147" s="35"/>
      <c r="X1147" s="122"/>
      <c r="AE1147" s="3"/>
    </row>
    <row r="1148" spans="1:31">
      <c r="A1148" s="39"/>
      <c r="B1148" s="118"/>
      <c r="C1148" s="119"/>
      <c r="D1148" s="119"/>
      <c r="E1148" s="120"/>
      <c r="F1148" s="119"/>
      <c r="G1148" s="38"/>
      <c r="H1148" s="42"/>
      <c r="I1148" s="42"/>
      <c r="J1148" s="43"/>
      <c r="K1148" s="34"/>
      <c r="L1148" s="127"/>
      <c r="M1148" s="34"/>
      <c r="N1148" s="50"/>
      <c r="O1148" s="50"/>
      <c r="P1148" s="50"/>
      <c r="Q1148" s="121"/>
      <c r="R1148" s="121"/>
      <c r="S1148" s="121"/>
      <c r="T1148" s="34"/>
      <c r="U1148" s="35"/>
      <c r="V1148" s="37"/>
      <c r="W1148" s="35"/>
      <c r="X1148" s="122"/>
      <c r="AE1148" s="3"/>
    </row>
    <row r="1149" spans="1:31">
      <c r="A1149" s="39"/>
      <c r="B1149" s="118"/>
      <c r="C1149" s="119"/>
      <c r="D1149" s="119"/>
      <c r="E1149" s="120"/>
      <c r="F1149" s="119"/>
      <c r="G1149" s="38"/>
      <c r="H1149" s="42"/>
      <c r="I1149" s="42"/>
      <c r="J1149" s="43"/>
      <c r="K1149" s="34"/>
      <c r="L1149" s="127"/>
      <c r="M1149" s="34"/>
      <c r="N1149" s="50"/>
      <c r="O1149" s="50"/>
      <c r="P1149" s="50"/>
      <c r="Q1149" s="121"/>
      <c r="R1149" s="121"/>
      <c r="S1149" s="121"/>
      <c r="T1149" s="34"/>
      <c r="U1149" s="35"/>
      <c r="V1149" s="37"/>
      <c r="W1149" s="35"/>
      <c r="X1149" s="122"/>
      <c r="AE1149" s="3"/>
    </row>
    <row r="1150" spans="1:31">
      <c r="A1150" s="39"/>
      <c r="B1150" s="118"/>
      <c r="C1150" s="119"/>
      <c r="D1150" s="119"/>
      <c r="E1150" s="120"/>
      <c r="F1150" s="119"/>
      <c r="G1150" s="38"/>
      <c r="H1150" s="42"/>
      <c r="I1150" s="42"/>
      <c r="J1150" s="43"/>
      <c r="K1150" s="34"/>
      <c r="L1150" s="127"/>
      <c r="M1150" s="34"/>
      <c r="N1150" s="50"/>
      <c r="O1150" s="50"/>
      <c r="P1150" s="50"/>
      <c r="Q1150" s="121"/>
      <c r="R1150" s="121"/>
      <c r="S1150" s="121"/>
      <c r="T1150" s="34"/>
      <c r="U1150" s="35"/>
      <c r="V1150" s="37"/>
      <c r="W1150" s="35"/>
      <c r="X1150" s="122"/>
      <c r="AE1150" s="3"/>
    </row>
    <row r="1151" spans="1:31">
      <c r="A1151" s="39"/>
      <c r="B1151" s="118"/>
      <c r="C1151" s="119"/>
      <c r="D1151" s="119"/>
      <c r="E1151" s="120"/>
      <c r="F1151" s="119"/>
      <c r="G1151" s="38"/>
      <c r="H1151" s="42"/>
      <c r="I1151" s="42"/>
      <c r="J1151" s="43"/>
      <c r="K1151" s="34"/>
      <c r="L1151" s="127"/>
      <c r="M1151" s="34"/>
      <c r="N1151" s="50"/>
      <c r="O1151" s="50"/>
      <c r="P1151" s="50"/>
      <c r="Q1151" s="121"/>
      <c r="R1151" s="121"/>
      <c r="S1151" s="121"/>
      <c r="T1151" s="34"/>
      <c r="U1151" s="35"/>
      <c r="V1151" s="37"/>
      <c r="W1151" s="35"/>
      <c r="X1151" s="122"/>
      <c r="AE1151" s="3"/>
    </row>
    <row r="1152" spans="1:31">
      <c r="A1152" s="39"/>
      <c r="B1152" s="118"/>
      <c r="C1152" s="119"/>
      <c r="D1152" s="119"/>
      <c r="E1152" s="120"/>
      <c r="F1152" s="119"/>
      <c r="G1152" s="38"/>
      <c r="H1152" s="42"/>
      <c r="I1152" s="42"/>
      <c r="J1152" s="43"/>
      <c r="K1152" s="34"/>
      <c r="L1152" s="127"/>
      <c r="M1152" s="34"/>
      <c r="N1152" s="50"/>
      <c r="O1152" s="50"/>
      <c r="P1152" s="50"/>
      <c r="Q1152" s="121"/>
      <c r="R1152" s="121"/>
      <c r="S1152" s="121"/>
      <c r="T1152" s="34"/>
      <c r="U1152" s="35"/>
      <c r="V1152" s="37"/>
      <c r="W1152" s="35"/>
      <c r="X1152" s="122"/>
      <c r="AE1152" s="3"/>
    </row>
    <row r="1153" spans="1:31">
      <c r="A1153" s="39"/>
      <c r="B1153" s="118"/>
      <c r="C1153" s="119"/>
      <c r="D1153" s="119"/>
      <c r="E1153" s="120"/>
      <c r="F1153" s="119"/>
      <c r="G1153" s="38"/>
      <c r="H1153" s="42"/>
      <c r="I1153" s="42"/>
      <c r="J1153" s="43"/>
      <c r="K1153" s="34"/>
      <c r="L1153" s="127"/>
      <c r="M1153" s="34"/>
      <c r="N1153" s="50"/>
      <c r="O1153" s="50"/>
      <c r="P1153" s="50"/>
      <c r="Q1153" s="121"/>
      <c r="R1153" s="121"/>
      <c r="S1153" s="121"/>
      <c r="T1153" s="34"/>
      <c r="U1153" s="35"/>
      <c r="V1153" s="37"/>
      <c r="W1153" s="35"/>
      <c r="X1153" s="122"/>
      <c r="AE1153" s="3"/>
    </row>
    <row r="1154" spans="1:31">
      <c r="A1154" s="39"/>
      <c r="B1154" s="118"/>
      <c r="C1154" s="119"/>
      <c r="D1154" s="119"/>
      <c r="E1154" s="120"/>
      <c r="F1154" s="119"/>
      <c r="G1154" s="38"/>
      <c r="H1154" s="42"/>
      <c r="I1154" s="42"/>
      <c r="J1154" s="43"/>
      <c r="K1154" s="34"/>
      <c r="L1154" s="127"/>
      <c r="M1154" s="34"/>
      <c r="N1154" s="50"/>
      <c r="O1154" s="50"/>
      <c r="P1154" s="50"/>
      <c r="Q1154" s="121"/>
      <c r="R1154" s="121"/>
      <c r="S1154" s="121"/>
      <c r="T1154" s="34"/>
      <c r="U1154" s="35"/>
      <c r="V1154" s="37"/>
      <c r="W1154" s="35"/>
      <c r="X1154" s="122"/>
      <c r="AE1154" s="3"/>
    </row>
    <row r="1155" spans="1:31">
      <c r="A1155" s="39"/>
      <c r="B1155" s="118"/>
      <c r="C1155" s="119"/>
      <c r="D1155" s="119"/>
      <c r="E1155" s="120"/>
      <c r="F1155" s="119"/>
      <c r="G1155" s="38"/>
      <c r="H1155" s="42"/>
      <c r="I1155" s="42"/>
      <c r="J1155" s="43"/>
      <c r="K1155" s="34"/>
      <c r="L1155" s="127"/>
      <c r="M1155" s="34"/>
      <c r="N1155" s="50"/>
      <c r="O1155" s="50"/>
      <c r="P1155" s="50"/>
      <c r="Q1155" s="121"/>
      <c r="R1155" s="121"/>
      <c r="S1155" s="121"/>
      <c r="T1155" s="34"/>
      <c r="U1155" s="35"/>
      <c r="V1155" s="37"/>
      <c r="W1155" s="35"/>
      <c r="X1155" s="122"/>
      <c r="AE1155" s="3"/>
    </row>
    <row r="1156" spans="1:31">
      <c r="A1156" s="39"/>
      <c r="B1156" s="118"/>
      <c r="C1156" s="119"/>
      <c r="D1156" s="119"/>
      <c r="E1156" s="120"/>
      <c r="F1156" s="119"/>
      <c r="G1156" s="38"/>
      <c r="H1156" s="42"/>
      <c r="I1156" s="42"/>
      <c r="J1156" s="43"/>
      <c r="K1156" s="34"/>
      <c r="L1156" s="127"/>
      <c r="M1156" s="34"/>
      <c r="N1156" s="50"/>
      <c r="O1156" s="50"/>
      <c r="P1156" s="50"/>
      <c r="Q1156" s="121"/>
      <c r="R1156" s="121"/>
      <c r="S1156" s="121"/>
      <c r="T1156" s="34"/>
      <c r="U1156" s="35"/>
      <c r="V1156" s="37"/>
      <c r="W1156" s="35"/>
      <c r="X1156" s="122"/>
      <c r="AE1156" s="3"/>
    </row>
    <row r="1157" spans="1:31">
      <c r="A1157" s="39"/>
      <c r="B1157" s="118"/>
      <c r="C1157" s="119"/>
      <c r="D1157" s="119"/>
      <c r="E1157" s="120"/>
      <c r="F1157" s="119"/>
      <c r="G1157" s="38"/>
      <c r="H1157" s="42"/>
      <c r="I1157" s="42"/>
      <c r="J1157" s="43"/>
      <c r="K1157" s="34"/>
      <c r="L1157" s="127"/>
      <c r="M1157" s="34"/>
      <c r="N1157" s="50"/>
      <c r="O1157" s="50"/>
      <c r="P1157" s="50"/>
      <c r="Q1157" s="121"/>
      <c r="R1157" s="121"/>
      <c r="S1157" s="121"/>
      <c r="T1157" s="34"/>
      <c r="U1157" s="35"/>
      <c r="V1157" s="37"/>
      <c r="W1157" s="35"/>
      <c r="X1157" s="122"/>
      <c r="AE1157" s="3"/>
    </row>
    <row r="1158" spans="1:31">
      <c r="A1158" s="39"/>
      <c r="B1158" s="118"/>
      <c r="C1158" s="119"/>
      <c r="D1158" s="119"/>
      <c r="E1158" s="120"/>
      <c r="F1158" s="119"/>
      <c r="G1158" s="38"/>
      <c r="H1158" s="42"/>
      <c r="I1158" s="42"/>
      <c r="J1158" s="43"/>
      <c r="K1158" s="34"/>
      <c r="L1158" s="127"/>
      <c r="M1158" s="34"/>
      <c r="N1158" s="50"/>
      <c r="O1158" s="50"/>
      <c r="P1158" s="50"/>
      <c r="Q1158" s="121"/>
      <c r="R1158" s="121"/>
      <c r="S1158" s="121"/>
      <c r="T1158" s="34"/>
      <c r="U1158" s="35"/>
      <c r="V1158" s="37"/>
      <c r="W1158" s="35"/>
      <c r="X1158" s="122"/>
      <c r="AE1158" s="3"/>
    </row>
    <row r="1159" spans="1:31">
      <c r="A1159" s="39"/>
      <c r="B1159" s="118"/>
      <c r="C1159" s="119"/>
      <c r="D1159" s="119"/>
      <c r="E1159" s="120"/>
      <c r="F1159" s="119"/>
      <c r="G1159" s="38"/>
      <c r="H1159" s="42"/>
      <c r="I1159" s="42"/>
      <c r="J1159" s="43"/>
      <c r="K1159" s="34"/>
      <c r="L1159" s="127"/>
      <c r="M1159" s="34"/>
      <c r="N1159" s="50"/>
      <c r="O1159" s="50"/>
      <c r="P1159" s="50"/>
      <c r="Q1159" s="121"/>
      <c r="R1159" s="121"/>
      <c r="S1159" s="121"/>
      <c r="T1159" s="34"/>
      <c r="U1159" s="35"/>
      <c r="V1159" s="37"/>
      <c r="W1159" s="35"/>
      <c r="X1159" s="122"/>
      <c r="AE1159" s="3"/>
    </row>
    <row r="1160" spans="1:31">
      <c r="A1160" s="39"/>
      <c r="B1160" s="118"/>
      <c r="C1160" s="119"/>
      <c r="D1160" s="119"/>
      <c r="E1160" s="120"/>
      <c r="F1160" s="119"/>
      <c r="G1160" s="38"/>
      <c r="H1160" s="42"/>
      <c r="I1160" s="42"/>
      <c r="J1160" s="43"/>
      <c r="K1160" s="34"/>
      <c r="L1160" s="127"/>
      <c r="M1160" s="34"/>
      <c r="N1160" s="50"/>
      <c r="O1160" s="50"/>
      <c r="P1160" s="50"/>
      <c r="Q1160" s="121"/>
      <c r="R1160" s="121"/>
      <c r="S1160" s="121"/>
      <c r="T1160" s="34"/>
      <c r="U1160" s="35"/>
      <c r="V1160" s="37"/>
      <c r="W1160" s="35"/>
      <c r="X1160" s="122"/>
      <c r="AE1160" s="3"/>
    </row>
    <row r="1161" spans="1:31">
      <c r="A1161" s="39"/>
      <c r="B1161" s="118"/>
      <c r="C1161" s="119"/>
      <c r="D1161" s="119"/>
      <c r="E1161" s="120"/>
      <c r="F1161" s="119"/>
      <c r="G1161" s="38"/>
      <c r="H1161" s="42"/>
      <c r="I1161" s="42"/>
      <c r="J1161" s="43"/>
      <c r="K1161" s="34"/>
      <c r="L1161" s="127"/>
      <c r="M1161" s="34"/>
      <c r="N1161" s="50"/>
      <c r="O1161" s="50"/>
      <c r="P1161" s="50"/>
      <c r="Q1161" s="121"/>
      <c r="R1161" s="121"/>
      <c r="S1161" s="121"/>
      <c r="T1161" s="34"/>
      <c r="U1161" s="35"/>
      <c r="V1161" s="37"/>
      <c r="W1161" s="35"/>
      <c r="X1161" s="122"/>
      <c r="AE1161" s="3"/>
    </row>
    <row r="1162" spans="1:31">
      <c r="A1162" s="39"/>
      <c r="B1162" s="118"/>
      <c r="C1162" s="119"/>
      <c r="D1162" s="119"/>
      <c r="E1162" s="120"/>
      <c r="F1162" s="119"/>
      <c r="G1162" s="38"/>
      <c r="H1162" s="42"/>
      <c r="I1162" s="42"/>
      <c r="J1162" s="43"/>
      <c r="K1162" s="34"/>
      <c r="L1162" s="127"/>
      <c r="M1162" s="34"/>
      <c r="N1162" s="50"/>
      <c r="O1162" s="50"/>
      <c r="P1162" s="50"/>
      <c r="Q1162" s="121"/>
      <c r="R1162" s="121"/>
      <c r="S1162" s="121"/>
      <c r="T1162" s="34"/>
      <c r="U1162" s="35"/>
      <c r="V1162" s="37"/>
      <c r="W1162" s="35"/>
      <c r="X1162" s="122"/>
      <c r="AE1162" s="3"/>
    </row>
    <row r="1163" spans="1:31">
      <c r="A1163" s="39"/>
      <c r="B1163" s="118"/>
      <c r="C1163" s="119"/>
      <c r="D1163" s="119"/>
      <c r="E1163" s="120"/>
      <c r="F1163" s="119"/>
      <c r="G1163" s="38"/>
      <c r="H1163" s="42"/>
      <c r="I1163" s="42"/>
      <c r="J1163" s="43"/>
      <c r="K1163" s="34"/>
      <c r="L1163" s="127"/>
      <c r="M1163" s="34"/>
      <c r="N1163" s="50"/>
      <c r="O1163" s="50"/>
      <c r="P1163" s="50"/>
      <c r="Q1163" s="121"/>
      <c r="R1163" s="121"/>
      <c r="S1163" s="121"/>
      <c r="T1163" s="34"/>
      <c r="U1163" s="35"/>
      <c r="V1163" s="37"/>
      <c r="W1163" s="35"/>
      <c r="X1163" s="122"/>
      <c r="AE1163" s="3"/>
    </row>
    <row r="1164" spans="1:31">
      <c r="A1164" s="39"/>
      <c r="B1164" s="118"/>
      <c r="C1164" s="119"/>
      <c r="D1164" s="119"/>
      <c r="E1164" s="120"/>
      <c r="F1164" s="119"/>
      <c r="G1164" s="38"/>
      <c r="H1164" s="42"/>
      <c r="I1164" s="42"/>
      <c r="J1164" s="43"/>
      <c r="K1164" s="34"/>
      <c r="L1164" s="127"/>
      <c r="M1164" s="34"/>
      <c r="N1164" s="50"/>
      <c r="O1164" s="50"/>
      <c r="P1164" s="50"/>
      <c r="Q1164" s="121"/>
      <c r="R1164" s="121"/>
      <c r="S1164" s="121"/>
      <c r="T1164" s="34"/>
      <c r="U1164" s="35"/>
      <c r="V1164" s="37"/>
      <c r="W1164" s="35"/>
      <c r="X1164" s="122"/>
      <c r="AE1164" s="3"/>
    </row>
    <row r="1165" spans="1:31">
      <c r="A1165" s="39"/>
      <c r="B1165" s="118"/>
      <c r="C1165" s="119"/>
      <c r="D1165" s="119"/>
      <c r="E1165" s="120"/>
      <c r="F1165" s="119"/>
      <c r="G1165" s="38"/>
      <c r="H1165" s="42"/>
      <c r="I1165" s="42"/>
      <c r="J1165" s="43"/>
      <c r="K1165" s="34"/>
      <c r="L1165" s="127"/>
      <c r="M1165" s="34"/>
      <c r="N1165" s="50"/>
      <c r="O1165" s="50"/>
      <c r="P1165" s="50"/>
      <c r="Q1165" s="121"/>
      <c r="R1165" s="121"/>
      <c r="S1165" s="121"/>
      <c r="T1165" s="34"/>
      <c r="U1165" s="35"/>
      <c r="V1165" s="37"/>
      <c r="W1165" s="35"/>
      <c r="X1165" s="122"/>
      <c r="AE1165" s="3"/>
    </row>
    <row r="1166" spans="1:31">
      <c r="A1166" s="39"/>
      <c r="B1166" s="118"/>
      <c r="C1166" s="119"/>
      <c r="D1166" s="119"/>
      <c r="E1166" s="120"/>
      <c r="F1166" s="119"/>
      <c r="G1166" s="38"/>
      <c r="H1166" s="42"/>
      <c r="I1166" s="42"/>
      <c r="J1166" s="43"/>
      <c r="K1166" s="34"/>
      <c r="L1166" s="127"/>
      <c r="M1166" s="34"/>
      <c r="N1166" s="50"/>
      <c r="O1166" s="50"/>
      <c r="P1166" s="50"/>
      <c r="Q1166" s="121"/>
      <c r="R1166" s="121"/>
      <c r="S1166" s="121"/>
      <c r="T1166" s="34"/>
      <c r="U1166" s="35"/>
      <c r="V1166" s="37"/>
      <c r="W1166" s="35"/>
      <c r="X1166" s="122"/>
      <c r="AE1166" s="3"/>
    </row>
    <row r="1167" spans="1:31">
      <c r="A1167" s="39"/>
      <c r="B1167" s="118"/>
      <c r="C1167" s="119"/>
      <c r="D1167" s="119"/>
      <c r="E1167" s="120"/>
      <c r="F1167" s="119"/>
      <c r="G1167" s="38"/>
      <c r="H1167" s="42"/>
      <c r="I1167" s="42"/>
      <c r="J1167" s="43"/>
      <c r="K1167" s="34"/>
      <c r="L1167" s="127"/>
      <c r="M1167" s="34"/>
      <c r="N1167" s="50"/>
      <c r="O1167" s="50"/>
      <c r="P1167" s="50"/>
      <c r="Q1167" s="121"/>
      <c r="R1167" s="121"/>
      <c r="S1167" s="121"/>
      <c r="T1167" s="34"/>
      <c r="U1167" s="35"/>
      <c r="V1167" s="37"/>
      <c r="W1167" s="35"/>
      <c r="X1167" s="122"/>
      <c r="AE1167" s="3"/>
    </row>
    <row r="1168" spans="1:31">
      <c r="A1168" s="39"/>
      <c r="B1168" s="118"/>
      <c r="C1168" s="119"/>
      <c r="D1168" s="119"/>
      <c r="E1168" s="120"/>
      <c r="F1168" s="119"/>
      <c r="G1168" s="38"/>
      <c r="H1168" s="42"/>
      <c r="I1168" s="42"/>
      <c r="J1168" s="43"/>
      <c r="K1168" s="34"/>
      <c r="L1168" s="127"/>
      <c r="M1168" s="34"/>
      <c r="N1168" s="50"/>
      <c r="O1168" s="50"/>
      <c r="P1168" s="50"/>
      <c r="Q1168" s="121"/>
      <c r="R1168" s="121"/>
      <c r="S1168" s="121"/>
      <c r="T1168" s="34"/>
      <c r="U1168" s="35"/>
      <c r="V1168" s="37"/>
      <c r="W1168" s="35"/>
      <c r="X1168" s="122"/>
      <c r="AE1168" s="3"/>
    </row>
    <row r="1169" spans="1:31">
      <c r="A1169" s="39"/>
      <c r="B1169" s="118"/>
      <c r="C1169" s="119"/>
      <c r="D1169" s="119"/>
      <c r="E1169" s="120"/>
      <c r="F1169" s="119"/>
      <c r="G1169" s="38"/>
      <c r="H1169" s="42"/>
      <c r="I1169" s="42"/>
      <c r="J1169" s="43"/>
      <c r="K1169" s="34"/>
      <c r="L1169" s="127"/>
      <c r="M1169" s="34"/>
      <c r="N1169" s="50"/>
      <c r="O1169" s="50"/>
      <c r="P1169" s="50"/>
      <c r="Q1169" s="121"/>
      <c r="R1169" s="121"/>
      <c r="S1169" s="121"/>
      <c r="T1169" s="34"/>
      <c r="U1169" s="35"/>
      <c r="V1169" s="37"/>
      <c r="W1169" s="35"/>
      <c r="X1169" s="122"/>
      <c r="AE1169" s="3"/>
    </row>
    <row r="1170" spans="1:31">
      <c r="A1170" s="39"/>
      <c r="B1170" s="118"/>
      <c r="C1170" s="119"/>
      <c r="D1170" s="119"/>
      <c r="E1170" s="120"/>
      <c r="F1170" s="119"/>
      <c r="G1170" s="38"/>
      <c r="H1170" s="42"/>
      <c r="I1170" s="42"/>
      <c r="J1170" s="43"/>
      <c r="K1170" s="34"/>
      <c r="L1170" s="127"/>
      <c r="M1170" s="34"/>
      <c r="N1170" s="50"/>
      <c r="O1170" s="50"/>
      <c r="P1170" s="50"/>
      <c r="Q1170" s="121"/>
      <c r="R1170" s="121"/>
      <c r="S1170" s="121"/>
      <c r="T1170" s="34"/>
      <c r="U1170" s="35"/>
      <c r="V1170" s="37"/>
      <c r="W1170" s="35"/>
      <c r="X1170" s="122"/>
      <c r="AE1170" s="3"/>
    </row>
    <row r="1171" spans="1:31">
      <c r="A1171" s="39"/>
      <c r="B1171" s="118"/>
      <c r="C1171" s="119"/>
      <c r="D1171" s="119"/>
      <c r="E1171" s="120"/>
      <c r="F1171" s="119"/>
      <c r="G1171" s="38"/>
      <c r="H1171" s="42"/>
      <c r="I1171" s="42"/>
      <c r="J1171" s="43"/>
      <c r="K1171" s="34"/>
      <c r="L1171" s="127"/>
      <c r="M1171" s="34"/>
      <c r="N1171" s="50"/>
      <c r="O1171" s="50"/>
      <c r="P1171" s="50"/>
      <c r="Q1171" s="121"/>
      <c r="R1171" s="121"/>
      <c r="S1171" s="121"/>
      <c r="T1171" s="34"/>
      <c r="U1171" s="35"/>
      <c r="V1171" s="37"/>
      <c r="W1171" s="35"/>
      <c r="X1171" s="122"/>
      <c r="AE1171" s="3"/>
    </row>
    <row r="1172" spans="1:31">
      <c r="A1172" s="39"/>
      <c r="B1172" s="118"/>
      <c r="C1172" s="119"/>
      <c r="D1172" s="119"/>
      <c r="E1172" s="120"/>
      <c r="F1172" s="119"/>
      <c r="G1172" s="38"/>
      <c r="H1172" s="42"/>
      <c r="I1172" s="42"/>
      <c r="J1172" s="43"/>
      <c r="K1172" s="34"/>
      <c r="L1172" s="127"/>
      <c r="M1172" s="34"/>
      <c r="N1172" s="50"/>
      <c r="O1172" s="50"/>
      <c r="P1172" s="50"/>
      <c r="Q1172" s="121"/>
      <c r="R1172" s="121"/>
      <c r="S1172" s="121"/>
      <c r="T1172" s="34"/>
      <c r="U1172" s="35"/>
      <c r="V1172" s="37"/>
      <c r="W1172" s="35"/>
      <c r="X1172" s="122"/>
      <c r="AE1172" s="3"/>
    </row>
    <row r="1173" spans="1:31">
      <c r="A1173" s="39"/>
      <c r="B1173" s="118"/>
      <c r="C1173" s="119"/>
      <c r="D1173" s="119"/>
      <c r="E1173" s="120"/>
      <c r="F1173" s="119"/>
      <c r="G1173" s="38"/>
      <c r="H1173" s="42"/>
      <c r="I1173" s="42"/>
      <c r="J1173" s="43"/>
      <c r="K1173" s="34"/>
      <c r="L1173" s="127"/>
      <c r="M1173" s="34"/>
      <c r="N1173" s="50"/>
      <c r="O1173" s="50"/>
      <c r="P1173" s="50"/>
      <c r="Q1173" s="121"/>
      <c r="R1173" s="121"/>
      <c r="S1173" s="121"/>
      <c r="T1173" s="34"/>
      <c r="U1173" s="35"/>
      <c r="V1173" s="37"/>
      <c r="W1173" s="35"/>
      <c r="X1173" s="122"/>
      <c r="AE1173" s="3"/>
    </row>
    <row r="1174" spans="1:31">
      <c r="A1174" s="39"/>
      <c r="B1174" s="118"/>
      <c r="C1174" s="119"/>
      <c r="D1174" s="119"/>
      <c r="E1174" s="120"/>
      <c r="F1174" s="119"/>
      <c r="G1174" s="38"/>
      <c r="H1174" s="42"/>
      <c r="I1174" s="42"/>
      <c r="J1174" s="43"/>
      <c r="K1174" s="34"/>
      <c r="L1174" s="127"/>
      <c r="M1174" s="34"/>
      <c r="N1174" s="50"/>
      <c r="O1174" s="50"/>
      <c r="P1174" s="50"/>
      <c r="Q1174" s="121"/>
      <c r="R1174" s="121"/>
      <c r="S1174" s="121"/>
      <c r="T1174" s="34"/>
      <c r="U1174" s="35"/>
      <c r="V1174" s="37"/>
      <c r="W1174" s="35"/>
      <c r="X1174" s="122"/>
      <c r="AE1174" s="3"/>
    </row>
    <row r="1175" spans="1:31">
      <c r="A1175" s="39"/>
      <c r="B1175" s="118"/>
      <c r="C1175" s="119"/>
      <c r="D1175" s="119"/>
      <c r="E1175" s="120"/>
      <c r="F1175" s="119"/>
      <c r="G1175" s="38"/>
      <c r="H1175" s="42"/>
      <c r="I1175" s="42"/>
      <c r="J1175" s="43"/>
      <c r="K1175" s="34"/>
      <c r="L1175" s="127"/>
      <c r="M1175" s="34"/>
      <c r="N1175" s="50"/>
      <c r="O1175" s="50"/>
      <c r="P1175" s="50"/>
      <c r="Q1175" s="121"/>
      <c r="R1175" s="121"/>
      <c r="S1175" s="121"/>
      <c r="T1175" s="34"/>
      <c r="U1175" s="35"/>
      <c r="V1175" s="37"/>
      <c r="W1175" s="35"/>
      <c r="X1175" s="122"/>
      <c r="AE1175" s="3"/>
    </row>
    <row r="1176" spans="1:31">
      <c r="A1176" s="39"/>
      <c r="B1176" s="118"/>
      <c r="C1176" s="119"/>
      <c r="D1176" s="119"/>
      <c r="E1176" s="120"/>
      <c r="F1176" s="119"/>
      <c r="G1176" s="38"/>
      <c r="H1176" s="42"/>
      <c r="I1176" s="42"/>
      <c r="J1176" s="43"/>
      <c r="K1176" s="34"/>
      <c r="L1176" s="127"/>
      <c r="M1176" s="34"/>
      <c r="N1176" s="50"/>
      <c r="O1176" s="50"/>
      <c r="P1176" s="50"/>
      <c r="Q1176" s="121"/>
      <c r="R1176" s="121"/>
      <c r="S1176" s="121"/>
      <c r="T1176" s="34"/>
      <c r="U1176" s="35"/>
      <c r="V1176" s="37"/>
      <c r="W1176" s="35"/>
      <c r="X1176" s="122"/>
      <c r="AE1176" s="3"/>
    </row>
    <row r="1177" spans="1:31">
      <c r="A1177" s="39"/>
      <c r="B1177" s="118"/>
      <c r="C1177" s="119"/>
      <c r="D1177" s="119"/>
      <c r="E1177" s="120"/>
      <c r="F1177" s="119"/>
      <c r="G1177" s="38"/>
      <c r="H1177" s="42"/>
      <c r="I1177" s="42"/>
      <c r="J1177" s="43"/>
      <c r="K1177" s="34"/>
      <c r="L1177" s="127"/>
      <c r="M1177" s="34"/>
      <c r="N1177" s="50"/>
      <c r="O1177" s="50"/>
      <c r="P1177" s="50"/>
      <c r="Q1177" s="121"/>
      <c r="R1177" s="121"/>
      <c r="S1177" s="121"/>
      <c r="T1177" s="34"/>
      <c r="U1177" s="35"/>
      <c r="V1177" s="37"/>
      <c r="W1177" s="35"/>
      <c r="X1177" s="122"/>
      <c r="AE1177" s="3"/>
    </row>
    <row r="1178" spans="1:31">
      <c r="A1178" s="39"/>
      <c r="B1178" s="118"/>
      <c r="C1178" s="119"/>
      <c r="D1178" s="119"/>
      <c r="E1178" s="120"/>
      <c r="F1178" s="119"/>
      <c r="G1178" s="38"/>
      <c r="H1178" s="42"/>
      <c r="I1178" s="42"/>
      <c r="J1178" s="43"/>
      <c r="K1178" s="34"/>
      <c r="L1178" s="127"/>
      <c r="M1178" s="34"/>
      <c r="N1178" s="50"/>
      <c r="O1178" s="50"/>
      <c r="P1178" s="50"/>
      <c r="Q1178" s="121"/>
      <c r="R1178" s="121"/>
      <c r="S1178" s="121"/>
      <c r="T1178" s="34"/>
      <c r="U1178" s="35"/>
      <c r="V1178" s="37"/>
      <c r="W1178" s="35"/>
      <c r="X1178" s="122"/>
      <c r="AE1178" s="3"/>
    </row>
    <row r="1179" spans="1:31">
      <c r="A1179" s="39"/>
      <c r="B1179" s="118"/>
      <c r="C1179" s="119"/>
      <c r="D1179" s="119"/>
      <c r="E1179" s="120"/>
      <c r="F1179" s="119"/>
      <c r="G1179" s="38"/>
      <c r="H1179" s="42"/>
      <c r="I1179" s="42"/>
      <c r="J1179" s="43"/>
      <c r="K1179" s="34"/>
      <c r="L1179" s="127"/>
      <c r="M1179" s="34"/>
      <c r="N1179" s="50"/>
      <c r="O1179" s="50"/>
      <c r="P1179" s="50"/>
      <c r="Q1179" s="121"/>
      <c r="R1179" s="121"/>
      <c r="S1179" s="121"/>
      <c r="T1179" s="34"/>
      <c r="U1179" s="35"/>
      <c r="V1179" s="37"/>
      <c r="W1179" s="35"/>
      <c r="X1179" s="122"/>
      <c r="AE1179" s="3"/>
    </row>
    <row r="1180" spans="1:31">
      <c r="A1180" s="39"/>
      <c r="B1180" s="118"/>
      <c r="C1180" s="119"/>
      <c r="D1180" s="119"/>
      <c r="E1180" s="120"/>
      <c r="F1180" s="119"/>
      <c r="G1180" s="38"/>
      <c r="H1180" s="42"/>
      <c r="I1180" s="42"/>
      <c r="J1180" s="43"/>
      <c r="K1180" s="34"/>
      <c r="L1180" s="127"/>
      <c r="M1180" s="34"/>
      <c r="N1180" s="50"/>
      <c r="O1180" s="50"/>
      <c r="P1180" s="50"/>
      <c r="Q1180" s="121"/>
      <c r="R1180" s="121"/>
      <c r="S1180" s="121"/>
      <c r="T1180" s="34"/>
      <c r="U1180" s="35"/>
      <c r="V1180" s="37"/>
      <c r="W1180" s="35"/>
      <c r="X1180" s="122"/>
      <c r="AE1180" s="3"/>
    </row>
    <row r="1181" spans="1:31">
      <c r="A1181" s="39"/>
      <c r="B1181" s="118"/>
      <c r="C1181" s="119"/>
      <c r="D1181" s="119"/>
      <c r="E1181" s="120"/>
      <c r="F1181" s="119"/>
      <c r="G1181" s="38"/>
      <c r="H1181" s="42"/>
      <c r="I1181" s="42"/>
      <c r="J1181" s="43"/>
      <c r="K1181" s="34"/>
      <c r="L1181" s="127"/>
      <c r="M1181" s="34"/>
      <c r="N1181" s="50"/>
      <c r="O1181" s="50"/>
      <c r="P1181" s="50"/>
      <c r="Q1181" s="121"/>
      <c r="R1181" s="121"/>
      <c r="S1181" s="121"/>
      <c r="T1181" s="34"/>
      <c r="U1181" s="35"/>
      <c r="V1181" s="37"/>
      <c r="W1181" s="35"/>
      <c r="X1181" s="122"/>
      <c r="AE1181" s="3"/>
    </row>
    <row r="1182" spans="1:31">
      <c r="A1182" s="39"/>
      <c r="B1182" s="118"/>
      <c r="C1182" s="119"/>
      <c r="D1182" s="119"/>
      <c r="E1182" s="120"/>
      <c r="F1182" s="119"/>
      <c r="G1182" s="38"/>
      <c r="H1182" s="42"/>
      <c r="I1182" s="42"/>
      <c r="J1182" s="43"/>
      <c r="K1182" s="34"/>
      <c r="L1182" s="127"/>
      <c r="M1182" s="34"/>
      <c r="N1182" s="50"/>
      <c r="O1182" s="50"/>
      <c r="P1182" s="50"/>
      <c r="Q1182" s="121"/>
      <c r="R1182" s="121"/>
      <c r="S1182" s="121"/>
      <c r="T1182" s="34"/>
      <c r="U1182" s="35"/>
      <c r="V1182" s="37"/>
      <c r="W1182" s="35"/>
      <c r="X1182" s="122"/>
      <c r="AE1182" s="3"/>
    </row>
    <row r="1183" spans="1:31">
      <c r="A1183" s="39"/>
      <c r="B1183" s="118"/>
      <c r="C1183" s="119"/>
      <c r="D1183" s="119"/>
      <c r="E1183" s="120"/>
      <c r="F1183" s="119"/>
      <c r="G1183" s="38"/>
      <c r="H1183" s="42"/>
      <c r="I1183" s="42"/>
      <c r="J1183" s="43"/>
      <c r="K1183" s="34"/>
      <c r="L1183" s="127"/>
      <c r="M1183" s="34"/>
      <c r="N1183" s="50"/>
      <c r="O1183" s="50"/>
      <c r="P1183" s="50"/>
      <c r="Q1183" s="121"/>
      <c r="R1183" s="121"/>
      <c r="S1183" s="121"/>
      <c r="T1183" s="34"/>
      <c r="U1183" s="35"/>
      <c r="V1183" s="37"/>
      <c r="W1183" s="35"/>
      <c r="X1183" s="122"/>
      <c r="AE1183" s="3"/>
    </row>
    <row r="1184" spans="1:31">
      <c r="A1184" s="39"/>
      <c r="B1184" s="118"/>
      <c r="C1184" s="119"/>
      <c r="D1184" s="119"/>
      <c r="E1184" s="120"/>
      <c r="F1184" s="119"/>
      <c r="G1184" s="38"/>
      <c r="H1184" s="42"/>
      <c r="I1184" s="42"/>
      <c r="J1184" s="43"/>
      <c r="K1184" s="34"/>
      <c r="L1184" s="127"/>
      <c r="M1184" s="34"/>
      <c r="N1184" s="50"/>
      <c r="O1184" s="50"/>
      <c r="P1184" s="50"/>
      <c r="Q1184" s="121"/>
      <c r="R1184" s="121"/>
      <c r="S1184" s="121"/>
      <c r="T1184" s="34"/>
      <c r="U1184" s="35"/>
      <c r="V1184" s="37"/>
      <c r="W1184" s="35"/>
      <c r="X1184" s="122"/>
      <c r="AE1184" s="3"/>
    </row>
    <row r="1185" spans="1:31">
      <c r="A1185" s="39"/>
      <c r="B1185" s="118"/>
      <c r="C1185" s="119"/>
      <c r="D1185" s="119"/>
      <c r="E1185" s="120"/>
      <c r="F1185" s="119"/>
      <c r="G1185" s="38"/>
      <c r="H1185" s="42"/>
      <c r="I1185" s="42"/>
      <c r="J1185" s="43"/>
      <c r="K1185" s="34"/>
      <c r="L1185" s="127"/>
      <c r="M1185" s="34"/>
      <c r="N1185" s="50"/>
      <c r="O1185" s="50"/>
      <c r="P1185" s="50"/>
      <c r="Q1185" s="121"/>
      <c r="R1185" s="121"/>
      <c r="S1185" s="121"/>
      <c r="T1185" s="34"/>
      <c r="U1185" s="35"/>
      <c r="V1185" s="37"/>
      <c r="W1185" s="35"/>
      <c r="X1185" s="122"/>
      <c r="AE1185" s="3"/>
    </row>
    <row r="1186" spans="1:31">
      <c r="A1186" s="39"/>
      <c r="B1186" s="118"/>
      <c r="C1186" s="119"/>
      <c r="D1186" s="119"/>
      <c r="E1186" s="120"/>
      <c r="F1186" s="119"/>
      <c r="G1186" s="38"/>
      <c r="H1186" s="42"/>
      <c r="I1186" s="42"/>
      <c r="J1186" s="43"/>
      <c r="K1186" s="34"/>
      <c r="L1186" s="127"/>
      <c r="M1186" s="34"/>
      <c r="N1186" s="50"/>
      <c r="O1186" s="50"/>
      <c r="P1186" s="50"/>
      <c r="Q1186" s="121"/>
      <c r="R1186" s="121"/>
      <c r="S1186" s="121"/>
      <c r="T1186" s="34"/>
      <c r="U1186" s="35"/>
      <c r="V1186" s="37"/>
      <c r="W1186" s="35"/>
      <c r="X1186" s="122"/>
      <c r="AE1186" s="3"/>
    </row>
    <row r="1187" spans="1:31">
      <c r="A1187" s="39"/>
      <c r="B1187" s="118"/>
      <c r="C1187" s="119"/>
      <c r="D1187" s="119"/>
      <c r="E1187" s="120"/>
      <c r="F1187" s="119"/>
      <c r="G1187" s="38"/>
      <c r="H1187" s="42"/>
      <c r="I1187" s="42"/>
      <c r="J1187" s="43"/>
      <c r="K1187" s="34"/>
      <c r="L1187" s="127"/>
      <c r="M1187" s="34"/>
      <c r="N1187" s="50"/>
      <c r="O1187" s="50"/>
      <c r="P1187" s="50"/>
      <c r="Q1187" s="121"/>
      <c r="R1187" s="121"/>
      <c r="S1187" s="121"/>
      <c r="T1187" s="34"/>
      <c r="U1187" s="35"/>
      <c r="V1187" s="37"/>
      <c r="W1187" s="35"/>
      <c r="X1187" s="122"/>
      <c r="AE1187" s="3"/>
    </row>
    <row r="1188" spans="1:31">
      <c r="A1188" s="39"/>
      <c r="B1188" s="118"/>
      <c r="C1188" s="119"/>
      <c r="D1188" s="119"/>
      <c r="E1188" s="120"/>
      <c r="F1188" s="119"/>
      <c r="G1188" s="38"/>
      <c r="H1188" s="42"/>
      <c r="I1188" s="42"/>
      <c r="J1188" s="43"/>
      <c r="K1188" s="34"/>
      <c r="L1188" s="127"/>
      <c r="M1188" s="34"/>
      <c r="N1188" s="50"/>
      <c r="O1188" s="50"/>
      <c r="P1188" s="50"/>
      <c r="Q1188" s="121"/>
      <c r="R1188" s="121"/>
      <c r="S1188" s="121"/>
      <c r="T1188" s="34"/>
      <c r="U1188" s="35"/>
      <c r="V1188" s="37"/>
      <c r="W1188" s="35"/>
      <c r="X1188" s="122"/>
      <c r="AE1188" s="3"/>
    </row>
    <row r="1189" spans="1:31">
      <c r="A1189" s="39"/>
      <c r="B1189" s="118"/>
      <c r="C1189" s="119"/>
      <c r="D1189" s="119"/>
      <c r="E1189" s="120"/>
      <c r="F1189" s="119"/>
      <c r="G1189" s="38"/>
      <c r="H1189" s="42"/>
      <c r="I1189" s="42"/>
      <c r="J1189" s="43"/>
      <c r="K1189" s="34"/>
      <c r="L1189" s="127"/>
      <c r="M1189" s="34"/>
      <c r="N1189" s="50"/>
      <c r="O1189" s="50"/>
      <c r="P1189" s="50"/>
      <c r="Q1189" s="121"/>
      <c r="R1189" s="121"/>
      <c r="S1189" s="121"/>
      <c r="T1189" s="34"/>
      <c r="U1189" s="35"/>
      <c r="V1189" s="37"/>
      <c r="W1189" s="35"/>
      <c r="X1189" s="122"/>
      <c r="AE1189" s="3"/>
    </row>
    <row r="1190" spans="1:31">
      <c r="A1190" s="39"/>
      <c r="B1190" s="118"/>
      <c r="C1190" s="119"/>
      <c r="D1190" s="119"/>
      <c r="E1190" s="120"/>
      <c r="F1190" s="119"/>
      <c r="G1190" s="38"/>
      <c r="H1190" s="42"/>
      <c r="I1190" s="42"/>
      <c r="J1190" s="43"/>
      <c r="K1190" s="34"/>
      <c r="L1190" s="127"/>
      <c r="M1190" s="34"/>
      <c r="N1190" s="50"/>
      <c r="O1190" s="50"/>
      <c r="P1190" s="50"/>
      <c r="Q1190" s="121"/>
      <c r="R1190" s="121"/>
      <c r="S1190" s="121"/>
      <c r="T1190" s="34"/>
      <c r="U1190" s="35"/>
      <c r="V1190" s="37"/>
      <c r="W1190" s="35"/>
      <c r="X1190" s="122"/>
      <c r="AE1190" s="3"/>
    </row>
    <row r="1191" spans="1:31">
      <c r="A1191" s="39"/>
      <c r="B1191" s="118"/>
      <c r="C1191" s="119"/>
      <c r="D1191" s="119"/>
      <c r="E1191" s="120"/>
      <c r="F1191" s="119"/>
      <c r="G1191" s="38"/>
      <c r="H1191" s="42"/>
      <c r="I1191" s="42"/>
      <c r="J1191" s="43"/>
      <c r="K1191" s="34"/>
      <c r="L1191" s="127"/>
      <c r="M1191" s="34"/>
      <c r="N1191" s="50"/>
      <c r="O1191" s="50"/>
      <c r="P1191" s="50"/>
      <c r="Q1191" s="121"/>
      <c r="R1191" s="121"/>
      <c r="S1191" s="121"/>
      <c r="T1191" s="34"/>
      <c r="U1191" s="35"/>
      <c r="V1191" s="37"/>
      <c r="W1191" s="35"/>
      <c r="X1191" s="122"/>
      <c r="AE1191" s="3"/>
    </row>
    <row r="1192" spans="1:31">
      <c r="A1192" s="39"/>
      <c r="B1192" s="118"/>
      <c r="C1192" s="119"/>
      <c r="D1192" s="119"/>
      <c r="E1192" s="120"/>
      <c r="F1192" s="119"/>
      <c r="G1192" s="38"/>
      <c r="H1192" s="42"/>
      <c r="I1192" s="42"/>
      <c r="J1192" s="43"/>
      <c r="K1192" s="34"/>
      <c r="L1192" s="127"/>
      <c r="M1192" s="34"/>
      <c r="N1192" s="50"/>
      <c r="O1192" s="50"/>
      <c r="P1192" s="50"/>
      <c r="Q1192" s="121"/>
      <c r="R1192" s="121"/>
      <c r="S1192" s="121"/>
      <c r="T1192" s="34"/>
      <c r="U1192" s="35"/>
      <c r="V1192" s="37"/>
      <c r="W1192" s="35"/>
      <c r="X1192" s="122"/>
      <c r="AE1192" s="3"/>
    </row>
    <row r="1193" spans="1:31">
      <c r="A1193" s="39"/>
      <c r="B1193" s="118"/>
      <c r="C1193" s="119"/>
      <c r="D1193" s="119"/>
      <c r="E1193" s="120"/>
      <c r="F1193" s="119"/>
      <c r="G1193" s="38"/>
      <c r="H1193" s="42"/>
      <c r="I1193" s="42"/>
      <c r="J1193" s="43"/>
      <c r="K1193" s="34"/>
      <c r="L1193" s="127"/>
      <c r="M1193" s="34"/>
      <c r="N1193" s="50"/>
      <c r="O1193" s="50"/>
      <c r="P1193" s="50"/>
      <c r="Q1193" s="121"/>
      <c r="R1193" s="121"/>
      <c r="S1193" s="121"/>
      <c r="T1193" s="34"/>
      <c r="U1193" s="35"/>
      <c r="V1193" s="37"/>
      <c r="W1193" s="35"/>
      <c r="X1193" s="122"/>
      <c r="AE1193" s="3"/>
    </row>
    <row r="1194" spans="1:31">
      <c r="A1194" s="39"/>
      <c r="B1194" s="118"/>
      <c r="C1194" s="119"/>
      <c r="D1194" s="119"/>
      <c r="E1194" s="120"/>
      <c r="F1194" s="119"/>
      <c r="G1194" s="38"/>
      <c r="H1194" s="42"/>
      <c r="I1194" s="42"/>
      <c r="J1194" s="43"/>
      <c r="K1194" s="34"/>
      <c r="L1194" s="127"/>
      <c r="M1194" s="34"/>
      <c r="N1194" s="50"/>
      <c r="O1194" s="50"/>
      <c r="P1194" s="50"/>
      <c r="Q1194" s="121"/>
      <c r="R1194" s="121"/>
      <c r="S1194" s="121"/>
      <c r="T1194" s="34"/>
      <c r="U1194" s="35"/>
      <c r="V1194" s="37"/>
      <c r="W1194" s="35"/>
      <c r="X1194" s="122"/>
      <c r="AE1194" s="3"/>
    </row>
    <row r="1195" spans="1:31">
      <c r="A1195" s="39"/>
      <c r="B1195" s="118"/>
      <c r="C1195" s="119"/>
      <c r="D1195" s="119"/>
      <c r="E1195" s="120"/>
      <c r="F1195" s="119"/>
      <c r="G1195" s="38"/>
      <c r="H1195" s="42"/>
      <c r="I1195" s="42"/>
      <c r="J1195" s="43"/>
      <c r="K1195" s="34"/>
      <c r="L1195" s="127"/>
      <c r="M1195" s="34"/>
      <c r="N1195" s="50"/>
      <c r="O1195" s="50"/>
      <c r="P1195" s="50"/>
      <c r="Q1195" s="121"/>
      <c r="R1195" s="121"/>
      <c r="S1195" s="121"/>
      <c r="T1195" s="34"/>
      <c r="U1195" s="35"/>
      <c r="V1195" s="37"/>
      <c r="W1195" s="35"/>
      <c r="X1195" s="122"/>
      <c r="AE1195" s="3"/>
    </row>
    <row r="1196" spans="1:31">
      <c r="A1196" s="39"/>
      <c r="B1196" s="118"/>
      <c r="C1196" s="119"/>
      <c r="D1196" s="119"/>
      <c r="E1196" s="120"/>
      <c r="F1196" s="119"/>
      <c r="G1196" s="38"/>
      <c r="H1196" s="42"/>
      <c r="I1196" s="42"/>
      <c r="J1196" s="43"/>
      <c r="K1196" s="34"/>
      <c r="L1196" s="127"/>
      <c r="M1196" s="34"/>
      <c r="N1196" s="50"/>
      <c r="O1196" s="50"/>
      <c r="P1196" s="50"/>
      <c r="Q1196" s="121"/>
      <c r="R1196" s="121"/>
      <c r="S1196" s="121"/>
      <c r="T1196" s="34"/>
      <c r="U1196" s="35"/>
      <c r="V1196" s="37"/>
      <c r="W1196" s="35"/>
      <c r="X1196" s="122"/>
      <c r="AE1196" s="3"/>
    </row>
    <row r="1197" spans="1:31">
      <c r="A1197" s="39"/>
      <c r="B1197" s="118"/>
      <c r="C1197" s="119"/>
      <c r="D1197" s="119"/>
      <c r="E1197" s="120"/>
      <c r="F1197" s="119"/>
      <c r="G1197" s="38"/>
      <c r="H1197" s="42"/>
      <c r="I1197" s="42"/>
      <c r="J1197" s="43"/>
      <c r="K1197" s="34"/>
      <c r="L1197" s="127"/>
      <c r="M1197" s="34"/>
      <c r="N1197" s="50"/>
      <c r="O1197" s="50"/>
      <c r="P1197" s="50"/>
      <c r="Q1197" s="121"/>
      <c r="R1197" s="121"/>
      <c r="S1197" s="121"/>
      <c r="T1197" s="34"/>
      <c r="U1197" s="35"/>
      <c r="V1197" s="37"/>
      <c r="W1197" s="35"/>
      <c r="X1197" s="122"/>
      <c r="AE1197" s="3"/>
    </row>
    <row r="1198" spans="1:31">
      <c r="A1198" s="39"/>
      <c r="B1198" s="118"/>
      <c r="C1198" s="119"/>
      <c r="D1198" s="119"/>
      <c r="E1198" s="120"/>
      <c r="F1198" s="119"/>
      <c r="G1198" s="38"/>
      <c r="H1198" s="42"/>
      <c r="I1198" s="42"/>
      <c r="J1198" s="43"/>
      <c r="K1198" s="34"/>
      <c r="L1198" s="127"/>
      <c r="M1198" s="34"/>
      <c r="N1198" s="50"/>
      <c r="O1198" s="50"/>
      <c r="P1198" s="50"/>
      <c r="Q1198" s="121"/>
      <c r="R1198" s="121"/>
      <c r="S1198" s="121"/>
      <c r="T1198" s="34"/>
      <c r="U1198" s="35"/>
      <c r="V1198" s="37"/>
      <c r="W1198" s="35"/>
      <c r="X1198" s="122"/>
      <c r="AE1198" s="3"/>
    </row>
    <row r="1199" spans="1:31">
      <c r="A1199" s="39"/>
      <c r="B1199" s="118"/>
      <c r="C1199" s="119"/>
      <c r="D1199" s="119"/>
      <c r="E1199" s="120"/>
      <c r="F1199" s="119"/>
      <c r="G1199" s="38"/>
      <c r="H1199" s="42"/>
      <c r="I1199" s="42"/>
      <c r="J1199" s="43"/>
      <c r="K1199" s="34"/>
      <c r="L1199" s="127"/>
      <c r="M1199" s="34"/>
      <c r="N1199" s="50"/>
      <c r="O1199" s="50"/>
      <c r="P1199" s="50"/>
      <c r="Q1199" s="121"/>
      <c r="R1199" s="121"/>
      <c r="S1199" s="121"/>
      <c r="T1199" s="34"/>
      <c r="U1199" s="35"/>
      <c r="V1199" s="37"/>
      <c r="W1199" s="35"/>
      <c r="X1199" s="122"/>
      <c r="AE1199" s="3"/>
    </row>
    <row r="1200" spans="1:31">
      <c r="A1200" s="39"/>
      <c r="B1200" s="118"/>
      <c r="C1200" s="119"/>
      <c r="D1200" s="119"/>
      <c r="E1200" s="120"/>
      <c r="F1200" s="119"/>
      <c r="G1200" s="38"/>
      <c r="H1200" s="42"/>
      <c r="I1200" s="42"/>
      <c r="J1200" s="43"/>
      <c r="K1200" s="34"/>
      <c r="L1200" s="127"/>
      <c r="M1200" s="34"/>
      <c r="N1200" s="50"/>
      <c r="O1200" s="50"/>
      <c r="P1200" s="50"/>
      <c r="Q1200" s="121"/>
      <c r="R1200" s="121"/>
      <c r="S1200" s="121"/>
      <c r="T1200" s="34"/>
      <c r="U1200" s="35"/>
      <c r="V1200" s="37"/>
      <c r="W1200" s="35"/>
      <c r="X1200" s="122"/>
      <c r="AE1200" s="3"/>
    </row>
    <row r="1201" spans="1:31">
      <c r="A1201" s="39"/>
      <c r="B1201" s="118"/>
      <c r="C1201" s="119"/>
      <c r="D1201" s="119"/>
      <c r="E1201" s="120"/>
      <c r="F1201" s="119"/>
      <c r="G1201" s="38"/>
      <c r="H1201" s="42"/>
      <c r="I1201" s="42"/>
      <c r="J1201" s="43"/>
      <c r="K1201" s="34"/>
      <c r="L1201" s="127"/>
      <c r="M1201" s="34"/>
      <c r="N1201" s="50"/>
      <c r="O1201" s="50"/>
      <c r="P1201" s="50"/>
      <c r="Q1201" s="121"/>
      <c r="R1201" s="121"/>
      <c r="S1201" s="121"/>
      <c r="T1201" s="34"/>
      <c r="U1201" s="35"/>
      <c r="V1201" s="37"/>
      <c r="W1201" s="35"/>
      <c r="X1201" s="122"/>
      <c r="AE1201" s="3"/>
    </row>
    <row r="1202" spans="1:31">
      <c r="A1202" s="39"/>
      <c r="B1202" s="118"/>
      <c r="C1202" s="119"/>
      <c r="D1202" s="119"/>
      <c r="E1202" s="120"/>
      <c r="F1202" s="119"/>
      <c r="G1202" s="38"/>
      <c r="H1202" s="42"/>
      <c r="I1202" s="42"/>
      <c r="J1202" s="43"/>
      <c r="K1202" s="34"/>
      <c r="L1202" s="127"/>
      <c r="M1202" s="34"/>
      <c r="N1202" s="50"/>
      <c r="O1202" s="50"/>
      <c r="P1202" s="50"/>
      <c r="Q1202" s="121"/>
      <c r="R1202" s="121"/>
      <c r="S1202" s="121"/>
      <c r="T1202" s="34"/>
      <c r="U1202" s="35"/>
      <c r="V1202" s="37"/>
      <c r="W1202" s="35"/>
      <c r="X1202" s="122"/>
      <c r="AE1202" s="3"/>
    </row>
    <row r="1203" spans="1:31">
      <c r="A1203" s="39"/>
      <c r="B1203" s="118"/>
      <c r="C1203" s="119"/>
      <c r="D1203" s="119"/>
      <c r="E1203" s="120"/>
      <c r="F1203" s="119"/>
      <c r="G1203" s="38"/>
      <c r="H1203" s="42"/>
      <c r="I1203" s="42"/>
      <c r="J1203" s="43"/>
      <c r="K1203" s="34"/>
      <c r="L1203" s="127"/>
      <c r="M1203" s="34"/>
      <c r="N1203" s="50"/>
      <c r="O1203" s="50"/>
      <c r="P1203" s="50"/>
      <c r="Q1203" s="121"/>
      <c r="R1203" s="121"/>
      <c r="S1203" s="121"/>
      <c r="T1203" s="34"/>
      <c r="U1203" s="35"/>
      <c r="V1203" s="37"/>
      <c r="W1203" s="35"/>
      <c r="X1203" s="122"/>
      <c r="AE1203" s="3"/>
    </row>
    <row r="1204" spans="1:31">
      <c r="A1204" s="39"/>
      <c r="B1204" s="118"/>
      <c r="C1204" s="119"/>
      <c r="D1204" s="119"/>
      <c r="E1204" s="120"/>
      <c r="F1204" s="119"/>
      <c r="G1204" s="38"/>
      <c r="H1204" s="42"/>
      <c r="I1204" s="42"/>
      <c r="J1204" s="43"/>
      <c r="K1204" s="34"/>
      <c r="L1204" s="127"/>
      <c r="M1204" s="34"/>
      <c r="N1204" s="50"/>
      <c r="O1204" s="50"/>
      <c r="P1204" s="50"/>
      <c r="Q1204" s="121"/>
      <c r="R1204" s="121"/>
      <c r="S1204" s="121"/>
      <c r="T1204" s="34"/>
      <c r="U1204" s="35"/>
      <c r="V1204" s="37"/>
      <c r="W1204" s="35"/>
      <c r="X1204" s="122"/>
      <c r="AE1204" s="3"/>
    </row>
    <row r="1205" spans="1:31">
      <c r="A1205" s="39"/>
      <c r="B1205" s="118"/>
      <c r="C1205" s="119"/>
      <c r="D1205" s="119"/>
      <c r="E1205" s="120"/>
      <c r="F1205" s="119"/>
      <c r="G1205" s="38"/>
      <c r="H1205" s="42"/>
      <c r="I1205" s="42"/>
      <c r="J1205" s="43"/>
      <c r="K1205" s="34"/>
      <c r="L1205" s="127"/>
      <c r="M1205" s="34"/>
      <c r="N1205" s="50"/>
      <c r="O1205" s="50"/>
      <c r="P1205" s="50"/>
      <c r="Q1205" s="121"/>
      <c r="R1205" s="121"/>
      <c r="S1205" s="121"/>
      <c r="T1205" s="34"/>
      <c r="U1205" s="35"/>
      <c r="V1205" s="37"/>
      <c r="W1205" s="35"/>
      <c r="X1205" s="122"/>
      <c r="AE1205" s="3"/>
    </row>
    <row r="1206" spans="1:31">
      <c r="A1206" s="39"/>
      <c r="B1206" s="118"/>
      <c r="C1206" s="119"/>
      <c r="D1206" s="119"/>
      <c r="E1206" s="120"/>
      <c r="F1206" s="119"/>
      <c r="G1206" s="38"/>
      <c r="H1206" s="42"/>
      <c r="I1206" s="42"/>
      <c r="J1206" s="43"/>
      <c r="K1206" s="34"/>
      <c r="L1206" s="127"/>
      <c r="M1206" s="34"/>
      <c r="N1206" s="50"/>
      <c r="O1206" s="50"/>
      <c r="P1206" s="50"/>
      <c r="Q1206" s="121"/>
      <c r="R1206" s="121"/>
      <c r="S1206" s="121"/>
      <c r="T1206" s="34"/>
      <c r="U1206" s="35"/>
      <c r="V1206" s="37"/>
      <c r="W1206" s="35"/>
      <c r="X1206" s="122"/>
      <c r="AE1206" s="3"/>
    </row>
    <row r="1207" spans="1:31">
      <c r="A1207" s="39"/>
      <c r="B1207" s="118"/>
      <c r="C1207" s="119"/>
      <c r="D1207" s="119"/>
      <c r="E1207" s="120"/>
      <c r="F1207" s="119"/>
      <c r="G1207" s="38"/>
      <c r="H1207" s="42"/>
      <c r="I1207" s="42"/>
      <c r="J1207" s="43"/>
      <c r="K1207" s="34"/>
      <c r="L1207" s="127"/>
      <c r="M1207" s="34"/>
      <c r="N1207" s="50"/>
      <c r="O1207" s="50"/>
      <c r="P1207" s="50"/>
      <c r="Q1207" s="121"/>
      <c r="R1207" s="121"/>
      <c r="S1207" s="121"/>
      <c r="T1207" s="34"/>
      <c r="U1207" s="35"/>
      <c r="V1207" s="37"/>
      <c r="W1207" s="35"/>
      <c r="X1207" s="122"/>
      <c r="AE1207" s="3"/>
    </row>
    <row r="1208" spans="1:31">
      <c r="A1208" s="39"/>
      <c r="B1208" s="118"/>
      <c r="C1208" s="119"/>
      <c r="D1208" s="119"/>
      <c r="E1208" s="120"/>
      <c r="F1208" s="119"/>
      <c r="G1208" s="38"/>
      <c r="H1208" s="42"/>
      <c r="I1208" s="42"/>
      <c r="J1208" s="43"/>
      <c r="K1208" s="34"/>
      <c r="L1208" s="127"/>
      <c r="M1208" s="34"/>
      <c r="N1208" s="50"/>
      <c r="O1208" s="50"/>
      <c r="P1208" s="50"/>
      <c r="Q1208" s="121"/>
      <c r="R1208" s="121"/>
      <c r="S1208" s="121"/>
      <c r="T1208" s="34"/>
      <c r="U1208" s="35"/>
      <c r="V1208" s="37"/>
      <c r="W1208" s="35"/>
      <c r="X1208" s="122"/>
      <c r="AE1208" s="3"/>
    </row>
    <row r="1209" spans="1:31">
      <c r="A1209" s="39"/>
      <c r="B1209" s="118"/>
      <c r="C1209" s="119"/>
      <c r="D1209" s="119"/>
      <c r="E1209" s="120"/>
      <c r="F1209" s="119"/>
      <c r="G1209" s="38"/>
      <c r="H1209" s="42"/>
      <c r="I1209" s="42"/>
      <c r="J1209" s="43"/>
      <c r="K1209" s="34"/>
      <c r="L1209" s="127"/>
      <c r="M1209" s="34"/>
      <c r="N1209" s="50"/>
      <c r="O1209" s="50"/>
      <c r="P1209" s="50"/>
      <c r="Q1209" s="121"/>
      <c r="R1209" s="121"/>
      <c r="S1209" s="121"/>
      <c r="T1209" s="34"/>
      <c r="U1209" s="35"/>
      <c r="V1209" s="37"/>
      <c r="W1209" s="35"/>
      <c r="X1209" s="122"/>
      <c r="AE1209" s="3"/>
    </row>
    <row r="1210" spans="1:31">
      <c r="A1210" s="39"/>
      <c r="B1210" s="118"/>
      <c r="C1210" s="119"/>
      <c r="D1210" s="119"/>
      <c r="E1210" s="120"/>
      <c r="F1210" s="119"/>
      <c r="G1210" s="38"/>
      <c r="H1210" s="42"/>
      <c r="I1210" s="42"/>
      <c r="J1210" s="43"/>
      <c r="K1210" s="34"/>
      <c r="L1210" s="127"/>
      <c r="M1210" s="34"/>
      <c r="N1210" s="50"/>
      <c r="O1210" s="50"/>
      <c r="P1210" s="50"/>
      <c r="Q1210" s="121"/>
      <c r="R1210" s="121"/>
      <c r="S1210" s="121"/>
      <c r="T1210" s="34"/>
      <c r="U1210" s="35"/>
      <c r="V1210" s="37"/>
      <c r="W1210" s="35"/>
      <c r="X1210" s="122"/>
      <c r="AE1210" s="3"/>
    </row>
    <row r="1211" spans="1:31">
      <c r="A1211" s="39"/>
      <c r="B1211" s="118"/>
      <c r="C1211" s="119"/>
      <c r="D1211" s="119"/>
      <c r="E1211" s="120"/>
      <c r="F1211" s="119"/>
      <c r="G1211" s="38"/>
      <c r="H1211" s="42"/>
      <c r="I1211" s="42"/>
      <c r="J1211" s="43"/>
      <c r="K1211" s="34"/>
      <c r="L1211" s="127"/>
      <c r="M1211" s="34"/>
      <c r="N1211" s="50"/>
      <c r="O1211" s="50"/>
      <c r="P1211" s="50"/>
      <c r="Q1211" s="121"/>
      <c r="R1211" s="121"/>
      <c r="S1211" s="121"/>
      <c r="T1211" s="34"/>
      <c r="U1211" s="35"/>
      <c r="V1211" s="37"/>
      <c r="W1211" s="35"/>
      <c r="X1211" s="122"/>
      <c r="AE1211" s="3"/>
    </row>
    <row r="1212" spans="1:31">
      <c r="A1212" s="39"/>
      <c r="B1212" s="118"/>
      <c r="C1212" s="119"/>
      <c r="D1212" s="119"/>
      <c r="E1212" s="120"/>
      <c r="F1212" s="119"/>
      <c r="G1212" s="38"/>
      <c r="H1212" s="42"/>
      <c r="I1212" s="42"/>
      <c r="J1212" s="43"/>
      <c r="K1212" s="34"/>
      <c r="L1212" s="127"/>
      <c r="M1212" s="34"/>
      <c r="N1212" s="50"/>
      <c r="O1212" s="50"/>
      <c r="P1212" s="50"/>
      <c r="Q1212" s="121"/>
      <c r="R1212" s="121"/>
      <c r="S1212" s="121"/>
      <c r="T1212" s="34"/>
      <c r="U1212" s="35"/>
      <c r="V1212" s="37"/>
      <c r="W1212" s="35"/>
      <c r="X1212" s="122"/>
      <c r="AE1212" s="3"/>
    </row>
    <row r="1213" spans="1:31">
      <c r="A1213" s="39"/>
      <c r="B1213" s="118"/>
      <c r="C1213" s="119"/>
      <c r="D1213" s="119"/>
      <c r="E1213" s="120"/>
      <c r="F1213" s="119"/>
      <c r="G1213" s="38"/>
      <c r="H1213" s="42"/>
      <c r="I1213" s="42"/>
      <c r="J1213" s="43"/>
      <c r="K1213" s="34"/>
      <c r="L1213" s="127"/>
      <c r="M1213" s="34"/>
      <c r="N1213" s="50"/>
      <c r="O1213" s="50"/>
      <c r="P1213" s="50"/>
      <c r="Q1213" s="121"/>
      <c r="R1213" s="121"/>
      <c r="S1213" s="121"/>
      <c r="T1213" s="34"/>
      <c r="U1213" s="35"/>
      <c r="V1213" s="37"/>
      <c r="W1213" s="35"/>
      <c r="X1213" s="122"/>
      <c r="AE1213" s="3"/>
    </row>
    <row r="1214" spans="1:31">
      <c r="A1214" s="39"/>
      <c r="B1214" s="118"/>
      <c r="C1214" s="119"/>
      <c r="D1214" s="119"/>
      <c r="E1214" s="120"/>
      <c r="F1214" s="119"/>
      <c r="G1214" s="38"/>
      <c r="H1214" s="42"/>
      <c r="I1214" s="42"/>
      <c r="J1214" s="43"/>
      <c r="K1214" s="34"/>
      <c r="L1214" s="127"/>
      <c r="M1214" s="34"/>
      <c r="N1214" s="50"/>
      <c r="O1214" s="50"/>
      <c r="P1214" s="50"/>
      <c r="Q1214" s="121"/>
      <c r="R1214" s="121"/>
      <c r="S1214" s="121"/>
      <c r="T1214" s="34"/>
      <c r="U1214" s="35"/>
      <c r="V1214" s="37"/>
      <c r="W1214" s="35"/>
      <c r="X1214" s="122"/>
      <c r="AE1214" s="3"/>
    </row>
    <row r="1215" spans="1:31">
      <c r="A1215" s="39"/>
      <c r="B1215" s="118"/>
      <c r="C1215" s="119"/>
      <c r="D1215" s="119"/>
      <c r="E1215" s="120"/>
      <c r="F1215" s="119"/>
      <c r="G1215" s="38"/>
      <c r="H1215" s="42"/>
      <c r="I1215" s="42"/>
      <c r="J1215" s="43"/>
      <c r="K1215" s="34"/>
      <c r="L1215" s="127"/>
      <c r="M1215" s="34"/>
      <c r="N1215" s="50"/>
      <c r="O1215" s="50"/>
      <c r="P1215" s="50"/>
      <c r="Q1215" s="121"/>
      <c r="R1215" s="121"/>
      <c r="S1215" s="121"/>
      <c r="T1215" s="34"/>
      <c r="U1215" s="35"/>
      <c r="V1215" s="37"/>
      <c r="W1215" s="35"/>
      <c r="X1215" s="122"/>
      <c r="AE1215" s="3"/>
    </row>
    <row r="1216" spans="1:31">
      <c r="A1216" s="39"/>
      <c r="B1216" s="118"/>
      <c r="C1216" s="119"/>
      <c r="D1216" s="119"/>
      <c r="E1216" s="120"/>
      <c r="F1216" s="119"/>
      <c r="G1216" s="38"/>
      <c r="H1216" s="42"/>
      <c r="I1216" s="42"/>
      <c r="J1216" s="43"/>
      <c r="K1216" s="34"/>
      <c r="L1216" s="127"/>
      <c r="M1216" s="34"/>
      <c r="N1216" s="50"/>
      <c r="O1216" s="50"/>
      <c r="P1216" s="50"/>
      <c r="Q1216" s="121"/>
      <c r="R1216" s="121"/>
      <c r="S1216" s="121"/>
      <c r="T1216" s="34"/>
      <c r="U1216" s="35"/>
      <c r="V1216" s="37"/>
      <c r="W1216" s="35"/>
      <c r="X1216" s="122"/>
      <c r="AE1216" s="3"/>
    </row>
    <row r="1217" spans="1:31">
      <c r="A1217" s="39"/>
      <c r="B1217" s="118"/>
      <c r="C1217" s="119"/>
      <c r="D1217" s="119"/>
      <c r="E1217" s="120"/>
      <c r="F1217" s="119"/>
      <c r="G1217" s="38"/>
      <c r="H1217" s="42"/>
      <c r="I1217" s="42"/>
      <c r="J1217" s="43"/>
      <c r="K1217" s="34"/>
      <c r="L1217" s="127"/>
      <c r="M1217" s="34"/>
      <c r="N1217" s="50"/>
      <c r="O1217" s="50"/>
      <c r="P1217" s="50"/>
      <c r="Q1217" s="121"/>
      <c r="R1217" s="121"/>
      <c r="S1217" s="121"/>
      <c r="T1217" s="34"/>
      <c r="U1217" s="35"/>
      <c r="V1217" s="37"/>
      <c r="W1217" s="35"/>
      <c r="X1217" s="122"/>
      <c r="AE1217" s="3"/>
    </row>
    <row r="1218" spans="1:31">
      <c r="A1218" s="39"/>
      <c r="B1218" s="118"/>
      <c r="C1218" s="119"/>
      <c r="D1218" s="119"/>
      <c r="E1218" s="120"/>
      <c r="F1218" s="119"/>
      <c r="G1218" s="38"/>
      <c r="H1218" s="42"/>
      <c r="I1218" s="42"/>
      <c r="J1218" s="43"/>
      <c r="K1218" s="34"/>
      <c r="L1218" s="127"/>
      <c r="M1218" s="34"/>
      <c r="N1218" s="50"/>
      <c r="O1218" s="50"/>
      <c r="P1218" s="50"/>
      <c r="Q1218" s="121"/>
      <c r="R1218" s="121"/>
      <c r="S1218" s="121"/>
      <c r="T1218" s="34"/>
      <c r="U1218" s="35"/>
      <c r="V1218" s="37"/>
      <c r="W1218" s="35"/>
      <c r="X1218" s="122"/>
      <c r="AE1218" s="3"/>
    </row>
    <row r="1219" spans="1:31">
      <c r="A1219" s="39"/>
      <c r="B1219" s="118"/>
      <c r="C1219" s="119"/>
      <c r="D1219" s="119"/>
      <c r="E1219" s="120"/>
      <c r="F1219" s="119"/>
      <c r="G1219" s="38"/>
      <c r="H1219" s="42"/>
      <c r="I1219" s="42"/>
      <c r="J1219" s="43"/>
      <c r="K1219" s="34"/>
      <c r="L1219" s="127"/>
      <c r="M1219" s="34"/>
      <c r="N1219" s="50"/>
      <c r="O1219" s="50"/>
      <c r="P1219" s="50"/>
      <c r="Q1219" s="121"/>
      <c r="R1219" s="121"/>
      <c r="S1219" s="121"/>
      <c r="T1219" s="34"/>
      <c r="U1219" s="35"/>
      <c r="V1219" s="37"/>
      <c r="W1219" s="35"/>
      <c r="X1219" s="122"/>
      <c r="AE1219" s="3"/>
    </row>
    <row r="1220" spans="1:31">
      <c r="A1220" s="39"/>
      <c r="B1220" s="118"/>
      <c r="C1220" s="119"/>
      <c r="D1220" s="119"/>
      <c r="E1220" s="120"/>
      <c r="F1220" s="119"/>
      <c r="G1220" s="38"/>
      <c r="H1220" s="42"/>
      <c r="I1220" s="42"/>
      <c r="J1220" s="43"/>
      <c r="K1220" s="34"/>
      <c r="L1220" s="127"/>
      <c r="M1220" s="34"/>
      <c r="N1220" s="50"/>
      <c r="O1220" s="50"/>
      <c r="P1220" s="50"/>
      <c r="Q1220" s="121"/>
      <c r="R1220" s="121"/>
      <c r="S1220" s="121"/>
      <c r="T1220" s="34"/>
      <c r="U1220" s="35"/>
      <c r="V1220" s="37"/>
      <c r="W1220" s="35"/>
      <c r="X1220" s="122"/>
      <c r="AE1220" s="3"/>
    </row>
    <row r="1221" spans="1:31">
      <c r="A1221" s="39"/>
      <c r="B1221" s="118"/>
      <c r="C1221" s="119"/>
      <c r="D1221" s="119"/>
      <c r="E1221" s="120"/>
      <c r="F1221" s="119"/>
      <c r="G1221" s="38"/>
      <c r="H1221" s="42"/>
      <c r="I1221" s="42"/>
      <c r="J1221" s="43"/>
      <c r="K1221" s="34"/>
      <c r="L1221" s="127"/>
      <c r="M1221" s="34"/>
      <c r="N1221" s="50"/>
      <c r="O1221" s="50"/>
      <c r="P1221" s="50"/>
      <c r="Q1221" s="121"/>
      <c r="R1221" s="121"/>
      <c r="S1221" s="121"/>
      <c r="T1221" s="34"/>
      <c r="U1221" s="35"/>
      <c r="V1221" s="37"/>
      <c r="W1221" s="35"/>
      <c r="X1221" s="122"/>
      <c r="AE1221" s="3"/>
    </row>
    <row r="1222" spans="1:31">
      <c r="A1222" s="39"/>
      <c r="B1222" s="118"/>
      <c r="C1222" s="119"/>
      <c r="D1222" s="119"/>
      <c r="E1222" s="120"/>
      <c r="F1222" s="119"/>
      <c r="G1222" s="38"/>
      <c r="H1222" s="42"/>
      <c r="I1222" s="42"/>
      <c r="J1222" s="43"/>
      <c r="K1222" s="34"/>
      <c r="L1222" s="127"/>
      <c r="M1222" s="34"/>
      <c r="N1222" s="50"/>
      <c r="O1222" s="50"/>
      <c r="P1222" s="50"/>
      <c r="Q1222" s="121"/>
      <c r="R1222" s="121"/>
      <c r="S1222" s="121"/>
      <c r="T1222" s="34"/>
      <c r="U1222" s="35"/>
      <c r="V1222" s="37"/>
      <c r="W1222" s="35"/>
      <c r="X1222" s="122"/>
      <c r="AE1222" s="3"/>
    </row>
    <row r="1223" spans="1:31">
      <c r="A1223" s="39"/>
      <c r="B1223" s="118"/>
      <c r="C1223" s="119"/>
      <c r="D1223" s="119"/>
      <c r="E1223" s="120"/>
      <c r="F1223" s="119"/>
      <c r="G1223" s="38"/>
      <c r="H1223" s="42"/>
      <c r="I1223" s="42"/>
      <c r="J1223" s="43"/>
      <c r="K1223" s="34"/>
      <c r="L1223" s="127"/>
      <c r="M1223" s="34"/>
      <c r="N1223" s="50"/>
      <c r="O1223" s="50"/>
      <c r="P1223" s="50"/>
      <c r="Q1223" s="121"/>
      <c r="R1223" s="121"/>
      <c r="S1223" s="121"/>
      <c r="T1223" s="34"/>
      <c r="U1223" s="35"/>
      <c r="V1223" s="37"/>
      <c r="W1223" s="35"/>
      <c r="X1223" s="122"/>
      <c r="AE1223" s="3"/>
    </row>
    <row r="1224" spans="1:31">
      <c r="A1224" s="39"/>
      <c r="B1224" s="118"/>
      <c r="C1224" s="119"/>
      <c r="D1224" s="119"/>
      <c r="E1224" s="120"/>
      <c r="F1224" s="119"/>
      <c r="G1224" s="38"/>
      <c r="H1224" s="42"/>
      <c r="I1224" s="42"/>
      <c r="J1224" s="43"/>
      <c r="K1224" s="34"/>
      <c r="L1224" s="127"/>
      <c r="M1224" s="34"/>
      <c r="N1224" s="50"/>
      <c r="O1224" s="50"/>
      <c r="P1224" s="50"/>
      <c r="Q1224" s="121"/>
      <c r="R1224" s="121"/>
      <c r="S1224" s="121"/>
      <c r="T1224" s="34"/>
      <c r="U1224" s="35"/>
      <c r="V1224" s="37"/>
      <c r="W1224" s="35"/>
      <c r="X1224" s="122"/>
      <c r="AE1224" s="3"/>
    </row>
    <row r="1225" spans="1:31">
      <c r="A1225" s="39"/>
      <c r="B1225" s="118"/>
      <c r="C1225" s="119"/>
      <c r="D1225" s="119"/>
      <c r="E1225" s="120"/>
      <c r="F1225" s="119"/>
      <c r="G1225" s="38"/>
      <c r="H1225" s="42"/>
      <c r="I1225" s="42"/>
      <c r="J1225" s="43"/>
      <c r="K1225" s="34"/>
      <c r="L1225" s="127"/>
      <c r="M1225" s="34"/>
      <c r="N1225" s="50"/>
      <c r="O1225" s="50"/>
      <c r="P1225" s="50"/>
      <c r="Q1225" s="121"/>
      <c r="R1225" s="121"/>
      <c r="S1225" s="121"/>
      <c r="T1225" s="34"/>
      <c r="U1225" s="35"/>
      <c r="V1225" s="37"/>
      <c r="W1225" s="35"/>
      <c r="X1225" s="122"/>
      <c r="AE1225" s="3"/>
    </row>
    <row r="1226" spans="1:31">
      <c r="A1226" s="39"/>
      <c r="B1226" s="118"/>
      <c r="C1226" s="119"/>
      <c r="D1226" s="119"/>
      <c r="E1226" s="120"/>
      <c r="F1226" s="119"/>
      <c r="G1226" s="38"/>
      <c r="H1226" s="42"/>
      <c r="I1226" s="42"/>
      <c r="J1226" s="43"/>
      <c r="K1226" s="34"/>
      <c r="L1226" s="127"/>
      <c r="M1226" s="34"/>
      <c r="N1226" s="50"/>
      <c r="O1226" s="50"/>
      <c r="P1226" s="50"/>
      <c r="Q1226" s="121"/>
      <c r="R1226" s="121"/>
      <c r="S1226" s="121"/>
      <c r="T1226" s="34"/>
      <c r="U1226" s="35"/>
      <c r="V1226" s="37"/>
      <c r="W1226" s="35"/>
      <c r="X1226" s="122"/>
      <c r="AE1226" s="3"/>
    </row>
    <row r="1227" spans="1:31">
      <c r="A1227" s="39"/>
      <c r="B1227" s="118"/>
      <c r="C1227" s="119"/>
      <c r="D1227" s="119"/>
      <c r="E1227" s="120"/>
      <c r="F1227" s="119"/>
      <c r="G1227" s="38"/>
      <c r="H1227" s="42"/>
      <c r="I1227" s="42"/>
      <c r="J1227" s="43"/>
      <c r="K1227" s="34"/>
      <c r="L1227" s="127"/>
      <c r="M1227" s="34"/>
      <c r="N1227" s="50"/>
      <c r="O1227" s="50"/>
      <c r="P1227" s="50"/>
      <c r="Q1227" s="121"/>
      <c r="R1227" s="121"/>
      <c r="S1227" s="121"/>
      <c r="T1227" s="34"/>
      <c r="U1227" s="35"/>
      <c r="V1227" s="37"/>
      <c r="W1227" s="35"/>
      <c r="X1227" s="122"/>
      <c r="AE1227" s="3"/>
    </row>
    <row r="1228" spans="1:31">
      <c r="A1228" s="39"/>
      <c r="B1228" s="118"/>
      <c r="C1228" s="119"/>
      <c r="D1228" s="119"/>
      <c r="E1228" s="120"/>
      <c r="F1228" s="119"/>
      <c r="G1228" s="38"/>
      <c r="H1228" s="42"/>
      <c r="I1228" s="42"/>
      <c r="J1228" s="43"/>
      <c r="K1228" s="34"/>
      <c r="L1228" s="127"/>
      <c r="M1228" s="34"/>
      <c r="N1228" s="50"/>
      <c r="O1228" s="50"/>
      <c r="P1228" s="50"/>
      <c r="Q1228" s="121"/>
      <c r="R1228" s="121"/>
      <c r="S1228" s="121"/>
      <c r="T1228" s="34"/>
      <c r="U1228" s="35"/>
      <c r="V1228" s="37"/>
      <c r="W1228" s="35"/>
      <c r="X1228" s="122"/>
      <c r="AE1228" s="3"/>
    </row>
    <row r="1229" spans="1:31">
      <c r="A1229" s="39"/>
      <c r="B1229" s="118"/>
      <c r="C1229" s="119"/>
      <c r="D1229" s="119"/>
      <c r="E1229" s="120"/>
      <c r="F1229" s="119"/>
      <c r="G1229" s="38"/>
      <c r="H1229" s="42"/>
      <c r="I1229" s="42"/>
      <c r="J1229" s="43"/>
      <c r="K1229" s="34"/>
      <c r="L1229" s="127"/>
      <c r="M1229" s="34"/>
      <c r="N1229" s="50"/>
      <c r="O1229" s="50"/>
      <c r="P1229" s="50"/>
      <c r="Q1229" s="121"/>
      <c r="R1229" s="121"/>
      <c r="S1229" s="121"/>
      <c r="T1229" s="34"/>
      <c r="U1229" s="35"/>
      <c r="V1229" s="37"/>
      <c r="W1229" s="35"/>
      <c r="X1229" s="122"/>
      <c r="AE1229" s="3"/>
    </row>
    <row r="1230" spans="1:31">
      <c r="A1230" s="39"/>
      <c r="B1230" s="118"/>
      <c r="C1230" s="119"/>
      <c r="D1230" s="119"/>
      <c r="E1230" s="120"/>
      <c r="F1230" s="119"/>
      <c r="G1230" s="38"/>
      <c r="H1230" s="42"/>
      <c r="I1230" s="42"/>
      <c r="J1230" s="43"/>
      <c r="K1230" s="34"/>
      <c r="L1230" s="127"/>
      <c r="M1230" s="34"/>
      <c r="N1230" s="50"/>
      <c r="O1230" s="50"/>
      <c r="P1230" s="50"/>
      <c r="Q1230" s="121"/>
      <c r="R1230" s="121"/>
      <c r="S1230" s="121"/>
      <c r="T1230" s="34"/>
      <c r="U1230" s="35"/>
      <c r="V1230" s="37"/>
      <c r="W1230" s="35"/>
      <c r="X1230" s="122"/>
      <c r="AE1230" s="3"/>
    </row>
    <row r="1231" spans="1:31">
      <c r="A1231" s="39"/>
      <c r="B1231" s="118"/>
      <c r="C1231" s="119"/>
      <c r="D1231" s="119"/>
      <c r="E1231" s="120"/>
      <c r="F1231" s="119"/>
      <c r="G1231" s="38"/>
      <c r="H1231" s="42"/>
      <c r="I1231" s="42"/>
      <c r="J1231" s="43"/>
      <c r="K1231" s="34"/>
      <c r="L1231" s="127"/>
      <c r="M1231" s="34"/>
      <c r="N1231" s="50"/>
      <c r="O1231" s="50"/>
      <c r="P1231" s="50"/>
      <c r="Q1231" s="121"/>
      <c r="R1231" s="121"/>
      <c r="S1231" s="121"/>
      <c r="T1231" s="34"/>
      <c r="U1231" s="35"/>
      <c r="V1231" s="37"/>
      <c r="W1231" s="35"/>
      <c r="X1231" s="122"/>
      <c r="AE1231" s="3"/>
    </row>
    <row r="1232" spans="1:31">
      <c r="A1232" s="39"/>
      <c r="B1232" s="118"/>
      <c r="C1232" s="119"/>
      <c r="D1232" s="119"/>
      <c r="E1232" s="120"/>
      <c r="F1232" s="119"/>
      <c r="G1232" s="38"/>
      <c r="H1232" s="42"/>
      <c r="I1232" s="42"/>
      <c r="J1232" s="43"/>
      <c r="K1232" s="34"/>
      <c r="L1232" s="127"/>
      <c r="M1232" s="34"/>
      <c r="N1232" s="50"/>
      <c r="O1232" s="50"/>
      <c r="P1232" s="50"/>
      <c r="Q1232" s="121"/>
      <c r="R1232" s="121"/>
      <c r="S1232" s="121"/>
      <c r="T1232" s="34"/>
      <c r="U1232" s="35"/>
      <c r="V1232" s="37"/>
      <c r="W1232" s="35"/>
      <c r="X1232" s="122"/>
      <c r="AE1232" s="3"/>
    </row>
    <row r="1233" spans="1:31">
      <c r="A1233" s="39"/>
      <c r="B1233" s="118"/>
      <c r="C1233" s="119"/>
      <c r="D1233" s="119"/>
      <c r="E1233" s="120"/>
      <c r="F1233" s="119"/>
      <c r="G1233" s="38"/>
      <c r="H1233" s="42"/>
      <c r="I1233" s="42"/>
      <c r="J1233" s="43"/>
      <c r="K1233" s="34"/>
      <c r="L1233" s="127"/>
      <c r="M1233" s="34"/>
      <c r="N1233" s="50"/>
      <c r="O1233" s="50"/>
      <c r="P1233" s="50"/>
      <c r="Q1233" s="121"/>
      <c r="R1233" s="121"/>
      <c r="S1233" s="121"/>
      <c r="T1233" s="34"/>
      <c r="U1233" s="35"/>
      <c r="V1233" s="37"/>
      <c r="W1233" s="35"/>
      <c r="X1233" s="122"/>
      <c r="AE1233" s="3"/>
    </row>
    <row r="1234" spans="1:31">
      <c r="A1234" s="39"/>
      <c r="B1234" s="118"/>
      <c r="C1234" s="119"/>
      <c r="D1234" s="119"/>
      <c r="E1234" s="120"/>
      <c r="F1234" s="119"/>
      <c r="G1234" s="38"/>
      <c r="H1234" s="42"/>
      <c r="I1234" s="42"/>
      <c r="J1234" s="43"/>
      <c r="K1234" s="34"/>
      <c r="L1234" s="127"/>
      <c r="M1234" s="34"/>
      <c r="N1234" s="50"/>
      <c r="O1234" s="50"/>
      <c r="P1234" s="50"/>
      <c r="Q1234" s="121"/>
      <c r="R1234" s="121"/>
      <c r="S1234" s="121"/>
      <c r="T1234" s="34"/>
      <c r="U1234" s="35"/>
      <c r="V1234" s="37"/>
      <c r="W1234" s="35"/>
      <c r="X1234" s="122"/>
      <c r="AE1234" s="3"/>
    </row>
    <row r="1235" spans="1:31">
      <c r="A1235" s="39"/>
      <c r="B1235" s="118"/>
      <c r="C1235" s="119"/>
      <c r="D1235" s="119"/>
      <c r="E1235" s="120"/>
      <c r="F1235" s="119"/>
      <c r="G1235" s="38"/>
      <c r="H1235" s="42"/>
      <c r="I1235" s="42"/>
      <c r="J1235" s="43"/>
      <c r="K1235" s="34"/>
      <c r="L1235" s="127"/>
      <c r="M1235" s="34"/>
      <c r="N1235" s="50"/>
      <c r="O1235" s="50"/>
      <c r="P1235" s="50"/>
      <c r="Q1235" s="121"/>
      <c r="R1235" s="121"/>
      <c r="S1235" s="121"/>
      <c r="T1235" s="34"/>
      <c r="U1235" s="35"/>
      <c r="V1235" s="37"/>
      <c r="W1235" s="35"/>
      <c r="X1235" s="122"/>
      <c r="AE1235" s="3"/>
    </row>
    <row r="1236" spans="1:31">
      <c r="A1236" s="39"/>
      <c r="B1236" s="118"/>
      <c r="C1236" s="119"/>
      <c r="D1236" s="119"/>
      <c r="E1236" s="120"/>
      <c r="F1236" s="119"/>
      <c r="G1236" s="38"/>
      <c r="H1236" s="42"/>
      <c r="I1236" s="42"/>
      <c r="J1236" s="43"/>
      <c r="K1236" s="34"/>
      <c r="L1236" s="127"/>
      <c r="M1236" s="34"/>
      <c r="N1236" s="50"/>
      <c r="O1236" s="50"/>
      <c r="P1236" s="50"/>
      <c r="Q1236" s="121"/>
      <c r="R1236" s="121"/>
      <c r="S1236" s="121"/>
      <c r="T1236" s="34"/>
      <c r="U1236" s="35"/>
      <c r="V1236" s="37"/>
      <c r="W1236" s="35"/>
      <c r="X1236" s="122"/>
      <c r="AE1236" s="3"/>
    </row>
    <row r="1237" spans="1:31">
      <c r="A1237" s="39"/>
      <c r="B1237" s="118"/>
      <c r="C1237" s="119"/>
      <c r="D1237" s="119"/>
      <c r="E1237" s="120"/>
      <c r="F1237" s="119"/>
      <c r="G1237" s="38"/>
      <c r="H1237" s="42"/>
      <c r="I1237" s="42"/>
      <c r="J1237" s="43"/>
      <c r="K1237" s="34"/>
      <c r="L1237" s="127"/>
      <c r="M1237" s="34"/>
      <c r="N1237" s="50"/>
      <c r="O1237" s="50"/>
      <c r="P1237" s="50"/>
      <c r="Q1237" s="121"/>
      <c r="R1237" s="121"/>
      <c r="S1237" s="121"/>
      <c r="T1237" s="34"/>
      <c r="U1237" s="35"/>
      <c r="V1237" s="37"/>
      <c r="W1237" s="35"/>
      <c r="X1237" s="122"/>
      <c r="AE1237" s="3"/>
    </row>
    <row r="1238" spans="1:31">
      <c r="A1238" s="39"/>
      <c r="B1238" s="118"/>
      <c r="C1238" s="119"/>
      <c r="D1238" s="119"/>
      <c r="E1238" s="120"/>
      <c r="F1238" s="119"/>
      <c r="G1238" s="38"/>
      <c r="H1238" s="42"/>
      <c r="I1238" s="42"/>
      <c r="J1238" s="43"/>
      <c r="K1238" s="34"/>
      <c r="L1238" s="127"/>
      <c r="M1238" s="34"/>
      <c r="N1238" s="50"/>
      <c r="O1238" s="50"/>
      <c r="P1238" s="50"/>
      <c r="Q1238" s="121"/>
      <c r="R1238" s="121"/>
      <c r="S1238" s="121"/>
      <c r="T1238" s="34"/>
      <c r="U1238" s="35"/>
      <c r="V1238" s="37"/>
      <c r="W1238" s="35"/>
      <c r="X1238" s="122"/>
      <c r="AE1238" s="3"/>
    </row>
    <row r="1239" spans="1:31">
      <c r="A1239" s="39"/>
      <c r="B1239" s="118"/>
      <c r="C1239" s="119"/>
      <c r="D1239" s="119"/>
      <c r="E1239" s="120"/>
      <c r="F1239" s="119"/>
      <c r="G1239" s="38"/>
      <c r="H1239" s="42"/>
      <c r="I1239" s="42"/>
      <c r="J1239" s="43"/>
      <c r="K1239" s="34"/>
      <c r="L1239" s="127"/>
      <c r="M1239" s="34"/>
      <c r="N1239" s="50"/>
      <c r="O1239" s="50"/>
      <c r="P1239" s="50"/>
      <c r="Q1239" s="121"/>
      <c r="R1239" s="121"/>
      <c r="S1239" s="121"/>
      <c r="T1239" s="34"/>
      <c r="U1239" s="35"/>
      <c r="V1239" s="37"/>
      <c r="W1239" s="35"/>
      <c r="X1239" s="122"/>
      <c r="AE1239" s="3"/>
    </row>
    <row r="1240" spans="1:31">
      <c r="A1240" s="39"/>
      <c r="B1240" s="118"/>
      <c r="C1240" s="119"/>
      <c r="D1240" s="119"/>
      <c r="E1240" s="120"/>
      <c r="F1240" s="119"/>
      <c r="G1240" s="38"/>
      <c r="H1240" s="42"/>
      <c r="I1240" s="42"/>
      <c r="J1240" s="43"/>
      <c r="K1240" s="34"/>
      <c r="L1240" s="127"/>
      <c r="M1240" s="34"/>
      <c r="N1240" s="50"/>
      <c r="O1240" s="50"/>
      <c r="P1240" s="50"/>
      <c r="Q1240" s="121"/>
      <c r="R1240" s="121"/>
      <c r="S1240" s="121"/>
      <c r="T1240" s="34"/>
      <c r="U1240" s="35"/>
      <c r="V1240" s="37"/>
      <c r="W1240" s="35"/>
      <c r="X1240" s="122"/>
      <c r="AE1240" s="3"/>
    </row>
    <row r="1241" spans="1:31">
      <c r="A1241" s="39"/>
      <c r="B1241" s="118"/>
      <c r="C1241" s="119"/>
      <c r="D1241" s="119"/>
      <c r="E1241" s="120"/>
      <c r="F1241" s="119"/>
      <c r="G1241" s="38"/>
      <c r="H1241" s="42"/>
      <c r="I1241" s="42"/>
      <c r="J1241" s="43"/>
      <c r="K1241" s="34"/>
      <c r="L1241" s="127"/>
      <c r="M1241" s="34"/>
      <c r="N1241" s="50"/>
      <c r="O1241" s="50"/>
      <c r="P1241" s="50"/>
      <c r="Q1241" s="121"/>
      <c r="R1241" s="121"/>
      <c r="S1241" s="121"/>
      <c r="T1241" s="34"/>
      <c r="U1241" s="35"/>
      <c r="V1241" s="37"/>
      <c r="W1241" s="35"/>
      <c r="X1241" s="122"/>
      <c r="AE1241" s="3"/>
    </row>
    <row r="1242" spans="1:31">
      <c r="A1242" s="39"/>
      <c r="B1242" s="118"/>
      <c r="C1242" s="119"/>
      <c r="D1242" s="119"/>
      <c r="E1242" s="120"/>
      <c r="F1242" s="119"/>
      <c r="G1242" s="38"/>
      <c r="H1242" s="42"/>
      <c r="I1242" s="42"/>
      <c r="J1242" s="43"/>
      <c r="K1242" s="34"/>
      <c r="L1242" s="127"/>
      <c r="M1242" s="34"/>
      <c r="N1242" s="50"/>
      <c r="O1242" s="50"/>
      <c r="P1242" s="50"/>
      <c r="Q1242" s="121"/>
      <c r="R1242" s="121"/>
      <c r="S1242" s="121"/>
      <c r="T1242" s="34"/>
      <c r="U1242" s="35"/>
      <c r="V1242" s="37"/>
      <c r="W1242" s="35"/>
      <c r="X1242" s="122"/>
      <c r="AE1242" s="3"/>
    </row>
    <row r="1243" spans="1:31">
      <c r="A1243" s="39"/>
      <c r="B1243" s="118"/>
      <c r="C1243" s="119"/>
      <c r="D1243" s="119"/>
      <c r="E1243" s="120"/>
      <c r="F1243" s="119"/>
      <c r="G1243" s="38"/>
      <c r="H1243" s="42"/>
      <c r="I1243" s="42"/>
      <c r="J1243" s="43"/>
      <c r="K1243" s="34"/>
      <c r="L1243" s="127"/>
      <c r="M1243" s="34"/>
      <c r="N1243" s="50"/>
      <c r="O1243" s="50"/>
      <c r="P1243" s="50"/>
      <c r="Q1243" s="121"/>
      <c r="R1243" s="121"/>
      <c r="S1243" s="121"/>
      <c r="T1243" s="34"/>
      <c r="U1243" s="35"/>
      <c r="V1243" s="37"/>
      <c r="W1243" s="35"/>
      <c r="X1243" s="122"/>
      <c r="AE1243" s="3"/>
    </row>
    <row r="1244" spans="1:31">
      <c r="A1244" s="39"/>
      <c r="B1244" s="118"/>
      <c r="C1244" s="119"/>
      <c r="D1244" s="119"/>
      <c r="E1244" s="120"/>
      <c r="F1244" s="119"/>
      <c r="G1244" s="38"/>
      <c r="H1244" s="42"/>
      <c r="I1244" s="42"/>
      <c r="J1244" s="43"/>
      <c r="K1244" s="34"/>
      <c r="L1244" s="127"/>
      <c r="M1244" s="34"/>
      <c r="N1244" s="50"/>
      <c r="O1244" s="50"/>
      <c r="P1244" s="50"/>
      <c r="Q1244" s="121"/>
      <c r="R1244" s="121"/>
      <c r="S1244" s="121"/>
      <c r="T1244" s="34"/>
      <c r="U1244" s="35"/>
      <c r="V1244" s="37"/>
      <c r="W1244" s="35"/>
      <c r="X1244" s="122"/>
      <c r="AE1244" s="3"/>
    </row>
    <row r="1245" spans="1:31">
      <c r="A1245" s="39"/>
      <c r="B1245" s="118"/>
      <c r="C1245" s="119"/>
      <c r="D1245" s="119"/>
      <c r="E1245" s="120"/>
      <c r="F1245" s="119"/>
      <c r="G1245" s="38"/>
      <c r="H1245" s="42"/>
      <c r="I1245" s="42"/>
      <c r="J1245" s="43"/>
      <c r="K1245" s="34"/>
      <c r="L1245" s="127"/>
      <c r="M1245" s="34"/>
      <c r="N1245" s="50"/>
      <c r="O1245" s="50"/>
      <c r="P1245" s="50"/>
      <c r="Q1245" s="121"/>
      <c r="R1245" s="121"/>
      <c r="S1245" s="121"/>
      <c r="T1245" s="34"/>
      <c r="U1245" s="35"/>
      <c r="V1245" s="37"/>
      <c r="W1245" s="35"/>
      <c r="X1245" s="122"/>
      <c r="AE1245" s="3"/>
    </row>
    <row r="1246" spans="1:31">
      <c r="A1246" s="39"/>
      <c r="B1246" s="118"/>
      <c r="C1246" s="119"/>
      <c r="D1246" s="119"/>
      <c r="E1246" s="120"/>
      <c r="F1246" s="119"/>
      <c r="G1246" s="38"/>
      <c r="H1246" s="42"/>
      <c r="I1246" s="42"/>
      <c r="J1246" s="43"/>
      <c r="K1246" s="34"/>
      <c r="L1246" s="127"/>
      <c r="M1246" s="34"/>
      <c r="N1246" s="50"/>
      <c r="O1246" s="50"/>
      <c r="P1246" s="50"/>
      <c r="Q1246" s="121"/>
      <c r="R1246" s="121"/>
      <c r="S1246" s="121"/>
      <c r="T1246" s="34"/>
      <c r="U1246" s="35"/>
      <c r="V1246" s="37"/>
      <c r="W1246" s="35"/>
      <c r="X1246" s="122"/>
      <c r="AE1246" s="3"/>
    </row>
    <row r="1247" spans="1:31">
      <c r="A1247" s="39"/>
      <c r="B1247" s="118"/>
      <c r="C1247" s="119"/>
      <c r="D1247" s="119"/>
      <c r="E1247" s="120"/>
      <c r="F1247" s="119"/>
      <c r="G1247" s="38"/>
      <c r="H1247" s="42"/>
      <c r="I1247" s="42"/>
      <c r="J1247" s="43"/>
      <c r="K1247" s="34"/>
      <c r="L1247" s="127"/>
      <c r="M1247" s="34"/>
      <c r="N1247" s="50"/>
      <c r="O1247" s="50"/>
      <c r="P1247" s="50"/>
      <c r="Q1247" s="121"/>
      <c r="R1247" s="121"/>
      <c r="S1247" s="121"/>
      <c r="T1247" s="34"/>
      <c r="U1247" s="35"/>
      <c r="V1247" s="37"/>
      <c r="W1247" s="35"/>
      <c r="X1247" s="122"/>
      <c r="AE1247" s="3"/>
    </row>
    <row r="1248" spans="1:31">
      <c r="A1248" s="39"/>
      <c r="B1248" s="118"/>
      <c r="C1248" s="119"/>
      <c r="D1248" s="119"/>
      <c r="E1248" s="120"/>
      <c r="F1248" s="119"/>
      <c r="G1248" s="38"/>
      <c r="H1248" s="42"/>
      <c r="I1248" s="42"/>
      <c r="J1248" s="43"/>
      <c r="K1248" s="34"/>
      <c r="L1248" s="127"/>
      <c r="M1248" s="34"/>
      <c r="N1248" s="50"/>
      <c r="O1248" s="50"/>
      <c r="P1248" s="50"/>
      <c r="Q1248" s="121"/>
      <c r="R1248" s="121"/>
      <c r="S1248" s="121"/>
      <c r="T1248" s="34"/>
      <c r="U1248" s="35"/>
      <c r="V1248" s="37"/>
      <c r="W1248" s="35"/>
      <c r="X1248" s="122"/>
      <c r="AE1248" s="3"/>
    </row>
    <row r="1249" spans="1:31">
      <c r="A1249" s="39"/>
      <c r="B1249" s="118"/>
      <c r="C1249" s="119"/>
      <c r="D1249" s="119"/>
      <c r="E1249" s="120"/>
      <c r="F1249" s="119"/>
      <c r="G1249" s="38"/>
      <c r="H1249" s="42"/>
      <c r="I1249" s="42"/>
      <c r="J1249" s="43"/>
      <c r="K1249" s="34"/>
      <c r="L1249" s="127"/>
      <c r="M1249" s="34"/>
      <c r="N1249" s="50"/>
      <c r="O1249" s="50"/>
      <c r="P1249" s="50"/>
      <c r="Q1249" s="121"/>
      <c r="R1249" s="121"/>
      <c r="S1249" s="121"/>
      <c r="T1249" s="34"/>
      <c r="U1249" s="35"/>
      <c r="V1249" s="37"/>
      <c r="W1249" s="35"/>
      <c r="X1249" s="122"/>
      <c r="AE1249" s="3"/>
    </row>
    <row r="1250" spans="1:31">
      <c r="A1250" s="39"/>
      <c r="B1250" s="118"/>
      <c r="C1250" s="119"/>
      <c r="D1250" s="119"/>
      <c r="E1250" s="120"/>
      <c r="F1250" s="119"/>
      <c r="G1250" s="38"/>
      <c r="H1250" s="42"/>
      <c r="I1250" s="42"/>
      <c r="J1250" s="43"/>
      <c r="K1250" s="34"/>
      <c r="L1250" s="127"/>
      <c r="M1250" s="34"/>
      <c r="N1250" s="50"/>
      <c r="O1250" s="50"/>
      <c r="P1250" s="50"/>
      <c r="Q1250" s="121"/>
      <c r="R1250" s="121"/>
      <c r="S1250" s="121"/>
      <c r="T1250" s="34"/>
      <c r="U1250" s="35"/>
      <c r="V1250" s="37"/>
      <c r="W1250" s="35"/>
      <c r="X1250" s="122"/>
      <c r="AE1250" s="3"/>
    </row>
    <row r="1251" spans="1:31">
      <c r="A1251" s="39"/>
      <c r="B1251" s="118"/>
      <c r="C1251" s="119"/>
      <c r="D1251" s="119"/>
      <c r="E1251" s="120"/>
      <c r="F1251" s="119"/>
      <c r="G1251" s="38"/>
      <c r="H1251" s="42"/>
      <c r="I1251" s="42"/>
      <c r="J1251" s="43"/>
      <c r="K1251" s="34"/>
      <c r="L1251" s="127"/>
      <c r="M1251" s="34"/>
      <c r="N1251" s="50"/>
      <c r="O1251" s="50"/>
      <c r="P1251" s="50"/>
      <c r="Q1251" s="121"/>
      <c r="R1251" s="121"/>
      <c r="S1251" s="121"/>
      <c r="T1251" s="34"/>
      <c r="U1251" s="35"/>
      <c r="V1251" s="37"/>
      <c r="W1251" s="35"/>
      <c r="X1251" s="122"/>
      <c r="AE1251" s="3"/>
    </row>
    <row r="1252" spans="1:31">
      <c r="A1252" s="39"/>
      <c r="B1252" s="118"/>
      <c r="C1252" s="119"/>
      <c r="D1252" s="119"/>
      <c r="E1252" s="120"/>
      <c r="F1252" s="119"/>
      <c r="G1252" s="38"/>
      <c r="H1252" s="42"/>
      <c r="I1252" s="42"/>
      <c r="J1252" s="43"/>
      <c r="K1252" s="34"/>
      <c r="L1252" s="127"/>
      <c r="M1252" s="34"/>
      <c r="N1252" s="50"/>
      <c r="O1252" s="50"/>
      <c r="P1252" s="50"/>
      <c r="Q1252" s="121"/>
      <c r="R1252" s="121"/>
      <c r="S1252" s="121"/>
      <c r="T1252" s="34"/>
      <c r="U1252" s="35"/>
      <c r="V1252" s="37"/>
      <c r="W1252" s="35"/>
      <c r="X1252" s="122"/>
      <c r="AE1252" s="3"/>
    </row>
    <row r="1253" spans="1:31">
      <c r="A1253" s="39"/>
      <c r="B1253" s="118"/>
      <c r="C1253" s="119"/>
      <c r="D1253" s="119"/>
      <c r="E1253" s="120"/>
      <c r="F1253" s="119"/>
      <c r="G1253" s="38"/>
      <c r="H1253" s="42"/>
      <c r="I1253" s="42"/>
      <c r="J1253" s="43"/>
      <c r="K1253" s="34"/>
      <c r="L1253" s="127"/>
      <c r="M1253" s="34"/>
      <c r="N1253" s="50"/>
      <c r="O1253" s="50"/>
      <c r="P1253" s="50"/>
      <c r="Q1253" s="121"/>
      <c r="R1253" s="121"/>
      <c r="S1253" s="121"/>
      <c r="T1253" s="34"/>
      <c r="U1253" s="35"/>
      <c r="V1253" s="37"/>
      <c r="W1253" s="35"/>
      <c r="X1253" s="122"/>
      <c r="AE1253" s="3"/>
    </row>
    <row r="1254" spans="1:31">
      <c r="A1254" s="39"/>
      <c r="B1254" s="118"/>
      <c r="C1254" s="119"/>
      <c r="D1254" s="119"/>
      <c r="E1254" s="120"/>
      <c r="F1254" s="119"/>
      <c r="G1254" s="38"/>
      <c r="H1254" s="42"/>
      <c r="I1254" s="42"/>
      <c r="J1254" s="43"/>
      <c r="K1254" s="34"/>
      <c r="L1254" s="127"/>
      <c r="M1254" s="34"/>
      <c r="N1254" s="50"/>
      <c r="O1254" s="50"/>
      <c r="P1254" s="50"/>
      <c r="Q1254" s="121"/>
      <c r="R1254" s="121"/>
      <c r="S1254" s="121"/>
      <c r="T1254" s="34"/>
      <c r="U1254" s="35"/>
      <c r="V1254" s="37"/>
      <c r="W1254" s="35"/>
      <c r="X1254" s="122"/>
      <c r="AE1254" s="3"/>
    </row>
    <row r="1255" spans="1:31">
      <c r="A1255" s="39"/>
      <c r="B1255" s="118"/>
      <c r="C1255" s="119"/>
      <c r="D1255" s="119"/>
      <c r="E1255" s="120"/>
      <c r="F1255" s="119"/>
      <c r="G1255" s="38"/>
      <c r="H1255" s="42"/>
      <c r="I1255" s="42"/>
      <c r="J1255" s="43"/>
      <c r="K1255" s="34"/>
      <c r="L1255" s="127"/>
      <c r="M1255" s="34"/>
      <c r="N1255" s="50"/>
      <c r="O1255" s="50"/>
      <c r="P1255" s="50"/>
      <c r="Q1255" s="121"/>
      <c r="R1255" s="121"/>
      <c r="S1255" s="121"/>
      <c r="T1255" s="34"/>
      <c r="U1255" s="35"/>
      <c r="V1255" s="37"/>
      <c r="W1255" s="35"/>
      <c r="X1255" s="122"/>
      <c r="AE1255" s="3"/>
    </row>
    <row r="1256" spans="1:31">
      <c r="A1256" s="39"/>
      <c r="B1256" s="118"/>
      <c r="C1256" s="119"/>
      <c r="D1256" s="119"/>
      <c r="E1256" s="120"/>
      <c r="F1256" s="119"/>
      <c r="G1256" s="38"/>
      <c r="H1256" s="42"/>
      <c r="I1256" s="42"/>
      <c r="J1256" s="43"/>
      <c r="K1256" s="34"/>
      <c r="L1256" s="127"/>
      <c r="M1256" s="34"/>
      <c r="N1256" s="50"/>
      <c r="O1256" s="50"/>
      <c r="P1256" s="50"/>
      <c r="Q1256" s="121"/>
      <c r="R1256" s="121"/>
      <c r="S1256" s="121"/>
      <c r="T1256" s="34"/>
      <c r="U1256" s="35"/>
      <c r="V1256" s="37"/>
      <c r="W1256" s="35"/>
      <c r="X1256" s="122"/>
      <c r="AE1256" s="3"/>
    </row>
    <row r="1257" spans="1:31">
      <c r="A1257" s="39"/>
      <c r="B1257" s="118"/>
      <c r="C1257" s="119"/>
      <c r="D1257" s="119"/>
      <c r="E1257" s="120"/>
      <c r="F1257" s="119"/>
      <c r="G1257" s="38"/>
      <c r="H1257" s="42"/>
      <c r="I1257" s="42"/>
      <c r="J1257" s="43"/>
      <c r="K1257" s="34"/>
      <c r="L1257" s="127"/>
      <c r="M1257" s="34"/>
      <c r="N1257" s="50"/>
      <c r="O1257" s="50"/>
      <c r="P1257" s="50"/>
      <c r="Q1257" s="121"/>
      <c r="R1257" s="121"/>
      <c r="S1257" s="121"/>
      <c r="T1257" s="34"/>
      <c r="U1257" s="35"/>
      <c r="V1257" s="37"/>
      <c r="W1257" s="35"/>
      <c r="X1257" s="122"/>
      <c r="AE1257" s="3"/>
    </row>
    <row r="1258" spans="1:31">
      <c r="A1258" s="39"/>
      <c r="B1258" s="118"/>
      <c r="C1258" s="119"/>
      <c r="D1258" s="119"/>
      <c r="E1258" s="120"/>
      <c r="F1258" s="119"/>
      <c r="G1258" s="38"/>
      <c r="H1258" s="42"/>
      <c r="I1258" s="42"/>
      <c r="J1258" s="43"/>
      <c r="K1258" s="34"/>
      <c r="L1258" s="127"/>
      <c r="M1258" s="34"/>
      <c r="N1258" s="50"/>
      <c r="O1258" s="50"/>
      <c r="P1258" s="50"/>
      <c r="Q1258" s="121"/>
      <c r="R1258" s="121"/>
      <c r="S1258" s="121"/>
      <c r="T1258" s="34"/>
      <c r="U1258" s="35"/>
      <c r="V1258" s="37"/>
      <c r="W1258" s="35"/>
      <c r="X1258" s="122"/>
      <c r="AE1258" s="3"/>
    </row>
    <row r="1259" spans="1:31">
      <c r="A1259" s="39"/>
      <c r="B1259" s="118"/>
      <c r="C1259" s="119"/>
      <c r="D1259" s="119"/>
      <c r="E1259" s="120"/>
      <c r="F1259" s="119"/>
      <c r="G1259" s="38"/>
      <c r="H1259" s="42"/>
      <c r="I1259" s="42"/>
      <c r="J1259" s="43"/>
      <c r="K1259" s="34"/>
      <c r="L1259" s="127"/>
      <c r="M1259" s="34"/>
      <c r="N1259" s="50"/>
      <c r="O1259" s="50"/>
      <c r="P1259" s="50"/>
      <c r="Q1259" s="121"/>
      <c r="R1259" s="121"/>
      <c r="S1259" s="121"/>
      <c r="T1259" s="34"/>
      <c r="U1259" s="35"/>
      <c r="V1259" s="37"/>
      <c r="W1259" s="35"/>
      <c r="X1259" s="122"/>
      <c r="AE1259" s="3"/>
    </row>
    <row r="1260" spans="1:31">
      <c r="A1260" s="39"/>
      <c r="B1260" s="118"/>
      <c r="C1260" s="119"/>
      <c r="D1260" s="119"/>
      <c r="E1260" s="120"/>
      <c r="F1260" s="119"/>
      <c r="G1260" s="38"/>
      <c r="H1260" s="42"/>
      <c r="I1260" s="42"/>
      <c r="J1260" s="43"/>
      <c r="K1260" s="34"/>
      <c r="L1260" s="127"/>
      <c r="M1260" s="34"/>
      <c r="N1260" s="50"/>
      <c r="O1260" s="50"/>
      <c r="P1260" s="50"/>
      <c r="Q1260" s="121"/>
      <c r="R1260" s="121"/>
      <c r="S1260" s="121"/>
      <c r="T1260" s="34"/>
      <c r="U1260" s="35"/>
      <c r="V1260" s="37"/>
      <c r="W1260" s="35"/>
      <c r="X1260" s="122"/>
      <c r="AE1260" s="3"/>
    </row>
    <row r="1261" spans="1:31">
      <c r="A1261" s="39"/>
      <c r="B1261" s="118"/>
      <c r="C1261" s="119"/>
      <c r="D1261" s="119"/>
      <c r="E1261" s="120"/>
      <c r="F1261" s="119"/>
      <c r="G1261" s="38"/>
      <c r="H1261" s="42"/>
      <c r="I1261" s="42"/>
      <c r="J1261" s="43"/>
      <c r="K1261" s="34"/>
      <c r="L1261" s="127"/>
      <c r="M1261" s="34"/>
      <c r="N1261" s="50"/>
      <c r="O1261" s="50"/>
      <c r="P1261" s="50"/>
      <c r="Q1261" s="121"/>
      <c r="R1261" s="121"/>
      <c r="S1261" s="121"/>
      <c r="T1261" s="34"/>
      <c r="U1261" s="35"/>
      <c r="V1261" s="37"/>
      <c r="W1261" s="35"/>
      <c r="X1261" s="122"/>
      <c r="AE1261" s="3"/>
    </row>
    <row r="1262" spans="1:31">
      <c r="A1262" s="39"/>
      <c r="B1262" s="118"/>
      <c r="C1262" s="119"/>
      <c r="D1262" s="119"/>
      <c r="E1262" s="120"/>
      <c r="F1262" s="119"/>
      <c r="G1262" s="38"/>
      <c r="H1262" s="42"/>
      <c r="I1262" s="42"/>
      <c r="J1262" s="43"/>
      <c r="K1262" s="34"/>
      <c r="L1262" s="127"/>
      <c r="M1262" s="34"/>
      <c r="N1262" s="50"/>
      <c r="O1262" s="50"/>
      <c r="P1262" s="50"/>
      <c r="Q1262" s="121"/>
      <c r="R1262" s="121"/>
      <c r="S1262" s="121"/>
      <c r="T1262" s="34"/>
      <c r="U1262" s="35"/>
      <c r="V1262" s="37"/>
      <c r="W1262" s="35"/>
      <c r="X1262" s="122"/>
      <c r="AE1262" s="3"/>
    </row>
    <row r="1263" spans="1:31">
      <c r="A1263" s="39"/>
      <c r="B1263" s="118"/>
      <c r="C1263" s="119"/>
      <c r="D1263" s="119"/>
      <c r="E1263" s="120"/>
      <c r="F1263" s="119"/>
      <c r="G1263" s="38"/>
      <c r="H1263" s="42"/>
      <c r="I1263" s="42"/>
      <c r="J1263" s="43"/>
      <c r="K1263" s="34"/>
      <c r="L1263" s="127"/>
      <c r="M1263" s="34"/>
      <c r="N1263" s="50"/>
      <c r="O1263" s="50"/>
      <c r="P1263" s="50"/>
      <c r="Q1263" s="121"/>
      <c r="R1263" s="121"/>
      <c r="S1263" s="121"/>
      <c r="T1263" s="34"/>
      <c r="U1263" s="35"/>
      <c r="V1263" s="37"/>
      <c r="W1263" s="35"/>
      <c r="X1263" s="122"/>
      <c r="AE1263" s="3"/>
    </row>
    <row r="1264" spans="1:31">
      <c r="A1264" s="39"/>
      <c r="B1264" s="118"/>
      <c r="C1264" s="119"/>
      <c r="D1264" s="119"/>
      <c r="E1264" s="120"/>
      <c r="F1264" s="119"/>
      <c r="G1264" s="38"/>
      <c r="H1264" s="42"/>
      <c r="I1264" s="42"/>
      <c r="J1264" s="43"/>
      <c r="K1264" s="34"/>
      <c r="L1264" s="127"/>
      <c r="M1264" s="34"/>
      <c r="N1264" s="50"/>
      <c r="O1264" s="50"/>
      <c r="P1264" s="50"/>
      <c r="Q1264" s="121"/>
      <c r="R1264" s="121"/>
      <c r="S1264" s="121"/>
      <c r="T1264" s="34"/>
      <c r="U1264" s="35"/>
      <c r="V1264" s="37"/>
      <c r="W1264" s="35"/>
      <c r="X1264" s="122"/>
      <c r="AE1264" s="3"/>
    </row>
    <row r="1265" spans="1:31">
      <c r="A1265" s="39"/>
      <c r="B1265" s="118"/>
      <c r="C1265" s="119"/>
      <c r="D1265" s="119"/>
      <c r="E1265" s="120"/>
      <c r="F1265" s="119"/>
      <c r="G1265" s="38"/>
      <c r="H1265" s="42"/>
      <c r="I1265" s="42"/>
      <c r="J1265" s="43"/>
      <c r="K1265" s="34"/>
      <c r="L1265" s="127"/>
      <c r="M1265" s="34"/>
      <c r="N1265" s="50"/>
      <c r="O1265" s="50"/>
      <c r="P1265" s="50"/>
      <c r="Q1265" s="121"/>
      <c r="R1265" s="121"/>
      <c r="S1265" s="121"/>
      <c r="T1265" s="34"/>
      <c r="U1265" s="35"/>
      <c r="V1265" s="37"/>
      <c r="W1265" s="35"/>
      <c r="X1265" s="122"/>
      <c r="AE1265" s="3"/>
    </row>
    <row r="1266" spans="1:31">
      <c r="A1266" s="39"/>
      <c r="B1266" s="118"/>
      <c r="C1266" s="119"/>
      <c r="D1266" s="119"/>
      <c r="E1266" s="120"/>
      <c r="F1266" s="119"/>
      <c r="G1266" s="38"/>
      <c r="H1266" s="42"/>
      <c r="I1266" s="42"/>
      <c r="J1266" s="43"/>
      <c r="K1266" s="34"/>
      <c r="L1266" s="127"/>
      <c r="M1266" s="34"/>
      <c r="N1266" s="50"/>
      <c r="O1266" s="50"/>
      <c r="P1266" s="50"/>
      <c r="Q1266" s="121"/>
      <c r="R1266" s="121"/>
      <c r="S1266" s="121"/>
      <c r="T1266" s="34"/>
      <c r="U1266" s="35"/>
      <c r="V1266" s="37"/>
      <c r="W1266" s="35"/>
      <c r="X1266" s="122"/>
      <c r="AE1266" s="3"/>
    </row>
    <row r="1267" spans="1:31">
      <c r="A1267" s="39"/>
      <c r="B1267" s="118"/>
      <c r="C1267" s="119"/>
      <c r="D1267" s="119"/>
      <c r="E1267" s="120"/>
      <c r="F1267" s="119"/>
      <c r="G1267" s="38"/>
      <c r="H1267" s="42"/>
      <c r="I1267" s="42"/>
      <c r="J1267" s="43"/>
      <c r="K1267" s="34"/>
      <c r="L1267" s="127"/>
      <c r="M1267" s="34"/>
      <c r="N1267" s="50"/>
      <c r="O1267" s="50"/>
      <c r="P1267" s="50"/>
      <c r="Q1267" s="121"/>
      <c r="R1267" s="121"/>
      <c r="S1267" s="121"/>
      <c r="T1267" s="34"/>
      <c r="U1267" s="35"/>
      <c r="V1267" s="37"/>
      <c r="W1267" s="35"/>
      <c r="X1267" s="122"/>
      <c r="AE1267" s="3"/>
    </row>
    <row r="1268" spans="1:31">
      <c r="A1268" s="39"/>
      <c r="B1268" s="118"/>
      <c r="C1268" s="119"/>
      <c r="D1268" s="119"/>
      <c r="E1268" s="120"/>
      <c r="F1268" s="119"/>
      <c r="G1268" s="38"/>
      <c r="H1268" s="42"/>
      <c r="I1268" s="42"/>
      <c r="J1268" s="43"/>
      <c r="K1268" s="34"/>
      <c r="L1268" s="127"/>
      <c r="M1268" s="34"/>
      <c r="N1268" s="50"/>
      <c r="O1268" s="50"/>
      <c r="P1268" s="50"/>
      <c r="Q1268" s="121"/>
      <c r="R1268" s="121"/>
      <c r="S1268" s="121"/>
      <c r="T1268" s="34"/>
      <c r="U1268" s="35"/>
      <c r="V1268" s="37"/>
      <c r="W1268" s="35"/>
      <c r="X1268" s="122"/>
      <c r="AE1268" s="3"/>
    </row>
    <row r="1269" spans="1:31">
      <c r="A1269" s="39"/>
      <c r="B1269" s="118"/>
      <c r="C1269" s="119"/>
      <c r="D1269" s="119"/>
      <c r="E1269" s="120"/>
      <c r="F1269" s="119"/>
      <c r="G1269" s="38"/>
      <c r="H1269" s="42"/>
      <c r="I1269" s="42"/>
      <c r="J1269" s="43"/>
      <c r="K1269" s="34"/>
      <c r="L1269" s="127"/>
      <c r="M1269" s="34"/>
      <c r="N1269" s="50"/>
      <c r="O1269" s="50"/>
      <c r="P1269" s="50"/>
      <c r="Q1269" s="121"/>
      <c r="R1269" s="121"/>
      <c r="S1269" s="121"/>
      <c r="T1269" s="34"/>
      <c r="U1269" s="35"/>
      <c r="V1269" s="37"/>
      <c r="W1269" s="35"/>
      <c r="X1269" s="122"/>
      <c r="AE1269" s="3"/>
    </row>
    <row r="1270" spans="1:31">
      <c r="A1270" s="39"/>
      <c r="B1270" s="118"/>
      <c r="C1270" s="119"/>
      <c r="D1270" s="119"/>
      <c r="E1270" s="120"/>
      <c r="F1270" s="119"/>
      <c r="G1270" s="38"/>
      <c r="H1270" s="42"/>
      <c r="I1270" s="42"/>
      <c r="J1270" s="43"/>
      <c r="K1270" s="34"/>
      <c r="L1270" s="127"/>
      <c r="M1270" s="34"/>
      <c r="N1270" s="50"/>
      <c r="O1270" s="50"/>
      <c r="P1270" s="50"/>
      <c r="Q1270" s="121"/>
      <c r="R1270" s="121"/>
      <c r="S1270" s="121"/>
      <c r="T1270" s="34"/>
      <c r="U1270" s="35"/>
      <c r="V1270" s="37"/>
      <c r="W1270" s="35"/>
      <c r="X1270" s="122"/>
      <c r="AE1270" s="3"/>
    </row>
    <row r="1271" spans="1:31">
      <c r="A1271" s="39"/>
      <c r="B1271" s="118"/>
      <c r="C1271" s="119"/>
      <c r="D1271" s="119"/>
      <c r="E1271" s="120"/>
      <c r="F1271" s="119"/>
      <c r="G1271" s="38"/>
      <c r="H1271" s="42"/>
      <c r="I1271" s="42"/>
      <c r="J1271" s="43"/>
      <c r="K1271" s="34"/>
      <c r="L1271" s="127"/>
      <c r="M1271" s="34"/>
      <c r="N1271" s="50"/>
      <c r="O1271" s="50"/>
      <c r="P1271" s="50"/>
      <c r="Q1271" s="121"/>
      <c r="R1271" s="121"/>
      <c r="S1271" s="121"/>
      <c r="T1271" s="34"/>
      <c r="U1271" s="35"/>
      <c r="V1271" s="37"/>
      <c r="W1271" s="35"/>
      <c r="X1271" s="122"/>
      <c r="AE1271" s="3"/>
    </row>
    <row r="1272" spans="1:31">
      <c r="A1272" s="39"/>
      <c r="B1272" s="118"/>
      <c r="C1272" s="119"/>
      <c r="D1272" s="119"/>
      <c r="E1272" s="120"/>
      <c r="F1272" s="119"/>
      <c r="G1272" s="38"/>
      <c r="H1272" s="42"/>
      <c r="I1272" s="42"/>
      <c r="J1272" s="43"/>
      <c r="K1272" s="34"/>
      <c r="L1272" s="127"/>
      <c r="M1272" s="34"/>
      <c r="N1272" s="50"/>
      <c r="O1272" s="50"/>
      <c r="P1272" s="50"/>
      <c r="Q1272" s="121"/>
      <c r="R1272" s="121"/>
      <c r="S1272" s="121"/>
      <c r="T1272" s="34"/>
      <c r="U1272" s="35"/>
      <c r="V1272" s="37"/>
      <c r="W1272" s="35"/>
      <c r="X1272" s="122"/>
      <c r="AE1272" s="3"/>
    </row>
    <row r="1273" spans="1:31">
      <c r="A1273" s="39"/>
      <c r="B1273" s="118"/>
      <c r="C1273" s="119"/>
      <c r="D1273" s="119"/>
      <c r="E1273" s="120"/>
      <c r="F1273" s="119"/>
      <c r="G1273" s="38"/>
      <c r="H1273" s="42"/>
      <c r="I1273" s="42"/>
      <c r="J1273" s="43"/>
      <c r="K1273" s="34"/>
      <c r="L1273" s="127"/>
      <c r="M1273" s="34"/>
      <c r="N1273" s="50"/>
      <c r="O1273" s="50"/>
      <c r="P1273" s="50"/>
      <c r="Q1273" s="121"/>
      <c r="R1273" s="121"/>
      <c r="S1273" s="121"/>
      <c r="T1273" s="34"/>
      <c r="U1273" s="35"/>
      <c r="V1273" s="37"/>
      <c r="W1273" s="35"/>
      <c r="X1273" s="122"/>
      <c r="AE1273" s="3"/>
    </row>
    <row r="1274" spans="1:31">
      <c r="A1274" s="39"/>
      <c r="B1274" s="118"/>
      <c r="C1274" s="119"/>
      <c r="D1274" s="119"/>
      <c r="E1274" s="120"/>
      <c r="F1274" s="119"/>
      <c r="G1274" s="38"/>
      <c r="H1274" s="42"/>
      <c r="I1274" s="42"/>
      <c r="J1274" s="43"/>
      <c r="K1274" s="34"/>
      <c r="L1274" s="127"/>
      <c r="M1274" s="34"/>
      <c r="N1274" s="50"/>
      <c r="O1274" s="50"/>
      <c r="P1274" s="50"/>
      <c r="Q1274" s="121"/>
      <c r="R1274" s="121"/>
      <c r="S1274" s="121"/>
      <c r="T1274" s="34"/>
      <c r="U1274" s="35"/>
      <c r="V1274" s="37"/>
      <c r="W1274" s="35"/>
      <c r="X1274" s="122"/>
      <c r="AE1274" s="3"/>
    </row>
    <row r="1275" spans="1:31">
      <c r="A1275" s="39"/>
      <c r="B1275" s="118"/>
      <c r="C1275" s="119"/>
      <c r="D1275" s="119"/>
      <c r="E1275" s="120"/>
      <c r="F1275" s="119"/>
      <c r="G1275" s="38"/>
      <c r="H1275" s="42"/>
      <c r="I1275" s="42"/>
      <c r="J1275" s="43"/>
      <c r="K1275" s="34"/>
      <c r="L1275" s="127"/>
      <c r="M1275" s="34"/>
      <c r="N1275" s="50"/>
      <c r="O1275" s="50"/>
      <c r="P1275" s="50"/>
      <c r="Q1275" s="121"/>
      <c r="R1275" s="121"/>
      <c r="S1275" s="121"/>
      <c r="T1275" s="34"/>
      <c r="U1275" s="35"/>
      <c r="V1275" s="37"/>
      <c r="W1275" s="35"/>
      <c r="X1275" s="122"/>
      <c r="AE1275" s="3"/>
    </row>
    <row r="1276" spans="1:31">
      <c r="A1276" s="39"/>
      <c r="B1276" s="118"/>
      <c r="C1276" s="119"/>
      <c r="D1276" s="119"/>
      <c r="E1276" s="120"/>
      <c r="F1276" s="119"/>
      <c r="G1276" s="38"/>
      <c r="H1276" s="42"/>
      <c r="I1276" s="42"/>
      <c r="J1276" s="43"/>
      <c r="K1276" s="34"/>
      <c r="L1276" s="127"/>
      <c r="M1276" s="34"/>
      <c r="N1276" s="50"/>
      <c r="O1276" s="50"/>
      <c r="P1276" s="50"/>
      <c r="Q1276" s="121"/>
      <c r="R1276" s="121"/>
      <c r="S1276" s="121"/>
      <c r="T1276" s="34"/>
      <c r="U1276" s="35"/>
      <c r="V1276" s="37"/>
      <c r="W1276" s="35"/>
      <c r="X1276" s="122"/>
      <c r="AE1276" s="3"/>
    </row>
    <row r="1277" spans="1:31">
      <c r="A1277" s="39"/>
      <c r="B1277" s="118"/>
      <c r="C1277" s="119"/>
      <c r="D1277" s="119"/>
      <c r="E1277" s="120"/>
      <c r="F1277" s="119"/>
      <c r="G1277" s="38"/>
      <c r="H1277" s="42"/>
      <c r="I1277" s="42"/>
      <c r="J1277" s="43"/>
      <c r="K1277" s="34"/>
      <c r="L1277" s="127"/>
      <c r="M1277" s="34"/>
      <c r="N1277" s="50"/>
      <c r="O1277" s="50"/>
      <c r="P1277" s="50"/>
      <c r="Q1277" s="121"/>
      <c r="R1277" s="121"/>
      <c r="S1277" s="121"/>
      <c r="T1277" s="34"/>
      <c r="U1277" s="35"/>
      <c r="V1277" s="37"/>
      <c r="W1277" s="35"/>
      <c r="X1277" s="122"/>
      <c r="AE1277" s="3"/>
    </row>
    <row r="1278" spans="1:31">
      <c r="A1278" s="39"/>
      <c r="B1278" s="118"/>
      <c r="C1278" s="119"/>
      <c r="D1278" s="119"/>
      <c r="E1278" s="120"/>
      <c r="F1278" s="119"/>
      <c r="G1278" s="38"/>
      <c r="H1278" s="42"/>
      <c r="I1278" s="42"/>
      <c r="J1278" s="43"/>
      <c r="K1278" s="34"/>
      <c r="L1278" s="127"/>
      <c r="M1278" s="34"/>
      <c r="N1278" s="50"/>
      <c r="O1278" s="50"/>
      <c r="P1278" s="50"/>
      <c r="Q1278" s="121"/>
      <c r="R1278" s="121"/>
      <c r="S1278" s="121"/>
      <c r="T1278" s="34"/>
      <c r="U1278" s="35"/>
      <c r="V1278" s="37"/>
      <c r="W1278" s="35"/>
      <c r="X1278" s="122"/>
      <c r="AE1278" s="3"/>
    </row>
    <row r="1279" spans="1:31">
      <c r="A1279" s="39"/>
      <c r="B1279" s="118"/>
      <c r="C1279" s="119"/>
      <c r="D1279" s="119"/>
      <c r="E1279" s="120"/>
      <c r="F1279" s="119"/>
      <c r="G1279" s="38"/>
      <c r="H1279" s="42"/>
      <c r="I1279" s="42"/>
      <c r="J1279" s="43"/>
      <c r="K1279" s="34"/>
      <c r="L1279" s="127"/>
      <c r="M1279" s="34"/>
      <c r="N1279" s="50"/>
      <c r="O1279" s="50"/>
      <c r="P1279" s="50"/>
      <c r="Q1279" s="121"/>
      <c r="R1279" s="121"/>
      <c r="S1279" s="121"/>
      <c r="T1279" s="34"/>
      <c r="U1279" s="35"/>
      <c r="V1279" s="37"/>
      <c r="W1279" s="35"/>
      <c r="X1279" s="122"/>
      <c r="AE1279" s="3"/>
    </row>
    <row r="1280" spans="1:31">
      <c r="A1280" s="39"/>
      <c r="B1280" s="118"/>
      <c r="C1280" s="119"/>
      <c r="D1280" s="119"/>
      <c r="E1280" s="120"/>
      <c r="F1280" s="119"/>
      <c r="G1280" s="38"/>
      <c r="H1280" s="42"/>
      <c r="I1280" s="42"/>
      <c r="J1280" s="43"/>
      <c r="K1280" s="34"/>
      <c r="L1280" s="127"/>
      <c r="M1280" s="34"/>
      <c r="N1280" s="50"/>
      <c r="O1280" s="50"/>
      <c r="P1280" s="50"/>
      <c r="Q1280" s="121"/>
      <c r="R1280" s="121"/>
      <c r="S1280" s="121"/>
      <c r="T1280" s="34"/>
      <c r="U1280" s="35"/>
      <c r="V1280" s="37"/>
      <c r="W1280" s="35"/>
      <c r="X1280" s="122"/>
      <c r="AE1280" s="3"/>
    </row>
    <row r="1281" spans="1:31">
      <c r="A1281" s="39"/>
      <c r="B1281" s="118"/>
      <c r="C1281" s="119"/>
      <c r="D1281" s="119"/>
      <c r="E1281" s="120"/>
      <c r="F1281" s="119"/>
      <c r="G1281" s="38"/>
      <c r="H1281" s="42"/>
      <c r="I1281" s="42"/>
      <c r="J1281" s="43"/>
      <c r="K1281" s="34"/>
      <c r="L1281" s="127"/>
      <c r="M1281" s="34"/>
      <c r="N1281" s="50"/>
      <c r="O1281" s="50"/>
      <c r="P1281" s="50"/>
      <c r="Q1281" s="121"/>
      <c r="R1281" s="121"/>
      <c r="S1281" s="121"/>
      <c r="T1281" s="34"/>
      <c r="U1281" s="35"/>
      <c r="V1281" s="37"/>
      <c r="W1281" s="35"/>
      <c r="X1281" s="122"/>
      <c r="AE1281" s="3"/>
    </row>
    <row r="1282" spans="1:31">
      <c r="A1282" s="39"/>
      <c r="B1282" s="118"/>
      <c r="C1282" s="119"/>
      <c r="D1282" s="119"/>
      <c r="E1282" s="120"/>
      <c r="F1282" s="119"/>
      <c r="G1282" s="38"/>
      <c r="H1282" s="42"/>
      <c r="I1282" s="42"/>
      <c r="J1282" s="43"/>
      <c r="K1282" s="34"/>
      <c r="L1282" s="127"/>
      <c r="M1282" s="34"/>
      <c r="N1282" s="50"/>
      <c r="O1282" s="50"/>
      <c r="P1282" s="50"/>
      <c r="Q1282" s="121"/>
      <c r="R1282" s="121"/>
      <c r="S1282" s="121"/>
      <c r="T1282" s="34"/>
      <c r="U1282" s="35"/>
      <c r="V1282" s="37"/>
      <c r="W1282" s="35"/>
      <c r="X1282" s="122"/>
      <c r="AE1282" s="3"/>
    </row>
    <row r="1283" spans="1:31">
      <c r="A1283" s="39"/>
      <c r="B1283" s="118"/>
      <c r="C1283" s="119"/>
      <c r="D1283" s="119"/>
      <c r="E1283" s="120"/>
      <c r="F1283" s="119"/>
      <c r="G1283" s="38"/>
      <c r="H1283" s="42"/>
      <c r="I1283" s="42"/>
      <c r="J1283" s="43"/>
      <c r="K1283" s="34"/>
      <c r="L1283" s="127"/>
      <c r="M1283" s="34"/>
      <c r="N1283" s="50"/>
      <c r="O1283" s="50"/>
      <c r="P1283" s="50"/>
      <c r="Q1283" s="121"/>
      <c r="R1283" s="121"/>
      <c r="S1283" s="121"/>
      <c r="T1283" s="34"/>
      <c r="U1283" s="35"/>
      <c r="V1283" s="37"/>
      <c r="W1283" s="35"/>
      <c r="X1283" s="122"/>
      <c r="AE1283" s="3"/>
    </row>
    <row r="1284" spans="1:31">
      <c r="A1284" s="39"/>
      <c r="B1284" s="118"/>
      <c r="C1284" s="119"/>
      <c r="D1284" s="119"/>
      <c r="E1284" s="120"/>
      <c r="F1284" s="119"/>
      <c r="G1284" s="38"/>
      <c r="H1284" s="42"/>
      <c r="I1284" s="42"/>
      <c r="J1284" s="43"/>
      <c r="K1284" s="34"/>
      <c r="L1284" s="127"/>
      <c r="M1284" s="34"/>
      <c r="N1284" s="50"/>
      <c r="O1284" s="50"/>
      <c r="P1284" s="50"/>
      <c r="Q1284" s="121"/>
      <c r="R1284" s="121"/>
      <c r="S1284" s="121"/>
      <c r="T1284" s="34"/>
      <c r="U1284" s="35"/>
      <c r="V1284" s="37"/>
      <c r="W1284" s="35"/>
      <c r="X1284" s="122"/>
      <c r="AE1284" s="3"/>
    </row>
    <row r="1285" spans="1:31">
      <c r="A1285" s="39"/>
      <c r="B1285" s="118"/>
      <c r="C1285" s="119"/>
      <c r="D1285" s="119"/>
      <c r="E1285" s="120"/>
      <c r="F1285" s="119"/>
      <c r="G1285" s="38"/>
      <c r="H1285" s="42"/>
      <c r="I1285" s="42"/>
      <c r="J1285" s="43"/>
      <c r="K1285" s="34"/>
      <c r="L1285" s="127"/>
      <c r="M1285" s="34"/>
      <c r="N1285" s="50"/>
      <c r="O1285" s="50"/>
      <c r="P1285" s="50"/>
      <c r="Q1285" s="121"/>
      <c r="R1285" s="121"/>
      <c r="S1285" s="121"/>
      <c r="T1285" s="34"/>
      <c r="U1285" s="35"/>
      <c r="V1285" s="37"/>
      <c r="W1285" s="35"/>
      <c r="X1285" s="122"/>
      <c r="AE1285" s="3"/>
    </row>
    <row r="1286" spans="1:31">
      <c r="A1286" s="39"/>
      <c r="B1286" s="118"/>
      <c r="C1286" s="119"/>
      <c r="D1286" s="119"/>
      <c r="E1286" s="120"/>
      <c r="F1286" s="119"/>
      <c r="G1286" s="38"/>
      <c r="H1286" s="42"/>
      <c r="I1286" s="42"/>
      <c r="J1286" s="43"/>
      <c r="K1286" s="34"/>
      <c r="L1286" s="127"/>
      <c r="M1286" s="34"/>
      <c r="N1286" s="50"/>
      <c r="O1286" s="50"/>
      <c r="P1286" s="50"/>
      <c r="Q1286" s="121"/>
      <c r="R1286" s="121"/>
      <c r="S1286" s="121"/>
      <c r="T1286" s="34"/>
      <c r="U1286" s="35"/>
      <c r="V1286" s="37"/>
      <c r="W1286" s="35"/>
      <c r="X1286" s="122"/>
      <c r="AE1286" s="3"/>
    </row>
    <row r="1287" spans="1:31">
      <c r="A1287" s="39"/>
      <c r="B1287" s="118"/>
      <c r="C1287" s="119"/>
      <c r="D1287" s="119"/>
      <c r="E1287" s="120"/>
      <c r="F1287" s="119"/>
      <c r="G1287" s="38"/>
      <c r="H1287" s="42"/>
      <c r="I1287" s="42"/>
      <c r="J1287" s="43"/>
      <c r="K1287" s="34"/>
      <c r="L1287" s="127"/>
      <c r="M1287" s="34"/>
      <c r="N1287" s="50"/>
      <c r="O1287" s="50"/>
      <c r="P1287" s="50"/>
      <c r="Q1287" s="121"/>
      <c r="R1287" s="121"/>
      <c r="S1287" s="121"/>
      <c r="T1287" s="34"/>
      <c r="U1287" s="35"/>
      <c r="V1287" s="37"/>
      <c r="W1287" s="35"/>
      <c r="X1287" s="122"/>
      <c r="AE1287" s="3"/>
    </row>
    <row r="1288" spans="1:31">
      <c r="A1288" s="39"/>
      <c r="B1288" s="118"/>
      <c r="C1288" s="119"/>
      <c r="D1288" s="119"/>
      <c r="E1288" s="120"/>
      <c r="F1288" s="119"/>
      <c r="G1288" s="38"/>
      <c r="H1288" s="42"/>
      <c r="I1288" s="42"/>
      <c r="J1288" s="43"/>
      <c r="K1288" s="34"/>
      <c r="L1288" s="127"/>
      <c r="M1288" s="34"/>
      <c r="N1288" s="50"/>
      <c r="O1288" s="50"/>
      <c r="P1288" s="50"/>
      <c r="Q1288" s="121"/>
      <c r="R1288" s="121"/>
      <c r="S1288" s="121"/>
      <c r="T1288" s="34"/>
      <c r="U1288" s="35"/>
      <c r="V1288" s="37"/>
      <c r="W1288" s="35"/>
      <c r="X1288" s="122"/>
      <c r="AE1288" s="3"/>
    </row>
    <row r="1289" spans="1:31">
      <c r="A1289" s="39"/>
      <c r="B1289" s="118"/>
      <c r="C1289" s="119"/>
      <c r="D1289" s="119"/>
      <c r="E1289" s="120"/>
      <c r="F1289" s="119"/>
      <c r="G1289" s="38"/>
      <c r="H1289" s="42"/>
      <c r="I1289" s="42"/>
      <c r="J1289" s="43"/>
      <c r="K1289" s="34"/>
      <c r="L1289" s="127"/>
      <c r="M1289" s="34"/>
      <c r="N1289" s="50"/>
      <c r="O1289" s="50"/>
      <c r="P1289" s="50"/>
      <c r="Q1289" s="121"/>
      <c r="R1289" s="121"/>
      <c r="S1289" s="121"/>
      <c r="T1289" s="34"/>
      <c r="U1289" s="35"/>
      <c r="V1289" s="37"/>
      <c r="W1289" s="35"/>
      <c r="X1289" s="122"/>
      <c r="AE1289" s="3"/>
    </row>
    <row r="1290" spans="1:31">
      <c r="A1290" s="39"/>
      <c r="B1290" s="118"/>
      <c r="C1290" s="119"/>
      <c r="D1290" s="119"/>
      <c r="E1290" s="120"/>
      <c r="F1290" s="119"/>
      <c r="G1290" s="38"/>
      <c r="H1290" s="42"/>
      <c r="I1290" s="42"/>
      <c r="J1290" s="43"/>
      <c r="K1290" s="34"/>
      <c r="L1290" s="127"/>
      <c r="M1290" s="34"/>
      <c r="N1290" s="50"/>
      <c r="O1290" s="50"/>
      <c r="P1290" s="50"/>
      <c r="Q1290" s="121"/>
      <c r="R1290" s="121"/>
      <c r="S1290" s="121"/>
      <c r="T1290" s="34"/>
      <c r="U1290" s="35"/>
      <c r="V1290" s="37"/>
      <c r="W1290" s="35"/>
      <c r="X1290" s="122"/>
      <c r="AE1290" s="3"/>
    </row>
    <row r="1291" spans="1:31">
      <c r="A1291" s="39"/>
      <c r="B1291" s="118"/>
      <c r="C1291" s="119"/>
      <c r="D1291" s="119"/>
      <c r="E1291" s="120"/>
      <c r="F1291" s="119"/>
      <c r="G1291" s="38"/>
      <c r="H1291" s="42"/>
      <c r="I1291" s="42"/>
      <c r="J1291" s="43"/>
      <c r="K1291" s="34"/>
      <c r="L1291" s="127"/>
      <c r="M1291" s="34"/>
      <c r="N1291" s="50"/>
      <c r="O1291" s="50"/>
      <c r="P1291" s="50"/>
      <c r="Q1291" s="121"/>
      <c r="R1291" s="121"/>
      <c r="S1291" s="121"/>
      <c r="T1291" s="34"/>
      <c r="U1291" s="35"/>
      <c r="V1291" s="37"/>
      <c r="W1291" s="35"/>
      <c r="X1291" s="122"/>
      <c r="AE1291" s="3"/>
    </row>
    <row r="1292" spans="1:31">
      <c r="A1292" s="39"/>
      <c r="B1292" s="118"/>
      <c r="C1292" s="119"/>
      <c r="D1292" s="119"/>
      <c r="E1292" s="120"/>
      <c r="F1292" s="119"/>
      <c r="G1292" s="38"/>
      <c r="H1292" s="42"/>
      <c r="I1292" s="42"/>
      <c r="J1292" s="43"/>
      <c r="K1292" s="34"/>
      <c r="L1292" s="127"/>
      <c r="M1292" s="34"/>
      <c r="N1292" s="50"/>
      <c r="O1292" s="50"/>
      <c r="P1292" s="50"/>
      <c r="Q1292" s="121"/>
      <c r="R1292" s="121"/>
      <c r="S1292" s="121"/>
      <c r="T1292" s="34"/>
      <c r="U1292" s="35"/>
      <c r="V1292" s="37"/>
      <c r="W1292" s="35"/>
      <c r="X1292" s="122"/>
      <c r="AE1292" s="3"/>
    </row>
    <row r="1293" spans="1:31">
      <c r="A1293" s="39"/>
      <c r="B1293" s="118"/>
      <c r="C1293" s="119"/>
      <c r="D1293" s="119"/>
      <c r="E1293" s="120"/>
      <c r="F1293" s="119"/>
      <c r="G1293" s="38"/>
      <c r="H1293" s="42"/>
      <c r="I1293" s="42"/>
      <c r="J1293" s="43"/>
      <c r="K1293" s="34"/>
      <c r="L1293" s="127"/>
      <c r="M1293" s="34"/>
      <c r="N1293" s="50"/>
      <c r="O1293" s="50"/>
      <c r="P1293" s="50"/>
      <c r="Q1293" s="121"/>
      <c r="R1293" s="121"/>
      <c r="S1293" s="121"/>
      <c r="T1293" s="34"/>
      <c r="U1293" s="35"/>
      <c r="V1293" s="37"/>
      <c r="W1293" s="35"/>
      <c r="X1293" s="122"/>
      <c r="AE1293" s="3"/>
    </row>
    <row r="1294" spans="1:31">
      <c r="A1294" s="39"/>
      <c r="B1294" s="118"/>
      <c r="C1294" s="119"/>
      <c r="D1294" s="119"/>
      <c r="E1294" s="120"/>
      <c r="F1294" s="119"/>
      <c r="G1294" s="38"/>
      <c r="H1294" s="42"/>
      <c r="I1294" s="42"/>
      <c r="J1294" s="43"/>
      <c r="K1294" s="34"/>
      <c r="L1294" s="127"/>
      <c r="M1294" s="34"/>
      <c r="N1294" s="50"/>
      <c r="O1294" s="50"/>
      <c r="P1294" s="50"/>
      <c r="Q1294" s="121"/>
      <c r="R1294" s="121"/>
      <c r="S1294" s="121"/>
      <c r="T1294" s="34"/>
      <c r="U1294" s="35"/>
      <c r="V1294" s="37"/>
      <c r="W1294" s="35"/>
      <c r="X1294" s="122"/>
      <c r="AE1294" s="3"/>
    </row>
    <row r="1295" spans="1:31">
      <c r="A1295" s="39"/>
      <c r="B1295" s="118"/>
      <c r="C1295" s="119"/>
      <c r="D1295" s="119"/>
      <c r="E1295" s="120"/>
      <c r="F1295" s="119"/>
      <c r="G1295" s="38"/>
      <c r="H1295" s="42"/>
      <c r="I1295" s="42"/>
      <c r="J1295" s="43"/>
      <c r="K1295" s="34"/>
      <c r="L1295" s="127"/>
      <c r="M1295" s="34"/>
      <c r="N1295" s="50"/>
      <c r="O1295" s="50"/>
      <c r="P1295" s="50"/>
      <c r="Q1295" s="121"/>
      <c r="R1295" s="121"/>
      <c r="S1295" s="121"/>
      <c r="T1295" s="34"/>
      <c r="U1295" s="35"/>
      <c r="V1295" s="37"/>
      <c r="W1295" s="35"/>
      <c r="X1295" s="122"/>
      <c r="AE1295" s="3"/>
    </row>
    <row r="1296" spans="1:31">
      <c r="A1296" s="39"/>
      <c r="B1296" s="118"/>
      <c r="C1296" s="119"/>
      <c r="D1296" s="119"/>
      <c r="E1296" s="120"/>
      <c r="F1296" s="119"/>
      <c r="G1296" s="38"/>
      <c r="H1296" s="42"/>
      <c r="I1296" s="42"/>
      <c r="J1296" s="43"/>
      <c r="K1296" s="34"/>
      <c r="L1296" s="127"/>
      <c r="M1296" s="34"/>
      <c r="N1296" s="50"/>
      <c r="O1296" s="50"/>
      <c r="P1296" s="50"/>
      <c r="Q1296" s="121"/>
      <c r="R1296" s="121"/>
      <c r="S1296" s="121"/>
      <c r="T1296" s="34"/>
      <c r="U1296" s="35"/>
      <c r="V1296" s="37"/>
      <c r="W1296" s="35"/>
      <c r="X1296" s="122"/>
      <c r="AE1296" s="3"/>
    </row>
    <row r="1297" spans="1:31">
      <c r="A1297" s="39"/>
      <c r="B1297" s="118"/>
      <c r="C1297" s="119"/>
      <c r="D1297" s="119"/>
      <c r="E1297" s="120"/>
      <c r="F1297" s="119"/>
      <c r="G1297" s="38"/>
      <c r="H1297" s="42"/>
      <c r="I1297" s="42"/>
      <c r="J1297" s="43"/>
      <c r="K1297" s="34"/>
      <c r="L1297" s="127"/>
      <c r="M1297" s="34"/>
      <c r="N1297" s="50"/>
      <c r="O1297" s="50"/>
      <c r="P1297" s="50"/>
      <c r="Q1297" s="121"/>
      <c r="R1297" s="121"/>
      <c r="S1297" s="121"/>
      <c r="T1297" s="34"/>
      <c r="U1297" s="35"/>
      <c r="V1297" s="37"/>
      <c r="W1297" s="35"/>
      <c r="X1297" s="122"/>
      <c r="AE1297" s="3"/>
    </row>
    <row r="1298" spans="1:31">
      <c r="A1298" s="39"/>
      <c r="B1298" s="118"/>
      <c r="C1298" s="119"/>
      <c r="D1298" s="119"/>
      <c r="E1298" s="120"/>
      <c r="F1298" s="119"/>
      <c r="G1298" s="38"/>
      <c r="H1298" s="42"/>
      <c r="I1298" s="42"/>
      <c r="J1298" s="43"/>
      <c r="K1298" s="34"/>
      <c r="L1298" s="127"/>
      <c r="M1298" s="34"/>
      <c r="N1298" s="50"/>
      <c r="O1298" s="50"/>
      <c r="P1298" s="50"/>
      <c r="Q1298" s="121"/>
      <c r="R1298" s="121"/>
      <c r="S1298" s="121"/>
      <c r="T1298" s="34"/>
      <c r="U1298" s="35"/>
      <c r="V1298" s="37"/>
      <c r="W1298" s="35"/>
      <c r="X1298" s="122"/>
      <c r="AE1298" s="3"/>
    </row>
    <row r="1299" spans="1:31">
      <c r="A1299" s="39"/>
      <c r="B1299" s="118"/>
      <c r="C1299" s="119"/>
      <c r="D1299" s="119"/>
      <c r="E1299" s="120"/>
      <c r="F1299" s="119"/>
      <c r="G1299" s="38"/>
      <c r="H1299" s="42"/>
      <c r="I1299" s="42"/>
      <c r="J1299" s="43"/>
      <c r="K1299" s="34"/>
      <c r="L1299" s="127"/>
      <c r="M1299" s="34"/>
      <c r="N1299" s="50"/>
      <c r="O1299" s="50"/>
      <c r="P1299" s="50"/>
      <c r="Q1299" s="121"/>
      <c r="R1299" s="121"/>
      <c r="S1299" s="121"/>
      <c r="T1299" s="34"/>
      <c r="U1299" s="35"/>
      <c r="V1299" s="37"/>
      <c r="W1299" s="35"/>
      <c r="X1299" s="122"/>
      <c r="AE1299" s="3"/>
    </row>
    <row r="1300" spans="1:31">
      <c r="A1300" s="39"/>
      <c r="B1300" s="118"/>
      <c r="C1300" s="119"/>
      <c r="D1300" s="119"/>
      <c r="E1300" s="120"/>
      <c r="F1300" s="119"/>
      <c r="G1300" s="38"/>
      <c r="H1300" s="42"/>
      <c r="I1300" s="42"/>
      <c r="J1300" s="43"/>
      <c r="K1300" s="34"/>
      <c r="L1300" s="127"/>
      <c r="M1300" s="34"/>
      <c r="N1300" s="50"/>
      <c r="O1300" s="50"/>
      <c r="P1300" s="50"/>
      <c r="Q1300" s="121"/>
      <c r="R1300" s="121"/>
      <c r="S1300" s="121"/>
      <c r="T1300" s="34"/>
      <c r="U1300" s="35"/>
      <c r="V1300" s="37"/>
      <c r="W1300" s="35"/>
      <c r="X1300" s="122"/>
      <c r="AE1300" s="3"/>
    </row>
    <row r="1301" spans="1:31">
      <c r="A1301" s="39"/>
      <c r="B1301" s="118"/>
      <c r="C1301" s="119"/>
      <c r="D1301" s="119"/>
      <c r="E1301" s="120"/>
      <c r="F1301" s="119"/>
      <c r="G1301" s="38"/>
      <c r="H1301" s="42"/>
      <c r="I1301" s="42"/>
      <c r="J1301" s="43"/>
      <c r="K1301" s="34"/>
      <c r="L1301" s="127"/>
      <c r="M1301" s="34"/>
      <c r="N1301" s="50"/>
      <c r="O1301" s="50"/>
      <c r="P1301" s="50"/>
      <c r="Q1301" s="121"/>
      <c r="R1301" s="121"/>
      <c r="S1301" s="121"/>
      <c r="T1301" s="34"/>
      <c r="U1301" s="35"/>
      <c r="V1301" s="37"/>
      <c r="W1301" s="35"/>
      <c r="X1301" s="122"/>
      <c r="AE1301" s="3"/>
    </row>
    <row r="1302" spans="1:31">
      <c r="A1302" s="39"/>
      <c r="B1302" s="118"/>
      <c r="C1302" s="119"/>
      <c r="D1302" s="119"/>
      <c r="E1302" s="120"/>
      <c r="F1302" s="119"/>
      <c r="G1302" s="38"/>
      <c r="H1302" s="42"/>
      <c r="I1302" s="42"/>
      <c r="J1302" s="43"/>
      <c r="K1302" s="34"/>
      <c r="L1302" s="127"/>
      <c r="M1302" s="34"/>
      <c r="N1302" s="50"/>
      <c r="O1302" s="50"/>
      <c r="P1302" s="50"/>
      <c r="Q1302" s="121"/>
      <c r="R1302" s="121"/>
      <c r="S1302" s="121"/>
      <c r="T1302" s="34"/>
      <c r="U1302" s="35"/>
      <c r="V1302" s="37"/>
      <c r="W1302" s="35"/>
      <c r="X1302" s="122"/>
      <c r="AE1302" s="3"/>
    </row>
    <row r="1303" spans="1:31">
      <c r="A1303" s="39"/>
      <c r="B1303" s="118"/>
      <c r="C1303" s="119"/>
      <c r="D1303" s="119"/>
      <c r="E1303" s="120"/>
      <c r="F1303" s="119"/>
      <c r="G1303" s="38"/>
      <c r="H1303" s="42"/>
      <c r="I1303" s="42"/>
      <c r="J1303" s="43"/>
      <c r="K1303" s="34"/>
      <c r="L1303" s="127"/>
      <c r="M1303" s="34"/>
      <c r="N1303" s="50"/>
      <c r="O1303" s="50"/>
      <c r="P1303" s="50"/>
      <c r="Q1303" s="121"/>
      <c r="R1303" s="121"/>
      <c r="S1303" s="121"/>
      <c r="T1303" s="34"/>
      <c r="U1303" s="35"/>
      <c r="V1303" s="37"/>
      <c r="W1303" s="35"/>
      <c r="X1303" s="122"/>
      <c r="AE1303" s="3"/>
    </row>
    <row r="1304" spans="1:31">
      <c r="A1304" s="39"/>
      <c r="B1304" s="118"/>
      <c r="C1304" s="119"/>
      <c r="D1304" s="119"/>
      <c r="E1304" s="120"/>
      <c r="F1304" s="119"/>
      <c r="G1304" s="38"/>
      <c r="H1304" s="42"/>
      <c r="I1304" s="42"/>
      <c r="J1304" s="43"/>
      <c r="K1304" s="34"/>
      <c r="L1304" s="127"/>
      <c r="M1304" s="34"/>
      <c r="N1304" s="50"/>
      <c r="O1304" s="50"/>
      <c r="P1304" s="50"/>
      <c r="Q1304" s="121"/>
      <c r="R1304" s="121"/>
      <c r="S1304" s="121"/>
      <c r="T1304" s="34"/>
      <c r="U1304" s="35"/>
      <c r="V1304" s="37"/>
      <c r="W1304" s="35"/>
      <c r="X1304" s="122"/>
      <c r="AE1304" s="3"/>
    </row>
    <row r="1305" spans="1:31">
      <c r="A1305" s="39"/>
      <c r="B1305" s="118"/>
      <c r="C1305" s="119"/>
      <c r="D1305" s="119"/>
      <c r="E1305" s="120"/>
      <c r="F1305" s="119"/>
      <c r="G1305" s="38"/>
      <c r="H1305" s="42"/>
      <c r="I1305" s="42"/>
      <c r="J1305" s="43"/>
      <c r="K1305" s="34"/>
      <c r="L1305" s="127"/>
      <c r="M1305" s="34"/>
      <c r="N1305" s="50"/>
      <c r="O1305" s="50"/>
      <c r="P1305" s="50"/>
      <c r="Q1305" s="121"/>
      <c r="R1305" s="121"/>
      <c r="S1305" s="121"/>
      <c r="T1305" s="34"/>
      <c r="U1305" s="35"/>
      <c r="V1305" s="37"/>
      <c r="W1305" s="35"/>
      <c r="X1305" s="122"/>
      <c r="AE1305" s="3"/>
    </row>
    <row r="1306" spans="1:31">
      <c r="A1306" s="39"/>
      <c r="B1306" s="118"/>
      <c r="C1306" s="119"/>
      <c r="D1306" s="119"/>
      <c r="E1306" s="120"/>
      <c r="F1306" s="119"/>
      <c r="G1306" s="38"/>
      <c r="H1306" s="42"/>
      <c r="I1306" s="42"/>
      <c r="J1306" s="43"/>
      <c r="K1306" s="34"/>
      <c r="L1306" s="127"/>
      <c r="M1306" s="34"/>
      <c r="N1306" s="50"/>
      <c r="O1306" s="50"/>
      <c r="P1306" s="50"/>
      <c r="Q1306" s="121"/>
      <c r="R1306" s="121"/>
      <c r="S1306" s="121"/>
      <c r="T1306" s="34"/>
      <c r="U1306" s="35"/>
      <c r="V1306" s="37"/>
      <c r="W1306" s="35"/>
      <c r="X1306" s="122"/>
      <c r="AE1306" s="3"/>
    </row>
    <row r="1307" spans="1:31">
      <c r="A1307" s="39"/>
      <c r="B1307" s="118"/>
      <c r="C1307" s="119"/>
      <c r="D1307" s="119"/>
      <c r="E1307" s="120"/>
      <c r="F1307" s="119"/>
      <c r="G1307" s="38"/>
      <c r="H1307" s="42"/>
      <c r="I1307" s="42"/>
      <c r="J1307" s="43"/>
      <c r="K1307" s="34"/>
      <c r="L1307" s="127"/>
      <c r="M1307" s="34"/>
      <c r="N1307" s="50"/>
      <c r="O1307" s="50"/>
      <c r="P1307" s="50"/>
      <c r="Q1307" s="121"/>
      <c r="R1307" s="121"/>
      <c r="S1307" s="121"/>
      <c r="T1307" s="34"/>
      <c r="U1307" s="35"/>
      <c r="V1307" s="37"/>
      <c r="W1307" s="35"/>
      <c r="X1307" s="122"/>
      <c r="AE1307" s="3"/>
    </row>
    <row r="1308" spans="1:31">
      <c r="A1308" s="39"/>
      <c r="B1308" s="118"/>
      <c r="C1308" s="119"/>
      <c r="D1308" s="119"/>
      <c r="E1308" s="120"/>
      <c r="F1308" s="119"/>
      <c r="G1308" s="38"/>
      <c r="H1308" s="42"/>
      <c r="I1308" s="42"/>
      <c r="J1308" s="43"/>
      <c r="K1308" s="34"/>
      <c r="L1308" s="127"/>
      <c r="M1308" s="34"/>
      <c r="N1308" s="50"/>
      <c r="O1308" s="50"/>
      <c r="P1308" s="50"/>
      <c r="Q1308" s="121"/>
      <c r="R1308" s="121"/>
      <c r="S1308" s="121"/>
      <c r="T1308" s="34"/>
      <c r="U1308" s="35"/>
      <c r="V1308" s="37"/>
      <c r="W1308" s="35"/>
      <c r="X1308" s="122"/>
      <c r="AE1308" s="3"/>
    </row>
    <row r="1309" spans="1:31">
      <c r="A1309" s="39"/>
      <c r="B1309" s="118"/>
      <c r="C1309" s="119"/>
      <c r="D1309" s="119"/>
      <c r="E1309" s="120"/>
      <c r="F1309" s="119"/>
      <c r="G1309" s="38"/>
      <c r="H1309" s="42"/>
      <c r="I1309" s="42"/>
      <c r="J1309" s="43"/>
      <c r="K1309" s="34"/>
      <c r="L1309" s="127"/>
      <c r="M1309" s="34"/>
      <c r="N1309" s="50"/>
      <c r="O1309" s="50"/>
      <c r="P1309" s="50"/>
      <c r="Q1309" s="121"/>
      <c r="R1309" s="121"/>
      <c r="S1309" s="121"/>
      <c r="T1309" s="34"/>
      <c r="U1309" s="35"/>
      <c r="V1309" s="37"/>
      <c r="W1309" s="35"/>
      <c r="X1309" s="122"/>
      <c r="AE1309" s="3"/>
    </row>
    <row r="1310" spans="1:31">
      <c r="A1310" s="39"/>
      <c r="B1310" s="118"/>
      <c r="C1310" s="119"/>
      <c r="D1310" s="119"/>
      <c r="E1310" s="120"/>
      <c r="F1310" s="119"/>
      <c r="G1310" s="38"/>
      <c r="H1310" s="42"/>
      <c r="I1310" s="42"/>
      <c r="J1310" s="43"/>
      <c r="K1310" s="34"/>
      <c r="L1310" s="127"/>
      <c r="M1310" s="34"/>
      <c r="N1310" s="50"/>
      <c r="O1310" s="50"/>
      <c r="P1310" s="50"/>
      <c r="Q1310" s="121"/>
      <c r="R1310" s="121"/>
      <c r="S1310" s="121"/>
      <c r="T1310" s="34"/>
      <c r="U1310" s="35"/>
      <c r="V1310" s="37"/>
      <c r="W1310" s="35"/>
      <c r="X1310" s="122"/>
      <c r="AE1310" s="3"/>
    </row>
    <row r="1311" spans="1:31">
      <c r="A1311" s="39"/>
      <c r="B1311" s="118"/>
      <c r="C1311" s="119"/>
      <c r="D1311" s="119"/>
      <c r="E1311" s="120"/>
      <c r="F1311" s="119"/>
      <c r="G1311" s="38"/>
      <c r="H1311" s="42"/>
      <c r="I1311" s="42"/>
      <c r="J1311" s="43"/>
      <c r="K1311" s="34"/>
      <c r="L1311" s="127"/>
      <c r="M1311" s="34"/>
      <c r="N1311" s="50"/>
      <c r="O1311" s="50"/>
      <c r="P1311" s="50"/>
      <c r="Q1311" s="121"/>
      <c r="R1311" s="121"/>
      <c r="S1311" s="121"/>
      <c r="T1311" s="34"/>
      <c r="U1311" s="35"/>
      <c r="V1311" s="37"/>
      <c r="W1311" s="35"/>
      <c r="X1311" s="122"/>
      <c r="AE1311" s="3"/>
    </row>
    <row r="1312" spans="1:31">
      <c r="A1312" s="39"/>
      <c r="B1312" s="118"/>
      <c r="C1312" s="119"/>
      <c r="D1312" s="119"/>
      <c r="E1312" s="120"/>
      <c r="F1312" s="119"/>
      <c r="G1312" s="38"/>
      <c r="H1312" s="42"/>
      <c r="I1312" s="42"/>
      <c r="J1312" s="43"/>
      <c r="K1312" s="34"/>
      <c r="L1312" s="127"/>
      <c r="M1312" s="34"/>
      <c r="N1312" s="50"/>
      <c r="O1312" s="50"/>
      <c r="P1312" s="50"/>
      <c r="Q1312" s="121"/>
      <c r="R1312" s="121"/>
      <c r="S1312" s="121"/>
      <c r="T1312" s="34"/>
      <c r="U1312" s="35"/>
      <c r="V1312" s="37"/>
      <c r="W1312" s="35"/>
      <c r="X1312" s="122"/>
      <c r="AE1312" s="3"/>
    </row>
    <row r="1313" spans="1:31">
      <c r="A1313" s="39"/>
      <c r="B1313" s="118"/>
      <c r="C1313" s="119"/>
      <c r="D1313" s="119"/>
      <c r="E1313" s="120"/>
      <c r="F1313" s="119"/>
      <c r="G1313" s="38"/>
      <c r="H1313" s="42"/>
      <c r="I1313" s="42"/>
      <c r="J1313" s="43"/>
      <c r="K1313" s="34"/>
      <c r="L1313" s="127"/>
      <c r="M1313" s="34"/>
      <c r="N1313" s="50"/>
      <c r="O1313" s="50"/>
      <c r="P1313" s="50"/>
      <c r="Q1313" s="121"/>
      <c r="R1313" s="121"/>
      <c r="S1313" s="121"/>
      <c r="T1313" s="34"/>
      <c r="U1313" s="35"/>
      <c r="V1313" s="37"/>
      <c r="W1313" s="35"/>
      <c r="X1313" s="122"/>
      <c r="AE1313" s="3"/>
    </row>
    <row r="1314" spans="1:31">
      <c r="A1314" s="39"/>
      <c r="B1314" s="118"/>
      <c r="C1314" s="119"/>
      <c r="D1314" s="119"/>
      <c r="E1314" s="120"/>
      <c r="F1314" s="119"/>
      <c r="G1314" s="38"/>
      <c r="H1314" s="42"/>
      <c r="I1314" s="42"/>
      <c r="J1314" s="43"/>
      <c r="K1314" s="34"/>
      <c r="L1314" s="127"/>
      <c r="M1314" s="34"/>
      <c r="N1314" s="50"/>
      <c r="O1314" s="50"/>
      <c r="P1314" s="50"/>
      <c r="Q1314" s="121"/>
      <c r="R1314" s="121"/>
      <c r="S1314" s="121"/>
      <c r="T1314" s="34"/>
      <c r="U1314" s="35"/>
      <c r="V1314" s="37"/>
      <c r="W1314" s="35"/>
      <c r="X1314" s="122"/>
      <c r="AE1314" s="3"/>
    </row>
    <row r="1315" spans="1:31">
      <c r="A1315" s="39"/>
      <c r="B1315" s="118"/>
      <c r="C1315" s="119"/>
      <c r="D1315" s="119"/>
      <c r="E1315" s="120"/>
      <c r="F1315" s="119"/>
      <c r="G1315" s="38"/>
      <c r="H1315" s="42"/>
      <c r="I1315" s="42"/>
      <c r="J1315" s="43"/>
      <c r="K1315" s="34"/>
      <c r="L1315" s="127"/>
      <c r="M1315" s="34"/>
      <c r="N1315" s="50"/>
      <c r="O1315" s="50"/>
      <c r="P1315" s="50"/>
      <c r="Q1315" s="121"/>
      <c r="R1315" s="121"/>
      <c r="S1315" s="121"/>
      <c r="T1315" s="34"/>
      <c r="U1315" s="35"/>
      <c r="V1315" s="37"/>
      <c r="W1315" s="35"/>
      <c r="X1315" s="122"/>
      <c r="AE1315" s="3"/>
    </row>
    <row r="1316" spans="1:31">
      <c r="A1316" s="39"/>
      <c r="B1316" s="118"/>
      <c r="C1316" s="119"/>
      <c r="D1316" s="119"/>
      <c r="E1316" s="120"/>
      <c r="F1316" s="119"/>
      <c r="G1316" s="38"/>
      <c r="H1316" s="42"/>
      <c r="I1316" s="42"/>
      <c r="J1316" s="43"/>
      <c r="K1316" s="34"/>
      <c r="L1316" s="127"/>
      <c r="M1316" s="34"/>
      <c r="N1316" s="50"/>
      <c r="O1316" s="50"/>
      <c r="P1316" s="50"/>
      <c r="Q1316" s="121"/>
      <c r="R1316" s="121"/>
      <c r="S1316" s="121"/>
      <c r="T1316" s="34"/>
      <c r="U1316" s="35"/>
      <c r="V1316" s="37"/>
      <c r="W1316" s="35"/>
      <c r="X1316" s="122"/>
      <c r="AE1316" s="3"/>
    </row>
    <row r="1317" spans="1:31">
      <c r="A1317" s="39"/>
      <c r="B1317" s="118"/>
      <c r="C1317" s="119"/>
      <c r="D1317" s="119"/>
      <c r="E1317" s="120"/>
      <c r="F1317" s="119"/>
      <c r="G1317" s="38"/>
      <c r="H1317" s="42"/>
      <c r="I1317" s="42"/>
      <c r="J1317" s="43"/>
      <c r="K1317" s="34"/>
      <c r="L1317" s="127"/>
      <c r="M1317" s="34"/>
      <c r="N1317" s="50"/>
      <c r="O1317" s="50"/>
      <c r="P1317" s="50"/>
      <c r="Q1317" s="121"/>
      <c r="R1317" s="121"/>
      <c r="S1317" s="121"/>
      <c r="T1317" s="34"/>
      <c r="U1317" s="35"/>
      <c r="V1317" s="37"/>
      <c r="W1317" s="35"/>
      <c r="X1317" s="122"/>
      <c r="AE1317" s="3"/>
    </row>
    <row r="1318" spans="1:31">
      <c r="A1318" s="39"/>
      <c r="B1318" s="118"/>
      <c r="C1318" s="119"/>
      <c r="D1318" s="119"/>
      <c r="E1318" s="120"/>
      <c r="F1318" s="119"/>
      <c r="G1318" s="38"/>
      <c r="H1318" s="42"/>
      <c r="I1318" s="42"/>
      <c r="J1318" s="43"/>
      <c r="K1318" s="34"/>
      <c r="L1318" s="127"/>
      <c r="M1318" s="34"/>
      <c r="N1318" s="50"/>
      <c r="O1318" s="50"/>
      <c r="P1318" s="50"/>
      <c r="Q1318" s="121"/>
      <c r="R1318" s="121"/>
      <c r="S1318" s="121"/>
      <c r="T1318" s="34"/>
      <c r="U1318" s="35"/>
      <c r="V1318" s="37"/>
      <c r="W1318" s="35"/>
      <c r="X1318" s="122"/>
      <c r="AE1318" s="3"/>
    </row>
    <row r="1319" spans="1:31">
      <c r="A1319" s="39"/>
      <c r="B1319" s="118"/>
      <c r="C1319" s="119"/>
      <c r="D1319" s="119"/>
      <c r="E1319" s="120"/>
      <c r="F1319" s="119"/>
      <c r="G1319" s="38"/>
      <c r="H1319" s="42"/>
      <c r="I1319" s="42"/>
      <c r="J1319" s="43"/>
      <c r="K1319" s="34"/>
      <c r="L1319" s="127"/>
      <c r="M1319" s="34"/>
      <c r="N1319" s="50"/>
      <c r="O1319" s="50"/>
      <c r="P1319" s="50"/>
      <c r="Q1319" s="121"/>
      <c r="R1319" s="121"/>
      <c r="S1319" s="121"/>
      <c r="T1319" s="34"/>
      <c r="U1319" s="35"/>
      <c r="V1319" s="37"/>
      <c r="W1319" s="35"/>
      <c r="X1319" s="122"/>
      <c r="AE1319" s="3"/>
    </row>
    <row r="1320" spans="1:31">
      <c r="A1320" s="39"/>
      <c r="B1320" s="118"/>
      <c r="C1320" s="119"/>
      <c r="D1320" s="119"/>
      <c r="E1320" s="120"/>
      <c r="F1320" s="119"/>
      <c r="G1320" s="38"/>
      <c r="H1320" s="42"/>
      <c r="I1320" s="42"/>
      <c r="J1320" s="43"/>
      <c r="K1320" s="34"/>
      <c r="L1320" s="127"/>
      <c r="M1320" s="34"/>
      <c r="N1320" s="50"/>
      <c r="O1320" s="50"/>
      <c r="P1320" s="50"/>
      <c r="Q1320" s="121"/>
      <c r="R1320" s="121"/>
      <c r="S1320" s="121"/>
      <c r="T1320" s="34"/>
      <c r="U1320" s="35"/>
      <c r="V1320" s="37"/>
      <c r="W1320" s="35"/>
      <c r="X1320" s="122"/>
      <c r="AE1320" s="3"/>
    </row>
    <row r="1321" spans="1:31">
      <c r="A1321" s="39"/>
      <c r="B1321" s="118"/>
      <c r="C1321" s="119"/>
      <c r="D1321" s="119"/>
      <c r="E1321" s="120"/>
      <c r="F1321" s="119"/>
      <c r="G1321" s="38"/>
      <c r="H1321" s="42"/>
      <c r="I1321" s="42"/>
      <c r="J1321" s="43"/>
      <c r="K1321" s="34"/>
      <c r="L1321" s="127"/>
      <c r="M1321" s="34"/>
      <c r="N1321" s="50"/>
      <c r="O1321" s="50"/>
      <c r="P1321" s="50"/>
      <c r="Q1321" s="121"/>
      <c r="R1321" s="121"/>
      <c r="S1321" s="121"/>
      <c r="T1321" s="34"/>
      <c r="U1321" s="35"/>
      <c r="V1321" s="37"/>
      <c r="W1321" s="35"/>
      <c r="X1321" s="122"/>
      <c r="AE1321" s="3"/>
    </row>
    <row r="1322" spans="1:31">
      <c r="A1322" s="39"/>
      <c r="B1322" s="118"/>
      <c r="C1322" s="119"/>
      <c r="D1322" s="119"/>
      <c r="E1322" s="120"/>
      <c r="F1322" s="119"/>
      <c r="G1322" s="38"/>
      <c r="H1322" s="42"/>
      <c r="I1322" s="42"/>
      <c r="J1322" s="43"/>
      <c r="K1322" s="34"/>
      <c r="L1322" s="127"/>
      <c r="M1322" s="34"/>
      <c r="N1322" s="50"/>
      <c r="O1322" s="50"/>
      <c r="P1322" s="50"/>
      <c r="Q1322" s="121"/>
      <c r="R1322" s="121"/>
      <c r="S1322" s="121"/>
      <c r="T1322" s="34"/>
      <c r="U1322" s="35"/>
      <c r="V1322" s="37"/>
      <c r="W1322" s="35"/>
      <c r="X1322" s="122"/>
      <c r="AE1322" s="3"/>
    </row>
    <row r="1323" spans="1:31">
      <c r="A1323" s="39"/>
      <c r="B1323" s="118"/>
      <c r="C1323" s="119"/>
      <c r="D1323" s="119"/>
      <c r="E1323" s="120"/>
      <c r="F1323" s="119"/>
      <c r="G1323" s="38"/>
      <c r="H1323" s="42"/>
      <c r="I1323" s="42"/>
      <c r="J1323" s="43"/>
      <c r="K1323" s="34"/>
      <c r="L1323" s="127"/>
      <c r="M1323" s="34"/>
      <c r="N1323" s="50"/>
      <c r="O1323" s="50"/>
      <c r="P1323" s="50"/>
      <c r="Q1323" s="121"/>
      <c r="R1323" s="121"/>
      <c r="S1323" s="121"/>
      <c r="T1323" s="34"/>
      <c r="U1323" s="35"/>
      <c r="V1323" s="37"/>
      <c r="W1323" s="35"/>
      <c r="X1323" s="122"/>
      <c r="AE1323" s="3"/>
    </row>
    <row r="1324" spans="1:31">
      <c r="A1324" s="39"/>
      <c r="B1324" s="118"/>
      <c r="C1324" s="119"/>
      <c r="D1324" s="119"/>
      <c r="E1324" s="120"/>
      <c r="F1324" s="119"/>
      <c r="G1324" s="38"/>
      <c r="H1324" s="42"/>
      <c r="I1324" s="42"/>
      <c r="J1324" s="43"/>
      <c r="K1324" s="34"/>
      <c r="L1324" s="127"/>
      <c r="M1324" s="34"/>
      <c r="N1324" s="50"/>
      <c r="O1324" s="50"/>
      <c r="P1324" s="50"/>
      <c r="Q1324" s="121"/>
      <c r="R1324" s="121"/>
      <c r="S1324" s="121"/>
      <c r="T1324" s="34"/>
      <c r="U1324" s="35"/>
      <c r="V1324" s="37"/>
      <c r="W1324" s="35"/>
      <c r="X1324" s="122"/>
      <c r="AE1324" s="3"/>
    </row>
    <row r="1325" spans="1:31">
      <c r="A1325" s="39"/>
      <c r="B1325" s="118"/>
      <c r="C1325" s="119"/>
      <c r="D1325" s="119"/>
      <c r="E1325" s="120"/>
      <c r="F1325" s="119"/>
      <c r="G1325" s="38"/>
      <c r="H1325" s="42"/>
      <c r="I1325" s="42"/>
      <c r="J1325" s="43"/>
      <c r="K1325" s="34"/>
      <c r="L1325" s="127"/>
      <c r="M1325" s="34"/>
      <c r="N1325" s="50"/>
      <c r="O1325" s="50"/>
      <c r="P1325" s="50"/>
      <c r="Q1325" s="121"/>
      <c r="R1325" s="121"/>
      <c r="S1325" s="121"/>
      <c r="T1325" s="34"/>
      <c r="U1325" s="35"/>
      <c r="V1325" s="37"/>
      <c r="W1325" s="35"/>
      <c r="X1325" s="122"/>
      <c r="AE1325" s="3"/>
    </row>
    <row r="1326" spans="1:31">
      <c r="A1326" s="39"/>
      <c r="B1326" s="118"/>
      <c r="C1326" s="119"/>
      <c r="D1326" s="119"/>
      <c r="E1326" s="120"/>
      <c r="F1326" s="119"/>
      <c r="G1326" s="38"/>
      <c r="H1326" s="42"/>
      <c r="I1326" s="42"/>
      <c r="J1326" s="43"/>
      <c r="K1326" s="34"/>
      <c r="L1326" s="127"/>
      <c r="M1326" s="34"/>
      <c r="N1326" s="50"/>
      <c r="O1326" s="50"/>
      <c r="P1326" s="50"/>
      <c r="Q1326" s="121"/>
      <c r="R1326" s="121"/>
      <c r="S1326" s="121"/>
      <c r="T1326" s="34"/>
      <c r="U1326" s="35"/>
      <c r="V1326" s="37"/>
      <c r="W1326" s="35"/>
      <c r="X1326" s="122"/>
      <c r="AE1326" s="3"/>
    </row>
    <row r="1327" spans="1:31">
      <c r="A1327" s="39"/>
      <c r="B1327" s="118"/>
      <c r="C1327" s="119"/>
      <c r="D1327" s="119"/>
      <c r="E1327" s="120"/>
      <c r="F1327" s="119"/>
      <c r="G1327" s="38"/>
      <c r="H1327" s="42"/>
      <c r="I1327" s="42"/>
      <c r="J1327" s="43"/>
      <c r="K1327" s="34"/>
      <c r="L1327" s="127"/>
      <c r="M1327" s="34"/>
      <c r="N1327" s="50"/>
      <c r="O1327" s="50"/>
      <c r="P1327" s="50"/>
      <c r="Q1327" s="121"/>
      <c r="R1327" s="121"/>
      <c r="S1327" s="121"/>
      <c r="T1327" s="34"/>
      <c r="U1327" s="35"/>
      <c r="V1327" s="37"/>
      <c r="W1327" s="35"/>
      <c r="X1327" s="122"/>
      <c r="AE1327" s="3"/>
    </row>
    <row r="1328" spans="1:31">
      <c r="A1328" s="39"/>
      <c r="B1328" s="118"/>
      <c r="C1328" s="119"/>
      <c r="D1328" s="119"/>
      <c r="E1328" s="120"/>
      <c r="F1328" s="119"/>
      <c r="G1328" s="38"/>
      <c r="H1328" s="42"/>
      <c r="I1328" s="42"/>
      <c r="J1328" s="43"/>
      <c r="K1328" s="34"/>
      <c r="L1328" s="127"/>
      <c r="M1328" s="34"/>
      <c r="N1328" s="50"/>
      <c r="O1328" s="50"/>
      <c r="P1328" s="50"/>
      <c r="Q1328" s="121"/>
      <c r="R1328" s="121"/>
      <c r="S1328" s="121"/>
      <c r="T1328" s="34"/>
      <c r="U1328" s="35"/>
      <c r="V1328" s="37"/>
      <c r="W1328" s="35"/>
      <c r="X1328" s="122"/>
      <c r="AE1328" s="3"/>
    </row>
    <row r="1329" spans="1:31">
      <c r="A1329" s="39"/>
      <c r="B1329" s="118"/>
      <c r="C1329" s="119"/>
      <c r="D1329" s="119"/>
      <c r="E1329" s="120"/>
      <c r="F1329" s="119"/>
      <c r="G1329" s="38"/>
      <c r="H1329" s="42"/>
      <c r="I1329" s="42"/>
      <c r="J1329" s="43"/>
      <c r="K1329" s="34"/>
      <c r="L1329" s="127"/>
      <c r="M1329" s="34"/>
      <c r="N1329" s="50"/>
      <c r="O1329" s="50"/>
      <c r="P1329" s="50"/>
      <c r="Q1329" s="121"/>
      <c r="R1329" s="121"/>
      <c r="S1329" s="121"/>
      <c r="T1329" s="34"/>
      <c r="U1329" s="35"/>
      <c r="V1329" s="37"/>
      <c r="W1329" s="35"/>
      <c r="X1329" s="122"/>
      <c r="AE1329" s="3"/>
    </row>
    <row r="1330" spans="1:31">
      <c r="A1330" s="39"/>
      <c r="B1330" s="118"/>
      <c r="C1330" s="119"/>
      <c r="D1330" s="119"/>
      <c r="E1330" s="120"/>
      <c r="F1330" s="119"/>
      <c r="G1330" s="38"/>
      <c r="H1330" s="42"/>
      <c r="I1330" s="42"/>
      <c r="J1330" s="43"/>
      <c r="K1330" s="34"/>
      <c r="L1330" s="127"/>
      <c r="M1330" s="34"/>
      <c r="N1330" s="50"/>
      <c r="O1330" s="50"/>
      <c r="P1330" s="50"/>
      <c r="Q1330" s="121"/>
      <c r="R1330" s="121"/>
      <c r="S1330" s="121"/>
      <c r="T1330" s="34"/>
      <c r="U1330" s="35"/>
      <c r="V1330" s="37"/>
      <c r="W1330" s="35"/>
      <c r="X1330" s="122"/>
      <c r="AE1330" s="3"/>
    </row>
    <row r="1331" spans="1:31">
      <c r="A1331" s="39"/>
      <c r="B1331" s="118"/>
      <c r="C1331" s="119"/>
      <c r="D1331" s="119"/>
      <c r="E1331" s="120"/>
      <c r="F1331" s="119"/>
      <c r="G1331" s="38"/>
      <c r="H1331" s="42"/>
      <c r="I1331" s="42"/>
      <c r="J1331" s="43"/>
      <c r="K1331" s="34"/>
      <c r="L1331" s="127"/>
      <c r="M1331" s="34"/>
      <c r="N1331" s="50"/>
      <c r="O1331" s="50"/>
      <c r="P1331" s="50"/>
      <c r="Q1331" s="121"/>
      <c r="R1331" s="121"/>
      <c r="S1331" s="121"/>
      <c r="T1331" s="34"/>
      <c r="U1331" s="35"/>
      <c r="V1331" s="37"/>
      <c r="W1331" s="35"/>
      <c r="X1331" s="122"/>
      <c r="AE1331" s="3"/>
    </row>
    <row r="1332" spans="1:31">
      <c r="A1332" s="39"/>
      <c r="B1332" s="118"/>
      <c r="C1332" s="119"/>
      <c r="D1332" s="119"/>
      <c r="E1332" s="120"/>
      <c r="F1332" s="119"/>
      <c r="G1332" s="38"/>
      <c r="H1332" s="42"/>
      <c r="I1332" s="42"/>
      <c r="J1332" s="43"/>
      <c r="K1332" s="34"/>
      <c r="L1332" s="127"/>
      <c r="M1332" s="34"/>
      <c r="N1332" s="50"/>
      <c r="O1332" s="50"/>
      <c r="P1332" s="50"/>
      <c r="Q1332" s="121"/>
      <c r="R1332" s="121"/>
      <c r="S1332" s="121"/>
      <c r="T1332" s="34"/>
      <c r="U1332" s="35"/>
      <c r="V1332" s="37"/>
      <c r="W1332" s="35"/>
      <c r="X1332" s="122"/>
      <c r="AE1332" s="3"/>
    </row>
    <row r="1333" spans="1:31">
      <c r="A1333" s="39"/>
      <c r="B1333" s="118"/>
      <c r="C1333" s="119"/>
      <c r="D1333" s="119"/>
      <c r="E1333" s="120"/>
      <c r="F1333" s="119"/>
      <c r="G1333" s="38"/>
      <c r="H1333" s="42"/>
      <c r="I1333" s="42"/>
      <c r="J1333" s="43"/>
      <c r="K1333" s="34"/>
      <c r="L1333" s="127"/>
      <c r="M1333" s="34"/>
      <c r="N1333" s="50"/>
      <c r="O1333" s="50"/>
      <c r="P1333" s="50"/>
      <c r="Q1333" s="121"/>
      <c r="R1333" s="121"/>
      <c r="S1333" s="121"/>
      <c r="T1333" s="34"/>
      <c r="U1333" s="35"/>
      <c r="V1333" s="37"/>
      <c r="W1333" s="35"/>
      <c r="X1333" s="122"/>
      <c r="AE1333" s="3"/>
    </row>
    <row r="1334" spans="1:31">
      <c r="A1334" s="39"/>
      <c r="B1334" s="118"/>
      <c r="C1334" s="119"/>
      <c r="D1334" s="119"/>
      <c r="E1334" s="120"/>
      <c r="F1334" s="119"/>
      <c r="G1334" s="38"/>
      <c r="H1334" s="42"/>
      <c r="I1334" s="42"/>
      <c r="J1334" s="43"/>
      <c r="K1334" s="34"/>
      <c r="L1334" s="127"/>
      <c r="M1334" s="34"/>
      <c r="N1334" s="50"/>
      <c r="O1334" s="50"/>
      <c r="P1334" s="50"/>
      <c r="Q1334" s="121"/>
      <c r="R1334" s="121"/>
      <c r="S1334" s="121"/>
      <c r="T1334" s="34"/>
      <c r="U1334" s="35"/>
      <c r="V1334" s="37"/>
      <c r="W1334" s="35"/>
      <c r="X1334" s="122"/>
      <c r="AE1334" s="3"/>
    </row>
    <row r="1335" spans="1:31">
      <c r="A1335" s="39"/>
      <c r="B1335" s="118"/>
      <c r="C1335" s="119"/>
      <c r="D1335" s="119"/>
      <c r="E1335" s="120"/>
      <c r="F1335" s="119"/>
      <c r="G1335" s="38"/>
      <c r="H1335" s="42"/>
      <c r="I1335" s="42"/>
      <c r="J1335" s="43"/>
      <c r="K1335" s="34"/>
      <c r="L1335" s="127"/>
      <c r="M1335" s="34"/>
      <c r="N1335" s="50"/>
      <c r="O1335" s="50"/>
      <c r="P1335" s="50"/>
      <c r="Q1335" s="121"/>
      <c r="R1335" s="121"/>
      <c r="S1335" s="121"/>
      <c r="T1335" s="34"/>
      <c r="U1335" s="35"/>
      <c r="V1335" s="37"/>
      <c r="W1335" s="35"/>
      <c r="X1335" s="122"/>
      <c r="AE1335" s="3"/>
    </row>
    <row r="1336" spans="1:31">
      <c r="A1336" s="39"/>
      <c r="B1336" s="118"/>
      <c r="C1336" s="119"/>
      <c r="D1336" s="119"/>
      <c r="E1336" s="120"/>
      <c r="F1336" s="119"/>
      <c r="G1336" s="38"/>
      <c r="H1336" s="42"/>
      <c r="I1336" s="42"/>
      <c r="J1336" s="43"/>
      <c r="K1336" s="34"/>
      <c r="L1336" s="127"/>
      <c r="M1336" s="34"/>
      <c r="N1336" s="50"/>
      <c r="O1336" s="50"/>
      <c r="P1336" s="50"/>
      <c r="Q1336" s="121"/>
      <c r="R1336" s="121"/>
      <c r="S1336" s="121"/>
      <c r="T1336" s="34"/>
      <c r="U1336" s="35"/>
      <c r="V1336" s="37"/>
      <c r="W1336" s="35"/>
      <c r="X1336" s="122"/>
      <c r="AE1336" s="3"/>
    </row>
    <row r="1337" spans="1:31">
      <c r="A1337" s="39"/>
      <c r="B1337" s="118"/>
      <c r="C1337" s="119"/>
      <c r="D1337" s="119"/>
      <c r="E1337" s="120"/>
      <c r="F1337" s="119"/>
      <c r="G1337" s="38"/>
      <c r="H1337" s="42"/>
      <c r="I1337" s="42"/>
      <c r="J1337" s="43"/>
      <c r="K1337" s="34"/>
      <c r="L1337" s="127"/>
      <c r="M1337" s="34"/>
      <c r="N1337" s="50"/>
      <c r="O1337" s="50"/>
      <c r="P1337" s="50"/>
      <c r="Q1337" s="121"/>
      <c r="R1337" s="121"/>
      <c r="S1337" s="121"/>
      <c r="T1337" s="34"/>
      <c r="U1337" s="35"/>
      <c r="V1337" s="37"/>
      <c r="W1337" s="35"/>
      <c r="X1337" s="122"/>
      <c r="AE1337" s="3"/>
    </row>
    <row r="1338" spans="1:31">
      <c r="A1338" s="39"/>
      <c r="B1338" s="118"/>
      <c r="C1338" s="119"/>
      <c r="D1338" s="119"/>
      <c r="E1338" s="120"/>
      <c r="F1338" s="119"/>
      <c r="G1338" s="38"/>
      <c r="H1338" s="42"/>
      <c r="I1338" s="42"/>
      <c r="J1338" s="43"/>
      <c r="K1338" s="34"/>
      <c r="L1338" s="127"/>
      <c r="M1338" s="34"/>
      <c r="N1338" s="50"/>
      <c r="O1338" s="50"/>
      <c r="P1338" s="50"/>
      <c r="Q1338" s="121"/>
      <c r="R1338" s="121"/>
      <c r="S1338" s="121"/>
      <c r="T1338" s="34"/>
      <c r="U1338" s="35"/>
      <c r="V1338" s="37"/>
      <c r="W1338" s="35"/>
      <c r="X1338" s="122"/>
      <c r="AE1338" s="3"/>
    </row>
    <row r="1339" spans="1:31">
      <c r="A1339" s="39"/>
      <c r="B1339" s="118"/>
      <c r="C1339" s="119"/>
      <c r="D1339" s="119"/>
      <c r="E1339" s="120"/>
      <c r="F1339" s="119"/>
      <c r="G1339" s="38"/>
      <c r="H1339" s="42"/>
      <c r="I1339" s="42"/>
      <c r="J1339" s="43"/>
      <c r="K1339" s="34"/>
      <c r="L1339" s="127"/>
      <c r="M1339" s="34"/>
      <c r="N1339" s="50"/>
      <c r="O1339" s="50"/>
      <c r="P1339" s="50"/>
      <c r="Q1339" s="121"/>
      <c r="R1339" s="121"/>
      <c r="S1339" s="121"/>
      <c r="T1339" s="34"/>
      <c r="U1339" s="35"/>
      <c r="V1339" s="37"/>
      <c r="W1339" s="35"/>
      <c r="X1339" s="122"/>
      <c r="AE1339" s="3"/>
    </row>
    <row r="1340" spans="1:31">
      <c r="A1340" s="39"/>
      <c r="B1340" s="118"/>
      <c r="C1340" s="119"/>
      <c r="D1340" s="119"/>
      <c r="E1340" s="120"/>
      <c r="F1340" s="119"/>
      <c r="G1340" s="38"/>
      <c r="H1340" s="42"/>
      <c r="I1340" s="42"/>
      <c r="J1340" s="43"/>
      <c r="K1340" s="34"/>
      <c r="L1340" s="127"/>
      <c r="M1340" s="34"/>
      <c r="N1340" s="50"/>
      <c r="O1340" s="50"/>
      <c r="P1340" s="50"/>
      <c r="Q1340" s="121"/>
      <c r="R1340" s="121"/>
      <c r="S1340" s="121"/>
      <c r="T1340" s="34"/>
      <c r="U1340" s="35"/>
      <c r="V1340" s="37"/>
      <c r="W1340" s="35"/>
      <c r="X1340" s="122"/>
      <c r="AE1340" s="3"/>
    </row>
    <row r="1341" spans="1:31">
      <c r="A1341" s="39"/>
      <c r="B1341" s="118"/>
      <c r="C1341" s="119"/>
      <c r="D1341" s="119"/>
      <c r="E1341" s="120"/>
      <c r="F1341" s="119"/>
      <c r="G1341" s="38"/>
      <c r="H1341" s="42"/>
      <c r="I1341" s="42"/>
      <c r="J1341" s="43"/>
      <c r="K1341" s="34"/>
      <c r="L1341" s="127"/>
      <c r="M1341" s="34"/>
      <c r="N1341" s="50"/>
      <c r="O1341" s="50"/>
      <c r="P1341" s="50"/>
      <c r="Q1341" s="121"/>
      <c r="R1341" s="121"/>
      <c r="S1341" s="121"/>
      <c r="T1341" s="34"/>
      <c r="U1341" s="35"/>
      <c r="V1341" s="37"/>
      <c r="W1341" s="35"/>
      <c r="X1341" s="122"/>
      <c r="AE1341" s="3"/>
    </row>
    <row r="1342" spans="1:31">
      <c r="A1342" s="39"/>
      <c r="B1342" s="118"/>
      <c r="C1342" s="119"/>
      <c r="D1342" s="119"/>
      <c r="E1342" s="120"/>
      <c r="F1342" s="119"/>
      <c r="G1342" s="38"/>
      <c r="H1342" s="42"/>
      <c r="I1342" s="42"/>
      <c r="J1342" s="43"/>
      <c r="K1342" s="34"/>
      <c r="L1342" s="127"/>
      <c r="M1342" s="34"/>
      <c r="N1342" s="50"/>
      <c r="O1342" s="50"/>
      <c r="P1342" s="50"/>
      <c r="Q1342" s="121"/>
      <c r="R1342" s="121"/>
      <c r="S1342" s="121"/>
      <c r="T1342" s="34"/>
      <c r="U1342" s="35"/>
      <c r="V1342" s="37"/>
      <c r="W1342" s="35"/>
      <c r="X1342" s="122"/>
      <c r="AE1342" s="3"/>
    </row>
    <row r="1343" spans="1:31">
      <c r="A1343" s="39"/>
      <c r="B1343" s="118"/>
      <c r="C1343" s="119"/>
      <c r="D1343" s="119"/>
      <c r="E1343" s="120"/>
      <c r="F1343" s="119"/>
      <c r="G1343" s="38"/>
      <c r="H1343" s="42"/>
      <c r="I1343" s="42"/>
      <c r="J1343" s="43"/>
      <c r="K1343" s="34"/>
      <c r="L1343" s="127"/>
      <c r="M1343" s="34"/>
      <c r="N1343" s="50"/>
      <c r="O1343" s="50"/>
      <c r="P1343" s="50"/>
      <c r="Q1343" s="121"/>
      <c r="R1343" s="121"/>
      <c r="S1343" s="121"/>
      <c r="T1343" s="34"/>
      <c r="U1343" s="35"/>
      <c r="V1343" s="37"/>
      <c r="W1343" s="35"/>
      <c r="X1343" s="122"/>
      <c r="AE1343" s="3"/>
    </row>
    <row r="1344" spans="1:31">
      <c r="A1344" s="39"/>
      <c r="B1344" s="118"/>
      <c r="C1344" s="119"/>
      <c r="D1344" s="119"/>
      <c r="E1344" s="120"/>
      <c r="F1344" s="119"/>
      <c r="G1344" s="38"/>
      <c r="H1344" s="42"/>
      <c r="I1344" s="42"/>
      <c r="J1344" s="43"/>
      <c r="K1344" s="34"/>
      <c r="L1344" s="127"/>
      <c r="M1344" s="34"/>
      <c r="N1344" s="50"/>
      <c r="O1344" s="50"/>
      <c r="P1344" s="50"/>
      <c r="Q1344" s="121"/>
      <c r="R1344" s="121"/>
      <c r="S1344" s="121"/>
      <c r="T1344" s="34"/>
      <c r="U1344" s="35"/>
      <c r="V1344" s="37"/>
      <c r="W1344" s="35"/>
      <c r="X1344" s="122"/>
      <c r="AE1344" s="3"/>
    </row>
    <row r="1345" spans="1:31">
      <c r="A1345" s="39"/>
      <c r="B1345" s="118"/>
      <c r="C1345" s="119"/>
      <c r="D1345" s="119"/>
      <c r="E1345" s="120"/>
      <c r="F1345" s="119"/>
      <c r="G1345" s="38"/>
      <c r="H1345" s="42"/>
      <c r="I1345" s="42"/>
      <c r="J1345" s="43"/>
      <c r="K1345" s="34"/>
      <c r="L1345" s="127"/>
      <c r="M1345" s="34"/>
      <c r="N1345" s="50"/>
      <c r="O1345" s="50"/>
      <c r="P1345" s="50"/>
      <c r="Q1345" s="121"/>
      <c r="R1345" s="121"/>
      <c r="S1345" s="121"/>
      <c r="T1345" s="34"/>
      <c r="U1345" s="35"/>
      <c r="V1345" s="37"/>
      <c r="W1345" s="35"/>
      <c r="X1345" s="122"/>
      <c r="AE1345" s="3"/>
    </row>
    <row r="1346" spans="1:31">
      <c r="A1346" s="39"/>
      <c r="B1346" s="118"/>
      <c r="C1346" s="119"/>
      <c r="D1346" s="119"/>
      <c r="E1346" s="120"/>
      <c r="F1346" s="119"/>
      <c r="G1346" s="38"/>
      <c r="H1346" s="42"/>
      <c r="I1346" s="42"/>
      <c r="J1346" s="43"/>
      <c r="K1346" s="34"/>
      <c r="L1346" s="127"/>
      <c r="M1346" s="34"/>
      <c r="N1346" s="50"/>
      <c r="O1346" s="50"/>
      <c r="P1346" s="50"/>
      <c r="Q1346" s="121"/>
      <c r="R1346" s="121"/>
      <c r="S1346" s="121"/>
      <c r="T1346" s="34"/>
      <c r="U1346" s="35"/>
      <c r="V1346" s="37"/>
      <c r="W1346" s="35"/>
      <c r="X1346" s="122"/>
      <c r="AE1346" s="3"/>
    </row>
    <row r="1347" spans="1:31">
      <c r="A1347" s="39"/>
      <c r="B1347" s="118"/>
      <c r="C1347" s="119"/>
      <c r="D1347" s="119"/>
      <c r="E1347" s="120"/>
      <c r="F1347" s="119"/>
      <c r="G1347" s="38"/>
      <c r="H1347" s="42"/>
      <c r="I1347" s="42"/>
      <c r="J1347" s="43"/>
      <c r="K1347" s="34"/>
      <c r="L1347" s="127"/>
      <c r="M1347" s="34"/>
      <c r="N1347" s="50"/>
      <c r="O1347" s="50"/>
      <c r="P1347" s="50"/>
      <c r="Q1347" s="121"/>
      <c r="R1347" s="121"/>
      <c r="S1347" s="121"/>
      <c r="T1347" s="34"/>
      <c r="U1347" s="35"/>
      <c r="V1347" s="37"/>
      <c r="W1347" s="35"/>
      <c r="X1347" s="122"/>
      <c r="AE1347" s="3"/>
    </row>
    <row r="1348" spans="1:31">
      <c r="A1348" s="39"/>
      <c r="B1348" s="118"/>
      <c r="C1348" s="119"/>
      <c r="D1348" s="119"/>
      <c r="E1348" s="120"/>
      <c r="F1348" s="119"/>
      <c r="G1348" s="38"/>
      <c r="H1348" s="42"/>
      <c r="I1348" s="42"/>
      <c r="J1348" s="43"/>
      <c r="K1348" s="34"/>
      <c r="L1348" s="127"/>
      <c r="M1348" s="34"/>
      <c r="N1348" s="50"/>
      <c r="O1348" s="50"/>
      <c r="P1348" s="50"/>
      <c r="Q1348" s="121"/>
      <c r="R1348" s="121"/>
      <c r="S1348" s="121"/>
      <c r="T1348" s="34"/>
      <c r="U1348" s="35"/>
      <c r="V1348" s="37"/>
      <c r="W1348" s="35"/>
      <c r="X1348" s="122"/>
      <c r="AE1348" s="3"/>
    </row>
    <row r="1349" spans="1:31">
      <c r="A1349" s="39"/>
      <c r="B1349" s="118"/>
      <c r="C1349" s="119"/>
      <c r="D1349" s="119"/>
      <c r="E1349" s="120"/>
      <c r="F1349" s="119"/>
      <c r="G1349" s="38"/>
      <c r="H1349" s="42"/>
      <c r="I1349" s="42"/>
      <c r="J1349" s="43"/>
      <c r="K1349" s="34"/>
      <c r="L1349" s="127"/>
      <c r="M1349" s="34"/>
      <c r="N1349" s="50"/>
      <c r="O1349" s="50"/>
      <c r="P1349" s="50"/>
      <c r="Q1349" s="121"/>
      <c r="R1349" s="121"/>
      <c r="S1349" s="121"/>
      <c r="T1349" s="34"/>
      <c r="U1349" s="35"/>
      <c r="V1349" s="37"/>
      <c r="W1349" s="35"/>
      <c r="X1349" s="122"/>
      <c r="AE1349" s="3"/>
    </row>
    <row r="1350" spans="1:31">
      <c r="A1350" s="39"/>
      <c r="B1350" s="118"/>
      <c r="C1350" s="119"/>
      <c r="D1350" s="119"/>
      <c r="E1350" s="120"/>
      <c r="F1350" s="119"/>
      <c r="G1350" s="38"/>
      <c r="H1350" s="42"/>
      <c r="I1350" s="42"/>
      <c r="J1350" s="43"/>
      <c r="K1350" s="34"/>
      <c r="L1350" s="127"/>
      <c r="M1350" s="34"/>
      <c r="N1350" s="50"/>
      <c r="O1350" s="50"/>
      <c r="P1350" s="50"/>
      <c r="Q1350" s="121"/>
      <c r="R1350" s="121"/>
      <c r="S1350" s="121"/>
      <c r="T1350" s="34"/>
      <c r="U1350" s="35"/>
      <c r="V1350" s="37"/>
      <c r="W1350" s="35"/>
      <c r="X1350" s="122"/>
      <c r="AE1350" s="3"/>
    </row>
    <row r="1351" spans="1:31">
      <c r="A1351" s="39"/>
      <c r="B1351" s="118"/>
      <c r="C1351" s="119"/>
      <c r="D1351" s="119"/>
      <c r="E1351" s="120"/>
      <c r="F1351" s="119"/>
      <c r="G1351" s="38"/>
      <c r="H1351" s="42"/>
      <c r="I1351" s="42"/>
      <c r="J1351" s="43"/>
      <c r="K1351" s="34"/>
      <c r="L1351" s="127"/>
      <c r="M1351" s="34"/>
      <c r="N1351" s="50"/>
      <c r="O1351" s="50"/>
      <c r="P1351" s="50"/>
      <c r="Q1351" s="121"/>
      <c r="R1351" s="121"/>
      <c r="S1351" s="121"/>
      <c r="T1351" s="34"/>
      <c r="U1351" s="35"/>
      <c r="V1351" s="37"/>
      <c r="W1351" s="35"/>
      <c r="X1351" s="122"/>
      <c r="AE1351" s="3"/>
    </row>
    <row r="1352" spans="1:31">
      <c r="A1352" s="39"/>
      <c r="B1352" s="118"/>
      <c r="C1352" s="119"/>
      <c r="D1352" s="119"/>
      <c r="E1352" s="120"/>
      <c r="F1352" s="119"/>
      <c r="G1352" s="38"/>
      <c r="H1352" s="42"/>
      <c r="I1352" s="42"/>
      <c r="J1352" s="43"/>
      <c r="K1352" s="34"/>
      <c r="L1352" s="127"/>
      <c r="M1352" s="34"/>
      <c r="N1352" s="50"/>
      <c r="O1352" s="50"/>
      <c r="P1352" s="50"/>
      <c r="Q1352" s="121"/>
      <c r="R1352" s="121"/>
      <c r="S1352" s="121"/>
      <c r="T1352" s="34"/>
      <c r="U1352" s="35"/>
      <c r="V1352" s="37"/>
      <c r="W1352" s="35"/>
      <c r="X1352" s="122"/>
      <c r="AE1352" s="3"/>
    </row>
    <row r="1353" spans="1:31">
      <c r="A1353" s="39"/>
      <c r="B1353" s="118"/>
      <c r="C1353" s="119"/>
      <c r="D1353" s="119"/>
      <c r="E1353" s="120"/>
      <c r="F1353" s="119"/>
      <c r="G1353" s="38"/>
      <c r="H1353" s="42"/>
      <c r="I1353" s="42"/>
      <c r="J1353" s="43"/>
      <c r="K1353" s="34"/>
      <c r="L1353" s="127"/>
      <c r="M1353" s="34"/>
      <c r="N1353" s="50"/>
      <c r="O1353" s="50"/>
      <c r="P1353" s="50"/>
      <c r="Q1353" s="121"/>
      <c r="R1353" s="121"/>
      <c r="S1353" s="121"/>
      <c r="T1353" s="34"/>
      <c r="U1353" s="35"/>
      <c r="V1353" s="37"/>
      <c r="W1353" s="35"/>
      <c r="X1353" s="122"/>
      <c r="AE1353" s="3"/>
    </row>
    <row r="1354" spans="1:31">
      <c r="A1354" s="39"/>
      <c r="B1354" s="118"/>
      <c r="C1354" s="119"/>
      <c r="D1354" s="119"/>
      <c r="E1354" s="120"/>
      <c r="F1354" s="119"/>
      <c r="G1354" s="38"/>
      <c r="H1354" s="42"/>
      <c r="I1354" s="42"/>
      <c r="J1354" s="43"/>
      <c r="K1354" s="34"/>
      <c r="L1354" s="127"/>
      <c r="M1354" s="34"/>
      <c r="N1354" s="50"/>
      <c r="O1354" s="50"/>
      <c r="P1354" s="50"/>
      <c r="Q1354" s="121"/>
      <c r="R1354" s="121"/>
      <c r="S1354" s="121"/>
      <c r="T1354" s="34"/>
      <c r="U1354" s="35"/>
      <c r="V1354" s="37"/>
      <c r="W1354" s="35"/>
      <c r="X1354" s="122"/>
      <c r="AE1354" s="3"/>
    </row>
    <row r="1355" spans="1:31">
      <c r="A1355" s="39"/>
      <c r="B1355" s="118"/>
      <c r="C1355" s="119"/>
      <c r="D1355" s="119"/>
      <c r="E1355" s="120"/>
      <c r="F1355" s="119"/>
      <c r="G1355" s="38"/>
      <c r="H1355" s="42"/>
      <c r="I1355" s="42"/>
      <c r="J1355" s="43"/>
      <c r="K1355" s="34"/>
      <c r="L1355" s="127"/>
      <c r="M1355" s="34"/>
      <c r="N1355" s="50"/>
      <c r="O1355" s="50"/>
      <c r="P1355" s="50"/>
      <c r="Q1355" s="121"/>
      <c r="R1355" s="121"/>
      <c r="S1355" s="121"/>
      <c r="T1355" s="34"/>
      <c r="U1355" s="35"/>
      <c r="V1355" s="37"/>
      <c r="W1355" s="35"/>
      <c r="X1355" s="122"/>
      <c r="AE1355" s="3"/>
    </row>
    <row r="1356" spans="1:31">
      <c r="A1356" s="39"/>
      <c r="B1356" s="118"/>
      <c r="C1356" s="119"/>
      <c r="D1356" s="119"/>
      <c r="E1356" s="120"/>
      <c r="F1356" s="119"/>
      <c r="G1356" s="38"/>
      <c r="H1356" s="42"/>
      <c r="I1356" s="42"/>
      <c r="J1356" s="43"/>
      <c r="K1356" s="34"/>
      <c r="L1356" s="127"/>
      <c r="M1356" s="34"/>
      <c r="N1356" s="50"/>
      <c r="O1356" s="50"/>
      <c r="P1356" s="50"/>
      <c r="Q1356" s="121"/>
      <c r="R1356" s="121"/>
      <c r="S1356" s="121"/>
      <c r="T1356" s="34"/>
      <c r="U1356" s="35"/>
      <c r="V1356" s="37"/>
      <c r="W1356" s="35"/>
      <c r="X1356" s="122"/>
      <c r="AE1356" s="3"/>
    </row>
    <row r="1357" spans="1:31">
      <c r="A1357" s="39"/>
      <c r="B1357" s="118"/>
      <c r="C1357" s="119"/>
      <c r="D1357" s="119"/>
      <c r="E1357" s="120"/>
      <c r="F1357" s="119"/>
      <c r="G1357" s="38"/>
      <c r="H1357" s="42"/>
      <c r="I1357" s="42"/>
      <c r="J1357" s="43"/>
      <c r="K1357" s="34"/>
      <c r="L1357" s="127"/>
      <c r="M1357" s="34"/>
      <c r="N1357" s="50"/>
      <c r="O1357" s="50"/>
      <c r="P1357" s="50"/>
      <c r="Q1357" s="121"/>
      <c r="R1357" s="121"/>
      <c r="S1357" s="121"/>
      <c r="T1357" s="34"/>
      <c r="U1357" s="35"/>
      <c r="V1357" s="37"/>
      <c r="W1357" s="35"/>
      <c r="X1357" s="122"/>
      <c r="AE1357" s="3"/>
    </row>
    <row r="1358" spans="1:31">
      <c r="A1358" s="39"/>
      <c r="B1358" s="118"/>
      <c r="C1358" s="119"/>
      <c r="D1358" s="119"/>
      <c r="E1358" s="120"/>
      <c r="F1358" s="119"/>
      <c r="G1358" s="38"/>
      <c r="H1358" s="42"/>
      <c r="I1358" s="42"/>
      <c r="J1358" s="43"/>
      <c r="K1358" s="34"/>
      <c r="L1358" s="127"/>
      <c r="M1358" s="34"/>
      <c r="N1358" s="50"/>
      <c r="O1358" s="50"/>
      <c r="P1358" s="50"/>
      <c r="Q1358" s="121"/>
      <c r="R1358" s="121"/>
      <c r="S1358" s="121"/>
      <c r="T1358" s="34"/>
      <c r="U1358" s="35"/>
      <c r="V1358" s="37"/>
      <c r="W1358" s="35"/>
      <c r="X1358" s="122"/>
      <c r="AE1358" s="3"/>
    </row>
    <row r="1359" spans="1:31">
      <c r="A1359" s="39"/>
      <c r="B1359" s="118"/>
      <c r="C1359" s="119"/>
      <c r="D1359" s="119"/>
      <c r="E1359" s="120"/>
      <c r="F1359" s="119"/>
      <c r="G1359" s="38"/>
      <c r="H1359" s="42"/>
      <c r="I1359" s="42"/>
      <c r="J1359" s="43"/>
      <c r="K1359" s="34"/>
      <c r="L1359" s="127"/>
      <c r="M1359" s="34"/>
      <c r="N1359" s="50"/>
      <c r="O1359" s="50"/>
      <c r="P1359" s="50"/>
      <c r="Q1359" s="121"/>
      <c r="R1359" s="121"/>
      <c r="S1359" s="121"/>
      <c r="T1359" s="34"/>
      <c r="U1359" s="35"/>
      <c r="V1359" s="37"/>
      <c r="W1359" s="35"/>
      <c r="X1359" s="122"/>
      <c r="AE1359" s="3"/>
    </row>
    <row r="1360" spans="1:31">
      <c r="A1360" s="39"/>
      <c r="B1360" s="118"/>
      <c r="C1360" s="119"/>
      <c r="D1360" s="119"/>
      <c r="E1360" s="120"/>
      <c r="F1360" s="119"/>
      <c r="G1360" s="38"/>
      <c r="H1360" s="42"/>
      <c r="I1360" s="42"/>
      <c r="J1360" s="43"/>
      <c r="K1360" s="34"/>
      <c r="L1360" s="127"/>
      <c r="M1360" s="34"/>
      <c r="N1360" s="50"/>
      <c r="O1360" s="50"/>
      <c r="P1360" s="50"/>
      <c r="Q1360" s="121"/>
      <c r="R1360" s="121"/>
      <c r="S1360" s="121"/>
      <c r="T1360" s="34"/>
      <c r="U1360" s="35"/>
      <c r="V1360" s="37"/>
      <c r="W1360" s="35"/>
      <c r="X1360" s="122"/>
      <c r="AE1360" s="3"/>
    </row>
    <row r="1361" spans="1:31">
      <c r="A1361" s="39"/>
      <c r="B1361" s="118"/>
      <c r="C1361" s="119"/>
      <c r="D1361" s="119"/>
      <c r="E1361" s="120"/>
      <c r="F1361" s="119"/>
      <c r="G1361" s="38"/>
      <c r="H1361" s="42"/>
      <c r="I1361" s="42"/>
      <c r="J1361" s="43"/>
      <c r="K1361" s="34"/>
      <c r="L1361" s="127"/>
      <c r="M1361" s="34"/>
      <c r="N1361" s="50"/>
      <c r="O1361" s="50"/>
      <c r="P1361" s="50"/>
      <c r="Q1361" s="121"/>
      <c r="R1361" s="121"/>
      <c r="S1361" s="121"/>
      <c r="T1361" s="34"/>
      <c r="U1361" s="35"/>
      <c r="V1361" s="37"/>
      <c r="W1361" s="35"/>
      <c r="X1361" s="122"/>
      <c r="AE1361" s="3"/>
    </row>
    <row r="1362" spans="1:31">
      <c r="A1362" s="39"/>
      <c r="B1362" s="118"/>
      <c r="C1362" s="119"/>
      <c r="D1362" s="119"/>
      <c r="E1362" s="120"/>
      <c r="F1362" s="119"/>
      <c r="G1362" s="38"/>
      <c r="H1362" s="42"/>
      <c r="I1362" s="42"/>
      <c r="J1362" s="43"/>
      <c r="K1362" s="34"/>
      <c r="L1362" s="127"/>
      <c r="M1362" s="34"/>
      <c r="N1362" s="50"/>
      <c r="O1362" s="50"/>
      <c r="P1362" s="50"/>
      <c r="Q1362" s="121"/>
      <c r="R1362" s="121"/>
      <c r="S1362" s="121"/>
      <c r="T1362" s="34"/>
      <c r="U1362" s="35"/>
      <c r="V1362" s="37"/>
      <c r="W1362" s="35"/>
      <c r="X1362" s="122"/>
      <c r="AE1362" s="3"/>
    </row>
    <row r="1363" spans="1:31">
      <c r="A1363" s="39"/>
      <c r="B1363" s="118"/>
      <c r="C1363" s="119"/>
      <c r="D1363" s="119"/>
      <c r="E1363" s="120"/>
      <c r="F1363" s="119"/>
      <c r="G1363" s="38"/>
      <c r="H1363" s="42"/>
      <c r="I1363" s="42"/>
      <c r="J1363" s="43"/>
      <c r="K1363" s="34"/>
      <c r="L1363" s="127"/>
      <c r="M1363" s="34"/>
      <c r="N1363" s="50"/>
      <c r="O1363" s="50"/>
      <c r="P1363" s="50"/>
      <c r="Q1363" s="121"/>
      <c r="R1363" s="121"/>
      <c r="S1363" s="121"/>
      <c r="T1363" s="34"/>
      <c r="U1363" s="35"/>
      <c r="V1363" s="37"/>
      <c r="W1363" s="35"/>
      <c r="X1363" s="122"/>
      <c r="AE1363" s="3"/>
    </row>
    <row r="1364" spans="1:31">
      <c r="A1364" s="39"/>
      <c r="B1364" s="118"/>
      <c r="C1364" s="119"/>
      <c r="D1364" s="119"/>
      <c r="E1364" s="120"/>
      <c r="F1364" s="119"/>
      <c r="G1364" s="38"/>
      <c r="H1364" s="42"/>
      <c r="I1364" s="42"/>
      <c r="J1364" s="43"/>
      <c r="K1364" s="34"/>
      <c r="L1364" s="127"/>
      <c r="M1364" s="34"/>
      <c r="N1364" s="50"/>
      <c r="O1364" s="50"/>
      <c r="P1364" s="50"/>
      <c r="Q1364" s="121"/>
      <c r="R1364" s="121"/>
      <c r="S1364" s="121"/>
      <c r="T1364" s="34"/>
      <c r="U1364" s="35"/>
      <c r="V1364" s="37"/>
      <c r="W1364" s="35"/>
      <c r="X1364" s="122"/>
      <c r="AE1364" s="3"/>
    </row>
    <row r="1365" spans="1:31">
      <c r="A1365" s="39"/>
      <c r="B1365" s="118"/>
      <c r="C1365" s="119"/>
      <c r="D1365" s="119"/>
      <c r="E1365" s="120"/>
      <c r="F1365" s="119"/>
      <c r="G1365" s="38"/>
      <c r="H1365" s="42"/>
      <c r="I1365" s="42"/>
      <c r="J1365" s="43"/>
      <c r="K1365" s="34"/>
      <c r="L1365" s="127"/>
      <c r="M1365" s="34"/>
      <c r="N1365" s="50"/>
      <c r="O1365" s="50"/>
      <c r="P1365" s="50"/>
      <c r="Q1365" s="121"/>
      <c r="R1365" s="121"/>
      <c r="S1365" s="121"/>
      <c r="T1365" s="34"/>
      <c r="U1365" s="35"/>
      <c r="V1365" s="37"/>
      <c r="W1365" s="35"/>
      <c r="X1365" s="122"/>
      <c r="AE1365" s="3"/>
    </row>
    <row r="1366" spans="1:31">
      <c r="A1366" s="39"/>
      <c r="B1366" s="118"/>
      <c r="C1366" s="119"/>
      <c r="D1366" s="119"/>
      <c r="E1366" s="120"/>
      <c r="F1366" s="119"/>
      <c r="G1366" s="38"/>
      <c r="H1366" s="42"/>
      <c r="I1366" s="42"/>
      <c r="J1366" s="43"/>
      <c r="K1366" s="34"/>
      <c r="L1366" s="127"/>
      <c r="M1366" s="34"/>
      <c r="N1366" s="50"/>
      <c r="O1366" s="50"/>
      <c r="P1366" s="50"/>
      <c r="Q1366" s="121"/>
      <c r="R1366" s="121"/>
      <c r="S1366" s="121"/>
      <c r="T1366" s="34"/>
      <c r="U1366" s="35"/>
      <c r="V1366" s="37"/>
      <c r="W1366" s="35"/>
      <c r="X1366" s="122"/>
      <c r="AE1366" s="3"/>
    </row>
    <row r="1367" spans="1:31">
      <c r="A1367" s="39"/>
      <c r="B1367" s="118"/>
      <c r="C1367" s="119"/>
      <c r="D1367" s="119"/>
      <c r="E1367" s="120"/>
      <c r="F1367" s="119"/>
      <c r="G1367" s="38"/>
      <c r="H1367" s="42"/>
      <c r="I1367" s="42"/>
      <c r="J1367" s="43"/>
      <c r="K1367" s="34"/>
      <c r="L1367" s="127"/>
      <c r="M1367" s="34"/>
      <c r="N1367" s="50"/>
      <c r="O1367" s="50"/>
      <c r="P1367" s="50"/>
      <c r="Q1367" s="121"/>
      <c r="R1367" s="121"/>
      <c r="S1367" s="121"/>
      <c r="T1367" s="34"/>
      <c r="U1367" s="35"/>
      <c r="V1367" s="37"/>
      <c r="W1367" s="35"/>
      <c r="X1367" s="122"/>
      <c r="AE1367" s="3"/>
    </row>
    <row r="1368" spans="1:31">
      <c r="A1368" s="39"/>
      <c r="B1368" s="118"/>
      <c r="C1368" s="119"/>
      <c r="D1368" s="119"/>
      <c r="E1368" s="120"/>
      <c r="F1368" s="119"/>
      <c r="G1368" s="38"/>
      <c r="H1368" s="42"/>
      <c r="I1368" s="42"/>
      <c r="J1368" s="43"/>
      <c r="K1368" s="34"/>
      <c r="L1368" s="127"/>
      <c r="M1368" s="34"/>
      <c r="N1368" s="50"/>
      <c r="O1368" s="50"/>
      <c r="P1368" s="50"/>
      <c r="Q1368" s="121"/>
      <c r="R1368" s="121"/>
      <c r="S1368" s="121"/>
      <c r="T1368" s="34"/>
      <c r="U1368" s="35"/>
      <c r="V1368" s="37"/>
      <c r="W1368" s="35"/>
      <c r="X1368" s="122"/>
      <c r="AE1368" s="3"/>
    </row>
    <row r="1369" spans="1:31">
      <c r="A1369" s="39"/>
      <c r="B1369" s="118"/>
      <c r="C1369" s="119"/>
      <c r="D1369" s="119"/>
      <c r="E1369" s="120"/>
      <c r="F1369" s="119"/>
      <c r="G1369" s="38"/>
      <c r="H1369" s="42"/>
      <c r="I1369" s="42"/>
      <c r="J1369" s="43"/>
      <c r="K1369" s="34"/>
      <c r="L1369" s="127"/>
      <c r="M1369" s="34"/>
      <c r="N1369" s="50"/>
      <c r="O1369" s="50"/>
      <c r="P1369" s="50"/>
      <c r="Q1369" s="121"/>
      <c r="R1369" s="121"/>
      <c r="S1369" s="121"/>
      <c r="T1369" s="34"/>
      <c r="U1369" s="35"/>
      <c r="V1369" s="37"/>
      <c r="W1369" s="35"/>
      <c r="X1369" s="122"/>
      <c r="AE1369" s="3"/>
    </row>
    <row r="1370" spans="1:31">
      <c r="A1370" s="39"/>
      <c r="B1370" s="118"/>
      <c r="C1370" s="119"/>
      <c r="D1370" s="119"/>
      <c r="E1370" s="120"/>
      <c r="F1370" s="119"/>
      <c r="G1370" s="38"/>
      <c r="H1370" s="42"/>
      <c r="I1370" s="42"/>
      <c r="J1370" s="43"/>
      <c r="K1370" s="34"/>
      <c r="L1370" s="127"/>
      <c r="M1370" s="34"/>
      <c r="N1370" s="50"/>
      <c r="O1370" s="50"/>
      <c r="P1370" s="50"/>
      <c r="Q1370" s="121"/>
      <c r="R1370" s="121"/>
      <c r="S1370" s="121"/>
      <c r="T1370" s="34"/>
      <c r="U1370" s="35"/>
      <c r="V1370" s="37"/>
      <c r="W1370" s="35"/>
      <c r="X1370" s="122"/>
      <c r="AE1370" s="3"/>
    </row>
    <row r="1371" spans="1:31">
      <c r="A1371" s="39"/>
      <c r="B1371" s="118"/>
      <c r="C1371" s="119"/>
      <c r="D1371" s="119"/>
      <c r="E1371" s="120"/>
      <c r="F1371" s="119"/>
      <c r="G1371" s="38"/>
      <c r="H1371" s="42"/>
      <c r="I1371" s="42"/>
      <c r="J1371" s="43"/>
      <c r="K1371" s="34"/>
      <c r="L1371" s="127"/>
      <c r="M1371" s="34"/>
      <c r="N1371" s="50"/>
      <c r="O1371" s="50"/>
      <c r="P1371" s="50"/>
      <c r="Q1371" s="121"/>
      <c r="R1371" s="121"/>
      <c r="S1371" s="121"/>
      <c r="T1371" s="34"/>
      <c r="U1371" s="35"/>
      <c r="V1371" s="37"/>
      <c r="W1371" s="35"/>
      <c r="X1371" s="122"/>
      <c r="AE1371" s="3"/>
    </row>
    <row r="1372" spans="1:31">
      <c r="A1372" s="39"/>
      <c r="B1372" s="118"/>
      <c r="C1372" s="119"/>
      <c r="D1372" s="119"/>
      <c r="E1372" s="120"/>
      <c r="F1372" s="119"/>
      <c r="G1372" s="38"/>
      <c r="H1372" s="42"/>
      <c r="I1372" s="42"/>
      <c r="J1372" s="43"/>
      <c r="K1372" s="34"/>
      <c r="L1372" s="127"/>
      <c r="M1372" s="34"/>
      <c r="N1372" s="50"/>
      <c r="O1372" s="50"/>
      <c r="P1372" s="50"/>
      <c r="Q1372" s="121"/>
      <c r="R1372" s="121"/>
      <c r="S1372" s="121"/>
      <c r="T1372" s="34"/>
      <c r="U1372" s="35"/>
      <c r="V1372" s="37"/>
      <c r="W1372" s="35"/>
      <c r="X1372" s="122"/>
      <c r="AE1372" s="3"/>
    </row>
    <row r="1373" spans="1:31">
      <c r="A1373" s="39"/>
      <c r="B1373" s="118"/>
      <c r="C1373" s="119"/>
      <c r="D1373" s="119"/>
      <c r="E1373" s="120"/>
      <c r="F1373" s="119"/>
      <c r="G1373" s="38"/>
      <c r="H1373" s="42"/>
      <c r="I1373" s="42"/>
      <c r="J1373" s="43"/>
      <c r="K1373" s="34"/>
      <c r="L1373" s="127"/>
      <c r="M1373" s="34"/>
      <c r="N1373" s="50"/>
      <c r="O1373" s="50"/>
      <c r="P1373" s="50"/>
      <c r="Q1373" s="121"/>
      <c r="R1373" s="121"/>
      <c r="S1373" s="121"/>
      <c r="T1373" s="34"/>
      <c r="U1373" s="35"/>
      <c r="V1373" s="37"/>
      <c r="W1373" s="35"/>
      <c r="X1373" s="122"/>
      <c r="AE1373" s="3"/>
    </row>
    <row r="1374" spans="1:31">
      <c r="A1374" s="39"/>
      <c r="B1374" s="118"/>
      <c r="C1374" s="119"/>
      <c r="D1374" s="119"/>
      <c r="E1374" s="120"/>
      <c r="F1374" s="119"/>
      <c r="G1374" s="38"/>
      <c r="H1374" s="42"/>
      <c r="I1374" s="42"/>
      <c r="J1374" s="43"/>
      <c r="K1374" s="34"/>
      <c r="L1374" s="127"/>
      <c r="M1374" s="34"/>
      <c r="N1374" s="50"/>
      <c r="O1374" s="50"/>
      <c r="P1374" s="50"/>
      <c r="Q1374" s="121"/>
      <c r="R1374" s="121"/>
      <c r="S1374" s="121"/>
      <c r="T1374" s="34"/>
      <c r="U1374" s="35"/>
      <c r="V1374" s="37"/>
      <c r="W1374" s="35"/>
      <c r="X1374" s="122"/>
      <c r="AE1374" s="3"/>
    </row>
    <row r="1375" spans="1:31">
      <c r="A1375" s="39"/>
      <c r="B1375" s="118"/>
      <c r="C1375" s="119"/>
      <c r="D1375" s="119"/>
      <c r="E1375" s="120"/>
      <c r="F1375" s="119"/>
      <c r="G1375" s="38"/>
      <c r="H1375" s="42"/>
      <c r="I1375" s="42"/>
      <c r="J1375" s="43"/>
      <c r="K1375" s="34"/>
      <c r="L1375" s="127"/>
      <c r="M1375" s="34"/>
      <c r="N1375" s="50"/>
      <c r="O1375" s="50"/>
      <c r="P1375" s="50"/>
      <c r="Q1375" s="121"/>
      <c r="R1375" s="121"/>
      <c r="S1375" s="121"/>
      <c r="T1375" s="34"/>
      <c r="U1375" s="35"/>
      <c r="V1375" s="37"/>
      <c r="W1375" s="35"/>
      <c r="X1375" s="122"/>
      <c r="AE1375" s="3"/>
    </row>
    <row r="1376" spans="1:31">
      <c r="A1376" s="39"/>
      <c r="B1376" s="118"/>
      <c r="C1376" s="119"/>
      <c r="D1376" s="119"/>
      <c r="E1376" s="120"/>
      <c r="F1376" s="119"/>
      <c r="G1376" s="38"/>
      <c r="H1376" s="42"/>
      <c r="I1376" s="42"/>
      <c r="J1376" s="43"/>
      <c r="K1376" s="34"/>
      <c r="L1376" s="127"/>
      <c r="M1376" s="34"/>
      <c r="N1376" s="50"/>
      <c r="O1376" s="50"/>
      <c r="P1376" s="50"/>
      <c r="Q1376" s="121"/>
      <c r="R1376" s="121"/>
      <c r="S1376" s="121"/>
      <c r="T1376" s="34"/>
      <c r="U1376" s="35"/>
      <c r="V1376" s="37"/>
      <c r="W1376" s="35"/>
      <c r="X1376" s="122"/>
      <c r="AE1376" s="3"/>
    </row>
    <row r="1377" spans="1:31">
      <c r="A1377" s="39"/>
      <c r="B1377" s="118"/>
      <c r="C1377" s="119"/>
      <c r="D1377" s="119"/>
      <c r="E1377" s="120"/>
      <c r="F1377" s="119"/>
      <c r="G1377" s="38"/>
      <c r="H1377" s="42"/>
      <c r="I1377" s="42"/>
      <c r="J1377" s="43"/>
      <c r="K1377" s="34"/>
      <c r="L1377" s="127"/>
      <c r="M1377" s="34"/>
      <c r="N1377" s="50"/>
      <c r="O1377" s="50"/>
      <c r="P1377" s="50"/>
      <c r="Q1377" s="121"/>
      <c r="R1377" s="121"/>
      <c r="S1377" s="121"/>
      <c r="T1377" s="34"/>
      <c r="U1377" s="35"/>
      <c r="V1377" s="37"/>
      <c r="W1377" s="35"/>
      <c r="X1377" s="122"/>
      <c r="AE1377" s="3"/>
    </row>
    <row r="1378" spans="1:31">
      <c r="A1378" s="39"/>
      <c r="B1378" s="118"/>
      <c r="C1378" s="119"/>
      <c r="D1378" s="119"/>
      <c r="E1378" s="120"/>
      <c r="F1378" s="119"/>
      <c r="G1378" s="38"/>
      <c r="H1378" s="42"/>
      <c r="I1378" s="42"/>
      <c r="J1378" s="43"/>
      <c r="K1378" s="34"/>
      <c r="L1378" s="127"/>
      <c r="M1378" s="34"/>
      <c r="N1378" s="50"/>
      <c r="O1378" s="50"/>
      <c r="P1378" s="50"/>
      <c r="Q1378" s="121"/>
      <c r="R1378" s="121"/>
      <c r="S1378" s="121"/>
      <c r="T1378" s="34"/>
      <c r="U1378" s="35"/>
      <c r="V1378" s="37"/>
      <c r="W1378" s="35"/>
      <c r="X1378" s="122"/>
      <c r="AE1378" s="3"/>
    </row>
    <row r="1379" spans="1:31">
      <c r="A1379" s="39"/>
      <c r="B1379" s="118"/>
      <c r="C1379" s="119"/>
      <c r="D1379" s="119"/>
      <c r="E1379" s="120"/>
      <c r="F1379" s="119"/>
      <c r="G1379" s="38"/>
      <c r="H1379" s="42"/>
      <c r="I1379" s="42"/>
      <c r="J1379" s="43"/>
      <c r="K1379" s="34"/>
      <c r="L1379" s="127"/>
      <c r="M1379" s="34"/>
      <c r="N1379" s="50"/>
      <c r="O1379" s="50"/>
      <c r="P1379" s="50"/>
      <c r="Q1379" s="121"/>
      <c r="R1379" s="121"/>
      <c r="S1379" s="121"/>
      <c r="T1379" s="34"/>
      <c r="U1379" s="35"/>
      <c r="V1379" s="37"/>
      <c r="W1379" s="35"/>
      <c r="X1379" s="122"/>
      <c r="AE1379" s="3"/>
    </row>
    <row r="1380" spans="1:31">
      <c r="A1380" s="39"/>
      <c r="B1380" s="118"/>
      <c r="C1380" s="119"/>
      <c r="D1380" s="119"/>
      <c r="E1380" s="120"/>
      <c r="F1380" s="119"/>
      <c r="G1380" s="38"/>
      <c r="H1380" s="42"/>
      <c r="I1380" s="42"/>
      <c r="J1380" s="43"/>
      <c r="K1380" s="34"/>
      <c r="L1380" s="127"/>
      <c r="M1380" s="34"/>
      <c r="N1380" s="50"/>
      <c r="O1380" s="50"/>
      <c r="P1380" s="50"/>
      <c r="Q1380" s="121"/>
      <c r="R1380" s="121"/>
      <c r="S1380" s="121"/>
      <c r="T1380" s="34"/>
      <c r="U1380" s="35"/>
      <c r="V1380" s="37"/>
      <c r="W1380" s="35"/>
      <c r="X1380" s="122"/>
      <c r="AE1380" s="3"/>
    </row>
    <row r="1381" spans="1:31">
      <c r="A1381" s="39"/>
      <c r="B1381" s="118"/>
      <c r="C1381" s="119"/>
      <c r="D1381" s="119"/>
      <c r="E1381" s="120"/>
      <c r="F1381" s="119"/>
      <c r="G1381" s="38"/>
      <c r="H1381" s="42"/>
      <c r="I1381" s="42"/>
      <c r="J1381" s="43"/>
      <c r="K1381" s="34"/>
      <c r="L1381" s="127"/>
      <c r="M1381" s="34"/>
      <c r="N1381" s="50"/>
      <c r="O1381" s="50"/>
      <c r="P1381" s="50"/>
      <c r="Q1381" s="121"/>
      <c r="R1381" s="121"/>
      <c r="S1381" s="121"/>
      <c r="T1381" s="34"/>
      <c r="U1381" s="35"/>
      <c r="V1381" s="37"/>
      <c r="W1381" s="35"/>
      <c r="X1381" s="122"/>
      <c r="AE1381" s="3"/>
    </row>
    <row r="1382" spans="1:31">
      <c r="A1382" s="39"/>
      <c r="B1382" s="118"/>
      <c r="C1382" s="119"/>
      <c r="D1382" s="119"/>
      <c r="E1382" s="120"/>
      <c r="F1382" s="119"/>
      <c r="G1382" s="38"/>
      <c r="H1382" s="42"/>
      <c r="I1382" s="42"/>
      <c r="J1382" s="43"/>
      <c r="K1382" s="34"/>
      <c r="L1382" s="127"/>
      <c r="M1382" s="34"/>
      <c r="N1382" s="50"/>
      <c r="O1382" s="50"/>
      <c r="P1382" s="50"/>
      <c r="Q1382" s="121"/>
      <c r="R1382" s="121"/>
      <c r="S1382" s="121"/>
      <c r="T1382" s="34"/>
      <c r="U1382" s="35"/>
      <c r="V1382" s="37"/>
      <c r="W1382" s="35"/>
      <c r="X1382" s="122"/>
      <c r="AE1382" s="3"/>
    </row>
    <row r="1383" spans="1:31">
      <c r="A1383" s="39"/>
      <c r="B1383" s="118"/>
      <c r="C1383" s="119"/>
      <c r="D1383" s="119"/>
      <c r="E1383" s="120"/>
      <c r="F1383" s="119"/>
      <c r="G1383" s="38"/>
      <c r="H1383" s="42"/>
      <c r="I1383" s="42"/>
      <c r="J1383" s="43"/>
      <c r="K1383" s="34"/>
      <c r="L1383" s="127"/>
      <c r="M1383" s="34"/>
      <c r="N1383" s="50"/>
      <c r="O1383" s="50"/>
      <c r="P1383" s="50"/>
      <c r="Q1383" s="121"/>
      <c r="R1383" s="121"/>
      <c r="S1383" s="121"/>
      <c r="T1383" s="34"/>
      <c r="U1383" s="35"/>
      <c r="V1383" s="37"/>
      <c r="W1383" s="35"/>
      <c r="X1383" s="122"/>
      <c r="AE1383" s="3"/>
    </row>
    <row r="1384" spans="1:31">
      <c r="A1384" s="39"/>
      <c r="B1384" s="118"/>
      <c r="C1384" s="119"/>
      <c r="D1384" s="119"/>
      <c r="E1384" s="120"/>
      <c r="F1384" s="119"/>
      <c r="G1384" s="38"/>
      <c r="H1384" s="42"/>
      <c r="I1384" s="42"/>
      <c r="J1384" s="43"/>
      <c r="K1384" s="34"/>
      <c r="L1384" s="127"/>
      <c r="M1384" s="34"/>
      <c r="N1384" s="50"/>
      <c r="O1384" s="50"/>
      <c r="P1384" s="50"/>
      <c r="Q1384" s="121"/>
      <c r="R1384" s="121"/>
      <c r="S1384" s="121"/>
      <c r="T1384" s="34"/>
      <c r="U1384" s="35"/>
      <c r="V1384" s="37"/>
      <c r="W1384" s="35"/>
      <c r="X1384" s="122"/>
      <c r="AE1384" s="3"/>
    </row>
    <row r="1385" spans="1:31">
      <c r="A1385" s="39"/>
      <c r="B1385" s="118"/>
      <c r="C1385" s="119"/>
      <c r="D1385" s="119"/>
      <c r="E1385" s="120"/>
      <c r="F1385" s="119"/>
      <c r="G1385" s="38"/>
      <c r="H1385" s="42"/>
      <c r="I1385" s="42"/>
      <c r="J1385" s="43"/>
      <c r="K1385" s="34"/>
      <c r="L1385" s="127"/>
      <c r="M1385" s="34"/>
      <c r="N1385" s="50"/>
      <c r="O1385" s="50"/>
      <c r="P1385" s="50"/>
      <c r="Q1385" s="121"/>
      <c r="R1385" s="121"/>
      <c r="S1385" s="121"/>
      <c r="T1385" s="34"/>
      <c r="U1385" s="35"/>
      <c r="V1385" s="37"/>
      <c r="W1385" s="35"/>
      <c r="X1385" s="122"/>
      <c r="AE1385" s="3"/>
    </row>
    <row r="1386" spans="1:31">
      <c r="A1386" s="39"/>
      <c r="B1386" s="118"/>
      <c r="C1386" s="119"/>
      <c r="D1386" s="119"/>
      <c r="E1386" s="120"/>
      <c r="F1386" s="119"/>
      <c r="G1386" s="38"/>
      <c r="H1386" s="42"/>
      <c r="I1386" s="42"/>
      <c r="J1386" s="43"/>
      <c r="K1386" s="34"/>
      <c r="L1386" s="127"/>
      <c r="M1386" s="34"/>
      <c r="N1386" s="50"/>
      <c r="O1386" s="50"/>
      <c r="P1386" s="50"/>
      <c r="Q1386" s="121"/>
      <c r="R1386" s="121"/>
      <c r="S1386" s="121"/>
      <c r="T1386" s="34"/>
      <c r="U1386" s="35"/>
      <c r="V1386" s="37"/>
      <c r="W1386" s="35"/>
      <c r="X1386" s="122"/>
      <c r="AE1386" s="3"/>
    </row>
    <row r="1387" spans="1:31">
      <c r="A1387" s="39"/>
      <c r="B1387" s="118"/>
      <c r="C1387" s="119"/>
      <c r="D1387" s="119"/>
      <c r="E1387" s="120"/>
      <c r="F1387" s="119"/>
      <c r="G1387" s="38"/>
      <c r="H1387" s="42"/>
      <c r="I1387" s="42"/>
      <c r="J1387" s="43"/>
      <c r="K1387" s="34"/>
      <c r="L1387" s="127"/>
      <c r="M1387" s="34"/>
      <c r="N1387" s="50"/>
      <c r="O1387" s="50"/>
      <c r="P1387" s="50"/>
      <c r="Q1387" s="121"/>
      <c r="R1387" s="121"/>
      <c r="S1387" s="121"/>
      <c r="T1387" s="34"/>
      <c r="U1387" s="35"/>
      <c r="V1387" s="37"/>
      <c r="W1387" s="35"/>
      <c r="X1387" s="122"/>
      <c r="AE1387" s="3"/>
    </row>
    <row r="1388" spans="1:31">
      <c r="A1388" s="39"/>
      <c r="B1388" s="118"/>
      <c r="C1388" s="119"/>
      <c r="D1388" s="119"/>
      <c r="E1388" s="120"/>
      <c r="F1388" s="119"/>
      <c r="G1388" s="38"/>
      <c r="H1388" s="42"/>
      <c r="I1388" s="42"/>
      <c r="J1388" s="43"/>
      <c r="K1388" s="34"/>
      <c r="L1388" s="127"/>
      <c r="M1388" s="34"/>
      <c r="N1388" s="50"/>
      <c r="O1388" s="50"/>
      <c r="P1388" s="50"/>
      <c r="Q1388" s="121"/>
      <c r="R1388" s="121"/>
      <c r="S1388" s="121"/>
      <c r="T1388" s="34"/>
      <c r="U1388" s="35"/>
      <c r="V1388" s="37"/>
      <c r="W1388" s="35"/>
      <c r="X1388" s="122"/>
      <c r="AE1388" s="3"/>
    </row>
    <row r="1389" spans="1:31">
      <c r="A1389" s="39"/>
      <c r="B1389" s="118"/>
      <c r="C1389" s="119"/>
      <c r="D1389" s="119"/>
      <c r="E1389" s="120"/>
      <c r="F1389" s="119"/>
      <c r="G1389" s="38"/>
      <c r="H1389" s="42"/>
      <c r="I1389" s="42"/>
      <c r="J1389" s="43"/>
      <c r="K1389" s="34"/>
      <c r="L1389" s="127"/>
      <c r="M1389" s="34"/>
      <c r="N1389" s="50"/>
      <c r="O1389" s="50"/>
      <c r="P1389" s="50"/>
      <c r="Q1389" s="121"/>
      <c r="R1389" s="121"/>
      <c r="S1389" s="121"/>
      <c r="T1389" s="34"/>
      <c r="U1389" s="35"/>
      <c r="V1389" s="37"/>
      <c r="W1389" s="35"/>
      <c r="X1389" s="122"/>
      <c r="AE1389" s="3"/>
    </row>
    <row r="1390" spans="1:31">
      <c r="A1390" s="39"/>
      <c r="B1390" s="118"/>
      <c r="C1390" s="119"/>
      <c r="D1390" s="119"/>
      <c r="E1390" s="120"/>
      <c r="F1390" s="119"/>
      <c r="G1390" s="38"/>
      <c r="H1390" s="42"/>
      <c r="I1390" s="42"/>
      <c r="J1390" s="43"/>
      <c r="K1390" s="34"/>
      <c r="L1390" s="127"/>
      <c r="M1390" s="34"/>
      <c r="N1390" s="50"/>
      <c r="O1390" s="50"/>
      <c r="P1390" s="50"/>
      <c r="Q1390" s="121"/>
      <c r="R1390" s="121"/>
      <c r="S1390" s="121"/>
      <c r="T1390" s="34"/>
      <c r="U1390" s="35"/>
      <c r="V1390" s="37"/>
      <c r="W1390" s="35"/>
      <c r="X1390" s="122"/>
      <c r="AE1390" s="3"/>
    </row>
    <row r="1391" spans="1:31">
      <c r="A1391" s="39"/>
      <c r="B1391" s="118"/>
      <c r="C1391" s="119"/>
      <c r="D1391" s="119"/>
      <c r="E1391" s="120"/>
      <c r="F1391" s="119"/>
      <c r="G1391" s="38"/>
      <c r="H1391" s="42"/>
      <c r="I1391" s="42"/>
      <c r="J1391" s="43"/>
      <c r="K1391" s="34"/>
      <c r="L1391" s="127"/>
      <c r="M1391" s="34"/>
      <c r="N1391" s="50"/>
      <c r="O1391" s="50"/>
      <c r="P1391" s="50"/>
      <c r="Q1391" s="121"/>
      <c r="R1391" s="121"/>
      <c r="S1391" s="121"/>
      <c r="T1391" s="34"/>
      <c r="U1391" s="35"/>
      <c r="V1391" s="37"/>
      <c r="W1391" s="35"/>
      <c r="X1391" s="122"/>
      <c r="AE1391" s="3"/>
    </row>
    <row r="1392" spans="1:31">
      <c r="A1392" s="39"/>
      <c r="B1392" s="118"/>
      <c r="C1392" s="119"/>
      <c r="D1392" s="119"/>
      <c r="E1392" s="120"/>
      <c r="F1392" s="119"/>
      <c r="G1392" s="38"/>
      <c r="H1392" s="42"/>
      <c r="I1392" s="42"/>
      <c r="J1392" s="43"/>
      <c r="K1392" s="34"/>
      <c r="L1392" s="127"/>
      <c r="M1392" s="34"/>
      <c r="N1392" s="50"/>
      <c r="O1392" s="50"/>
      <c r="P1392" s="50"/>
      <c r="Q1392" s="121"/>
      <c r="R1392" s="121"/>
      <c r="S1392" s="121"/>
      <c r="T1392" s="34"/>
      <c r="U1392" s="35"/>
      <c r="V1392" s="37"/>
      <c r="W1392" s="35"/>
      <c r="X1392" s="122"/>
      <c r="AE1392" s="3"/>
    </row>
    <row r="1393" spans="1:31">
      <c r="A1393" s="39"/>
      <c r="B1393" s="118"/>
      <c r="C1393" s="119"/>
      <c r="D1393" s="119"/>
      <c r="E1393" s="120"/>
      <c r="F1393" s="119"/>
      <c r="G1393" s="38"/>
      <c r="H1393" s="42"/>
      <c r="I1393" s="42"/>
      <c r="J1393" s="43"/>
      <c r="K1393" s="34"/>
      <c r="L1393" s="127"/>
      <c r="M1393" s="34"/>
      <c r="N1393" s="50"/>
      <c r="O1393" s="50"/>
      <c r="P1393" s="50"/>
      <c r="Q1393" s="121"/>
      <c r="R1393" s="121"/>
      <c r="S1393" s="121"/>
      <c r="T1393" s="34"/>
      <c r="U1393" s="35"/>
      <c r="V1393" s="37"/>
      <c r="W1393" s="35"/>
      <c r="X1393" s="122"/>
      <c r="AE1393" s="3"/>
    </row>
    <row r="1394" spans="1:31">
      <c r="A1394" s="39"/>
      <c r="B1394" s="118"/>
      <c r="C1394" s="119"/>
      <c r="D1394" s="119"/>
      <c r="E1394" s="120"/>
      <c r="F1394" s="119"/>
      <c r="G1394" s="38"/>
      <c r="H1394" s="42"/>
      <c r="I1394" s="42"/>
      <c r="J1394" s="43"/>
      <c r="K1394" s="34"/>
      <c r="L1394" s="127"/>
      <c r="M1394" s="34"/>
      <c r="N1394" s="50"/>
      <c r="O1394" s="50"/>
      <c r="P1394" s="50"/>
      <c r="Q1394" s="121"/>
      <c r="R1394" s="121"/>
      <c r="S1394" s="121"/>
      <c r="T1394" s="34"/>
      <c r="U1394" s="35"/>
      <c r="V1394" s="37"/>
      <c r="W1394" s="35"/>
      <c r="X1394" s="122"/>
      <c r="AE1394" s="3"/>
    </row>
    <row r="1395" spans="1:31">
      <c r="A1395" s="39"/>
      <c r="B1395" s="118"/>
      <c r="C1395" s="119"/>
      <c r="D1395" s="119"/>
      <c r="E1395" s="120"/>
      <c r="F1395" s="119"/>
      <c r="G1395" s="38"/>
      <c r="H1395" s="42"/>
      <c r="I1395" s="42"/>
      <c r="J1395" s="43"/>
      <c r="K1395" s="34"/>
      <c r="L1395" s="127"/>
      <c r="M1395" s="34"/>
      <c r="N1395" s="50"/>
      <c r="O1395" s="50"/>
      <c r="P1395" s="50"/>
      <c r="Q1395" s="121"/>
      <c r="R1395" s="121"/>
      <c r="S1395" s="121"/>
      <c r="T1395" s="34"/>
      <c r="U1395" s="35"/>
      <c r="V1395" s="37"/>
      <c r="W1395" s="35"/>
      <c r="X1395" s="122"/>
      <c r="AE1395" s="3"/>
    </row>
    <row r="1396" spans="1:31">
      <c r="A1396" s="39"/>
      <c r="B1396" s="118"/>
      <c r="C1396" s="119"/>
      <c r="D1396" s="119"/>
      <c r="E1396" s="120"/>
      <c r="F1396" s="119"/>
      <c r="G1396" s="38"/>
      <c r="H1396" s="42"/>
      <c r="I1396" s="42"/>
      <c r="J1396" s="43"/>
      <c r="K1396" s="34"/>
      <c r="L1396" s="127"/>
      <c r="M1396" s="34"/>
      <c r="N1396" s="50"/>
      <c r="O1396" s="50"/>
      <c r="P1396" s="50"/>
      <c r="Q1396" s="121"/>
      <c r="R1396" s="121"/>
      <c r="S1396" s="121"/>
      <c r="T1396" s="34"/>
      <c r="U1396" s="35"/>
      <c r="V1396" s="37"/>
      <c r="W1396" s="35"/>
      <c r="X1396" s="122"/>
      <c r="AE1396" s="3"/>
    </row>
    <row r="1397" spans="1:31">
      <c r="A1397" s="39"/>
      <c r="B1397" s="118"/>
      <c r="C1397" s="119"/>
      <c r="D1397" s="119"/>
      <c r="E1397" s="120"/>
      <c r="F1397" s="119"/>
      <c r="G1397" s="38"/>
      <c r="H1397" s="42"/>
      <c r="I1397" s="42"/>
      <c r="J1397" s="43"/>
      <c r="K1397" s="34"/>
      <c r="L1397" s="127"/>
      <c r="M1397" s="34"/>
      <c r="N1397" s="50"/>
      <c r="O1397" s="50"/>
      <c r="P1397" s="50"/>
      <c r="Q1397" s="121"/>
      <c r="R1397" s="121"/>
      <c r="S1397" s="121"/>
      <c r="T1397" s="34"/>
      <c r="U1397" s="35"/>
      <c r="V1397" s="37"/>
      <c r="W1397" s="35"/>
      <c r="X1397" s="122"/>
      <c r="AE1397" s="3"/>
    </row>
    <row r="1398" spans="1:31">
      <c r="A1398" s="39"/>
      <c r="B1398" s="118"/>
      <c r="C1398" s="119"/>
      <c r="D1398" s="119"/>
      <c r="E1398" s="120"/>
      <c r="F1398" s="119"/>
      <c r="G1398" s="38"/>
      <c r="H1398" s="42"/>
      <c r="I1398" s="42"/>
      <c r="J1398" s="43"/>
      <c r="K1398" s="34"/>
      <c r="L1398" s="127"/>
      <c r="M1398" s="34"/>
      <c r="N1398" s="50"/>
      <c r="O1398" s="50"/>
      <c r="P1398" s="50"/>
      <c r="Q1398" s="121"/>
      <c r="R1398" s="121"/>
      <c r="S1398" s="121"/>
      <c r="T1398" s="34"/>
      <c r="U1398" s="35"/>
      <c r="V1398" s="37"/>
      <c r="W1398" s="35"/>
      <c r="X1398" s="122"/>
      <c r="AE1398" s="3"/>
    </row>
    <row r="1399" spans="1:31">
      <c r="A1399" s="39"/>
      <c r="B1399" s="118"/>
      <c r="C1399" s="119"/>
      <c r="D1399" s="119"/>
      <c r="E1399" s="120"/>
      <c r="F1399" s="119"/>
      <c r="G1399" s="38"/>
      <c r="H1399" s="42"/>
      <c r="I1399" s="42"/>
      <c r="J1399" s="43"/>
      <c r="K1399" s="34"/>
      <c r="L1399" s="127"/>
      <c r="M1399" s="34"/>
      <c r="N1399" s="50"/>
      <c r="O1399" s="50"/>
      <c r="P1399" s="50"/>
      <c r="Q1399" s="121"/>
      <c r="R1399" s="121"/>
      <c r="S1399" s="121"/>
      <c r="T1399" s="34"/>
      <c r="U1399" s="35"/>
      <c r="V1399" s="37"/>
      <c r="W1399" s="35"/>
      <c r="X1399" s="122"/>
      <c r="AE1399" s="3"/>
    </row>
    <row r="1400" spans="1:31">
      <c r="A1400" s="39"/>
      <c r="B1400" s="118"/>
      <c r="C1400" s="119"/>
      <c r="D1400" s="119"/>
      <c r="E1400" s="120"/>
      <c r="F1400" s="119"/>
      <c r="G1400" s="38"/>
      <c r="H1400" s="42"/>
      <c r="I1400" s="42"/>
      <c r="J1400" s="43"/>
      <c r="K1400" s="34"/>
      <c r="L1400" s="127"/>
      <c r="M1400" s="34"/>
      <c r="N1400" s="50"/>
      <c r="O1400" s="50"/>
      <c r="P1400" s="50"/>
      <c r="Q1400" s="121"/>
      <c r="R1400" s="121"/>
      <c r="S1400" s="121"/>
      <c r="T1400" s="34"/>
      <c r="U1400" s="35"/>
      <c r="V1400" s="37"/>
      <c r="W1400" s="35"/>
      <c r="X1400" s="122"/>
      <c r="AE1400" s="3"/>
    </row>
    <row r="1401" spans="1:31">
      <c r="A1401" s="39"/>
      <c r="B1401" s="118"/>
      <c r="C1401" s="119"/>
      <c r="D1401" s="119"/>
      <c r="E1401" s="120"/>
      <c r="F1401" s="119"/>
      <c r="G1401" s="38"/>
      <c r="H1401" s="42"/>
      <c r="I1401" s="42"/>
      <c r="J1401" s="43"/>
      <c r="K1401" s="34"/>
      <c r="L1401" s="127"/>
      <c r="M1401" s="34"/>
      <c r="N1401" s="50"/>
      <c r="O1401" s="50"/>
      <c r="P1401" s="50"/>
      <c r="Q1401" s="121"/>
      <c r="R1401" s="121"/>
      <c r="S1401" s="121"/>
      <c r="T1401" s="34"/>
      <c r="U1401" s="35"/>
      <c r="V1401" s="37"/>
      <c r="W1401" s="35"/>
      <c r="X1401" s="122"/>
      <c r="AE1401" s="3"/>
    </row>
    <row r="1402" spans="1:31">
      <c r="A1402" s="39"/>
      <c r="B1402" s="118"/>
      <c r="C1402" s="119"/>
      <c r="D1402" s="119"/>
      <c r="E1402" s="120"/>
      <c r="F1402" s="119"/>
      <c r="G1402" s="38"/>
      <c r="H1402" s="42"/>
      <c r="I1402" s="42"/>
      <c r="J1402" s="43"/>
      <c r="K1402" s="34"/>
      <c r="L1402" s="127"/>
      <c r="M1402" s="34"/>
      <c r="N1402" s="50"/>
      <c r="O1402" s="50"/>
      <c r="P1402" s="50"/>
      <c r="Q1402" s="121"/>
      <c r="R1402" s="121"/>
      <c r="S1402" s="121"/>
      <c r="T1402" s="34"/>
      <c r="U1402" s="35"/>
      <c r="V1402" s="37"/>
      <c r="W1402" s="35"/>
      <c r="X1402" s="122"/>
      <c r="AE1402" s="3"/>
    </row>
    <row r="1403" spans="1:31">
      <c r="A1403" s="39"/>
      <c r="B1403" s="118"/>
      <c r="C1403" s="119"/>
      <c r="D1403" s="119"/>
      <c r="E1403" s="120"/>
      <c r="F1403" s="119"/>
      <c r="G1403" s="38"/>
      <c r="H1403" s="42"/>
      <c r="I1403" s="42"/>
      <c r="J1403" s="43"/>
      <c r="K1403" s="34"/>
      <c r="L1403" s="127"/>
      <c r="M1403" s="34"/>
      <c r="N1403" s="50"/>
      <c r="O1403" s="50"/>
      <c r="P1403" s="50"/>
      <c r="Q1403" s="121"/>
      <c r="R1403" s="121"/>
      <c r="S1403" s="121"/>
      <c r="T1403" s="34"/>
      <c r="U1403" s="35"/>
      <c r="V1403" s="37"/>
      <c r="W1403" s="35"/>
      <c r="X1403" s="122"/>
      <c r="AE1403" s="3"/>
    </row>
    <row r="1404" spans="1:31">
      <c r="A1404" s="39"/>
      <c r="B1404" s="118"/>
      <c r="C1404" s="119"/>
      <c r="D1404" s="119"/>
      <c r="E1404" s="120"/>
      <c r="F1404" s="119"/>
      <c r="G1404" s="38"/>
      <c r="H1404" s="42"/>
      <c r="I1404" s="42"/>
      <c r="J1404" s="43"/>
      <c r="K1404" s="34"/>
      <c r="L1404" s="127"/>
      <c r="M1404" s="34"/>
      <c r="N1404" s="50"/>
      <c r="O1404" s="50"/>
      <c r="P1404" s="50"/>
      <c r="Q1404" s="121"/>
      <c r="R1404" s="121"/>
      <c r="S1404" s="121"/>
      <c r="T1404" s="34"/>
      <c r="U1404" s="35"/>
      <c r="V1404" s="37"/>
      <c r="W1404" s="35"/>
      <c r="X1404" s="122"/>
      <c r="AE1404" s="3"/>
    </row>
    <row r="1405" spans="1:31">
      <c r="A1405" s="39"/>
      <c r="B1405" s="118"/>
      <c r="C1405" s="119"/>
      <c r="D1405" s="119"/>
      <c r="E1405" s="120"/>
      <c r="F1405" s="119"/>
      <c r="G1405" s="38"/>
      <c r="H1405" s="42"/>
      <c r="I1405" s="42"/>
      <c r="J1405" s="43"/>
      <c r="K1405" s="34"/>
      <c r="L1405" s="127"/>
      <c r="M1405" s="34"/>
      <c r="N1405" s="50"/>
      <c r="O1405" s="50"/>
      <c r="P1405" s="50"/>
      <c r="Q1405" s="121"/>
      <c r="R1405" s="121"/>
      <c r="S1405" s="121"/>
      <c r="T1405" s="34"/>
      <c r="U1405" s="35"/>
      <c r="V1405" s="37"/>
      <c r="W1405" s="35"/>
      <c r="X1405" s="122"/>
      <c r="AE1405" s="3"/>
    </row>
    <row r="1406" spans="1:31">
      <c r="A1406" s="39"/>
      <c r="B1406" s="118"/>
      <c r="C1406" s="119"/>
      <c r="D1406" s="119"/>
      <c r="E1406" s="120"/>
      <c r="F1406" s="119"/>
      <c r="G1406" s="38"/>
      <c r="H1406" s="42"/>
      <c r="I1406" s="42"/>
      <c r="J1406" s="43"/>
      <c r="K1406" s="34"/>
      <c r="L1406" s="127"/>
      <c r="M1406" s="34"/>
      <c r="N1406" s="50"/>
      <c r="O1406" s="50"/>
      <c r="P1406" s="50"/>
      <c r="Q1406" s="121"/>
      <c r="R1406" s="121"/>
      <c r="S1406" s="121"/>
      <c r="T1406" s="34"/>
      <c r="U1406" s="35"/>
      <c r="V1406" s="37"/>
      <c r="W1406" s="35"/>
      <c r="X1406" s="122"/>
      <c r="AE1406" s="3"/>
    </row>
    <row r="1407" spans="1:31">
      <c r="A1407" s="39"/>
      <c r="B1407" s="118"/>
      <c r="C1407" s="119"/>
      <c r="D1407" s="119"/>
      <c r="E1407" s="120"/>
      <c r="F1407" s="119"/>
      <c r="G1407" s="38"/>
      <c r="H1407" s="42"/>
      <c r="I1407" s="42"/>
      <c r="J1407" s="43"/>
      <c r="K1407" s="34"/>
      <c r="L1407" s="127"/>
      <c r="M1407" s="34"/>
      <c r="N1407" s="50"/>
      <c r="O1407" s="50"/>
      <c r="P1407" s="50"/>
      <c r="Q1407" s="121"/>
      <c r="R1407" s="121"/>
      <c r="S1407" s="121"/>
      <c r="T1407" s="34"/>
      <c r="U1407" s="35"/>
      <c r="V1407" s="37"/>
      <c r="W1407" s="35"/>
      <c r="X1407" s="122"/>
      <c r="AE1407" s="3"/>
    </row>
    <row r="1408" spans="1:31">
      <c r="A1408" s="39"/>
      <c r="B1408" s="118"/>
      <c r="C1408" s="119"/>
      <c r="D1408" s="119"/>
      <c r="E1408" s="120"/>
      <c r="F1408" s="119"/>
      <c r="G1408" s="38"/>
      <c r="H1408" s="42"/>
      <c r="I1408" s="42"/>
      <c r="J1408" s="43"/>
      <c r="K1408" s="34"/>
      <c r="L1408" s="127"/>
      <c r="M1408" s="34"/>
      <c r="N1408" s="50"/>
      <c r="O1408" s="50"/>
      <c r="P1408" s="50"/>
      <c r="Q1408" s="121"/>
      <c r="R1408" s="121"/>
      <c r="S1408" s="121"/>
      <c r="T1408" s="34"/>
      <c r="U1408" s="35"/>
      <c r="V1408" s="37"/>
      <c r="W1408" s="35"/>
      <c r="X1408" s="122"/>
      <c r="AE1408" s="3"/>
    </row>
    <row r="1409" spans="1:31">
      <c r="A1409" s="39"/>
      <c r="B1409" s="118"/>
      <c r="C1409" s="119"/>
      <c r="D1409" s="119"/>
      <c r="E1409" s="120"/>
      <c r="F1409" s="119"/>
      <c r="G1409" s="38"/>
      <c r="H1409" s="42"/>
      <c r="I1409" s="42"/>
      <c r="J1409" s="43"/>
      <c r="K1409" s="34"/>
      <c r="L1409" s="127"/>
      <c r="M1409" s="34"/>
      <c r="N1409" s="50"/>
      <c r="O1409" s="50"/>
      <c r="P1409" s="50"/>
      <c r="Q1409" s="121"/>
      <c r="R1409" s="121"/>
      <c r="S1409" s="121"/>
      <c r="T1409" s="34"/>
      <c r="U1409" s="35"/>
      <c r="V1409" s="37"/>
      <c r="W1409" s="35"/>
      <c r="X1409" s="122"/>
      <c r="AE1409" s="3"/>
    </row>
    <row r="1410" spans="1:31">
      <c r="A1410" s="39"/>
      <c r="B1410" s="118"/>
      <c r="C1410" s="119"/>
      <c r="D1410" s="119"/>
      <c r="E1410" s="120"/>
      <c r="F1410" s="119"/>
      <c r="G1410" s="38"/>
      <c r="H1410" s="42"/>
      <c r="I1410" s="42"/>
      <c r="J1410" s="43"/>
      <c r="K1410" s="34"/>
      <c r="L1410" s="127"/>
      <c r="M1410" s="34"/>
      <c r="N1410" s="50"/>
      <c r="O1410" s="50"/>
      <c r="P1410" s="50"/>
      <c r="Q1410" s="121"/>
      <c r="R1410" s="121"/>
      <c r="S1410" s="121"/>
      <c r="T1410" s="34"/>
      <c r="U1410" s="35"/>
      <c r="V1410" s="37"/>
      <c r="W1410" s="35"/>
      <c r="X1410" s="122"/>
      <c r="AE1410" s="3"/>
    </row>
    <row r="1411" spans="1:31">
      <c r="A1411" s="39"/>
      <c r="B1411" s="118"/>
      <c r="C1411" s="119"/>
      <c r="D1411" s="119"/>
      <c r="E1411" s="120"/>
      <c r="F1411" s="119"/>
      <c r="G1411" s="38"/>
      <c r="H1411" s="42"/>
      <c r="I1411" s="42"/>
      <c r="J1411" s="43"/>
      <c r="K1411" s="34"/>
      <c r="L1411" s="127"/>
      <c r="M1411" s="34"/>
      <c r="N1411" s="50"/>
      <c r="O1411" s="50"/>
      <c r="P1411" s="50"/>
      <c r="Q1411" s="121"/>
      <c r="R1411" s="121"/>
      <c r="S1411" s="121"/>
      <c r="T1411" s="34"/>
      <c r="U1411" s="35"/>
      <c r="V1411" s="37"/>
      <c r="W1411" s="35"/>
      <c r="X1411" s="122"/>
      <c r="AE1411" s="3"/>
    </row>
    <row r="1412" spans="1:31">
      <c r="A1412" s="39"/>
      <c r="B1412" s="118"/>
      <c r="C1412" s="119"/>
      <c r="D1412" s="119"/>
      <c r="E1412" s="120"/>
      <c r="F1412" s="119"/>
      <c r="G1412" s="38"/>
      <c r="H1412" s="42"/>
      <c r="I1412" s="42"/>
      <c r="J1412" s="43"/>
      <c r="K1412" s="34"/>
      <c r="L1412" s="127"/>
      <c r="M1412" s="34"/>
      <c r="N1412" s="50"/>
      <c r="O1412" s="50"/>
      <c r="P1412" s="50"/>
      <c r="Q1412" s="121"/>
      <c r="R1412" s="121"/>
      <c r="S1412" s="121"/>
      <c r="T1412" s="34"/>
      <c r="U1412" s="35"/>
      <c r="V1412" s="37"/>
      <c r="W1412" s="35"/>
      <c r="X1412" s="122"/>
      <c r="AE1412" s="3"/>
    </row>
    <row r="1413" spans="1:31">
      <c r="A1413" s="39"/>
      <c r="B1413" s="118"/>
      <c r="C1413" s="119"/>
      <c r="D1413" s="119"/>
      <c r="E1413" s="120"/>
      <c r="F1413" s="119"/>
      <c r="G1413" s="38"/>
      <c r="H1413" s="42"/>
      <c r="I1413" s="42"/>
      <c r="J1413" s="43"/>
      <c r="K1413" s="34"/>
      <c r="L1413" s="127"/>
      <c r="M1413" s="34"/>
      <c r="N1413" s="50"/>
      <c r="O1413" s="50"/>
      <c r="P1413" s="50"/>
      <c r="Q1413" s="121"/>
      <c r="R1413" s="121"/>
      <c r="S1413" s="121"/>
      <c r="T1413" s="34"/>
      <c r="U1413" s="35"/>
      <c r="V1413" s="37"/>
      <c r="W1413" s="35"/>
      <c r="X1413" s="122"/>
      <c r="AE1413" s="3"/>
    </row>
    <row r="1414" spans="1:31">
      <c r="A1414" s="39"/>
      <c r="B1414" s="118"/>
      <c r="C1414" s="119"/>
      <c r="D1414" s="119"/>
      <c r="E1414" s="120"/>
      <c r="F1414" s="119"/>
      <c r="G1414" s="38"/>
      <c r="H1414" s="42"/>
      <c r="I1414" s="42"/>
      <c r="J1414" s="43"/>
      <c r="K1414" s="34"/>
      <c r="L1414" s="127"/>
      <c r="M1414" s="34"/>
      <c r="N1414" s="50"/>
      <c r="O1414" s="50"/>
      <c r="P1414" s="50"/>
      <c r="Q1414" s="121"/>
      <c r="R1414" s="121"/>
      <c r="S1414" s="121"/>
      <c r="T1414" s="34"/>
      <c r="U1414" s="35"/>
      <c r="V1414" s="37"/>
      <c r="W1414" s="35"/>
      <c r="X1414" s="122"/>
      <c r="AE1414" s="3"/>
    </row>
    <row r="1415" spans="1:31">
      <c r="A1415" s="39"/>
      <c r="B1415" s="118"/>
      <c r="C1415" s="119"/>
      <c r="D1415" s="119"/>
      <c r="E1415" s="120"/>
      <c r="F1415" s="119"/>
      <c r="G1415" s="38"/>
      <c r="H1415" s="42"/>
      <c r="I1415" s="42"/>
      <c r="J1415" s="43"/>
      <c r="K1415" s="34"/>
      <c r="L1415" s="127"/>
      <c r="M1415" s="34"/>
      <c r="N1415" s="50"/>
      <c r="O1415" s="50"/>
      <c r="P1415" s="50"/>
      <c r="Q1415" s="121"/>
      <c r="R1415" s="121"/>
      <c r="S1415" s="121"/>
      <c r="T1415" s="34"/>
      <c r="U1415" s="35"/>
      <c r="V1415" s="37"/>
      <c r="W1415" s="35"/>
      <c r="X1415" s="122"/>
      <c r="AE1415" s="3"/>
    </row>
    <row r="1416" spans="1:31">
      <c r="A1416" s="39"/>
      <c r="B1416" s="118"/>
      <c r="C1416" s="119"/>
      <c r="D1416" s="119"/>
      <c r="E1416" s="120"/>
      <c r="F1416" s="119"/>
      <c r="G1416" s="38"/>
      <c r="H1416" s="42"/>
      <c r="I1416" s="42"/>
      <c r="J1416" s="43"/>
      <c r="K1416" s="34"/>
      <c r="L1416" s="127"/>
      <c r="M1416" s="34"/>
      <c r="N1416" s="50"/>
      <c r="O1416" s="50"/>
      <c r="P1416" s="50"/>
      <c r="Q1416" s="121"/>
      <c r="R1416" s="121"/>
      <c r="S1416" s="121"/>
      <c r="T1416" s="34"/>
      <c r="U1416" s="35"/>
      <c r="V1416" s="37"/>
      <c r="W1416" s="35"/>
      <c r="X1416" s="122"/>
      <c r="AE1416" s="3"/>
    </row>
    <row r="1417" spans="1:31">
      <c r="A1417" s="39"/>
      <c r="B1417" s="118"/>
      <c r="C1417" s="119"/>
      <c r="D1417" s="119"/>
      <c r="E1417" s="120"/>
      <c r="F1417" s="119"/>
      <c r="G1417" s="38"/>
      <c r="H1417" s="42"/>
      <c r="I1417" s="42"/>
      <c r="J1417" s="43"/>
      <c r="K1417" s="34"/>
      <c r="L1417" s="127"/>
      <c r="M1417" s="34"/>
      <c r="N1417" s="50"/>
      <c r="O1417" s="50"/>
      <c r="P1417" s="50"/>
      <c r="Q1417" s="121"/>
      <c r="R1417" s="121"/>
      <c r="S1417" s="121"/>
      <c r="T1417" s="34"/>
      <c r="U1417" s="35"/>
      <c r="V1417" s="37"/>
      <c r="W1417" s="35"/>
      <c r="X1417" s="122"/>
      <c r="AE1417" s="3"/>
    </row>
    <row r="1418" spans="1:31">
      <c r="A1418" s="39"/>
      <c r="B1418" s="118"/>
      <c r="C1418" s="119"/>
      <c r="D1418" s="119"/>
      <c r="E1418" s="120"/>
      <c r="F1418" s="119"/>
      <c r="G1418" s="38"/>
      <c r="H1418" s="42"/>
      <c r="I1418" s="42"/>
      <c r="J1418" s="43"/>
      <c r="K1418" s="34"/>
      <c r="L1418" s="127"/>
      <c r="M1418" s="34"/>
      <c r="N1418" s="50"/>
      <c r="O1418" s="50"/>
      <c r="P1418" s="50"/>
      <c r="Q1418" s="121"/>
      <c r="R1418" s="121"/>
      <c r="S1418" s="121"/>
      <c r="T1418" s="34"/>
      <c r="U1418" s="35"/>
      <c r="V1418" s="37"/>
      <c r="W1418" s="35"/>
      <c r="X1418" s="122"/>
      <c r="AE1418" s="3"/>
    </row>
    <row r="1419" spans="1:31">
      <c r="A1419" s="39"/>
      <c r="B1419" s="118"/>
      <c r="C1419" s="119"/>
      <c r="D1419" s="119"/>
      <c r="E1419" s="120"/>
      <c r="F1419" s="119"/>
      <c r="G1419" s="38"/>
      <c r="H1419" s="42"/>
      <c r="I1419" s="42"/>
      <c r="J1419" s="43"/>
      <c r="K1419" s="34"/>
      <c r="L1419" s="127"/>
      <c r="M1419" s="34"/>
      <c r="N1419" s="50"/>
      <c r="O1419" s="50"/>
      <c r="P1419" s="50"/>
      <c r="Q1419" s="121"/>
      <c r="R1419" s="121"/>
      <c r="S1419" s="121"/>
      <c r="T1419" s="34"/>
      <c r="U1419" s="35"/>
      <c r="V1419" s="37"/>
      <c r="W1419" s="35"/>
      <c r="X1419" s="122"/>
      <c r="AE1419" s="3"/>
    </row>
    <row r="1420" spans="1:31">
      <c r="A1420" s="39"/>
      <c r="B1420" s="118"/>
      <c r="C1420" s="119"/>
      <c r="D1420" s="119"/>
      <c r="E1420" s="120"/>
      <c r="F1420" s="119"/>
      <c r="G1420" s="38"/>
      <c r="H1420" s="42"/>
      <c r="I1420" s="42"/>
      <c r="J1420" s="43"/>
      <c r="K1420" s="34"/>
      <c r="L1420" s="127"/>
      <c r="M1420" s="34"/>
      <c r="N1420" s="50"/>
      <c r="O1420" s="50"/>
      <c r="P1420" s="50"/>
      <c r="Q1420" s="121"/>
      <c r="R1420" s="121"/>
      <c r="S1420" s="121"/>
      <c r="T1420" s="34"/>
      <c r="U1420" s="35"/>
      <c r="V1420" s="37"/>
      <c r="W1420" s="35"/>
      <c r="X1420" s="122"/>
      <c r="AE1420" s="3"/>
    </row>
    <row r="1421" spans="1:31">
      <c r="A1421" s="39"/>
      <c r="B1421" s="118"/>
      <c r="C1421" s="119"/>
      <c r="D1421" s="119"/>
      <c r="E1421" s="120"/>
      <c r="F1421" s="119"/>
      <c r="G1421" s="38"/>
      <c r="H1421" s="42"/>
      <c r="I1421" s="42"/>
      <c r="J1421" s="43"/>
      <c r="K1421" s="34"/>
      <c r="L1421" s="127"/>
      <c r="M1421" s="34"/>
      <c r="N1421" s="50"/>
      <c r="O1421" s="50"/>
      <c r="P1421" s="50"/>
      <c r="Q1421" s="121"/>
      <c r="R1421" s="121"/>
      <c r="S1421" s="121"/>
      <c r="T1421" s="34"/>
      <c r="U1421" s="35"/>
      <c r="V1421" s="37"/>
      <c r="W1421" s="35"/>
      <c r="X1421" s="122"/>
      <c r="AE1421" s="3"/>
    </row>
    <row r="1422" spans="1:31">
      <c r="A1422" s="39"/>
      <c r="B1422" s="118"/>
      <c r="C1422" s="119"/>
      <c r="D1422" s="119"/>
      <c r="E1422" s="120"/>
      <c r="F1422" s="119"/>
      <c r="G1422" s="38"/>
      <c r="H1422" s="42"/>
      <c r="I1422" s="42"/>
      <c r="J1422" s="43"/>
      <c r="K1422" s="34"/>
      <c r="L1422" s="127"/>
      <c r="M1422" s="34"/>
      <c r="N1422" s="50"/>
      <c r="O1422" s="50"/>
      <c r="P1422" s="50"/>
      <c r="Q1422" s="121"/>
      <c r="R1422" s="121"/>
      <c r="S1422" s="121"/>
      <c r="T1422" s="34"/>
      <c r="U1422" s="35"/>
      <c r="V1422" s="37"/>
      <c r="W1422" s="35"/>
      <c r="X1422" s="122"/>
      <c r="AE1422" s="3"/>
    </row>
    <row r="1423" spans="1:31">
      <c r="A1423" s="39"/>
      <c r="B1423" s="118"/>
      <c r="C1423" s="119"/>
      <c r="D1423" s="119"/>
      <c r="E1423" s="120"/>
      <c r="F1423" s="119"/>
      <c r="G1423" s="38"/>
      <c r="H1423" s="42"/>
      <c r="I1423" s="42"/>
      <c r="J1423" s="43"/>
      <c r="K1423" s="34"/>
      <c r="L1423" s="127"/>
      <c r="M1423" s="34"/>
      <c r="N1423" s="50"/>
      <c r="O1423" s="50"/>
      <c r="P1423" s="50"/>
      <c r="Q1423" s="121"/>
      <c r="R1423" s="121"/>
      <c r="S1423" s="121"/>
      <c r="T1423" s="34"/>
      <c r="U1423" s="35"/>
      <c r="V1423" s="37"/>
      <c r="W1423" s="35"/>
      <c r="X1423" s="122"/>
      <c r="AE1423" s="3"/>
    </row>
    <row r="1424" spans="1:31">
      <c r="A1424" s="39"/>
      <c r="B1424" s="118"/>
      <c r="C1424" s="119"/>
      <c r="D1424" s="119"/>
      <c r="E1424" s="120"/>
      <c r="F1424" s="119"/>
      <c r="G1424" s="38"/>
      <c r="H1424" s="42"/>
      <c r="I1424" s="42"/>
      <c r="J1424" s="43"/>
      <c r="K1424" s="34"/>
      <c r="L1424" s="127"/>
      <c r="M1424" s="34"/>
      <c r="N1424" s="50"/>
      <c r="O1424" s="50"/>
      <c r="P1424" s="50"/>
      <c r="Q1424" s="121"/>
      <c r="R1424" s="121"/>
      <c r="S1424" s="121"/>
      <c r="T1424" s="34"/>
      <c r="U1424" s="35"/>
      <c r="V1424" s="37"/>
      <c r="W1424" s="35"/>
      <c r="X1424" s="122"/>
      <c r="AE1424" s="3"/>
    </row>
    <row r="1425" spans="1:31">
      <c r="A1425" s="39"/>
      <c r="B1425" s="118"/>
      <c r="C1425" s="119"/>
      <c r="D1425" s="119"/>
      <c r="E1425" s="120"/>
      <c r="F1425" s="119"/>
      <c r="G1425" s="38"/>
      <c r="H1425" s="42"/>
      <c r="I1425" s="42"/>
      <c r="J1425" s="43"/>
      <c r="K1425" s="34"/>
      <c r="L1425" s="127"/>
      <c r="M1425" s="34"/>
      <c r="N1425" s="50"/>
      <c r="O1425" s="50"/>
      <c r="P1425" s="50"/>
      <c r="Q1425" s="121"/>
      <c r="R1425" s="121"/>
      <c r="S1425" s="121"/>
      <c r="T1425" s="34"/>
      <c r="U1425" s="35"/>
      <c r="V1425" s="37"/>
      <c r="W1425" s="35"/>
      <c r="X1425" s="122"/>
      <c r="AE1425" s="3"/>
    </row>
    <row r="1426" spans="1:31">
      <c r="A1426" s="39"/>
      <c r="B1426" s="118"/>
      <c r="C1426" s="119"/>
      <c r="D1426" s="119"/>
      <c r="E1426" s="120"/>
      <c r="F1426" s="119"/>
      <c r="G1426" s="38"/>
      <c r="H1426" s="42"/>
      <c r="I1426" s="42"/>
      <c r="J1426" s="43"/>
      <c r="K1426" s="34"/>
      <c r="L1426" s="127"/>
      <c r="M1426" s="34"/>
      <c r="N1426" s="50"/>
      <c r="O1426" s="50"/>
      <c r="P1426" s="50"/>
      <c r="Q1426" s="121"/>
      <c r="R1426" s="121"/>
      <c r="S1426" s="121"/>
      <c r="T1426" s="34"/>
      <c r="U1426" s="35"/>
      <c r="V1426" s="37"/>
      <c r="W1426" s="35"/>
      <c r="X1426" s="122"/>
      <c r="AE1426" s="3"/>
    </row>
    <row r="1427" spans="1:31">
      <c r="A1427" s="39"/>
      <c r="B1427" s="118"/>
      <c r="C1427" s="119"/>
      <c r="D1427" s="119"/>
      <c r="E1427" s="120"/>
      <c r="F1427" s="119"/>
      <c r="G1427" s="38"/>
      <c r="H1427" s="42"/>
      <c r="I1427" s="42"/>
      <c r="J1427" s="43"/>
      <c r="K1427" s="34"/>
      <c r="L1427" s="127"/>
      <c r="M1427" s="34"/>
      <c r="N1427" s="50"/>
      <c r="O1427" s="50"/>
      <c r="P1427" s="50"/>
      <c r="Q1427" s="121"/>
      <c r="R1427" s="121"/>
      <c r="S1427" s="121"/>
      <c r="T1427" s="34"/>
      <c r="U1427" s="35"/>
      <c r="V1427" s="37"/>
      <c r="W1427" s="35"/>
      <c r="X1427" s="122"/>
      <c r="AE1427" s="3"/>
    </row>
    <row r="1428" spans="1:31">
      <c r="A1428" s="39"/>
      <c r="B1428" s="118"/>
      <c r="C1428" s="119"/>
      <c r="D1428" s="119"/>
      <c r="E1428" s="120"/>
      <c r="F1428" s="119"/>
      <c r="G1428" s="38"/>
      <c r="H1428" s="42"/>
      <c r="I1428" s="42"/>
      <c r="J1428" s="43"/>
      <c r="K1428" s="34"/>
      <c r="L1428" s="127"/>
      <c r="M1428" s="34"/>
      <c r="N1428" s="50"/>
      <c r="O1428" s="50"/>
      <c r="P1428" s="50"/>
      <c r="Q1428" s="121"/>
      <c r="R1428" s="121"/>
      <c r="S1428" s="121"/>
      <c r="T1428" s="34"/>
      <c r="U1428" s="35"/>
      <c r="V1428" s="37"/>
      <c r="W1428" s="35"/>
      <c r="X1428" s="122"/>
      <c r="AE1428" s="3"/>
    </row>
    <row r="1429" spans="1:31">
      <c r="A1429" s="39"/>
      <c r="B1429" s="118"/>
      <c r="C1429" s="119"/>
      <c r="D1429" s="119"/>
      <c r="E1429" s="120"/>
      <c r="F1429" s="119"/>
      <c r="G1429" s="38"/>
      <c r="H1429" s="42"/>
      <c r="I1429" s="42"/>
      <c r="J1429" s="43"/>
      <c r="K1429" s="34"/>
      <c r="L1429" s="127"/>
      <c r="M1429" s="34"/>
      <c r="N1429" s="50"/>
      <c r="O1429" s="50"/>
      <c r="P1429" s="50"/>
      <c r="Q1429" s="121"/>
      <c r="R1429" s="121"/>
      <c r="S1429" s="121"/>
      <c r="T1429" s="34"/>
      <c r="U1429" s="35"/>
      <c r="V1429" s="37"/>
      <c r="W1429" s="35"/>
      <c r="X1429" s="122"/>
      <c r="AE1429" s="3"/>
    </row>
    <row r="1430" spans="1:31">
      <c r="A1430" s="39"/>
      <c r="B1430" s="118"/>
      <c r="C1430" s="119"/>
      <c r="D1430" s="119"/>
      <c r="E1430" s="120"/>
      <c r="F1430" s="119"/>
      <c r="G1430" s="38"/>
      <c r="H1430" s="42"/>
      <c r="I1430" s="42"/>
      <c r="J1430" s="43"/>
      <c r="K1430" s="34"/>
      <c r="L1430" s="127"/>
      <c r="M1430" s="34"/>
      <c r="N1430" s="50"/>
      <c r="O1430" s="50"/>
      <c r="P1430" s="50"/>
      <c r="Q1430" s="121"/>
      <c r="R1430" s="121"/>
      <c r="S1430" s="121"/>
      <c r="T1430" s="34"/>
      <c r="U1430" s="35"/>
      <c r="V1430" s="37"/>
      <c r="W1430" s="35"/>
      <c r="X1430" s="122"/>
      <c r="AE1430" s="3"/>
    </row>
    <row r="1431" spans="1:31">
      <c r="A1431" s="39"/>
      <c r="B1431" s="118"/>
      <c r="C1431" s="119"/>
      <c r="D1431" s="119"/>
      <c r="E1431" s="120"/>
      <c r="F1431" s="119"/>
      <c r="G1431" s="38"/>
      <c r="H1431" s="42"/>
      <c r="I1431" s="42"/>
      <c r="J1431" s="43"/>
      <c r="K1431" s="34"/>
      <c r="L1431" s="127"/>
      <c r="M1431" s="34"/>
      <c r="N1431" s="50"/>
      <c r="O1431" s="50"/>
      <c r="P1431" s="50"/>
      <c r="Q1431" s="121"/>
      <c r="R1431" s="121"/>
      <c r="S1431" s="121"/>
      <c r="T1431" s="34"/>
      <c r="U1431" s="35"/>
      <c r="V1431" s="37"/>
      <c r="W1431" s="35"/>
      <c r="X1431" s="122"/>
      <c r="AE1431" s="3"/>
    </row>
    <row r="1432" spans="1:31">
      <c r="A1432" s="39"/>
      <c r="B1432" s="118"/>
      <c r="C1432" s="119"/>
      <c r="D1432" s="119"/>
      <c r="E1432" s="120"/>
      <c r="F1432" s="119"/>
      <c r="G1432" s="38"/>
      <c r="H1432" s="42"/>
      <c r="I1432" s="42"/>
      <c r="J1432" s="43"/>
      <c r="K1432" s="34"/>
      <c r="L1432" s="127"/>
      <c r="M1432" s="34"/>
      <c r="N1432" s="50"/>
      <c r="O1432" s="50"/>
      <c r="P1432" s="50"/>
      <c r="Q1432" s="121"/>
      <c r="R1432" s="121"/>
      <c r="S1432" s="121"/>
      <c r="T1432" s="34"/>
      <c r="U1432" s="35"/>
      <c r="V1432" s="37"/>
      <c r="W1432" s="35"/>
      <c r="X1432" s="122"/>
      <c r="AE1432" s="3"/>
    </row>
    <row r="1433" spans="1:31">
      <c r="A1433" s="39"/>
      <c r="B1433" s="118"/>
      <c r="C1433" s="119"/>
      <c r="D1433" s="119"/>
      <c r="E1433" s="120"/>
      <c r="F1433" s="119"/>
      <c r="G1433" s="38"/>
      <c r="H1433" s="42"/>
      <c r="I1433" s="42"/>
      <c r="J1433" s="43"/>
      <c r="K1433" s="34"/>
      <c r="L1433" s="127"/>
      <c r="M1433" s="34"/>
      <c r="N1433" s="50"/>
      <c r="O1433" s="50"/>
      <c r="P1433" s="50"/>
      <c r="Q1433" s="121"/>
      <c r="R1433" s="121"/>
      <c r="S1433" s="121"/>
      <c r="T1433" s="34"/>
      <c r="U1433" s="35"/>
      <c r="V1433" s="37"/>
      <c r="W1433" s="35"/>
      <c r="X1433" s="122"/>
      <c r="AE1433" s="3"/>
    </row>
    <row r="1434" spans="1:31">
      <c r="A1434" s="39"/>
      <c r="B1434" s="118"/>
      <c r="C1434" s="119"/>
      <c r="D1434" s="119"/>
      <c r="E1434" s="120"/>
      <c r="F1434" s="119"/>
      <c r="G1434" s="38"/>
      <c r="H1434" s="42"/>
      <c r="I1434" s="42"/>
      <c r="J1434" s="43"/>
      <c r="K1434" s="34"/>
      <c r="L1434" s="127"/>
      <c r="M1434" s="34"/>
      <c r="N1434" s="50"/>
      <c r="O1434" s="50"/>
      <c r="P1434" s="50"/>
      <c r="Q1434" s="121"/>
      <c r="R1434" s="121"/>
      <c r="S1434" s="121"/>
      <c r="T1434" s="34"/>
      <c r="U1434" s="35"/>
      <c r="V1434" s="37"/>
      <c r="W1434" s="35"/>
      <c r="X1434" s="122"/>
      <c r="AE1434" s="3"/>
    </row>
    <row r="1435" spans="1:31">
      <c r="A1435" s="39"/>
      <c r="B1435" s="118"/>
      <c r="C1435" s="119"/>
      <c r="D1435" s="119"/>
      <c r="E1435" s="120"/>
      <c r="F1435" s="119"/>
      <c r="G1435" s="38"/>
      <c r="H1435" s="42"/>
      <c r="I1435" s="42"/>
      <c r="J1435" s="43"/>
      <c r="K1435" s="34"/>
      <c r="L1435" s="127"/>
      <c r="M1435" s="34"/>
      <c r="N1435" s="50"/>
      <c r="O1435" s="50"/>
      <c r="P1435" s="50"/>
      <c r="Q1435" s="121"/>
      <c r="R1435" s="121"/>
      <c r="S1435" s="121"/>
      <c r="T1435" s="34"/>
      <c r="U1435" s="35"/>
      <c r="V1435" s="37"/>
      <c r="W1435" s="35"/>
      <c r="X1435" s="122"/>
      <c r="AE1435" s="3"/>
    </row>
    <row r="1436" spans="1:31">
      <c r="A1436" s="39"/>
      <c r="B1436" s="118"/>
      <c r="C1436" s="119"/>
      <c r="D1436" s="119"/>
      <c r="E1436" s="120"/>
      <c r="F1436" s="119"/>
      <c r="G1436" s="38"/>
      <c r="H1436" s="42"/>
      <c r="I1436" s="42"/>
      <c r="J1436" s="43"/>
      <c r="K1436" s="34"/>
      <c r="L1436" s="127"/>
      <c r="M1436" s="34"/>
      <c r="N1436" s="50"/>
      <c r="O1436" s="50"/>
      <c r="P1436" s="50"/>
      <c r="Q1436" s="121"/>
      <c r="R1436" s="121"/>
      <c r="S1436" s="121"/>
      <c r="T1436" s="34"/>
      <c r="U1436" s="35"/>
      <c r="V1436" s="37"/>
      <c r="W1436" s="35"/>
      <c r="X1436" s="122"/>
      <c r="AE1436" s="3"/>
    </row>
    <row r="1437" spans="1:31">
      <c r="A1437" s="39"/>
      <c r="B1437" s="118"/>
      <c r="C1437" s="119"/>
      <c r="D1437" s="119"/>
      <c r="E1437" s="120"/>
      <c r="F1437" s="119"/>
      <c r="G1437" s="38"/>
      <c r="H1437" s="42"/>
      <c r="I1437" s="42"/>
      <c r="J1437" s="43"/>
      <c r="K1437" s="34"/>
      <c r="L1437" s="127"/>
      <c r="M1437" s="34"/>
      <c r="N1437" s="50"/>
      <c r="O1437" s="50"/>
      <c r="P1437" s="50"/>
      <c r="Q1437" s="121"/>
      <c r="R1437" s="121"/>
      <c r="S1437" s="121"/>
      <c r="T1437" s="34"/>
      <c r="U1437" s="35"/>
      <c r="V1437" s="37"/>
      <c r="W1437" s="35"/>
      <c r="X1437" s="122"/>
      <c r="AE1437" s="3"/>
    </row>
    <row r="1438" spans="1:31">
      <c r="A1438" s="39"/>
      <c r="B1438" s="118"/>
      <c r="C1438" s="119"/>
      <c r="D1438" s="119"/>
      <c r="E1438" s="120"/>
      <c r="F1438" s="119"/>
      <c r="G1438" s="38"/>
      <c r="H1438" s="42"/>
      <c r="I1438" s="42"/>
      <c r="J1438" s="43"/>
      <c r="K1438" s="34"/>
      <c r="L1438" s="127"/>
      <c r="M1438" s="34"/>
      <c r="N1438" s="50"/>
      <c r="O1438" s="50"/>
      <c r="P1438" s="50"/>
      <c r="Q1438" s="121"/>
      <c r="R1438" s="121"/>
      <c r="S1438" s="121"/>
      <c r="T1438" s="34"/>
      <c r="U1438" s="35"/>
      <c r="V1438" s="37"/>
      <c r="W1438" s="35"/>
      <c r="X1438" s="122"/>
      <c r="AE1438" s="3"/>
    </row>
    <row r="1439" spans="1:31">
      <c r="A1439" s="39"/>
      <c r="B1439" s="118"/>
      <c r="C1439" s="119"/>
      <c r="D1439" s="119"/>
      <c r="E1439" s="120"/>
      <c r="F1439" s="119"/>
      <c r="G1439" s="38"/>
      <c r="H1439" s="42"/>
      <c r="I1439" s="42"/>
      <c r="J1439" s="43"/>
      <c r="K1439" s="34"/>
      <c r="L1439" s="127"/>
      <c r="M1439" s="34"/>
      <c r="N1439" s="50"/>
      <c r="O1439" s="50"/>
      <c r="P1439" s="50"/>
      <c r="Q1439" s="121"/>
      <c r="R1439" s="121"/>
      <c r="S1439" s="121"/>
      <c r="T1439" s="34"/>
      <c r="U1439" s="35"/>
      <c r="V1439" s="37"/>
      <c r="W1439" s="35"/>
      <c r="X1439" s="122"/>
      <c r="AE1439" s="3"/>
    </row>
    <row r="1440" spans="1:31">
      <c r="A1440" s="39"/>
      <c r="B1440" s="118"/>
      <c r="C1440" s="119"/>
      <c r="D1440" s="119"/>
      <c r="E1440" s="120"/>
      <c r="F1440" s="119"/>
      <c r="G1440" s="38"/>
      <c r="H1440" s="42"/>
      <c r="I1440" s="42"/>
      <c r="J1440" s="43"/>
      <c r="K1440" s="34"/>
      <c r="L1440" s="127"/>
      <c r="M1440" s="34"/>
      <c r="N1440" s="50"/>
      <c r="O1440" s="50"/>
      <c r="P1440" s="50"/>
      <c r="Q1440" s="121"/>
      <c r="R1440" s="121"/>
      <c r="S1440" s="121"/>
      <c r="T1440" s="34"/>
      <c r="U1440" s="35"/>
      <c r="V1440" s="37"/>
      <c r="W1440" s="35"/>
      <c r="X1440" s="122"/>
      <c r="AE1440" s="3"/>
    </row>
    <row r="1441" spans="1:31">
      <c r="A1441" s="39"/>
      <c r="B1441" s="118"/>
      <c r="C1441" s="119"/>
      <c r="D1441" s="119"/>
      <c r="E1441" s="120"/>
      <c r="F1441" s="119"/>
      <c r="G1441" s="38"/>
      <c r="H1441" s="42"/>
      <c r="I1441" s="42"/>
      <c r="J1441" s="43"/>
      <c r="K1441" s="34"/>
      <c r="L1441" s="127"/>
      <c r="M1441" s="34"/>
      <c r="N1441" s="50"/>
      <c r="O1441" s="50"/>
      <c r="P1441" s="50"/>
      <c r="Q1441" s="121"/>
      <c r="R1441" s="121"/>
      <c r="S1441" s="121"/>
      <c r="T1441" s="34"/>
      <c r="U1441" s="35"/>
      <c r="V1441" s="37"/>
      <c r="W1441" s="35"/>
      <c r="X1441" s="122"/>
      <c r="AE1441" s="3"/>
    </row>
    <row r="1442" spans="1:31">
      <c r="A1442" s="39"/>
      <c r="B1442" s="118"/>
      <c r="C1442" s="119"/>
      <c r="D1442" s="119"/>
      <c r="E1442" s="120"/>
      <c r="F1442" s="119"/>
      <c r="G1442" s="38"/>
      <c r="H1442" s="42"/>
      <c r="I1442" s="42"/>
      <c r="J1442" s="43"/>
      <c r="K1442" s="34"/>
      <c r="L1442" s="127"/>
      <c r="M1442" s="34"/>
      <c r="N1442" s="50"/>
      <c r="O1442" s="50"/>
      <c r="P1442" s="50"/>
      <c r="Q1442" s="121"/>
      <c r="R1442" s="121"/>
      <c r="S1442" s="121"/>
      <c r="T1442" s="34"/>
      <c r="U1442" s="35"/>
      <c r="V1442" s="37"/>
      <c r="W1442" s="35"/>
      <c r="X1442" s="122"/>
      <c r="AE1442" s="3"/>
    </row>
    <row r="1443" spans="1:31">
      <c r="A1443" s="39"/>
      <c r="B1443" s="118"/>
      <c r="C1443" s="119"/>
      <c r="D1443" s="119"/>
      <c r="E1443" s="120"/>
      <c r="F1443" s="119"/>
      <c r="G1443" s="38"/>
      <c r="H1443" s="42"/>
      <c r="I1443" s="42"/>
      <c r="J1443" s="43"/>
      <c r="K1443" s="34"/>
      <c r="L1443" s="127"/>
      <c r="M1443" s="34"/>
      <c r="N1443" s="50"/>
      <c r="O1443" s="50"/>
      <c r="P1443" s="50"/>
      <c r="Q1443" s="121"/>
      <c r="R1443" s="121"/>
      <c r="S1443" s="121"/>
      <c r="T1443" s="34"/>
      <c r="U1443" s="35"/>
      <c r="V1443" s="37"/>
      <c r="W1443" s="35"/>
      <c r="X1443" s="122"/>
      <c r="AE1443" s="3"/>
    </row>
    <row r="1444" spans="1:31">
      <c r="A1444" s="39"/>
      <c r="B1444" s="118"/>
      <c r="C1444" s="119"/>
      <c r="D1444" s="119"/>
      <c r="E1444" s="120"/>
      <c r="F1444" s="119"/>
      <c r="G1444" s="38"/>
      <c r="H1444" s="42"/>
      <c r="I1444" s="42"/>
      <c r="J1444" s="43"/>
      <c r="K1444" s="34"/>
      <c r="L1444" s="127"/>
      <c r="M1444" s="34"/>
      <c r="N1444" s="50"/>
      <c r="O1444" s="50"/>
      <c r="P1444" s="50"/>
      <c r="Q1444" s="121"/>
      <c r="R1444" s="121"/>
      <c r="S1444" s="121"/>
      <c r="T1444" s="34"/>
      <c r="U1444" s="35"/>
      <c r="V1444" s="37"/>
      <c r="W1444" s="35"/>
      <c r="X1444" s="122"/>
      <c r="AE1444" s="3"/>
    </row>
    <row r="1445" spans="1:31">
      <c r="A1445" s="39"/>
      <c r="B1445" s="118"/>
      <c r="C1445" s="119"/>
      <c r="D1445" s="119"/>
      <c r="E1445" s="120"/>
      <c r="F1445" s="119"/>
      <c r="G1445" s="38"/>
      <c r="H1445" s="42"/>
      <c r="I1445" s="42"/>
      <c r="J1445" s="43"/>
      <c r="K1445" s="34"/>
      <c r="L1445" s="127"/>
      <c r="M1445" s="34"/>
      <c r="N1445" s="50"/>
      <c r="O1445" s="50"/>
      <c r="P1445" s="50"/>
      <c r="Q1445" s="121"/>
      <c r="R1445" s="121"/>
      <c r="S1445" s="121"/>
      <c r="T1445" s="34"/>
      <c r="U1445" s="35"/>
      <c r="V1445" s="37"/>
      <c r="W1445" s="35"/>
      <c r="X1445" s="122"/>
      <c r="AE1445" s="3"/>
    </row>
    <row r="1446" spans="1:31">
      <c r="A1446" s="39"/>
      <c r="B1446" s="118"/>
      <c r="C1446" s="119"/>
      <c r="D1446" s="119"/>
      <c r="E1446" s="120"/>
      <c r="F1446" s="119"/>
      <c r="G1446" s="38"/>
      <c r="H1446" s="42"/>
      <c r="I1446" s="42"/>
      <c r="J1446" s="43"/>
      <c r="K1446" s="34"/>
      <c r="L1446" s="127"/>
      <c r="M1446" s="34"/>
      <c r="N1446" s="50"/>
      <c r="O1446" s="50"/>
      <c r="P1446" s="50"/>
      <c r="Q1446" s="121"/>
      <c r="R1446" s="121"/>
      <c r="S1446" s="121"/>
      <c r="T1446" s="34"/>
      <c r="U1446" s="35"/>
      <c r="V1446" s="37"/>
      <c r="W1446" s="35"/>
      <c r="X1446" s="122"/>
      <c r="AE1446" s="3"/>
    </row>
    <row r="1447" spans="1:31">
      <c r="A1447" s="39"/>
      <c r="B1447" s="118"/>
      <c r="C1447" s="119"/>
      <c r="D1447" s="119"/>
      <c r="E1447" s="120"/>
      <c r="F1447" s="119"/>
      <c r="G1447" s="38"/>
      <c r="H1447" s="42"/>
      <c r="I1447" s="42"/>
      <c r="J1447" s="43"/>
      <c r="K1447" s="34"/>
      <c r="L1447" s="127"/>
      <c r="M1447" s="34"/>
      <c r="N1447" s="50"/>
      <c r="O1447" s="50"/>
      <c r="P1447" s="50"/>
      <c r="Q1447" s="121"/>
      <c r="R1447" s="121"/>
      <c r="S1447" s="121"/>
      <c r="T1447" s="34"/>
      <c r="U1447" s="35"/>
      <c r="V1447" s="37"/>
      <c r="W1447" s="35"/>
      <c r="X1447" s="122"/>
      <c r="AE1447" s="3"/>
    </row>
    <row r="1448" spans="1:31">
      <c r="A1448" s="39"/>
      <c r="B1448" s="118"/>
      <c r="C1448" s="119"/>
      <c r="D1448" s="119"/>
      <c r="E1448" s="120"/>
      <c r="F1448" s="119"/>
      <c r="G1448" s="38"/>
      <c r="H1448" s="42"/>
      <c r="I1448" s="42"/>
      <c r="J1448" s="43"/>
      <c r="K1448" s="34"/>
      <c r="L1448" s="127"/>
      <c r="M1448" s="34"/>
      <c r="N1448" s="50"/>
      <c r="O1448" s="50"/>
      <c r="P1448" s="50"/>
      <c r="Q1448" s="121"/>
      <c r="R1448" s="121"/>
      <c r="S1448" s="121"/>
      <c r="T1448" s="34"/>
      <c r="U1448" s="35"/>
      <c r="V1448" s="37"/>
      <c r="W1448" s="35"/>
      <c r="X1448" s="122"/>
      <c r="AE1448" s="3"/>
    </row>
    <row r="1449" spans="1:31">
      <c r="A1449" s="39"/>
      <c r="B1449" s="118"/>
      <c r="C1449" s="119"/>
      <c r="D1449" s="119"/>
      <c r="E1449" s="120"/>
      <c r="F1449" s="119"/>
      <c r="G1449" s="38"/>
      <c r="H1449" s="42"/>
      <c r="I1449" s="42"/>
      <c r="J1449" s="43"/>
      <c r="K1449" s="34"/>
      <c r="L1449" s="127"/>
      <c r="M1449" s="34"/>
      <c r="N1449" s="50"/>
      <c r="O1449" s="50"/>
      <c r="P1449" s="50"/>
      <c r="Q1449" s="121"/>
      <c r="R1449" s="121"/>
      <c r="S1449" s="121"/>
      <c r="T1449" s="34"/>
      <c r="U1449" s="35"/>
      <c r="V1449" s="37"/>
      <c r="W1449" s="35"/>
      <c r="X1449" s="122"/>
      <c r="AE1449" s="3"/>
    </row>
    <row r="1450" spans="1:31">
      <c r="A1450" s="39"/>
      <c r="B1450" s="118"/>
      <c r="C1450" s="119"/>
      <c r="D1450" s="119"/>
      <c r="E1450" s="120"/>
      <c r="F1450" s="119"/>
      <c r="G1450" s="38"/>
      <c r="H1450" s="42"/>
      <c r="I1450" s="42"/>
      <c r="J1450" s="43"/>
      <c r="K1450" s="34"/>
      <c r="L1450" s="127"/>
      <c r="M1450" s="34"/>
      <c r="N1450" s="50"/>
      <c r="O1450" s="50"/>
      <c r="P1450" s="50"/>
      <c r="Q1450" s="121"/>
      <c r="R1450" s="121"/>
      <c r="S1450" s="121"/>
      <c r="T1450" s="34"/>
      <c r="U1450" s="35"/>
      <c r="V1450" s="37"/>
      <c r="W1450" s="35"/>
      <c r="X1450" s="122"/>
      <c r="AE1450" s="3"/>
    </row>
    <row r="1451" spans="1:31">
      <c r="A1451" s="39"/>
      <c r="B1451" s="118"/>
      <c r="C1451" s="119"/>
      <c r="D1451" s="119"/>
      <c r="E1451" s="120"/>
      <c r="F1451" s="119"/>
      <c r="G1451" s="38"/>
      <c r="H1451" s="42"/>
      <c r="I1451" s="42"/>
      <c r="J1451" s="43"/>
      <c r="K1451" s="34"/>
      <c r="L1451" s="127"/>
      <c r="M1451" s="34"/>
      <c r="N1451" s="50"/>
      <c r="O1451" s="50"/>
      <c r="P1451" s="50"/>
      <c r="Q1451" s="121"/>
      <c r="R1451" s="121"/>
      <c r="S1451" s="121"/>
      <c r="T1451" s="34"/>
      <c r="U1451" s="35"/>
      <c r="V1451" s="37"/>
      <c r="W1451" s="35"/>
      <c r="X1451" s="122"/>
      <c r="AE1451" s="3"/>
    </row>
    <row r="1452" spans="1:31">
      <c r="A1452" s="39"/>
      <c r="B1452" s="118"/>
      <c r="C1452" s="119"/>
      <c r="D1452" s="119"/>
      <c r="E1452" s="120"/>
      <c r="F1452" s="119"/>
      <c r="G1452" s="38"/>
      <c r="H1452" s="42"/>
      <c r="I1452" s="42"/>
      <c r="J1452" s="43"/>
      <c r="K1452" s="34"/>
      <c r="L1452" s="127"/>
      <c r="M1452" s="34"/>
      <c r="N1452" s="50"/>
      <c r="O1452" s="50"/>
      <c r="P1452" s="50"/>
      <c r="Q1452" s="121"/>
      <c r="R1452" s="121"/>
      <c r="S1452" s="121"/>
      <c r="T1452" s="34"/>
      <c r="U1452" s="35"/>
      <c r="V1452" s="37"/>
      <c r="W1452" s="35"/>
      <c r="X1452" s="122"/>
      <c r="AE1452" s="3"/>
    </row>
    <row r="1453" spans="1:31">
      <c r="A1453" s="39"/>
      <c r="B1453" s="118"/>
      <c r="C1453" s="119"/>
      <c r="D1453" s="119"/>
      <c r="E1453" s="120"/>
      <c r="F1453" s="119"/>
      <c r="G1453" s="38"/>
      <c r="H1453" s="42"/>
      <c r="I1453" s="42"/>
      <c r="J1453" s="43"/>
      <c r="K1453" s="34"/>
      <c r="L1453" s="127"/>
      <c r="M1453" s="34"/>
      <c r="N1453" s="50"/>
      <c r="O1453" s="50"/>
      <c r="P1453" s="50"/>
      <c r="Q1453" s="121"/>
      <c r="R1453" s="121"/>
      <c r="S1453" s="121"/>
      <c r="T1453" s="34"/>
      <c r="U1453" s="35"/>
      <c r="V1453" s="37"/>
      <c r="W1453" s="35"/>
      <c r="X1453" s="122"/>
      <c r="AE1453" s="3"/>
    </row>
    <row r="1454" spans="1:31">
      <c r="A1454" s="39"/>
      <c r="B1454" s="118"/>
      <c r="C1454" s="119"/>
      <c r="D1454" s="119"/>
      <c r="E1454" s="120"/>
      <c r="F1454" s="119"/>
      <c r="G1454" s="38"/>
      <c r="H1454" s="42"/>
      <c r="I1454" s="42"/>
      <c r="J1454" s="43"/>
      <c r="K1454" s="34"/>
      <c r="L1454" s="127"/>
      <c r="M1454" s="34"/>
      <c r="N1454" s="50"/>
      <c r="O1454" s="50"/>
      <c r="P1454" s="50"/>
      <c r="Q1454" s="121"/>
      <c r="R1454" s="121"/>
      <c r="S1454" s="121"/>
      <c r="T1454" s="34"/>
      <c r="U1454" s="35"/>
      <c r="V1454" s="37"/>
      <c r="W1454" s="35"/>
      <c r="X1454" s="122"/>
      <c r="AE1454" s="3"/>
    </row>
    <row r="1455" spans="1:31">
      <c r="A1455" s="39"/>
      <c r="B1455" s="118"/>
      <c r="C1455" s="119"/>
      <c r="D1455" s="119"/>
      <c r="E1455" s="120"/>
      <c r="F1455" s="119"/>
      <c r="G1455" s="38"/>
      <c r="H1455" s="42"/>
      <c r="I1455" s="42"/>
      <c r="J1455" s="43"/>
      <c r="K1455" s="34"/>
      <c r="L1455" s="127"/>
      <c r="M1455" s="34"/>
      <c r="N1455" s="50"/>
      <c r="O1455" s="50"/>
      <c r="P1455" s="50"/>
      <c r="Q1455" s="121"/>
      <c r="R1455" s="121"/>
      <c r="S1455" s="121"/>
      <c r="T1455" s="34"/>
      <c r="U1455" s="35"/>
      <c r="V1455" s="37"/>
      <c r="W1455" s="35"/>
      <c r="X1455" s="122"/>
      <c r="AE1455" s="3"/>
    </row>
    <row r="1456" spans="1:31">
      <c r="A1456" s="39"/>
      <c r="B1456" s="118"/>
      <c r="C1456" s="119"/>
      <c r="D1456" s="119"/>
      <c r="E1456" s="120"/>
      <c r="F1456" s="119"/>
      <c r="G1456" s="38"/>
      <c r="H1456" s="42"/>
      <c r="I1456" s="42"/>
      <c r="J1456" s="43"/>
      <c r="K1456" s="34"/>
      <c r="L1456" s="127"/>
      <c r="M1456" s="34"/>
      <c r="N1456" s="50"/>
      <c r="O1456" s="50"/>
      <c r="P1456" s="50"/>
      <c r="Q1456" s="121"/>
      <c r="R1456" s="121"/>
      <c r="S1456" s="121"/>
      <c r="T1456" s="34"/>
      <c r="U1456" s="35"/>
      <c r="V1456" s="37"/>
      <c r="W1456" s="35"/>
      <c r="X1456" s="122"/>
      <c r="AE1456" s="3"/>
    </row>
    <row r="1457" spans="1:31">
      <c r="A1457" s="39"/>
      <c r="B1457" s="118"/>
      <c r="C1457" s="119"/>
      <c r="D1457" s="119"/>
      <c r="E1457" s="120"/>
      <c r="F1457" s="119"/>
      <c r="G1457" s="38"/>
      <c r="H1457" s="42"/>
      <c r="I1457" s="42"/>
      <c r="J1457" s="43"/>
      <c r="K1457" s="34"/>
      <c r="L1457" s="127"/>
      <c r="M1457" s="34"/>
      <c r="N1457" s="50"/>
      <c r="O1457" s="50"/>
      <c r="P1457" s="50"/>
      <c r="Q1457" s="121"/>
      <c r="R1457" s="121"/>
      <c r="S1457" s="121"/>
      <c r="T1457" s="34"/>
      <c r="U1457" s="35"/>
      <c r="V1457" s="37"/>
      <c r="W1457" s="35"/>
      <c r="X1457" s="122"/>
      <c r="AE1457" s="3"/>
    </row>
    <row r="1458" spans="1:31">
      <c r="A1458" s="39"/>
      <c r="B1458" s="118"/>
      <c r="C1458" s="119"/>
      <c r="D1458" s="119"/>
      <c r="E1458" s="120"/>
      <c r="F1458" s="119"/>
      <c r="G1458" s="38"/>
      <c r="H1458" s="42"/>
      <c r="I1458" s="42"/>
      <c r="J1458" s="43"/>
      <c r="K1458" s="34"/>
      <c r="L1458" s="127"/>
      <c r="M1458" s="34"/>
      <c r="N1458" s="50"/>
      <c r="O1458" s="50"/>
      <c r="P1458" s="50"/>
      <c r="Q1458" s="121"/>
      <c r="R1458" s="121"/>
      <c r="S1458" s="121"/>
      <c r="T1458" s="34"/>
      <c r="U1458" s="35"/>
      <c r="V1458" s="37"/>
      <c r="W1458" s="35"/>
      <c r="X1458" s="122"/>
      <c r="AE1458" s="3"/>
    </row>
    <row r="1459" spans="1:31">
      <c r="A1459" s="39"/>
      <c r="B1459" s="118"/>
      <c r="C1459" s="119"/>
      <c r="D1459" s="119"/>
      <c r="E1459" s="120"/>
      <c r="F1459" s="119"/>
      <c r="G1459" s="38"/>
      <c r="H1459" s="42"/>
      <c r="I1459" s="42"/>
      <c r="J1459" s="43"/>
      <c r="K1459" s="34"/>
      <c r="L1459" s="127"/>
      <c r="M1459" s="34"/>
      <c r="N1459" s="50"/>
      <c r="O1459" s="50"/>
      <c r="P1459" s="50"/>
      <c r="Q1459" s="121"/>
      <c r="R1459" s="121"/>
      <c r="S1459" s="121"/>
      <c r="T1459" s="34"/>
      <c r="U1459" s="35"/>
      <c r="V1459" s="37"/>
      <c r="W1459" s="35"/>
      <c r="X1459" s="122"/>
      <c r="AE1459" s="3"/>
    </row>
    <row r="1460" spans="1:31">
      <c r="A1460" s="39"/>
      <c r="B1460" s="118"/>
      <c r="C1460" s="119"/>
      <c r="D1460" s="119"/>
      <c r="E1460" s="120"/>
      <c r="F1460" s="119"/>
      <c r="G1460" s="38"/>
      <c r="H1460" s="42"/>
      <c r="I1460" s="42"/>
      <c r="J1460" s="43"/>
      <c r="K1460" s="34"/>
      <c r="L1460" s="127"/>
      <c r="M1460" s="34"/>
      <c r="N1460" s="50"/>
      <c r="O1460" s="50"/>
      <c r="P1460" s="50"/>
      <c r="Q1460" s="121"/>
      <c r="R1460" s="121"/>
      <c r="S1460" s="121"/>
      <c r="T1460" s="34"/>
      <c r="U1460" s="35"/>
      <c r="V1460" s="37"/>
      <c r="W1460" s="35"/>
      <c r="X1460" s="122"/>
      <c r="AE1460" s="3"/>
    </row>
    <row r="1461" spans="1:31">
      <c r="A1461" s="39"/>
      <c r="B1461" s="118"/>
      <c r="C1461" s="119"/>
      <c r="D1461" s="119"/>
      <c r="E1461" s="120"/>
      <c r="F1461" s="119"/>
      <c r="G1461" s="38"/>
      <c r="H1461" s="42"/>
      <c r="I1461" s="42"/>
      <c r="J1461" s="43"/>
      <c r="K1461" s="34"/>
      <c r="L1461" s="127"/>
      <c r="M1461" s="34"/>
      <c r="N1461" s="50"/>
      <c r="O1461" s="50"/>
      <c r="P1461" s="50"/>
      <c r="Q1461" s="121"/>
      <c r="R1461" s="121"/>
      <c r="S1461" s="121"/>
      <c r="T1461" s="34"/>
      <c r="U1461" s="35"/>
      <c r="V1461" s="37"/>
      <c r="W1461" s="35"/>
      <c r="X1461" s="122"/>
      <c r="AE1461" s="3"/>
    </row>
    <row r="1462" spans="1:31">
      <c r="A1462" s="39"/>
      <c r="B1462" s="118"/>
      <c r="C1462" s="119"/>
      <c r="D1462" s="119"/>
      <c r="E1462" s="120"/>
      <c r="F1462" s="119"/>
      <c r="G1462" s="38"/>
      <c r="H1462" s="42"/>
      <c r="I1462" s="42"/>
      <c r="J1462" s="43"/>
      <c r="K1462" s="34"/>
      <c r="L1462" s="127"/>
      <c r="M1462" s="34"/>
      <c r="N1462" s="50"/>
      <c r="O1462" s="50"/>
      <c r="P1462" s="50"/>
      <c r="Q1462" s="121"/>
      <c r="R1462" s="121"/>
      <c r="S1462" s="121"/>
      <c r="T1462" s="34"/>
      <c r="U1462" s="35"/>
      <c r="V1462" s="37"/>
      <c r="W1462" s="35"/>
      <c r="X1462" s="122"/>
      <c r="AE1462" s="3"/>
    </row>
    <row r="1463" spans="1:31">
      <c r="A1463" s="39"/>
      <c r="B1463" s="118"/>
      <c r="C1463" s="119"/>
      <c r="D1463" s="119"/>
      <c r="E1463" s="120"/>
      <c r="F1463" s="119"/>
      <c r="G1463" s="38"/>
      <c r="H1463" s="42"/>
      <c r="I1463" s="42"/>
      <c r="J1463" s="43"/>
      <c r="K1463" s="34"/>
      <c r="L1463" s="127"/>
      <c r="M1463" s="34"/>
      <c r="N1463" s="50"/>
      <c r="O1463" s="50"/>
      <c r="P1463" s="50"/>
      <c r="Q1463" s="121"/>
      <c r="R1463" s="121"/>
      <c r="S1463" s="121"/>
      <c r="T1463" s="34"/>
      <c r="U1463" s="35"/>
      <c r="V1463" s="37"/>
      <c r="W1463" s="35"/>
      <c r="X1463" s="122"/>
      <c r="AE1463" s="3"/>
    </row>
    <row r="1464" spans="1:31">
      <c r="A1464" s="39"/>
      <c r="B1464" s="118"/>
      <c r="C1464" s="119"/>
      <c r="D1464" s="119"/>
      <c r="E1464" s="120"/>
      <c r="F1464" s="119"/>
      <c r="G1464" s="38"/>
      <c r="H1464" s="42"/>
      <c r="I1464" s="42"/>
      <c r="J1464" s="43"/>
      <c r="K1464" s="34"/>
      <c r="L1464" s="127"/>
      <c r="M1464" s="34"/>
      <c r="N1464" s="50"/>
      <c r="O1464" s="50"/>
      <c r="P1464" s="50"/>
      <c r="Q1464" s="121"/>
      <c r="R1464" s="121"/>
      <c r="S1464" s="121"/>
      <c r="T1464" s="34"/>
      <c r="U1464" s="35"/>
      <c r="V1464" s="37"/>
      <c r="W1464" s="35"/>
      <c r="X1464" s="122"/>
      <c r="AE1464" s="3"/>
    </row>
    <row r="1465" spans="1:31">
      <c r="A1465" s="39"/>
      <c r="B1465" s="118"/>
      <c r="C1465" s="119"/>
      <c r="D1465" s="119"/>
      <c r="E1465" s="120"/>
      <c r="F1465" s="119"/>
      <c r="G1465" s="38"/>
      <c r="H1465" s="42"/>
      <c r="I1465" s="42"/>
      <c r="J1465" s="43"/>
      <c r="K1465" s="34"/>
      <c r="L1465" s="127"/>
      <c r="M1465" s="34"/>
      <c r="N1465" s="50"/>
      <c r="O1465" s="50"/>
      <c r="P1465" s="50"/>
      <c r="Q1465" s="121"/>
      <c r="R1465" s="121"/>
      <c r="S1465" s="121"/>
      <c r="T1465" s="34"/>
      <c r="U1465" s="35"/>
      <c r="V1465" s="37"/>
      <c r="W1465" s="35"/>
      <c r="X1465" s="122"/>
      <c r="AE1465" s="3"/>
    </row>
    <row r="1466" spans="1:31">
      <c r="A1466" s="39"/>
      <c r="B1466" s="118"/>
      <c r="C1466" s="119"/>
      <c r="D1466" s="119"/>
      <c r="E1466" s="120"/>
      <c r="F1466" s="119"/>
      <c r="G1466" s="38"/>
      <c r="H1466" s="42"/>
      <c r="I1466" s="42"/>
      <c r="J1466" s="43"/>
      <c r="K1466" s="34"/>
      <c r="L1466" s="127"/>
      <c r="M1466" s="34"/>
      <c r="N1466" s="50"/>
      <c r="O1466" s="50"/>
      <c r="P1466" s="50"/>
      <c r="Q1466" s="121"/>
      <c r="R1466" s="121"/>
      <c r="S1466" s="121"/>
      <c r="T1466" s="34"/>
      <c r="U1466" s="35"/>
      <c r="V1466" s="37"/>
      <c r="W1466" s="35"/>
      <c r="X1466" s="122"/>
      <c r="AE1466" s="3"/>
    </row>
    <row r="1467" spans="1:31">
      <c r="A1467" s="39"/>
      <c r="B1467" s="118"/>
      <c r="C1467" s="119"/>
      <c r="D1467" s="119"/>
      <c r="E1467" s="120"/>
      <c r="F1467" s="119"/>
      <c r="G1467" s="38"/>
      <c r="H1467" s="42"/>
      <c r="I1467" s="42"/>
      <c r="J1467" s="43"/>
      <c r="K1467" s="34"/>
      <c r="L1467" s="127"/>
      <c r="M1467" s="34"/>
      <c r="N1467" s="50"/>
      <c r="O1467" s="50"/>
      <c r="P1467" s="50"/>
      <c r="Q1467" s="121"/>
      <c r="R1467" s="121"/>
      <c r="S1467" s="121"/>
      <c r="T1467" s="34"/>
      <c r="U1467" s="35"/>
      <c r="V1467" s="37"/>
      <c r="W1467" s="35"/>
      <c r="X1467" s="122"/>
      <c r="AE1467" s="3"/>
    </row>
    <row r="1468" spans="1:31">
      <c r="A1468" s="39"/>
      <c r="B1468" s="118"/>
      <c r="C1468" s="119"/>
      <c r="D1468" s="119"/>
      <c r="E1468" s="120"/>
      <c r="F1468" s="119"/>
      <c r="G1468" s="38"/>
      <c r="H1468" s="42"/>
      <c r="I1468" s="42"/>
      <c r="J1468" s="43"/>
      <c r="K1468" s="34"/>
      <c r="L1468" s="127"/>
      <c r="M1468" s="34"/>
      <c r="N1468" s="50"/>
      <c r="O1468" s="50"/>
      <c r="P1468" s="50"/>
      <c r="Q1468" s="121"/>
      <c r="R1468" s="121"/>
      <c r="S1468" s="121"/>
      <c r="T1468" s="34"/>
      <c r="U1468" s="35"/>
      <c r="V1468" s="37"/>
      <c r="W1468" s="35"/>
      <c r="X1468" s="122"/>
      <c r="AE1468" s="3"/>
    </row>
    <row r="1469" spans="1:31">
      <c r="A1469" s="39"/>
      <c r="B1469" s="118"/>
      <c r="C1469" s="119"/>
      <c r="D1469" s="119"/>
      <c r="E1469" s="120"/>
      <c r="F1469" s="119"/>
      <c r="G1469" s="38"/>
      <c r="H1469" s="42"/>
      <c r="I1469" s="42"/>
      <c r="J1469" s="43"/>
      <c r="K1469" s="34"/>
      <c r="L1469" s="127"/>
      <c r="M1469" s="34"/>
      <c r="N1469" s="50"/>
      <c r="O1469" s="50"/>
      <c r="P1469" s="50"/>
      <c r="Q1469" s="121"/>
      <c r="R1469" s="121"/>
      <c r="S1469" s="121"/>
      <c r="T1469" s="34"/>
      <c r="U1469" s="35"/>
      <c r="V1469" s="37"/>
      <c r="W1469" s="35"/>
      <c r="X1469" s="122"/>
      <c r="AE1469" s="3"/>
    </row>
    <row r="1470" spans="1:31">
      <c r="A1470" s="39"/>
      <c r="B1470" s="118"/>
      <c r="C1470" s="119"/>
      <c r="D1470" s="119"/>
      <c r="E1470" s="120"/>
      <c r="F1470" s="119"/>
      <c r="G1470" s="38"/>
      <c r="H1470" s="42"/>
      <c r="I1470" s="42"/>
      <c r="J1470" s="43"/>
      <c r="K1470" s="34"/>
      <c r="L1470" s="127"/>
      <c r="M1470" s="34"/>
      <c r="N1470" s="50"/>
      <c r="O1470" s="50"/>
      <c r="P1470" s="50"/>
      <c r="Q1470" s="121"/>
      <c r="R1470" s="121"/>
      <c r="S1470" s="121"/>
      <c r="T1470" s="34"/>
      <c r="U1470" s="35"/>
      <c r="V1470" s="37"/>
      <c r="W1470" s="35"/>
      <c r="X1470" s="122"/>
      <c r="AE1470" s="3"/>
    </row>
    <row r="1471" spans="1:31">
      <c r="A1471" s="39"/>
      <c r="B1471" s="118"/>
      <c r="C1471" s="119"/>
      <c r="D1471" s="119"/>
      <c r="E1471" s="120"/>
      <c r="F1471" s="119"/>
      <c r="G1471" s="38"/>
      <c r="H1471" s="42"/>
      <c r="I1471" s="42"/>
      <c r="J1471" s="43"/>
      <c r="K1471" s="34"/>
      <c r="L1471" s="127"/>
      <c r="M1471" s="34"/>
      <c r="N1471" s="50"/>
      <c r="O1471" s="50"/>
      <c r="P1471" s="50"/>
      <c r="Q1471" s="121"/>
      <c r="R1471" s="121"/>
      <c r="S1471" s="121"/>
      <c r="T1471" s="34"/>
      <c r="U1471" s="35"/>
      <c r="V1471" s="37"/>
      <c r="W1471" s="35"/>
      <c r="X1471" s="122"/>
      <c r="AE1471" s="3"/>
    </row>
    <row r="1472" spans="1:31">
      <c r="A1472" s="39"/>
      <c r="B1472" s="118"/>
      <c r="C1472" s="119"/>
      <c r="D1472" s="119"/>
      <c r="E1472" s="120"/>
      <c r="F1472" s="119"/>
      <c r="G1472" s="38"/>
      <c r="H1472" s="42"/>
      <c r="I1472" s="42"/>
      <c r="J1472" s="43"/>
      <c r="K1472" s="34"/>
      <c r="L1472" s="127"/>
      <c r="M1472" s="34"/>
      <c r="N1472" s="50"/>
      <c r="O1472" s="50"/>
      <c r="P1472" s="50"/>
      <c r="Q1472" s="121"/>
      <c r="R1472" s="121"/>
      <c r="S1472" s="121"/>
      <c r="T1472" s="34"/>
      <c r="U1472" s="35"/>
      <c r="V1472" s="37"/>
      <c r="W1472" s="35"/>
      <c r="X1472" s="122"/>
      <c r="AE1472" s="3"/>
    </row>
    <row r="1473" spans="1:31">
      <c r="A1473" s="39"/>
      <c r="B1473" s="118"/>
      <c r="C1473" s="119"/>
      <c r="D1473" s="119"/>
      <c r="E1473" s="120"/>
      <c r="F1473" s="119"/>
      <c r="G1473" s="38"/>
      <c r="H1473" s="42"/>
      <c r="I1473" s="42"/>
      <c r="J1473" s="43"/>
      <c r="K1473" s="34"/>
      <c r="L1473" s="127"/>
      <c r="M1473" s="34"/>
      <c r="N1473" s="50"/>
      <c r="O1473" s="50"/>
      <c r="P1473" s="50"/>
      <c r="Q1473" s="121"/>
      <c r="R1473" s="121"/>
      <c r="S1473" s="121"/>
      <c r="T1473" s="34"/>
      <c r="U1473" s="35"/>
      <c r="V1473" s="37"/>
      <c r="W1473" s="35"/>
      <c r="X1473" s="122"/>
      <c r="AE1473" s="3"/>
    </row>
    <row r="1474" spans="1:31">
      <c r="A1474" s="39"/>
      <c r="B1474" s="118"/>
      <c r="C1474" s="119"/>
      <c r="D1474" s="119"/>
      <c r="E1474" s="120"/>
      <c r="F1474" s="119"/>
      <c r="G1474" s="38"/>
      <c r="H1474" s="42"/>
      <c r="I1474" s="42"/>
      <c r="J1474" s="43"/>
      <c r="K1474" s="34"/>
      <c r="L1474" s="127"/>
      <c r="M1474" s="34"/>
      <c r="N1474" s="50"/>
      <c r="O1474" s="50"/>
      <c r="P1474" s="50"/>
      <c r="Q1474" s="121"/>
      <c r="R1474" s="121"/>
      <c r="S1474" s="121"/>
      <c r="T1474" s="34"/>
      <c r="U1474" s="35"/>
      <c r="V1474" s="37"/>
      <c r="W1474" s="35"/>
      <c r="X1474" s="122"/>
      <c r="AE1474" s="3"/>
    </row>
    <row r="1475" spans="1:31">
      <c r="A1475" s="39"/>
      <c r="B1475" s="118"/>
      <c r="C1475" s="119"/>
      <c r="D1475" s="119"/>
      <c r="E1475" s="120"/>
      <c r="F1475" s="119"/>
      <c r="G1475" s="38"/>
      <c r="H1475" s="42"/>
      <c r="I1475" s="42"/>
      <c r="J1475" s="43"/>
      <c r="K1475" s="34"/>
      <c r="L1475" s="127"/>
      <c r="M1475" s="34"/>
      <c r="N1475" s="50"/>
      <c r="O1475" s="50"/>
      <c r="P1475" s="50"/>
      <c r="Q1475" s="121"/>
      <c r="R1475" s="121"/>
      <c r="S1475" s="121"/>
      <c r="T1475" s="34"/>
      <c r="U1475" s="35"/>
      <c r="V1475" s="37"/>
      <c r="W1475" s="35"/>
      <c r="X1475" s="122"/>
      <c r="AE1475" s="3"/>
    </row>
    <row r="1476" spans="1:31">
      <c r="A1476" s="39"/>
      <c r="B1476" s="118"/>
      <c r="C1476" s="119"/>
      <c r="D1476" s="119"/>
      <c r="E1476" s="120"/>
      <c r="F1476" s="119"/>
      <c r="G1476" s="38"/>
      <c r="H1476" s="42"/>
      <c r="I1476" s="42"/>
      <c r="J1476" s="43"/>
      <c r="K1476" s="34"/>
      <c r="L1476" s="127"/>
      <c r="M1476" s="34"/>
      <c r="N1476" s="50"/>
      <c r="O1476" s="50"/>
      <c r="P1476" s="50"/>
      <c r="Q1476" s="121"/>
      <c r="R1476" s="121"/>
      <c r="S1476" s="121"/>
      <c r="T1476" s="34"/>
      <c r="U1476" s="35"/>
      <c r="V1476" s="37"/>
      <c r="W1476" s="35"/>
      <c r="X1476" s="122"/>
      <c r="AE1476" s="3"/>
    </row>
    <row r="1477" spans="1:31">
      <c r="A1477" s="39"/>
      <c r="B1477" s="118"/>
      <c r="C1477" s="119"/>
      <c r="D1477" s="119"/>
      <c r="E1477" s="120"/>
      <c r="F1477" s="119"/>
      <c r="G1477" s="38"/>
      <c r="H1477" s="42"/>
      <c r="I1477" s="42"/>
      <c r="J1477" s="43"/>
      <c r="K1477" s="34"/>
      <c r="L1477" s="127"/>
      <c r="M1477" s="34"/>
      <c r="N1477" s="50"/>
      <c r="O1477" s="50"/>
      <c r="P1477" s="50"/>
      <c r="Q1477" s="121"/>
      <c r="R1477" s="121"/>
      <c r="S1477" s="121"/>
      <c r="T1477" s="34"/>
      <c r="U1477" s="35"/>
      <c r="V1477" s="37"/>
      <c r="W1477" s="35"/>
      <c r="X1477" s="122"/>
      <c r="AE1477" s="3"/>
    </row>
    <row r="1478" spans="1:31">
      <c r="A1478" s="39"/>
      <c r="B1478" s="118"/>
      <c r="C1478" s="119"/>
      <c r="D1478" s="119"/>
      <c r="E1478" s="120"/>
      <c r="F1478" s="119"/>
      <c r="G1478" s="38"/>
      <c r="H1478" s="42"/>
      <c r="I1478" s="42"/>
      <c r="J1478" s="43"/>
      <c r="K1478" s="34"/>
      <c r="L1478" s="127"/>
      <c r="M1478" s="34"/>
      <c r="N1478" s="50"/>
      <c r="O1478" s="50"/>
      <c r="P1478" s="50"/>
      <c r="Q1478" s="121"/>
      <c r="R1478" s="121"/>
      <c r="S1478" s="121"/>
      <c r="T1478" s="34"/>
      <c r="U1478" s="35"/>
      <c r="V1478" s="37"/>
      <c r="W1478" s="35"/>
      <c r="X1478" s="122"/>
      <c r="AE1478" s="3"/>
    </row>
    <row r="1479" spans="1:31">
      <c r="A1479" s="39"/>
      <c r="B1479" s="118"/>
      <c r="C1479" s="119"/>
      <c r="D1479" s="119"/>
      <c r="E1479" s="120"/>
      <c r="F1479" s="119"/>
      <c r="G1479" s="38"/>
      <c r="H1479" s="42"/>
      <c r="I1479" s="42"/>
      <c r="J1479" s="43"/>
      <c r="K1479" s="34"/>
      <c r="L1479" s="127"/>
      <c r="M1479" s="34"/>
      <c r="N1479" s="50"/>
      <c r="O1479" s="50"/>
      <c r="P1479" s="50"/>
      <c r="Q1479" s="121"/>
      <c r="R1479" s="121"/>
      <c r="S1479" s="121"/>
      <c r="T1479" s="34"/>
      <c r="U1479" s="35"/>
      <c r="V1479" s="37"/>
      <c r="W1479" s="35"/>
      <c r="X1479" s="122"/>
      <c r="AE1479" s="3"/>
    </row>
    <row r="1480" spans="1:31">
      <c r="A1480" s="39"/>
      <c r="B1480" s="118"/>
      <c r="C1480" s="119"/>
      <c r="D1480" s="119"/>
      <c r="E1480" s="120"/>
      <c r="F1480" s="119"/>
      <c r="G1480" s="38"/>
      <c r="H1480" s="42"/>
      <c r="I1480" s="42"/>
      <c r="J1480" s="43"/>
      <c r="K1480" s="34"/>
      <c r="L1480" s="127"/>
      <c r="M1480" s="34"/>
      <c r="N1480" s="50"/>
      <c r="O1480" s="50"/>
      <c r="P1480" s="50"/>
      <c r="Q1480" s="121"/>
      <c r="R1480" s="121"/>
      <c r="S1480" s="121"/>
      <c r="T1480" s="34"/>
      <c r="U1480" s="35"/>
      <c r="V1480" s="37"/>
      <c r="W1480" s="35"/>
      <c r="X1480" s="122"/>
      <c r="AE1480" s="3"/>
    </row>
    <row r="1481" spans="1:31">
      <c r="A1481" s="39"/>
      <c r="B1481" s="118"/>
      <c r="C1481" s="119"/>
      <c r="D1481" s="119"/>
      <c r="E1481" s="120"/>
      <c r="F1481" s="119"/>
      <c r="G1481" s="38"/>
      <c r="H1481" s="42"/>
      <c r="I1481" s="42"/>
      <c r="J1481" s="43"/>
      <c r="K1481" s="34"/>
      <c r="L1481" s="127"/>
      <c r="M1481" s="34"/>
      <c r="N1481" s="50"/>
      <c r="O1481" s="50"/>
      <c r="P1481" s="50"/>
      <c r="Q1481" s="121"/>
      <c r="R1481" s="121"/>
      <c r="S1481" s="121"/>
      <c r="T1481" s="34"/>
      <c r="U1481" s="35"/>
      <c r="V1481" s="37"/>
      <c r="W1481" s="35"/>
      <c r="X1481" s="122"/>
      <c r="AE1481" s="3"/>
    </row>
    <row r="1482" spans="1:31">
      <c r="A1482" s="39"/>
      <c r="B1482" s="118"/>
      <c r="C1482" s="119"/>
      <c r="D1482" s="119"/>
      <c r="E1482" s="120"/>
      <c r="F1482" s="119"/>
      <c r="G1482" s="38"/>
      <c r="H1482" s="42"/>
      <c r="I1482" s="42"/>
      <c r="J1482" s="43"/>
      <c r="K1482" s="34"/>
      <c r="L1482" s="127"/>
      <c r="M1482" s="34"/>
      <c r="N1482" s="50"/>
      <c r="O1482" s="50"/>
      <c r="P1482" s="50"/>
      <c r="Q1482" s="121"/>
      <c r="R1482" s="121"/>
      <c r="S1482" s="121"/>
      <c r="T1482" s="34"/>
      <c r="U1482" s="35"/>
      <c r="V1482" s="37"/>
      <c r="W1482" s="35"/>
      <c r="X1482" s="122"/>
      <c r="AE1482" s="3"/>
    </row>
    <row r="1483" spans="1:31">
      <c r="A1483" s="39"/>
      <c r="B1483" s="118"/>
      <c r="C1483" s="119"/>
      <c r="D1483" s="119"/>
      <c r="E1483" s="120"/>
      <c r="F1483" s="119"/>
      <c r="G1483" s="38"/>
      <c r="H1483" s="42"/>
      <c r="I1483" s="42"/>
      <c r="J1483" s="43"/>
      <c r="K1483" s="34"/>
      <c r="L1483" s="127"/>
      <c r="M1483" s="34"/>
      <c r="N1483" s="50"/>
      <c r="O1483" s="50"/>
      <c r="P1483" s="50"/>
      <c r="Q1483" s="121"/>
      <c r="R1483" s="121"/>
      <c r="S1483" s="121"/>
      <c r="T1483" s="34"/>
      <c r="U1483" s="35"/>
      <c r="V1483" s="37"/>
      <c r="W1483" s="35"/>
      <c r="X1483" s="122"/>
      <c r="AE1483" s="3"/>
    </row>
    <row r="1484" spans="1:31">
      <c r="A1484" s="39"/>
      <c r="B1484" s="118"/>
      <c r="C1484" s="119"/>
      <c r="D1484" s="119"/>
      <c r="E1484" s="120"/>
      <c r="F1484" s="119"/>
      <c r="G1484" s="38"/>
      <c r="H1484" s="42"/>
      <c r="I1484" s="42"/>
      <c r="J1484" s="43"/>
      <c r="K1484" s="34"/>
      <c r="L1484" s="127"/>
      <c r="M1484" s="34"/>
      <c r="N1484" s="50"/>
      <c r="O1484" s="50"/>
      <c r="P1484" s="50"/>
      <c r="Q1484" s="121"/>
      <c r="R1484" s="121"/>
      <c r="S1484" s="121"/>
      <c r="T1484" s="34"/>
      <c r="U1484" s="35"/>
      <c r="V1484" s="37"/>
      <c r="W1484" s="35"/>
      <c r="X1484" s="122"/>
      <c r="AE1484" s="3"/>
    </row>
    <row r="1485" spans="1:31">
      <c r="A1485" s="39"/>
      <c r="B1485" s="118"/>
      <c r="C1485" s="119"/>
      <c r="D1485" s="119"/>
      <c r="E1485" s="120"/>
      <c r="F1485" s="119"/>
      <c r="G1485" s="38"/>
      <c r="H1485" s="42"/>
      <c r="I1485" s="42"/>
      <c r="J1485" s="43"/>
      <c r="K1485" s="34"/>
      <c r="L1485" s="127"/>
      <c r="M1485" s="34"/>
      <c r="N1485" s="50"/>
      <c r="O1485" s="50"/>
      <c r="P1485" s="50"/>
      <c r="Q1485" s="121"/>
      <c r="R1485" s="121"/>
      <c r="S1485" s="121"/>
      <c r="T1485" s="34"/>
      <c r="U1485" s="35"/>
      <c r="V1485" s="37"/>
      <c r="W1485" s="35"/>
      <c r="X1485" s="122"/>
      <c r="AE1485" s="3"/>
    </row>
    <row r="1486" spans="1:31">
      <c r="A1486" s="39"/>
      <c r="B1486" s="118"/>
      <c r="C1486" s="119"/>
      <c r="D1486" s="119"/>
      <c r="E1486" s="120"/>
      <c r="F1486" s="119"/>
      <c r="G1486" s="38"/>
      <c r="H1486" s="42"/>
      <c r="I1486" s="42"/>
      <c r="J1486" s="43"/>
      <c r="K1486" s="34"/>
      <c r="L1486" s="127"/>
      <c r="M1486" s="34"/>
      <c r="N1486" s="50"/>
      <c r="O1486" s="50"/>
      <c r="P1486" s="50"/>
      <c r="Q1486" s="121"/>
      <c r="R1486" s="121"/>
      <c r="S1486" s="121"/>
      <c r="T1486" s="34"/>
      <c r="U1486" s="35"/>
      <c r="V1486" s="37"/>
      <c r="W1486" s="35"/>
      <c r="X1486" s="122"/>
      <c r="AE1486" s="3"/>
    </row>
    <row r="1487" spans="1:31">
      <c r="A1487" s="39"/>
      <c r="B1487" s="118"/>
      <c r="C1487" s="119"/>
      <c r="D1487" s="119"/>
      <c r="E1487" s="120"/>
      <c r="F1487" s="119"/>
      <c r="G1487" s="38"/>
      <c r="H1487" s="42"/>
      <c r="I1487" s="42"/>
      <c r="J1487" s="43"/>
      <c r="K1487" s="34"/>
      <c r="L1487" s="127"/>
      <c r="M1487" s="34"/>
      <c r="N1487" s="50"/>
      <c r="O1487" s="50"/>
      <c r="P1487" s="50"/>
      <c r="Q1487" s="121"/>
      <c r="R1487" s="121"/>
      <c r="S1487" s="121"/>
      <c r="T1487" s="34"/>
      <c r="U1487" s="35"/>
      <c r="V1487" s="37"/>
      <c r="W1487" s="35"/>
      <c r="X1487" s="122"/>
      <c r="AE1487" s="3"/>
    </row>
    <row r="1488" spans="1:31">
      <c r="A1488" s="39"/>
      <c r="B1488" s="118"/>
      <c r="C1488" s="119"/>
      <c r="D1488" s="119"/>
      <c r="E1488" s="120"/>
      <c r="F1488" s="119"/>
      <c r="G1488" s="38"/>
      <c r="H1488" s="42"/>
      <c r="I1488" s="42"/>
      <c r="J1488" s="43"/>
      <c r="K1488" s="34"/>
      <c r="L1488" s="127"/>
      <c r="M1488" s="34"/>
      <c r="N1488" s="50"/>
      <c r="O1488" s="50"/>
      <c r="P1488" s="50"/>
      <c r="Q1488" s="121"/>
      <c r="R1488" s="121"/>
      <c r="S1488" s="121"/>
      <c r="T1488" s="34"/>
      <c r="U1488" s="35"/>
      <c r="V1488" s="37"/>
      <c r="W1488" s="35"/>
      <c r="X1488" s="122"/>
      <c r="AE1488" s="3"/>
    </row>
    <row r="1489" spans="1:31">
      <c r="A1489" s="39"/>
      <c r="B1489" s="118"/>
      <c r="C1489" s="119"/>
      <c r="D1489" s="119"/>
      <c r="E1489" s="120"/>
      <c r="F1489" s="119"/>
      <c r="G1489" s="38"/>
      <c r="H1489" s="42"/>
      <c r="I1489" s="42"/>
      <c r="J1489" s="43"/>
      <c r="K1489" s="34"/>
      <c r="L1489" s="127"/>
      <c r="M1489" s="34"/>
      <c r="N1489" s="50"/>
      <c r="O1489" s="50"/>
      <c r="P1489" s="50"/>
      <c r="Q1489" s="121"/>
      <c r="R1489" s="121"/>
      <c r="S1489" s="121"/>
      <c r="T1489" s="34"/>
      <c r="U1489" s="35"/>
      <c r="V1489" s="37"/>
      <c r="W1489" s="35"/>
      <c r="X1489" s="122"/>
      <c r="AE1489" s="3"/>
    </row>
    <row r="1490" spans="1:31">
      <c r="A1490" s="39"/>
      <c r="B1490" s="118"/>
      <c r="C1490" s="119"/>
      <c r="D1490" s="119"/>
      <c r="E1490" s="120"/>
      <c r="F1490" s="119"/>
      <c r="G1490" s="38"/>
      <c r="H1490" s="42"/>
      <c r="I1490" s="42"/>
      <c r="J1490" s="43"/>
      <c r="K1490" s="34"/>
      <c r="L1490" s="127"/>
      <c r="M1490" s="34"/>
      <c r="N1490" s="50"/>
      <c r="O1490" s="50"/>
      <c r="P1490" s="50"/>
      <c r="Q1490" s="121"/>
      <c r="R1490" s="121"/>
      <c r="S1490" s="121"/>
      <c r="T1490" s="34"/>
      <c r="U1490" s="35"/>
      <c r="V1490" s="37"/>
      <c r="W1490" s="35"/>
      <c r="X1490" s="122"/>
      <c r="AE1490" s="3"/>
    </row>
    <row r="1491" spans="1:31">
      <c r="A1491" s="39"/>
      <c r="B1491" s="118"/>
      <c r="C1491" s="119"/>
      <c r="D1491" s="119"/>
      <c r="E1491" s="120"/>
      <c r="F1491" s="119"/>
      <c r="G1491" s="38"/>
      <c r="H1491" s="42"/>
      <c r="I1491" s="42"/>
      <c r="J1491" s="43"/>
      <c r="K1491" s="34"/>
      <c r="L1491" s="127"/>
      <c r="M1491" s="34"/>
      <c r="N1491" s="50"/>
      <c r="O1491" s="50"/>
      <c r="P1491" s="50"/>
      <c r="Q1491" s="121"/>
      <c r="R1491" s="121"/>
      <c r="S1491" s="121"/>
      <c r="T1491" s="34"/>
      <c r="U1491" s="35"/>
      <c r="V1491" s="37"/>
      <c r="W1491" s="35"/>
      <c r="X1491" s="122"/>
      <c r="AE1491" s="3"/>
    </row>
    <row r="1492" spans="1:31">
      <c r="A1492" s="39"/>
      <c r="B1492" s="118"/>
      <c r="C1492" s="119"/>
      <c r="D1492" s="119"/>
      <c r="E1492" s="120"/>
      <c r="F1492" s="119"/>
      <c r="G1492" s="38"/>
      <c r="H1492" s="42"/>
      <c r="I1492" s="42"/>
      <c r="J1492" s="43"/>
      <c r="K1492" s="34"/>
      <c r="L1492" s="127"/>
      <c r="M1492" s="34"/>
      <c r="N1492" s="50"/>
      <c r="O1492" s="50"/>
      <c r="P1492" s="50"/>
      <c r="Q1492" s="121"/>
      <c r="R1492" s="121"/>
      <c r="S1492" s="121"/>
      <c r="T1492" s="34"/>
      <c r="U1492" s="35"/>
      <c r="V1492" s="37"/>
      <c r="W1492" s="35"/>
      <c r="X1492" s="122"/>
      <c r="AE1492" s="3"/>
    </row>
    <row r="1493" spans="1:31">
      <c r="A1493" s="39"/>
      <c r="B1493" s="118"/>
      <c r="C1493" s="119"/>
      <c r="D1493" s="119"/>
      <c r="E1493" s="120"/>
      <c r="F1493" s="119"/>
      <c r="G1493" s="38"/>
      <c r="H1493" s="42"/>
      <c r="I1493" s="42"/>
      <c r="J1493" s="43"/>
      <c r="K1493" s="34"/>
      <c r="L1493" s="127"/>
      <c r="M1493" s="34"/>
      <c r="N1493" s="50"/>
      <c r="O1493" s="50"/>
      <c r="P1493" s="50"/>
      <c r="Q1493" s="121"/>
      <c r="R1493" s="121"/>
      <c r="S1493" s="121"/>
      <c r="T1493" s="34"/>
      <c r="U1493" s="35"/>
      <c r="V1493" s="37"/>
      <c r="W1493" s="35"/>
      <c r="X1493" s="122"/>
      <c r="AE1493" s="3"/>
    </row>
    <row r="1494" spans="1:31">
      <c r="A1494" s="39"/>
      <c r="B1494" s="118"/>
      <c r="C1494" s="119"/>
      <c r="D1494" s="119"/>
      <c r="E1494" s="120"/>
      <c r="F1494" s="119"/>
      <c r="G1494" s="38"/>
      <c r="H1494" s="42"/>
      <c r="I1494" s="42"/>
      <c r="J1494" s="43"/>
      <c r="K1494" s="34"/>
      <c r="L1494" s="127"/>
      <c r="M1494" s="34"/>
      <c r="N1494" s="50"/>
      <c r="O1494" s="50"/>
      <c r="P1494" s="50"/>
      <c r="Q1494" s="121"/>
      <c r="R1494" s="121"/>
      <c r="S1494" s="121"/>
      <c r="T1494" s="34"/>
      <c r="U1494" s="35"/>
      <c r="V1494" s="37"/>
      <c r="W1494" s="35"/>
      <c r="X1494" s="122"/>
      <c r="AE1494" s="3"/>
    </row>
    <row r="1495" spans="1:31">
      <c r="A1495" s="39"/>
      <c r="B1495" s="118"/>
      <c r="C1495" s="119"/>
      <c r="D1495" s="119"/>
      <c r="E1495" s="120"/>
      <c r="F1495" s="119"/>
      <c r="G1495" s="38"/>
      <c r="H1495" s="42"/>
      <c r="I1495" s="42"/>
      <c r="J1495" s="43"/>
      <c r="K1495" s="34"/>
      <c r="L1495" s="127"/>
      <c r="M1495" s="34"/>
      <c r="N1495" s="50"/>
      <c r="O1495" s="50"/>
      <c r="P1495" s="50"/>
      <c r="Q1495" s="121"/>
      <c r="R1495" s="121"/>
      <c r="S1495" s="121"/>
      <c r="T1495" s="34"/>
      <c r="U1495" s="35"/>
      <c r="V1495" s="37"/>
      <c r="W1495" s="35"/>
      <c r="X1495" s="122"/>
      <c r="AE1495" s="3"/>
    </row>
    <row r="1496" spans="1:31">
      <c r="A1496" s="39"/>
      <c r="B1496" s="118"/>
      <c r="C1496" s="119"/>
      <c r="D1496" s="119"/>
      <c r="E1496" s="120"/>
      <c r="F1496" s="119"/>
      <c r="G1496" s="38"/>
      <c r="H1496" s="42"/>
      <c r="I1496" s="42"/>
      <c r="J1496" s="43"/>
      <c r="K1496" s="34"/>
      <c r="L1496" s="127"/>
      <c r="M1496" s="34"/>
      <c r="N1496" s="50"/>
      <c r="O1496" s="50"/>
      <c r="P1496" s="50"/>
      <c r="Q1496" s="121"/>
      <c r="R1496" s="121"/>
      <c r="S1496" s="121"/>
      <c r="T1496" s="34"/>
      <c r="U1496" s="35"/>
      <c r="V1496" s="37"/>
      <c r="W1496" s="35"/>
      <c r="X1496" s="122"/>
      <c r="AE1496" s="3"/>
    </row>
    <row r="1497" spans="1:31">
      <c r="A1497" s="39"/>
      <c r="B1497" s="118"/>
      <c r="C1497" s="119"/>
      <c r="D1497" s="119"/>
      <c r="E1497" s="120"/>
      <c r="F1497" s="119"/>
      <c r="G1497" s="38"/>
      <c r="H1497" s="42"/>
      <c r="I1497" s="42"/>
      <c r="J1497" s="43"/>
      <c r="K1497" s="34"/>
      <c r="L1497" s="127"/>
      <c r="M1497" s="34"/>
      <c r="N1497" s="50"/>
      <c r="O1497" s="50"/>
      <c r="P1497" s="50"/>
      <c r="Q1497" s="121"/>
      <c r="R1497" s="121"/>
      <c r="S1497" s="121"/>
      <c r="T1497" s="34"/>
      <c r="U1497" s="35"/>
      <c r="V1497" s="37"/>
      <c r="W1497" s="35"/>
      <c r="X1497" s="122"/>
      <c r="AE1497" s="3"/>
    </row>
    <row r="1498" spans="1:31">
      <c r="A1498" s="39"/>
      <c r="B1498" s="118"/>
      <c r="C1498" s="119"/>
      <c r="D1498" s="119"/>
      <c r="E1498" s="120"/>
      <c r="F1498" s="119"/>
      <c r="G1498" s="38"/>
      <c r="H1498" s="42"/>
      <c r="I1498" s="42"/>
      <c r="J1498" s="43"/>
      <c r="K1498" s="34"/>
      <c r="L1498" s="127"/>
      <c r="M1498" s="34"/>
      <c r="N1498" s="50"/>
      <c r="O1498" s="50"/>
      <c r="P1498" s="50"/>
      <c r="Q1498" s="121"/>
      <c r="R1498" s="121"/>
      <c r="S1498" s="121"/>
      <c r="T1498" s="34"/>
      <c r="U1498" s="35"/>
      <c r="V1498" s="37"/>
      <c r="W1498" s="35"/>
      <c r="X1498" s="122"/>
      <c r="AE1498" s="3"/>
    </row>
    <row r="1499" spans="1:31">
      <c r="A1499" s="39"/>
      <c r="B1499" s="118"/>
      <c r="C1499" s="119"/>
      <c r="D1499" s="119"/>
      <c r="E1499" s="120"/>
      <c r="F1499" s="119"/>
      <c r="G1499" s="38"/>
      <c r="H1499" s="42"/>
      <c r="I1499" s="42"/>
      <c r="J1499" s="43"/>
      <c r="K1499" s="34"/>
      <c r="L1499" s="127"/>
      <c r="M1499" s="34"/>
      <c r="N1499" s="50"/>
      <c r="O1499" s="50"/>
      <c r="P1499" s="50"/>
      <c r="Q1499" s="121"/>
      <c r="R1499" s="121"/>
      <c r="S1499" s="121"/>
      <c r="T1499" s="34"/>
      <c r="U1499" s="35"/>
      <c r="V1499" s="37"/>
      <c r="W1499" s="35"/>
      <c r="X1499" s="122"/>
      <c r="AE1499" s="3"/>
    </row>
    <row r="1500" spans="1:31">
      <c r="A1500" s="39"/>
      <c r="B1500" s="118"/>
      <c r="C1500" s="119"/>
      <c r="D1500" s="119"/>
      <c r="E1500" s="120"/>
      <c r="F1500" s="119"/>
      <c r="G1500" s="38"/>
      <c r="H1500" s="42"/>
      <c r="I1500" s="42"/>
      <c r="J1500" s="43"/>
      <c r="K1500" s="34"/>
      <c r="L1500" s="127"/>
      <c r="M1500" s="34"/>
      <c r="N1500" s="50"/>
      <c r="O1500" s="50"/>
      <c r="P1500" s="50"/>
      <c r="Q1500" s="121"/>
      <c r="R1500" s="121"/>
      <c r="S1500" s="121"/>
      <c r="T1500" s="34"/>
      <c r="U1500" s="35"/>
      <c r="V1500" s="37"/>
      <c r="W1500" s="35"/>
      <c r="X1500" s="122"/>
      <c r="AE1500" s="3"/>
    </row>
    <row r="1501" spans="1:31">
      <c r="A1501" s="39"/>
      <c r="B1501" s="118"/>
      <c r="C1501" s="119"/>
      <c r="D1501" s="119"/>
      <c r="E1501" s="120"/>
      <c r="F1501" s="119"/>
      <c r="G1501" s="38"/>
      <c r="H1501" s="42"/>
      <c r="I1501" s="42"/>
      <c r="J1501" s="43"/>
      <c r="K1501" s="34"/>
      <c r="L1501" s="127"/>
      <c r="M1501" s="34"/>
      <c r="N1501" s="50"/>
      <c r="O1501" s="50"/>
      <c r="P1501" s="50"/>
      <c r="Q1501" s="121"/>
      <c r="R1501" s="121"/>
      <c r="S1501" s="121"/>
      <c r="T1501" s="34"/>
      <c r="U1501" s="35"/>
      <c r="V1501" s="37"/>
      <c r="W1501" s="35"/>
      <c r="X1501" s="122"/>
      <c r="AE1501" s="3"/>
    </row>
    <row r="1502" spans="1:31">
      <c r="A1502" s="39"/>
      <c r="B1502" s="118"/>
      <c r="C1502" s="119"/>
      <c r="D1502" s="119"/>
      <c r="E1502" s="120"/>
      <c r="F1502" s="119"/>
      <c r="G1502" s="38"/>
      <c r="H1502" s="42"/>
      <c r="I1502" s="42"/>
      <c r="J1502" s="43"/>
      <c r="K1502" s="34"/>
      <c r="L1502" s="127"/>
      <c r="M1502" s="34"/>
      <c r="N1502" s="50"/>
      <c r="O1502" s="50"/>
      <c r="P1502" s="50"/>
      <c r="Q1502" s="121"/>
      <c r="R1502" s="121"/>
      <c r="S1502" s="121"/>
      <c r="T1502" s="34"/>
      <c r="U1502" s="35"/>
      <c r="V1502" s="37"/>
      <c r="W1502" s="35"/>
      <c r="X1502" s="122"/>
      <c r="AE1502" s="3"/>
    </row>
    <row r="1503" spans="1:31">
      <c r="A1503" s="39"/>
      <c r="B1503" s="118"/>
      <c r="C1503" s="119"/>
      <c r="D1503" s="119"/>
      <c r="E1503" s="120"/>
      <c r="F1503" s="119"/>
      <c r="G1503" s="38"/>
      <c r="H1503" s="42"/>
      <c r="I1503" s="42"/>
      <c r="J1503" s="43"/>
      <c r="K1503" s="34"/>
      <c r="L1503" s="127"/>
      <c r="M1503" s="34"/>
      <c r="N1503" s="50"/>
      <c r="O1503" s="50"/>
      <c r="P1503" s="50"/>
      <c r="Q1503" s="121"/>
      <c r="R1503" s="121"/>
      <c r="S1503" s="121"/>
      <c r="T1503" s="34"/>
      <c r="U1503" s="35"/>
      <c r="V1503" s="37"/>
      <c r="W1503" s="35"/>
      <c r="X1503" s="122"/>
      <c r="AE1503" s="3"/>
    </row>
    <row r="1504" spans="1:31">
      <c r="A1504" s="39"/>
      <c r="B1504" s="118"/>
      <c r="C1504" s="119"/>
      <c r="D1504" s="119"/>
      <c r="E1504" s="120"/>
      <c r="F1504" s="119"/>
      <c r="G1504" s="38"/>
      <c r="H1504" s="42"/>
      <c r="I1504" s="42"/>
      <c r="J1504" s="43"/>
      <c r="K1504" s="34"/>
      <c r="L1504" s="127"/>
      <c r="M1504" s="34"/>
      <c r="N1504" s="50"/>
      <c r="O1504" s="50"/>
      <c r="P1504" s="50"/>
      <c r="Q1504" s="121"/>
      <c r="R1504" s="121"/>
      <c r="S1504" s="121"/>
      <c r="T1504" s="34"/>
      <c r="U1504" s="35"/>
      <c r="V1504" s="37"/>
      <c r="W1504" s="35"/>
      <c r="X1504" s="122"/>
      <c r="AE1504" s="3"/>
    </row>
    <row r="1505" spans="1:31">
      <c r="A1505" s="39"/>
      <c r="B1505" s="118"/>
      <c r="C1505" s="119"/>
      <c r="D1505" s="119"/>
      <c r="E1505" s="120"/>
      <c r="F1505" s="119"/>
      <c r="G1505" s="38"/>
      <c r="H1505" s="42"/>
      <c r="I1505" s="42"/>
      <c r="J1505" s="43"/>
      <c r="K1505" s="34"/>
      <c r="L1505" s="127"/>
      <c r="M1505" s="34"/>
      <c r="N1505" s="50"/>
      <c r="O1505" s="50"/>
      <c r="P1505" s="50"/>
      <c r="Q1505" s="121"/>
      <c r="R1505" s="121"/>
      <c r="S1505" s="121"/>
      <c r="T1505" s="34"/>
      <c r="U1505" s="35"/>
      <c r="V1505" s="37"/>
      <c r="W1505" s="35"/>
      <c r="X1505" s="122"/>
      <c r="AE1505" s="3"/>
    </row>
    <row r="1506" spans="1:31">
      <c r="A1506" s="39"/>
      <c r="B1506" s="118"/>
      <c r="C1506" s="119"/>
      <c r="D1506" s="119"/>
      <c r="E1506" s="120"/>
      <c r="F1506" s="119"/>
      <c r="G1506" s="38"/>
      <c r="H1506" s="42"/>
      <c r="I1506" s="42"/>
      <c r="J1506" s="43"/>
      <c r="K1506" s="34"/>
      <c r="L1506" s="127"/>
      <c r="M1506" s="34"/>
      <c r="N1506" s="50"/>
      <c r="O1506" s="50"/>
      <c r="P1506" s="50"/>
      <c r="Q1506" s="121"/>
      <c r="R1506" s="121"/>
      <c r="S1506" s="121"/>
      <c r="T1506" s="34"/>
      <c r="U1506" s="35"/>
      <c r="V1506" s="37"/>
      <c r="W1506" s="35"/>
      <c r="X1506" s="122"/>
      <c r="AE1506" s="3"/>
    </row>
    <row r="1507" spans="1:31">
      <c r="A1507" s="39"/>
      <c r="B1507" s="118"/>
      <c r="C1507" s="119"/>
      <c r="D1507" s="119"/>
      <c r="E1507" s="120"/>
      <c r="F1507" s="119"/>
      <c r="G1507" s="38"/>
      <c r="H1507" s="42"/>
      <c r="I1507" s="42"/>
      <c r="J1507" s="43"/>
      <c r="K1507" s="34"/>
      <c r="L1507" s="127"/>
      <c r="M1507" s="34"/>
      <c r="N1507" s="50"/>
      <c r="O1507" s="50"/>
      <c r="P1507" s="50"/>
      <c r="Q1507" s="121"/>
      <c r="R1507" s="121"/>
      <c r="S1507" s="121"/>
      <c r="T1507" s="34"/>
      <c r="U1507" s="35"/>
      <c r="V1507" s="37"/>
      <c r="W1507" s="35"/>
      <c r="X1507" s="122"/>
      <c r="AE1507" s="3"/>
    </row>
    <row r="1508" spans="1:31">
      <c r="A1508" s="39"/>
      <c r="B1508" s="118"/>
      <c r="C1508" s="119"/>
      <c r="D1508" s="119"/>
      <c r="E1508" s="120"/>
      <c r="F1508" s="119"/>
      <c r="G1508" s="38"/>
      <c r="H1508" s="42"/>
      <c r="I1508" s="42"/>
      <c r="J1508" s="43"/>
      <c r="K1508" s="34"/>
      <c r="L1508" s="127"/>
      <c r="M1508" s="34"/>
      <c r="N1508" s="50"/>
      <c r="O1508" s="50"/>
      <c r="P1508" s="50"/>
      <c r="Q1508" s="121"/>
      <c r="R1508" s="121"/>
      <c r="S1508" s="121"/>
      <c r="T1508" s="34"/>
      <c r="U1508" s="35"/>
      <c r="V1508" s="37"/>
      <c r="W1508" s="35"/>
      <c r="X1508" s="122"/>
      <c r="AE1508" s="3"/>
    </row>
    <row r="1509" spans="1:31">
      <c r="A1509" s="39"/>
      <c r="B1509" s="118"/>
      <c r="C1509" s="119"/>
      <c r="D1509" s="119"/>
      <c r="E1509" s="120"/>
      <c r="F1509" s="119"/>
      <c r="G1509" s="38"/>
      <c r="H1509" s="42"/>
      <c r="I1509" s="42"/>
      <c r="J1509" s="43"/>
      <c r="K1509" s="34"/>
      <c r="L1509" s="127"/>
      <c r="M1509" s="34"/>
      <c r="N1509" s="50"/>
      <c r="O1509" s="50"/>
      <c r="P1509" s="50"/>
      <c r="Q1509" s="121"/>
      <c r="R1509" s="121"/>
      <c r="S1509" s="121"/>
      <c r="T1509" s="34"/>
      <c r="U1509" s="35"/>
      <c r="V1509" s="37"/>
      <c r="W1509" s="35"/>
      <c r="X1509" s="122"/>
      <c r="AE1509" s="3"/>
    </row>
    <row r="1510" spans="1:31">
      <c r="A1510" s="39"/>
      <c r="B1510" s="118"/>
      <c r="C1510" s="119"/>
      <c r="D1510" s="119"/>
      <c r="E1510" s="120"/>
      <c r="F1510" s="119"/>
      <c r="G1510" s="38"/>
      <c r="H1510" s="42"/>
      <c r="I1510" s="42"/>
      <c r="J1510" s="43"/>
      <c r="K1510" s="34"/>
      <c r="L1510" s="127"/>
      <c r="M1510" s="34"/>
      <c r="N1510" s="50"/>
      <c r="O1510" s="50"/>
      <c r="P1510" s="50"/>
      <c r="Q1510" s="121"/>
      <c r="R1510" s="121"/>
      <c r="S1510" s="121"/>
      <c r="T1510" s="34"/>
      <c r="U1510" s="35"/>
      <c r="V1510" s="37"/>
      <c r="W1510" s="35"/>
      <c r="X1510" s="122"/>
      <c r="AE1510" s="3"/>
    </row>
    <row r="1511" spans="1:31">
      <c r="A1511" s="39"/>
      <c r="B1511" s="118"/>
      <c r="C1511" s="119"/>
      <c r="D1511" s="119"/>
      <c r="E1511" s="120"/>
      <c r="F1511" s="119"/>
      <c r="G1511" s="38"/>
      <c r="H1511" s="42"/>
      <c r="I1511" s="42"/>
      <c r="J1511" s="43"/>
      <c r="K1511" s="34"/>
      <c r="L1511" s="127"/>
      <c r="M1511" s="34"/>
      <c r="N1511" s="50"/>
      <c r="O1511" s="50"/>
      <c r="P1511" s="50"/>
      <c r="Q1511" s="121"/>
      <c r="R1511" s="121"/>
      <c r="S1511" s="121"/>
      <c r="T1511" s="34"/>
      <c r="U1511" s="35"/>
      <c r="V1511" s="37"/>
      <c r="W1511" s="35"/>
      <c r="X1511" s="122"/>
      <c r="AE1511" s="3"/>
    </row>
    <row r="1512" spans="1:31">
      <c r="A1512" s="39"/>
      <c r="B1512" s="118"/>
      <c r="C1512" s="119"/>
      <c r="D1512" s="119"/>
      <c r="E1512" s="120"/>
      <c r="F1512" s="119"/>
      <c r="G1512" s="38"/>
      <c r="H1512" s="42"/>
      <c r="I1512" s="42"/>
      <c r="J1512" s="43"/>
      <c r="K1512" s="34"/>
      <c r="L1512" s="127"/>
      <c r="M1512" s="34"/>
      <c r="N1512" s="50"/>
      <c r="O1512" s="50"/>
      <c r="P1512" s="50"/>
      <c r="Q1512" s="121"/>
      <c r="R1512" s="121"/>
      <c r="S1512" s="121"/>
      <c r="T1512" s="34"/>
      <c r="U1512" s="35"/>
      <c r="V1512" s="37"/>
      <c r="W1512" s="35"/>
      <c r="X1512" s="122"/>
      <c r="AE1512" s="3"/>
    </row>
    <row r="1513" spans="1:31">
      <c r="A1513" s="39"/>
      <c r="B1513" s="118"/>
      <c r="C1513" s="119"/>
      <c r="D1513" s="119"/>
      <c r="E1513" s="120"/>
      <c r="F1513" s="119"/>
      <c r="G1513" s="38"/>
      <c r="H1513" s="42"/>
      <c r="I1513" s="42"/>
      <c r="J1513" s="43"/>
      <c r="K1513" s="34"/>
      <c r="L1513" s="127"/>
      <c r="M1513" s="34"/>
      <c r="N1513" s="50"/>
      <c r="O1513" s="50"/>
      <c r="P1513" s="50"/>
      <c r="Q1513" s="121"/>
      <c r="R1513" s="121"/>
      <c r="S1513" s="121"/>
      <c r="T1513" s="34"/>
      <c r="U1513" s="35"/>
      <c r="V1513" s="37"/>
      <c r="W1513" s="35"/>
      <c r="X1513" s="122"/>
      <c r="AE1513" s="3"/>
    </row>
    <row r="1514" spans="1:31">
      <c r="A1514" s="39"/>
      <c r="B1514" s="118"/>
      <c r="C1514" s="119"/>
      <c r="D1514" s="119"/>
      <c r="E1514" s="120"/>
      <c r="F1514" s="119"/>
      <c r="G1514" s="38"/>
      <c r="H1514" s="42"/>
      <c r="I1514" s="42"/>
      <c r="J1514" s="43"/>
      <c r="K1514" s="34"/>
      <c r="L1514" s="127"/>
      <c r="M1514" s="34"/>
      <c r="N1514" s="50"/>
      <c r="O1514" s="50"/>
      <c r="P1514" s="50"/>
      <c r="Q1514" s="121"/>
      <c r="R1514" s="121"/>
      <c r="S1514" s="121"/>
      <c r="T1514" s="34"/>
      <c r="U1514" s="35"/>
      <c r="V1514" s="37"/>
      <c r="W1514" s="35"/>
      <c r="X1514" s="122"/>
      <c r="AE1514" s="3"/>
    </row>
    <row r="1515" spans="1:31">
      <c r="A1515" s="39"/>
      <c r="B1515" s="118"/>
      <c r="C1515" s="119"/>
      <c r="D1515" s="119"/>
      <c r="E1515" s="120"/>
      <c r="F1515" s="119"/>
      <c r="G1515" s="38"/>
      <c r="H1515" s="42"/>
      <c r="I1515" s="42"/>
      <c r="J1515" s="43"/>
      <c r="K1515" s="34"/>
      <c r="L1515" s="127"/>
      <c r="M1515" s="34"/>
      <c r="N1515" s="50"/>
      <c r="O1515" s="50"/>
      <c r="P1515" s="50"/>
      <c r="Q1515" s="121"/>
      <c r="R1515" s="121"/>
      <c r="S1515" s="121"/>
      <c r="T1515" s="34"/>
      <c r="U1515" s="35"/>
      <c r="V1515" s="37"/>
      <c r="W1515" s="35"/>
      <c r="X1515" s="122"/>
      <c r="AE1515" s="3"/>
    </row>
    <row r="1516" spans="1:31">
      <c r="A1516" s="39"/>
      <c r="B1516" s="118"/>
      <c r="C1516" s="119"/>
      <c r="D1516" s="119"/>
      <c r="E1516" s="120"/>
      <c r="F1516" s="119"/>
      <c r="G1516" s="38"/>
      <c r="H1516" s="42"/>
      <c r="I1516" s="42"/>
      <c r="J1516" s="43"/>
      <c r="K1516" s="34"/>
      <c r="L1516" s="127"/>
      <c r="M1516" s="34"/>
      <c r="N1516" s="50"/>
      <c r="O1516" s="50"/>
      <c r="P1516" s="50"/>
      <c r="Q1516" s="121"/>
      <c r="R1516" s="121"/>
      <c r="S1516" s="121"/>
      <c r="T1516" s="34"/>
      <c r="U1516" s="35"/>
      <c r="V1516" s="37"/>
      <c r="W1516" s="35"/>
      <c r="X1516" s="122"/>
      <c r="AE1516" s="3"/>
    </row>
    <row r="1517" spans="1:31">
      <c r="A1517" s="39"/>
      <c r="B1517" s="118"/>
      <c r="C1517" s="119"/>
      <c r="D1517" s="119"/>
      <c r="E1517" s="120"/>
      <c r="F1517" s="119"/>
      <c r="G1517" s="38"/>
      <c r="H1517" s="42"/>
      <c r="I1517" s="42"/>
      <c r="J1517" s="43"/>
      <c r="K1517" s="34"/>
      <c r="L1517" s="127"/>
      <c r="M1517" s="34"/>
      <c r="N1517" s="50"/>
      <c r="O1517" s="50"/>
      <c r="P1517" s="50"/>
      <c r="Q1517" s="121"/>
      <c r="R1517" s="121"/>
      <c r="S1517" s="121"/>
      <c r="T1517" s="34"/>
      <c r="U1517" s="35"/>
      <c r="V1517" s="37"/>
      <c r="W1517" s="35"/>
      <c r="X1517" s="122"/>
      <c r="AE1517" s="3"/>
    </row>
    <row r="1518" spans="1:31">
      <c r="A1518" s="39"/>
      <c r="B1518" s="118"/>
      <c r="C1518" s="119"/>
      <c r="D1518" s="119"/>
      <c r="E1518" s="120"/>
      <c r="F1518" s="119"/>
      <c r="G1518" s="38"/>
      <c r="H1518" s="42"/>
      <c r="I1518" s="42"/>
      <c r="J1518" s="43"/>
      <c r="K1518" s="34"/>
      <c r="L1518" s="127"/>
      <c r="M1518" s="34"/>
      <c r="N1518" s="50"/>
      <c r="O1518" s="50"/>
      <c r="P1518" s="50"/>
      <c r="Q1518" s="121"/>
      <c r="R1518" s="121"/>
      <c r="S1518" s="121"/>
      <c r="T1518" s="34"/>
      <c r="U1518" s="35"/>
      <c r="V1518" s="37"/>
      <c r="W1518" s="35"/>
      <c r="X1518" s="122"/>
      <c r="AE1518" s="3"/>
    </row>
    <row r="1519" spans="1:31">
      <c r="A1519" s="39"/>
      <c r="B1519" s="118"/>
      <c r="C1519" s="119"/>
      <c r="D1519" s="119"/>
      <c r="E1519" s="120"/>
      <c r="F1519" s="119"/>
      <c r="G1519" s="38"/>
      <c r="H1519" s="42"/>
      <c r="I1519" s="42"/>
      <c r="J1519" s="43"/>
      <c r="K1519" s="34"/>
      <c r="L1519" s="127"/>
      <c r="M1519" s="34"/>
      <c r="N1519" s="50"/>
      <c r="O1519" s="50"/>
      <c r="P1519" s="50"/>
      <c r="Q1519" s="121"/>
      <c r="R1519" s="121"/>
      <c r="S1519" s="121"/>
      <c r="T1519" s="34"/>
      <c r="U1519" s="35"/>
      <c r="V1519" s="37"/>
      <c r="W1519" s="35"/>
      <c r="X1519" s="122"/>
      <c r="AE1519" s="3"/>
    </row>
    <row r="1520" spans="1:31">
      <c r="A1520" s="39"/>
      <c r="B1520" s="118"/>
      <c r="C1520" s="119"/>
      <c r="D1520" s="119"/>
      <c r="E1520" s="120"/>
      <c r="F1520" s="119"/>
      <c r="G1520" s="38"/>
      <c r="H1520" s="42"/>
      <c r="I1520" s="42"/>
      <c r="J1520" s="43"/>
      <c r="K1520" s="34"/>
      <c r="L1520" s="127"/>
      <c r="M1520" s="34"/>
      <c r="N1520" s="50"/>
      <c r="O1520" s="50"/>
      <c r="P1520" s="50"/>
      <c r="Q1520" s="121"/>
      <c r="R1520" s="121"/>
      <c r="S1520" s="121"/>
      <c r="T1520" s="34"/>
      <c r="U1520" s="35"/>
      <c r="V1520" s="37"/>
      <c r="W1520" s="35"/>
      <c r="X1520" s="122"/>
      <c r="AE1520" s="3"/>
    </row>
    <row r="1521" spans="1:31">
      <c r="A1521" s="39"/>
      <c r="B1521" s="118"/>
      <c r="C1521" s="119"/>
      <c r="D1521" s="119"/>
      <c r="E1521" s="120"/>
      <c r="F1521" s="119"/>
      <c r="G1521" s="38"/>
      <c r="H1521" s="42"/>
      <c r="I1521" s="42"/>
      <c r="J1521" s="43"/>
      <c r="K1521" s="34"/>
      <c r="L1521" s="127"/>
      <c r="M1521" s="34"/>
      <c r="N1521" s="50"/>
      <c r="O1521" s="50"/>
      <c r="P1521" s="50"/>
      <c r="Q1521" s="121"/>
      <c r="R1521" s="121"/>
      <c r="S1521" s="121"/>
      <c r="T1521" s="34"/>
      <c r="U1521" s="35"/>
      <c r="V1521" s="37"/>
      <c r="W1521" s="35"/>
      <c r="X1521" s="122"/>
      <c r="AE1521" s="3"/>
    </row>
    <row r="1522" spans="1:31">
      <c r="A1522" s="39"/>
      <c r="B1522" s="118"/>
      <c r="C1522" s="119"/>
      <c r="D1522" s="119"/>
      <c r="E1522" s="120"/>
      <c r="F1522" s="119"/>
      <c r="G1522" s="38"/>
      <c r="H1522" s="42"/>
      <c r="I1522" s="42"/>
      <c r="J1522" s="43"/>
      <c r="K1522" s="34"/>
      <c r="L1522" s="127"/>
      <c r="M1522" s="34"/>
      <c r="N1522" s="50"/>
      <c r="O1522" s="50"/>
      <c r="P1522" s="50"/>
      <c r="Q1522" s="121"/>
      <c r="R1522" s="121"/>
      <c r="S1522" s="121"/>
      <c r="T1522" s="34"/>
      <c r="U1522" s="35"/>
      <c r="V1522" s="37"/>
      <c r="W1522" s="35"/>
      <c r="X1522" s="122"/>
      <c r="AE1522" s="3"/>
    </row>
    <row r="1523" spans="1:31">
      <c r="A1523" s="39"/>
      <c r="B1523" s="118"/>
      <c r="C1523" s="119"/>
      <c r="D1523" s="119"/>
      <c r="E1523" s="120"/>
      <c r="F1523" s="119"/>
      <c r="G1523" s="38"/>
      <c r="H1523" s="42"/>
      <c r="I1523" s="42"/>
      <c r="J1523" s="43"/>
      <c r="K1523" s="34"/>
      <c r="L1523" s="127"/>
      <c r="M1523" s="34"/>
      <c r="N1523" s="50"/>
      <c r="O1523" s="50"/>
      <c r="P1523" s="50"/>
      <c r="Q1523" s="121"/>
      <c r="R1523" s="121"/>
      <c r="S1523" s="121"/>
      <c r="T1523" s="34"/>
      <c r="U1523" s="35"/>
      <c r="V1523" s="37"/>
      <c r="W1523" s="35"/>
      <c r="X1523" s="122"/>
      <c r="AE1523" s="3"/>
    </row>
    <row r="1524" spans="1:31">
      <c r="A1524" s="39"/>
      <c r="B1524" s="118"/>
      <c r="C1524" s="119"/>
      <c r="D1524" s="119"/>
      <c r="E1524" s="120"/>
      <c r="F1524" s="119"/>
      <c r="G1524" s="38"/>
      <c r="H1524" s="42"/>
      <c r="I1524" s="42"/>
      <c r="J1524" s="43"/>
      <c r="K1524" s="34"/>
      <c r="L1524" s="127"/>
      <c r="M1524" s="34"/>
      <c r="N1524" s="50"/>
      <c r="O1524" s="50"/>
      <c r="P1524" s="50"/>
      <c r="Q1524" s="121"/>
      <c r="R1524" s="121"/>
      <c r="S1524" s="121"/>
      <c r="T1524" s="34"/>
      <c r="U1524" s="35"/>
      <c r="V1524" s="37"/>
      <c r="W1524" s="35"/>
      <c r="X1524" s="122"/>
      <c r="AE1524" s="3"/>
    </row>
    <row r="1525" spans="1:31">
      <c r="A1525" s="39"/>
      <c r="B1525" s="118"/>
      <c r="C1525" s="119"/>
      <c r="D1525" s="119"/>
      <c r="E1525" s="120"/>
      <c r="F1525" s="119"/>
      <c r="G1525" s="38"/>
      <c r="H1525" s="42"/>
      <c r="I1525" s="42"/>
      <c r="J1525" s="43"/>
      <c r="K1525" s="34"/>
      <c r="L1525" s="127"/>
      <c r="M1525" s="34"/>
      <c r="N1525" s="50"/>
      <c r="O1525" s="50"/>
      <c r="P1525" s="50"/>
      <c r="Q1525" s="121"/>
      <c r="R1525" s="121"/>
      <c r="S1525" s="121"/>
      <c r="T1525" s="34"/>
      <c r="U1525" s="35"/>
      <c r="V1525" s="37"/>
      <c r="W1525" s="35"/>
      <c r="X1525" s="122"/>
      <c r="AE1525" s="3"/>
    </row>
    <row r="1526" spans="1:31">
      <c r="A1526" s="39"/>
      <c r="B1526" s="118"/>
      <c r="C1526" s="119"/>
      <c r="D1526" s="119"/>
      <c r="E1526" s="120"/>
      <c r="F1526" s="119"/>
      <c r="G1526" s="38"/>
      <c r="H1526" s="42"/>
      <c r="I1526" s="42"/>
      <c r="J1526" s="43"/>
      <c r="K1526" s="34"/>
      <c r="L1526" s="127"/>
      <c r="M1526" s="34"/>
      <c r="N1526" s="50"/>
      <c r="O1526" s="50"/>
      <c r="P1526" s="50"/>
      <c r="Q1526" s="121"/>
      <c r="R1526" s="121"/>
      <c r="S1526" s="121"/>
      <c r="T1526" s="34"/>
      <c r="U1526" s="35"/>
      <c r="V1526" s="37"/>
      <c r="W1526" s="35"/>
      <c r="X1526" s="122"/>
      <c r="AE1526" s="3"/>
    </row>
    <row r="1527" spans="1:31">
      <c r="A1527" s="39"/>
      <c r="B1527" s="118"/>
      <c r="C1527" s="119"/>
      <c r="D1527" s="119"/>
      <c r="E1527" s="120"/>
      <c r="F1527" s="119"/>
      <c r="G1527" s="38"/>
      <c r="H1527" s="42"/>
      <c r="I1527" s="42"/>
      <c r="J1527" s="43"/>
      <c r="K1527" s="34"/>
      <c r="L1527" s="127"/>
      <c r="M1527" s="34"/>
      <c r="N1527" s="50"/>
      <c r="O1527" s="50"/>
      <c r="P1527" s="50"/>
      <c r="Q1527" s="121"/>
      <c r="R1527" s="121"/>
      <c r="S1527" s="121"/>
      <c r="T1527" s="34"/>
      <c r="U1527" s="35"/>
      <c r="V1527" s="37"/>
      <c r="W1527" s="35"/>
      <c r="X1527" s="122"/>
      <c r="AE1527" s="3"/>
    </row>
    <row r="1528" spans="1:31">
      <c r="A1528" s="39"/>
      <c r="B1528" s="118"/>
      <c r="C1528" s="119"/>
      <c r="D1528" s="119"/>
      <c r="E1528" s="120"/>
      <c r="F1528" s="119"/>
      <c r="G1528" s="38"/>
      <c r="H1528" s="42"/>
      <c r="I1528" s="42"/>
      <c r="J1528" s="43"/>
      <c r="K1528" s="34"/>
      <c r="L1528" s="127"/>
      <c r="M1528" s="34"/>
      <c r="N1528" s="50"/>
      <c r="O1528" s="50"/>
      <c r="P1528" s="50"/>
      <c r="Q1528" s="121"/>
      <c r="R1528" s="121"/>
      <c r="S1528" s="121"/>
      <c r="T1528" s="34"/>
      <c r="U1528" s="35"/>
      <c r="V1528" s="37"/>
      <c r="W1528" s="35"/>
      <c r="X1528" s="122"/>
      <c r="AE1528" s="3"/>
    </row>
    <row r="1529" spans="1:31">
      <c r="A1529" s="39"/>
      <c r="B1529" s="118"/>
      <c r="C1529" s="119"/>
      <c r="D1529" s="119"/>
      <c r="E1529" s="120"/>
      <c r="F1529" s="119"/>
      <c r="G1529" s="38"/>
      <c r="H1529" s="42"/>
      <c r="I1529" s="42"/>
      <c r="J1529" s="43"/>
      <c r="K1529" s="34"/>
      <c r="L1529" s="127"/>
      <c r="M1529" s="34"/>
      <c r="N1529" s="50"/>
      <c r="O1529" s="50"/>
      <c r="P1529" s="50"/>
      <c r="Q1529" s="121"/>
      <c r="R1529" s="121"/>
      <c r="S1529" s="121"/>
      <c r="T1529" s="34"/>
      <c r="U1529" s="35"/>
      <c r="V1529" s="37"/>
      <c r="W1529" s="35"/>
      <c r="X1529" s="122"/>
      <c r="AE1529" s="3"/>
    </row>
    <row r="1530" spans="1:31">
      <c r="A1530" s="39"/>
      <c r="B1530" s="118"/>
      <c r="C1530" s="119"/>
      <c r="D1530" s="119"/>
      <c r="E1530" s="120"/>
      <c r="F1530" s="119"/>
      <c r="G1530" s="38"/>
      <c r="H1530" s="42"/>
      <c r="I1530" s="42"/>
      <c r="J1530" s="43"/>
      <c r="K1530" s="34"/>
      <c r="L1530" s="127"/>
      <c r="M1530" s="34"/>
      <c r="N1530" s="50"/>
      <c r="O1530" s="50"/>
      <c r="P1530" s="50"/>
      <c r="Q1530" s="121"/>
      <c r="R1530" s="121"/>
      <c r="S1530" s="121"/>
      <c r="T1530" s="34"/>
      <c r="U1530" s="35"/>
      <c r="V1530" s="37"/>
      <c r="W1530" s="35"/>
      <c r="X1530" s="122"/>
      <c r="AE1530" s="3"/>
    </row>
    <row r="1531" spans="1:31">
      <c r="A1531" s="39"/>
      <c r="B1531" s="118"/>
      <c r="C1531" s="119"/>
      <c r="D1531" s="119"/>
      <c r="E1531" s="120"/>
      <c r="F1531" s="119"/>
      <c r="G1531" s="38"/>
      <c r="H1531" s="42"/>
      <c r="I1531" s="42"/>
      <c r="J1531" s="43"/>
      <c r="K1531" s="34"/>
      <c r="L1531" s="127"/>
      <c r="M1531" s="34"/>
      <c r="N1531" s="50"/>
      <c r="O1531" s="50"/>
      <c r="P1531" s="50"/>
      <c r="Q1531" s="121"/>
      <c r="R1531" s="121"/>
      <c r="S1531" s="121"/>
      <c r="T1531" s="34"/>
      <c r="U1531" s="35"/>
      <c r="V1531" s="37"/>
      <c r="W1531" s="35"/>
      <c r="X1531" s="122"/>
      <c r="AE1531" s="3"/>
    </row>
    <row r="1532" spans="1:31">
      <c r="A1532" s="39"/>
      <c r="B1532" s="118"/>
      <c r="C1532" s="119"/>
      <c r="D1532" s="119"/>
      <c r="E1532" s="120"/>
      <c r="F1532" s="119"/>
      <c r="G1532" s="38"/>
      <c r="H1532" s="42"/>
      <c r="I1532" s="42"/>
      <c r="J1532" s="43"/>
      <c r="K1532" s="34"/>
      <c r="L1532" s="127"/>
      <c r="M1532" s="34"/>
      <c r="N1532" s="50"/>
      <c r="O1532" s="50"/>
      <c r="P1532" s="50"/>
      <c r="Q1532" s="121"/>
      <c r="R1532" s="121"/>
      <c r="S1532" s="121"/>
      <c r="T1532" s="34"/>
      <c r="U1532" s="35"/>
      <c r="V1532" s="37"/>
      <c r="W1532" s="35"/>
      <c r="X1532" s="122"/>
      <c r="AE1532" s="3"/>
    </row>
    <row r="1533" spans="1:31">
      <c r="A1533" s="39"/>
      <c r="B1533" s="118"/>
      <c r="C1533" s="119"/>
      <c r="D1533" s="119"/>
      <c r="E1533" s="120"/>
      <c r="F1533" s="119"/>
      <c r="G1533" s="38"/>
      <c r="H1533" s="42"/>
      <c r="I1533" s="42"/>
      <c r="J1533" s="43"/>
      <c r="K1533" s="34"/>
      <c r="L1533" s="127"/>
      <c r="M1533" s="34"/>
      <c r="N1533" s="50"/>
      <c r="O1533" s="50"/>
      <c r="P1533" s="50"/>
      <c r="Q1533" s="121"/>
      <c r="R1533" s="121"/>
      <c r="S1533" s="121"/>
      <c r="T1533" s="34"/>
      <c r="U1533" s="35"/>
      <c r="V1533" s="37"/>
      <c r="W1533" s="35"/>
      <c r="X1533" s="122"/>
      <c r="AE1533" s="3"/>
    </row>
    <row r="1534" spans="1:31">
      <c r="A1534" s="39"/>
      <c r="B1534" s="118"/>
      <c r="C1534" s="119"/>
      <c r="D1534" s="119"/>
      <c r="E1534" s="120"/>
      <c r="F1534" s="119"/>
      <c r="G1534" s="38"/>
      <c r="H1534" s="42"/>
      <c r="I1534" s="42"/>
      <c r="J1534" s="43"/>
      <c r="K1534" s="34"/>
      <c r="L1534" s="127"/>
      <c r="M1534" s="34"/>
      <c r="N1534" s="50"/>
      <c r="O1534" s="50"/>
      <c r="P1534" s="50"/>
      <c r="Q1534" s="121"/>
      <c r="R1534" s="121"/>
      <c r="S1534" s="121"/>
      <c r="T1534" s="34"/>
      <c r="U1534" s="35"/>
      <c r="V1534" s="37"/>
      <c r="W1534" s="35"/>
      <c r="X1534" s="122"/>
      <c r="AE1534" s="3"/>
    </row>
    <row r="1535" spans="1:31">
      <c r="A1535" s="39"/>
      <c r="B1535" s="118"/>
      <c r="C1535" s="119"/>
      <c r="D1535" s="119"/>
      <c r="E1535" s="120"/>
      <c r="F1535" s="119"/>
      <c r="G1535" s="38"/>
      <c r="H1535" s="42"/>
      <c r="I1535" s="42"/>
      <c r="J1535" s="43"/>
      <c r="K1535" s="34"/>
      <c r="L1535" s="127"/>
      <c r="M1535" s="34"/>
      <c r="N1535" s="50"/>
      <c r="O1535" s="50"/>
      <c r="P1535" s="50"/>
      <c r="Q1535" s="121"/>
      <c r="R1535" s="121"/>
      <c r="S1535" s="121"/>
      <c r="T1535" s="34"/>
      <c r="U1535" s="35"/>
      <c r="V1535" s="37"/>
      <c r="W1535" s="35"/>
      <c r="X1535" s="122"/>
      <c r="AE1535" s="3"/>
    </row>
    <row r="1536" spans="1:31">
      <c r="A1536" s="39"/>
      <c r="B1536" s="118"/>
      <c r="C1536" s="119"/>
      <c r="D1536" s="119"/>
      <c r="E1536" s="120"/>
      <c r="F1536" s="119"/>
      <c r="G1536" s="38"/>
      <c r="H1536" s="42"/>
      <c r="I1536" s="42"/>
      <c r="J1536" s="43"/>
      <c r="K1536" s="34"/>
      <c r="L1536" s="127"/>
      <c r="M1536" s="34"/>
      <c r="N1536" s="50"/>
      <c r="O1536" s="50"/>
      <c r="P1536" s="50"/>
      <c r="Q1536" s="121"/>
      <c r="R1536" s="121"/>
      <c r="S1536" s="121"/>
      <c r="T1536" s="34"/>
      <c r="U1536" s="35"/>
      <c r="V1536" s="37"/>
      <c r="W1536" s="35"/>
      <c r="X1536" s="122"/>
      <c r="AE1536" s="3"/>
    </row>
    <row r="1537" spans="1:31">
      <c r="A1537" s="39"/>
      <c r="B1537" s="118"/>
      <c r="C1537" s="119"/>
      <c r="D1537" s="119"/>
      <c r="E1537" s="120"/>
      <c r="F1537" s="119"/>
      <c r="G1537" s="38"/>
      <c r="H1537" s="42"/>
      <c r="I1537" s="42"/>
      <c r="J1537" s="43"/>
      <c r="K1537" s="34"/>
      <c r="L1537" s="127"/>
      <c r="M1537" s="34"/>
      <c r="N1537" s="50"/>
      <c r="O1537" s="50"/>
      <c r="P1537" s="50"/>
      <c r="Q1537" s="121"/>
      <c r="R1537" s="121"/>
      <c r="S1537" s="121"/>
      <c r="T1537" s="34"/>
      <c r="U1537" s="35"/>
      <c r="V1537" s="37"/>
      <c r="W1537" s="35"/>
      <c r="X1537" s="122"/>
      <c r="AE1537" s="3"/>
    </row>
    <row r="1538" spans="1:31">
      <c r="A1538" s="39"/>
      <c r="B1538" s="118"/>
      <c r="C1538" s="119"/>
      <c r="D1538" s="119"/>
      <c r="E1538" s="120"/>
      <c r="F1538" s="119"/>
      <c r="G1538" s="38"/>
      <c r="H1538" s="42"/>
      <c r="I1538" s="42"/>
      <c r="J1538" s="43"/>
      <c r="K1538" s="34"/>
      <c r="L1538" s="127"/>
      <c r="M1538" s="34"/>
      <c r="N1538" s="50"/>
      <c r="O1538" s="50"/>
      <c r="P1538" s="50"/>
      <c r="Q1538" s="121"/>
      <c r="R1538" s="121"/>
      <c r="S1538" s="121"/>
      <c r="T1538" s="34"/>
      <c r="U1538" s="35"/>
      <c r="V1538" s="37"/>
      <c r="W1538" s="35"/>
      <c r="X1538" s="122"/>
      <c r="AE1538" s="3"/>
    </row>
    <row r="1539" spans="1:31">
      <c r="A1539" s="39"/>
      <c r="B1539" s="118"/>
      <c r="C1539" s="119"/>
      <c r="D1539" s="119"/>
      <c r="E1539" s="120"/>
      <c r="F1539" s="119"/>
      <c r="G1539" s="38"/>
      <c r="H1539" s="42"/>
      <c r="I1539" s="42"/>
      <c r="J1539" s="43"/>
      <c r="K1539" s="34"/>
      <c r="L1539" s="127"/>
      <c r="M1539" s="34"/>
      <c r="N1539" s="50"/>
      <c r="O1539" s="50"/>
      <c r="P1539" s="50"/>
      <c r="Q1539" s="121"/>
      <c r="R1539" s="121"/>
      <c r="S1539" s="121"/>
      <c r="T1539" s="34"/>
      <c r="U1539" s="35"/>
      <c r="V1539" s="37"/>
      <c r="W1539" s="35"/>
      <c r="X1539" s="122"/>
      <c r="AE1539" s="3"/>
    </row>
    <row r="1540" spans="1:31">
      <c r="A1540" s="39"/>
      <c r="B1540" s="118"/>
      <c r="C1540" s="119"/>
      <c r="D1540" s="119"/>
      <c r="E1540" s="120"/>
      <c r="F1540" s="119"/>
      <c r="G1540" s="38"/>
      <c r="H1540" s="42"/>
      <c r="I1540" s="42"/>
      <c r="J1540" s="43"/>
      <c r="K1540" s="34"/>
      <c r="L1540" s="127"/>
      <c r="M1540" s="34"/>
      <c r="N1540" s="50"/>
      <c r="O1540" s="50"/>
      <c r="P1540" s="50"/>
      <c r="Q1540" s="121"/>
      <c r="R1540" s="121"/>
      <c r="S1540" s="121"/>
      <c r="T1540" s="34"/>
      <c r="U1540" s="35"/>
      <c r="V1540" s="37"/>
      <c r="W1540" s="35"/>
      <c r="X1540" s="122"/>
      <c r="AE1540" s="3"/>
    </row>
    <row r="1541" spans="1:31">
      <c r="A1541" s="39"/>
      <c r="B1541" s="118"/>
      <c r="C1541" s="119"/>
      <c r="D1541" s="119"/>
      <c r="E1541" s="120"/>
      <c r="F1541" s="119"/>
      <c r="G1541" s="38"/>
      <c r="H1541" s="42"/>
      <c r="I1541" s="42"/>
      <c r="J1541" s="43"/>
      <c r="K1541" s="34"/>
      <c r="L1541" s="127"/>
      <c r="M1541" s="34"/>
      <c r="N1541" s="50"/>
      <c r="O1541" s="50"/>
      <c r="P1541" s="50"/>
      <c r="Q1541" s="121"/>
      <c r="R1541" s="121"/>
      <c r="S1541" s="121"/>
      <c r="T1541" s="34"/>
      <c r="U1541" s="35"/>
      <c r="V1541" s="37"/>
      <c r="W1541" s="35"/>
      <c r="X1541" s="122"/>
      <c r="AE1541" s="3"/>
    </row>
    <row r="1542" spans="1:31">
      <c r="A1542" s="39"/>
      <c r="B1542" s="118"/>
      <c r="C1542" s="119"/>
      <c r="D1542" s="119"/>
      <c r="E1542" s="120"/>
      <c r="F1542" s="119"/>
      <c r="G1542" s="38"/>
      <c r="H1542" s="42"/>
      <c r="I1542" s="42"/>
      <c r="J1542" s="43"/>
      <c r="K1542" s="34"/>
      <c r="L1542" s="127"/>
      <c r="M1542" s="34"/>
      <c r="N1542" s="50"/>
      <c r="O1542" s="50"/>
      <c r="P1542" s="50"/>
      <c r="Q1542" s="121"/>
      <c r="R1542" s="121"/>
      <c r="S1542" s="121"/>
      <c r="T1542" s="34"/>
      <c r="U1542" s="35"/>
      <c r="V1542" s="37"/>
      <c r="W1542" s="35"/>
      <c r="X1542" s="122"/>
      <c r="AE1542" s="3"/>
    </row>
    <row r="1543" spans="1:31">
      <c r="A1543" s="39"/>
      <c r="B1543" s="118"/>
      <c r="C1543" s="119"/>
      <c r="D1543" s="119"/>
      <c r="E1543" s="120"/>
      <c r="F1543" s="119"/>
      <c r="G1543" s="38"/>
      <c r="H1543" s="42"/>
      <c r="I1543" s="42"/>
      <c r="J1543" s="43"/>
      <c r="K1543" s="34"/>
      <c r="L1543" s="127"/>
      <c r="M1543" s="34"/>
      <c r="N1543" s="50"/>
      <c r="O1543" s="50"/>
      <c r="P1543" s="50"/>
      <c r="Q1543" s="121"/>
      <c r="R1543" s="121"/>
      <c r="S1543" s="121"/>
      <c r="T1543" s="34"/>
      <c r="U1543" s="35"/>
      <c r="V1543" s="37"/>
      <c r="W1543" s="35"/>
      <c r="X1543" s="122"/>
      <c r="AE1543" s="3"/>
    </row>
    <row r="1544" spans="1:31">
      <c r="A1544" s="39"/>
      <c r="B1544" s="118"/>
      <c r="C1544" s="119"/>
      <c r="D1544" s="119"/>
      <c r="E1544" s="120"/>
      <c r="F1544" s="119"/>
      <c r="G1544" s="38"/>
      <c r="H1544" s="42"/>
      <c r="I1544" s="42"/>
      <c r="J1544" s="43"/>
      <c r="K1544" s="34"/>
      <c r="L1544" s="127"/>
      <c r="M1544" s="34"/>
      <c r="N1544" s="50"/>
      <c r="O1544" s="50"/>
      <c r="P1544" s="50"/>
      <c r="Q1544" s="121"/>
      <c r="R1544" s="121"/>
      <c r="S1544" s="121"/>
      <c r="T1544" s="34"/>
      <c r="U1544" s="35"/>
      <c r="V1544" s="37"/>
      <c r="W1544" s="35"/>
      <c r="X1544" s="122"/>
      <c r="AE1544" s="3"/>
    </row>
    <row r="1545" spans="1:31">
      <c r="A1545" s="39"/>
      <c r="B1545" s="118"/>
      <c r="C1545" s="119"/>
      <c r="D1545" s="119"/>
      <c r="E1545" s="120"/>
      <c r="F1545" s="119"/>
      <c r="G1545" s="38"/>
      <c r="H1545" s="42"/>
      <c r="I1545" s="42"/>
      <c r="J1545" s="43"/>
      <c r="K1545" s="34"/>
      <c r="L1545" s="127"/>
      <c r="M1545" s="34"/>
      <c r="N1545" s="50"/>
      <c r="O1545" s="50"/>
      <c r="P1545" s="50"/>
      <c r="Q1545" s="121"/>
      <c r="R1545" s="121"/>
      <c r="S1545" s="121"/>
      <c r="T1545" s="34"/>
      <c r="U1545" s="35"/>
      <c r="V1545" s="37"/>
      <c r="W1545" s="35"/>
      <c r="X1545" s="122"/>
      <c r="AE1545" s="3"/>
    </row>
    <row r="1546" spans="1:31">
      <c r="A1546" s="39"/>
      <c r="B1546" s="118"/>
      <c r="C1546" s="119"/>
      <c r="D1546" s="119"/>
      <c r="E1546" s="120"/>
      <c r="F1546" s="119"/>
      <c r="G1546" s="38"/>
      <c r="H1546" s="42"/>
      <c r="I1546" s="42"/>
      <c r="J1546" s="43"/>
      <c r="K1546" s="34"/>
      <c r="L1546" s="127"/>
      <c r="M1546" s="34"/>
      <c r="N1546" s="50"/>
      <c r="O1546" s="50"/>
      <c r="P1546" s="50"/>
      <c r="Q1546" s="121"/>
      <c r="R1546" s="121"/>
      <c r="S1546" s="121"/>
      <c r="T1546" s="34"/>
      <c r="U1546" s="35"/>
      <c r="V1546" s="37"/>
      <c r="W1546" s="35"/>
      <c r="X1546" s="122"/>
      <c r="AE1546" s="3"/>
    </row>
    <row r="1547" spans="1:31">
      <c r="A1547" s="39"/>
      <c r="B1547" s="118"/>
      <c r="C1547" s="119"/>
      <c r="D1547" s="119"/>
      <c r="E1547" s="120"/>
      <c r="F1547" s="119"/>
      <c r="G1547" s="38"/>
      <c r="H1547" s="42"/>
      <c r="I1547" s="42"/>
      <c r="J1547" s="43"/>
      <c r="K1547" s="34"/>
      <c r="L1547" s="127"/>
      <c r="M1547" s="34"/>
      <c r="N1547" s="50"/>
      <c r="O1547" s="50"/>
      <c r="P1547" s="50"/>
      <c r="Q1547" s="121"/>
      <c r="R1547" s="121"/>
      <c r="S1547" s="121"/>
      <c r="T1547" s="34"/>
      <c r="U1547" s="35"/>
      <c r="V1547" s="37"/>
      <c r="W1547" s="35"/>
      <c r="X1547" s="122"/>
      <c r="AE1547" s="3"/>
    </row>
    <row r="1548" spans="1:31">
      <c r="A1548" s="39"/>
      <c r="B1548" s="118"/>
      <c r="C1548" s="119"/>
      <c r="D1548" s="119"/>
      <c r="E1548" s="120"/>
      <c r="F1548" s="119"/>
      <c r="G1548" s="38"/>
      <c r="H1548" s="42"/>
      <c r="I1548" s="42"/>
      <c r="J1548" s="43"/>
      <c r="K1548" s="34"/>
      <c r="L1548" s="127"/>
      <c r="M1548" s="34"/>
      <c r="N1548" s="50"/>
      <c r="O1548" s="50"/>
      <c r="P1548" s="50"/>
      <c r="Q1548" s="121"/>
      <c r="R1548" s="121"/>
      <c r="S1548" s="121"/>
      <c r="T1548" s="34"/>
      <c r="U1548" s="35"/>
      <c r="V1548" s="37"/>
      <c r="W1548" s="35"/>
      <c r="X1548" s="122"/>
      <c r="AE1548" s="3"/>
    </row>
    <row r="1549" spans="1:31">
      <c r="A1549" s="39"/>
      <c r="B1549" s="118"/>
      <c r="C1549" s="119"/>
      <c r="D1549" s="119"/>
      <c r="E1549" s="120"/>
      <c r="F1549" s="119"/>
      <c r="G1549" s="38"/>
      <c r="H1549" s="42"/>
      <c r="I1549" s="42"/>
      <c r="J1549" s="43"/>
      <c r="K1549" s="34"/>
      <c r="L1549" s="127"/>
      <c r="M1549" s="34"/>
      <c r="N1549" s="50"/>
      <c r="O1549" s="50"/>
      <c r="P1549" s="50"/>
      <c r="Q1549" s="121"/>
      <c r="R1549" s="121"/>
      <c r="S1549" s="121"/>
      <c r="T1549" s="34"/>
      <c r="U1549" s="35"/>
      <c r="V1549" s="37"/>
      <c r="W1549" s="35"/>
      <c r="X1549" s="122"/>
      <c r="AE1549" s="3"/>
    </row>
    <row r="1550" spans="1:31">
      <c r="A1550" s="39"/>
      <c r="B1550" s="118"/>
      <c r="C1550" s="119"/>
      <c r="D1550" s="119"/>
      <c r="E1550" s="120"/>
      <c r="F1550" s="119"/>
      <c r="G1550" s="38"/>
      <c r="H1550" s="42"/>
      <c r="I1550" s="42"/>
      <c r="J1550" s="43"/>
      <c r="K1550" s="34"/>
      <c r="L1550" s="127"/>
      <c r="M1550" s="34"/>
      <c r="N1550" s="50"/>
      <c r="O1550" s="50"/>
      <c r="P1550" s="50"/>
      <c r="Q1550" s="121"/>
      <c r="R1550" s="121"/>
      <c r="S1550" s="121"/>
      <c r="T1550" s="34"/>
      <c r="U1550" s="35"/>
      <c r="V1550" s="37"/>
      <c r="W1550" s="35"/>
      <c r="X1550" s="122"/>
      <c r="AE1550" s="3"/>
    </row>
    <row r="1551" spans="1:31">
      <c r="A1551" s="39"/>
      <c r="B1551" s="118"/>
      <c r="C1551" s="119"/>
      <c r="D1551" s="119"/>
      <c r="E1551" s="120"/>
      <c r="F1551" s="119"/>
      <c r="G1551" s="38"/>
      <c r="H1551" s="42"/>
      <c r="I1551" s="42"/>
      <c r="J1551" s="43"/>
      <c r="K1551" s="34"/>
      <c r="L1551" s="127"/>
      <c r="M1551" s="34"/>
      <c r="N1551" s="50"/>
      <c r="O1551" s="50"/>
      <c r="P1551" s="50"/>
      <c r="Q1551" s="121"/>
      <c r="R1551" s="121"/>
      <c r="S1551" s="121"/>
      <c r="T1551" s="34"/>
      <c r="U1551" s="35"/>
      <c r="V1551" s="37"/>
      <c r="W1551" s="35"/>
      <c r="X1551" s="122"/>
      <c r="AE1551" s="3"/>
    </row>
    <row r="1552" spans="1:31">
      <c r="A1552" s="39"/>
      <c r="B1552" s="118"/>
      <c r="C1552" s="119"/>
      <c r="D1552" s="119"/>
      <c r="E1552" s="120"/>
      <c r="F1552" s="119"/>
      <c r="G1552" s="38"/>
      <c r="H1552" s="42"/>
      <c r="I1552" s="42"/>
      <c r="J1552" s="43"/>
      <c r="K1552" s="34"/>
      <c r="L1552" s="127"/>
      <c r="M1552" s="34"/>
      <c r="N1552" s="50"/>
      <c r="O1552" s="50"/>
      <c r="P1552" s="50"/>
      <c r="Q1552" s="121"/>
      <c r="R1552" s="121"/>
      <c r="S1552" s="121"/>
      <c r="T1552" s="34"/>
      <c r="U1552" s="35"/>
      <c r="V1552" s="37"/>
      <c r="W1552" s="35"/>
      <c r="X1552" s="122"/>
      <c r="AE1552" s="3"/>
    </row>
    <row r="1553" spans="1:31">
      <c r="A1553" s="39"/>
      <c r="B1553" s="118"/>
      <c r="C1553" s="119"/>
      <c r="D1553" s="119"/>
      <c r="E1553" s="120"/>
      <c r="F1553" s="119"/>
      <c r="G1553" s="38"/>
      <c r="H1553" s="42"/>
      <c r="I1553" s="42"/>
      <c r="J1553" s="43"/>
      <c r="K1553" s="34"/>
      <c r="L1553" s="127"/>
      <c r="M1553" s="34"/>
      <c r="N1553" s="50"/>
      <c r="O1553" s="50"/>
      <c r="P1553" s="50"/>
      <c r="Q1553" s="121"/>
      <c r="R1553" s="121"/>
      <c r="S1553" s="121"/>
      <c r="T1553" s="34"/>
      <c r="U1553" s="35"/>
      <c r="V1553" s="37"/>
      <c r="W1553" s="35"/>
      <c r="X1553" s="122"/>
      <c r="AE1553" s="3"/>
    </row>
    <row r="1554" spans="1:31">
      <c r="A1554" s="39"/>
      <c r="B1554" s="118"/>
      <c r="C1554" s="119"/>
      <c r="D1554" s="119"/>
      <c r="E1554" s="120"/>
      <c r="F1554" s="119"/>
      <c r="G1554" s="38"/>
      <c r="H1554" s="42"/>
      <c r="I1554" s="42"/>
      <c r="J1554" s="43"/>
      <c r="K1554" s="34"/>
      <c r="L1554" s="127"/>
      <c r="M1554" s="34"/>
      <c r="N1554" s="50"/>
      <c r="O1554" s="50"/>
      <c r="P1554" s="50"/>
      <c r="Q1554" s="121"/>
      <c r="R1554" s="121"/>
      <c r="S1554" s="121"/>
      <c r="T1554" s="34"/>
      <c r="U1554" s="35"/>
      <c r="V1554" s="37"/>
      <c r="W1554" s="35"/>
      <c r="X1554" s="122"/>
      <c r="AE1554" s="3"/>
    </row>
    <row r="1555" spans="1:31">
      <c r="A1555" s="39"/>
      <c r="B1555" s="118"/>
      <c r="C1555" s="119"/>
      <c r="D1555" s="119"/>
      <c r="E1555" s="120"/>
      <c r="F1555" s="119"/>
      <c r="G1555" s="38"/>
      <c r="H1555" s="42"/>
      <c r="I1555" s="42"/>
      <c r="J1555" s="43"/>
      <c r="K1555" s="34"/>
      <c r="L1555" s="127"/>
      <c r="M1555" s="34"/>
      <c r="N1555" s="50"/>
      <c r="O1555" s="50"/>
      <c r="P1555" s="50"/>
      <c r="Q1555" s="121"/>
      <c r="R1555" s="121"/>
      <c r="S1555" s="121"/>
      <c r="T1555" s="34"/>
      <c r="U1555" s="35"/>
      <c r="V1555" s="37"/>
      <c r="W1555" s="35"/>
      <c r="X1555" s="122"/>
      <c r="AE1555" s="3"/>
    </row>
    <row r="1556" spans="1:31">
      <c r="A1556" s="39"/>
      <c r="B1556" s="118"/>
      <c r="C1556" s="119"/>
      <c r="D1556" s="119"/>
      <c r="E1556" s="120"/>
      <c r="F1556" s="119"/>
      <c r="G1556" s="38"/>
      <c r="H1556" s="42"/>
      <c r="I1556" s="42"/>
      <c r="J1556" s="43"/>
      <c r="K1556" s="34"/>
      <c r="L1556" s="127"/>
      <c r="M1556" s="34"/>
      <c r="N1556" s="50"/>
      <c r="O1556" s="50"/>
      <c r="P1556" s="50"/>
      <c r="Q1556" s="121"/>
      <c r="R1556" s="121"/>
      <c r="S1556" s="121"/>
      <c r="T1556" s="34"/>
      <c r="U1556" s="35"/>
      <c r="V1556" s="37"/>
      <c r="W1556" s="35"/>
      <c r="X1556" s="122"/>
      <c r="AE1556" s="3"/>
    </row>
    <row r="1557" spans="1:31">
      <c r="A1557" s="39"/>
      <c r="B1557" s="118"/>
      <c r="C1557" s="119"/>
      <c r="D1557" s="119"/>
      <c r="E1557" s="120"/>
      <c r="F1557" s="119"/>
      <c r="G1557" s="38"/>
      <c r="H1557" s="42"/>
      <c r="I1557" s="42"/>
      <c r="J1557" s="43"/>
      <c r="K1557" s="34"/>
      <c r="L1557" s="127"/>
      <c r="M1557" s="34"/>
      <c r="N1557" s="50"/>
      <c r="O1557" s="50"/>
      <c r="P1557" s="50"/>
      <c r="Q1557" s="121"/>
      <c r="R1557" s="121"/>
      <c r="S1557" s="121"/>
      <c r="T1557" s="34"/>
      <c r="U1557" s="35"/>
      <c r="V1557" s="37"/>
      <c r="W1557" s="35"/>
      <c r="X1557" s="122"/>
      <c r="AE1557" s="3"/>
    </row>
    <row r="1558" spans="1:31">
      <c r="A1558" s="39"/>
      <c r="B1558" s="118"/>
      <c r="C1558" s="119"/>
      <c r="D1558" s="119"/>
      <c r="E1558" s="120"/>
      <c r="F1558" s="119"/>
      <c r="G1558" s="38"/>
      <c r="H1558" s="42"/>
      <c r="I1558" s="42"/>
      <c r="J1558" s="43"/>
      <c r="K1558" s="34"/>
      <c r="L1558" s="127"/>
      <c r="M1558" s="34"/>
      <c r="N1558" s="50"/>
      <c r="O1558" s="50"/>
      <c r="P1558" s="50"/>
      <c r="Q1558" s="121"/>
      <c r="R1558" s="121"/>
      <c r="S1558" s="121"/>
      <c r="T1558" s="34"/>
      <c r="U1558" s="35"/>
      <c r="V1558" s="37"/>
      <c r="W1558" s="35"/>
      <c r="X1558" s="122"/>
      <c r="AE1558" s="3"/>
    </row>
    <row r="1559" spans="1:31">
      <c r="A1559" s="39"/>
      <c r="B1559" s="118"/>
      <c r="C1559" s="119"/>
      <c r="D1559" s="119"/>
      <c r="E1559" s="120"/>
      <c r="F1559" s="119"/>
      <c r="G1559" s="38"/>
      <c r="H1559" s="42"/>
      <c r="I1559" s="42"/>
      <c r="J1559" s="43"/>
      <c r="K1559" s="34"/>
      <c r="L1559" s="127"/>
      <c r="M1559" s="34"/>
      <c r="N1559" s="50"/>
      <c r="O1559" s="50"/>
      <c r="P1559" s="50"/>
      <c r="Q1559" s="121"/>
      <c r="R1559" s="121"/>
      <c r="S1559" s="121"/>
      <c r="T1559" s="34"/>
      <c r="U1559" s="35"/>
      <c r="V1559" s="37"/>
      <c r="W1559" s="35"/>
      <c r="X1559" s="122"/>
      <c r="AE1559" s="3"/>
    </row>
    <row r="1560" spans="1:31">
      <c r="A1560" s="39"/>
      <c r="B1560" s="118"/>
      <c r="C1560" s="119"/>
      <c r="D1560" s="119"/>
      <c r="E1560" s="120"/>
      <c r="F1560" s="119"/>
      <c r="G1560" s="38"/>
      <c r="H1560" s="42"/>
      <c r="I1560" s="42"/>
      <c r="J1560" s="43"/>
      <c r="K1560" s="34"/>
      <c r="L1560" s="127"/>
      <c r="M1560" s="34"/>
      <c r="N1560" s="50"/>
      <c r="O1560" s="50"/>
      <c r="P1560" s="50"/>
      <c r="Q1560" s="121"/>
      <c r="R1560" s="121"/>
      <c r="S1560" s="121"/>
      <c r="T1560" s="34"/>
      <c r="U1560" s="35"/>
      <c r="V1560" s="37"/>
      <c r="W1560" s="35"/>
      <c r="X1560" s="122"/>
      <c r="AE1560" s="3"/>
    </row>
    <row r="1561" spans="1:31">
      <c r="A1561" s="39"/>
      <c r="B1561" s="118"/>
      <c r="C1561" s="119"/>
      <c r="D1561" s="119"/>
      <c r="E1561" s="120"/>
      <c r="F1561" s="119"/>
      <c r="G1561" s="38"/>
      <c r="H1561" s="42"/>
      <c r="I1561" s="42"/>
      <c r="J1561" s="43"/>
      <c r="K1561" s="34"/>
      <c r="L1561" s="127"/>
      <c r="M1561" s="34"/>
      <c r="N1561" s="50"/>
      <c r="O1561" s="50"/>
      <c r="P1561" s="50"/>
      <c r="Q1561" s="121"/>
      <c r="R1561" s="121"/>
      <c r="S1561" s="121"/>
      <c r="T1561" s="34"/>
      <c r="U1561" s="35"/>
      <c r="V1561" s="37"/>
      <c r="W1561" s="35"/>
      <c r="X1561" s="122"/>
      <c r="AE1561" s="3"/>
    </row>
    <row r="1562" spans="1:31">
      <c r="A1562" s="39"/>
      <c r="B1562" s="118"/>
      <c r="C1562" s="119"/>
      <c r="D1562" s="119"/>
      <c r="E1562" s="120"/>
      <c r="F1562" s="119"/>
      <c r="G1562" s="38"/>
      <c r="H1562" s="42"/>
      <c r="I1562" s="42"/>
      <c r="J1562" s="43"/>
      <c r="K1562" s="34"/>
      <c r="L1562" s="127"/>
      <c r="M1562" s="34"/>
      <c r="N1562" s="50"/>
      <c r="O1562" s="50"/>
      <c r="P1562" s="50"/>
      <c r="Q1562" s="121"/>
      <c r="R1562" s="121"/>
      <c r="S1562" s="121"/>
      <c r="T1562" s="34"/>
      <c r="U1562" s="35"/>
      <c r="V1562" s="37"/>
      <c r="W1562" s="35"/>
      <c r="X1562" s="122"/>
      <c r="AE1562" s="3"/>
    </row>
    <row r="1563" spans="1:31">
      <c r="A1563" s="39"/>
      <c r="B1563" s="118"/>
      <c r="C1563" s="119"/>
      <c r="D1563" s="119"/>
      <c r="E1563" s="120"/>
      <c r="F1563" s="119"/>
      <c r="G1563" s="38"/>
      <c r="H1563" s="42"/>
      <c r="I1563" s="42"/>
      <c r="J1563" s="43"/>
      <c r="K1563" s="34"/>
      <c r="L1563" s="127"/>
      <c r="M1563" s="34"/>
      <c r="N1563" s="50"/>
      <c r="O1563" s="50"/>
      <c r="P1563" s="50"/>
      <c r="Q1563" s="121"/>
      <c r="R1563" s="121"/>
      <c r="S1563" s="121"/>
      <c r="T1563" s="34"/>
      <c r="U1563" s="35"/>
      <c r="V1563" s="37"/>
      <c r="W1563" s="35"/>
      <c r="X1563" s="122"/>
      <c r="AE1563" s="3"/>
    </row>
    <row r="1564" spans="1:31">
      <c r="A1564" s="39"/>
      <c r="B1564" s="118"/>
      <c r="C1564" s="119"/>
      <c r="D1564" s="119"/>
      <c r="E1564" s="120"/>
      <c r="F1564" s="119"/>
      <c r="G1564" s="38"/>
      <c r="H1564" s="42"/>
      <c r="I1564" s="42"/>
      <c r="J1564" s="43"/>
      <c r="K1564" s="34"/>
      <c r="L1564" s="127"/>
      <c r="M1564" s="34"/>
      <c r="N1564" s="50"/>
      <c r="O1564" s="50"/>
      <c r="P1564" s="50"/>
      <c r="Q1564" s="121"/>
      <c r="R1564" s="121"/>
      <c r="S1564" s="121"/>
      <c r="T1564" s="34"/>
      <c r="U1564" s="35"/>
      <c r="V1564" s="37"/>
      <c r="W1564" s="35"/>
      <c r="X1564" s="122"/>
      <c r="AE1564" s="3"/>
    </row>
    <row r="1565" spans="1:31">
      <c r="A1565" s="39"/>
      <c r="B1565" s="118"/>
      <c r="C1565" s="119"/>
      <c r="D1565" s="119"/>
      <c r="E1565" s="120"/>
      <c r="F1565" s="119"/>
      <c r="G1565" s="38"/>
      <c r="H1565" s="42"/>
      <c r="I1565" s="42"/>
      <c r="J1565" s="43"/>
      <c r="K1565" s="34"/>
      <c r="L1565" s="127"/>
      <c r="M1565" s="34"/>
      <c r="N1565" s="50"/>
      <c r="O1565" s="50"/>
      <c r="P1565" s="50"/>
      <c r="Q1565" s="121"/>
      <c r="R1565" s="121"/>
      <c r="S1565" s="121"/>
      <c r="T1565" s="34"/>
      <c r="U1565" s="35"/>
      <c r="V1565" s="37"/>
      <c r="W1565" s="35"/>
      <c r="X1565" s="122"/>
      <c r="AE1565" s="3"/>
    </row>
    <row r="1566" spans="1:31">
      <c r="A1566" s="39"/>
      <c r="B1566" s="118"/>
      <c r="C1566" s="119"/>
      <c r="D1566" s="119"/>
      <c r="E1566" s="120"/>
      <c r="F1566" s="119"/>
      <c r="G1566" s="38"/>
      <c r="H1566" s="42"/>
      <c r="I1566" s="42"/>
      <c r="J1566" s="43"/>
      <c r="K1566" s="34"/>
      <c r="L1566" s="127"/>
      <c r="M1566" s="34"/>
      <c r="N1566" s="50"/>
      <c r="O1566" s="50"/>
      <c r="P1566" s="50"/>
      <c r="Q1566" s="121"/>
      <c r="R1566" s="121"/>
      <c r="S1566" s="121"/>
      <c r="T1566" s="34"/>
      <c r="U1566" s="35"/>
      <c r="V1566" s="37"/>
      <c r="W1566" s="35"/>
      <c r="X1566" s="122"/>
      <c r="AE1566" s="3"/>
    </row>
    <row r="1567" spans="1:31">
      <c r="A1567" s="39"/>
      <c r="B1567" s="118"/>
      <c r="C1567" s="119"/>
      <c r="D1567" s="119"/>
      <c r="E1567" s="120"/>
      <c r="F1567" s="119"/>
      <c r="G1567" s="38"/>
      <c r="H1567" s="42"/>
      <c r="I1567" s="42"/>
      <c r="J1567" s="43"/>
      <c r="K1567" s="34"/>
      <c r="L1567" s="127"/>
      <c r="M1567" s="34"/>
      <c r="N1567" s="50"/>
      <c r="O1567" s="50"/>
      <c r="P1567" s="50"/>
      <c r="Q1567" s="121"/>
      <c r="R1567" s="121"/>
      <c r="S1567" s="121"/>
      <c r="T1567" s="34"/>
      <c r="U1567" s="35"/>
      <c r="V1567" s="37"/>
      <c r="W1567" s="35"/>
      <c r="X1567" s="122"/>
      <c r="AE1567" s="3"/>
    </row>
    <row r="1568" spans="1:31">
      <c r="A1568" s="39"/>
      <c r="B1568" s="118"/>
      <c r="C1568" s="119"/>
      <c r="D1568" s="119"/>
      <c r="E1568" s="120"/>
      <c r="F1568" s="119"/>
      <c r="G1568" s="38"/>
      <c r="H1568" s="42"/>
      <c r="I1568" s="42"/>
      <c r="J1568" s="43"/>
      <c r="K1568" s="34"/>
      <c r="L1568" s="127"/>
      <c r="M1568" s="34"/>
      <c r="N1568" s="50"/>
      <c r="O1568" s="50"/>
      <c r="P1568" s="50"/>
      <c r="Q1568" s="121"/>
      <c r="R1568" s="121"/>
      <c r="S1568" s="121"/>
      <c r="T1568" s="34"/>
      <c r="U1568" s="35"/>
      <c r="V1568" s="37"/>
      <c r="W1568" s="35"/>
      <c r="X1568" s="122"/>
      <c r="AE1568" s="3"/>
    </row>
    <row r="1569" spans="1:31">
      <c r="A1569" s="39"/>
      <c r="B1569" s="118"/>
      <c r="C1569" s="119"/>
      <c r="D1569" s="119"/>
      <c r="E1569" s="120"/>
      <c r="F1569" s="119"/>
      <c r="G1569" s="38"/>
      <c r="H1569" s="42"/>
      <c r="I1569" s="42"/>
      <c r="J1569" s="43"/>
      <c r="K1569" s="34"/>
      <c r="L1569" s="127"/>
      <c r="M1569" s="34"/>
      <c r="N1569" s="50"/>
      <c r="O1569" s="50"/>
      <c r="P1569" s="50"/>
      <c r="Q1569" s="121"/>
      <c r="R1569" s="121"/>
      <c r="S1569" s="121"/>
      <c r="T1569" s="34"/>
      <c r="U1569" s="35"/>
      <c r="V1569" s="37"/>
      <c r="W1569" s="35"/>
      <c r="X1569" s="122"/>
      <c r="AE1569" s="3"/>
    </row>
    <row r="1570" spans="1:31">
      <c r="A1570" s="39"/>
      <c r="B1570" s="118"/>
      <c r="C1570" s="119"/>
      <c r="D1570" s="119"/>
      <c r="E1570" s="120"/>
      <c r="F1570" s="119"/>
      <c r="G1570" s="38"/>
      <c r="H1570" s="42"/>
      <c r="I1570" s="42"/>
      <c r="J1570" s="43"/>
      <c r="K1570" s="34"/>
      <c r="L1570" s="127"/>
      <c r="M1570" s="34"/>
      <c r="N1570" s="50"/>
      <c r="O1570" s="50"/>
      <c r="P1570" s="50"/>
      <c r="Q1570" s="121"/>
      <c r="R1570" s="121"/>
      <c r="S1570" s="121"/>
      <c r="T1570" s="34"/>
      <c r="U1570" s="35"/>
      <c r="V1570" s="37"/>
      <c r="W1570" s="35"/>
      <c r="X1570" s="122"/>
      <c r="AE1570" s="3"/>
    </row>
    <row r="1571" spans="1:31">
      <c r="A1571" s="39"/>
      <c r="B1571" s="118"/>
      <c r="C1571" s="119"/>
      <c r="D1571" s="119"/>
      <c r="E1571" s="120"/>
      <c r="F1571" s="119"/>
      <c r="G1571" s="38"/>
      <c r="H1571" s="42"/>
      <c r="I1571" s="42"/>
      <c r="J1571" s="43"/>
      <c r="K1571" s="34"/>
      <c r="L1571" s="127"/>
      <c r="M1571" s="34"/>
      <c r="N1571" s="50"/>
      <c r="O1571" s="50"/>
      <c r="P1571" s="50"/>
      <c r="Q1571" s="121"/>
      <c r="R1571" s="121"/>
      <c r="S1571" s="121"/>
      <c r="T1571" s="34"/>
      <c r="U1571" s="35"/>
      <c r="V1571" s="37"/>
      <c r="W1571" s="35"/>
      <c r="X1571" s="122"/>
      <c r="AE1571" s="3"/>
    </row>
    <row r="1572" spans="1:31">
      <c r="A1572" s="39"/>
      <c r="B1572" s="118"/>
      <c r="C1572" s="119"/>
      <c r="D1572" s="119"/>
      <c r="E1572" s="120"/>
      <c r="F1572" s="119"/>
      <c r="G1572" s="38"/>
      <c r="H1572" s="42"/>
      <c r="I1572" s="42"/>
      <c r="J1572" s="43"/>
      <c r="K1572" s="34"/>
      <c r="L1572" s="127"/>
      <c r="M1572" s="34"/>
      <c r="N1572" s="50"/>
      <c r="O1572" s="50"/>
      <c r="P1572" s="50"/>
      <c r="Q1572" s="121"/>
      <c r="R1572" s="121"/>
      <c r="S1572" s="121"/>
      <c r="T1572" s="34"/>
      <c r="U1572" s="35"/>
      <c r="V1572" s="37"/>
      <c r="W1572" s="35"/>
      <c r="X1572" s="122"/>
      <c r="AE1572" s="3"/>
    </row>
    <row r="1573" spans="1:31">
      <c r="A1573" s="39"/>
      <c r="B1573" s="118"/>
      <c r="C1573" s="119"/>
      <c r="D1573" s="119"/>
      <c r="E1573" s="120"/>
      <c r="F1573" s="119"/>
      <c r="G1573" s="38"/>
      <c r="H1573" s="42"/>
      <c r="I1573" s="42"/>
      <c r="J1573" s="43"/>
      <c r="K1573" s="34"/>
      <c r="L1573" s="127"/>
      <c r="M1573" s="34"/>
      <c r="N1573" s="50"/>
      <c r="O1573" s="50"/>
      <c r="P1573" s="50"/>
      <c r="Q1573" s="121"/>
      <c r="R1573" s="121"/>
      <c r="S1573" s="121"/>
      <c r="T1573" s="34"/>
      <c r="U1573" s="35"/>
      <c r="V1573" s="37"/>
      <c r="W1573" s="35"/>
      <c r="X1573" s="122"/>
      <c r="AE1573" s="3"/>
    </row>
    <row r="1574" spans="1:31">
      <c r="A1574" s="39"/>
      <c r="B1574" s="118"/>
      <c r="C1574" s="119"/>
      <c r="D1574" s="119"/>
      <c r="E1574" s="120"/>
      <c r="F1574" s="119"/>
      <c r="G1574" s="38"/>
      <c r="H1574" s="42"/>
      <c r="I1574" s="42"/>
      <c r="J1574" s="43"/>
      <c r="K1574" s="34"/>
      <c r="L1574" s="127"/>
      <c r="M1574" s="34"/>
      <c r="N1574" s="50"/>
      <c r="O1574" s="50"/>
      <c r="P1574" s="50"/>
      <c r="Q1574" s="121"/>
      <c r="R1574" s="121"/>
      <c r="S1574" s="121"/>
      <c r="T1574" s="34"/>
      <c r="U1574" s="35"/>
      <c r="V1574" s="37"/>
      <c r="W1574" s="35"/>
      <c r="X1574" s="122"/>
      <c r="AE1574" s="3"/>
    </row>
    <row r="1575" spans="1:31">
      <c r="A1575" s="39"/>
      <c r="B1575" s="118"/>
      <c r="C1575" s="119"/>
      <c r="D1575" s="119"/>
      <c r="E1575" s="120"/>
      <c r="F1575" s="119"/>
      <c r="G1575" s="38"/>
      <c r="H1575" s="42"/>
      <c r="I1575" s="42"/>
      <c r="J1575" s="43"/>
      <c r="K1575" s="34"/>
      <c r="L1575" s="127"/>
      <c r="M1575" s="34"/>
      <c r="N1575" s="50"/>
      <c r="O1575" s="50"/>
      <c r="P1575" s="50"/>
      <c r="Q1575" s="121"/>
      <c r="R1575" s="121"/>
      <c r="S1575" s="121"/>
      <c r="T1575" s="34"/>
      <c r="U1575" s="35"/>
      <c r="V1575" s="37"/>
      <c r="W1575" s="35"/>
      <c r="X1575" s="122"/>
      <c r="AE1575" s="3"/>
    </row>
    <row r="1576" spans="1:31">
      <c r="A1576" s="39"/>
      <c r="B1576" s="118"/>
      <c r="C1576" s="119"/>
      <c r="D1576" s="119"/>
      <c r="E1576" s="120"/>
      <c r="F1576" s="119"/>
      <c r="G1576" s="38"/>
      <c r="H1576" s="42"/>
      <c r="I1576" s="42"/>
      <c r="J1576" s="43"/>
      <c r="K1576" s="34"/>
      <c r="L1576" s="127"/>
      <c r="M1576" s="34"/>
      <c r="N1576" s="50"/>
      <c r="O1576" s="50"/>
      <c r="P1576" s="50"/>
      <c r="Q1576" s="121"/>
      <c r="R1576" s="121"/>
      <c r="S1576" s="121"/>
      <c r="T1576" s="34"/>
      <c r="U1576" s="35"/>
      <c r="V1576" s="37"/>
      <c r="W1576" s="35"/>
      <c r="X1576" s="122"/>
      <c r="AE1576" s="3"/>
    </row>
    <row r="1577" spans="1:31">
      <c r="A1577" s="39"/>
      <c r="B1577" s="118"/>
      <c r="C1577" s="119"/>
      <c r="D1577" s="119"/>
      <c r="E1577" s="120"/>
      <c r="F1577" s="119"/>
      <c r="G1577" s="38"/>
      <c r="H1577" s="42"/>
      <c r="I1577" s="42"/>
      <c r="J1577" s="43"/>
      <c r="K1577" s="34"/>
      <c r="L1577" s="127"/>
      <c r="M1577" s="34"/>
      <c r="N1577" s="50"/>
      <c r="O1577" s="50"/>
      <c r="P1577" s="50"/>
      <c r="Q1577" s="121"/>
      <c r="R1577" s="121"/>
      <c r="S1577" s="121"/>
      <c r="T1577" s="34"/>
      <c r="U1577" s="35"/>
      <c r="V1577" s="37"/>
      <c r="W1577" s="35"/>
      <c r="X1577" s="122"/>
      <c r="AE1577" s="3"/>
    </row>
    <row r="1578" spans="1:31">
      <c r="A1578" s="39"/>
      <c r="B1578" s="118"/>
      <c r="C1578" s="119"/>
      <c r="D1578" s="119"/>
      <c r="E1578" s="120"/>
      <c r="F1578" s="119"/>
      <c r="G1578" s="38"/>
      <c r="H1578" s="42"/>
      <c r="I1578" s="42"/>
      <c r="J1578" s="43"/>
      <c r="K1578" s="34"/>
      <c r="L1578" s="127"/>
      <c r="M1578" s="34"/>
      <c r="N1578" s="50"/>
      <c r="O1578" s="50"/>
      <c r="P1578" s="50"/>
      <c r="Q1578" s="121"/>
      <c r="R1578" s="121"/>
      <c r="S1578" s="121"/>
      <c r="T1578" s="34"/>
      <c r="U1578" s="35"/>
      <c r="V1578" s="37"/>
      <c r="W1578" s="35"/>
      <c r="X1578" s="122"/>
      <c r="AE1578" s="3"/>
    </row>
    <row r="1579" spans="1:31">
      <c r="A1579" s="39"/>
      <c r="B1579" s="118"/>
      <c r="C1579" s="119"/>
      <c r="D1579" s="119"/>
      <c r="E1579" s="120"/>
      <c r="F1579" s="119"/>
      <c r="G1579" s="38"/>
      <c r="H1579" s="42"/>
      <c r="I1579" s="42"/>
      <c r="J1579" s="43"/>
      <c r="K1579" s="34"/>
      <c r="L1579" s="127"/>
      <c r="M1579" s="34"/>
      <c r="N1579" s="50"/>
      <c r="O1579" s="50"/>
      <c r="P1579" s="50"/>
      <c r="Q1579" s="121"/>
      <c r="R1579" s="121"/>
      <c r="S1579" s="121"/>
      <c r="T1579" s="34"/>
      <c r="U1579" s="35"/>
      <c r="V1579" s="37"/>
      <c r="W1579" s="35"/>
      <c r="X1579" s="122"/>
      <c r="AE1579" s="3"/>
    </row>
    <row r="1580" spans="1:31">
      <c r="A1580" s="39"/>
      <c r="B1580" s="118"/>
      <c r="C1580" s="119"/>
      <c r="D1580" s="119"/>
      <c r="E1580" s="120"/>
      <c r="F1580" s="119"/>
      <c r="G1580" s="38"/>
      <c r="H1580" s="42"/>
      <c r="I1580" s="42"/>
      <c r="J1580" s="43"/>
      <c r="K1580" s="34"/>
      <c r="L1580" s="127"/>
      <c r="M1580" s="34"/>
      <c r="N1580" s="50"/>
      <c r="O1580" s="50"/>
      <c r="P1580" s="50"/>
      <c r="Q1580" s="121"/>
      <c r="R1580" s="121"/>
      <c r="S1580" s="121"/>
      <c r="T1580" s="34"/>
      <c r="U1580" s="35"/>
      <c r="V1580" s="37"/>
      <c r="W1580" s="35"/>
      <c r="X1580" s="122"/>
      <c r="AE1580" s="3"/>
    </row>
    <row r="1581" spans="1:31">
      <c r="A1581" s="39"/>
      <c r="B1581" s="118"/>
      <c r="C1581" s="119"/>
      <c r="D1581" s="119"/>
      <c r="E1581" s="120"/>
      <c r="F1581" s="119"/>
      <c r="G1581" s="38"/>
      <c r="H1581" s="42"/>
      <c r="I1581" s="42"/>
      <c r="J1581" s="43"/>
      <c r="K1581" s="34"/>
      <c r="L1581" s="127"/>
      <c r="M1581" s="34"/>
      <c r="N1581" s="50"/>
      <c r="O1581" s="50"/>
      <c r="P1581" s="50"/>
      <c r="Q1581" s="121"/>
      <c r="R1581" s="121"/>
      <c r="S1581" s="121"/>
      <c r="T1581" s="34"/>
      <c r="U1581" s="35"/>
      <c r="V1581" s="37"/>
      <c r="W1581" s="35"/>
      <c r="X1581" s="122"/>
      <c r="AE1581" s="3"/>
    </row>
    <row r="1582" spans="1:31">
      <c r="A1582" s="39"/>
      <c r="B1582" s="118"/>
      <c r="C1582" s="119"/>
      <c r="D1582" s="119"/>
      <c r="E1582" s="120"/>
      <c r="F1582" s="119"/>
      <c r="G1582" s="38"/>
      <c r="H1582" s="42"/>
      <c r="I1582" s="42"/>
      <c r="J1582" s="43"/>
      <c r="K1582" s="34"/>
      <c r="L1582" s="127"/>
      <c r="M1582" s="34"/>
      <c r="N1582" s="50"/>
      <c r="O1582" s="50"/>
      <c r="P1582" s="50"/>
      <c r="Q1582" s="121"/>
      <c r="R1582" s="121"/>
      <c r="S1582" s="121"/>
      <c r="T1582" s="34"/>
      <c r="U1582" s="35"/>
      <c r="V1582" s="37"/>
      <c r="W1582" s="35"/>
      <c r="X1582" s="122"/>
      <c r="AE1582" s="3"/>
    </row>
    <row r="1583" spans="1:31">
      <c r="A1583" s="39"/>
      <c r="B1583" s="118"/>
      <c r="C1583" s="119"/>
      <c r="D1583" s="119"/>
      <c r="E1583" s="120"/>
      <c r="F1583" s="119"/>
      <c r="G1583" s="38"/>
      <c r="H1583" s="42"/>
      <c r="I1583" s="42"/>
      <c r="J1583" s="43"/>
      <c r="K1583" s="34"/>
      <c r="L1583" s="127"/>
      <c r="M1583" s="34"/>
      <c r="N1583" s="50"/>
      <c r="O1583" s="50"/>
      <c r="P1583" s="50"/>
      <c r="Q1583" s="121"/>
      <c r="R1583" s="121"/>
      <c r="S1583" s="121"/>
      <c r="T1583" s="34"/>
      <c r="U1583" s="35"/>
      <c r="V1583" s="37"/>
      <c r="W1583" s="35"/>
      <c r="X1583" s="122"/>
      <c r="AE1583" s="3"/>
    </row>
    <row r="1584" spans="1:31">
      <c r="A1584" s="39"/>
      <c r="B1584" s="118"/>
      <c r="C1584" s="119"/>
      <c r="D1584" s="119"/>
      <c r="E1584" s="120"/>
      <c r="F1584" s="119"/>
      <c r="G1584" s="38"/>
      <c r="H1584" s="42"/>
      <c r="I1584" s="42"/>
      <c r="J1584" s="43"/>
      <c r="K1584" s="34"/>
      <c r="L1584" s="127"/>
      <c r="M1584" s="34"/>
      <c r="N1584" s="50"/>
      <c r="O1584" s="50"/>
      <c r="P1584" s="50"/>
      <c r="Q1584" s="121"/>
      <c r="R1584" s="121"/>
      <c r="S1584" s="121"/>
      <c r="T1584" s="34"/>
      <c r="U1584" s="35"/>
      <c r="V1584" s="37"/>
      <c r="W1584" s="35"/>
      <c r="X1584" s="122"/>
      <c r="AE1584" s="3"/>
    </row>
    <row r="1585" spans="1:31">
      <c r="A1585" s="39"/>
      <c r="B1585" s="118"/>
      <c r="C1585" s="119"/>
      <c r="D1585" s="119"/>
      <c r="E1585" s="120"/>
      <c r="F1585" s="119"/>
      <c r="G1585" s="38"/>
      <c r="H1585" s="42"/>
      <c r="I1585" s="42"/>
      <c r="J1585" s="43"/>
      <c r="K1585" s="34"/>
      <c r="L1585" s="127"/>
      <c r="M1585" s="34"/>
      <c r="N1585" s="50"/>
      <c r="O1585" s="50"/>
      <c r="P1585" s="50"/>
      <c r="Q1585" s="121"/>
      <c r="R1585" s="121"/>
      <c r="S1585" s="121"/>
      <c r="T1585" s="34"/>
      <c r="U1585" s="35"/>
      <c r="V1585" s="37"/>
      <c r="W1585" s="35"/>
      <c r="X1585" s="122"/>
      <c r="AE1585" s="3"/>
    </row>
    <row r="1586" spans="1:31">
      <c r="A1586" s="39"/>
      <c r="B1586" s="118"/>
      <c r="C1586" s="119"/>
      <c r="D1586" s="119"/>
      <c r="E1586" s="120"/>
      <c r="F1586" s="119"/>
      <c r="G1586" s="38"/>
      <c r="H1586" s="42"/>
      <c r="I1586" s="42"/>
      <c r="J1586" s="43"/>
      <c r="K1586" s="34"/>
      <c r="L1586" s="127"/>
      <c r="M1586" s="34"/>
      <c r="N1586" s="50"/>
      <c r="O1586" s="50"/>
      <c r="P1586" s="50"/>
      <c r="Q1586" s="121"/>
      <c r="R1586" s="121"/>
      <c r="S1586" s="121"/>
      <c r="T1586" s="34"/>
      <c r="U1586" s="35"/>
      <c r="V1586" s="37"/>
      <c r="W1586" s="35"/>
      <c r="X1586" s="122"/>
      <c r="AE1586" s="3"/>
    </row>
    <row r="1587" spans="1:31">
      <c r="A1587" s="39"/>
      <c r="B1587" s="118"/>
      <c r="C1587" s="119"/>
      <c r="D1587" s="119"/>
      <c r="E1587" s="120"/>
      <c r="F1587" s="119"/>
      <c r="G1587" s="38"/>
      <c r="H1587" s="42"/>
      <c r="I1587" s="42"/>
      <c r="J1587" s="43"/>
      <c r="K1587" s="34"/>
      <c r="L1587" s="127"/>
      <c r="M1587" s="34"/>
      <c r="N1587" s="50"/>
      <c r="O1587" s="50"/>
      <c r="P1587" s="50"/>
      <c r="Q1587" s="121"/>
      <c r="R1587" s="121"/>
      <c r="S1587" s="121"/>
      <c r="T1587" s="34"/>
      <c r="U1587" s="35"/>
      <c r="V1587" s="37"/>
      <c r="W1587" s="35"/>
      <c r="X1587" s="122"/>
      <c r="AE1587" s="3"/>
    </row>
    <row r="1588" spans="1:31">
      <c r="A1588" s="39"/>
      <c r="B1588" s="118"/>
      <c r="C1588" s="119"/>
      <c r="D1588" s="119"/>
      <c r="E1588" s="120"/>
      <c r="F1588" s="119"/>
      <c r="G1588" s="38"/>
      <c r="H1588" s="42"/>
      <c r="I1588" s="42"/>
      <c r="J1588" s="43"/>
      <c r="K1588" s="34"/>
      <c r="L1588" s="127"/>
      <c r="M1588" s="34"/>
      <c r="N1588" s="50"/>
      <c r="O1588" s="50"/>
      <c r="P1588" s="50"/>
      <c r="Q1588" s="121"/>
      <c r="R1588" s="121"/>
      <c r="S1588" s="121"/>
      <c r="T1588" s="34"/>
      <c r="U1588" s="35"/>
      <c r="V1588" s="37"/>
      <c r="W1588" s="35"/>
      <c r="X1588" s="122"/>
      <c r="AE1588" s="3"/>
    </row>
    <row r="1589" spans="1:31">
      <c r="A1589" s="39"/>
      <c r="B1589" s="118"/>
      <c r="C1589" s="119"/>
      <c r="D1589" s="119"/>
      <c r="E1589" s="120"/>
      <c r="F1589" s="119"/>
      <c r="G1589" s="38"/>
      <c r="H1589" s="42"/>
      <c r="I1589" s="42"/>
      <c r="J1589" s="43"/>
      <c r="K1589" s="34"/>
      <c r="L1589" s="127"/>
      <c r="M1589" s="34"/>
      <c r="N1589" s="50"/>
      <c r="O1589" s="50"/>
      <c r="P1589" s="50"/>
      <c r="Q1589" s="121"/>
      <c r="R1589" s="121"/>
      <c r="S1589" s="121"/>
      <c r="T1589" s="34"/>
      <c r="U1589" s="35"/>
      <c r="V1589" s="37"/>
      <c r="W1589" s="35"/>
      <c r="X1589" s="122"/>
      <c r="AE1589" s="3"/>
    </row>
    <row r="1590" spans="1:31">
      <c r="A1590" s="39"/>
      <c r="B1590" s="118"/>
      <c r="C1590" s="119"/>
      <c r="D1590" s="119"/>
      <c r="E1590" s="120"/>
      <c r="F1590" s="119"/>
      <c r="G1590" s="38"/>
      <c r="H1590" s="42"/>
      <c r="I1590" s="42"/>
      <c r="J1590" s="43"/>
      <c r="K1590" s="34"/>
      <c r="L1590" s="127"/>
      <c r="M1590" s="34"/>
      <c r="N1590" s="50"/>
      <c r="O1590" s="50"/>
      <c r="P1590" s="50"/>
      <c r="Q1590" s="121"/>
      <c r="R1590" s="121"/>
      <c r="S1590" s="121"/>
      <c r="T1590" s="34"/>
      <c r="U1590" s="35"/>
      <c r="V1590" s="37"/>
      <c r="W1590" s="35"/>
      <c r="X1590" s="122"/>
      <c r="AE1590" s="3"/>
    </row>
    <row r="1591" spans="1:31">
      <c r="A1591" s="39"/>
      <c r="B1591" s="118"/>
      <c r="C1591" s="119"/>
      <c r="D1591" s="119"/>
      <c r="E1591" s="120"/>
      <c r="F1591" s="119"/>
      <c r="G1591" s="38"/>
      <c r="H1591" s="42"/>
      <c r="I1591" s="42"/>
      <c r="J1591" s="43"/>
      <c r="K1591" s="34"/>
      <c r="L1591" s="127"/>
      <c r="M1591" s="34"/>
      <c r="N1591" s="50"/>
      <c r="O1591" s="50"/>
      <c r="P1591" s="50"/>
      <c r="Q1591" s="121"/>
      <c r="R1591" s="121"/>
      <c r="S1591" s="121"/>
      <c r="T1591" s="34"/>
      <c r="U1591" s="35"/>
      <c r="V1591" s="37"/>
      <c r="W1591" s="35"/>
      <c r="X1591" s="122"/>
      <c r="AE1591" s="3"/>
    </row>
    <row r="1592" spans="1:31">
      <c r="A1592" s="39"/>
      <c r="B1592" s="118"/>
      <c r="C1592" s="119"/>
      <c r="D1592" s="119"/>
      <c r="E1592" s="120"/>
      <c r="F1592" s="119"/>
      <c r="G1592" s="38"/>
      <c r="H1592" s="42"/>
      <c r="I1592" s="42"/>
      <c r="J1592" s="43"/>
      <c r="K1592" s="34"/>
      <c r="L1592" s="127"/>
      <c r="M1592" s="34"/>
      <c r="N1592" s="50"/>
      <c r="O1592" s="50"/>
      <c r="P1592" s="50"/>
      <c r="Q1592" s="121"/>
      <c r="R1592" s="121"/>
      <c r="S1592" s="121"/>
      <c r="T1592" s="34"/>
      <c r="U1592" s="35"/>
      <c r="V1592" s="37"/>
      <c r="W1592" s="35"/>
      <c r="X1592" s="122"/>
      <c r="AE1592" s="3"/>
    </row>
    <row r="1593" spans="1:31">
      <c r="A1593" s="39"/>
      <c r="B1593" s="118"/>
      <c r="C1593" s="119"/>
      <c r="D1593" s="119"/>
      <c r="E1593" s="120"/>
      <c r="F1593" s="119"/>
      <c r="G1593" s="38"/>
      <c r="H1593" s="42"/>
      <c r="I1593" s="42"/>
      <c r="J1593" s="43"/>
      <c r="K1593" s="34"/>
      <c r="L1593" s="127"/>
      <c r="M1593" s="34"/>
      <c r="N1593" s="50"/>
      <c r="O1593" s="50"/>
      <c r="P1593" s="50"/>
      <c r="Q1593" s="121"/>
      <c r="R1593" s="121"/>
      <c r="S1593" s="121"/>
      <c r="T1593" s="34"/>
      <c r="U1593" s="35"/>
      <c r="V1593" s="37"/>
      <c r="W1593" s="35"/>
      <c r="X1593" s="122"/>
      <c r="AE1593" s="3"/>
    </row>
    <row r="1594" spans="1:31">
      <c r="A1594" s="39"/>
      <c r="B1594" s="118"/>
      <c r="C1594" s="119"/>
      <c r="D1594" s="119"/>
      <c r="E1594" s="120"/>
      <c r="F1594" s="119"/>
      <c r="G1594" s="38"/>
      <c r="H1594" s="42"/>
      <c r="I1594" s="42"/>
      <c r="J1594" s="43"/>
      <c r="K1594" s="34"/>
      <c r="L1594" s="127"/>
      <c r="M1594" s="34"/>
      <c r="N1594" s="50"/>
      <c r="O1594" s="50"/>
      <c r="P1594" s="50"/>
      <c r="Q1594" s="121"/>
      <c r="R1594" s="121"/>
      <c r="S1594" s="121"/>
      <c r="T1594" s="34"/>
      <c r="U1594" s="35"/>
      <c r="V1594" s="37"/>
      <c r="W1594" s="35"/>
      <c r="X1594" s="122"/>
      <c r="AE1594" s="3"/>
    </row>
    <row r="1595" spans="1:31">
      <c r="A1595" s="39"/>
      <c r="B1595" s="118"/>
      <c r="C1595" s="119"/>
      <c r="D1595" s="119"/>
      <c r="E1595" s="120"/>
      <c r="F1595" s="119"/>
      <c r="G1595" s="38"/>
      <c r="H1595" s="42"/>
      <c r="I1595" s="42"/>
      <c r="J1595" s="43"/>
      <c r="K1595" s="34"/>
      <c r="L1595" s="127"/>
      <c r="M1595" s="34"/>
      <c r="N1595" s="50"/>
      <c r="O1595" s="50"/>
      <c r="P1595" s="50"/>
      <c r="Q1595" s="121"/>
      <c r="R1595" s="121"/>
      <c r="S1595" s="121"/>
      <c r="T1595" s="34"/>
      <c r="U1595" s="35"/>
      <c r="V1595" s="37"/>
      <c r="W1595" s="35"/>
      <c r="X1595" s="122"/>
      <c r="AE1595" s="3"/>
    </row>
    <row r="1596" spans="1:31">
      <c r="A1596" s="39"/>
      <c r="B1596" s="118"/>
      <c r="C1596" s="119"/>
      <c r="D1596" s="119"/>
      <c r="E1596" s="120"/>
      <c r="F1596" s="119"/>
      <c r="G1596" s="38"/>
      <c r="H1596" s="42"/>
      <c r="I1596" s="42"/>
      <c r="J1596" s="43"/>
      <c r="K1596" s="34"/>
      <c r="L1596" s="127"/>
      <c r="M1596" s="34"/>
      <c r="N1596" s="50"/>
      <c r="O1596" s="50"/>
      <c r="P1596" s="50"/>
      <c r="Q1596" s="121"/>
      <c r="R1596" s="121"/>
      <c r="S1596" s="121"/>
      <c r="T1596" s="34"/>
      <c r="U1596" s="35"/>
      <c r="V1596" s="37"/>
      <c r="W1596" s="35"/>
      <c r="X1596" s="122"/>
      <c r="AE1596" s="3"/>
    </row>
    <row r="1597" spans="1:31">
      <c r="A1597" s="39"/>
      <c r="B1597" s="118"/>
      <c r="C1597" s="119"/>
      <c r="D1597" s="119"/>
      <c r="E1597" s="120"/>
      <c r="F1597" s="119"/>
      <c r="G1597" s="38"/>
      <c r="H1597" s="42"/>
      <c r="I1597" s="42"/>
      <c r="J1597" s="43"/>
      <c r="K1597" s="34"/>
      <c r="L1597" s="127"/>
      <c r="M1597" s="34"/>
      <c r="N1597" s="50"/>
      <c r="O1597" s="50"/>
      <c r="P1597" s="50"/>
      <c r="Q1597" s="121"/>
      <c r="R1597" s="121"/>
      <c r="S1597" s="121"/>
      <c r="T1597" s="34"/>
      <c r="U1597" s="35"/>
      <c r="V1597" s="37"/>
      <c r="W1597" s="35"/>
      <c r="X1597" s="122"/>
      <c r="AE1597" s="3"/>
    </row>
    <row r="1598" spans="1:31">
      <c r="A1598" s="39"/>
      <c r="B1598" s="118"/>
      <c r="C1598" s="119"/>
      <c r="D1598" s="119"/>
      <c r="E1598" s="120"/>
      <c r="F1598" s="119"/>
      <c r="G1598" s="38"/>
      <c r="H1598" s="42"/>
      <c r="I1598" s="42"/>
      <c r="J1598" s="43"/>
      <c r="K1598" s="34"/>
      <c r="L1598" s="127"/>
      <c r="M1598" s="34"/>
      <c r="N1598" s="50"/>
      <c r="O1598" s="50"/>
      <c r="P1598" s="50"/>
      <c r="Q1598" s="121"/>
      <c r="R1598" s="121"/>
      <c r="S1598" s="121"/>
      <c r="T1598" s="34"/>
      <c r="U1598" s="35"/>
      <c r="V1598" s="37"/>
      <c r="W1598" s="35"/>
      <c r="X1598" s="122"/>
      <c r="AE1598" s="3"/>
    </row>
    <row r="1599" spans="1:31">
      <c r="A1599" s="39"/>
      <c r="B1599" s="118"/>
      <c r="C1599" s="119"/>
      <c r="D1599" s="119"/>
      <c r="E1599" s="120"/>
      <c r="F1599" s="119"/>
      <c r="G1599" s="38"/>
      <c r="H1599" s="42"/>
      <c r="I1599" s="42"/>
      <c r="J1599" s="43"/>
      <c r="K1599" s="34"/>
      <c r="L1599" s="127"/>
      <c r="M1599" s="34"/>
      <c r="N1599" s="50"/>
      <c r="O1599" s="50"/>
      <c r="P1599" s="50"/>
      <c r="Q1599" s="121"/>
      <c r="R1599" s="121"/>
      <c r="S1599" s="121"/>
      <c r="T1599" s="34"/>
      <c r="U1599" s="35"/>
      <c r="V1599" s="37"/>
      <c r="W1599" s="35"/>
      <c r="X1599" s="122"/>
      <c r="AE1599" s="3"/>
    </row>
    <row r="1600" spans="1:31">
      <c r="A1600" s="39"/>
      <c r="B1600" s="118"/>
      <c r="C1600" s="119"/>
      <c r="D1600" s="119"/>
      <c r="E1600" s="120"/>
      <c r="F1600" s="119"/>
      <c r="G1600" s="38"/>
      <c r="H1600" s="42"/>
      <c r="I1600" s="42"/>
      <c r="J1600" s="43"/>
      <c r="K1600" s="34"/>
      <c r="L1600" s="127"/>
      <c r="M1600" s="34"/>
      <c r="N1600" s="50"/>
      <c r="O1600" s="50"/>
      <c r="P1600" s="50"/>
      <c r="Q1600" s="121"/>
      <c r="R1600" s="121"/>
      <c r="S1600" s="121"/>
      <c r="T1600" s="34"/>
      <c r="U1600" s="35"/>
      <c r="V1600" s="37"/>
      <c r="W1600" s="35"/>
      <c r="X1600" s="122"/>
      <c r="AE1600" s="3"/>
    </row>
    <row r="1601" spans="1:31">
      <c r="A1601" s="39"/>
      <c r="B1601" s="118"/>
      <c r="C1601" s="119"/>
      <c r="D1601" s="119"/>
      <c r="E1601" s="120"/>
      <c r="F1601" s="119"/>
      <c r="G1601" s="38"/>
      <c r="H1601" s="42"/>
      <c r="I1601" s="42"/>
      <c r="J1601" s="43"/>
      <c r="K1601" s="34"/>
      <c r="L1601" s="127"/>
      <c r="M1601" s="34"/>
      <c r="N1601" s="50"/>
      <c r="O1601" s="50"/>
      <c r="P1601" s="50"/>
      <c r="Q1601" s="121"/>
      <c r="R1601" s="121"/>
      <c r="S1601" s="121"/>
      <c r="T1601" s="34"/>
      <c r="U1601" s="35"/>
      <c r="V1601" s="37"/>
      <c r="W1601" s="35"/>
      <c r="X1601" s="122"/>
      <c r="AE1601" s="3"/>
    </row>
    <row r="1602" spans="1:31">
      <c r="A1602" s="39"/>
      <c r="B1602" s="118"/>
      <c r="C1602" s="119"/>
      <c r="D1602" s="119"/>
      <c r="E1602" s="120"/>
      <c r="F1602" s="119"/>
      <c r="G1602" s="38"/>
      <c r="H1602" s="42"/>
      <c r="I1602" s="42"/>
      <c r="J1602" s="43"/>
      <c r="K1602" s="34"/>
      <c r="L1602" s="127"/>
      <c r="M1602" s="34"/>
      <c r="N1602" s="50"/>
      <c r="O1602" s="50"/>
      <c r="P1602" s="50"/>
      <c r="Q1602" s="121"/>
      <c r="R1602" s="121"/>
      <c r="S1602" s="121"/>
      <c r="T1602" s="34"/>
      <c r="U1602" s="35"/>
      <c r="V1602" s="37"/>
      <c r="W1602" s="35"/>
      <c r="X1602" s="122"/>
      <c r="AE1602" s="3"/>
    </row>
    <row r="1603" spans="1:31">
      <c r="A1603" s="39"/>
      <c r="B1603" s="118"/>
      <c r="C1603" s="119"/>
      <c r="D1603" s="119"/>
      <c r="E1603" s="120"/>
      <c r="F1603" s="119"/>
      <c r="G1603" s="38"/>
      <c r="H1603" s="42"/>
      <c r="I1603" s="42"/>
      <c r="J1603" s="43"/>
      <c r="K1603" s="34"/>
      <c r="L1603" s="127"/>
      <c r="M1603" s="34"/>
      <c r="N1603" s="50"/>
      <c r="O1603" s="50"/>
      <c r="P1603" s="50"/>
      <c r="Q1603" s="121"/>
      <c r="R1603" s="121"/>
      <c r="S1603" s="121"/>
      <c r="T1603" s="34"/>
      <c r="U1603" s="35"/>
      <c r="V1603" s="37"/>
      <c r="W1603" s="35"/>
      <c r="X1603" s="122"/>
      <c r="AE1603" s="3"/>
    </row>
    <row r="1604" spans="1:31">
      <c r="A1604" s="39"/>
      <c r="B1604" s="118"/>
      <c r="C1604" s="119"/>
      <c r="D1604" s="119"/>
      <c r="E1604" s="120"/>
      <c r="F1604" s="119"/>
      <c r="G1604" s="38"/>
      <c r="H1604" s="42"/>
      <c r="I1604" s="42"/>
      <c r="J1604" s="43"/>
      <c r="K1604" s="34"/>
      <c r="L1604" s="127"/>
      <c r="M1604" s="34"/>
      <c r="N1604" s="50"/>
      <c r="O1604" s="50"/>
      <c r="P1604" s="50"/>
      <c r="Q1604" s="121"/>
      <c r="R1604" s="121"/>
      <c r="S1604" s="121"/>
      <c r="T1604" s="34"/>
      <c r="U1604" s="35"/>
      <c r="V1604" s="37"/>
      <c r="W1604" s="35"/>
      <c r="X1604" s="122"/>
      <c r="AE1604" s="3"/>
    </row>
    <row r="1605" spans="1:31">
      <c r="A1605" s="39"/>
      <c r="B1605" s="118"/>
      <c r="C1605" s="119"/>
      <c r="D1605" s="119"/>
      <c r="E1605" s="120"/>
      <c r="F1605" s="119"/>
      <c r="G1605" s="38"/>
      <c r="H1605" s="42"/>
      <c r="I1605" s="42"/>
      <c r="J1605" s="43"/>
      <c r="K1605" s="34"/>
      <c r="L1605" s="127"/>
      <c r="M1605" s="34"/>
      <c r="N1605" s="50"/>
      <c r="O1605" s="50"/>
      <c r="P1605" s="50"/>
      <c r="Q1605" s="121"/>
      <c r="R1605" s="121"/>
      <c r="S1605" s="121"/>
      <c r="T1605" s="34"/>
      <c r="U1605" s="35"/>
      <c r="V1605" s="37"/>
      <c r="W1605" s="35"/>
      <c r="X1605" s="122"/>
      <c r="AE1605" s="3"/>
    </row>
    <row r="1606" spans="1:31">
      <c r="A1606" s="39"/>
      <c r="B1606" s="118"/>
      <c r="C1606" s="119"/>
      <c r="D1606" s="119"/>
      <c r="E1606" s="120"/>
      <c r="F1606" s="119"/>
      <c r="G1606" s="38"/>
      <c r="H1606" s="42"/>
      <c r="I1606" s="42"/>
      <c r="J1606" s="43"/>
      <c r="K1606" s="34"/>
      <c r="L1606" s="127"/>
      <c r="M1606" s="34"/>
      <c r="N1606" s="50"/>
      <c r="O1606" s="50"/>
      <c r="P1606" s="50"/>
      <c r="Q1606" s="121"/>
      <c r="R1606" s="121"/>
      <c r="S1606" s="121"/>
      <c r="T1606" s="34"/>
      <c r="U1606" s="35"/>
      <c r="V1606" s="37"/>
      <c r="W1606" s="35"/>
      <c r="X1606" s="122"/>
      <c r="AE1606" s="3"/>
    </row>
    <row r="1607" spans="1:31">
      <c r="A1607" s="39"/>
      <c r="B1607" s="118"/>
      <c r="C1607" s="119"/>
      <c r="D1607" s="119"/>
      <c r="E1607" s="120"/>
      <c r="F1607" s="119"/>
      <c r="G1607" s="38"/>
      <c r="H1607" s="42"/>
      <c r="I1607" s="42"/>
      <c r="J1607" s="43"/>
      <c r="K1607" s="34"/>
      <c r="L1607" s="127"/>
      <c r="M1607" s="34"/>
      <c r="N1607" s="50"/>
      <c r="O1607" s="50"/>
      <c r="P1607" s="50"/>
      <c r="Q1607" s="121"/>
      <c r="R1607" s="121"/>
      <c r="S1607" s="121"/>
      <c r="T1607" s="34"/>
      <c r="U1607" s="35"/>
      <c r="V1607" s="37"/>
      <c r="W1607" s="35"/>
      <c r="X1607" s="122"/>
      <c r="AE1607" s="3"/>
    </row>
    <row r="1608" spans="1:31">
      <c r="A1608" s="39"/>
      <c r="B1608" s="118"/>
      <c r="C1608" s="119"/>
      <c r="D1608" s="119"/>
      <c r="E1608" s="120"/>
      <c r="F1608" s="119"/>
      <c r="G1608" s="38"/>
      <c r="H1608" s="42"/>
      <c r="I1608" s="42"/>
      <c r="J1608" s="43"/>
      <c r="K1608" s="34"/>
      <c r="L1608" s="127"/>
      <c r="M1608" s="34"/>
      <c r="N1608" s="50"/>
      <c r="O1608" s="50"/>
      <c r="P1608" s="50"/>
      <c r="Q1608" s="121"/>
      <c r="R1608" s="121"/>
      <c r="S1608" s="121"/>
      <c r="T1608" s="34"/>
      <c r="U1608" s="35"/>
      <c r="V1608" s="37"/>
      <c r="W1608" s="35"/>
      <c r="X1608" s="122"/>
      <c r="AE1608" s="3"/>
    </row>
    <row r="1609" spans="1:31">
      <c r="A1609" s="39"/>
      <c r="B1609" s="118"/>
      <c r="C1609" s="119"/>
      <c r="D1609" s="119"/>
      <c r="E1609" s="120"/>
      <c r="F1609" s="119"/>
      <c r="G1609" s="38"/>
      <c r="H1609" s="42"/>
      <c r="I1609" s="42"/>
      <c r="J1609" s="43"/>
      <c r="K1609" s="34"/>
      <c r="L1609" s="127"/>
      <c r="M1609" s="34"/>
      <c r="N1609" s="50"/>
      <c r="O1609" s="50"/>
      <c r="P1609" s="50"/>
      <c r="Q1609" s="121"/>
      <c r="R1609" s="121"/>
      <c r="S1609" s="121"/>
      <c r="T1609" s="34"/>
      <c r="U1609" s="35"/>
      <c r="V1609" s="37"/>
      <c r="W1609" s="35"/>
      <c r="X1609" s="122"/>
      <c r="AE1609" s="3"/>
    </row>
    <row r="1610" spans="1:31">
      <c r="A1610" s="39"/>
      <c r="B1610" s="118"/>
      <c r="C1610" s="119"/>
      <c r="D1610" s="119"/>
      <c r="E1610" s="120"/>
      <c r="F1610" s="119"/>
      <c r="G1610" s="38"/>
      <c r="H1610" s="42"/>
      <c r="I1610" s="42"/>
      <c r="J1610" s="43"/>
      <c r="K1610" s="34"/>
      <c r="L1610" s="127"/>
      <c r="M1610" s="34"/>
      <c r="N1610" s="50"/>
      <c r="O1610" s="50"/>
      <c r="P1610" s="50"/>
      <c r="Q1610" s="121"/>
      <c r="R1610" s="121"/>
      <c r="S1610" s="121"/>
      <c r="T1610" s="34"/>
      <c r="U1610" s="35"/>
      <c r="V1610" s="37"/>
      <c r="W1610" s="35"/>
      <c r="X1610" s="122"/>
      <c r="AE1610" s="3"/>
    </row>
    <row r="1611" spans="1:31">
      <c r="A1611" s="39"/>
      <c r="B1611" s="118"/>
      <c r="C1611" s="119"/>
      <c r="D1611" s="119"/>
      <c r="E1611" s="120"/>
      <c r="F1611" s="119"/>
      <c r="G1611" s="38"/>
      <c r="H1611" s="42"/>
      <c r="I1611" s="42"/>
      <c r="J1611" s="43"/>
      <c r="K1611" s="34"/>
      <c r="L1611" s="127"/>
      <c r="M1611" s="34"/>
      <c r="N1611" s="50"/>
      <c r="O1611" s="50"/>
      <c r="P1611" s="50"/>
      <c r="Q1611" s="121"/>
      <c r="R1611" s="121"/>
      <c r="S1611" s="121"/>
      <c r="T1611" s="34"/>
      <c r="U1611" s="35"/>
      <c r="V1611" s="37"/>
      <c r="W1611" s="35"/>
      <c r="X1611" s="122"/>
      <c r="AE1611" s="3"/>
    </row>
    <row r="1612" spans="1:31">
      <c r="A1612" s="39"/>
      <c r="B1612" s="118"/>
      <c r="C1612" s="119"/>
      <c r="D1612" s="119"/>
      <c r="E1612" s="120"/>
      <c r="F1612" s="119"/>
      <c r="G1612" s="38"/>
      <c r="H1612" s="42"/>
      <c r="I1612" s="42"/>
      <c r="J1612" s="43"/>
      <c r="K1612" s="34"/>
      <c r="L1612" s="127"/>
      <c r="M1612" s="34"/>
      <c r="N1612" s="50"/>
      <c r="O1612" s="50"/>
      <c r="P1612" s="50"/>
      <c r="Q1612" s="121"/>
      <c r="R1612" s="121"/>
      <c r="S1612" s="121"/>
      <c r="T1612" s="34"/>
      <c r="U1612" s="35"/>
      <c r="V1612" s="37"/>
      <c r="W1612" s="35"/>
      <c r="X1612" s="122"/>
      <c r="AE1612" s="3"/>
    </row>
    <row r="1613" spans="1:31">
      <c r="A1613" s="39"/>
      <c r="B1613" s="118"/>
      <c r="C1613" s="119"/>
      <c r="D1613" s="119"/>
      <c r="E1613" s="120"/>
      <c r="F1613" s="119"/>
      <c r="G1613" s="38"/>
      <c r="H1613" s="42"/>
      <c r="I1613" s="42"/>
      <c r="J1613" s="43"/>
      <c r="K1613" s="34"/>
      <c r="L1613" s="127"/>
      <c r="M1613" s="34"/>
      <c r="N1613" s="50"/>
      <c r="O1613" s="50"/>
      <c r="P1613" s="50"/>
      <c r="Q1613" s="121"/>
      <c r="R1613" s="121"/>
      <c r="S1613" s="121"/>
      <c r="T1613" s="34"/>
      <c r="U1613" s="35"/>
      <c r="V1613" s="37"/>
      <c r="W1613" s="35"/>
      <c r="X1613" s="122"/>
      <c r="AE1613" s="3"/>
    </row>
    <row r="1614" spans="1:31">
      <c r="A1614" s="39"/>
      <c r="B1614" s="118"/>
      <c r="C1614" s="119"/>
      <c r="D1614" s="119"/>
      <c r="E1614" s="120"/>
      <c r="F1614" s="119"/>
      <c r="G1614" s="38"/>
      <c r="H1614" s="42"/>
      <c r="I1614" s="42"/>
      <c r="J1614" s="43"/>
      <c r="K1614" s="34"/>
      <c r="L1614" s="127"/>
      <c r="M1614" s="34"/>
      <c r="N1614" s="50"/>
      <c r="O1614" s="50"/>
      <c r="P1614" s="50"/>
      <c r="Q1614" s="121"/>
      <c r="R1614" s="121"/>
      <c r="S1614" s="121"/>
      <c r="T1614" s="34"/>
      <c r="U1614" s="35"/>
      <c r="V1614" s="37"/>
      <c r="W1614" s="35"/>
      <c r="X1614" s="122"/>
      <c r="AE1614" s="3"/>
    </row>
    <row r="1615" spans="1:31">
      <c r="A1615" s="39"/>
      <c r="B1615" s="118"/>
      <c r="C1615" s="119"/>
      <c r="D1615" s="119"/>
      <c r="E1615" s="120"/>
      <c r="F1615" s="119"/>
      <c r="G1615" s="38"/>
      <c r="H1615" s="42"/>
      <c r="I1615" s="42"/>
      <c r="J1615" s="43"/>
      <c r="K1615" s="34"/>
      <c r="L1615" s="127"/>
      <c r="M1615" s="34"/>
      <c r="N1615" s="50"/>
      <c r="O1615" s="50"/>
      <c r="P1615" s="50"/>
      <c r="Q1615" s="121"/>
      <c r="R1615" s="121"/>
      <c r="S1615" s="121"/>
      <c r="T1615" s="34"/>
      <c r="U1615" s="35"/>
      <c r="V1615" s="37"/>
      <c r="W1615" s="35"/>
      <c r="X1615" s="122"/>
      <c r="AE1615" s="3"/>
    </row>
    <row r="1616" spans="1:31">
      <c r="A1616" s="39"/>
      <c r="B1616" s="118"/>
      <c r="C1616" s="119"/>
      <c r="D1616" s="119"/>
      <c r="E1616" s="120"/>
      <c r="F1616" s="119"/>
      <c r="G1616" s="38"/>
      <c r="H1616" s="42"/>
      <c r="I1616" s="42"/>
      <c r="J1616" s="43"/>
      <c r="K1616" s="34"/>
      <c r="L1616" s="127"/>
      <c r="M1616" s="34"/>
      <c r="N1616" s="50"/>
      <c r="O1616" s="50"/>
      <c r="P1616" s="50"/>
      <c r="Q1616" s="121"/>
      <c r="R1616" s="121"/>
      <c r="S1616" s="121"/>
      <c r="T1616" s="34"/>
      <c r="U1616" s="35"/>
      <c r="V1616" s="37"/>
      <c r="W1616" s="35"/>
      <c r="X1616" s="122"/>
      <c r="AE1616" s="3"/>
    </row>
    <row r="1617" spans="1:31">
      <c r="A1617" s="39"/>
      <c r="B1617" s="118"/>
      <c r="C1617" s="119"/>
      <c r="D1617" s="119"/>
      <c r="E1617" s="120"/>
      <c r="F1617" s="119"/>
      <c r="G1617" s="38"/>
      <c r="H1617" s="42"/>
      <c r="I1617" s="42"/>
      <c r="J1617" s="43"/>
      <c r="K1617" s="34"/>
      <c r="L1617" s="127"/>
      <c r="M1617" s="34"/>
      <c r="N1617" s="50"/>
      <c r="O1617" s="50"/>
      <c r="P1617" s="50"/>
      <c r="Q1617" s="121"/>
      <c r="R1617" s="121"/>
      <c r="S1617" s="121"/>
      <c r="T1617" s="34"/>
      <c r="U1617" s="35"/>
      <c r="V1617" s="37"/>
      <c r="W1617" s="35"/>
      <c r="X1617" s="122"/>
      <c r="AE1617" s="3"/>
    </row>
    <row r="1618" spans="1:31">
      <c r="A1618" s="39"/>
      <c r="B1618" s="118"/>
      <c r="C1618" s="119"/>
      <c r="D1618" s="119"/>
      <c r="E1618" s="120"/>
      <c r="F1618" s="119"/>
      <c r="G1618" s="38"/>
      <c r="H1618" s="42"/>
      <c r="I1618" s="42"/>
      <c r="J1618" s="43"/>
      <c r="K1618" s="34"/>
      <c r="L1618" s="127"/>
      <c r="M1618" s="34"/>
      <c r="N1618" s="50"/>
      <c r="O1618" s="50"/>
      <c r="P1618" s="50"/>
      <c r="Q1618" s="121"/>
      <c r="R1618" s="121"/>
      <c r="S1618" s="121"/>
      <c r="T1618" s="34"/>
      <c r="U1618" s="35"/>
      <c r="V1618" s="37"/>
      <c r="W1618" s="35"/>
      <c r="X1618" s="122"/>
      <c r="AE1618" s="3"/>
    </row>
    <row r="1619" spans="1:31">
      <c r="A1619" s="39"/>
      <c r="B1619" s="118"/>
      <c r="C1619" s="119"/>
      <c r="D1619" s="119"/>
      <c r="E1619" s="120"/>
      <c r="F1619" s="119"/>
      <c r="G1619" s="38"/>
      <c r="H1619" s="42"/>
      <c r="I1619" s="42"/>
      <c r="J1619" s="43"/>
      <c r="K1619" s="34"/>
      <c r="L1619" s="127"/>
      <c r="M1619" s="34"/>
      <c r="N1619" s="50"/>
      <c r="O1619" s="50"/>
      <c r="P1619" s="50"/>
      <c r="Q1619" s="121"/>
      <c r="R1619" s="121"/>
      <c r="S1619" s="121"/>
      <c r="T1619" s="34"/>
      <c r="U1619" s="35"/>
      <c r="V1619" s="37"/>
      <c r="W1619" s="35"/>
      <c r="X1619" s="122"/>
      <c r="AE1619" s="3"/>
    </row>
    <row r="1620" spans="1:31">
      <c r="A1620" s="39"/>
      <c r="B1620" s="118"/>
      <c r="C1620" s="119"/>
      <c r="D1620" s="119"/>
      <c r="E1620" s="120"/>
      <c r="F1620" s="119"/>
      <c r="G1620" s="38"/>
      <c r="H1620" s="42"/>
      <c r="I1620" s="42"/>
      <c r="J1620" s="43"/>
      <c r="K1620" s="34"/>
      <c r="L1620" s="127"/>
      <c r="M1620" s="34"/>
      <c r="N1620" s="50"/>
      <c r="O1620" s="50"/>
      <c r="P1620" s="50"/>
      <c r="Q1620" s="121"/>
      <c r="R1620" s="121"/>
      <c r="S1620" s="121"/>
      <c r="T1620" s="34"/>
      <c r="U1620" s="35"/>
      <c r="V1620" s="37"/>
      <c r="W1620" s="35"/>
      <c r="X1620" s="122"/>
      <c r="AE1620" s="3"/>
    </row>
    <row r="1621" spans="1:31">
      <c r="A1621" s="39"/>
      <c r="B1621" s="118"/>
      <c r="C1621" s="119"/>
      <c r="D1621" s="119"/>
      <c r="E1621" s="120"/>
      <c r="F1621" s="119"/>
      <c r="G1621" s="38"/>
      <c r="H1621" s="42"/>
      <c r="I1621" s="42"/>
      <c r="J1621" s="43"/>
      <c r="K1621" s="34"/>
      <c r="L1621" s="127"/>
      <c r="M1621" s="34"/>
      <c r="N1621" s="50"/>
      <c r="O1621" s="50"/>
      <c r="P1621" s="50"/>
      <c r="Q1621" s="121"/>
      <c r="R1621" s="121"/>
      <c r="S1621" s="121"/>
      <c r="T1621" s="34"/>
      <c r="U1621" s="35"/>
      <c r="V1621" s="37"/>
      <c r="W1621" s="35"/>
      <c r="X1621" s="122"/>
      <c r="AE1621" s="3"/>
    </row>
    <row r="1622" spans="1:31">
      <c r="A1622" s="39"/>
      <c r="B1622" s="118"/>
      <c r="C1622" s="119"/>
      <c r="D1622" s="119"/>
      <c r="E1622" s="120"/>
      <c r="F1622" s="119"/>
      <c r="G1622" s="38"/>
      <c r="H1622" s="42"/>
      <c r="I1622" s="42"/>
      <c r="J1622" s="43"/>
      <c r="K1622" s="34"/>
      <c r="L1622" s="127"/>
      <c r="M1622" s="34"/>
      <c r="N1622" s="50"/>
      <c r="O1622" s="50"/>
      <c r="P1622" s="50"/>
      <c r="Q1622" s="121"/>
      <c r="R1622" s="121"/>
      <c r="S1622" s="121"/>
      <c r="T1622" s="34"/>
      <c r="U1622" s="35"/>
      <c r="V1622" s="37"/>
      <c r="W1622" s="35"/>
      <c r="X1622" s="122"/>
      <c r="AE1622" s="3"/>
    </row>
    <row r="1623" spans="1:31">
      <c r="A1623" s="39"/>
      <c r="B1623" s="118"/>
      <c r="C1623" s="119"/>
      <c r="D1623" s="119"/>
      <c r="E1623" s="120"/>
      <c r="F1623" s="119"/>
      <c r="G1623" s="38"/>
      <c r="H1623" s="42"/>
      <c r="I1623" s="42"/>
      <c r="J1623" s="43"/>
      <c r="K1623" s="34"/>
      <c r="L1623" s="127"/>
      <c r="M1623" s="34"/>
      <c r="N1623" s="50"/>
      <c r="O1623" s="50"/>
      <c r="P1623" s="50"/>
      <c r="Q1623" s="121"/>
      <c r="R1623" s="121"/>
      <c r="S1623" s="121"/>
      <c r="T1623" s="34"/>
      <c r="U1623" s="35"/>
      <c r="V1623" s="37"/>
      <c r="W1623" s="35"/>
      <c r="X1623" s="122"/>
      <c r="AE1623" s="3"/>
    </row>
    <row r="1624" spans="1:31">
      <c r="A1624" s="39"/>
      <c r="B1624" s="118"/>
      <c r="C1624" s="119"/>
      <c r="D1624" s="119"/>
      <c r="E1624" s="120"/>
      <c r="F1624" s="119"/>
      <c r="G1624" s="38"/>
      <c r="H1624" s="42"/>
      <c r="I1624" s="42"/>
      <c r="J1624" s="43"/>
      <c r="K1624" s="34"/>
      <c r="L1624" s="127"/>
      <c r="M1624" s="34"/>
      <c r="N1624" s="50"/>
      <c r="O1624" s="50"/>
      <c r="P1624" s="50"/>
      <c r="Q1624" s="121"/>
      <c r="R1624" s="121"/>
      <c r="S1624" s="121"/>
      <c r="T1624" s="34"/>
      <c r="U1624" s="35"/>
      <c r="V1624" s="37"/>
      <c r="W1624" s="35"/>
      <c r="X1624" s="122"/>
      <c r="AE1624" s="3"/>
    </row>
    <row r="1625" spans="1:31">
      <c r="A1625" s="39"/>
      <c r="B1625" s="118"/>
      <c r="C1625" s="119"/>
      <c r="D1625" s="119"/>
      <c r="E1625" s="120"/>
      <c r="F1625" s="119"/>
      <c r="G1625" s="38"/>
      <c r="H1625" s="42"/>
      <c r="I1625" s="42"/>
      <c r="J1625" s="43"/>
      <c r="K1625" s="34"/>
      <c r="L1625" s="127"/>
      <c r="M1625" s="34"/>
      <c r="N1625" s="50"/>
      <c r="O1625" s="50"/>
      <c r="P1625" s="50"/>
      <c r="Q1625" s="121"/>
      <c r="R1625" s="121"/>
      <c r="S1625" s="121"/>
      <c r="T1625" s="34"/>
      <c r="U1625" s="35"/>
      <c r="V1625" s="37"/>
      <c r="W1625" s="35"/>
      <c r="X1625" s="122"/>
      <c r="AE1625" s="3"/>
    </row>
    <row r="1626" spans="1:31">
      <c r="A1626" s="39"/>
      <c r="B1626" s="118"/>
      <c r="C1626" s="119"/>
      <c r="D1626" s="119"/>
      <c r="E1626" s="120"/>
      <c r="F1626" s="119"/>
      <c r="G1626" s="38"/>
      <c r="H1626" s="42"/>
      <c r="I1626" s="42"/>
      <c r="J1626" s="43"/>
      <c r="K1626" s="34"/>
      <c r="L1626" s="127"/>
      <c r="M1626" s="34"/>
      <c r="N1626" s="50"/>
      <c r="O1626" s="50"/>
      <c r="P1626" s="50"/>
      <c r="Q1626" s="121"/>
      <c r="R1626" s="121"/>
      <c r="S1626" s="121"/>
      <c r="T1626" s="34"/>
      <c r="U1626" s="35"/>
      <c r="V1626" s="37"/>
      <c r="W1626" s="35"/>
      <c r="X1626" s="122"/>
      <c r="AE1626" s="3"/>
    </row>
    <row r="1627" spans="1:31">
      <c r="A1627" s="39"/>
      <c r="B1627" s="118"/>
      <c r="C1627" s="119"/>
      <c r="D1627" s="119"/>
      <c r="E1627" s="120"/>
      <c r="F1627" s="119"/>
      <c r="G1627" s="38"/>
      <c r="H1627" s="42"/>
      <c r="I1627" s="42"/>
      <c r="J1627" s="43"/>
      <c r="K1627" s="34"/>
      <c r="L1627" s="127"/>
      <c r="M1627" s="34"/>
      <c r="N1627" s="50"/>
      <c r="O1627" s="50"/>
      <c r="P1627" s="50"/>
      <c r="Q1627" s="121"/>
      <c r="R1627" s="121"/>
      <c r="S1627" s="121"/>
      <c r="T1627" s="34"/>
      <c r="U1627" s="35"/>
      <c r="V1627" s="37"/>
      <c r="W1627" s="35"/>
      <c r="X1627" s="122"/>
      <c r="AE1627" s="3"/>
    </row>
    <row r="1628" spans="1:31">
      <c r="A1628" s="39"/>
      <c r="B1628" s="118"/>
      <c r="C1628" s="119"/>
      <c r="D1628" s="119"/>
      <c r="E1628" s="120"/>
      <c r="F1628" s="119"/>
      <c r="G1628" s="38"/>
      <c r="H1628" s="42"/>
      <c r="I1628" s="42"/>
      <c r="J1628" s="43"/>
      <c r="K1628" s="34"/>
      <c r="L1628" s="127"/>
      <c r="M1628" s="34"/>
      <c r="N1628" s="50"/>
      <c r="O1628" s="50"/>
      <c r="P1628" s="50"/>
      <c r="Q1628" s="121"/>
      <c r="R1628" s="121"/>
      <c r="S1628" s="121"/>
      <c r="T1628" s="34"/>
      <c r="U1628" s="35"/>
      <c r="V1628" s="37"/>
      <c r="W1628" s="35"/>
      <c r="X1628" s="122"/>
      <c r="AE1628" s="3"/>
    </row>
    <row r="1629" spans="1:31">
      <c r="A1629" s="39"/>
      <c r="B1629" s="118"/>
      <c r="C1629" s="119"/>
      <c r="D1629" s="119"/>
      <c r="E1629" s="120"/>
      <c r="F1629" s="119"/>
      <c r="G1629" s="38"/>
      <c r="H1629" s="42"/>
      <c r="I1629" s="42"/>
      <c r="J1629" s="43"/>
      <c r="K1629" s="34"/>
      <c r="L1629" s="127"/>
      <c r="M1629" s="34"/>
      <c r="N1629" s="50"/>
      <c r="O1629" s="50"/>
      <c r="P1629" s="50"/>
      <c r="Q1629" s="121"/>
      <c r="R1629" s="121"/>
      <c r="S1629" s="121"/>
      <c r="T1629" s="34"/>
      <c r="U1629" s="35"/>
      <c r="V1629" s="37"/>
      <c r="W1629" s="35"/>
      <c r="X1629" s="122"/>
      <c r="AE1629" s="3"/>
    </row>
    <row r="1630" spans="1:31">
      <c r="A1630" s="39"/>
      <c r="B1630" s="118"/>
      <c r="C1630" s="119"/>
      <c r="D1630" s="119"/>
      <c r="E1630" s="120"/>
      <c r="F1630" s="119"/>
      <c r="G1630" s="38"/>
      <c r="H1630" s="42"/>
      <c r="I1630" s="42"/>
      <c r="J1630" s="43"/>
      <c r="K1630" s="34"/>
      <c r="L1630" s="127"/>
      <c r="M1630" s="34"/>
      <c r="N1630" s="50"/>
      <c r="O1630" s="50"/>
      <c r="P1630" s="50"/>
      <c r="Q1630" s="121"/>
      <c r="R1630" s="121"/>
      <c r="S1630" s="121"/>
      <c r="T1630" s="34"/>
      <c r="U1630" s="35"/>
      <c r="V1630" s="37"/>
      <c r="W1630" s="35"/>
      <c r="X1630" s="122"/>
      <c r="AE1630" s="3"/>
    </row>
    <row r="1631" spans="1:31">
      <c r="A1631" s="39"/>
      <c r="B1631" s="118"/>
      <c r="C1631" s="119"/>
      <c r="D1631" s="119"/>
      <c r="E1631" s="120"/>
      <c r="F1631" s="119"/>
      <c r="G1631" s="38"/>
      <c r="H1631" s="42"/>
      <c r="I1631" s="42"/>
      <c r="J1631" s="43"/>
      <c r="K1631" s="34"/>
      <c r="L1631" s="127"/>
      <c r="M1631" s="34"/>
      <c r="N1631" s="50"/>
      <c r="O1631" s="50"/>
      <c r="P1631" s="50"/>
      <c r="Q1631" s="121"/>
      <c r="R1631" s="121"/>
      <c r="S1631" s="121"/>
      <c r="T1631" s="34"/>
      <c r="U1631" s="35"/>
      <c r="V1631" s="37"/>
      <c r="W1631" s="35"/>
      <c r="X1631" s="122"/>
      <c r="AE1631" s="3"/>
    </row>
    <row r="1632" spans="1:31">
      <c r="A1632" s="39"/>
      <c r="B1632" s="118"/>
      <c r="C1632" s="119"/>
      <c r="D1632" s="119"/>
      <c r="E1632" s="120"/>
      <c r="F1632" s="119"/>
      <c r="G1632" s="38"/>
      <c r="H1632" s="42"/>
      <c r="I1632" s="42"/>
      <c r="J1632" s="43"/>
      <c r="K1632" s="34"/>
      <c r="L1632" s="127"/>
      <c r="M1632" s="34"/>
      <c r="N1632" s="50"/>
      <c r="O1632" s="50"/>
      <c r="P1632" s="50"/>
      <c r="Q1632" s="121"/>
      <c r="R1632" s="121"/>
      <c r="S1632" s="121"/>
      <c r="T1632" s="34"/>
      <c r="U1632" s="35"/>
      <c r="V1632" s="37"/>
      <c r="W1632" s="35"/>
      <c r="X1632" s="122"/>
      <c r="AE1632" s="3"/>
    </row>
    <row r="1633" spans="1:31">
      <c r="A1633" s="39"/>
      <c r="B1633" s="118"/>
      <c r="C1633" s="119"/>
      <c r="D1633" s="119"/>
      <c r="E1633" s="120"/>
      <c r="F1633" s="119"/>
      <c r="G1633" s="38"/>
      <c r="H1633" s="42"/>
      <c r="I1633" s="42"/>
      <c r="J1633" s="43"/>
      <c r="K1633" s="34"/>
      <c r="L1633" s="127"/>
      <c r="M1633" s="34"/>
      <c r="N1633" s="50"/>
      <c r="O1633" s="50"/>
      <c r="P1633" s="50"/>
      <c r="Q1633" s="121"/>
      <c r="R1633" s="121"/>
      <c r="S1633" s="121"/>
      <c r="T1633" s="34"/>
      <c r="U1633" s="35"/>
      <c r="V1633" s="37"/>
      <c r="W1633" s="35"/>
      <c r="X1633" s="122"/>
      <c r="AE1633" s="3"/>
    </row>
    <row r="1634" spans="1:31">
      <c r="A1634" s="39"/>
      <c r="B1634" s="118"/>
      <c r="C1634" s="119"/>
      <c r="D1634" s="119"/>
      <c r="E1634" s="120"/>
      <c r="F1634" s="119"/>
      <c r="G1634" s="38"/>
      <c r="H1634" s="42"/>
      <c r="I1634" s="42"/>
      <c r="J1634" s="43"/>
      <c r="K1634" s="34"/>
      <c r="L1634" s="127"/>
      <c r="M1634" s="34"/>
      <c r="N1634" s="50"/>
      <c r="O1634" s="50"/>
      <c r="P1634" s="50"/>
      <c r="Q1634" s="121"/>
      <c r="R1634" s="121"/>
      <c r="S1634" s="121"/>
      <c r="T1634" s="34"/>
      <c r="U1634" s="35"/>
      <c r="V1634" s="37"/>
      <c r="W1634" s="35"/>
      <c r="X1634" s="122"/>
      <c r="AE1634" s="3"/>
    </row>
    <row r="1635" spans="1:31">
      <c r="A1635" s="39"/>
      <c r="B1635" s="118"/>
      <c r="C1635" s="119"/>
      <c r="D1635" s="119"/>
      <c r="E1635" s="120"/>
      <c r="F1635" s="119"/>
      <c r="G1635" s="38"/>
      <c r="H1635" s="42"/>
      <c r="I1635" s="42"/>
      <c r="J1635" s="43"/>
      <c r="K1635" s="34"/>
      <c r="L1635" s="127"/>
      <c r="M1635" s="34"/>
      <c r="N1635" s="50"/>
      <c r="O1635" s="50"/>
      <c r="P1635" s="50"/>
      <c r="Q1635" s="121"/>
      <c r="R1635" s="121"/>
      <c r="S1635" s="121"/>
      <c r="T1635" s="34"/>
      <c r="U1635" s="35"/>
      <c r="V1635" s="37"/>
      <c r="W1635" s="35"/>
      <c r="X1635" s="122"/>
      <c r="AE1635" s="3"/>
    </row>
    <row r="1636" spans="1:31">
      <c r="A1636" s="39"/>
      <c r="B1636" s="118"/>
      <c r="C1636" s="119"/>
      <c r="D1636" s="119"/>
      <c r="E1636" s="120"/>
      <c r="F1636" s="119"/>
      <c r="G1636" s="38"/>
      <c r="H1636" s="42"/>
      <c r="I1636" s="42"/>
      <c r="J1636" s="43"/>
      <c r="K1636" s="34"/>
      <c r="L1636" s="127"/>
      <c r="M1636" s="34"/>
      <c r="N1636" s="50"/>
      <c r="O1636" s="50"/>
      <c r="P1636" s="50"/>
      <c r="Q1636" s="121"/>
      <c r="R1636" s="121"/>
      <c r="S1636" s="121"/>
      <c r="T1636" s="34"/>
      <c r="U1636" s="35"/>
      <c r="V1636" s="37"/>
      <c r="W1636" s="35"/>
      <c r="X1636" s="122"/>
      <c r="AE1636" s="3"/>
    </row>
    <row r="1637" spans="1:31">
      <c r="A1637" s="39"/>
      <c r="B1637" s="118"/>
      <c r="C1637" s="119"/>
      <c r="D1637" s="119"/>
      <c r="E1637" s="120"/>
      <c r="F1637" s="119"/>
      <c r="G1637" s="38"/>
      <c r="H1637" s="42"/>
      <c r="I1637" s="42"/>
      <c r="J1637" s="43"/>
      <c r="K1637" s="34"/>
      <c r="L1637" s="127"/>
      <c r="M1637" s="34"/>
      <c r="N1637" s="50"/>
      <c r="O1637" s="50"/>
      <c r="P1637" s="50"/>
      <c r="Q1637" s="121"/>
      <c r="R1637" s="121"/>
      <c r="S1637" s="121"/>
      <c r="T1637" s="34"/>
      <c r="U1637" s="35"/>
      <c r="V1637" s="37"/>
      <c r="W1637" s="35"/>
      <c r="X1637" s="122"/>
      <c r="AE1637" s="3"/>
    </row>
    <row r="1638" spans="1:31">
      <c r="A1638" s="39"/>
      <c r="B1638" s="118"/>
      <c r="C1638" s="119"/>
      <c r="D1638" s="119"/>
      <c r="E1638" s="120"/>
      <c r="F1638" s="119"/>
      <c r="G1638" s="38"/>
      <c r="H1638" s="42"/>
      <c r="I1638" s="42"/>
      <c r="J1638" s="43"/>
      <c r="K1638" s="34"/>
      <c r="L1638" s="127"/>
      <c r="M1638" s="34"/>
      <c r="N1638" s="50"/>
      <c r="O1638" s="50"/>
      <c r="P1638" s="50"/>
      <c r="Q1638" s="121"/>
      <c r="R1638" s="121"/>
      <c r="S1638" s="121"/>
      <c r="T1638" s="34"/>
      <c r="U1638" s="35"/>
      <c r="V1638" s="37"/>
      <c r="W1638" s="35"/>
      <c r="X1638" s="122"/>
      <c r="AE1638" s="3"/>
    </row>
    <row r="1639" spans="1:31">
      <c r="A1639" s="39"/>
      <c r="B1639" s="118"/>
      <c r="C1639" s="119"/>
      <c r="D1639" s="119"/>
      <c r="E1639" s="120"/>
      <c r="F1639" s="119"/>
      <c r="G1639" s="38"/>
      <c r="H1639" s="42"/>
      <c r="I1639" s="42"/>
      <c r="J1639" s="43"/>
      <c r="K1639" s="34"/>
      <c r="L1639" s="127"/>
      <c r="M1639" s="34"/>
      <c r="N1639" s="50"/>
      <c r="O1639" s="50"/>
      <c r="P1639" s="50"/>
      <c r="Q1639" s="121"/>
      <c r="R1639" s="121"/>
      <c r="S1639" s="121"/>
      <c r="T1639" s="34"/>
      <c r="U1639" s="35"/>
      <c r="V1639" s="37"/>
      <c r="W1639" s="35"/>
      <c r="X1639" s="122"/>
      <c r="AE1639" s="3"/>
    </row>
    <row r="1640" spans="1:31">
      <c r="A1640" s="39"/>
      <c r="B1640" s="118"/>
      <c r="C1640" s="119"/>
      <c r="D1640" s="119"/>
      <c r="E1640" s="120"/>
      <c r="F1640" s="119"/>
      <c r="G1640" s="38"/>
      <c r="H1640" s="42"/>
      <c r="I1640" s="42"/>
      <c r="J1640" s="43"/>
      <c r="K1640" s="34"/>
      <c r="L1640" s="127"/>
      <c r="M1640" s="34"/>
      <c r="N1640" s="50"/>
      <c r="O1640" s="50"/>
      <c r="P1640" s="50"/>
      <c r="Q1640" s="121"/>
      <c r="R1640" s="121"/>
      <c r="S1640" s="121"/>
      <c r="T1640" s="34"/>
      <c r="U1640" s="35"/>
      <c r="V1640" s="37"/>
      <c r="W1640" s="35"/>
      <c r="X1640" s="122"/>
      <c r="AE1640" s="3"/>
    </row>
    <row r="1641" spans="1:31">
      <c r="A1641" s="39"/>
      <c r="B1641" s="118"/>
      <c r="C1641" s="119"/>
      <c r="D1641" s="119"/>
      <c r="E1641" s="120"/>
      <c r="F1641" s="119"/>
      <c r="G1641" s="38"/>
      <c r="H1641" s="42"/>
      <c r="I1641" s="42"/>
      <c r="J1641" s="43"/>
      <c r="K1641" s="34"/>
      <c r="L1641" s="127"/>
      <c r="M1641" s="34"/>
      <c r="N1641" s="50"/>
      <c r="O1641" s="50"/>
      <c r="P1641" s="50"/>
      <c r="Q1641" s="121"/>
      <c r="R1641" s="121"/>
      <c r="S1641" s="121"/>
      <c r="T1641" s="34"/>
      <c r="U1641" s="35"/>
      <c r="V1641" s="37"/>
      <c r="W1641" s="35"/>
      <c r="X1641" s="122"/>
      <c r="AE1641" s="3"/>
    </row>
    <row r="1642" spans="1:31">
      <c r="A1642" s="39"/>
      <c r="B1642" s="118"/>
      <c r="C1642" s="119"/>
      <c r="D1642" s="119"/>
      <c r="E1642" s="120"/>
      <c r="F1642" s="119"/>
      <c r="G1642" s="38"/>
      <c r="H1642" s="42"/>
      <c r="I1642" s="42"/>
      <c r="J1642" s="43"/>
      <c r="K1642" s="34"/>
      <c r="L1642" s="127"/>
      <c r="M1642" s="34"/>
      <c r="N1642" s="50"/>
      <c r="O1642" s="50"/>
      <c r="P1642" s="50"/>
      <c r="Q1642" s="121"/>
      <c r="R1642" s="121"/>
      <c r="S1642" s="121"/>
      <c r="T1642" s="34"/>
      <c r="U1642" s="35"/>
      <c r="V1642" s="37"/>
      <c r="W1642" s="35"/>
      <c r="X1642" s="122"/>
      <c r="AE1642" s="3"/>
    </row>
    <row r="1643" spans="1:31">
      <c r="A1643" s="39"/>
      <c r="B1643" s="118"/>
      <c r="C1643" s="119"/>
      <c r="D1643" s="119"/>
      <c r="E1643" s="120"/>
      <c r="F1643" s="119"/>
      <c r="G1643" s="38"/>
      <c r="H1643" s="42"/>
      <c r="I1643" s="42"/>
      <c r="J1643" s="43"/>
      <c r="K1643" s="34"/>
      <c r="L1643" s="127"/>
      <c r="M1643" s="34"/>
      <c r="N1643" s="50"/>
      <c r="O1643" s="50"/>
      <c r="P1643" s="50"/>
      <c r="Q1643" s="121"/>
      <c r="R1643" s="121"/>
      <c r="S1643" s="121"/>
      <c r="T1643" s="34"/>
      <c r="U1643" s="35"/>
      <c r="V1643" s="37"/>
      <c r="W1643" s="35"/>
      <c r="X1643" s="122"/>
      <c r="AE1643" s="3"/>
    </row>
    <row r="1644" spans="1:31">
      <c r="A1644" s="39"/>
      <c r="B1644" s="118"/>
      <c r="C1644" s="119"/>
      <c r="D1644" s="119"/>
      <c r="E1644" s="120"/>
      <c r="F1644" s="119"/>
      <c r="G1644" s="38"/>
      <c r="H1644" s="42"/>
      <c r="I1644" s="42"/>
      <c r="J1644" s="43"/>
      <c r="K1644" s="34"/>
      <c r="L1644" s="127"/>
      <c r="M1644" s="34"/>
      <c r="N1644" s="50"/>
      <c r="O1644" s="50"/>
      <c r="P1644" s="50"/>
      <c r="Q1644" s="121"/>
      <c r="R1644" s="121"/>
      <c r="S1644" s="121"/>
      <c r="T1644" s="34"/>
      <c r="U1644" s="35"/>
      <c r="V1644" s="37"/>
      <c r="W1644" s="35"/>
      <c r="X1644" s="122"/>
      <c r="AE1644" s="3"/>
    </row>
    <row r="1645" spans="1:31">
      <c r="A1645" s="39"/>
      <c r="B1645" s="118"/>
      <c r="C1645" s="119"/>
      <c r="D1645" s="119"/>
      <c r="E1645" s="120"/>
      <c r="F1645" s="119"/>
      <c r="G1645" s="38"/>
      <c r="H1645" s="42"/>
      <c r="I1645" s="42"/>
      <c r="J1645" s="43"/>
      <c r="K1645" s="34"/>
      <c r="L1645" s="127"/>
      <c r="M1645" s="34"/>
      <c r="N1645" s="50"/>
      <c r="O1645" s="50"/>
      <c r="P1645" s="50"/>
      <c r="Q1645" s="121"/>
      <c r="R1645" s="121"/>
      <c r="S1645" s="121"/>
      <c r="T1645" s="34"/>
      <c r="U1645" s="35"/>
      <c r="V1645" s="37"/>
      <c r="W1645" s="35"/>
      <c r="X1645" s="122"/>
      <c r="AE1645" s="3"/>
    </row>
    <row r="1646" spans="1:31">
      <c r="A1646" s="39"/>
      <c r="B1646" s="118"/>
      <c r="C1646" s="119"/>
      <c r="D1646" s="119"/>
      <c r="E1646" s="120"/>
      <c r="F1646" s="119"/>
      <c r="G1646" s="38"/>
      <c r="H1646" s="42"/>
      <c r="I1646" s="42"/>
      <c r="J1646" s="43"/>
      <c r="K1646" s="34"/>
      <c r="L1646" s="127"/>
      <c r="M1646" s="34"/>
      <c r="N1646" s="50"/>
      <c r="O1646" s="50"/>
      <c r="P1646" s="50"/>
      <c r="Q1646" s="121"/>
      <c r="R1646" s="121"/>
      <c r="S1646" s="121"/>
      <c r="T1646" s="34"/>
      <c r="U1646" s="35"/>
      <c r="V1646" s="37"/>
      <c r="W1646" s="35"/>
      <c r="X1646" s="122"/>
      <c r="AE1646" s="3"/>
    </row>
    <row r="1647" spans="1:31">
      <c r="A1647" s="39"/>
      <c r="B1647" s="118"/>
      <c r="C1647" s="119"/>
      <c r="D1647" s="119"/>
      <c r="E1647" s="120"/>
      <c r="F1647" s="119"/>
      <c r="G1647" s="38"/>
      <c r="H1647" s="42"/>
      <c r="I1647" s="42"/>
      <c r="J1647" s="43"/>
      <c r="K1647" s="34"/>
      <c r="L1647" s="127"/>
      <c r="M1647" s="34"/>
      <c r="N1647" s="50"/>
      <c r="O1647" s="50"/>
      <c r="P1647" s="50"/>
      <c r="Q1647" s="121"/>
      <c r="R1647" s="121"/>
      <c r="S1647" s="121"/>
      <c r="T1647" s="34"/>
      <c r="U1647" s="35"/>
      <c r="V1647" s="37"/>
      <c r="W1647" s="35"/>
      <c r="X1647" s="122"/>
      <c r="AE1647" s="3"/>
    </row>
    <row r="1648" spans="1:31">
      <c r="A1648" s="39"/>
      <c r="B1648" s="118"/>
      <c r="C1648" s="119"/>
      <c r="D1648" s="119"/>
      <c r="E1648" s="120"/>
      <c r="F1648" s="119"/>
      <c r="G1648" s="38"/>
      <c r="H1648" s="42"/>
      <c r="I1648" s="42"/>
      <c r="J1648" s="43"/>
      <c r="K1648" s="34"/>
      <c r="L1648" s="127"/>
      <c r="M1648" s="34"/>
      <c r="N1648" s="50"/>
      <c r="O1648" s="50"/>
      <c r="P1648" s="50"/>
      <c r="Q1648" s="121"/>
      <c r="R1648" s="121"/>
      <c r="S1648" s="121"/>
      <c r="T1648" s="34"/>
      <c r="U1648" s="35"/>
      <c r="V1648" s="37"/>
      <c r="W1648" s="35"/>
      <c r="X1648" s="122"/>
      <c r="AE1648" s="3"/>
    </row>
    <row r="1649" spans="1:31">
      <c r="A1649" s="39"/>
      <c r="B1649" s="118"/>
      <c r="C1649" s="119"/>
      <c r="D1649" s="119"/>
      <c r="E1649" s="120"/>
      <c r="F1649" s="119"/>
      <c r="G1649" s="38"/>
      <c r="H1649" s="42"/>
      <c r="I1649" s="42"/>
      <c r="J1649" s="43"/>
      <c r="K1649" s="34"/>
      <c r="L1649" s="127"/>
      <c r="M1649" s="34"/>
      <c r="N1649" s="50"/>
      <c r="O1649" s="50"/>
      <c r="P1649" s="50"/>
      <c r="Q1649" s="121"/>
      <c r="R1649" s="121"/>
      <c r="S1649" s="121"/>
      <c r="T1649" s="34"/>
      <c r="U1649" s="35"/>
      <c r="V1649" s="37"/>
      <c r="W1649" s="35"/>
      <c r="X1649" s="122"/>
      <c r="AE1649" s="3"/>
    </row>
    <row r="1650" spans="1:31">
      <c r="A1650" s="39"/>
      <c r="B1650" s="118"/>
      <c r="C1650" s="119"/>
      <c r="D1650" s="119"/>
      <c r="E1650" s="120"/>
      <c r="F1650" s="119"/>
      <c r="G1650" s="38"/>
      <c r="H1650" s="42"/>
      <c r="I1650" s="42"/>
      <c r="J1650" s="43"/>
      <c r="K1650" s="34"/>
      <c r="L1650" s="127"/>
      <c r="M1650" s="34"/>
      <c r="N1650" s="50"/>
      <c r="O1650" s="50"/>
      <c r="P1650" s="50"/>
      <c r="Q1650" s="121"/>
      <c r="R1650" s="121"/>
      <c r="S1650" s="121"/>
      <c r="T1650" s="34"/>
      <c r="U1650" s="35"/>
      <c r="V1650" s="37"/>
      <c r="W1650" s="35"/>
      <c r="X1650" s="122"/>
      <c r="AE1650" s="3"/>
    </row>
    <row r="1651" spans="1:31">
      <c r="A1651" s="39"/>
      <c r="B1651" s="118"/>
      <c r="C1651" s="119"/>
      <c r="D1651" s="119"/>
      <c r="E1651" s="120"/>
      <c r="F1651" s="119"/>
      <c r="G1651" s="38"/>
      <c r="H1651" s="42"/>
      <c r="I1651" s="42"/>
      <c r="J1651" s="43"/>
      <c r="K1651" s="34"/>
      <c r="L1651" s="127"/>
      <c r="M1651" s="34"/>
      <c r="N1651" s="50"/>
      <c r="O1651" s="50"/>
      <c r="P1651" s="50"/>
      <c r="Q1651" s="121"/>
      <c r="R1651" s="121"/>
      <c r="S1651" s="121"/>
      <c r="T1651" s="34"/>
      <c r="U1651" s="35"/>
      <c r="V1651" s="37"/>
      <c r="W1651" s="35"/>
      <c r="X1651" s="122"/>
      <c r="AE1651" s="3"/>
    </row>
    <row r="1652" spans="1:31">
      <c r="A1652" s="39"/>
      <c r="B1652" s="118"/>
      <c r="C1652" s="119"/>
      <c r="D1652" s="119"/>
      <c r="E1652" s="120"/>
      <c r="F1652" s="119"/>
      <c r="G1652" s="38"/>
      <c r="H1652" s="42"/>
      <c r="I1652" s="42"/>
      <c r="J1652" s="43"/>
      <c r="K1652" s="34"/>
      <c r="L1652" s="127"/>
      <c r="M1652" s="34"/>
      <c r="N1652" s="50"/>
      <c r="O1652" s="50"/>
      <c r="P1652" s="50"/>
      <c r="Q1652" s="121"/>
      <c r="R1652" s="121"/>
      <c r="S1652" s="121"/>
      <c r="T1652" s="34"/>
      <c r="U1652" s="35"/>
      <c r="V1652" s="37"/>
      <c r="W1652" s="35"/>
      <c r="X1652" s="122"/>
      <c r="AE1652" s="3"/>
    </row>
    <row r="1653" spans="1:31">
      <c r="A1653" s="39"/>
      <c r="B1653" s="118"/>
      <c r="C1653" s="119"/>
      <c r="D1653" s="119"/>
      <c r="E1653" s="120"/>
      <c r="F1653" s="119"/>
      <c r="G1653" s="38"/>
      <c r="H1653" s="42"/>
      <c r="I1653" s="42"/>
      <c r="J1653" s="43"/>
      <c r="K1653" s="34"/>
      <c r="L1653" s="127"/>
      <c r="M1653" s="34"/>
      <c r="N1653" s="50"/>
      <c r="O1653" s="50"/>
      <c r="P1653" s="50"/>
      <c r="Q1653" s="121"/>
      <c r="R1653" s="121"/>
      <c r="S1653" s="121"/>
      <c r="T1653" s="34"/>
      <c r="U1653" s="35"/>
      <c r="V1653" s="37"/>
      <c r="W1653" s="35"/>
      <c r="X1653" s="122"/>
      <c r="AE1653" s="3"/>
    </row>
    <row r="1654" spans="1:31">
      <c r="A1654" s="39"/>
      <c r="B1654" s="118"/>
      <c r="C1654" s="119"/>
      <c r="D1654" s="119"/>
      <c r="E1654" s="120"/>
      <c r="F1654" s="119"/>
      <c r="G1654" s="38"/>
      <c r="H1654" s="42"/>
      <c r="I1654" s="42"/>
      <c r="J1654" s="43"/>
      <c r="K1654" s="34"/>
      <c r="L1654" s="127"/>
      <c r="M1654" s="34"/>
      <c r="N1654" s="50"/>
      <c r="O1654" s="50"/>
      <c r="P1654" s="50"/>
      <c r="Q1654" s="121"/>
      <c r="R1654" s="121"/>
      <c r="S1654" s="121"/>
      <c r="T1654" s="34"/>
      <c r="U1654" s="35"/>
      <c r="V1654" s="37"/>
      <c r="W1654" s="35"/>
      <c r="X1654" s="122"/>
      <c r="AE1654" s="3"/>
    </row>
    <row r="1655" spans="1:31">
      <c r="A1655" s="39"/>
      <c r="B1655" s="118"/>
      <c r="C1655" s="119"/>
      <c r="D1655" s="119"/>
      <c r="E1655" s="120"/>
      <c r="F1655" s="119"/>
      <c r="G1655" s="38"/>
      <c r="H1655" s="42"/>
      <c r="I1655" s="42"/>
      <c r="J1655" s="43"/>
      <c r="K1655" s="34"/>
      <c r="L1655" s="127"/>
      <c r="M1655" s="34"/>
      <c r="N1655" s="50"/>
      <c r="O1655" s="50"/>
      <c r="P1655" s="50"/>
      <c r="Q1655" s="121"/>
      <c r="R1655" s="121"/>
      <c r="S1655" s="121"/>
      <c r="T1655" s="34"/>
      <c r="U1655" s="35"/>
      <c r="V1655" s="37"/>
      <c r="W1655" s="35"/>
      <c r="X1655" s="122"/>
      <c r="AE1655" s="3"/>
    </row>
    <row r="1656" spans="1:31">
      <c r="A1656" s="39"/>
      <c r="B1656" s="118"/>
      <c r="C1656" s="119"/>
      <c r="D1656" s="119"/>
      <c r="E1656" s="120"/>
      <c r="F1656" s="119"/>
      <c r="G1656" s="38"/>
      <c r="H1656" s="42"/>
      <c r="I1656" s="42"/>
      <c r="J1656" s="43"/>
      <c r="K1656" s="34"/>
      <c r="L1656" s="127"/>
      <c r="M1656" s="34"/>
      <c r="N1656" s="50"/>
      <c r="O1656" s="50"/>
      <c r="P1656" s="50"/>
      <c r="Q1656" s="121"/>
      <c r="R1656" s="121"/>
      <c r="S1656" s="121"/>
      <c r="T1656" s="34"/>
      <c r="U1656" s="35"/>
      <c r="V1656" s="37"/>
      <c r="W1656" s="35"/>
      <c r="X1656" s="122"/>
      <c r="AE1656" s="3"/>
    </row>
    <row r="1657" spans="1:31">
      <c r="A1657" s="39"/>
      <c r="B1657" s="118"/>
      <c r="C1657" s="119"/>
      <c r="D1657" s="119"/>
      <c r="E1657" s="120"/>
      <c r="F1657" s="119"/>
      <c r="G1657" s="38"/>
      <c r="H1657" s="42"/>
      <c r="I1657" s="42"/>
      <c r="J1657" s="43"/>
      <c r="K1657" s="34"/>
      <c r="L1657" s="127"/>
      <c r="M1657" s="34"/>
      <c r="N1657" s="50"/>
      <c r="O1657" s="50"/>
      <c r="P1657" s="50"/>
      <c r="Q1657" s="121"/>
      <c r="R1657" s="121"/>
      <c r="S1657" s="121"/>
      <c r="T1657" s="34"/>
      <c r="U1657" s="35"/>
      <c r="V1657" s="37"/>
      <c r="W1657" s="35"/>
      <c r="X1657" s="122"/>
      <c r="AE1657" s="3"/>
    </row>
    <row r="1658" spans="1:31">
      <c r="A1658" s="39"/>
      <c r="B1658" s="118"/>
      <c r="C1658" s="119"/>
      <c r="D1658" s="119"/>
      <c r="E1658" s="120"/>
      <c r="F1658" s="119"/>
      <c r="G1658" s="38"/>
      <c r="H1658" s="42"/>
      <c r="I1658" s="42"/>
      <c r="J1658" s="43"/>
      <c r="K1658" s="34"/>
      <c r="L1658" s="127"/>
      <c r="M1658" s="34"/>
      <c r="N1658" s="50"/>
      <c r="O1658" s="50"/>
      <c r="P1658" s="50"/>
      <c r="Q1658" s="121"/>
      <c r="R1658" s="121"/>
      <c r="S1658" s="121"/>
      <c r="T1658" s="34"/>
      <c r="U1658" s="35"/>
      <c r="V1658" s="37"/>
      <c r="W1658" s="35"/>
      <c r="X1658" s="122"/>
      <c r="AE1658" s="3"/>
    </row>
    <row r="1659" spans="1:31">
      <c r="A1659" s="39"/>
      <c r="B1659" s="118"/>
      <c r="C1659" s="119"/>
      <c r="D1659" s="119"/>
      <c r="E1659" s="120"/>
      <c r="F1659" s="119"/>
      <c r="G1659" s="38"/>
      <c r="H1659" s="42"/>
      <c r="I1659" s="42"/>
      <c r="J1659" s="43"/>
      <c r="K1659" s="34"/>
      <c r="L1659" s="127"/>
      <c r="M1659" s="34"/>
      <c r="N1659" s="50"/>
      <c r="O1659" s="50"/>
      <c r="P1659" s="50"/>
      <c r="Q1659" s="121"/>
      <c r="R1659" s="121"/>
      <c r="S1659" s="121"/>
      <c r="T1659" s="34"/>
      <c r="U1659" s="35"/>
      <c r="V1659" s="37"/>
      <c r="W1659" s="35"/>
      <c r="X1659" s="122"/>
      <c r="AE1659" s="3"/>
    </row>
    <row r="1660" spans="1:31">
      <c r="A1660" s="39"/>
      <c r="B1660" s="118"/>
      <c r="C1660" s="119"/>
      <c r="D1660" s="119"/>
      <c r="E1660" s="120"/>
      <c r="F1660" s="119"/>
      <c r="G1660" s="38"/>
      <c r="H1660" s="42"/>
      <c r="I1660" s="42"/>
      <c r="J1660" s="43"/>
      <c r="K1660" s="34"/>
      <c r="L1660" s="127"/>
      <c r="M1660" s="34"/>
      <c r="N1660" s="50"/>
      <c r="O1660" s="50"/>
      <c r="P1660" s="50"/>
      <c r="Q1660" s="121"/>
      <c r="R1660" s="121"/>
      <c r="S1660" s="121"/>
      <c r="T1660" s="34"/>
      <c r="U1660" s="35"/>
      <c r="V1660" s="37"/>
      <c r="W1660" s="35"/>
      <c r="X1660" s="122"/>
      <c r="AE1660" s="3"/>
    </row>
    <row r="1661" spans="1:31">
      <c r="A1661" s="39"/>
      <c r="B1661" s="118"/>
      <c r="C1661" s="119"/>
      <c r="D1661" s="119"/>
      <c r="E1661" s="120"/>
      <c r="F1661" s="119"/>
      <c r="G1661" s="38"/>
      <c r="H1661" s="42"/>
      <c r="I1661" s="42"/>
      <c r="J1661" s="43"/>
      <c r="K1661" s="34"/>
      <c r="L1661" s="127"/>
      <c r="M1661" s="34"/>
      <c r="N1661" s="50"/>
      <c r="O1661" s="50"/>
      <c r="P1661" s="50"/>
      <c r="Q1661" s="121"/>
      <c r="R1661" s="121"/>
      <c r="S1661" s="121"/>
      <c r="T1661" s="34"/>
      <c r="U1661" s="35"/>
      <c r="V1661" s="37"/>
      <c r="W1661" s="35"/>
      <c r="X1661" s="122"/>
      <c r="AE1661" s="3"/>
    </row>
    <row r="1662" spans="1:31">
      <c r="A1662" s="39"/>
      <c r="B1662" s="118"/>
      <c r="C1662" s="119"/>
      <c r="D1662" s="119"/>
      <c r="E1662" s="120"/>
      <c r="F1662" s="119"/>
      <c r="G1662" s="38"/>
      <c r="H1662" s="42"/>
      <c r="I1662" s="42"/>
      <c r="J1662" s="43"/>
      <c r="K1662" s="34"/>
      <c r="L1662" s="127"/>
      <c r="M1662" s="34"/>
      <c r="N1662" s="50"/>
      <c r="O1662" s="50"/>
      <c r="P1662" s="50"/>
      <c r="Q1662" s="121"/>
      <c r="R1662" s="121"/>
      <c r="S1662" s="121"/>
      <c r="T1662" s="34"/>
      <c r="U1662" s="35"/>
      <c r="V1662" s="37"/>
      <c r="W1662" s="35"/>
      <c r="X1662" s="122"/>
      <c r="AE1662" s="3"/>
    </row>
    <row r="1663" spans="1:31">
      <c r="A1663" s="39"/>
      <c r="B1663" s="118"/>
      <c r="C1663" s="119"/>
      <c r="D1663" s="119"/>
      <c r="E1663" s="120"/>
      <c r="F1663" s="119"/>
      <c r="G1663" s="38"/>
      <c r="H1663" s="42"/>
      <c r="I1663" s="42"/>
      <c r="J1663" s="43"/>
      <c r="K1663" s="34"/>
      <c r="L1663" s="127"/>
      <c r="M1663" s="34"/>
      <c r="N1663" s="50"/>
      <c r="O1663" s="50"/>
      <c r="P1663" s="50"/>
      <c r="Q1663" s="121"/>
      <c r="R1663" s="121"/>
      <c r="S1663" s="121"/>
      <c r="T1663" s="34"/>
      <c r="U1663" s="35"/>
      <c r="V1663" s="37"/>
      <c r="W1663" s="35"/>
      <c r="X1663" s="122"/>
      <c r="AE1663" s="3"/>
    </row>
    <row r="1664" spans="1:31">
      <c r="A1664" s="39"/>
      <c r="B1664" s="118"/>
      <c r="C1664" s="119"/>
      <c r="D1664" s="119"/>
      <c r="E1664" s="120"/>
      <c r="F1664" s="119"/>
      <c r="G1664" s="38"/>
      <c r="H1664" s="42"/>
      <c r="I1664" s="42"/>
      <c r="J1664" s="43"/>
      <c r="K1664" s="34"/>
      <c r="L1664" s="127"/>
      <c r="M1664" s="34"/>
      <c r="N1664" s="50"/>
      <c r="O1664" s="50"/>
      <c r="P1664" s="50"/>
      <c r="Q1664" s="121"/>
      <c r="R1664" s="121"/>
      <c r="S1664" s="121"/>
      <c r="T1664" s="34"/>
      <c r="U1664" s="35"/>
      <c r="V1664" s="37"/>
      <c r="W1664" s="35"/>
      <c r="X1664" s="122"/>
      <c r="AE1664" s="3"/>
    </row>
    <row r="1665" spans="1:31">
      <c r="A1665" s="39"/>
      <c r="B1665" s="118"/>
      <c r="C1665" s="119"/>
      <c r="D1665" s="119"/>
      <c r="E1665" s="120"/>
      <c r="F1665" s="119"/>
      <c r="G1665" s="38"/>
      <c r="H1665" s="42"/>
      <c r="I1665" s="42"/>
      <c r="J1665" s="43"/>
      <c r="K1665" s="34"/>
      <c r="L1665" s="127"/>
      <c r="M1665" s="34"/>
      <c r="N1665" s="50"/>
      <c r="O1665" s="50"/>
      <c r="P1665" s="50"/>
      <c r="Q1665" s="121"/>
      <c r="R1665" s="121"/>
      <c r="S1665" s="121"/>
      <c r="T1665" s="34"/>
      <c r="U1665" s="35"/>
      <c r="V1665" s="37"/>
      <c r="W1665" s="35"/>
      <c r="X1665" s="122"/>
      <c r="AE1665" s="3"/>
    </row>
    <row r="1666" spans="1:31">
      <c r="A1666" s="39"/>
      <c r="B1666" s="118"/>
      <c r="C1666" s="119"/>
      <c r="D1666" s="119"/>
      <c r="E1666" s="120"/>
      <c r="F1666" s="119"/>
      <c r="G1666" s="38"/>
      <c r="H1666" s="42"/>
      <c r="I1666" s="42"/>
      <c r="J1666" s="43"/>
      <c r="K1666" s="34"/>
      <c r="L1666" s="127"/>
      <c r="M1666" s="34"/>
      <c r="N1666" s="50"/>
      <c r="O1666" s="50"/>
      <c r="P1666" s="50"/>
      <c r="Q1666" s="121"/>
      <c r="R1666" s="121"/>
      <c r="S1666" s="121"/>
      <c r="T1666" s="34"/>
      <c r="U1666" s="35"/>
      <c r="V1666" s="37"/>
      <c r="W1666" s="35"/>
      <c r="X1666" s="122"/>
      <c r="AE1666" s="3"/>
    </row>
    <row r="1667" spans="1:31">
      <c r="A1667" s="39"/>
      <c r="B1667" s="118"/>
      <c r="C1667" s="119"/>
      <c r="D1667" s="119"/>
      <c r="E1667" s="120"/>
      <c r="F1667" s="119"/>
      <c r="G1667" s="38"/>
      <c r="H1667" s="42"/>
      <c r="I1667" s="42"/>
      <c r="J1667" s="43"/>
      <c r="K1667" s="34"/>
      <c r="L1667" s="127"/>
      <c r="M1667" s="34"/>
      <c r="N1667" s="50"/>
      <c r="O1667" s="50"/>
      <c r="P1667" s="50"/>
      <c r="Q1667" s="121"/>
      <c r="R1667" s="121"/>
      <c r="S1667" s="121"/>
      <c r="T1667" s="34"/>
      <c r="U1667" s="35"/>
      <c r="V1667" s="37"/>
      <c r="W1667" s="35"/>
      <c r="X1667" s="122"/>
      <c r="AE1667" s="3"/>
    </row>
    <row r="1668" spans="1:31">
      <c r="A1668" s="39"/>
      <c r="B1668" s="118"/>
      <c r="C1668" s="119"/>
      <c r="D1668" s="119"/>
      <c r="E1668" s="120"/>
      <c r="F1668" s="119"/>
      <c r="G1668" s="38"/>
      <c r="H1668" s="42"/>
      <c r="I1668" s="42"/>
      <c r="J1668" s="43"/>
      <c r="K1668" s="34"/>
      <c r="L1668" s="127"/>
      <c r="M1668" s="34"/>
      <c r="N1668" s="50"/>
      <c r="O1668" s="50"/>
      <c r="P1668" s="50"/>
      <c r="Q1668" s="121"/>
      <c r="R1668" s="121"/>
      <c r="S1668" s="121"/>
      <c r="T1668" s="34"/>
      <c r="U1668" s="35"/>
      <c r="V1668" s="37"/>
      <c r="W1668" s="35"/>
      <c r="X1668" s="122"/>
      <c r="AE1668" s="3"/>
    </row>
    <row r="1669" spans="1:31">
      <c r="A1669" s="39"/>
      <c r="B1669" s="118"/>
      <c r="C1669" s="119"/>
      <c r="D1669" s="119"/>
      <c r="E1669" s="120"/>
      <c r="F1669" s="119"/>
      <c r="G1669" s="38"/>
      <c r="H1669" s="42"/>
      <c r="I1669" s="42"/>
      <c r="J1669" s="43"/>
      <c r="K1669" s="34"/>
      <c r="L1669" s="127"/>
      <c r="M1669" s="34"/>
      <c r="N1669" s="50"/>
      <c r="O1669" s="50"/>
      <c r="P1669" s="50"/>
      <c r="Q1669" s="121"/>
      <c r="R1669" s="121"/>
      <c r="S1669" s="121"/>
      <c r="T1669" s="34"/>
      <c r="U1669" s="35"/>
      <c r="V1669" s="37"/>
      <c r="W1669" s="35"/>
      <c r="X1669" s="122"/>
      <c r="AE1669" s="3"/>
    </row>
    <row r="1670" spans="1:31">
      <c r="A1670" s="39"/>
      <c r="B1670" s="118"/>
      <c r="C1670" s="119"/>
      <c r="D1670" s="119"/>
      <c r="E1670" s="120"/>
      <c r="F1670" s="119"/>
      <c r="G1670" s="38"/>
      <c r="H1670" s="42"/>
      <c r="I1670" s="42"/>
      <c r="J1670" s="43"/>
      <c r="K1670" s="34"/>
      <c r="L1670" s="127"/>
      <c r="M1670" s="34"/>
      <c r="N1670" s="50"/>
      <c r="O1670" s="50"/>
      <c r="P1670" s="50"/>
      <c r="Q1670" s="121"/>
      <c r="R1670" s="121"/>
      <c r="S1670" s="121"/>
      <c r="T1670" s="34"/>
      <c r="U1670" s="35"/>
      <c r="V1670" s="37"/>
      <c r="W1670" s="35"/>
      <c r="X1670" s="122"/>
      <c r="AE1670" s="3"/>
    </row>
    <row r="1671" spans="1:31">
      <c r="A1671" s="39"/>
      <c r="B1671" s="118"/>
      <c r="C1671" s="119"/>
      <c r="D1671" s="119"/>
      <c r="E1671" s="120"/>
      <c r="F1671" s="119"/>
      <c r="G1671" s="38"/>
      <c r="H1671" s="42"/>
      <c r="I1671" s="42"/>
      <c r="J1671" s="43"/>
      <c r="K1671" s="34"/>
      <c r="L1671" s="127"/>
      <c r="M1671" s="34"/>
      <c r="N1671" s="50"/>
      <c r="O1671" s="50"/>
      <c r="P1671" s="50"/>
      <c r="Q1671" s="121"/>
      <c r="R1671" s="121"/>
      <c r="S1671" s="121"/>
      <c r="T1671" s="34"/>
      <c r="U1671" s="35"/>
      <c r="V1671" s="37"/>
      <c r="W1671" s="35"/>
      <c r="X1671" s="122"/>
      <c r="AE1671" s="3"/>
    </row>
    <row r="1672" spans="1:31">
      <c r="A1672" s="39"/>
      <c r="B1672" s="118"/>
      <c r="C1672" s="119"/>
      <c r="D1672" s="119"/>
      <c r="E1672" s="120"/>
      <c r="F1672" s="119"/>
      <c r="G1672" s="38"/>
      <c r="H1672" s="42"/>
      <c r="I1672" s="42"/>
      <c r="J1672" s="43"/>
      <c r="K1672" s="34"/>
      <c r="L1672" s="127"/>
      <c r="M1672" s="34"/>
      <c r="N1672" s="50"/>
      <c r="O1672" s="50"/>
      <c r="P1672" s="50"/>
      <c r="Q1672" s="121"/>
      <c r="R1672" s="121"/>
      <c r="S1672" s="121"/>
      <c r="T1672" s="34"/>
      <c r="U1672" s="35"/>
      <c r="V1672" s="37"/>
      <c r="W1672" s="35"/>
      <c r="X1672" s="122"/>
      <c r="AE1672" s="3"/>
    </row>
    <row r="1673" spans="1:31">
      <c r="A1673" s="39"/>
      <c r="B1673" s="118"/>
      <c r="C1673" s="119"/>
      <c r="D1673" s="119"/>
      <c r="E1673" s="120"/>
      <c r="F1673" s="119"/>
      <c r="G1673" s="38"/>
      <c r="H1673" s="42"/>
      <c r="I1673" s="42"/>
      <c r="J1673" s="43"/>
      <c r="K1673" s="34"/>
      <c r="L1673" s="127"/>
      <c r="M1673" s="34"/>
      <c r="N1673" s="50"/>
      <c r="O1673" s="50"/>
      <c r="P1673" s="50"/>
      <c r="Q1673" s="121"/>
      <c r="R1673" s="121"/>
      <c r="S1673" s="121"/>
      <c r="T1673" s="34"/>
      <c r="U1673" s="35"/>
      <c r="V1673" s="37"/>
      <c r="W1673" s="35"/>
      <c r="X1673" s="122"/>
      <c r="AE1673" s="3"/>
    </row>
    <row r="1674" spans="1:31">
      <c r="A1674" s="39"/>
      <c r="B1674" s="118"/>
      <c r="C1674" s="119"/>
      <c r="D1674" s="119"/>
      <c r="E1674" s="120"/>
      <c r="F1674" s="119"/>
      <c r="G1674" s="38"/>
      <c r="H1674" s="42"/>
      <c r="I1674" s="42"/>
      <c r="J1674" s="43"/>
      <c r="K1674" s="34"/>
      <c r="L1674" s="127"/>
      <c r="M1674" s="34"/>
      <c r="N1674" s="50"/>
      <c r="O1674" s="50"/>
      <c r="P1674" s="50"/>
      <c r="Q1674" s="121"/>
      <c r="R1674" s="121"/>
      <c r="S1674" s="121"/>
      <c r="T1674" s="34"/>
      <c r="U1674" s="35"/>
      <c r="V1674" s="37"/>
      <c r="W1674" s="35"/>
      <c r="X1674" s="122"/>
      <c r="AE1674" s="3"/>
    </row>
    <row r="1675" spans="1:31">
      <c r="A1675" s="39"/>
      <c r="B1675" s="118"/>
      <c r="C1675" s="119"/>
      <c r="D1675" s="119"/>
      <c r="E1675" s="120"/>
      <c r="F1675" s="119"/>
      <c r="G1675" s="38"/>
      <c r="H1675" s="42"/>
      <c r="I1675" s="42"/>
      <c r="J1675" s="43"/>
      <c r="K1675" s="34"/>
      <c r="L1675" s="127"/>
      <c r="M1675" s="34"/>
      <c r="N1675" s="50"/>
      <c r="O1675" s="50"/>
      <c r="P1675" s="50"/>
      <c r="Q1675" s="121"/>
      <c r="R1675" s="121"/>
      <c r="S1675" s="121"/>
      <c r="T1675" s="34"/>
      <c r="U1675" s="35"/>
      <c r="V1675" s="37"/>
      <c r="W1675" s="35"/>
      <c r="X1675" s="122"/>
      <c r="AE1675" s="3"/>
    </row>
    <row r="1676" spans="1:31">
      <c r="A1676" s="39"/>
      <c r="B1676" s="118"/>
      <c r="C1676" s="119"/>
      <c r="D1676" s="119"/>
      <c r="E1676" s="120"/>
      <c r="F1676" s="119"/>
      <c r="G1676" s="38"/>
      <c r="H1676" s="42"/>
      <c r="I1676" s="42"/>
      <c r="J1676" s="43"/>
      <c r="K1676" s="34"/>
      <c r="L1676" s="127"/>
      <c r="M1676" s="34"/>
      <c r="N1676" s="50"/>
      <c r="O1676" s="50"/>
      <c r="P1676" s="50"/>
      <c r="Q1676" s="121"/>
      <c r="R1676" s="121"/>
      <c r="S1676" s="121"/>
      <c r="T1676" s="34"/>
      <c r="U1676" s="35"/>
      <c r="V1676" s="37"/>
      <c r="W1676" s="35"/>
      <c r="X1676" s="122"/>
      <c r="AE1676" s="3"/>
    </row>
    <row r="1677" spans="1:31">
      <c r="A1677" s="39"/>
      <c r="B1677" s="118"/>
      <c r="C1677" s="119"/>
      <c r="D1677" s="119"/>
      <c r="E1677" s="120"/>
      <c r="F1677" s="119"/>
      <c r="G1677" s="38"/>
      <c r="H1677" s="42"/>
      <c r="I1677" s="42"/>
      <c r="J1677" s="43"/>
      <c r="K1677" s="34"/>
      <c r="L1677" s="127"/>
      <c r="M1677" s="34"/>
      <c r="N1677" s="50"/>
      <c r="O1677" s="50"/>
      <c r="P1677" s="50"/>
      <c r="Q1677" s="121"/>
      <c r="R1677" s="121"/>
      <c r="S1677" s="121"/>
      <c r="T1677" s="34"/>
      <c r="U1677" s="35"/>
      <c r="V1677" s="37"/>
      <c r="W1677" s="35"/>
      <c r="X1677" s="122"/>
      <c r="AE1677" s="3"/>
    </row>
    <row r="1678" spans="1:31">
      <c r="A1678" s="39"/>
      <c r="B1678" s="118"/>
      <c r="C1678" s="119"/>
      <c r="D1678" s="119"/>
      <c r="E1678" s="120"/>
      <c r="F1678" s="119"/>
      <c r="G1678" s="38"/>
      <c r="H1678" s="42"/>
      <c r="I1678" s="42"/>
      <c r="J1678" s="43"/>
      <c r="K1678" s="34"/>
      <c r="L1678" s="127"/>
      <c r="M1678" s="34"/>
      <c r="N1678" s="50"/>
      <c r="O1678" s="50"/>
      <c r="P1678" s="50"/>
      <c r="Q1678" s="121"/>
      <c r="R1678" s="121"/>
      <c r="S1678" s="121"/>
      <c r="T1678" s="34"/>
      <c r="U1678" s="35"/>
      <c r="V1678" s="37"/>
      <c r="W1678" s="35"/>
      <c r="X1678" s="122"/>
      <c r="AE1678" s="3"/>
    </row>
    <row r="1679" spans="1:31">
      <c r="A1679" s="39"/>
      <c r="B1679" s="118"/>
      <c r="C1679" s="119"/>
      <c r="D1679" s="119"/>
      <c r="E1679" s="120"/>
      <c r="F1679" s="119"/>
      <c r="G1679" s="38"/>
      <c r="H1679" s="42"/>
      <c r="I1679" s="42"/>
      <c r="J1679" s="43"/>
      <c r="K1679" s="34"/>
      <c r="L1679" s="127"/>
      <c r="M1679" s="34"/>
      <c r="N1679" s="50"/>
      <c r="O1679" s="50"/>
      <c r="P1679" s="50"/>
      <c r="Q1679" s="121"/>
      <c r="R1679" s="121"/>
      <c r="S1679" s="121"/>
      <c r="T1679" s="34"/>
      <c r="U1679" s="35"/>
      <c r="V1679" s="37"/>
      <c r="W1679" s="35"/>
      <c r="X1679" s="122"/>
      <c r="AE1679" s="3"/>
    </row>
    <row r="1680" spans="1:31">
      <c r="A1680" s="39"/>
      <c r="B1680" s="118"/>
      <c r="C1680" s="119"/>
      <c r="D1680" s="119"/>
      <c r="E1680" s="120"/>
      <c r="F1680" s="119"/>
      <c r="G1680" s="38"/>
      <c r="H1680" s="42"/>
      <c r="I1680" s="42"/>
      <c r="J1680" s="43"/>
      <c r="K1680" s="34"/>
      <c r="L1680" s="127"/>
      <c r="M1680" s="34"/>
      <c r="N1680" s="50"/>
      <c r="O1680" s="50"/>
      <c r="P1680" s="50"/>
      <c r="Q1680" s="121"/>
      <c r="R1680" s="121"/>
      <c r="S1680" s="121"/>
      <c r="T1680" s="34"/>
      <c r="U1680" s="35"/>
      <c r="V1680" s="37"/>
      <c r="W1680" s="35"/>
      <c r="X1680" s="122"/>
      <c r="AE1680" s="3"/>
    </row>
    <row r="1681" spans="1:31">
      <c r="A1681" s="39"/>
      <c r="B1681" s="118"/>
      <c r="C1681" s="119"/>
      <c r="D1681" s="119"/>
      <c r="E1681" s="120"/>
      <c r="F1681" s="119"/>
      <c r="G1681" s="38"/>
      <c r="H1681" s="42"/>
      <c r="I1681" s="42"/>
      <c r="J1681" s="43"/>
      <c r="K1681" s="34"/>
      <c r="L1681" s="127"/>
      <c r="M1681" s="34"/>
      <c r="N1681" s="50"/>
      <c r="O1681" s="50"/>
      <c r="P1681" s="50"/>
      <c r="Q1681" s="121"/>
      <c r="R1681" s="121"/>
      <c r="S1681" s="121"/>
      <c r="T1681" s="34"/>
      <c r="U1681" s="35"/>
      <c r="V1681" s="37"/>
      <c r="W1681" s="35"/>
      <c r="X1681" s="122"/>
      <c r="AE1681" s="3"/>
    </row>
    <row r="1682" spans="1:31">
      <c r="A1682" s="39"/>
      <c r="B1682" s="118"/>
      <c r="C1682" s="119"/>
      <c r="D1682" s="119"/>
      <c r="E1682" s="120"/>
      <c r="F1682" s="119"/>
      <c r="G1682" s="38"/>
      <c r="H1682" s="42"/>
      <c r="I1682" s="42"/>
      <c r="J1682" s="43"/>
      <c r="K1682" s="34"/>
      <c r="L1682" s="127"/>
      <c r="M1682" s="34"/>
      <c r="N1682" s="50"/>
      <c r="O1682" s="50"/>
      <c r="P1682" s="50"/>
      <c r="Q1682" s="121"/>
      <c r="R1682" s="121"/>
      <c r="S1682" s="121"/>
      <c r="T1682" s="34"/>
      <c r="U1682" s="35"/>
      <c r="V1682" s="37"/>
      <c r="W1682" s="35"/>
      <c r="X1682" s="122"/>
      <c r="AE1682" s="3"/>
    </row>
    <row r="1683" spans="1:31">
      <c r="A1683" s="39"/>
      <c r="B1683" s="118"/>
      <c r="C1683" s="119"/>
      <c r="D1683" s="119"/>
      <c r="E1683" s="120"/>
      <c r="F1683" s="119"/>
      <c r="G1683" s="38"/>
      <c r="H1683" s="42"/>
      <c r="I1683" s="42"/>
      <c r="J1683" s="43"/>
      <c r="K1683" s="34"/>
      <c r="L1683" s="127"/>
      <c r="M1683" s="34"/>
      <c r="N1683" s="50"/>
      <c r="O1683" s="50"/>
      <c r="P1683" s="50"/>
      <c r="Q1683" s="121"/>
      <c r="R1683" s="121"/>
      <c r="S1683" s="121"/>
      <c r="T1683" s="34"/>
      <c r="U1683" s="35"/>
      <c r="V1683" s="37"/>
      <c r="W1683" s="35"/>
      <c r="X1683" s="122"/>
      <c r="AE1683" s="3"/>
    </row>
    <row r="1684" spans="1:31">
      <c r="A1684" s="39"/>
      <c r="B1684" s="118"/>
      <c r="C1684" s="119"/>
      <c r="D1684" s="119"/>
      <c r="E1684" s="120"/>
      <c r="F1684" s="119"/>
      <c r="G1684" s="38"/>
      <c r="H1684" s="42"/>
      <c r="I1684" s="42"/>
      <c r="J1684" s="43"/>
      <c r="K1684" s="34"/>
      <c r="L1684" s="127"/>
      <c r="M1684" s="34"/>
      <c r="N1684" s="50"/>
      <c r="O1684" s="50"/>
      <c r="P1684" s="50"/>
      <c r="Q1684" s="121"/>
      <c r="R1684" s="121"/>
      <c r="S1684" s="121"/>
      <c r="T1684" s="34"/>
      <c r="U1684" s="35"/>
      <c r="V1684" s="37"/>
      <c r="W1684" s="35"/>
      <c r="X1684" s="122"/>
      <c r="AE1684" s="3"/>
    </row>
    <row r="1685" spans="1:31">
      <c r="A1685" s="39"/>
      <c r="B1685" s="118"/>
      <c r="C1685" s="119"/>
      <c r="D1685" s="119"/>
      <c r="E1685" s="120"/>
      <c r="F1685" s="119"/>
      <c r="G1685" s="38"/>
      <c r="H1685" s="42"/>
      <c r="I1685" s="42"/>
      <c r="J1685" s="43"/>
      <c r="K1685" s="34"/>
      <c r="L1685" s="127"/>
      <c r="M1685" s="34"/>
      <c r="N1685" s="50"/>
      <c r="O1685" s="50"/>
      <c r="P1685" s="50"/>
      <c r="Q1685" s="121"/>
      <c r="R1685" s="121"/>
      <c r="S1685" s="121"/>
      <c r="T1685" s="34"/>
      <c r="U1685" s="35"/>
      <c r="V1685" s="37"/>
      <c r="W1685" s="35"/>
      <c r="X1685" s="122"/>
      <c r="AE1685" s="3"/>
    </row>
    <row r="1686" spans="1:31">
      <c r="A1686" s="39"/>
      <c r="B1686" s="118"/>
      <c r="C1686" s="119"/>
      <c r="D1686" s="119"/>
      <c r="E1686" s="120"/>
      <c r="F1686" s="119"/>
      <c r="G1686" s="38"/>
      <c r="H1686" s="42"/>
      <c r="I1686" s="42"/>
      <c r="J1686" s="43"/>
      <c r="K1686" s="34"/>
      <c r="L1686" s="127"/>
      <c r="M1686" s="34"/>
      <c r="N1686" s="50"/>
      <c r="O1686" s="50"/>
      <c r="P1686" s="50"/>
      <c r="Q1686" s="121"/>
      <c r="R1686" s="121"/>
      <c r="S1686" s="121"/>
      <c r="T1686" s="34"/>
      <c r="U1686" s="35"/>
      <c r="V1686" s="37"/>
      <c r="W1686" s="35"/>
      <c r="X1686" s="122"/>
      <c r="AE1686" s="3"/>
    </row>
    <row r="1687" spans="1:31">
      <c r="A1687" s="39"/>
      <c r="B1687" s="118"/>
      <c r="C1687" s="119"/>
      <c r="D1687" s="119"/>
      <c r="E1687" s="120"/>
      <c r="F1687" s="119"/>
      <c r="G1687" s="38"/>
      <c r="H1687" s="42"/>
      <c r="I1687" s="42"/>
      <c r="J1687" s="43"/>
      <c r="K1687" s="34"/>
      <c r="L1687" s="127"/>
      <c r="M1687" s="34"/>
      <c r="N1687" s="50"/>
      <c r="O1687" s="50"/>
      <c r="P1687" s="50"/>
      <c r="Q1687" s="121"/>
      <c r="R1687" s="121"/>
      <c r="S1687" s="121"/>
      <c r="T1687" s="34"/>
      <c r="U1687" s="35"/>
      <c r="V1687" s="37"/>
      <c r="W1687" s="35"/>
      <c r="X1687" s="122"/>
      <c r="AE1687" s="3"/>
    </row>
    <row r="1688" spans="1:31">
      <c r="A1688" s="39"/>
      <c r="B1688" s="118"/>
      <c r="C1688" s="119"/>
      <c r="D1688" s="119"/>
      <c r="E1688" s="120"/>
      <c r="F1688" s="119"/>
      <c r="G1688" s="38"/>
      <c r="H1688" s="42"/>
      <c r="I1688" s="42"/>
      <c r="J1688" s="43"/>
      <c r="K1688" s="34"/>
      <c r="L1688" s="127"/>
      <c r="M1688" s="34"/>
      <c r="N1688" s="50"/>
      <c r="O1688" s="50"/>
      <c r="P1688" s="50"/>
      <c r="Q1688" s="121"/>
      <c r="R1688" s="121"/>
      <c r="S1688" s="121"/>
      <c r="T1688" s="34"/>
      <c r="U1688" s="35"/>
      <c r="V1688" s="37"/>
      <c r="W1688" s="35"/>
      <c r="X1688" s="122"/>
      <c r="AE1688" s="3"/>
    </row>
    <row r="1689" spans="1:31">
      <c r="A1689" s="39"/>
      <c r="B1689" s="118"/>
      <c r="C1689" s="119"/>
      <c r="D1689" s="119"/>
      <c r="E1689" s="120"/>
      <c r="F1689" s="119"/>
      <c r="G1689" s="38"/>
      <c r="H1689" s="42"/>
      <c r="I1689" s="42"/>
      <c r="J1689" s="43"/>
      <c r="K1689" s="34"/>
      <c r="L1689" s="127"/>
      <c r="M1689" s="34"/>
      <c r="N1689" s="50"/>
      <c r="O1689" s="50"/>
      <c r="P1689" s="50"/>
      <c r="Q1689" s="121"/>
      <c r="R1689" s="121"/>
      <c r="S1689" s="121"/>
      <c r="T1689" s="34"/>
      <c r="U1689" s="35"/>
      <c r="V1689" s="37"/>
      <c r="W1689" s="35"/>
      <c r="X1689" s="122"/>
      <c r="AE1689" s="3"/>
    </row>
    <row r="1690" spans="1:31">
      <c r="A1690" s="39"/>
      <c r="B1690" s="118"/>
      <c r="C1690" s="119"/>
      <c r="D1690" s="119"/>
      <c r="E1690" s="120"/>
      <c r="F1690" s="119"/>
      <c r="G1690" s="38"/>
      <c r="H1690" s="42"/>
      <c r="I1690" s="42"/>
      <c r="J1690" s="43"/>
      <c r="K1690" s="34"/>
      <c r="L1690" s="127"/>
      <c r="M1690" s="34"/>
      <c r="N1690" s="50"/>
      <c r="O1690" s="50"/>
      <c r="P1690" s="50"/>
      <c r="Q1690" s="121"/>
      <c r="R1690" s="121"/>
      <c r="S1690" s="121"/>
      <c r="T1690" s="34"/>
      <c r="U1690" s="35"/>
      <c r="V1690" s="37"/>
      <c r="W1690" s="35"/>
      <c r="X1690" s="122"/>
      <c r="AE1690" s="3"/>
    </row>
    <row r="1691" spans="1:31">
      <c r="A1691" s="39"/>
      <c r="B1691" s="118"/>
      <c r="C1691" s="119"/>
      <c r="D1691" s="119"/>
      <c r="E1691" s="120"/>
      <c r="F1691" s="119"/>
      <c r="G1691" s="38"/>
      <c r="H1691" s="42"/>
      <c r="I1691" s="42"/>
      <c r="J1691" s="43"/>
      <c r="K1691" s="34"/>
      <c r="L1691" s="127"/>
      <c r="M1691" s="34"/>
      <c r="N1691" s="50"/>
      <c r="O1691" s="50"/>
      <c r="P1691" s="50"/>
      <c r="Q1691" s="121"/>
      <c r="R1691" s="121"/>
      <c r="S1691" s="121"/>
      <c r="T1691" s="34"/>
      <c r="U1691" s="35"/>
      <c r="V1691" s="37"/>
      <c r="W1691" s="35"/>
      <c r="X1691" s="122"/>
      <c r="AE1691" s="3"/>
    </row>
    <row r="1692" spans="1:31">
      <c r="A1692" s="39"/>
      <c r="B1692" s="118"/>
      <c r="C1692" s="119"/>
      <c r="D1692" s="119"/>
      <c r="E1692" s="120"/>
      <c r="F1692" s="119"/>
      <c r="G1692" s="38"/>
      <c r="H1692" s="42"/>
      <c r="I1692" s="42"/>
      <c r="J1692" s="43"/>
      <c r="K1692" s="34"/>
      <c r="L1692" s="127"/>
      <c r="M1692" s="34"/>
      <c r="N1692" s="50"/>
      <c r="O1692" s="50"/>
      <c r="P1692" s="50"/>
      <c r="Q1692" s="121"/>
      <c r="R1692" s="121"/>
      <c r="S1692" s="121"/>
      <c r="T1692" s="34"/>
      <c r="U1692" s="35"/>
      <c r="V1692" s="37"/>
      <c r="W1692" s="35"/>
      <c r="X1692" s="122"/>
      <c r="AE1692" s="3"/>
    </row>
    <row r="1693" spans="1:31">
      <c r="A1693" s="39"/>
      <c r="B1693" s="118"/>
      <c r="C1693" s="119"/>
      <c r="D1693" s="119"/>
      <c r="E1693" s="120"/>
      <c r="F1693" s="119"/>
      <c r="G1693" s="38"/>
      <c r="H1693" s="42"/>
      <c r="I1693" s="42"/>
      <c r="J1693" s="43"/>
      <c r="K1693" s="34"/>
      <c r="L1693" s="127"/>
      <c r="M1693" s="34"/>
      <c r="N1693" s="50"/>
      <c r="O1693" s="50"/>
      <c r="P1693" s="50"/>
      <c r="Q1693" s="121"/>
      <c r="R1693" s="121"/>
      <c r="S1693" s="121"/>
      <c r="T1693" s="34"/>
      <c r="U1693" s="35"/>
      <c r="V1693" s="37"/>
      <c r="W1693" s="35"/>
      <c r="X1693" s="122"/>
      <c r="AE1693" s="3"/>
    </row>
    <row r="1694" spans="1:31">
      <c r="A1694" s="39"/>
      <c r="B1694" s="118"/>
      <c r="C1694" s="119"/>
      <c r="D1694" s="119"/>
      <c r="E1694" s="120"/>
      <c r="F1694" s="119"/>
      <c r="G1694" s="38"/>
      <c r="H1694" s="42"/>
      <c r="I1694" s="42"/>
      <c r="J1694" s="43"/>
      <c r="K1694" s="34"/>
      <c r="L1694" s="127"/>
      <c r="M1694" s="34"/>
      <c r="N1694" s="50"/>
      <c r="O1694" s="50"/>
      <c r="P1694" s="50"/>
      <c r="Q1694" s="121"/>
      <c r="R1694" s="121"/>
      <c r="S1694" s="121"/>
      <c r="T1694" s="34"/>
      <c r="U1694" s="35"/>
      <c r="V1694" s="37"/>
      <c r="W1694" s="35"/>
      <c r="X1694" s="122"/>
      <c r="AE1694" s="3"/>
    </row>
    <row r="1695" spans="1:31">
      <c r="A1695" s="39"/>
      <c r="B1695" s="118"/>
      <c r="C1695" s="119"/>
      <c r="D1695" s="119"/>
      <c r="E1695" s="120"/>
      <c r="F1695" s="119"/>
      <c r="G1695" s="38"/>
      <c r="H1695" s="42"/>
      <c r="I1695" s="42"/>
      <c r="J1695" s="43"/>
      <c r="K1695" s="34"/>
      <c r="L1695" s="127"/>
      <c r="M1695" s="34"/>
      <c r="N1695" s="50"/>
      <c r="O1695" s="50"/>
      <c r="P1695" s="50"/>
      <c r="Q1695" s="121"/>
      <c r="R1695" s="121"/>
      <c r="S1695" s="121"/>
      <c r="T1695" s="34"/>
      <c r="U1695" s="35"/>
      <c r="V1695" s="37"/>
      <c r="W1695" s="35"/>
      <c r="X1695" s="122"/>
      <c r="AE1695" s="3"/>
    </row>
    <row r="1696" spans="1:31">
      <c r="A1696" s="39"/>
      <c r="B1696" s="118"/>
      <c r="C1696" s="119"/>
      <c r="D1696" s="119"/>
      <c r="E1696" s="120"/>
      <c r="F1696" s="119"/>
      <c r="G1696" s="38"/>
      <c r="H1696" s="42"/>
      <c r="I1696" s="42"/>
      <c r="J1696" s="43"/>
      <c r="K1696" s="34"/>
      <c r="L1696" s="127"/>
      <c r="M1696" s="34"/>
      <c r="N1696" s="50"/>
      <c r="O1696" s="50"/>
      <c r="P1696" s="50"/>
      <c r="Q1696" s="121"/>
      <c r="R1696" s="121"/>
      <c r="S1696" s="121"/>
      <c r="T1696" s="34"/>
      <c r="U1696" s="35"/>
      <c r="V1696" s="37"/>
      <c r="W1696" s="35"/>
      <c r="X1696" s="122"/>
      <c r="AE1696" s="3"/>
    </row>
    <row r="1697" spans="1:31">
      <c r="A1697" s="39"/>
      <c r="B1697" s="118"/>
      <c r="C1697" s="119"/>
      <c r="D1697" s="119"/>
      <c r="E1697" s="120"/>
      <c r="F1697" s="119"/>
      <c r="G1697" s="38"/>
      <c r="H1697" s="42"/>
      <c r="I1697" s="42"/>
      <c r="J1697" s="43"/>
      <c r="K1697" s="34"/>
      <c r="L1697" s="127"/>
      <c r="M1697" s="34"/>
      <c r="N1697" s="50"/>
      <c r="O1697" s="50"/>
      <c r="P1697" s="50"/>
      <c r="Q1697" s="121"/>
      <c r="R1697" s="121"/>
      <c r="S1697" s="121"/>
      <c r="T1697" s="34"/>
      <c r="U1697" s="35"/>
      <c r="V1697" s="37"/>
      <c r="W1697" s="35"/>
      <c r="X1697" s="122"/>
      <c r="AE1697" s="3"/>
    </row>
    <row r="1698" spans="1:31">
      <c r="A1698" s="39"/>
      <c r="B1698" s="118"/>
      <c r="C1698" s="119"/>
      <c r="D1698" s="119"/>
      <c r="E1698" s="120"/>
      <c r="F1698" s="119"/>
      <c r="G1698" s="38"/>
      <c r="H1698" s="42"/>
      <c r="I1698" s="42"/>
      <c r="J1698" s="43"/>
      <c r="K1698" s="34"/>
      <c r="L1698" s="127"/>
      <c r="M1698" s="34"/>
      <c r="N1698" s="50"/>
      <c r="O1698" s="50"/>
      <c r="P1698" s="50"/>
      <c r="Q1698" s="121"/>
      <c r="R1698" s="121"/>
      <c r="S1698" s="121"/>
      <c r="T1698" s="34"/>
      <c r="U1698" s="35"/>
      <c r="V1698" s="37"/>
      <c r="W1698" s="35"/>
      <c r="X1698" s="122"/>
      <c r="AE1698" s="3"/>
    </row>
    <row r="1699" spans="1:31">
      <c r="A1699" s="39"/>
      <c r="B1699" s="118"/>
      <c r="C1699" s="119"/>
      <c r="D1699" s="119"/>
      <c r="E1699" s="120"/>
      <c r="F1699" s="119"/>
      <c r="G1699" s="38"/>
      <c r="H1699" s="42"/>
      <c r="I1699" s="42"/>
      <c r="J1699" s="43"/>
      <c r="K1699" s="34"/>
      <c r="L1699" s="127"/>
      <c r="M1699" s="34"/>
      <c r="N1699" s="50"/>
      <c r="O1699" s="50"/>
      <c r="P1699" s="50"/>
      <c r="Q1699" s="121"/>
      <c r="R1699" s="121"/>
      <c r="S1699" s="121"/>
      <c r="T1699" s="34"/>
      <c r="U1699" s="35"/>
      <c r="V1699" s="37"/>
      <c r="W1699" s="35"/>
      <c r="X1699" s="122"/>
      <c r="AE1699" s="3"/>
    </row>
    <row r="1700" spans="1:31">
      <c r="A1700" s="39"/>
      <c r="B1700" s="118"/>
      <c r="C1700" s="119"/>
      <c r="D1700" s="119"/>
      <c r="E1700" s="120"/>
      <c r="F1700" s="119"/>
      <c r="G1700" s="38"/>
      <c r="H1700" s="42"/>
      <c r="I1700" s="42"/>
      <c r="J1700" s="43"/>
      <c r="K1700" s="34"/>
      <c r="L1700" s="127"/>
      <c r="M1700" s="34"/>
      <c r="N1700" s="50"/>
      <c r="O1700" s="50"/>
      <c r="P1700" s="50"/>
      <c r="Q1700" s="121"/>
      <c r="R1700" s="121"/>
      <c r="S1700" s="121"/>
      <c r="T1700" s="34"/>
      <c r="U1700" s="35"/>
      <c r="V1700" s="37"/>
      <c r="W1700" s="35"/>
      <c r="X1700" s="122"/>
      <c r="AE1700" s="3"/>
    </row>
    <row r="1701" spans="1:31">
      <c r="A1701" s="39"/>
      <c r="B1701" s="118"/>
      <c r="C1701" s="119"/>
      <c r="D1701" s="119"/>
      <c r="E1701" s="120"/>
      <c r="F1701" s="119"/>
      <c r="G1701" s="38"/>
      <c r="H1701" s="42"/>
      <c r="I1701" s="42"/>
      <c r="J1701" s="43"/>
      <c r="K1701" s="34"/>
      <c r="L1701" s="127"/>
      <c r="M1701" s="34"/>
      <c r="N1701" s="50"/>
      <c r="O1701" s="50"/>
      <c r="P1701" s="50"/>
      <c r="Q1701" s="121"/>
      <c r="R1701" s="121"/>
      <c r="S1701" s="121"/>
      <c r="T1701" s="34"/>
      <c r="U1701" s="35"/>
      <c r="V1701" s="37"/>
      <c r="W1701" s="35"/>
      <c r="X1701" s="122"/>
      <c r="AE1701" s="3"/>
    </row>
    <row r="1702" spans="1:31">
      <c r="A1702" s="39"/>
      <c r="B1702" s="118"/>
      <c r="C1702" s="119"/>
      <c r="D1702" s="119"/>
      <c r="E1702" s="120"/>
      <c r="F1702" s="119"/>
      <c r="G1702" s="38"/>
      <c r="H1702" s="42"/>
      <c r="I1702" s="42"/>
      <c r="J1702" s="43"/>
      <c r="K1702" s="34"/>
      <c r="L1702" s="127"/>
      <c r="M1702" s="34"/>
      <c r="N1702" s="50"/>
      <c r="O1702" s="50"/>
      <c r="P1702" s="50"/>
      <c r="Q1702" s="121"/>
      <c r="R1702" s="121"/>
      <c r="S1702" s="121"/>
      <c r="T1702" s="34"/>
      <c r="U1702" s="35"/>
      <c r="V1702" s="37"/>
      <c r="W1702" s="35"/>
      <c r="X1702" s="122"/>
      <c r="AE1702" s="3"/>
    </row>
    <row r="1703" spans="1:31">
      <c r="A1703" s="39"/>
      <c r="B1703" s="118"/>
      <c r="C1703" s="119"/>
      <c r="D1703" s="119"/>
      <c r="E1703" s="120"/>
      <c r="F1703" s="119"/>
      <c r="G1703" s="38"/>
      <c r="H1703" s="42"/>
      <c r="I1703" s="42"/>
      <c r="J1703" s="43"/>
      <c r="K1703" s="34"/>
      <c r="L1703" s="127"/>
      <c r="M1703" s="34"/>
      <c r="N1703" s="50"/>
      <c r="O1703" s="50"/>
      <c r="P1703" s="50"/>
      <c r="Q1703" s="121"/>
      <c r="R1703" s="121"/>
      <c r="S1703" s="121"/>
      <c r="T1703" s="34"/>
      <c r="U1703" s="35"/>
      <c r="V1703" s="37"/>
      <c r="W1703" s="35"/>
      <c r="X1703" s="122"/>
      <c r="AE1703" s="3"/>
    </row>
    <row r="1704" spans="1:31">
      <c r="A1704" s="39"/>
      <c r="B1704" s="118"/>
      <c r="C1704" s="119"/>
      <c r="D1704" s="119"/>
      <c r="E1704" s="120"/>
      <c r="F1704" s="119"/>
      <c r="G1704" s="38"/>
      <c r="H1704" s="42"/>
      <c r="I1704" s="42"/>
      <c r="J1704" s="43"/>
      <c r="K1704" s="34"/>
      <c r="L1704" s="127"/>
      <c r="M1704" s="34"/>
      <c r="N1704" s="50"/>
      <c r="O1704" s="50"/>
      <c r="P1704" s="50"/>
      <c r="Q1704" s="121"/>
      <c r="R1704" s="121"/>
      <c r="S1704" s="121"/>
      <c r="T1704" s="34"/>
      <c r="U1704" s="35"/>
      <c r="V1704" s="37"/>
      <c r="W1704" s="35"/>
      <c r="X1704" s="122"/>
      <c r="AE1704" s="3"/>
    </row>
    <row r="1705" spans="1:31">
      <c r="A1705" s="39"/>
      <c r="B1705" s="118"/>
      <c r="C1705" s="119"/>
      <c r="D1705" s="119"/>
      <c r="E1705" s="120"/>
      <c r="F1705" s="119"/>
      <c r="G1705" s="38"/>
      <c r="H1705" s="42"/>
      <c r="I1705" s="42"/>
      <c r="J1705" s="43"/>
      <c r="K1705" s="34"/>
      <c r="L1705" s="127"/>
      <c r="M1705" s="34"/>
      <c r="N1705" s="50"/>
      <c r="O1705" s="50"/>
      <c r="P1705" s="50"/>
      <c r="Q1705" s="121"/>
      <c r="R1705" s="121"/>
      <c r="S1705" s="121"/>
      <c r="T1705" s="34"/>
      <c r="U1705" s="35"/>
      <c r="V1705" s="37"/>
      <c r="W1705" s="35"/>
      <c r="X1705" s="122"/>
      <c r="AE1705" s="3"/>
    </row>
    <row r="1706" spans="1:31">
      <c r="A1706" s="39"/>
      <c r="B1706" s="118"/>
      <c r="C1706" s="119"/>
      <c r="D1706" s="119"/>
      <c r="E1706" s="120"/>
      <c r="F1706" s="119"/>
      <c r="G1706" s="38"/>
      <c r="H1706" s="42"/>
      <c r="I1706" s="42"/>
      <c r="J1706" s="43"/>
      <c r="K1706" s="34"/>
      <c r="L1706" s="127"/>
      <c r="M1706" s="34"/>
      <c r="N1706" s="50"/>
      <c r="O1706" s="50"/>
      <c r="P1706" s="50"/>
      <c r="Q1706" s="121"/>
      <c r="R1706" s="121"/>
      <c r="S1706" s="121"/>
      <c r="T1706" s="34"/>
      <c r="U1706" s="35"/>
      <c r="V1706" s="37"/>
      <c r="W1706" s="35"/>
      <c r="X1706" s="122"/>
      <c r="AE1706" s="3"/>
    </row>
    <row r="1707" spans="1:31">
      <c r="A1707" s="39"/>
      <c r="B1707" s="118"/>
      <c r="C1707" s="119"/>
      <c r="D1707" s="119"/>
      <c r="E1707" s="120"/>
      <c r="F1707" s="119"/>
      <c r="G1707" s="38"/>
      <c r="H1707" s="42"/>
      <c r="I1707" s="42"/>
      <c r="J1707" s="43"/>
      <c r="K1707" s="34"/>
      <c r="L1707" s="127"/>
      <c r="M1707" s="34"/>
      <c r="N1707" s="50"/>
      <c r="O1707" s="50"/>
      <c r="P1707" s="50"/>
      <c r="Q1707" s="121"/>
      <c r="R1707" s="121"/>
      <c r="S1707" s="121"/>
      <c r="T1707" s="34"/>
      <c r="U1707" s="35"/>
      <c r="V1707" s="37"/>
      <c r="W1707" s="35"/>
      <c r="X1707" s="122"/>
      <c r="AE1707" s="3"/>
    </row>
    <row r="1708" spans="1:31">
      <c r="A1708" s="39"/>
      <c r="B1708" s="118"/>
      <c r="C1708" s="119"/>
      <c r="D1708" s="119"/>
      <c r="E1708" s="120"/>
      <c r="F1708" s="119"/>
      <c r="G1708" s="38"/>
      <c r="H1708" s="42"/>
      <c r="I1708" s="42"/>
      <c r="J1708" s="43"/>
      <c r="K1708" s="34"/>
      <c r="L1708" s="127"/>
      <c r="M1708" s="34"/>
      <c r="N1708" s="50"/>
      <c r="O1708" s="50"/>
      <c r="P1708" s="50"/>
      <c r="Q1708" s="121"/>
      <c r="R1708" s="121"/>
      <c r="S1708" s="121"/>
      <c r="T1708" s="34"/>
      <c r="U1708" s="35"/>
      <c r="V1708" s="37"/>
      <c r="W1708" s="35"/>
      <c r="X1708" s="122"/>
      <c r="AE1708" s="3"/>
    </row>
    <row r="1709" spans="1:31">
      <c r="A1709" s="39"/>
      <c r="B1709" s="118"/>
      <c r="C1709" s="119"/>
      <c r="D1709" s="119"/>
      <c r="E1709" s="120"/>
      <c r="F1709" s="119"/>
      <c r="G1709" s="38"/>
      <c r="H1709" s="42"/>
      <c r="I1709" s="42"/>
      <c r="J1709" s="43"/>
      <c r="K1709" s="34"/>
      <c r="L1709" s="127"/>
      <c r="M1709" s="34"/>
      <c r="N1709" s="50"/>
      <c r="O1709" s="50"/>
      <c r="P1709" s="50"/>
      <c r="Q1709" s="121"/>
      <c r="R1709" s="121"/>
      <c r="S1709" s="121"/>
      <c r="T1709" s="34"/>
      <c r="U1709" s="35"/>
      <c r="V1709" s="37"/>
      <c r="W1709" s="35"/>
      <c r="X1709" s="122"/>
      <c r="AE1709" s="3"/>
    </row>
    <row r="1710" spans="1:31">
      <c r="A1710" s="39"/>
      <c r="B1710" s="118"/>
      <c r="C1710" s="119"/>
      <c r="D1710" s="119"/>
      <c r="E1710" s="120"/>
      <c r="F1710" s="119"/>
      <c r="G1710" s="38"/>
      <c r="H1710" s="42"/>
      <c r="I1710" s="42"/>
      <c r="J1710" s="43"/>
      <c r="K1710" s="34"/>
      <c r="L1710" s="127"/>
      <c r="M1710" s="34"/>
      <c r="N1710" s="50"/>
      <c r="O1710" s="50"/>
      <c r="P1710" s="50"/>
      <c r="Q1710" s="121"/>
      <c r="R1710" s="121"/>
      <c r="S1710" s="121"/>
      <c r="T1710" s="34"/>
      <c r="U1710" s="35"/>
      <c r="V1710" s="37"/>
      <c r="W1710" s="35"/>
      <c r="X1710" s="122"/>
      <c r="AE1710" s="3"/>
    </row>
    <row r="1711" spans="1:31">
      <c r="A1711" s="39"/>
      <c r="B1711" s="118"/>
      <c r="C1711" s="119"/>
      <c r="D1711" s="119"/>
      <c r="E1711" s="120"/>
      <c r="F1711" s="119"/>
      <c r="G1711" s="38"/>
      <c r="H1711" s="42"/>
      <c r="I1711" s="42"/>
      <c r="J1711" s="43"/>
      <c r="K1711" s="34"/>
      <c r="L1711" s="127"/>
      <c r="M1711" s="34"/>
      <c r="N1711" s="50"/>
      <c r="O1711" s="50"/>
      <c r="P1711" s="50"/>
      <c r="Q1711" s="121"/>
      <c r="R1711" s="121"/>
      <c r="S1711" s="121"/>
      <c r="T1711" s="34"/>
      <c r="U1711" s="35"/>
      <c r="V1711" s="37"/>
      <c r="W1711" s="35"/>
      <c r="X1711" s="122"/>
      <c r="AE1711" s="3"/>
    </row>
    <row r="1712" spans="1:31">
      <c r="A1712" s="39"/>
      <c r="B1712" s="118"/>
      <c r="C1712" s="119"/>
      <c r="D1712" s="119"/>
      <c r="E1712" s="120"/>
      <c r="F1712" s="119"/>
      <c r="G1712" s="38"/>
      <c r="H1712" s="42"/>
      <c r="I1712" s="42"/>
      <c r="J1712" s="43"/>
      <c r="K1712" s="34"/>
      <c r="L1712" s="127"/>
      <c r="M1712" s="34"/>
      <c r="N1712" s="50"/>
      <c r="O1712" s="50"/>
      <c r="P1712" s="50"/>
      <c r="Q1712" s="121"/>
      <c r="R1712" s="121"/>
      <c r="S1712" s="121"/>
      <c r="T1712" s="34"/>
      <c r="U1712" s="35"/>
      <c r="V1712" s="37"/>
      <c r="W1712" s="35"/>
      <c r="X1712" s="122"/>
      <c r="AE1712" s="3"/>
    </row>
    <row r="1713" spans="1:31">
      <c r="A1713" s="39"/>
      <c r="B1713" s="118"/>
      <c r="C1713" s="119"/>
      <c r="D1713" s="119"/>
      <c r="E1713" s="120"/>
      <c r="F1713" s="119"/>
      <c r="G1713" s="38"/>
      <c r="H1713" s="42"/>
      <c r="I1713" s="42"/>
      <c r="J1713" s="43"/>
      <c r="K1713" s="34"/>
      <c r="L1713" s="127"/>
      <c r="M1713" s="34"/>
      <c r="N1713" s="50"/>
      <c r="O1713" s="50"/>
      <c r="P1713" s="50"/>
      <c r="Q1713" s="121"/>
      <c r="R1713" s="121"/>
      <c r="S1713" s="121"/>
      <c r="T1713" s="34"/>
      <c r="U1713" s="35"/>
      <c r="V1713" s="37"/>
      <c r="W1713" s="35"/>
      <c r="X1713" s="122"/>
      <c r="AE1713" s="3"/>
    </row>
    <row r="1714" spans="1:31">
      <c r="A1714" s="39"/>
      <c r="B1714" s="118"/>
      <c r="C1714" s="119"/>
      <c r="D1714" s="119"/>
      <c r="E1714" s="120"/>
      <c r="F1714" s="119"/>
      <c r="G1714" s="38"/>
      <c r="H1714" s="42"/>
      <c r="I1714" s="42"/>
      <c r="J1714" s="43"/>
      <c r="K1714" s="34"/>
      <c r="L1714" s="127"/>
      <c r="M1714" s="34"/>
      <c r="N1714" s="50"/>
      <c r="O1714" s="50"/>
      <c r="P1714" s="50"/>
      <c r="Q1714" s="121"/>
      <c r="R1714" s="121"/>
      <c r="S1714" s="121"/>
      <c r="T1714" s="34"/>
      <c r="U1714" s="35"/>
      <c r="V1714" s="37"/>
      <c r="W1714" s="35"/>
      <c r="X1714" s="122"/>
      <c r="AE1714" s="3"/>
    </row>
    <row r="1715" spans="1:31">
      <c r="A1715" s="39"/>
      <c r="B1715" s="118"/>
      <c r="C1715" s="119"/>
      <c r="D1715" s="119"/>
      <c r="E1715" s="120"/>
      <c r="F1715" s="119"/>
      <c r="G1715" s="38"/>
      <c r="H1715" s="42"/>
      <c r="I1715" s="42"/>
      <c r="J1715" s="43"/>
      <c r="K1715" s="34"/>
      <c r="L1715" s="127"/>
      <c r="M1715" s="34"/>
      <c r="N1715" s="50"/>
      <c r="O1715" s="50"/>
      <c r="P1715" s="50"/>
      <c r="Q1715" s="121"/>
      <c r="R1715" s="121"/>
      <c r="S1715" s="121"/>
      <c r="T1715" s="34"/>
      <c r="U1715" s="35"/>
      <c r="V1715" s="37"/>
      <c r="W1715" s="35"/>
      <c r="X1715" s="122"/>
      <c r="AE1715" s="3"/>
    </row>
    <row r="1716" spans="1:31">
      <c r="A1716" s="39"/>
      <c r="B1716" s="118"/>
      <c r="C1716" s="119"/>
      <c r="D1716" s="119"/>
      <c r="E1716" s="120"/>
      <c r="F1716" s="119"/>
      <c r="G1716" s="38"/>
      <c r="H1716" s="42"/>
      <c r="I1716" s="42"/>
      <c r="J1716" s="43"/>
      <c r="K1716" s="34"/>
      <c r="L1716" s="127"/>
      <c r="M1716" s="34"/>
      <c r="N1716" s="50"/>
      <c r="O1716" s="50"/>
      <c r="P1716" s="50"/>
      <c r="Q1716" s="121"/>
      <c r="R1716" s="121"/>
      <c r="S1716" s="121"/>
      <c r="T1716" s="34"/>
      <c r="U1716" s="35"/>
      <c r="V1716" s="37"/>
      <c r="W1716" s="35"/>
      <c r="X1716" s="122"/>
      <c r="AE1716" s="3"/>
    </row>
    <row r="1717" spans="1:31">
      <c r="A1717" s="39"/>
      <c r="B1717" s="118"/>
      <c r="C1717" s="119"/>
      <c r="D1717" s="119"/>
      <c r="E1717" s="120"/>
      <c r="F1717" s="119"/>
      <c r="G1717" s="38"/>
      <c r="H1717" s="42"/>
      <c r="I1717" s="42"/>
      <c r="J1717" s="43"/>
      <c r="K1717" s="34"/>
      <c r="L1717" s="127"/>
      <c r="M1717" s="34"/>
      <c r="N1717" s="50"/>
      <c r="O1717" s="50"/>
      <c r="P1717" s="50"/>
      <c r="Q1717" s="121"/>
      <c r="R1717" s="121"/>
      <c r="S1717" s="121"/>
      <c r="T1717" s="34"/>
      <c r="U1717" s="35"/>
      <c r="V1717" s="37"/>
      <c r="W1717" s="35"/>
      <c r="X1717" s="122"/>
      <c r="AE1717" s="3"/>
    </row>
    <row r="1718" spans="1:31">
      <c r="A1718" s="39"/>
      <c r="B1718" s="118"/>
      <c r="C1718" s="119"/>
      <c r="D1718" s="119"/>
      <c r="E1718" s="120"/>
      <c r="F1718" s="119"/>
      <c r="G1718" s="38"/>
      <c r="H1718" s="42"/>
      <c r="I1718" s="42"/>
      <c r="J1718" s="43"/>
      <c r="K1718" s="34"/>
      <c r="L1718" s="127"/>
      <c r="M1718" s="34"/>
      <c r="N1718" s="50"/>
      <c r="O1718" s="50"/>
      <c r="P1718" s="50"/>
      <c r="Q1718" s="121"/>
      <c r="R1718" s="121"/>
      <c r="S1718" s="121"/>
      <c r="T1718" s="34"/>
      <c r="U1718" s="35"/>
      <c r="V1718" s="37"/>
      <c r="W1718" s="35"/>
      <c r="X1718" s="122"/>
      <c r="AE1718" s="3"/>
    </row>
    <row r="1719" spans="1:31">
      <c r="A1719" s="39"/>
      <c r="B1719" s="118"/>
      <c r="C1719" s="119"/>
      <c r="D1719" s="119"/>
      <c r="E1719" s="120"/>
      <c r="F1719" s="119"/>
      <c r="G1719" s="38"/>
      <c r="H1719" s="42"/>
      <c r="I1719" s="42"/>
      <c r="J1719" s="43"/>
      <c r="K1719" s="34"/>
      <c r="L1719" s="127"/>
      <c r="M1719" s="34"/>
      <c r="N1719" s="50"/>
      <c r="O1719" s="50"/>
      <c r="P1719" s="50"/>
      <c r="Q1719" s="121"/>
      <c r="R1719" s="121"/>
      <c r="S1719" s="121"/>
      <c r="T1719" s="34"/>
      <c r="U1719" s="35"/>
      <c r="V1719" s="37"/>
      <c r="W1719" s="35"/>
      <c r="X1719" s="122"/>
      <c r="AE1719" s="3"/>
    </row>
    <row r="1720" spans="1:31">
      <c r="A1720" s="39"/>
      <c r="B1720" s="118"/>
      <c r="C1720" s="119"/>
      <c r="D1720" s="119"/>
      <c r="E1720" s="120"/>
      <c r="F1720" s="119"/>
      <c r="G1720" s="38"/>
      <c r="H1720" s="42"/>
      <c r="I1720" s="42"/>
      <c r="J1720" s="43"/>
      <c r="K1720" s="34"/>
      <c r="L1720" s="127"/>
      <c r="M1720" s="34"/>
      <c r="N1720" s="50"/>
      <c r="O1720" s="50"/>
      <c r="P1720" s="50"/>
      <c r="Q1720" s="121"/>
      <c r="R1720" s="121"/>
      <c r="S1720" s="121"/>
      <c r="T1720" s="34"/>
      <c r="U1720" s="35"/>
      <c r="V1720" s="37"/>
      <c r="W1720" s="35"/>
      <c r="X1720" s="122"/>
      <c r="AE1720" s="3"/>
    </row>
    <row r="1721" spans="1:31">
      <c r="A1721" s="39"/>
      <c r="B1721" s="118"/>
      <c r="C1721" s="119"/>
      <c r="D1721" s="119"/>
      <c r="E1721" s="120"/>
      <c r="F1721" s="119"/>
      <c r="G1721" s="38"/>
      <c r="H1721" s="42"/>
      <c r="I1721" s="42"/>
      <c r="J1721" s="43"/>
      <c r="K1721" s="34"/>
      <c r="L1721" s="127"/>
      <c r="M1721" s="34"/>
      <c r="N1721" s="50"/>
      <c r="O1721" s="50"/>
      <c r="P1721" s="50"/>
      <c r="Q1721" s="121"/>
      <c r="R1721" s="121"/>
      <c r="S1721" s="121"/>
      <c r="T1721" s="34"/>
      <c r="U1721" s="35"/>
      <c r="V1721" s="37"/>
      <c r="W1721" s="35"/>
      <c r="X1721" s="122"/>
      <c r="AE1721" s="3"/>
    </row>
    <row r="1722" spans="1:31">
      <c r="A1722" s="39"/>
      <c r="B1722" s="118"/>
      <c r="C1722" s="119"/>
      <c r="D1722" s="119"/>
      <c r="E1722" s="120"/>
      <c r="F1722" s="119"/>
      <c r="G1722" s="38"/>
      <c r="H1722" s="42"/>
      <c r="I1722" s="42"/>
      <c r="J1722" s="43"/>
      <c r="K1722" s="34"/>
      <c r="L1722" s="127"/>
      <c r="M1722" s="34"/>
      <c r="N1722" s="50"/>
      <c r="O1722" s="50"/>
      <c r="P1722" s="50"/>
      <c r="Q1722" s="121"/>
      <c r="R1722" s="121"/>
      <c r="S1722" s="121"/>
      <c r="T1722" s="34"/>
      <c r="U1722" s="35"/>
      <c r="V1722" s="37"/>
      <c r="W1722" s="35"/>
      <c r="X1722" s="122"/>
      <c r="AE1722" s="3"/>
    </row>
    <row r="1723" spans="1:31">
      <c r="A1723" s="39"/>
      <c r="B1723" s="118"/>
      <c r="C1723" s="119"/>
      <c r="D1723" s="119"/>
      <c r="E1723" s="120"/>
      <c r="F1723" s="119"/>
      <c r="G1723" s="38"/>
      <c r="H1723" s="42"/>
      <c r="I1723" s="42"/>
      <c r="J1723" s="43"/>
      <c r="K1723" s="34"/>
      <c r="L1723" s="127"/>
      <c r="M1723" s="34"/>
      <c r="N1723" s="50"/>
      <c r="O1723" s="50"/>
      <c r="P1723" s="50"/>
      <c r="Q1723" s="121"/>
      <c r="R1723" s="121"/>
      <c r="S1723" s="121"/>
      <c r="T1723" s="34"/>
      <c r="U1723" s="35"/>
      <c r="V1723" s="37"/>
      <c r="W1723" s="35"/>
      <c r="X1723" s="122"/>
      <c r="AE1723" s="3"/>
    </row>
    <row r="1724" spans="1:31">
      <c r="A1724" s="39"/>
      <c r="B1724" s="118"/>
      <c r="C1724" s="119"/>
      <c r="D1724" s="119"/>
      <c r="E1724" s="120"/>
      <c r="F1724" s="119"/>
      <c r="G1724" s="38"/>
      <c r="H1724" s="42"/>
      <c r="I1724" s="42"/>
      <c r="J1724" s="43"/>
      <c r="K1724" s="34"/>
      <c r="L1724" s="127"/>
      <c r="M1724" s="34"/>
      <c r="N1724" s="50"/>
      <c r="O1724" s="50"/>
      <c r="P1724" s="50"/>
      <c r="Q1724" s="121"/>
      <c r="R1724" s="121"/>
      <c r="S1724" s="121"/>
      <c r="T1724" s="34"/>
      <c r="U1724" s="35"/>
      <c r="V1724" s="37"/>
      <c r="W1724" s="35"/>
      <c r="X1724" s="122"/>
      <c r="AE1724" s="3"/>
    </row>
    <row r="1725" spans="1:31">
      <c r="A1725" s="39"/>
      <c r="B1725" s="118"/>
      <c r="C1725" s="119"/>
      <c r="D1725" s="119"/>
      <c r="E1725" s="120"/>
      <c r="F1725" s="119"/>
      <c r="G1725" s="38"/>
      <c r="H1725" s="42"/>
      <c r="I1725" s="42"/>
      <c r="J1725" s="43"/>
      <c r="K1725" s="34"/>
      <c r="L1725" s="127"/>
      <c r="M1725" s="34"/>
      <c r="N1725" s="50"/>
      <c r="O1725" s="50"/>
      <c r="P1725" s="50"/>
      <c r="Q1725" s="121"/>
      <c r="R1725" s="121"/>
      <c r="S1725" s="121"/>
      <c r="T1725" s="34"/>
      <c r="U1725" s="35"/>
      <c r="V1725" s="37"/>
      <c r="W1725" s="35"/>
      <c r="X1725" s="122"/>
      <c r="AE1725" s="3"/>
    </row>
    <row r="1726" spans="1:31">
      <c r="A1726" s="39"/>
      <c r="B1726" s="118"/>
      <c r="C1726" s="119"/>
      <c r="D1726" s="119"/>
      <c r="E1726" s="120"/>
      <c r="F1726" s="119"/>
      <c r="G1726" s="38"/>
      <c r="H1726" s="42"/>
      <c r="I1726" s="42"/>
      <c r="J1726" s="43"/>
      <c r="K1726" s="34"/>
      <c r="L1726" s="127"/>
      <c r="M1726" s="34"/>
      <c r="N1726" s="50"/>
      <c r="O1726" s="50"/>
      <c r="P1726" s="50"/>
      <c r="Q1726" s="121"/>
      <c r="R1726" s="121"/>
      <c r="S1726" s="121"/>
      <c r="T1726" s="34"/>
      <c r="U1726" s="35"/>
      <c r="V1726" s="37"/>
      <c r="W1726" s="35"/>
      <c r="X1726" s="122"/>
      <c r="AE1726" s="3"/>
    </row>
    <row r="1727" spans="1:31">
      <c r="A1727" s="39"/>
      <c r="B1727" s="118"/>
      <c r="C1727" s="119"/>
      <c r="D1727" s="119"/>
      <c r="E1727" s="120"/>
      <c r="F1727" s="119"/>
      <c r="G1727" s="38"/>
      <c r="H1727" s="42"/>
      <c r="I1727" s="42"/>
      <c r="J1727" s="43"/>
      <c r="K1727" s="34"/>
      <c r="L1727" s="127"/>
      <c r="M1727" s="34"/>
      <c r="N1727" s="50"/>
      <c r="O1727" s="50"/>
      <c r="P1727" s="50"/>
      <c r="Q1727" s="121"/>
      <c r="R1727" s="121"/>
      <c r="S1727" s="121"/>
      <c r="T1727" s="34"/>
      <c r="U1727" s="35"/>
      <c r="V1727" s="37"/>
      <c r="W1727" s="35"/>
      <c r="X1727" s="122"/>
      <c r="AE1727" s="3"/>
    </row>
    <row r="1728" spans="1:31">
      <c r="A1728" s="39"/>
      <c r="B1728" s="118"/>
      <c r="C1728" s="119"/>
      <c r="D1728" s="119"/>
      <c r="E1728" s="120"/>
      <c r="F1728" s="119"/>
      <c r="G1728" s="38"/>
      <c r="H1728" s="42"/>
      <c r="I1728" s="42"/>
      <c r="J1728" s="43"/>
      <c r="K1728" s="34"/>
      <c r="L1728" s="127"/>
      <c r="M1728" s="34"/>
      <c r="N1728" s="50"/>
      <c r="O1728" s="50"/>
      <c r="P1728" s="50"/>
      <c r="Q1728" s="121"/>
      <c r="R1728" s="121"/>
      <c r="S1728" s="121"/>
      <c r="T1728" s="34"/>
      <c r="U1728" s="35"/>
      <c r="V1728" s="37"/>
      <c r="W1728" s="35"/>
      <c r="X1728" s="122"/>
      <c r="AE1728" s="3"/>
    </row>
    <row r="1729" spans="1:31">
      <c r="A1729" s="39"/>
      <c r="B1729" s="118"/>
      <c r="C1729" s="119"/>
      <c r="D1729" s="119"/>
      <c r="E1729" s="120"/>
      <c r="F1729" s="119"/>
      <c r="G1729" s="38"/>
      <c r="H1729" s="42"/>
      <c r="I1729" s="42"/>
      <c r="J1729" s="43"/>
      <c r="K1729" s="34"/>
      <c r="L1729" s="127"/>
      <c r="M1729" s="34"/>
      <c r="N1729" s="50"/>
      <c r="O1729" s="50"/>
      <c r="P1729" s="50"/>
      <c r="Q1729" s="121"/>
      <c r="R1729" s="121"/>
      <c r="S1729" s="121"/>
      <c r="T1729" s="34"/>
      <c r="U1729" s="35"/>
      <c r="V1729" s="37"/>
      <c r="W1729" s="35"/>
      <c r="X1729" s="122"/>
      <c r="AE1729" s="3"/>
    </row>
    <row r="1730" spans="1:31">
      <c r="A1730" s="39"/>
      <c r="B1730" s="118"/>
      <c r="C1730" s="119"/>
      <c r="D1730" s="119"/>
      <c r="E1730" s="120"/>
      <c r="F1730" s="119"/>
      <c r="G1730" s="38"/>
      <c r="H1730" s="42"/>
      <c r="I1730" s="42"/>
      <c r="J1730" s="43"/>
      <c r="K1730" s="34"/>
      <c r="L1730" s="127"/>
      <c r="M1730" s="34"/>
      <c r="N1730" s="50"/>
      <c r="O1730" s="50"/>
      <c r="P1730" s="50"/>
      <c r="Q1730" s="121"/>
      <c r="R1730" s="121"/>
      <c r="S1730" s="121"/>
      <c r="T1730" s="34"/>
      <c r="U1730" s="35"/>
      <c r="V1730" s="37"/>
      <c r="W1730" s="35"/>
      <c r="X1730" s="122"/>
      <c r="AE1730" s="3"/>
    </row>
    <row r="1731" spans="1:31">
      <c r="A1731" s="39"/>
      <c r="B1731" s="118"/>
      <c r="C1731" s="119"/>
      <c r="D1731" s="119"/>
      <c r="E1731" s="120"/>
      <c r="F1731" s="119"/>
      <c r="G1731" s="38"/>
      <c r="H1731" s="42"/>
      <c r="I1731" s="42"/>
      <c r="J1731" s="43"/>
      <c r="K1731" s="34"/>
      <c r="L1731" s="127"/>
      <c r="M1731" s="34"/>
      <c r="N1731" s="50"/>
      <c r="O1731" s="50"/>
      <c r="P1731" s="50"/>
      <c r="Q1731" s="121"/>
      <c r="R1731" s="121"/>
      <c r="S1731" s="121"/>
      <c r="T1731" s="34"/>
      <c r="U1731" s="35"/>
      <c r="V1731" s="37"/>
      <c r="W1731" s="35"/>
      <c r="X1731" s="122"/>
      <c r="AE1731" s="3"/>
    </row>
    <row r="1732" spans="1:31">
      <c r="A1732" s="39"/>
      <c r="B1732" s="118"/>
      <c r="C1732" s="119"/>
      <c r="D1732" s="119"/>
      <c r="E1732" s="120"/>
      <c r="F1732" s="119"/>
      <c r="G1732" s="38"/>
      <c r="H1732" s="42"/>
      <c r="I1732" s="42"/>
      <c r="J1732" s="43"/>
      <c r="K1732" s="34"/>
      <c r="L1732" s="127"/>
      <c r="M1732" s="34"/>
      <c r="N1732" s="50"/>
      <c r="O1732" s="50"/>
      <c r="P1732" s="50"/>
      <c r="Q1732" s="121"/>
      <c r="R1732" s="121"/>
      <c r="S1732" s="121"/>
      <c r="T1732" s="34"/>
      <c r="U1732" s="35"/>
      <c r="V1732" s="37"/>
      <c r="W1732" s="35"/>
      <c r="X1732" s="122"/>
      <c r="AE1732" s="3"/>
    </row>
    <row r="1733" spans="1:31">
      <c r="A1733" s="39"/>
      <c r="B1733" s="118"/>
      <c r="C1733" s="119"/>
      <c r="D1733" s="119"/>
      <c r="E1733" s="120"/>
      <c r="F1733" s="119"/>
      <c r="G1733" s="38"/>
      <c r="H1733" s="42"/>
      <c r="I1733" s="42"/>
      <c r="J1733" s="43"/>
      <c r="K1733" s="34"/>
      <c r="L1733" s="127"/>
      <c r="M1733" s="34"/>
      <c r="N1733" s="50"/>
      <c r="O1733" s="50"/>
      <c r="P1733" s="50"/>
      <c r="Q1733" s="121"/>
      <c r="R1733" s="121"/>
      <c r="S1733" s="121"/>
      <c r="T1733" s="34"/>
      <c r="U1733" s="35"/>
      <c r="V1733" s="37"/>
      <c r="W1733" s="35"/>
      <c r="X1733" s="122"/>
      <c r="AE1733" s="3"/>
    </row>
    <row r="1734" spans="1:31">
      <c r="A1734" s="39"/>
      <c r="B1734" s="118"/>
      <c r="C1734" s="119"/>
      <c r="D1734" s="119"/>
      <c r="E1734" s="120"/>
      <c r="F1734" s="119"/>
      <c r="G1734" s="38"/>
      <c r="H1734" s="42"/>
      <c r="I1734" s="42"/>
      <c r="J1734" s="43"/>
      <c r="K1734" s="34"/>
      <c r="L1734" s="127"/>
      <c r="M1734" s="34"/>
      <c r="N1734" s="50"/>
      <c r="O1734" s="50"/>
      <c r="P1734" s="50"/>
      <c r="Q1734" s="121"/>
      <c r="R1734" s="121"/>
      <c r="S1734" s="121"/>
      <c r="T1734" s="34"/>
      <c r="U1734" s="35"/>
      <c r="V1734" s="37"/>
      <c r="W1734" s="35"/>
      <c r="X1734" s="122"/>
      <c r="AE1734" s="3"/>
    </row>
    <row r="1735" spans="1:31">
      <c r="A1735" s="39"/>
      <c r="B1735" s="118"/>
      <c r="C1735" s="119"/>
      <c r="D1735" s="119"/>
      <c r="E1735" s="120"/>
      <c r="F1735" s="119"/>
      <c r="G1735" s="38"/>
      <c r="H1735" s="42"/>
      <c r="I1735" s="42"/>
      <c r="J1735" s="43"/>
      <c r="K1735" s="34"/>
      <c r="L1735" s="127"/>
      <c r="M1735" s="34"/>
      <c r="N1735" s="50"/>
      <c r="O1735" s="50"/>
      <c r="P1735" s="50"/>
      <c r="Q1735" s="121"/>
      <c r="R1735" s="121"/>
      <c r="S1735" s="121"/>
      <c r="T1735" s="34"/>
      <c r="U1735" s="35"/>
      <c r="V1735" s="37"/>
      <c r="W1735" s="35"/>
      <c r="X1735" s="122"/>
    </row>
    <row r="1736" spans="1:31">
      <c r="A1736" s="39"/>
      <c r="B1736" s="118"/>
      <c r="C1736" s="119"/>
      <c r="D1736" s="119"/>
      <c r="E1736" s="120"/>
      <c r="F1736" s="119"/>
      <c r="G1736" s="38"/>
      <c r="H1736" s="42"/>
      <c r="I1736" s="42"/>
      <c r="J1736" s="43"/>
      <c r="K1736" s="34"/>
      <c r="L1736" s="127"/>
      <c r="M1736" s="34"/>
      <c r="N1736" s="50"/>
      <c r="O1736" s="50"/>
      <c r="P1736" s="50"/>
      <c r="Q1736" s="121"/>
      <c r="R1736" s="121"/>
      <c r="S1736" s="121"/>
      <c r="T1736" s="34"/>
      <c r="U1736" s="35"/>
      <c r="V1736" s="37"/>
      <c r="W1736" s="35"/>
      <c r="X1736" s="122"/>
    </row>
    <row r="1737" spans="1:31">
      <c r="A1737" s="39"/>
      <c r="B1737" s="118"/>
      <c r="C1737" s="119"/>
      <c r="D1737" s="119"/>
      <c r="E1737" s="120"/>
      <c r="F1737" s="119"/>
      <c r="G1737" s="38"/>
      <c r="H1737" s="42"/>
      <c r="I1737" s="42"/>
      <c r="J1737" s="43"/>
      <c r="K1737" s="34"/>
      <c r="L1737" s="127"/>
      <c r="M1737" s="34"/>
      <c r="N1737" s="50"/>
      <c r="O1737" s="50"/>
      <c r="P1737" s="50"/>
      <c r="Q1737" s="121"/>
      <c r="R1737" s="121"/>
      <c r="S1737" s="121"/>
      <c r="T1737" s="34"/>
      <c r="U1737" s="35"/>
      <c r="V1737" s="37"/>
      <c r="W1737" s="35"/>
      <c r="X1737" s="122"/>
    </row>
    <row r="1738" spans="1:31">
      <c r="A1738" s="39"/>
      <c r="B1738" s="118"/>
      <c r="C1738" s="119"/>
      <c r="D1738" s="119"/>
      <c r="E1738" s="120"/>
      <c r="F1738" s="119"/>
      <c r="G1738" s="38"/>
      <c r="H1738" s="42"/>
      <c r="I1738" s="42"/>
      <c r="J1738" s="43"/>
      <c r="K1738" s="34"/>
      <c r="L1738" s="127"/>
      <c r="M1738" s="34"/>
      <c r="N1738" s="50"/>
      <c r="O1738" s="50"/>
      <c r="P1738" s="50"/>
      <c r="Q1738" s="121"/>
      <c r="R1738" s="121"/>
      <c r="S1738" s="121"/>
      <c r="T1738" s="34"/>
      <c r="U1738" s="35"/>
      <c r="V1738" s="37"/>
      <c r="W1738" s="35"/>
      <c r="X1738" s="122"/>
    </row>
    <row r="1739" spans="1:31">
      <c r="A1739" s="39"/>
      <c r="B1739" s="118"/>
      <c r="C1739" s="119"/>
      <c r="D1739" s="119"/>
      <c r="E1739" s="120"/>
      <c r="F1739" s="119"/>
      <c r="G1739" s="38"/>
      <c r="H1739" s="42"/>
      <c r="I1739" s="42"/>
      <c r="J1739" s="43"/>
      <c r="K1739" s="34"/>
      <c r="L1739" s="127"/>
      <c r="M1739" s="34"/>
      <c r="N1739" s="50"/>
      <c r="O1739" s="50"/>
      <c r="P1739" s="50"/>
      <c r="Q1739" s="121"/>
      <c r="R1739" s="121"/>
      <c r="S1739" s="121"/>
      <c r="T1739" s="34"/>
      <c r="U1739" s="35"/>
      <c r="V1739" s="37"/>
      <c r="W1739" s="35"/>
      <c r="X1739" s="122"/>
    </row>
  </sheetData>
  <phoneticPr fontId="9" type="noConversion"/>
  <conditionalFormatting sqref="L2:L1060">
    <cfRule type="containsText" dxfId="136" priority="1" operator="containsText" text="Incorrect Error Code">
      <formula>NOT(ISERROR(SEARCH("Incorrect Error Code",L2)))</formula>
    </cfRule>
  </conditionalFormatting>
  <conditionalFormatting sqref="L1735:L1739">
    <cfRule type="containsText" dxfId="135" priority="988" operator="containsText" text="Incorrect Error Code">
      <formula>NOT(ISERROR(SEARCH("Incorrect Error Code",L1735)))</formula>
    </cfRule>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4000000}">
          <x14:formula1>
            <xm:f>'Basic Data'!$T$1:$T$507</xm:f>
          </x14:formula1>
          <xm:sqref>K11:K17 K429:K435 K424:K426 K420:K422 K415:K416 K392:K397 K382:K389 K375:K379 K369:K372 K362:K366 K348:K353 K343:K345 K334:K340 K319:K321 K314:K316 K309:K311 K302:K306 K295:K299 K290:K292 K284:K287 K266:K281 K242:K263 K227:K239 K194:K210 K167:K191 K131:K164 K96:K128 K20:K29 K438:K450 K457:K684 K696:K700 K712:K718 K721:K723 K726:K728 K731:K735 K738:K744 K747:K752 K755:K762 K765:K1059</xm:sqref>
        </x14:dataValidation>
        <x14:dataValidation type="list" allowBlank="1" showInputMessage="1" showErrorMessage="1" xr:uid="{00000000-0002-0000-0600-000001000000}">
          <x14:formula1>
            <xm:f>'Basic Data'!$W$2:$W$14</xm:f>
          </x14:formula1>
          <xm:sqref>Z2:Z684 Z695:Z700 Z712:Z718 Z721:Z723 Z726:Z728 Z731:Z735 Z738:Z743 Z747:Z752 Z755:Z762 Z765:Z1060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7C1A0-ECA4-4143-A4C6-A29AEBA2E099}">
  <dimension ref="A1:AS280"/>
  <sheetViews>
    <sheetView workbookViewId="0">
      <pane xSplit="4" ySplit="2" topLeftCell="E72" activePane="bottomRight" state="frozen"/>
      <selection pane="bottomRight" activeCell="H81" sqref="H81"/>
      <selection pane="bottomLeft" activeCell="A3" sqref="A3"/>
      <selection pane="topRight" activeCell="E1" sqref="E1"/>
    </sheetView>
  </sheetViews>
  <sheetFormatPr defaultColWidth="8.7109375" defaultRowHeight="15"/>
  <cols>
    <col min="1" max="1" width="13" style="203" customWidth="1"/>
    <col min="2" max="2" width="12.140625" style="203" customWidth="1"/>
    <col min="3" max="3" width="12.28515625" style="203" customWidth="1"/>
    <col min="4" max="4" width="10.85546875" style="203" customWidth="1"/>
    <col min="5" max="5" width="11.85546875" style="203" bestFit="1" customWidth="1"/>
    <col min="6" max="6" width="10.85546875" style="203" bestFit="1" customWidth="1"/>
    <col min="7" max="7" width="11.85546875" style="203" bestFit="1" customWidth="1"/>
    <col min="8" max="13" width="10.85546875" style="203" bestFit="1" customWidth="1"/>
    <col min="14" max="14" width="11.85546875" style="203" bestFit="1" customWidth="1"/>
    <col min="15" max="16" width="10.85546875" style="203" bestFit="1" customWidth="1"/>
    <col min="17" max="22" width="11.85546875" style="203" bestFit="1" customWidth="1"/>
    <col min="23" max="24" width="10.85546875" style="203" bestFit="1" customWidth="1"/>
    <col min="25" max="29" width="11.85546875" style="203" bestFit="1" customWidth="1"/>
    <col min="30" max="31" width="10.85546875" style="203" bestFit="1" customWidth="1"/>
    <col min="32" max="32" width="9.42578125" style="203" bestFit="1" customWidth="1"/>
    <col min="33" max="33" width="11.85546875" style="203" bestFit="1" customWidth="1"/>
    <col min="34" max="34" width="9.42578125" style="203" bestFit="1" customWidth="1"/>
    <col min="35" max="35" width="11.85546875" style="203" bestFit="1" customWidth="1"/>
    <col min="36" max="37" width="10.85546875" style="203" bestFit="1" customWidth="1"/>
    <col min="38" max="39" width="11.85546875" style="203" bestFit="1" customWidth="1"/>
    <col min="40" max="40" width="10.5703125" style="203" bestFit="1" customWidth="1"/>
    <col min="41" max="41" width="11.85546875" style="203" bestFit="1" customWidth="1"/>
    <col min="42" max="42" width="10.85546875" style="203" bestFit="1" customWidth="1"/>
    <col min="43" max="43" width="11.85546875" style="203" bestFit="1" customWidth="1"/>
    <col min="44" max="44" width="10.5703125" style="203" bestFit="1" customWidth="1"/>
    <col min="45" max="45" width="58.28515625" style="203" bestFit="1" customWidth="1"/>
    <col min="46" max="16384" width="8.7109375" style="203"/>
  </cols>
  <sheetData>
    <row r="1" spans="1:45">
      <c r="A1" s="203">
        <v>1</v>
      </c>
      <c r="B1" s="203">
        <f>A1+1</f>
        <v>2</v>
      </c>
      <c r="C1" s="203">
        <f t="shared" ref="C1:AR1" si="0">B1+1</f>
        <v>3</v>
      </c>
      <c r="D1" s="203">
        <f t="shared" si="0"/>
        <v>4</v>
      </c>
      <c r="E1" s="203">
        <f t="shared" si="0"/>
        <v>5</v>
      </c>
      <c r="F1" s="203">
        <f t="shared" si="0"/>
        <v>6</v>
      </c>
      <c r="G1" s="203">
        <f t="shared" si="0"/>
        <v>7</v>
      </c>
      <c r="H1" s="203">
        <f t="shared" si="0"/>
        <v>8</v>
      </c>
      <c r="I1" s="203">
        <f t="shared" si="0"/>
        <v>9</v>
      </c>
      <c r="J1" s="203">
        <f t="shared" si="0"/>
        <v>10</v>
      </c>
      <c r="K1" s="203">
        <f t="shared" si="0"/>
        <v>11</v>
      </c>
      <c r="L1" s="203">
        <f t="shared" si="0"/>
        <v>12</v>
      </c>
      <c r="M1" s="203">
        <f t="shared" si="0"/>
        <v>13</v>
      </c>
      <c r="N1" s="203">
        <f t="shared" si="0"/>
        <v>14</v>
      </c>
      <c r="O1" s="203">
        <f t="shared" si="0"/>
        <v>15</v>
      </c>
      <c r="P1" s="203">
        <f t="shared" si="0"/>
        <v>16</v>
      </c>
      <c r="Q1" s="203">
        <f t="shared" si="0"/>
        <v>17</v>
      </c>
      <c r="R1" s="203">
        <f t="shared" si="0"/>
        <v>18</v>
      </c>
      <c r="S1" s="203">
        <f t="shared" si="0"/>
        <v>19</v>
      </c>
      <c r="T1" s="203">
        <f t="shared" si="0"/>
        <v>20</v>
      </c>
      <c r="U1" s="203">
        <f t="shared" si="0"/>
        <v>21</v>
      </c>
      <c r="V1" s="203">
        <f t="shared" si="0"/>
        <v>22</v>
      </c>
      <c r="W1" s="203">
        <f t="shared" si="0"/>
        <v>23</v>
      </c>
      <c r="X1" s="203">
        <f t="shared" si="0"/>
        <v>24</v>
      </c>
      <c r="Y1" s="203">
        <f t="shared" si="0"/>
        <v>25</v>
      </c>
      <c r="Z1" s="203">
        <f t="shared" si="0"/>
        <v>26</v>
      </c>
      <c r="AA1" s="203">
        <f t="shared" si="0"/>
        <v>27</v>
      </c>
      <c r="AB1" s="203">
        <f t="shared" si="0"/>
        <v>28</v>
      </c>
      <c r="AC1" s="203">
        <f t="shared" si="0"/>
        <v>29</v>
      </c>
      <c r="AD1" s="203">
        <f t="shared" si="0"/>
        <v>30</v>
      </c>
      <c r="AE1" s="203">
        <f t="shared" si="0"/>
        <v>31</v>
      </c>
      <c r="AF1" s="203">
        <f t="shared" si="0"/>
        <v>32</v>
      </c>
      <c r="AG1" s="203">
        <f t="shared" si="0"/>
        <v>33</v>
      </c>
      <c r="AH1" s="203">
        <f t="shared" si="0"/>
        <v>34</v>
      </c>
      <c r="AI1" s="203">
        <f t="shared" si="0"/>
        <v>35</v>
      </c>
      <c r="AJ1" s="203">
        <f t="shared" si="0"/>
        <v>36</v>
      </c>
      <c r="AK1" s="203">
        <f t="shared" si="0"/>
        <v>37</v>
      </c>
      <c r="AL1" s="203">
        <f t="shared" si="0"/>
        <v>38</v>
      </c>
      <c r="AM1" s="203">
        <f t="shared" si="0"/>
        <v>39</v>
      </c>
      <c r="AN1" s="203">
        <f t="shared" si="0"/>
        <v>40</v>
      </c>
      <c r="AO1" s="203">
        <f t="shared" si="0"/>
        <v>41</v>
      </c>
      <c r="AP1" s="203">
        <f t="shared" si="0"/>
        <v>42</v>
      </c>
      <c r="AQ1" s="203">
        <f t="shared" si="0"/>
        <v>43</v>
      </c>
      <c r="AR1" s="203">
        <f t="shared" si="0"/>
        <v>44</v>
      </c>
    </row>
    <row r="2" spans="1:45" ht="36.950000000000003" customHeight="1">
      <c r="A2" s="204" t="s">
        <v>73</v>
      </c>
      <c r="B2" s="177" t="s">
        <v>3</v>
      </c>
      <c r="C2" s="177" t="s">
        <v>74</v>
      </c>
      <c r="D2" s="177" t="s">
        <v>75</v>
      </c>
      <c r="E2" s="10" t="s">
        <v>115</v>
      </c>
      <c r="F2" s="10" t="s">
        <v>116</v>
      </c>
      <c r="G2" s="10" t="s">
        <v>117</v>
      </c>
      <c r="H2" s="10" t="s">
        <v>118</v>
      </c>
      <c r="I2" s="10" t="s">
        <v>119</v>
      </c>
      <c r="J2" s="10" t="s">
        <v>120</v>
      </c>
      <c r="K2" s="10" t="s">
        <v>121</v>
      </c>
      <c r="L2" s="10" t="s">
        <v>122</v>
      </c>
      <c r="M2" s="10" t="s">
        <v>123</v>
      </c>
      <c r="N2" s="10" t="s">
        <v>124</v>
      </c>
      <c r="O2" s="10" t="s">
        <v>125</v>
      </c>
      <c r="P2" s="10" t="s">
        <v>126</v>
      </c>
      <c r="Q2" s="10" t="s">
        <v>127</v>
      </c>
      <c r="R2" s="10" t="s">
        <v>128</v>
      </c>
      <c r="S2" s="10" t="s">
        <v>129</v>
      </c>
      <c r="T2" s="10" t="s">
        <v>130</v>
      </c>
      <c r="U2" s="10" t="s">
        <v>131</v>
      </c>
      <c r="V2" s="10" t="s">
        <v>132</v>
      </c>
      <c r="W2" s="10" t="s">
        <v>133</v>
      </c>
      <c r="X2" s="10" t="s">
        <v>134</v>
      </c>
      <c r="Y2" s="10" t="s">
        <v>135</v>
      </c>
      <c r="Z2" s="10" t="s">
        <v>136</v>
      </c>
      <c r="AA2" s="10" t="s">
        <v>137</v>
      </c>
      <c r="AB2" s="10" t="s">
        <v>138</v>
      </c>
      <c r="AC2" s="10" t="s">
        <v>139</v>
      </c>
      <c r="AD2" s="10" t="s">
        <v>140</v>
      </c>
      <c r="AE2" s="10" t="s">
        <v>141</v>
      </c>
      <c r="AF2" s="10" t="s">
        <v>142</v>
      </c>
      <c r="AG2" s="10" t="s">
        <v>143</v>
      </c>
      <c r="AH2" s="10" t="s">
        <v>144</v>
      </c>
      <c r="AI2" s="10" t="s">
        <v>145</v>
      </c>
      <c r="AJ2" s="10" t="s">
        <v>146</v>
      </c>
      <c r="AK2" s="10" t="s">
        <v>147</v>
      </c>
      <c r="AL2" s="10" t="s">
        <v>148</v>
      </c>
      <c r="AM2" s="10" t="s">
        <v>149</v>
      </c>
      <c r="AN2" s="10" t="s">
        <v>150</v>
      </c>
      <c r="AO2" s="10" t="s">
        <v>151</v>
      </c>
      <c r="AP2" s="10" t="s">
        <v>152</v>
      </c>
      <c r="AQ2" s="10" t="s">
        <v>153</v>
      </c>
      <c r="AR2" s="177" t="s">
        <v>646</v>
      </c>
      <c r="AS2" s="177" t="s">
        <v>380</v>
      </c>
    </row>
    <row r="3" spans="1:45">
      <c r="A3" s="206">
        <v>45745</v>
      </c>
      <c r="B3" s="203">
        <f>YEAR(Table7[[#This Row],[Date]])+IF(MONTH(Table7[[#This Row],[Date]])&gt;=4,1,0)</f>
        <v>2025</v>
      </c>
      <c r="C3" s="203">
        <f>YEAR(Table7[[#This Row],[Date]])</f>
        <v>2025</v>
      </c>
      <c r="D3" s="205">
        <f t="shared" ref="D3:D35" si="1">A3-DAY(A3)+1</f>
        <v>45717</v>
      </c>
      <c r="AR3" s="203">
        <f t="shared" ref="AR3:AR66" si="2">SUM(E3:AQ3)</f>
        <v>0</v>
      </c>
    </row>
    <row r="4" spans="1:45">
      <c r="A4" s="206">
        <f t="shared" ref="A4:A37" si="3">A3+1</f>
        <v>45746</v>
      </c>
      <c r="B4" s="203">
        <f>YEAR(Table7[[#This Row],[Date]])+IF(MONTH(Table7[[#This Row],[Date]])&gt;=4,1,0)</f>
        <v>2025</v>
      </c>
      <c r="C4" s="203">
        <f>YEAR(Table7[[#This Row],[Date]])</f>
        <v>2025</v>
      </c>
      <c r="D4" s="205">
        <f t="shared" si="1"/>
        <v>45717</v>
      </c>
      <c r="AR4" s="203">
        <f t="shared" si="2"/>
        <v>0</v>
      </c>
    </row>
    <row r="5" spans="1:45">
      <c r="A5" s="206">
        <f t="shared" si="3"/>
        <v>45747</v>
      </c>
      <c r="B5" s="203">
        <f>YEAR(Table7[[#This Row],[Date]])+IF(MONTH(Table7[[#This Row],[Date]])&gt;=4,1,0)</f>
        <v>2025</v>
      </c>
      <c r="C5" s="203">
        <f>YEAR(Table7[[#This Row],[Date]])</f>
        <v>2025</v>
      </c>
      <c r="D5" s="205">
        <f t="shared" si="1"/>
        <v>45717</v>
      </c>
      <c r="E5" s="208">
        <v>2411.4870499999997</v>
      </c>
      <c r="F5" s="208">
        <v>891.6197333333331</v>
      </c>
      <c r="G5" s="208">
        <v>1879.9699166666667</v>
      </c>
      <c r="H5" s="208">
        <v>874.26264999999989</v>
      </c>
      <c r="I5" s="208">
        <v>880.47126666666634</v>
      </c>
      <c r="J5" s="208">
        <v>636.22654999999975</v>
      </c>
      <c r="K5" s="208">
        <v>372.88330000000008</v>
      </c>
      <c r="L5" s="208">
        <v>641.51903333333337</v>
      </c>
      <c r="M5" s="208">
        <v>906.08874999999966</v>
      </c>
      <c r="N5" s="208">
        <v>2260.3940000000007</v>
      </c>
      <c r="O5" s="208">
        <v>383.09098333333333</v>
      </c>
      <c r="P5" s="208">
        <v>377.68645000000021</v>
      </c>
      <c r="Q5" s="208">
        <v>2175.7977833333325</v>
      </c>
      <c r="R5" s="208">
        <v>1993.9216333333334</v>
      </c>
      <c r="S5" s="208">
        <v>1758.4656500000006</v>
      </c>
      <c r="T5" s="208">
        <v>2234.110716666667</v>
      </c>
      <c r="U5" s="208">
        <v>1964.6706833333335</v>
      </c>
      <c r="V5" s="208">
        <v>2190.6097833333329</v>
      </c>
      <c r="W5" s="208">
        <v>441.97923333333341</v>
      </c>
      <c r="X5" s="208">
        <v>670.5095333333328</v>
      </c>
      <c r="Y5" s="208">
        <v>1570.8375833333334</v>
      </c>
      <c r="Z5" s="208">
        <v>1180.1706999999994</v>
      </c>
      <c r="AA5" s="208">
        <v>1761.4244000000006</v>
      </c>
      <c r="AB5" s="208">
        <v>999.70584999999994</v>
      </c>
      <c r="AC5" s="208">
        <v>1757.0460333333331</v>
      </c>
      <c r="AD5" s="208">
        <v>677.21181666666666</v>
      </c>
      <c r="AE5" s="208">
        <v>333.81999999999994</v>
      </c>
      <c r="AF5" s="208">
        <v>0</v>
      </c>
      <c r="AG5" s="208">
        <v>1635.0767333333333</v>
      </c>
      <c r="AH5" s="208">
        <v>0</v>
      </c>
      <c r="AI5" s="208">
        <v>1909.0220500000016</v>
      </c>
      <c r="AJ5" s="208">
        <v>573.77486666666687</v>
      </c>
      <c r="AK5" s="208">
        <v>742.58261666666658</v>
      </c>
      <c r="AL5" s="208">
        <v>1713.1288333333325</v>
      </c>
      <c r="AM5" s="208">
        <v>1709.3144666666656</v>
      </c>
      <c r="AN5" s="208">
        <v>-8.1558666666666682</v>
      </c>
      <c r="AO5" s="208">
        <v>2496.8773666666675</v>
      </c>
      <c r="AP5" s="208">
        <v>783.47119999999995</v>
      </c>
      <c r="AQ5" s="208">
        <v>2020.9579999999989</v>
      </c>
      <c r="AR5" s="208">
        <f t="shared" si="2"/>
        <v>47802.031349999997</v>
      </c>
    </row>
    <row r="6" spans="1:45">
      <c r="A6" s="206">
        <f t="shared" si="3"/>
        <v>45748</v>
      </c>
      <c r="B6" s="203">
        <f>YEAR(Table7[[#This Row],[Date]])+IF(MONTH(Table7[[#This Row],[Date]])&gt;=4,1,0)</f>
        <v>2026</v>
      </c>
      <c r="C6" s="203">
        <f>YEAR(Table7[[#This Row],[Date]])</f>
        <v>2025</v>
      </c>
      <c r="D6" s="205">
        <f t="shared" si="1"/>
        <v>45748</v>
      </c>
      <c r="E6" s="208">
        <v>2322.1235499999998</v>
      </c>
      <c r="F6" s="208">
        <v>880.10806666666656</v>
      </c>
      <c r="G6" s="208">
        <v>2078.5867166666671</v>
      </c>
      <c r="H6" s="208">
        <v>914.56948333333321</v>
      </c>
      <c r="I6" s="208">
        <v>945.84553333333304</v>
      </c>
      <c r="J6" s="208">
        <v>637.99238333333312</v>
      </c>
      <c r="K6" s="208">
        <v>748.2189666666668</v>
      </c>
      <c r="L6" s="208">
        <v>777.13608333333354</v>
      </c>
      <c r="M6" s="208">
        <v>722.79674999999997</v>
      </c>
      <c r="N6" s="208">
        <v>2126.2865000000006</v>
      </c>
      <c r="O6" s="208">
        <v>729.45748333333324</v>
      </c>
      <c r="P6" s="208">
        <v>657.0716166666665</v>
      </c>
      <c r="Q6" s="208">
        <v>2115.4739999999993</v>
      </c>
      <c r="R6" s="208">
        <v>1806.1051666666663</v>
      </c>
      <c r="S6" s="208">
        <v>1979.2855000000009</v>
      </c>
      <c r="T6" s="208">
        <v>2123.0250500000006</v>
      </c>
      <c r="U6" s="208">
        <v>2192.0195166666672</v>
      </c>
      <c r="V6" s="208">
        <v>2109.1037833333339</v>
      </c>
      <c r="W6" s="208">
        <v>708.92223333333322</v>
      </c>
      <c r="X6" s="208">
        <v>620.74770000000001</v>
      </c>
      <c r="Y6" s="208">
        <v>1738.0668333333324</v>
      </c>
      <c r="Z6" s="208">
        <v>1166.9419333333326</v>
      </c>
      <c r="AA6" s="208">
        <v>1782.3726999999997</v>
      </c>
      <c r="AB6" s="208">
        <v>1210.9576333333332</v>
      </c>
      <c r="AC6" s="208">
        <v>1935.1738833333332</v>
      </c>
      <c r="AD6" s="208">
        <v>703.62876666666671</v>
      </c>
      <c r="AE6" s="208">
        <v>551.59069999999974</v>
      </c>
      <c r="AF6" s="208">
        <v>0</v>
      </c>
      <c r="AG6" s="208">
        <v>1232.2376166666668</v>
      </c>
      <c r="AH6" s="208">
        <v>0</v>
      </c>
      <c r="AI6" s="208">
        <v>1843.6910000000007</v>
      </c>
      <c r="AJ6" s="208">
        <v>697.05603333333363</v>
      </c>
      <c r="AK6" s="208">
        <v>823.11351666666633</v>
      </c>
      <c r="AL6" s="208">
        <v>1362.1450333333332</v>
      </c>
      <c r="AM6" s="208">
        <v>1053.6382666666661</v>
      </c>
      <c r="AN6" s="208">
        <v>-3.8062333333333314</v>
      </c>
      <c r="AO6" s="208">
        <v>2338.373583333333</v>
      </c>
      <c r="AP6" s="208">
        <v>824.4840833333335</v>
      </c>
      <c r="AQ6" s="208">
        <v>1543.8372499999984</v>
      </c>
      <c r="AR6" s="208">
        <f t="shared" si="2"/>
        <v>47998.378683333336</v>
      </c>
    </row>
    <row r="7" spans="1:45">
      <c r="A7" s="206">
        <f t="shared" si="3"/>
        <v>45749</v>
      </c>
      <c r="B7" s="203">
        <f>YEAR(Table7[[#This Row],[Date]])+IF(MONTH(Table7[[#This Row],[Date]])&gt;=4,1,0)</f>
        <v>2026</v>
      </c>
      <c r="C7" s="203">
        <f>YEAR(Table7[[#This Row],[Date]])</f>
        <v>2025</v>
      </c>
      <c r="D7" s="205">
        <f t="shared" si="1"/>
        <v>45748</v>
      </c>
      <c r="E7" s="208">
        <v>2637.2191999999995</v>
      </c>
      <c r="F7" s="208">
        <v>1097.0692166666668</v>
      </c>
      <c r="G7" s="208">
        <v>2227.8404333333347</v>
      </c>
      <c r="H7" s="208">
        <v>923.74158333333287</v>
      </c>
      <c r="I7" s="208">
        <v>938.26825000000008</v>
      </c>
      <c r="J7" s="208">
        <v>1297.9406499999998</v>
      </c>
      <c r="K7" s="208">
        <v>808.49928333333344</v>
      </c>
      <c r="L7" s="208">
        <v>1289.6567333333326</v>
      </c>
      <c r="M7" s="208">
        <v>1427.0630333333338</v>
      </c>
      <c r="N7" s="208">
        <v>2544.8210333333336</v>
      </c>
      <c r="O7" s="208">
        <v>855.78409999999985</v>
      </c>
      <c r="P7" s="208">
        <v>904.24945000000048</v>
      </c>
      <c r="Q7" s="208">
        <v>2402.8841500000003</v>
      </c>
      <c r="R7" s="208">
        <v>2695.9842833333341</v>
      </c>
      <c r="S7" s="208">
        <v>2431.9186666666665</v>
      </c>
      <c r="T7" s="208">
        <v>2122.2456166666657</v>
      </c>
      <c r="U7" s="208">
        <v>2309.701666666665</v>
      </c>
      <c r="V7" s="208">
        <v>3275.5916500000003</v>
      </c>
      <c r="W7" s="208">
        <v>852.78766666666684</v>
      </c>
      <c r="X7" s="208">
        <v>1820.6795833333335</v>
      </c>
      <c r="Y7" s="208">
        <v>2426.1540000000005</v>
      </c>
      <c r="Z7" s="208">
        <v>491.63286666666676</v>
      </c>
      <c r="AA7" s="208">
        <v>2794.5913999999998</v>
      </c>
      <c r="AB7" s="208">
        <v>1860.944666666667</v>
      </c>
      <c r="AC7" s="208">
        <v>2885.903716666664</v>
      </c>
      <c r="AD7" s="208">
        <v>1148.8613833333334</v>
      </c>
      <c r="AE7" s="208">
        <v>1083.9292500000004</v>
      </c>
      <c r="AF7" s="208">
        <v>0</v>
      </c>
      <c r="AG7" s="208">
        <v>2614.3131833333332</v>
      </c>
      <c r="AH7" s="208">
        <v>0</v>
      </c>
      <c r="AI7" s="208">
        <v>823.28438333333304</v>
      </c>
      <c r="AJ7" s="208">
        <v>1097.6119666666666</v>
      </c>
      <c r="AK7" s="208">
        <v>1182.3386833333338</v>
      </c>
      <c r="AL7" s="208">
        <v>2677.0024833333332</v>
      </c>
      <c r="AM7" s="208">
        <v>2930.4442166666659</v>
      </c>
      <c r="AN7" s="208">
        <v>-5.8060333333333292</v>
      </c>
      <c r="AO7" s="208">
        <v>3280.2776833333332</v>
      </c>
      <c r="AP7" s="208">
        <v>1180.1251500000005</v>
      </c>
      <c r="AQ7" s="208">
        <v>2777.1324499999987</v>
      </c>
      <c r="AR7" s="208">
        <f t="shared" si="2"/>
        <v>66112.68769999998</v>
      </c>
    </row>
    <row r="8" spans="1:45">
      <c r="A8" s="206">
        <f t="shared" si="3"/>
        <v>45750</v>
      </c>
      <c r="B8" s="203">
        <f>YEAR(Table7[[#This Row],[Date]])+IF(MONTH(Table7[[#This Row],[Date]])&gt;=4,1,0)</f>
        <v>2026</v>
      </c>
      <c r="C8" s="203">
        <f>YEAR(Table7[[#This Row],[Date]])</f>
        <v>2025</v>
      </c>
      <c r="D8" s="205">
        <f t="shared" si="1"/>
        <v>45748</v>
      </c>
      <c r="E8" s="208">
        <v>2246.2058333333325</v>
      </c>
      <c r="F8" s="208">
        <v>999.87633333333338</v>
      </c>
      <c r="G8" s="208">
        <v>2226.0731666666666</v>
      </c>
      <c r="H8" s="208">
        <v>964.80133333333345</v>
      </c>
      <c r="I8" s="208">
        <v>886.52666666666698</v>
      </c>
      <c r="J8" s="208">
        <v>310.4274999999999</v>
      </c>
      <c r="K8" s="208">
        <v>434.63866666666689</v>
      </c>
      <c r="L8" s="208">
        <v>696.49183333333326</v>
      </c>
      <c r="M8" s="208">
        <v>942.52483333333339</v>
      </c>
      <c r="N8" s="208">
        <v>2164.4180000000001</v>
      </c>
      <c r="O8" s="208">
        <v>725.64800000000002</v>
      </c>
      <c r="P8" s="208">
        <v>756.46233333333282</v>
      </c>
      <c r="Q8" s="208">
        <v>2369.3390000000004</v>
      </c>
      <c r="R8" s="208">
        <v>2369.0811666666673</v>
      </c>
      <c r="S8" s="208">
        <v>2227.3578333333335</v>
      </c>
      <c r="T8" s="208">
        <v>2284.8012833333328</v>
      </c>
      <c r="U8" s="208">
        <v>2242.3959999999993</v>
      </c>
      <c r="V8" s="208">
        <v>2133.467783333334</v>
      </c>
      <c r="W8" s="208">
        <v>722.12803333333352</v>
      </c>
      <c r="X8" s="208">
        <v>931.43303333333336</v>
      </c>
      <c r="Y8" s="208">
        <v>2229.9002000000005</v>
      </c>
      <c r="Z8" s="208">
        <v>1362.7018499999995</v>
      </c>
      <c r="AA8" s="208">
        <v>2262.5321833333333</v>
      </c>
      <c r="AB8" s="208">
        <v>1064.1639833333334</v>
      </c>
      <c r="AC8" s="208">
        <v>2218.1311333333329</v>
      </c>
      <c r="AD8" s="208">
        <v>670.96758333333332</v>
      </c>
      <c r="AE8" s="208">
        <v>487.78051666666653</v>
      </c>
      <c r="AF8" s="208">
        <v>0</v>
      </c>
      <c r="AG8" s="208">
        <v>1891.0716666666667</v>
      </c>
      <c r="AH8" s="208">
        <v>0</v>
      </c>
      <c r="AI8" s="208">
        <v>1266.728983333333</v>
      </c>
      <c r="AJ8" s="208">
        <v>571.09806666666668</v>
      </c>
      <c r="AK8" s="208">
        <v>344.84358333333336</v>
      </c>
      <c r="AL8" s="208">
        <v>2159.9288833333335</v>
      </c>
      <c r="AM8" s="208">
        <v>2167.4362666666666</v>
      </c>
      <c r="AN8" s="208">
        <v>-0.62418333333333365</v>
      </c>
      <c r="AO8" s="208">
        <v>1525.8424000000002</v>
      </c>
      <c r="AP8" s="208">
        <v>613.24250000000018</v>
      </c>
      <c r="AQ8" s="208">
        <v>2334.2306166666667</v>
      </c>
      <c r="AR8" s="208">
        <f t="shared" si="2"/>
        <v>51804.07486666667</v>
      </c>
    </row>
    <row r="9" spans="1:45">
      <c r="A9" s="206">
        <f t="shared" si="3"/>
        <v>45751</v>
      </c>
      <c r="B9" s="203">
        <f>YEAR(Table7[[#This Row],[Date]])+IF(MONTH(Table7[[#This Row],[Date]])&gt;=4,1,0)</f>
        <v>2026</v>
      </c>
      <c r="C9" s="203">
        <f>YEAR(Table7[[#This Row],[Date]])</f>
        <v>2025</v>
      </c>
      <c r="D9" s="205">
        <f t="shared" si="1"/>
        <v>45748</v>
      </c>
      <c r="E9" s="208">
        <v>2041.9637666666672</v>
      </c>
      <c r="F9" s="208">
        <v>388.95508333333333</v>
      </c>
      <c r="G9" s="208">
        <v>2124.0230499999998</v>
      </c>
      <c r="H9" s="208">
        <v>127.74198333333328</v>
      </c>
      <c r="I9" s="208">
        <v>918.12168333333295</v>
      </c>
      <c r="J9" s="208">
        <v>83.673766666666666</v>
      </c>
      <c r="K9" s="208">
        <v>539.66433333333327</v>
      </c>
      <c r="L9" s="208">
        <v>499.35776666666669</v>
      </c>
      <c r="M9" s="208">
        <v>465.22986666666651</v>
      </c>
      <c r="N9" s="208">
        <v>2022.4021666666672</v>
      </c>
      <c r="O9" s="208">
        <v>707.97529999999972</v>
      </c>
      <c r="P9" s="208">
        <v>724.69014999999956</v>
      </c>
      <c r="Q9" s="208">
        <v>1884.7469666666668</v>
      </c>
      <c r="R9" s="208">
        <v>2115.7314333333338</v>
      </c>
      <c r="S9" s="208">
        <v>2050.1539666666672</v>
      </c>
      <c r="T9" s="208">
        <v>111.51305000000001</v>
      </c>
      <c r="U9" s="208">
        <v>2221.5963333333339</v>
      </c>
      <c r="V9" s="208">
        <v>2113.498000000001</v>
      </c>
      <c r="W9" s="208">
        <v>747.05383333333327</v>
      </c>
      <c r="X9" s="208">
        <v>736.91550000000007</v>
      </c>
      <c r="Y9" s="208">
        <v>2084.2164333333344</v>
      </c>
      <c r="Z9" s="208">
        <v>1478.5471666666667</v>
      </c>
      <c r="AA9" s="208">
        <v>1975.435833333333</v>
      </c>
      <c r="AB9" s="208">
        <v>888.96533333333355</v>
      </c>
      <c r="AC9" s="208">
        <v>2010.7748333333336</v>
      </c>
      <c r="AD9" s="208">
        <v>476.84566666666626</v>
      </c>
      <c r="AE9" s="208">
        <v>507.57683333333313</v>
      </c>
      <c r="AF9" s="208">
        <v>0</v>
      </c>
      <c r="AG9" s="208">
        <v>2028.1924999999997</v>
      </c>
      <c r="AH9" s="208">
        <v>0</v>
      </c>
      <c r="AI9" s="208">
        <v>1944.1858333333334</v>
      </c>
      <c r="AJ9" s="208">
        <v>451.6691666666664</v>
      </c>
      <c r="AK9" s="208">
        <v>93.741333333333316</v>
      </c>
      <c r="AL9" s="208">
        <v>1857.9228333333333</v>
      </c>
      <c r="AM9" s="208">
        <v>2067.6373333333327</v>
      </c>
      <c r="AN9" s="208">
        <v>-2.4656666666666665</v>
      </c>
      <c r="AO9" s="208">
        <v>2138.7909166666677</v>
      </c>
      <c r="AP9" s="208">
        <v>441.67098333333314</v>
      </c>
      <c r="AQ9" s="208">
        <v>2200.4018333333338</v>
      </c>
      <c r="AR9" s="208">
        <f t="shared" si="2"/>
        <v>45269.117166666671</v>
      </c>
    </row>
    <row r="10" spans="1:45">
      <c r="A10" s="206">
        <f t="shared" si="3"/>
        <v>45752</v>
      </c>
      <c r="B10" s="203">
        <f>YEAR(Table7[[#This Row],[Date]])+IF(MONTH(Table7[[#This Row],[Date]])&gt;=4,1,0)</f>
        <v>2026</v>
      </c>
      <c r="C10" s="203">
        <f>YEAR(Table7[[#This Row],[Date]])</f>
        <v>2025</v>
      </c>
      <c r="D10" s="205">
        <f t="shared" si="1"/>
        <v>45748</v>
      </c>
      <c r="E10" s="208">
        <v>1876.6225833333326</v>
      </c>
      <c r="F10" s="208">
        <v>2453.1843333333345</v>
      </c>
      <c r="G10" s="208">
        <v>1792.9483333333339</v>
      </c>
      <c r="H10" s="208">
        <v>2211.3510000000019</v>
      </c>
      <c r="I10" s="208">
        <v>1764.4128166666674</v>
      </c>
      <c r="J10" s="208">
        <v>1666.3205000000007</v>
      </c>
      <c r="K10" s="208">
        <v>1910.9348333333332</v>
      </c>
      <c r="L10" s="208">
        <v>2018.7831999999994</v>
      </c>
      <c r="M10" s="208">
        <v>1635.861333333334</v>
      </c>
      <c r="N10" s="208">
        <v>1357.6993333333339</v>
      </c>
      <c r="O10" s="208">
        <v>1716.0804999999998</v>
      </c>
      <c r="P10" s="208">
        <v>1716.4269999999992</v>
      </c>
      <c r="Q10" s="208">
        <v>1822.3371166666673</v>
      </c>
      <c r="R10" s="208">
        <v>1593.3716666666669</v>
      </c>
      <c r="S10" s="208">
        <v>1444.4011666666656</v>
      </c>
      <c r="T10" s="208">
        <v>0</v>
      </c>
      <c r="U10" s="208">
        <v>2021.6524999999995</v>
      </c>
      <c r="V10" s="208">
        <v>2078.9626666666668</v>
      </c>
      <c r="W10" s="208">
        <v>2082.5694999999996</v>
      </c>
      <c r="X10" s="208">
        <v>2121.1534999999999</v>
      </c>
      <c r="Y10" s="208">
        <v>2701.0488333333342</v>
      </c>
      <c r="Z10" s="208">
        <v>2515.4811166666677</v>
      </c>
      <c r="AA10" s="208">
        <v>2220.826716666666</v>
      </c>
      <c r="AB10" s="208">
        <v>1930.8067166666656</v>
      </c>
      <c r="AC10" s="208">
        <v>2949.734966666666</v>
      </c>
      <c r="AD10" s="208">
        <v>1640.4507833333346</v>
      </c>
      <c r="AE10" s="208">
        <v>2557.8495500000008</v>
      </c>
      <c r="AF10" s="208">
        <v>0</v>
      </c>
      <c r="AG10" s="208">
        <v>2950.7668333333331</v>
      </c>
      <c r="AH10" s="208">
        <v>0</v>
      </c>
      <c r="AI10" s="208">
        <v>2629.0588666666667</v>
      </c>
      <c r="AJ10" s="208">
        <v>2369.3688500000012</v>
      </c>
      <c r="AK10" s="208">
        <v>2486.7690833333345</v>
      </c>
      <c r="AL10" s="208">
        <v>3025.3162166666657</v>
      </c>
      <c r="AM10" s="208">
        <v>2939.6088833333301</v>
      </c>
      <c r="AN10" s="208">
        <v>3016.1374499999988</v>
      </c>
      <c r="AO10" s="208">
        <v>2372.7200666666658</v>
      </c>
      <c r="AP10" s="208">
        <v>0</v>
      </c>
      <c r="AQ10" s="208">
        <v>2927.9751833333344</v>
      </c>
      <c r="AR10" s="208">
        <f t="shared" si="2"/>
        <v>76518.993999999977</v>
      </c>
    </row>
    <row r="11" spans="1:45">
      <c r="A11" s="206">
        <f t="shared" si="3"/>
        <v>45753</v>
      </c>
      <c r="B11" s="203">
        <f>YEAR(Table7[[#This Row],[Date]])+IF(MONTH(Table7[[#This Row],[Date]])&gt;=4,1,0)</f>
        <v>2026</v>
      </c>
      <c r="C11" s="203">
        <f>YEAR(Table7[[#This Row],[Date]])</f>
        <v>2025</v>
      </c>
      <c r="D11" s="205">
        <f t="shared" si="1"/>
        <v>45748</v>
      </c>
      <c r="E11" s="208">
        <v>1810.34755</v>
      </c>
      <c r="F11" s="208">
        <v>373.70601666666664</v>
      </c>
      <c r="G11" s="208">
        <v>2124.0685833333337</v>
      </c>
      <c r="H11" s="208">
        <v>120.35206666666654</v>
      </c>
      <c r="I11" s="208">
        <v>0</v>
      </c>
      <c r="J11" s="208">
        <v>372.11098333333342</v>
      </c>
      <c r="K11" s="208">
        <v>634.79501666666658</v>
      </c>
      <c r="L11" s="208">
        <v>349.2979666666667</v>
      </c>
      <c r="M11" s="208">
        <v>288.82096666666661</v>
      </c>
      <c r="N11" s="208">
        <v>1822.0808666666658</v>
      </c>
      <c r="O11" s="208">
        <v>624.64033333333373</v>
      </c>
      <c r="P11" s="208">
        <v>638.45799999999986</v>
      </c>
      <c r="Q11" s="208">
        <v>1762.0523166666662</v>
      </c>
      <c r="R11" s="208">
        <v>1807.9779999999989</v>
      </c>
      <c r="S11" s="208">
        <v>1542.3583999999998</v>
      </c>
      <c r="T11" s="208">
        <v>0</v>
      </c>
      <c r="U11" s="208">
        <v>2143.8435000000004</v>
      </c>
      <c r="V11" s="208">
        <v>1837.324666666666</v>
      </c>
      <c r="W11" s="208">
        <v>647.14899999999989</v>
      </c>
      <c r="X11" s="208">
        <v>444.1511666666666</v>
      </c>
      <c r="Y11" s="208">
        <v>2084.2164333333344</v>
      </c>
      <c r="Z11" s="208">
        <v>1478.5471666666667</v>
      </c>
      <c r="AA11" s="208">
        <v>1975.435833333333</v>
      </c>
      <c r="AB11" s="208">
        <v>888.96533333333355</v>
      </c>
      <c r="AC11" s="208">
        <v>2010.7748333333336</v>
      </c>
      <c r="AD11" s="208">
        <v>476.84566666666626</v>
      </c>
      <c r="AE11" s="208">
        <v>507.57683333333313</v>
      </c>
      <c r="AF11" s="208">
        <v>0</v>
      </c>
      <c r="AG11" s="208">
        <v>2028.1924999999997</v>
      </c>
      <c r="AH11" s="208">
        <v>0</v>
      </c>
      <c r="AI11" s="208">
        <v>1944.1858333333334</v>
      </c>
      <c r="AJ11" s="208">
        <v>451.6691666666664</v>
      </c>
      <c r="AK11" s="208">
        <v>93.741333333333316</v>
      </c>
      <c r="AL11" s="208">
        <v>1857.9228333333333</v>
      </c>
      <c r="AM11" s="208">
        <v>2067.6373333333327</v>
      </c>
      <c r="AN11" s="208">
        <v>2145</v>
      </c>
      <c r="AO11" s="208">
        <v>2138.7909166666677</v>
      </c>
      <c r="AP11" s="208">
        <v>441.67098333333314</v>
      </c>
      <c r="AQ11" s="208">
        <v>2200.4018333333338</v>
      </c>
      <c r="AR11" s="208">
        <f t="shared" si="2"/>
        <v>44135.110233333326</v>
      </c>
    </row>
    <row r="12" spans="1:45">
      <c r="A12" s="206">
        <f t="shared" si="3"/>
        <v>45754</v>
      </c>
      <c r="B12" s="203">
        <f>YEAR(Table7[[#This Row],[Date]])+IF(MONTH(Table7[[#This Row],[Date]])&gt;=4,1,0)</f>
        <v>2026</v>
      </c>
      <c r="C12" s="203">
        <f>YEAR(Table7[[#This Row],[Date]])</f>
        <v>2025</v>
      </c>
      <c r="D12" s="205">
        <f t="shared" si="1"/>
        <v>45748</v>
      </c>
      <c r="E12" s="208">
        <v>1891.7157500000003</v>
      </c>
      <c r="F12" s="208">
        <v>673.00799999999992</v>
      </c>
      <c r="G12" s="208">
        <v>2044.8962499999991</v>
      </c>
      <c r="H12" s="208">
        <v>479.92388333333338</v>
      </c>
      <c r="I12" s="208">
        <v>258.39031666666659</v>
      </c>
      <c r="J12" s="208">
        <v>586.39596666666648</v>
      </c>
      <c r="K12" s="208">
        <v>540.29575</v>
      </c>
      <c r="L12" s="208">
        <v>662.54766666666649</v>
      </c>
      <c r="M12" s="208">
        <v>457.55814999999996</v>
      </c>
      <c r="N12" s="208">
        <v>2060.9708000000005</v>
      </c>
      <c r="O12" s="208">
        <v>700.00543333333292</v>
      </c>
      <c r="P12" s="208">
        <v>762.46244999999999</v>
      </c>
      <c r="Q12" s="208">
        <v>2042.7491833333329</v>
      </c>
      <c r="R12" s="208">
        <v>2029.67965</v>
      </c>
      <c r="S12" s="208">
        <v>1694.1446000000005</v>
      </c>
      <c r="T12" s="208">
        <v>0</v>
      </c>
      <c r="U12" s="208">
        <v>2094.733883333332</v>
      </c>
      <c r="V12" s="208">
        <v>2125.3132833333334</v>
      </c>
      <c r="W12" s="208">
        <v>720.47644999999989</v>
      </c>
      <c r="X12" s="208">
        <v>1004.4538666666668</v>
      </c>
      <c r="Y12" s="208">
        <v>944.46948333333319</v>
      </c>
      <c r="Z12" s="208">
        <v>597.19669999999974</v>
      </c>
      <c r="AA12" s="208">
        <v>720.93865000000005</v>
      </c>
      <c r="AB12" s="208">
        <v>16.865766666666666</v>
      </c>
      <c r="AC12" s="208">
        <v>702.99058333333335</v>
      </c>
      <c r="AD12" s="208">
        <v>165.73039999999995</v>
      </c>
      <c r="AE12" s="208">
        <v>-68.187166666666656</v>
      </c>
      <c r="AF12" s="208">
        <v>0</v>
      </c>
      <c r="AG12" s="208">
        <v>725.90679999999986</v>
      </c>
      <c r="AH12" s="208">
        <v>0</v>
      </c>
      <c r="AI12" s="208">
        <v>702.3263833333333</v>
      </c>
      <c r="AJ12" s="208">
        <v>85.569649999999996</v>
      </c>
      <c r="AK12" s="208">
        <v>155.87611666666669</v>
      </c>
      <c r="AL12" s="208">
        <v>729.04363333333322</v>
      </c>
      <c r="AM12" s="208">
        <v>764.1744166666665</v>
      </c>
      <c r="AN12" s="208">
        <v>-1.6386333333333332</v>
      </c>
      <c r="AO12" s="208">
        <v>720.34506666666664</v>
      </c>
      <c r="AP12" s="208">
        <v>710</v>
      </c>
      <c r="AQ12" s="208">
        <v>759.73231666666675</v>
      </c>
      <c r="AR12" s="208">
        <f t="shared" si="2"/>
        <v>31261.061499999996</v>
      </c>
    </row>
    <row r="13" spans="1:45">
      <c r="A13" s="206">
        <f t="shared" si="3"/>
        <v>45755</v>
      </c>
      <c r="B13" s="203">
        <f>YEAR(Table7[[#This Row],[Date]])+IF(MONTH(Table7[[#This Row],[Date]])&gt;=4,1,0)</f>
        <v>2026</v>
      </c>
      <c r="C13" s="203">
        <f>YEAR(Table7[[#This Row],[Date]])</f>
        <v>2025</v>
      </c>
      <c r="D13" s="205">
        <f t="shared" si="1"/>
        <v>45748</v>
      </c>
      <c r="E13" s="208">
        <v>1910.5436500000003</v>
      </c>
      <c r="F13" s="208">
        <v>389.27631666666656</v>
      </c>
      <c r="G13" s="208">
        <v>2048.9177666666674</v>
      </c>
      <c r="H13" s="208">
        <v>-47.814383333333339</v>
      </c>
      <c r="I13" s="208">
        <v>623.87949999999933</v>
      </c>
      <c r="J13" s="208">
        <v>358.62706666666674</v>
      </c>
      <c r="K13" s="208">
        <v>561.9942166666666</v>
      </c>
      <c r="L13" s="208">
        <v>296.78370000000001</v>
      </c>
      <c r="M13" s="208">
        <v>178.84873333333331</v>
      </c>
      <c r="N13" s="208">
        <v>1892.5289999999995</v>
      </c>
      <c r="O13" s="208">
        <v>266.95285000000001</v>
      </c>
      <c r="P13" s="208">
        <v>603.17849999999976</v>
      </c>
      <c r="Q13" s="208">
        <v>1810.7305000000001</v>
      </c>
      <c r="R13" s="208">
        <v>1934.8088333333342</v>
      </c>
      <c r="S13" s="208">
        <v>1567.0378666666672</v>
      </c>
      <c r="T13" s="208">
        <v>0</v>
      </c>
      <c r="U13" s="208">
        <v>2093.9499999999994</v>
      </c>
      <c r="V13" s="208">
        <v>2007.1696666666671</v>
      </c>
      <c r="W13" s="208">
        <v>428.65283333333338</v>
      </c>
      <c r="X13" s="208">
        <v>384.52568333333329</v>
      </c>
      <c r="Y13" s="208">
        <v>2064.9750000000004</v>
      </c>
      <c r="Z13" s="208">
        <v>1452.7388333333331</v>
      </c>
      <c r="AA13" s="208">
        <v>1940.4756666666676</v>
      </c>
      <c r="AB13" s="208">
        <v>51.51666666666668</v>
      </c>
      <c r="AC13" s="208">
        <v>1888.1640000000009</v>
      </c>
      <c r="AD13" s="208">
        <v>376.71999999999997</v>
      </c>
      <c r="AE13" s="208">
        <v>142.92876666666666</v>
      </c>
      <c r="AF13" s="208">
        <v>0</v>
      </c>
      <c r="AG13" s="208">
        <v>1956.1253333333327</v>
      </c>
      <c r="AH13" s="208">
        <v>0</v>
      </c>
      <c r="AI13" s="208">
        <v>1867.1369999999999</v>
      </c>
      <c r="AJ13" s="208">
        <v>107.25991666666668</v>
      </c>
      <c r="AK13" s="208">
        <v>385.3044999999999</v>
      </c>
      <c r="AL13" s="208">
        <v>1937.8511666666666</v>
      </c>
      <c r="AM13" s="208">
        <v>2011.009499999999</v>
      </c>
      <c r="AN13" s="208">
        <v>-9.7051666666666669</v>
      </c>
      <c r="AO13" s="208">
        <v>2026.7744833333338</v>
      </c>
      <c r="AP13" s="208">
        <v>15.593049999999998</v>
      </c>
      <c r="AQ13" s="208">
        <v>2099.0948333333322</v>
      </c>
      <c r="AR13" s="208">
        <f t="shared" si="2"/>
        <v>39624.555850000004</v>
      </c>
    </row>
    <row r="14" spans="1:45">
      <c r="A14" s="206">
        <f t="shared" si="3"/>
        <v>45756</v>
      </c>
      <c r="B14" s="203">
        <f>YEAR(Table7[[#This Row],[Date]])+IF(MONTH(Table7[[#This Row],[Date]])&gt;=4,1,0)</f>
        <v>2026</v>
      </c>
      <c r="C14" s="203">
        <f>YEAR(Table7[[#This Row],[Date]])</f>
        <v>2025</v>
      </c>
      <c r="D14" s="205">
        <f t="shared" si="1"/>
        <v>45748</v>
      </c>
      <c r="E14" s="208">
        <v>616.53243333333342</v>
      </c>
      <c r="F14" s="208">
        <v>137.04673333333326</v>
      </c>
      <c r="G14" s="208">
        <v>567.34203333333346</v>
      </c>
      <c r="H14" s="208">
        <v>36.052350000000004</v>
      </c>
      <c r="I14" s="208">
        <v>752.84203333333335</v>
      </c>
      <c r="J14" s="208">
        <v>203.43821666666665</v>
      </c>
      <c r="K14" s="208">
        <v>198.48964999999998</v>
      </c>
      <c r="L14" s="208">
        <v>242.91606666666664</v>
      </c>
      <c r="M14" s="208">
        <v>0</v>
      </c>
      <c r="N14" s="208">
        <v>437.33828333333327</v>
      </c>
      <c r="O14" s="208">
        <v>202.86698333333328</v>
      </c>
      <c r="P14" s="208">
        <v>495.00813333333343</v>
      </c>
      <c r="Q14" s="208">
        <v>941.90301666666676</v>
      </c>
      <c r="R14" s="208">
        <v>2566.5919333333322</v>
      </c>
      <c r="S14" s="208">
        <v>1891.3042333333342</v>
      </c>
      <c r="T14" s="208">
        <v>427.4052999999999</v>
      </c>
      <c r="U14" s="208">
        <v>2182.9024333333323</v>
      </c>
      <c r="V14" s="208">
        <v>2428.2553666666659</v>
      </c>
      <c r="W14" s="208">
        <v>393.69996666666663</v>
      </c>
      <c r="X14" s="208">
        <v>582.72155000000043</v>
      </c>
      <c r="Y14" s="208">
        <v>2179.2962666666649</v>
      </c>
      <c r="Z14" s="208">
        <v>1444.5756666666666</v>
      </c>
      <c r="AA14" s="208">
        <v>2370.104499999999</v>
      </c>
      <c r="AB14" s="208">
        <v>687.62523333333297</v>
      </c>
      <c r="AC14" s="208">
        <v>2398.0270166666651</v>
      </c>
      <c r="AD14" s="208">
        <v>874.11031666666656</v>
      </c>
      <c r="AE14" s="208">
        <v>818.99668333333375</v>
      </c>
      <c r="AF14" s="208">
        <v>0</v>
      </c>
      <c r="AG14" s="208">
        <v>2465.840666666666</v>
      </c>
      <c r="AH14" s="208">
        <v>0</v>
      </c>
      <c r="AI14" s="208">
        <v>2208.1021166666665</v>
      </c>
      <c r="AJ14" s="208">
        <v>636.86476666666681</v>
      </c>
      <c r="AK14" s="208">
        <v>906.72396666666634</v>
      </c>
      <c r="AL14" s="208">
        <v>2368.0592833333349</v>
      </c>
      <c r="AM14" s="208">
        <v>2513.1358833333325</v>
      </c>
      <c r="AN14" s="208">
        <v>-4.2375833333333333</v>
      </c>
      <c r="AO14" s="208">
        <v>2640.5092666666669</v>
      </c>
      <c r="AP14" s="208">
        <v>0</v>
      </c>
      <c r="AQ14" s="208">
        <v>2760.1330166666658</v>
      </c>
      <c r="AR14" s="208">
        <f t="shared" si="2"/>
        <v>42572.523783333323</v>
      </c>
    </row>
    <row r="15" spans="1:45">
      <c r="A15" s="206">
        <f t="shared" si="3"/>
        <v>45757</v>
      </c>
      <c r="B15" s="203">
        <f>YEAR(Table7[[#This Row],[Date]])+IF(MONTH(Table7[[#This Row],[Date]])&gt;=4,1,0)</f>
        <v>2026</v>
      </c>
      <c r="C15" s="203">
        <f>YEAR(Table7[[#This Row],[Date]])</f>
        <v>2025</v>
      </c>
      <c r="D15" s="205">
        <f t="shared" si="1"/>
        <v>45748</v>
      </c>
      <c r="E15" s="203">
        <v>129</v>
      </c>
      <c r="F15" s="203">
        <v>129</v>
      </c>
      <c r="G15" s="203">
        <v>129</v>
      </c>
      <c r="H15" s="203">
        <v>129</v>
      </c>
      <c r="I15" s="203">
        <v>129</v>
      </c>
      <c r="J15" s="203">
        <v>129</v>
      </c>
      <c r="K15" s="203">
        <v>129</v>
      </c>
      <c r="L15" s="203">
        <v>129</v>
      </c>
      <c r="M15" s="203">
        <v>129</v>
      </c>
      <c r="N15" s="203">
        <v>129</v>
      </c>
      <c r="O15" s="203">
        <v>129</v>
      </c>
      <c r="P15" s="203">
        <v>129</v>
      </c>
      <c r="Q15" s="203">
        <v>129</v>
      </c>
      <c r="R15" s="203">
        <v>129</v>
      </c>
      <c r="S15" s="203">
        <v>129</v>
      </c>
      <c r="T15" s="203">
        <v>129</v>
      </c>
      <c r="U15" s="203">
        <v>129</v>
      </c>
      <c r="V15" s="203">
        <v>129</v>
      </c>
      <c r="W15" s="203">
        <v>129</v>
      </c>
      <c r="X15" s="203">
        <v>129</v>
      </c>
      <c r="Y15" s="203">
        <v>129</v>
      </c>
      <c r="Z15" s="203">
        <v>129</v>
      </c>
      <c r="AA15" s="203">
        <v>129</v>
      </c>
      <c r="AB15" s="203">
        <v>129</v>
      </c>
      <c r="AC15" s="203">
        <v>129</v>
      </c>
      <c r="AD15" s="203">
        <v>129</v>
      </c>
      <c r="AE15" s="203">
        <v>129</v>
      </c>
      <c r="AF15" s="203">
        <v>0</v>
      </c>
      <c r="AG15" s="203">
        <v>129</v>
      </c>
      <c r="AH15" s="203">
        <v>0</v>
      </c>
      <c r="AI15" s="203">
        <v>129</v>
      </c>
      <c r="AJ15" s="203">
        <v>129</v>
      </c>
      <c r="AK15" s="203">
        <v>129</v>
      </c>
      <c r="AL15" s="203">
        <v>129</v>
      </c>
      <c r="AM15" s="203">
        <v>129</v>
      </c>
      <c r="AN15" s="203">
        <v>-5</v>
      </c>
      <c r="AO15" s="203">
        <v>129</v>
      </c>
      <c r="AP15" s="203">
        <v>129</v>
      </c>
      <c r="AQ15" s="203">
        <v>129</v>
      </c>
      <c r="AR15" s="203">
        <f t="shared" si="2"/>
        <v>4639</v>
      </c>
      <c r="AS15" s="220" t="s">
        <v>647</v>
      </c>
    </row>
    <row r="16" spans="1:45">
      <c r="A16" s="206">
        <f t="shared" si="3"/>
        <v>45758</v>
      </c>
      <c r="B16" s="203">
        <f>YEAR(Table7[[#This Row],[Date]])+IF(MONTH(Table7[[#This Row],[Date]])&gt;=4,1,0)</f>
        <v>2026</v>
      </c>
      <c r="C16" s="203">
        <f>YEAR(Table7[[#This Row],[Date]])</f>
        <v>2025</v>
      </c>
      <c r="D16" s="205">
        <f t="shared" si="1"/>
        <v>45748</v>
      </c>
      <c r="E16" s="203">
        <v>0</v>
      </c>
      <c r="F16" s="203">
        <v>0</v>
      </c>
      <c r="G16" s="203">
        <v>0</v>
      </c>
      <c r="H16" s="203">
        <v>0</v>
      </c>
      <c r="I16" s="203">
        <v>0</v>
      </c>
      <c r="J16" s="203">
        <v>0</v>
      </c>
      <c r="K16" s="203">
        <v>0</v>
      </c>
      <c r="L16" s="203">
        <v>0</v>
      </c>
      <c r="M16" s="203">
        <v>0</v>
      </c>
      <c r="N16" s="203">
        <v>0</v>
      </c>
      <c r="O16" s="203">
        <v>0</v>
      </c>
      <c r="P16" s="203">
        <v>0</v>
      </c>
      <c r="Q16" s="203">
        <v>0</v>
      </c>
      <c r="R16" s="203">
        <v>0</v>
      </c>
      <c r="S16" s="203">
        <v>0</v>
      </c>
      <c r="T16" s="203">
        <v>0</v>
      </c>
      <c r="U16" s="203">
        <v>0</v>
      </c>
      <c r="V16" s="203">
        <v>0</v>
      </c>
      <c r="W16" s="203">
        <v>0</v>
      </c>
      <c r="X16" s="203">
        <v>0</v>
      </c>
      <c r="Y16" s="203">
        <v>0</v>
      </c>
      <c r="Z16" s="203">
        <v>0</v>
      </c>
      <c r="AA16" s="203">
        <v>0</v>
      </c>
      <c r="AB16" s="203">
        <v>0</v>
      </c>
      <c r="AC16" s="203">
        <v>0</v>
      </c>
      <c r="AD16" s="203">
        <v>0</v>
      </c>
      <c r="AE16" s="203">
        <v>0</v>
      </c>
      <c r="AF16" s="203">
        <v>0</v>
      </c>
      <c r="AG16" s="203">
        <v>0</v>
      </c>
      <c r="AH16" s="203">
        <v>0</v>
      </c>
      <c r="AI16" s="203">
        <v>0</v>
      </c>
      <c r="AJ16" s="203">
        <v>0</v>
      </c>
      <c r="AK16" s="203">
        <v>0</v>
      </c>
      <c r="AL16" s="203">
        <v>0</v>
      </c>
      <c r="AM16" s="203">
        <v>0</v>
      </c>
      <c r="AN16" s="203">
        <v>0</v>
      </c>
      <c r="AO16" s="203">
        <v>0</v>
      </c>
      <c r="AP16" s="203">
        <v>0</v>
      </c>
      <c r="AQ16" s="203">
        <v>0</v>
      </c>
      <c r="AR16" s="203">
        <f t="shared" si="2"/>
        <v>0</v>
      </c>
      <c r="AS16" s="220" t="s">
        <v>647</v>
      </c>
    </row>
    <row r="17" spans="1:45">
      <c r="A17" s="206">
        <f t="shared" si="3"/>
        <v>45759</v>
      </c>
      <c r="B17" s="203">
        <f>YEAR(Table7[[#This Row],[Date]])+IF(MONTH(Table7[[#This Row],[Date]])&gt;=4,1,0)</f>
        <v>2026</v>
      </c>
      <c r="C17" s="203">
        <f>YEAR(Table7[[#This Row],[Date]])</f>
        <v>2025</v>
      </c>
      <c r="D17" s="205">
        <f t="shared" si="1"/>
        <v>45748</v>
      </c>
      <c r="E17" s="203">
        <v>99</v>
      </c>
      <c r="F17" s="203">
        <v>99</v>
      </c>
      <c r="G17" s="203">
        <v>99</v>
      </c>
      <c r="H17" s="203">
        <v>99</v>
      </c>
      <c r="I17" s="203">
        <v>99</v>
      </c>
      <c r="J17" s="203">
        <v>99</v>
      </c>
      <c r="K17" s="203">
        <v>99</v>
      </c>
      <c r="L17" s="203">
        <v>99</v>
      </c>
      <c r="M17" s="203">
        <v>99</v>
      </c>
      <c r="N17" s="203">
        <v>99</v>
      </c>
      <c r="O17" s="203">
        <v>99</v>
      </c>
      <c r="P17" s="203">
        <v>99</v>
      </c>
      <c r="Q17" s="203">
        <v>99</v>
      </c>
      <c r="R17" s="203">
        <v>99</v>
      </c>
      <c r="S17" s="203">
        <v>99</v>
      </c>
      <c r="T17" s="203">
        <v>99</v>
      </c>
      <c r="U17" s="203">
        <v>99</v>
      </c>
      <c r="V17" s="203">
        <v>99</v>
      </c>
      <c r="W17" s="203">
        <v>99</v>
      </c>
      <c r="X17" s="203">
        <v>99</v>
      </c>
      <c r="Y17" s="203">
        <v>99</v>
      </c>
      <c r="Z17" s="203">
        <v>99</v>
      </c>
      <c r="AA17" s="203">
        <v>99</v>
      </c>
      <c r="AB17" s="203">
        <v>99</v>
      </c>
      <c r="AC17" s="203">
        <v>99</v>
      </c>
      <c r="AD17" s="203">
        <v>99</v>
      </c>
      <c r="AE17" s="203">
        <v>99</v>
      </c>
      <c r="AF17" s="203">
        <v>0</v>
      </c>
      <c r="AG17" s="203">
        <v>99</v>
      </c>
      <c r="AH17" s="203">
        <v>0</v>
      </c>
      <c r="AI17" s="203">
        <v>99</v>
      </c>
      <c r="AJ17" s="203">
        <v>99</v>
      </c>
      <c r="AK17" s="203">
        <v>99</v>
      </c>
      <c r="AL17" s="203">
        <v>99</v>
      </c>
      <c r="AM17" s="203">
        <v>99</v>
      </c>
      <c r="AN17" s="203">
        <v>99</v>
      </c>
      <c r="AO17" s="203">
        <v>99</v>
      </c>
      <c r="AP17" s="203">
        <v>99</v>
      </c>
      <c r="AQ17" s="203">
        <v>99</v>
      </c>
      <c r="AR17" s="203">
        <f t="shared" si="2"/>
        <v>3663</v>
      </c>
      <c r="AS17" s="220" t="s">
        <v>647</v>
      </c>
    </row>
    <row r="18" spans="1:45">
      <c r="A18" s="206">
        <f t="shared" si="3"/>
        <v>45760</v>
      </c>
      <c r="B18" s="203">
        <f>YEAR(Table7[[#This Row],[Date]])+IF(MONTH(Table7[[#This Row],[Date]])&gt;=4,1,0)</f>
        <v>2026</v>
      </c>
      <c r="C18" s="203">
        <f>YEAR(Table7[[#This Row],[Date]])</f>
        <v>2025</v>
      </c>
      <c r="D18" s="205">
        <f t="shared" si="1"/>
        <v>45748</v>
      </c>
      <c r="E18" s="203">
        <v>129</v>
      </c>
      <c r="F18" s="203">
        <v>129</v>
      </c>
      <c r="G18" s="203">
        <v>129</v>
      </c>
      <c r="H18" s="203">
        <v>129</v>
      </c>
      <c r="I18" s="203">
        <v>129</v>
      </c>
      <c r="J18" s="203">
        <v>129</v>
      </c>
      <c r="K18" s="203">
        <v>129</v>
      </c>
      <c r="L18" s="203">
        <v>129</v>
      </c>
      <c r="M18" s="203">
        <v>129</v>
      </c>
      <c r="N18" s="203">
        <v>129</v>
      </c>
      <c r="O18" s="203">
        <v>129</v>
      </c>
      <c r="P18" s="203">
        <v>129</v>
      </c>
      <c r="Q18" s="203">
        <v>129</v>
      </c>
      <c r="R18" s="203">
        <v>129</v>
      </c>
      <c r="S18" s="203">
        <v>129</v>
      </c>
      <c r="T18" s="203">
        <v>129</v>
      </c>
      <c r="U18" s="203">
        <v>129</v>
      </c>
      <c r="V18" s="203">
        <v>129</v>
      </c>
      <c r="W18" s="203">
        <v>129</v>
      </c>
      <c r="X18" s="203">
        <v>129</v>
      </c>
      <c r="Y18" s="203">
        <v>129</v>
      </c>
      <c r="Z18" s="203">
        <v>129</v>
      </c>
      <c r="AA18" s="203">
        <v>129</v>
      </c>
      <c r="AB18" s="203">
        <v>129</v>
      </c>
      <c r="AC18" s="203">
        <v>129</v>
      </c>
      <c r="AD18" s="203">
        <v>129</v>
      </c>
      <c r="AE18" s="203">
        <v>129</v>
      </c>
      <c r="AF18" s="203">
        <v>0</v>
      </c>
      <c r="AG18" s="203">
        <v>129</v>
      </c>
      <c r="AH18" s="203">
        <v>0</v>
      </c>
      <c r="AI18" s="203">
        <v>129</v>
      </c>
      <c r="AJ18" s="203">
        <v>129</v>
      </c>
      <c r="AK18" s="203">
        <v>129</v>
      </c>
      <c r="AL18" s="203">
        <v>129</v>
      </c>
      <c r="AM18" s="203">
        <v>129</v>
      </c>
      <c r="AN18" s="203">
        <v>129</v>
      </c>
      <c r="AO18" s="203">
        <v>129</v>
      </c>
      <c r="AP18" s="203">
        <v>129</v>
      </c>
      <c r="AQ18" s="203">
        <v>129</v>
      </c>
      <c r="AR18" s="203">
        <f t="shared" si="2"/>
        <v>4773</v>
      </c>
      <c r="AS18" s="220" t="s">
        <v>647</v>
      </c>
    </row>
    <row r="19" spans="1:45">
      <c r="A19" s="206">
        <f t="shared" si="3"/>
        <v>45761</v>
      </c>
      <c r="B19" s="203">
        <f>YEAR(Table7[[#This Row],[Date]])+IF(MONTH(Table7[[#This Row],[Date]])&gt;=4,1,0)</f>
        <v>2026</v>
      </c>
      <c r="C19" s="203">
        <f>YEAR(Table7[[#This Row],[Date]])</f>
        <v>2025</v>
      </c>
      <c r="D19" s="205">
        <f t="shared" si="1"/>
        <v>45748</v>
      </c>
      <c r="E19" s="203">
        <v>129</v>
      </c>
      <c r="F19" s="203">
        <v>129</v>
      </c>
      <c r="G19" s="203">
        <v>129</v>
      </c>
      <c r="H19" s="203">
        <v>129</v>
      </c>
      <c r="I19" s="203">
        <v>129</v>
      </c>
      <c r="J19" s="203">
        <v>129</v>
      </c>
      <c r="K19" s="203">
        <v>129</v>
      </c>
      <c r="L19" s="203">
        <v>129</v>
      </c>
      <c r="M19" s="203">
        <v>129</v>
      </c>
      <c r="N19" s="203">
        <v>129</v>
      </c>
      <c r="O19" s="203">
        <v>129</v>
      </c>
      <c r="P19" s="203">
        <v>129</v>
      </c>
      <c r="Q19" s="203">
        <v>129</v>
      </c>
      <c r="R19" s="203">
        <v>129</v>
      </c>
      <c r="S19" s="203">
        <v>129</v>
      </c>
      <c r="T19" s="203">
        <v>129</v>
      </c>
      <c r="U19" s="203">
        <v>129</v>
      </c>
      <c r="V19" s="203">
        <v>129</v>
      </c>
      <c r="W19" s="203">
        <v>129</v>
      </c>
      <c r="X19" s="203">
        <v>129</v>
      </c>
      <c r="Y19" s="203">
        <v>129</v>
      </c>
      <c r="Z19" s="203">
        <v>129</v>
      </c>
      <c r="AA19" s="203">
        <v>129</v>
      </c>
      <c r="AB19" s="203">
        <v>129</v>
      </c>
      <c r="AC19" s="203">
        <v>129</v>
      </c>
      <c r="AD19" s="203">
        <v>129</v>
      </c>
      <c r="AE19" s="203">
        <v>129</v>
      </c>
      <c r="AF19" s="203">
        <v>0</v>
      </c>
      <c r="AG19" s="203">
        <v>129</v>
      </c>
      <c r="AH19" s="203">
        <v>0</v>
      </c>
      <c r="AI19" s="203">
        <v>129</v>
      </c>
      <c r="AJ19" s="203">
        <v>129</v>
      </c>
      <c r="AK19" s="203">
        <v>129</v>
      </c>
      <c r="AL19" s="203">
        <v>129</v>
      </c>
      <c r="AM19" s="203">
        <v>129</v>
      </c>
      <c r="AN19" s="203">
        <v>129</v>
      </c>
      <c r="AO19" s="203">
        <v>129</v>
      </c>
      <c r="AP19" s="203">
        <v>129</v>
      </c>
      <c r="AQ19" s="203">
        <v>129</v>
      </c>
      <c r="AR19" s="203">
        <f t="shared" si="2"/>
        <v>4773</v>
      </c>
      <c r="AS19" s="220" t="s">
        <v>647</v>
      </c>
    </row>
    <row r="20" spans="1:45">
      <c r="A20" s="206">
        <f t="shared" si="3"/>
        <v>45762</v>
      </c>
      <c r="B20" s="203">
        <f>YEAR(Table7[[#This Row],[Date]])+IF(MONTH(Table7[[#This Row],[Date]])&gt;=4,1,0)</f>
        <v>2026</v>
      </c>
      <c r="C20" s="203">
        <f>YEAR(Table7[[#This Row],[Date]])</f>
        <v>2025</v>
      </c>
      <c r="D20" s="205">
        <f t="shared" si="1"/>
        <v>45748</v>
      </c>
      <c r="E20" s="203">
        <v>129</v>
      </c>
      <c r="F20" s="203">
        <v>129</v>
      </c>
      <c r="G20" s="203">
        <v>129</v>
      </c>
      <c r="H20" s="203">
        <v>129</v>
      </c>
      <c r="I20" s="203">
        <v>129</v>
      </c>
      <c r="J20" s="203">
        <v>129</v>
      </c>
      <c r="K20" s="203">
        <v>129</v>
      </c>
      <c r="L20" s="203">
        <v>129</v>
      </c>
      <c r="M20" s="203">
        <v>129</v>
      </c>
      <c r="N20" s="203">
        <v>129</v>
      </c>
      <c r="O20" s="203">
        <v>129</v>
      </c>
      <c r="P20" s="203">
        <v>129</v>
      </c>
      <c r="Q20" s="203">
        <v>129</v>
      </c>
      <c r="R20" s="203">
        <v>129</v>
      </c>
      <c r="S20" s="203">
        <v>129</v>
      </c>
      <c r="T20" s="203">
        <v>129</v>
      </c>
      <c r="U20" s="203">
        <v>129</v>
      </c>
      <c r="V20" s="203">
        <v>129</v>
      </c>
      <c r="W20" s="203">
        <v>129</v>
      </c>
      <c r="X20" s="203">
        <v>129</v>
      </c>
      <c r="Y20" s="203">
        <v>129</v>
      </c>
      <c r="Z20" s="203">
        <v>129</v>
      </c>
      <c r="AA20" s="203">
        <v>129</v>
      </c>
      <c r="AB20" s="203">
        <v>129</v>
      </c>
      <c r="AC20" s="203">
        <v>129</v>
      </c>
      <c r="AD20" s="203">
        <v>129</v>
      </c>
      <c r="AE20" s="203">
        <v>129</v>
      </c>
      <c r="AF20" s="203">
        <v>0</v>
      </c>
      <c r="AG20" s="203">
        <v>129</v>
      </c>
      <c r="AH20" s="203">
        <v>0</v>
      </c>
      <c r="AI20" s="203">
        <v>129</v>
      </c>
      <c r="AJ20" s="203">
        <v>129</v>
      </c>
      <c r="AK20" s="203">
        <v>129</v>
      </c>
      <c r="AL20" s="203">
        <v>129</v>
      </c>
      <c r="AM20" s="203">
        <v>129</v>
      </c>
      <c r="AN20" s="203">
        <v>129</v>
      </c>
      <c r="AO20" s="203">
        <v>129</v>
      </c>
      <c r="AP20" s="203">
        <v>129</v>
      </c>
      <c r="AQ20" s="203">
        <v>129</v>
      </c>
      <c r="AR20" s="203">
        <f t="shared" si="2"/>
        <v>4773</v>
      </c>
      <c r="AS20" s="220" t="s">
        <v>647</v>
      </c>
    </row>
    <row r="21" spans="1:45">
      <c r="A21" s="206">
        <f t="shared" si="3"/>
        <v>45763</v>
      </c>
      <c r="B21" s="203">
        <f>YEAR(Table7[[#This Row],[Date]])+IF(MONTH(Table7[[#This Row],[Date]])&gt;=4,1,0)</f>
        <v>2026</v>
      </c>
      <c r="C21" s="203">
        <f>YEAR(Table7[[#This Row],[Date]])</f>
        <v>2025</v>
      </c>
      <c r="D21" s="205">
        <f t="shared" si="1"/>
        <v>45748</v>
      </c>
      <c r="E21" s="203">
        <v>97</v>
      </c>
      <c r="F21" s="203">
        <v>97</v>
      </c>
      <c r="G21" s="203">
        <v>97</v>
      </c>
      <c r="H21" s="203">
        <v>97</v>
      </c>
      <c r="I21" s="203">
        <v>97</v>
      </c>
      <c r="J21" s="203">
        <v>97</v>
      </c>
      <c r="K21" s="203">
        <v>97</v>
      </c>
      <c r="L21" s="203">
        <v>97</v>
      </c>
      <c r="M21" s="203">
        <v>97</v>
      </c>
      <c r="N21" s="203">
        <v>97</v>
      </c>
      <c r="O21" s="203">
        <v>97</v>
      </c>
      <c r="P21" s="203">
        <v>97</v>
      </c>
      <c r="Q21" s="203">
        <v>97</v>
      </c>
      <c r="R21" s="203">
        <v>97</v>
      </c>
      <c r="S21" s="203">
        <v>97</v>
      </c>
      <c r="T21" s="203">
        <v>97</v>
      </c>
      <c r="U21" s="203">
        <v>97</v>
      </c>
      <c r="V21" s="203">
        <v>97</v>
      </c>
      <c r="W21" s="203">
        <v>97</v>
      </c>
      <c r="X21" s="203">
        <v>97</v>
      </c>
      <c r="Y21" s="203">
        <v>97</v>
      </c>
      <c r="Z21" s="203">
        <v>97</v>
      </c>
      <c r="AA21" s="203">
        <v>97</v>
      </c>
      <c r="AB21" s="203">
        <v>97</v>
      </c>
      <c r="AC21" s="203">
        <v>97</v>
      </c>
      <c r="AD21" s="203">
        <v>97</v>
      </c>
      <c r="AE21" s="203">
        <v>97</v>
      </c>
      <c r="AF21" s="203">
        <v>0</v>
      </c>
      <c r="AG21" s="203">
        <v>97</v>
      </c>
      <c r="AH21" s="203">
        <v>0</v>
      </c>
      <c r="AI21" s="203">
        <v>97</v>
      </c>
      <c r="AJ21" s="203">
        <v>97</v>
      </c>
      <c r="AK21" s="203">
        <v>97</v>
      </c>
      <c r="AL21" s="203">
        <v>97</v>
      </c>
      <c r="AM21" s="203">
        <v>97</v>
      </c>
      <c r="AN21" s="203">
        <v>97</v>
      </c>
      <c r="AO21" s="203">
        <v>97</v>
      </c>
      <c r="AP21" s="203">
        <v>97</v>
      </c>
      <c r="AQ21" s="203">
        <v>97</v>
      </c>
      <c r="AR21" s="203">
        <f t="shared" si="2"/>
        <v>3589</v>
      </c>
      <c r="AS21" s="220" t="s">
        <v>647</v>
      </c>
    </row>
    <row r="22" spans="1:45">
      <c r="A22" s="206">
        <f t="shared" si="3"/>
        <v>45764</v>
      </c>
      <c r="B22" s="203">
        <f>YEAR(Table7[[#This Row],[Date]])+IF(MONTH(Table7[[#This Row],[Date]])&gt;=4,1,0)</f>
        <v>2026</v>
      </c>
      <c r="C22" s="203">
        <f>YEAR(Table7[[#This Row],[Date]])</f>
        <v>2025</v>
      </c>
      <c r="D22" s="205">
        <f t="shared" si="1"/>
        <v>45748</v>
      </c>
      <c r="E22" s="203">
        <v>97</v>
      </c>
      <c r="F22" s="203">
        <v>97</v>
      </c>
      <c r="G22" s="203">
        <v>97</v>
      </c>
      <c r="H22" s="203">
        <v>97</v>
      </c>
      <c r="I22" s="203">
        <v>97</v>
      </c>
      <c r="J22" s="203">
        <v>97</v>
      </c>
      <c r="K22" s="203">
        <v>97</v>
      </c>
      <c r="L22" s="203">
        <v>97</v>
      </c>
      <c r="M22" s="203">
        <v>97</v>
      </c>
      <c r="N22" s="203">
        <v>97</v>
      </c>
      <c r="O22" s="203">
        <v>97</v>
      </c>
      <c r="P22" s="203">
        <v>97</v>
      </c>
      <c r="Q22" s="203">
        <v>97</v>
      </c>
      <c r="R22" s="203">
        <v>97</v>
      </c>
      <c r="S22" s="203">
        <v>97</v>
      </c>
      <c r="T22" s="203">
        <v>97</v>
      </c>
      <c r="U22" s="203">
        <v>97</v>
      </c>
      <c r="V22" s="203">
        <v>97</v>
      </c>
      <c r="W22" s="203">
        <v>97</v>
      </c>
      <c r="X22" s="203">
        <v>97</v>
      </c>
      <c r="Y22" s="203">
        <v>97</v>
      </c>
      <c r="Z22" s="203">
        <v>97</v>
      </c>
      <c r="AA22" s="203">
        <v>97</v>
      </c>
      <c r="AB22" s="203">
        <v>97</v>
      </c>
      <c r="AC22" s="203">
        <v>97</v>
      </c>
      <c r="AD22" s="203">
        <v>97</v>
      </c>
      <c r="AE22" s="203">
        <v>97</v>
      </c>
      <c r="AF22" s="203">
        <v>0</v>
      </c>
      <c r="AG22" s="203">
        <v>97</v>
      </c>
      <c r="AH22" s="203">
        <v>0</v>
      </c>
      <c r="AI22" s="203">
        <v>97</v>
      </c>
      <c r="AJ22" s="203">
        <v>97</v>
      </c>
      <c r="AK22" s="203">
        <v>97</v>
      </c>
      <c r="AL22" s="203">
        <v>97</v>
      </c>
      <c r="AM22" s="203">
        <v>97</v>
      </c>
      <c r="AN22" s="203">
        <v>97</v>
      </c>
      <c r="AO22" s="203">
        <v>97</v>
      </c>
      <c r="AP22" s="203">
        <v>97</v>
      </c>
      <c r="AQ22" s="203">
        <v>97</v>
      </c>
      <c r="AR22" s="203">
        <f t="shared" si="2"/>
        <v>3589</v>
      </c>
      <c r="AS22" s="220" t="s">
        <v>647</v>
      </c>
    </row>
    <row r="23" spans="1:45">
      <c r="A23" s="206">
        <f t="shared" si="3"/>
        <v>45765</v>
      </c>
      <c r="B23" s="203">
        <f>YEAR(Table7[[#This Row],[Date]])+IF(MONTH(Table7[[#This Row],[Date]])&gt;=4,1,0)</f>
        <v>2026</v>
      </c>
      <c r="C23" s="203">
        <f>YEAR(Table7[[#This Row],[Date]])</f>
        <v>2025</v>
      </c>
      <c r="D23" s="205">
        <f t="shared" si="1"/>
        <v>45748</v>
      </c>
      <c r="E23" s="208">
        <v>194.59459459459458</v>
      </c>
      <c r="F23" s="208">
        <v>194.59459459459458</v>
      </c>
      <c r="G23" s="208">
        <v>194.59459459459458</v>
      </c>
      <c r="H23" s="208">
        <v>194.59459459459458</v>
      </c>
      <c r="I23" s="208">
        <v>194.59459459459458</v>
      </c>
      <c r="J23" s="208">
        <v>194.59459459459458</v>
      </c>
      <c r="K23" s="208">
        <v>194.59459459459458</v>
      </c>
      <c r="L23" s="208">
        <v>194.59459459459458</v>
      </c>
      <c r="M23" s="208">
        <v>194.59459459459458</v>
      </c>
      <c r="N23" s="208">
        <v>194.59459459459458</v>
      </c>
      <c r="O23" s="208">
        <v>194.59459459459458</v>
      </c>
      <c r="P23" s="208">
        <v>194.59459459459458</v>
      </c>
      <c r="Q23" s="208">
        <v>194.59459459459458</v>
      </c>
      <c r="R23" s="208">
        <v>194.59459459459458</v>
      </c>
      <c r="S23" s="208">
        <v>194.59459459459458</v>
      </c>
      <c r="T23" s="208">
        <v>194.59459459459458</v>
      </c>
      <c r="U23" s="208">
        <v>194.59459459459458</v>
      </c>
      <c r="V23" s="208">
        <v>194.59459459459458</v>
      </c>
      <c r="W23" s="208">
        <v>194.59459459459458</v>
      </c>
      <c r="X23" s="208">
        <v>194.59459459459458</v>
      </c>
      <c r="Y23" s="208">
        <v>194.59459459459458</v>
      </c>
      <c r="Z23" s="208">
        <v>194.59459459459458</v>
      </c>
      <c r="AA23" s="208">
        <v>194.59459459459458</v>
      </c>
      <c r="AB23" s="208">
        <v>194.59459459459458</v>
      </c>
      <c r="AC23" s="208">
        <v>194.59459459459458</v>
      </c>
      <c r="AD23" s="208">
        <v>194.59459459459458</v>
      </c>
      <c r="AE23" s="208">
        <v>194.59459459459458</v>
      </c>
      <c r="AF23" s="208">
        <v>0</v>
      </c>
      <c r="AG23" s="208">
        <v>194.59459459459458</v>
      </c>
      <c r="AH23" s="208">
        <v>0</v>
      </c>
      <c r="AI23" s="208">
        <v>194.59459459459458</v>
      </c>
      <c r="AJ23" s="208">
        <v>194.59459459459458</v>
      </c>
      <c r="AK23" s="208">
        <v>194.59459459459458</v>
      </c>
      <c r="AL23" s="208">
        <v>194.59459459459458</v>
      </c>
      <c r="AM23" s="208">
        <v>194.59459459459458</v>
      </c>
      <c r="AN23" s="208">
        <v>194.59459459459458</v>
      </c>
      <c r="AO23" s="208">
        <v>194.59459459459458</v>
      </c>
      <c r="AP23" s="208">
        <v>194.59459459459458</v>
      </c>
      <c r="AQ23" s="208">
        <v>194.59459459459458</v>
      </c>
      <c r="AR23" s="208">
        <f t="shared" si="2"/>
        <v>7200.0000000000055</v>
      </c>
      <c r="AS23" s="220" t="s">
        <v>647</v>
      </c>
    </row>
    <row r="24" spans="1:45">
      <c r="A24" s="206">
        <f t="shared" si="3"/>
        <v>45766</v>
      </c>
      <c r="B24" s="203">
        <f>YEAR(Table7[[#This Row],[Date]])+IF(MONTH(Table7[[#This Row],[Date]])&gt;=4,1,0)</f>
        <v>2026</v>
      </c>
      <c r="C24" s="203">
        <f>YEAR(Table7[[#This Row],[Date]])</f>
        <v>2025</v>
      </c>
      <c r="D24" s="205">
        <f t="shared" si="1"/>
        <v>45748</v>
      </c>
      <c r="E24" s="203">
        <v>0</v>
      </c>
      <c r="F24" s="203">
        <v>0</v>
      </c>
      <c r="G24" s="203">
        <v>0</v>
      </c>
      <c r="H24" s="203">
        <v>0</v>
      </c>
      <c r="I24" s="203">
        <v>0</v>
      </c>
      <c r="J24" s="203">
        <v>0</v>
      </c>
      <c r="K24" s="203">
        <v>0</v>
      </c>
      <c r="L24" s="203">
        <v>0</v>
      </c>
      <c r="M24" s="203">
        <v>0</v>
      </c>
      <c r="N24" s="203">
        <v>0</v>
      </c>
      <c r="O24" s="203">
        <v>0</v>
      </c>
      <c r="P24" s="203">
        <v>0</v>
      </c>
      <c r="Q24" s="203">
        <v>0</v>
      </c>
      <c r="R24" s="203">
        <v>0</v>
      </c>
      <c r="S24" s="203">
        <v>0</v>
      </c>
      <c r="T24" s="203">
        <v>0</v>
      </c>
      <c r="U24" s="203">
        <v>0</v>
      </c>
      <c r="V24" s="203">
        <v>0</v>
      </c>
      <c r="W24" s="203">
        <v>0</v>
      </c>
      <c r="X24" s="203">
        <v>0</v>
      </c>
      <c r="Y24" s="203">
        <v>0</v>
      </c>
      <c r="Z24" s="203">
        <v>0</v>
      </c>
      <c r="AA24" s="203">
        <v>0</v>
      </c>
      <c r="AB24" s="203">
        <v>0</v>
      </c>
      <c r="AC24" s="203">
        <v>0</v>
      </c>
      <c r="AD24" s="203">
        <v>0</v>
      </c>
      <c r="AE24" s="203">
        <v>0</v>
      </c>
      <c r="AF24" s="203">
        <v>0</v>
      </c>
      <c r="AG24" s="203">
        <v>0</v>
      </c>
      <c r="AH24" s="203">
        <v>0</v>
      </c>
      <c r="AI24" s="203">
        <v>0</v>
      </c>
      <c r="AJ24" s="203">
        <v>0</v>
      </c>
      <c r="AK24" s="203">
        <v>0</v>
      </c>
      <c r="AL24" s="203">
        <v>0</v>
      </c>
      <c r="AM24" s="203">
        <v>0</v>
      </c>
      <c r="AN24" s="203">
        <v>0</v>
      </c>
      <c r="AO24" s="203">
        <v>0</v>
      </c>
      <c r="AP24" s="203">
        <v>0</v>
      </c>
      <c r="AQ24" s="203">
        <v>0</v>
      </c>
      <c r="AR24" s="203">
        <f t="shared" si="2"/>
        <v>0</v>
      </c>
      <c r="AS24" s="220" t="s">
        <v>647</v>
      </c>
    </row>
    <row r="25" spans="1:45">
      <c r="A25" s="206">
        <f t="shared" si="3"/>
        <v>45767</v>
      </c>
      <c r="B25" s="203">
        <f>YEAR(Table7[[#This Row],[Date]])+IF(MONTH(Table7[[#This Row],[Date]])&gt;=4,1,0)</f>
        <v>2026</v>
      </c>
      <c r="C25" s="203">
        <f>YEAR(Table7[[#This Row],[Date]])</f>
        <v>2025</v>
      </c>
      <c r="D25" s="205">
        <f t="shared" si="1"/>
        <v>45748</v>
      </c>
      <c r="E25" s="203">
        <v>0</v>
      </c>
      <c r="F25" s="203">
        <v>0</v>
      </c>
      <c r="G25" s="203">
        <v>0</v>
      </c>
      <c r="H25" s="203">
        <v>0</v>
      </c>
      <c r="I25" s="203">
        <v>0</v>
      </c>
      <c r="J25" s="203">
        <v>0</v>
      </c>
      <c r="K25" s="203">
        <v>0</v>
      </c>
      <c r="L25" s="203">
        <v>0</v>
      </c>
      <c r="M25" s="203">
        <v>0</v>
      </c>
      <c r="N25" s="203">
        <v>0</v>
      </c>
      <c r="O25" s="203">
        <v>0</v>
      </c>
      <c r="P25" s="203">
        <v>0</v>
      </c>
      <c r="Q25" s="203">
        <v>0</v>
      </c>
      <c r="R25" s="203">
        <v>0</v>
      </c>
      <c r="S25" s="203">
        <v>0</v>
      </c>
      <c r="T25" s="203">
        <v>0</v>
      </c>
      <c r="U25" s="203">
        <v>0</v>
      </c>
      <c r="V25" s="203">
        <v>0</v>
      </c>
      <c r="W25" s="203">
        <v>0</v>
      </c>
      <c r="X25" s="203">
        <v>0</v>
      </c>
      <c r="Y25" s="203">
        <v>0</v>
      </c>
      <c r="Z25" s="203">
        <v>0</v>
      </c>
      <c r="AA25" s="203">
        <v>0</v>
      </c>
      <c r="AB25" s="203">
        <v>0</v>
      </c>
      <c r="AC25" s="203">
        <v>0</v>
      </c>
      <c r="AD25" s="203">
        <v>0</v>
      </c>
      <c r="AE25" s="203">
        <v>0</v>
      </c>
      <c r="AF25" s="203">
        <v>0</v>
      </c>
      <c r="AG25" s="203">
        <v>0</v>
      </c>
      <c r="AH25" s="203">
        <v>0</v>
      </c>
      <c r="AI25" s="203">
        <v>0</v>
      </c>
      <c r="AJ25" s="203">
        <v>0</v>
      </c>
      <c r="AK25" s="203">
        <v>0</v>
      </c>
      <c r="AL25" s="203">
        <v>0</v>
      </c>
      <c r="AM25" s="203">
        <v>0</v>
      </c>
      <c r="AN25" s="203">
        <v>0</v>
      </c>
      <c r="AO25" s="203">
        <v>0</v>
      </c>
      <c r="AP25" s="203">
        <v>0</v>
      </c>
      <c r="AQ25" s="203">
        <v>0</v>
      </c>
      <c r="AR25" s="203">
        <f t="shared" si="2"/>
        <v>0</v>
      </c>
      <c r="AS25" s="220" t="s">
        <v>647</v>
      </c>
    </row>
    <row r="26" spans="1:45">
      <c r="A26" s="206">
        <f t="shared" si="3"/>
        <v>45768</v>
      </c>
      <c r="B26" s="203">
        <f>YEAR(Table7[[#This Row],[Date]])+IF(MONTH(Table7[[#This Row],[Date]])&gt;=4,1,0)</f>
        <v>2026</v>
      </c>
      <c r="C26" s="203">
        <f>YEAR(Table7[[#This Row],[Date]])</f>
        <v>2025</v>
      </c>
      <c r="D26" s="205">
        <f t="shared" si="1"/>
        <v>45748</v>
      </c>
      <c r="E26" s="203">
        <v>227</v>
      </c>
      <c r="F26" s="203">
        <v>227</v>
      </c>
      <c r="G26" s="203">
        <v>227</v>
      </c>
      <c r="H26" s="203">
        <v>227</v>
      </c>
      <c r="I26" s="203">
        <v>227</v>
      </c>
      <c r="J26" s="203">
        <v>227</v>
      </c>
      <c r="K26" s="203">
        <v>227</v>
      </c>
      <c r="L26" s="203">
        <v>227</v>
      </c>
      <c r="M26" s="203">
        <v>227</v>
      </c>
      <c r="N26" s="203">
        <v>227</v>
      </c>
      <c r="O26" s="203">
        <v>227</v>
      </c>
      <c r="P26" s="203">
        <v>227</v>
      </c>
      <c r="Q26" s="203">
        <v>227</v>
      </c>
      <c r="R26" s="203">
        <v>227</v>
      </c>
      <c r="S26" s="203">
        <v>227</v>
      </c>
      <c r="T26" s="203">
        <v>227</v>
      </c>
      <c r="U26" s="203">
        <v>227</v>
      </c>
      <c r="V26" s="203">
        <v>227</v>
      </c>
      <c r="W26" s="203">
        <v>227</v>
      </c>
      <c r="X26" s="203">
        <v>227</v>
      </c>
      <c r="Y26" s="203">
        <v>227</v>
      </c>
      <c r="Z26" s="203">
        <v>227</v>
      </c>
      <c r="AA26" s="203">
        <v>227</v>
      </c>
      <c r="AB26" s="203">
        <v>227</v>
      </c>
      <c r="AC26" s="203">
        <v>227</v>
      </c>
      <c r="AD26" s="203">
        <v>227</v>
      </c>
      <c r="AE26" s="203">
        <v>227</v>
      </c>
      <c r="AF26" s="203">
        <v>0</v>
      </c>
      <c r="AG26" s="203">
        <v>227</v>
      </c>
      <c r="AH26" s="203">
        <v>0</v>
      </c>
      <c r="AI26" s="203">
        <v>227</v>
      </c>
      <c r="AJ26" s="203">
        <v>227</v>
      </c>
      <c r="AK26" s="203">
        <v>227</v>
      </c>
      <c r="AL26" s="203">
        <v>227</v>
      </c>
      <c r="AM26" s="203">
        <v>227</v>
      </c>
      <c r="AN26" s="203">
        <v>227</v>
      </c>
      <c r="AO26" s="203">
        <v>227</v>
      </c>
      <c r="AP26" s="203">
        <v>227</v>
      </c>
      <c r="AQ26" s="203">
        <v>227</v>
      </c>
      <c r="AR26" s="203">
        <f t="shared" si="2"/>
        <v>8399</v>
      </c>
      <c r="AS26" s="220" t="s">
        <v>647</v>
      </c>
    </row>
    <row r="27" spans="1:45">
      <c r="A27" s="206">
        <f t="shared" si="3"/>
        <v>45769</v>
      </c>
      <c r="B27" s="203">
        <f>YEAR(Table7[[#This Row],[Date]])+IF(MONTH(Table7[[#This Row],[Date]])&gt;=4,1,0)</f>
        <v>2026</v>
      </c>
      <c r="C27" s="203">
        <f>YEAR(Table7[[#This Row],[Date]])</f>
        <v>2025</v>
      </c>
      <c r="D27" s="205">
        <f t="shared" si="1"/>
        <v>45748</v>
      </c>
      <c r="E27" s="203">
        <v>227</v>
      </c>
      <c r="F27" s="203">
        <v>227</v>
      </c>
      <c r="G27" s="203">
        <v>227</v>
      </c>
      <c r="H27" s="203">
        <v>227</v>
      </c>
      <c r="I27" s="203">
        <v>227</v>
      </c>
      <c r="J27" s="203">
        <v>227</v>
      </c>
      <c r="K27" s="203">
        <v>227</v>
      </c>
      <c r="L27" s="203">
        <v>227</v>
      </c>
      <c r="M27" s="203">
        <v>227</v>
      </c>
      <c r="N27" s="203">
        <v>227</v>
      </c>
      <c r="O27" s="203">
        <v>227</v>
      </c>
      <c r="P27" s="203">
        <v>227</v>
      </c>
      <c r="Q27" s="203">
        <v>227</v>
      </c>
      <c r="R27" s="203">
        <v>227</v>
      </c>
      <c r="S27" s="203">
        <v>227</v>
      </c>
      <c r="T27" s="203">
        <v>227</v>
      </c>
      <c r="U27" s="203">
        <v>227</v>
      </c>
      <c r="V27" s="203">
        <v>227</v>
      </c>
      <c r="W27" s="203">
        <v>227</v>
      </c>
      <c r="X27" s="203">
        <v>227</v>
      </c>
      <c r="Y27" s="203">
        <v>227</v>
      </c>
      <c r="Z27" s="203">
        <v>227</v>
      </c>
      <c r="AA27" s="203">
        <v>227</v>
      </c>
      <c r="AB27" s="203">
        <v>227</v>
      </c>
      <c r="AC27" s="203">
        <v>227</v>
      </c>
      <c r="AD27" s="203">
        <v>227</v>
      </c>
      <c r="AE27" s="203">
        <v>227</v>
      </c>
      <c r="AF27" s="203">
        <v>0</v>
      </c>
      <c r="AG27" s="203">
        <v>227</v>
      </c>
      <c r="AH27" s="203">
        <v>0</v>
      </c>
      <c r="AI27" s="203">
        <v>227</v>
      </c>
      <c r="AJ27" s="203">
        <v>227</v>
      </c>
      <c r="AK27" s="203">
        <v>227</v>
      </c>
      <c r="AL27" s="203">
        <v>227</v>
      </c>
      <c r="AM27" s="203">
        <v>227</v>
      </c>
      <c r="AN27" s="203">
        <v>227</v>
      </c>
      <c r="AO27" s="203">
        <v>227</v>
      </c>
      <c r="AP27" s="203">
        <v>227</v>
      </c>
      <c r="AQ27" s="203">
        <v>227</v>
      </c>
      <c r="AR27" s="203">
        <f t="shared" si="2"/>
        <v>8399</v>
      </c>
      <c r="AS27" s="220" t="s">
        <v>647</v>
      </c>
    </row>
    <row r="28" spans="1:45">
      <c r="A28" s="206">
        <f t="shared" si="3"/>
        <v>45770</v>
      </c>
      <c r="B28" s="203">
        <f>YEAR(Table7[[#This Row],[Date]])+IF(MONTH(Table7[[#This Row],[Date]])&gt;=4,1,0)</f>
        <v>2026</v>
      </c>
      <c r="C28" s="203">
        <f>YEAR(Table7[[#This Row],[Date]])</f>
        <v>2025</v>
      </c>
      <c r="D28" s="205">
        <f t="shared" si="1"/>
        <v>45748</v>
      </c>
      <c r="E28" s="203">
        <v>195</v>
      </c>
      <c r="F28" s="203">
        <v>195</v>
      </c>
      <c r="G28" s="203">
        <v>195</v>
      </c>
      <c r="H28" s="203">
        <v>195</v>
      </c>
      <c r="I28" s="203">
        <v>195</v>
      </c>
      <c r="J28" s="203">
        <v>195</v>
      </c>
      <c r="K28" s="203">
        <v>195</v>
      </c>
      <c r="L28" s="203">
        <v>195</v>
      </c>
      <c r="M28" s="203">
        <v>195</v>
      </c>
      <c r="N28" s="203">
        <v>195</v>
      </c>
      <c r="O28" s="203">
        <v>195</v>
      </c>
      <c r="P28" s="203">
        <v>195</v>
      </c>
      <c r="Q28" s="203">
        <v>195</v>
      </c>
      <c r="R28" s="203">
        <v>195</v>
      </c>
      <c r="S28" s="203">
        <v>195</v>
      </c>
      <c r="T28" s="203">
        <v>195</v>
      </c>
      <c r="U28" s="203">
        <v>195</v>
      </c>
      <c r="V28" s="203">
        <v>195</v>
      </c>
      <c r="W28" s="203">
        <v>194</v>
      </c>
      <c r="X28" s="203">
        <v>195</v>
      </c>
      <c r="Y28" s="203">
        <v>195</v>
      </c>
      <c r="Z28" s="203">
        <v>193</v>
      </c>
      <c r="AA28" s="203">
        <v>195</v>
      </c>
      <c r="AB28" s="203">
        <v>185</v>
      </c>
      <c r="AC28" s="203">
        <v>195</v>
      </c>
      <c r="AD28" s="203">
        <v>195</v>
      </c>
      <c r="AE28" s="203">
        <v>195</v>
      </c>
      <c r="AF28" s="203">
        <v>0</v>
      </c>
      <c r="AG28" s="203">
        <v>195</v>
      </c>
      <c r="AH28" s="203">
        <v>0</v>
      </c>
      <c r="AI28" s="203">
        <v>193</v>
      </c>
      <c r="AJ28" s="203">
        <v>195</v>
      </c>
      <c r="AK28" s="203">
        <v>195</v>
      </c>
      <c r="AL28" s="203">
        <v>195</v>
      </c>
      <c r="AM28" s="203">
        <v>195</v>
      </c>
      <c r="AN28" s="203">
        <v>195</v>
      </c>
      <c r="AO28" s="203">
        <v>195</v>
      </c>
      <c r="AP28" s="203">
        <v>195</v>
      </c>
      <c r="AQ28" s="203">
        <v>195</v>
      </c>
      <c r="AR28" s="203">
        <f t="shared" si="2"/>
        <v>7200</v>
      </c>
      <c r="AS28" s="220" t="s">
        <v>647</v>
      </c>
    </row>
    <row r="29" spans="1:45">
      <c r="A29" s="206">
        <f t="shared" si="3"/>
        <v>45771</v>
      </c>
      <c r="B29" s="203">
        <f>YEAR(Table7[[#This Row],[Date]])+IF(MONTH(Table7[[#This Row],[Date]])&gt;=4,1,0)</f>
        <v>2026</v>
      </c>
      <c r="C29" s="203">
        <f>YEAR(Table7[[#This Row],[Date]])</f>
        <v>2025</v>
      </c>
      <c r="D29" s="205">
        <f t="shared" si="1"/>
        <v>45748</v>
      </c>
      <c r="E29" s="203">
        <v>259</v>
      </c>
      <c r="F29" s="203">
        <v>259</v>
      </c>
      <c r="G29" s="203">
        <v>259</v>
      </c>
      <c r="H29" s="203">
        <v>259</v>
      </c>
      <c r="I29" s="203">
        <v>259</v>
      </c>
      <c r="J29" s="203">
        <v>259</v>
      </c>
      <c r="K29" s="203">
        <v>259</v>
      </c>
      <c r="L29" s="203">
        <v>259</v>
      </c>
      <c r="M29" s="203">
        <v>259</v>
      </c>
      <c r="N29" s="203">
        <v>259</v>
      </c>
      <c r="O29" s="203">
        <v>259</v>
      </c>
      <c r="P29" s="203">
        <v>259</v>
      </c>
      <c r="Q29" s="203">
        <v>259</v>
      </c>
      <c r="R29" s="203">
        <v>259</v>
      </c>
      <c r="S29" s="203">
        <v>259</v>
      </c>
      <c r="T29" s="203">
        <v>259</v>
      </c>
      <c r="U29" s="203">
        <v>259</v>
      </c>
      <c r="V29" s="203">
        <v>259</v>
      </c>
      <c r="W29" s="203">
        <v>259</v>
      </c>
      <c r="X29" s="203">
        <v>259</v>
      </c>
      <c r="Y29" s="203">
        <v>259</v>
      </c>
      <c r="Z29" s="203">
        <v>259</v>
      </c>
      <c r="AA29" s="203">
        <v>259</v>
      </c>
      <c r="AB29" s="203">
        <v>259</v>
      </c>
      <c r="AC29" s="203">
        <v>259</v>
      </c>
      <c r="AD29" s="203">
        <v>259</v>
      </c>
      <c r="AE29" s="203">
        <v>259</v>
      </c>
      <c r="AF29" s="203">
        <v>0</v>
      </c>
      <c r="AG29" s="203">
        <v>259</v>
      </c>
      <c r="AH29" s="203">
        <v>0</v>
      </c>
      <c r="AI29" s="203">
        <v>259</v>
      </c>
      <c r="AJ29" s="203">
        <v>259</v>
      </c>
      <c r="AK29" s="203">
        <v>259</v>
      </c>
      <c r="AL29" s="203">
        <v>259</v>
      </c>
      <c r="AM29" s="203">
        <v>259</v>
      </c>
      <c r="AN29" s="203">
        <v>259</v>
      </c>
      <c r="AO29" s="203">
        <v>259</v>
      </c>
      <c r="AP29" s="203">
        <v>259</v>
      </c>
      <c r="AQ29" s="203">
        <v>259</v>
      </c>
      <c r="AR29" s="203">
        <f t="shared" si="2"/>
        <v>9583</v>
      </c>
      <c r="AS29" s="220" t="s">
        <v>647</v>
      </c>
    </row>
    <row r="30" spans="1:45">
      <c r="A30" s="206">
        <f t="shared" si="3"/>
        <v>45772</v>
      </c>
      <c r="B30" s="203">
        <f>YEAR(Table7[[#This Row],[Date]])+IF(MONTH(Table7[[#This Row],[Date]])&gt;=4,1,0)</f>
        <v>2026</v>
      </c>
      <c r="C30" s="203">
        <f>YEAR(Table7[[#This Row],[Date]])</f>
        <v>2025</v>
      </c>
      <c r="D30" s="205">
        <f t="shared" si="1"/>
        <v>45748</v>
      </c>
      <c r="E30" s="203">
        <v>65</v>
      </c>
      <c r="F30" s="203">
        <v>65</v>
      </c>
      <c r="G30" s="203">
        <v>65</v>
      </c>
      <c r="H30" s="203">
        <v>65</v>
      </c>
      <c r="I30" s="203">
        <v>65</v>
      </c>
      <c r="J30" s="203">
        <v>65</v>
      </c>
      <c r="K30" s="203">
        <v>65</v>
      </c>
      <c r="L30" s="203">
        <v>65</v>
      </c>
      <c r="M30" s="203">
        <v>65</v>
      </c>
      <c r="N30" s="203">
        <v>65</v>
      </c>
      <c r="O30" s="203">
        <v>65</v>
      </c>
      <c r="P30" s="203">
        <v>65</v>
      </c>
      <c r="Q30" s="203">
        <v>65</v>
      </c>
      <c r="R30" s="203">
        <v>65</v>
      </c>
      <c r="S30" s="203">
        <v>65</v>
      </c>
      <c r="T30" s="203">
        <v>65</v>
      </c>
      <c r="U30" s="203">
        <v>65</v>
      </c>
      <c r="V30" s="203">
        <v>65</v>
      </c>
      <c r="W30" s="203">
        <v>65</v>
      </c>
      <c r="X30" s="203">
        <v>65</v>
      </c>
      <c r="Y30" s="203">
        <v>65</v>
      </c>
      <c r="Z30" s="203">
        <v>65</v>
      </c>
      <c r="AA30" s="203">
        <v>65</v>
      </c>
      <c r="AB30" s="203">
        <v>65</v>
      </c>
      <c r="AC30" s="203">
        <v>65</v>
      </c>
      <c r="AD30" s="203">
        <v>65</v>
      </c>
      <c r="AE30" s="203">
        <v>65</v>
      </c>
      <c r="AF30" s="203">
        <v>0</v>
      </c>
      <c r="AG30" s="203">
        <v>65</v>
      </c>
      <c r="AH30" s="203">
        <v>0</v>
      </c>
      <c r="AI30" s="203">
        <v>65</v>
      </c>
      <c r="AJ30" s="203">
        <v>65</v>
      </c>
      <c r="AK30" s="203">
        <v>65</v>
      </c>
      <c r="AL30" s="203">
        <v>65</v>
      </c>
      <c r="AM30" s="203">
        <v>65</v>
      </c>
      <c r="AN30" s="203">
        <v>65</v>
      </c>
      <c r="AO30" s="203">
        <v>65</v>
      </c>
      <c r="AP30" s="203">
        <v>65</v>
      </c>
      <c r="AQ30" s="203">
        <v>65</v>
      </c>
      <c r="AR30" s="203">
        <f t="shared" si="2"/>
        <v>2405</v>
      </c>
      <c r="AS30" s="220" t="s">
        <v>647</v>
      </c>
    </row>
    <row r="31" spans="1:45">
      <c r="A31" s="206">
        <f t="shared" si="3"/>
        <v>45773</v>
      </c>
      <c r="B31" s="203">
        <f>YEAR(Table7[[#This Row],[Date]])+IF(MONTH(Table7[[#This Row],[Date]])&gt;=4,1,0)</f>
        <v>2026</v>
      </c>
      <c r="C31" s="203">
        <f>YEAR(Table7[[#This Row],[Date]])</f>
        <v>2025</v>
      </c>
      <c r="D31" s="205">
        <f t="shared" si="1"/>
        <v>45748</v>
      </c>
      <c r="E31" s="203">
        <v>65</v>
      </c>
      <c r="F31" s="203">
        <v>65</v>
      </c>
      <c r="G31" s="203">
        <v>65</v>
      </c>
      <c r="H31" s="203">
        <v>65</v>
      </c>
      <c r="I31" s="203">
        <v>65</v>
      </c>
      <c r="J31" s="203">
        <v>65</v>
      </c>
      <c r="K31" s="203">
        <v>65</v>
      </c>
      <c r="L31" s="203">
        <v>65</v>
      </c>
      <c r="M31" s="203">
        <v>65</v>
      </c>
      <c r="N31" s="203">
        <v>65</v>
      </c>
      <c r="O31" s="203">
        <v>65</v>
      </c>
      <c r="P31" s="203">
        <v>65</v>
      </c>
      <c r="Q31" s="203">
        <v>65</v>
      </c>
      <c r="R31" s="203">
        <v>65</v>
      </c>
      <c r="S31" s="203">
        <v>65</v>
      </c>
      <c r="T31" s="203">
        <v>65</v>
      </c>
      <c r="U31" s="203">
        <v>65</v>
      </c>
      <c r="V31" s="203">
        <v>65</v>
      </c>
      <c r="W31" s="203">
        <v>65</v>
      </c>
      <c r="X31" s="203">
        <v>65</v>
      </c>
      <c r="Y31" s="203">
        <v>65</v>
      </c>
      <c r="Z31" s="203">
        <v>65</v>
      </c>
      <c r="AA31" s="203">
        <v>65</v>
      </c>
      <c r="AB31" s="203">
        <v>65</v>
      </c>
      <c r="AC31" s="203">
        <v>65</v>
      </c>
      <c r="AD31" s="203">
        <v>65</v>
      </c>
      <c r="AE31" s="203">
        <v>65</v>
      </c>
      <c r="AF31" s="203">
        <v>0</v>
      </c>
      <c r="AG31" s="203">
        <v>65</v>
      </c>
      <c r="AH31" s="203">
        <v>0</v>
      </c>
      <c r="AI31" s="203">
        <v>65</v>
      </c>
      <c r="AJ31" s="203">
        <v>65</v>
      </c>
      <c r="AK31" s="203">
        <v>65</v>
      </c>
      <c r="AL31" s="203">
        <v>65</v>
      </c>
      <c r="AM31" s="203">
        <v>65</v>
      </c>
      <c r="AN31" s="203">
        <v>65</v>
      </c>
      <c r="AO31" s="203">
        <v>65</v>
      </c>
      <c r="AP31" s="203">
        <v>65</v>
      </c>
      <c r="AQ31" s="203">
        <v>65</v>
      </c>
      <c r="AR31" s="203">
        <f t="shared" si="2"/>
        <v>2405</v>
      </c>
      <c r="AS31" s="220" t="s">
        <v>647</v>
      </c>
    </row>
    <row r="32" spans="1:45">
      <c r="A32" s="206">
        <f t="shared" si="3"/>
        <v>45774</v>
      </c>
      <c r="B32" s="203">
        <f>YEAR(Table7[[#This Row],[Date]])+IF(MONTH(Table7[[#This Row],[Date]])&gt;=4,1,0)</f>
        <v>2026</v>
      </c>
      <c r="C32" s="203">
        <f>YEAR(Table7[[#This Row],[Date]])</f>
        <v>2025</v>
      </c>
      <c r="D32" s="205">
        <f t="shared" si="1"/>
        <v>45748</v>
      </c>
      <c r="E32" s="203">
        <v>227</v>
      </c>
      <c r="F32" s="203">
        <v>227</v>
      </c>
      <c r="G32" s="203">
        <v>227</v>
      </c>
      <c r="H32" s="203">
        <v>227</v>
      </c>
      <c r="I32" s="203">
        <v>227</v>
      </c>
      <c r="J32" s="203">
        <v>227</v>
      </c>
      <c r="K32" s="203">
        <v>227</v>
      </c>
      <c r="L32" s="203">
        <v>227</v>
      </c>
      <c r="M32" s="203">
        <v>227</v>
      </c>
      <c r="N32" s="203">
        <v>227</v>
      </c>
      <c r="O32" s="203">
        <v>227</v>
      </c>
      <c r="P32" s="203">
        <v>227</v>
      </c>
      <c r="Q32" s="203">
        <v>227</v>
      </c>
      <c r="R32" s="203">
        <v>227</v>
      </c>
      <c r="S32" s="203">
        <v>227</v>
      </c>
      <c r="T32" s="203">
        <v>227</v>
      </c>
      <c r="U32" s="203">
        <v>227</v>
      </c>
      <c r="V32" s="203">
        <v>227</v>
      </c>
      <c r="W32" s="203">
        <v>227</v>
      </c>
      <c r="X32" s="203">
        <v>227</v>
      </c>
      <c r="Y32" s="203">
        <v>227</v>
      </c>
      <c r="Z32" s="203">
        <v>227</v>
      </c>
      <c r="AA32" s="203">
        <v>227</v>
      </c>
      <c r="AB32" s="203">
        <v>227</v>
      </c>
      <c r="AC32" s="203">
        <v>227</v>
      </c>
      <c r="AD32" s="203">
        <v>227</v>
      </c>
      <c r="AE32" s="203">
        <v>227</v>
      </c>
      <c r="AF32" s="203">
        <v>0</v>
      </c>
      <c r="AG32" s="203">
        <v>227</v>
      </c>
      <c r="AH32" s="203">
        <v>0</v>
      </c>
      <c r="AI32" s="203">
        <v>227</v>
      </c>
      <c r="AJ32" s="203">
        <v>227</v>
      </c>
      <c r="AK32" s="203">
        <v>227</v>
      </c>
      <c r="AL32" s="203">
        <v>227</v>
      </c>
      <c r="AM32" s="203">
        <v>227</v>
      </c>
      <c r="AN32" s="203">
        <v>227</v>
      </c>
      <c r="AO32" s="203">
        <v>227</v>
      </c>
      <c r="AP32" s="203">
        <v>227</v>
      </c>
      <c r="AQ32" s="203">
        <v>227</v>
      </c>
      <c r="AR32" s="203">
        <f t="shared" si="2"/>
        <v>8399</v>
      </c>
      <c r="AS32" s="220" t="s">
        <v>647</v>
      </c>
    </row>
    <row r="33" spans="1:45">
      <c r="A33" s="206">
        <f t="shared" si="3"/>
        <v>45775</v>
      </c>
      <c r="B33" s="203">
        <f>YEAR(Table7[[#This Row],[Date]])+IF(MONTH(Table7[[#This Row],[Date]])&gt;=4,1,0)</f>
        <v>2026</v>
      </c>
      <c r="C33" s="203">
        <f>YEAR(Table7[[#This Row],[Date]])</f>
        <v>2025</v>
      </c>
      <c r="D33" s="205">
        <f t="shared" si="1"/>
        <v>45748</v>
      </c>
      <c r="E33" s="203">
        <v>162</v>
      </c>
      <c r="F33" s="203">
        <v>162</v>
      </c>
      <c r="G33" s="203">
        <v>162</v>
      </c>
      <c r="H33" s="203">
        <v>162</v>
      </c>
      <c r="I33" s="203">
        <v>162</v>
      </c>
      <c r="J33" s="203">
        <v>162</v>
      </c>
      <c r="K33" s="203">
        <v>162</v>
      </c>
      <c r="L33" s="203">
        <v>162</v>
      </c>
      <c r="M33" s="203">
        <v>162</v>
      </c>
      <c r="N33" s="203">
        <v>162</v>
      </c>
      <c r="O33" s="203">
        <v>162</v>
      </c>
      <c r="P33" s="203">
        <v>162</v>
      </c>
      <c r="Q33" s="203">
        <v>162</v>
      </c>
      <c r="R33" s="203">
        <v>162</v>
      </c>
      <c r="S33" s="203">
        <v>162</v>
      </c>
      <c r="T33" s="203">
        <v>162</v>
      </c>
      <c r="U33" s="203">
        <v>162</v>
      </c>
      <c r="V33" s="203">
        <v>162</v>
      </c>
      <c r="W33" s="203">
        <v>162</v>
      </c>
      <c r="X33" s="203">
        <v>162</v>
      </c>
      <c r="Y33" s="203">
        <v>162</v>
      </c>
      <c r="Z33" s="203">
        <v>162</v>
      </c>
      <c r="AA33" s="203">
        <v>162</v>
      </c>
      <c r="AB33" s="203">
        <v>162</v>
      </c>
      <c r="AC33" s="203">
        <v>162</v>
      </c>
      <c r="AD33" s="203">
        <v>162</v>
      </c>
      <c r="AE33" s="203">
        <v>162</v>
      </c>
      <c r="AF33" s="203">
        <v>0</v>
      </c>
      <c r="AG33" s="203">
        <v>162</v>
      </c>
      <c r="AH33" s="203">
        <v>0</v>
      </c>
      <c r="AI33" s="203">
        <v>162</v>
      </c>
      <c r="AJ33" s="203">
        <v>162</v>
      </c>
      <c r="AK33" s="203">
        <v>162</v>
      </c>
      <c r="AL33" s="203">
        <v>162</v>
      </c>
      <c r="AM33" s="203">
        <v>162</v>
      </c>
      <c r="AN33" s="203">
        <v>162</v>
      </c>
      <c r="AO33" s="203">
        <v>162</v>
      </c>
      <c r="AP33" s="203">
        <v>162</v>
      </c>
      <c r="AQ33" s="203">
        <v>162</v>
      </c>
      <c r="AR33" s="203">
        <f t="shared" si="2"/>
        <v>5994</v>
      </c>
      <c r="AS33" s="220" t="s">
        <v>647</v>
      </c>
    </row>
    <row r="34" spans="1:45">
      <c r="A34" s="206">
        <f t="shared" si="3"/>
        <v>45776</v>
      </c>
      <c r="B34" s="203">
        <f>YEAR(Table7[[#This Row],[Date]])+IF(MONTH(Table7[[#This Row],[Date]])&gt;=4,1,0)</f>
        <v>2026</v>
      </c>
      <c r="C34" s="203">
        <f>YEAR(Table7[[#This Row],[Date]])</f>
        <v>2025</v>
      </c>
      <c r="D34" s="205">
        <f t="shared" si="1"/>
        <v>45748</v>
      </c>
      <c r="E34" s="203">
        <v>195</v>
      </c>
      <c r="F34" s="203">
        <v>195</v>
      </c>
      <c r="G34" s="203">
        <v>195</v>
      </c>
      <c r="H34" s="203">
        <v>195</v>
      </c>
      <c r="I34" s="203">
        <v>195</v>
      </c>
      <c r="J34" s="203">
        <v>195</v>
      </c>
      <c r="K34" s="203">
        <v>195</v>
      </c>
      <c r="L34" s="203">
        <v>195</v>
      </c>
      <c r="M34" s="203">
        <v>195</v>
      </c>
      <c r="N34" s="203">
        <v>195</v>
      </c>
      <c r="O34" s="203">
        <v>195</v>
      </c>
      <c r="P34" s="203">
        <v>195</v>
      </c>
      <c r="Q34" s="203">
        <v>195</v>
      </c>
      <c r="R34" s="203">
        <v>195</v>
      </c>
      <c r="S34" s="203">
        <v>195</v>
      </c>
      <c r="T34" s="203">
        <v>195</v>
      </c>
      <c r="U34" s="203">
        <v>195</v>
      </c>
      <c r="V34" s="203">
        <v>195</v>
      </c>
      <c r="W34" s="203">
        <v>195</v>
      </c>
      <c r="X34" s="203">
        <v>195</v>
      </c>
      <c r="Y34" s="203">
        <v>195</v>
      </c>
      <c r="Z34" s="203">
        <v>195</v>
      </c>
      <c r="AA34" s="203">
        <v>195</v>
      </c>
      <c r="AB34" s="203">
        <v>195</v>
      </c>
      <c r="AC34" s="203">
        <v>195</v>
      </c>
      <c r="AD34" s="203">
        <v>195</v>
      </c>
      <c r="AE34" s="203">
        <v>195</v>
      </c>
      <c r="AF34" s="203">
        <v>0</v>
      </c>
      <c r="AG34" s="203">
        <v>195</v>
      </c>
      <c r="AH34" s="203">
        <v>0</v>
      </c>
      <c r="AI34" s="203">
        <v>195</v>
      </c>
      <c r="AJ34" s="203">
        <v>195</v>
      </c>
      <c r="AK34" s="203">
        <v>195</v>
      </c>
      <c r="AL34" s="203">
        <v>195</v>
      </c>
      <c r="AM34" s="203">
        <v>195</v>
      </c>
      <c r="AN34" s="203">
        <v>195</v>
      </c>
      <c r="AO34" s="203">
        <v>195</v>
      </c>
      <c r="AP34" s="203">
        <v>195</v>
      </c>
      <c r="AQ34" s="203">
        <v>195</v>
      </c>
      <c r="AR34" s="203">
        <f t="shared" si="2"/>
        <v>7215</v>
      </c>
      <c r="AS34" s="220" t="s">
        <v>647</v>
      </c>
    </row>
    <row r="35" spans="1:45">
      <c r="A35" s="206">
        <f t="shared" si="3"/>
        <v>45777</v>
      </c>
      <c r="B35" s="203">
        <f>YEAR(Table7[[#This Row],[Date]])+IF(MONTH(Table7[[#This Row],[Date]])&gt;=4,1,0)</f>
        <v>2026</v>
      </c>
      <c r="C35" s="203">
        <f>YEAR(Table7[[#This Row],[Date]])</f>
        <v>2025</v>
      </c>
      <c r="D35" s="205">
        <f t="shared" si="1"/>
        <v>45748</v>
      </c>
      <c r="E35" s="203">
        <v>65</v>
      </c>
      <c r="F35" s="203">
        <v>65</v>
      </c>
      <c r="G35" s="203">
        <v>65</v>
      </c>
      <c r="H35" s="203">
        <v>65</v>
      </c>
      <c r="I35" s="203">
        <v>65</v>
      </c>
      <c r="J35" s="203">
        <v>65</v>
      </c>
      <c r="K35" s="203">
        <v>65</v>
      </c>
      <c r="L35" s="203">
        <v>65</v>
      </c>
      <c r="M35" s="203">
        <v>65</v>
      </c>
      <c r="N35" s="203">
        <v>65</v>
      </c>
      <c r="O35" s="203">
        <v>65</v>
      </c>
      <c r="P35" s="203">
        <v>65</v>
      </c>
      <c r="Q35" s="203">
        <v>65</v>
      </c>
      <c r="R35" s="203">
        <v>65</v>
      </c>
      <c r="S35" s="203">
        <v>65</v>
      </c>
      <c r="T35" s="203">
        <v>65</v>
      </c>
      <c r="U35" s="203">
        <v>65</v>
      </c>
      <c r="V35" s="203">
        <v>65</v>
      </c>
      <c r="W35" s="203">
        <v>65</v>
      </c>
      <c r="X35" s="203">
        <v>65</v>
      </c>
      <c r="Y35" s="203">
        <v>65</v>
      </c>
      <c r="Z35" s="203">
        <v>65</v>
      </c>
      <c r="AA35" s="203">
        <v>65</v>
      </c>
      <c r="AB35" s="203">
        <v>65</v>
      </c>
      <c r="AC35" s="203">
        <v>65</v>
      </c>
      <c r="AD35" s="203">
        <v>65</v>
      </c>
      <c r="AE35" s="203">
        <v>65</v>
      </c>
      <c r="AF35" s="203">
        <v>0</v>
      </c>
      <c r="AG35" s="203">
        <v>65</v>
      </c>
      <c r="AH35" s="203">
        <v>0</v>
      </c>
      <c r="AI35" s="203">
        <v>65</v>
      </c>
      <c r="AJ35" s="203">
        <v>65</v>
      </c>
      <c r="AK35" s="203">
        <v>65</v>
      </c>
      <c r="AL35" s="203">
        <v>65</v>
      </c>
      <c r="AM35" s="203">
        <v>65</v>
      </c>
      <c r="AN35" s="203">
        <v>65</v>
      </c>
      <c r="AO35" s="203">
        <v>65</v>
      </c>
      <c r="AP35" s="203">
        <v>65</v>
      </c>
      <c r="AQ35" s="203">
        <v>65</v>
      </c>
      <c r="AR35" s="203">
        <f t="shared" si="2"/>
        <v>2405</v>
      </c>
      <c r="AS35" s="220" t="s">
        <v>647</v>
      </c>
    </row>
    <row r="36" spans="1:45">
      <c r="A36" s="206">
        <f t="shared" si="3"/>
        <v>45778</v>
      </c>
      <c r="B36" s="203">
        <f>YEAR(Table7[[#This Row],[Date]])+IF(MONTH(Table7[[#This Row],[Date]])&gt;=4,1,0)</f>
        <v>2026</v>
      </c>
      <c r="C36" s="203">
        <f>YEAR(Table7[[#This Row],[Date]])</f>
        <v>2025</v>
      </c>
      <c r="D36" s="205">
        <f t="shared" ref="D36:D99" si="4">A36-DAY(A36)+1</f>
        <v>45778</v>
      </c>
      <c r="E36" s="203">
        <v>0</v>
      </c>
      <c r="F36" s="203">
        <v>0</v>
      </c>
      <c r="G36" s="203">
        <v>0</v>
      </c>
      <c r="H36" s="203">
        <v>0</v>
      </c>
      <c r="I36" s="203">
        <v>0</v>
      </c>
      <c r="J36" s="203">
        <v>0</v>
      </c>
      <c r="K36" s="203">
        <v>0</v>
      </c>
      <c r="L36" s="203">
        <v>0</v>
      </c>
      <c r="M36" s="203">
        <v>0</v>
      </c>
      <c r="N36" s="203">
        <v>0</v>
      </c>
      <c r="O36" s="203">
        <v>0</v>
      </c>
      <c r="P36" s="203">
        <v>0</v>
      </c>
      <c r="Q36" s="203">
        <v>0</v>
      </c>
      <c r="R36" s="203">
        <v>0</v>
      </c>
      <c r="S36" s="203">
        <v>0</v>
      </c>
      <c r="T36" s="203">
        <v>0</v>
      </c>
      <c r="U36" s="203">
        <v>0</v>
      </c>
      <c r="V36" s="203">
        <v>0</v>
      </c>
      <c r="W36" s="203">
        <v>0</v>
      </c>
      <c r="X36" s="203">
        <v>0</v>
      </c>
      <c r="Y36" s="203">
        <v>0</v>
      </c>
      <c r="Z36" s="203">
        <v>0</v>
      </c>
      <c r="AA36" s="203">
        <v>0</v>
      </c>
      <c r="AB36" s="203">
        <v>0</v>
      </c>
      <c r="AC36" s="203">
        <v>0</v>
      </c>
      <c r="AD36" s="203">
        <v>0</v>
      </c>
      <c r="AE36" s="203">
        <v>0</v>
      </c>
      <c r="AF36" s="203">
        <v>0</v>
      </c>
      <c r="AG36" s="203">
        <v>0</v>
      </c>
      <c r="AH36" s="203">
        <v>0</v>
      </c>
      <c r="AI36" s="203">
        <v>0</v>
      </c>
      <c r="AJ36" s="203">
        <v>0</v>
      </c>
      <c r="AK36" s="203">
        <v>0</v>
      </c>
      <c r="AL36" s="203">
        <v>0</v>
      </c>
      <c r="AM36" s="203">
        <v>0</v>
      </c>
      <c r="AN36" s="203">
        <v>0</v>
      </c>
      <c r="AO36" s="203">
        <v>0</v>
      </c>
      <c r="AP36" s="203">
        <v>0</v>
      </c>
      <c r="AQ36" s="203">
        <v>0</v>
      </c>
      <c r="AR36" s="203">
        <f t="shared" si="2"/>
        <v>0</v>
      </c>
      <c r="AS36" s="220" t="s">
        <v>647</v>
      </c>
    </row>
    <row r="37" spans="1:45">
      <c r="A37" s="206">
        <f t="shared" si="3"/>
        <v>45779</v>
      </c>
      <c r="B37" s="203">
        <f>YEAR(Table7[[#This Row],[Date]])+IF(MONTH(Table7[[#This Row],[Date]])&gt;=4,1,0)</f>
        <v>2026</v>
      </c>
      <c r="C37" s="203">
        <f>YEAR(Table7[[#This Row],[Date]])</f>
        <v>2025</v>
      </c>
      <c r="D37" s="205">
        <f t="shared" si="4"/>
        <v>45778</v>
      </c>
      <c r="E37" s="203">
        <v>162</v>
      </c>
      <c r="F37" s="203">
        <v>162</v>
      </c>
      <c r="G37" s="203">
        <v>162</v>
      </c>
      <c r="H37" s="203">
        <v>162</v>
      </c>
      <c r="I37" s="203">
        <v>162</v>
      </c>
      <c r="J37" s="203">
        <v>162</v>
      </c>
      <c r="K37" s="203">
        <v>162</v>
      </c>
      <c r="L37" s="203">
        <v>162</v>
      </c>
      <c r="M37" s="203">
        <v>162</v>
      </c>
      <c r="N37" s="203">
        <v>162</v>
      </c>
      <c r="O37" s="203">
        <v>162</v>
      </c>
      <c r="P37" s="203">
        <v>162</v>
      </c>
      <c r="Q37" s="203">
        <v>162</v>
      </c>
      <c r="R37" s="203">
        <v>162</v>
      </c>
      <c r="S37" s="203">
        <v>162</v>
      </c>
      <c r="T37" s="203">
        <v>162</v>
      </c>
      <c r="U37" s="203">
        <v>162</v>
      </c>
      <c r="V37" s="203">
        <v>162</v>
      </c>
      <c r="W37" s="203">
        <v>162</v>
      </c>
      <c r="X37" s="203">
        <v>162</v>
      </c>
      <c r="Y37" s="203">
        <v>162</v>
      </c>
      <c r="Z37" s="203">
        <v>162</v>
      </c>
      <c r="AA37" s="203">
        <v>162</v>
      </c>
      <c r="AB37" s="203">
        <v>162</v>
      </c>
      <c r="AC37" s="203">
        <v>162</v>
      </c>
      <c r="AD37" s="203">
        <v>162</v>
      </c>
      <c r="AE37" s="203">
        <v>162</v>
      </c>
      <c r="AF37" s="203">
        <v>0</v>
      </c>
      <c r="AG37" s="203">
        <v>162</v>
      </c>
      <c r="AH37" s="203">
        <v>0</v>
      </c>
      <c r="AI37" s="203">
        <v>162</v>
      </c>
      <c r="AJ37" s="203">
        <v>162</v>
      </c>
      <c r="AK37" s="203">
        <v>162</v>
      </c>
      <c r="AL37" s="203">
        <v>162</v>
      </c>
      <c r="AM37" s="203">
        <v>162</v>
      </c>
      <c r="AN37" s="203">
        <v>162</v>
      </c>
      <c r="AO37" s="203">
        <v>162</v>
      </c>
      <c r="AP37" s="203">
        <v>162</v>
      </c>
      <c r="AQ37" s="203">
        <v>162</v>
      </c>
      <c r="AR37" s="203">
        <f t="shared" si="2"/>
        <v>5994</v>
      </c>
      <c r="AS37" s="220" t="s">
        <v>647</v>
      </c>
    </row>
    <row r="38" spans="1:45">
      <c r="A38" s="206">
        <f t="shared" ref="A38:A101" si="5">A37+1</f>
        <v>45780</v>
      </c>
      <c r="B38" s="203">
        <f>YEAR(Table7[[#This Row],[Date]])+IF(MONTH(Table7[[#This Row],[Date]])&gt;=4,1,0)</f>
        <v>2026</v>
      </c>
      <c r="C38" s="203">
        <f>YEAR(Table7[[#This Row],[Date]])</f>
        <v>2025</v>
      </c>
      <c r="D38" s="205">
        <f t="shared" si="4"/>
        <v>45778</v>
      </c>
      <c r="E38" s="203">
        <v>32</v>
      </c>
      <c r="F38" s="203">
        <v>32</v>
      </c>
      <c r="G38" s="203">
        <v>32</v>
      </c>
      <c r="H38" s="203">
        <v>32</v>
      </c>
      <c r="I38" s="203">
        <v>32</v>
      </c>
      <c r="J38" s="203">
        <v>32</v>
      </c>
      <c r="K38" s="203">
        <v>32</v>
      </c>
      <c r="L38" s="203">
        <v>32</v>
      </c>
      <c r="M38" s="203">
        <v>32</v>
      </c>
      <c r="N38" s="203">
        <v>32</v>
      </c>
      <c r="O38" s="203">
        <v>32</v>
      </c>
      <c r="P38" s="203">
        <v>32</v>
      </c>
      <c r="Q38" s="203">
        <v>32</v>
      </c>
      <c r="R38" s="203">
        <v>32</v>
      </c>
      <c r="S38" s="203">
        <v>32</v>
      </c>
      <c r="T38" s="203">
        <v>32</v>
      </c>
      <c r="U38" s="203">
        <v>32</v>
      </c>
      <c r="V38" s="203">
        <v>32</v>
      </c>
      <c r="W38" s="203">
        <v>32</v>
      </c>
      <c r="X38" s="203">
        <v>32</v>
      </c>
      <c r="Y38" s="203">
        <v>32</v>
      </c>
      <c r="Z38" s="203">
        <v>32</v>
      </c>
      <c r="AA38" s="203">
        <v>32</v>
      </c>
      <c r="AB38" s="203">
        <v>32</v>
      </c>
      <c r="AC38" s="203">
        <v>32</v>
      </c>
      <c r="AD38" s="203">
        <v>32</v>
      </c>
      <c r="AE38" s="203">
        <v>32</v>
      </c>
      <c r="AF38" s="203">
        <v>0</v>
      </c>
      <c r="AG38" s="203">
        <v>32</v>
      </c>
      <c r="AH38" s="203">
        <v>0</v>
      </c>
      <c r="AI38" s="203">
        <v>32</v>
      </c>
      <c r="AJ38" s="203">
        <v>32</v>
      </c>
      <c r="AK38" s="203">
        <v>32</v>
      </c>
      <c r="AL38" s="203">
        <v>32</v>
      </c>
      <c r="AM38" s="203">
        <v>32</v>
      </c>
      <c r="AN38" s="203">
        <v>32</v>
      </c>
      <c r="AO38" s="203">
        <v>32</v>
      </c>
      <c r="AP38" s="203">
        <v>32</v>
      </c>
      <c r="AQ38" s="203">
        <v>32</v>
      </c>
      <c r="AR38" s="203">
        <f t="shared" si="2"/>
        <v>1184</v>
      </c>
      <c r="AS38" s="220" t="s">
        <v>647</v>
      </c>
    </row>
    <row r="39" spans="1:45">
      <c r="A39" s="206">
        <f t="shared" si="5"/>
        <v>45781</v>
      </c>
      <c r="B39" s="203">
        <f>YEAR(Table7[[#This Row],[Date]])+IF(MONTH(Table7[[#This Row],[Date]])&gt;=4,1,0)</f>
        <v>2026</v>
      </c>
      <c r="C39" s="203">
        <f>YEAR(Table7[[#This Row],[Date]])</f>
        <v>2025</v>
      </c>
      <c r="D39" s="205">
        <f t="shared" si="4"/>
        <v>45778</v>
      </c>
      <c r="E39" s="203">
        <v>65</v>
      </c>
      <c r="F39" s="203">
        <v>65</v>
      </c>
      <c r="G39" s="203">
        <v>65</v>
      </c>
      <c r="H39" s="203">
        <v>65</v>
      </c>
      <c r="I39" s="203">
        <v>65</v>
      </c>
      <c r="J39" s="203">
        <v>65</v>
      </c>
      <c r="K39" s="203">
        <v>65</v>
      </c>
      <c r="L39" s="203">
        <v>65</v>
      </c>
      <c r="M39" s="203">
        <v>65</v>
      </c>
      <c r="N39" s="203">
        <v>65</v>
      </c>
      <c r="O39" s="203">
        <v>65</v>
      </c>
      <c r="P39" s="203">
        <v>65</v>
      </c>
      <c r="Q39" s="203">
        <v>65</v>
      </c>
      <c r="R39" s="203">
        <v>65</v>
      </c>
      <c r="S39" s="203">
        <v>65</v>
      </c>
      <c r="T39" s="203">
        <v>65</v>
      </c>
      <c r="U39" s="203">
        <v>65</v>
      </c>
      <c r="V39" s="203">
        <v>65</v>
      </c>
      <c r="W39" s="203">
        <v>65</v>
      </c>
      <c r="X39" s="203">
        <v>65</v>
      </c>
      <c r="Y39" s="203">
        <v>65</v>
      </c>
      <c r="Z39" s="203">
        <v>65</v>
      </c>
      <c r="AA39" s="203">
        <v>65</v>
      </c>
      <c r="AB39" s="203">
        <v>65</v>
      </c>
      <c r="AC39" s="203">
        <v>65</v>
      </c>
      <c r="AD39" s="203">
        <v>65</v>
      </c>
      <c r="AE39" s="203">
        <v>65</v>
      </c>
      <c r="AF39" s="203">
        <v>0</v>
      </c>
      <c r="AG39" s="203">
        <v>65</v>
      </c>
      <c r="AH39" s="203">
        <v>0</v>
      </c>
      <c r="AI39" s="203">
        <v>65</v>
      </c>
      <c r="AJ39" s="203">
        <v>65</v>
      </c>
      <c r="AK39" s="203">
        <v>65</v>
      </c>
      <c r="AL39" s="203">
        <v>65</v>
      </c>
      <c r="AM39" s="203">
        <v>65</v>
      </c>
      <c r="AN39" s="203">
        <v>65</v>
      </c>
      <c r="AO39" s="203">
        <v>65</v>
      </c>
      <c r="AP39" s="203">
        <v>65</v>
      </c>
      <c r="AQ39" s="203">
        <v>65</v>
      </c>
      <c r="AR39" s="203">
        <f t="shared" si="2"/>
        <v>2405</v>
      </c>
      <c r="AS39" s="284" t="s">
        <v>647</v>
      </c>
    </row>
    <row r="40" spans="1:45">
      <c r="A40" s="206">
        <f t="shared" si="5"/>
        <v>45782</v>
      </c>
      <c r="B40" s="203">
        <f>YEAR(Table7[[#This Row],[Date]])+IF(MONTH(Table7[[#This Row],[Date]])&gt;=4,1,0)</f>
        <v>2026</v>
      </c>
      <c r="C40" s="203">
        <f>YEAR(Table7[[#This Row],[Date]])</f>
        <v>2025</v>
      </c>
      <c r="D40" s="205">
        <f t="shared" si="4"/>
        <v>45778</v>
      </c>
      <c r="E40" s="203">
        <v>162</v>
      </c>
      <c r="F40" s="203">
        <v>162</v>
      </c>
      <c r="G40" s="203">
        <v>162</v>
      </c>
      <c r="H40" s="203">
        <v>162</v>
      </c>
      <c r="I40" s="203">
        <v>162</v>
      </c>
      <c r="J40" s="203">
        <v>162</v>
      </c>
      <c r="K40" s="203">
        <v>162</v>
      </c>
      <c r="L40" s="203">
        <v>162</v>
      </c>
      <c r="M40" s="203">
        <v>162</v>
      </c>
      <c r="N40" s="203">
        <v>162</v>
      </c>
      <c r="O40" s="203">
        <v>162</v>
      </c>
      <c r="P40" s="203">
        <v>162</v>
      </c>
      <c r="Q40" s="203">
        <v>162</v>
      </c>
      <c r="R40" s="203">
        <v>162</v>
      </c>
      <c r="S40" s="203">
        <v>162</v>
      </c>
      <c r="T40" s="203">
        <v>162</v>
      </c>
      <c r="U40" s="203">
        <v>162</v>
      </c>
      <c r="V40" s="203">
        <v>162</v>
      </c>
      <c r="W40" s="203">
        <v>162</v>
      </c>
      <c r="X40" s="203">
        <v>162</v>
      </c>
      <c r="Y40" s="203">
        <v>162</v>
      </c>
      <c r="Z40" s="203">
        <v>162</v>
      </c>
      <c r="AA40" s="203">
        <v>162</v>
      </c>
      <c r="AB40" s="203">
        <v>162</v>
      </c>
      <c r="AC40" s="203">
        <v>0</v>
      </c>
      <c r="AD40" s="203">
        <v>162</v>
      </c>
      <c r="AE40" s="203">
        <v>162</v>
      </c>
      <c r="AF40" s="203">
        <v>0</v>
      </c>
      <c r="AG40" s="203">
        <v>162</v>
      </c>
      <c r="AH40" s="203">
        <v>0</v>
      </c>
      <c r="AI40" s="203">
        <v>162</v>
      </c>
      <c r="AJ40" s="203">
        <v>162</v>
      </c>
      <c r="AK40" s="203">
        <v>162</v>
      </c>
      <c r="AL40" s="203">
        <v>162</v>
      </c>
      <c r="AM40" s="203">
        <v>162</v>
      </c>
      <c r="AN40" s="203">
        <v>162</v>
      </c>
      <c r="AO40" s="203">
        <v>162</v>
      </c>
      <c r="AP40" s="203">
        <v>162</v>
      </c>
      <c r="AQ40" s="203">
        <v>162</v>
      </c>
      <c r="AR40" s="203">
        <f t="shared" si="2"/>
        <v>5832</v>
      </c>
      <c r="AS40" s="284" t="s">
        <v>647</v>
      </c>
    </row>
    <row r="41" spans="1:45">
      <c r="A41" s="206">
        <f t="shared" si="5"/>
        <v>45783</v>
      </c>
      <c r="B41" s="203">
        <f>YEAR(Table7[[#This Row],[Date]])+IF(MONTH(Table7[[#This Row],[Date]])&gt;=4,1,0)</f>
        <v>2026</v>
      </c>
      <c r="C41" s="203">
        <f>YEAR(Table7[[#This Row],[Date]])</f>
        <v>2025</v>
      </c>
      <c r="D41" s="205">
        <f t="shared" si="4"/>
        <v>45778</v>
      </c>
      <c r="E41" s="203">
        <v>98</v>
      </c>
      <c r="F41" s="203">
        <v>98</v>
      </c>
      <c r="G41" s="203">
        <v>98</v>
      </c>
      <c r="H41" s="203">
        <v>98</v>
      </c>
      <c r="I41" s="203">
        <v>98</v>
      </c>
      <c r="J41" s="203">
        <v>98</v>
      </c>
      <c r="K41" s="203">
        <v>98</v>
      </c>
      <c r="L41" s="203">
        <v>98</v>
      </c>
      <c r="M41" s="203">
        <v>98</v>
      </c>
      <c r="N41" s="203">
        <v>98</v>
      </c>
      <c r="O41" s="203">
        <v>98</v>
      </c>
      <c r="P41" s="203">
        <v>98</v>
      </c>
      <c r="Q41" s="203">
        <v>98</v>
      </c>
      <c r="R41" s="203">
        <v>98</v>
      </c>
      <c r="S41" s="203">
        <v>98</v>
      </c>
      <c r="T41" s="203">
        <v>98</v>
      </c>
      <c r="U41" s="203">
        <v>98</v>
      </c>
      <c r="V41" s="203">
        <v>98</v>
      </c>
      <c r="W41" s="203">
        <v>98</v>
      </c>
      <c r="X41" s="203">
        <v>98</v>
      </c>
      <c r="Y41" s="203">
        <v>98</v>
      </c>
      <c r="Z41" s="203">
        <v>98</v>
      </c>
      <c r="AA41" s="203">
        <v>98</v>
      </c>
      <c r="AB41" s="203">
        <v>98</v>
      </c>
      <c r="AC41" s="203">
        <v>72</v>
      </c>
      <c r="AD41" s="203">
        <v>98</v>
      </c>
      <c r="AE41" s="203">
        <v>98</v>
      </c>
      <c r="AF41" s="203">
        <v>0</v>
      </c>
      <c r="AG41" s="203">
        <v>98</v>
      </c>
      <c r="AH41" s="203">
        <v>0</v>
      </c>
      <c r="AI41" s="203">
        <v>98</v>
      </c>
      <c r="AJ41" s="203">
        <v>98</v>
      </c>
      <c r="AK41" s="203">
        <v>98</v>
      </c>
      <c r="AL41" s="203">
        <v>98</v>
      </c>
      <c r="AM41" s="203">
        <v>98</v>
      </c>
      <c r="AN41" s="203">
        <v>98</v>
      </c>
      <c r="AO41" s="203">
        <v>98</v>
      </c>
      <c r="AP41" s="203">
        <v>98</v>
      </c>
      <c r="AQ41" s="203">
        <v>98</v>
      </c>
      <c r="AR41" s="203">
        <f t="shared" si="2"/>
        <v>3600</v>
      </c>
      <c r="AS41" s="284" t="s">
        <v>647</v>
      </c>
    </row>
    <row r="42" spans="1:45">
      <c r="A42" s="206">
        <f t="shared" si="5"/>
        <v>45784</v>
      </c>
      <c r="B42" s="203">
        <f>YEAR(Table7[[#This Row],[Date]])+IF(MONTH(Table7[[#This Row],[Date]])&gt;=4,1,0)</f>
        <v>2026</v>
      </c>
      <c r="C42" s="203">
        <f>YEAR(Table7[[#This Row],[Date]])</f>
        <v>2025</v>
      </c>
      <c r="D42" s="205">
        <f t="shared" si="4"/>
        <v>45778</v>
      </c>
      <c r="E42" s="203">
        <v>130</v>
      </c>
      <c r="F42" s="203">
        <v>130</v>
      </c>
      <c r="G42" s="203">
        <v>130</v>
      </c>
      <c r="H42" s="203">
        <v>130</v>
      </c>
      <c r="I42" s="203">
        <v>130</v>
      </c>
      <c r="J42" s="203">
        <v>130</v>
      </c>
      <c r="K42" s="203">
        <v>130</v>
      </c>
      <c r="L42" s="203">
        <v>130</v>
      </c>
      <c r="M42" s="203">
        <v>130</v>
      </c>
      <c r="N42" s="203">
        <v>130</v>
      </c>
      <c r="O42" s="203">
        <v>130</v>
      </c>
      <c r="P42" s="203">
        <v>130</v>
      </c>
      <c r="Q42" s="203">
        <v>130</v>
      </c>
      <c r="R42" s="203">
        <v>130</v>
      </c>
      <c r="S42" s="203">
        <v>130</v>
      </c>
      <c r="T42" s="203">
        <v>130</v>
      </c>
      <c r="U42" s="203">
        <v>130</v>
      </c>
      <c r="V42" s="203">
        <v>130</v>
      </c>
      <c r="W42" s="203">
        <v>130</v>
      </c>
      <c r="X42" s="203">
        <v>130</v>
      </c>
      <c r="Y42" s="203">
        <v>130</v>
      </c>
      <c r="Z42" s="203">
        <v>130</v>
      </c>
      <c r="AA42" s="203">
        <v>130</v>
      </c>
      <c r="AB42" s="203">
        <v>130</v>
      </c>
      <c r="AC42" s="203">
        <v>130</v>
      </c>
      <c r="AD42" s="203">
        <v>130</v>
      </c>
      <c r="AE42" s="203">
        <v>130</v>
      </c>
      <c r="AF42" s="203">
        <v>0</v>
      </c>
      <c r="AG42" s="203">
        <v>130</v>
      </c>
      <c r="AH42" s="203">
        <v>0</v>
      </c>
      <c r="AI42" s="203">
        <v>130</v>
      </c>
      <c r="AJ42" s="203">
        <v>130</v>
      </c>
      <c r="AK42" s="203">
        <v>130</v>
      </c>
      <c r="AL42" s="203">
        <v>130</v>
      </c>
      <c r="AM42" s="203">
        <v>130</v>
      </c>
      <c r="AN42" s="203">
        <v>130</v>
      </c>
      <c r="AO42" s="203">
        <v>130</v>
      </c>
      <c r="AP42" s="203">
        <v>130</v>
      </c>
      <c r="AQ42" s="203">
        <v>130</v>
      </c>
      <c r="AR42" s="203">
        <f t="shared" si="2"/>
        <v>4810</v>
      </c>
      <c r="AS42" s="284" t="s">
        <v>647</v>
      </c>
    </row>
    <row r="43" spans="1:45">
      <c r="A43" s="206">
        <f t="shared" si="5"/>
        <v>45785</v>
      </c>
      <c r="B43" s="203">
        <f>YEAR(Table7[[#This Row],[Date]])+IF(MONTH(Table7[[#This Row],[Date]])&gt;=4,1,0)</f>
        <v>2026</v>
      </c>
      <c r="C43" s="203">
        <f>YEAR(Table7[[#This Row],[Date]])</f>
        <v>2025</v>
      </c>
      <c r="D43" s="205">
        <f t="shared" si="4"/>
        <v>45778</v>
      </c>
      <c r="E43" s="203">
        <v>97</v>
      </c>
      <c r="F43" s="203">
        <v>97</v>
      </c>
      <c r="G43" s="203">
        <v>97</v>
      </c>
      <c r="H43" s="203">
        <v>97</v>
      </c>
      <c r="I43" s="203">
        <v>97</v>
      </c>
      <c r="J43" s="203">
        <v>97</v>
      </c>
      <c r="K43" s="203">
        <v>97</v>
      </c>
      <c r="L43" s="203">
        <v>97</v>
      </c>
      <c r="M43" s="203">
        <v>97</v>
      </c>
      <c r="N43" s="203">
        <v>97</v>
      </c>
      <c r="O43" s="203">
        <v>97</v>
      </c>
      <c r="P43" s="203">
        <v>97</v>
      </c>
      <c r="Q43" s="203">
        <v>97</v>
      </c>
      <c r="R43" s="203">
        <v>97</v>
      </c>
      <c r="S43" s="203">
        <v>97</v>
      </c>
      <c r="T43" s="203">
        <v>97</v>
      </c>
      <c r="U43" s="203">
        <v>97</v>
      </c>
      <c r="V43" s="203">
        <v>97</v>
      </c>
      <c r="W43" s="203">
        <v>97</v>
      </c>
      <c r="X43" s="203">
        <v>97</v>
      </c>
      <c r="Y43" s="203">
        <v>97</v>
      </c>
      <c r="Z43" s="203">
        <v>97</v>
      </c>
      <c r="AA43" s="203">
        <v>97</v>
      </c>
      <c r="AB43" s="203">
        <v>97</v>
      </c>
      <c r="AC43" s="203">
        <v>97</v>
      </c>
      <c r="AD43" s="203">
        <v>97</v>
      </c>
      <c r="AE43" s="203">
        <v>97</v>
      </c>
      <c r="AF43" s="203">
        <v>0</v>
      </c>
      <c r="AG43" s="203">
        <v>97</v>
      </c>
      <c r="AH43" s="203">
        <v>0</v>
      </c>
      <c r="AI43" s="203">
        <v>97</v>
      </c>
      <c r="AJ43" s="203">
        <v>97</v>
      </c>
      <c r="AK43" s="203">
        <v>97</v>
      </c>
      <c r="AL43" s="203">
        <v>97</v>
      </c>
      <c r="AM43" s="203">
        <v>97</v>
      </c>
      <c r="AN43" s="203">
        <v>97</v>
      </c>
      <c r="AO43" s="203">
        <v>97</v>
      </c>
      <c r="AP43" s="203">
        <v>97</v>
      </c>
      <c r="AQ43" s="203">
        <v>97</v>
      </c>
      <c r="AR43" s="203">
        <f t="shared" si="2"/>
        <v>3589</v>
      </c>
      <c r="AS43" s="284" t="s">
        <v>647</v>
      </c>
    </row>
    <row r="44" spans="1:45">
      <c r="A44" s="206">
        <f t="shared" si="5"/>
        <v>45786</v>
      </c>
      <c r="B44" s="203">
        <f>YEAR(Table7[[#This Row],[Date]])+IF(MONTH(Table7[[#This Row],[Date]])&gt;=4,1,0)</f>
        <v>2026</v>
      </c>
      <c r="C44" s="203">
        <f>YEAR(Table7[[#This Row],[Date]])</f>
        <v>2025</v>
      </c>
      <c r="D44" s="205">
        <f t="shared" si="4"/>
        <v>45778</v>
      </c>
      <c r="E44" s="203">
        <v>422</v>
      </c>
      <c r="F44" s="203">
        <v>422</v>
      </c>
      <c r="G44" s="203">
        <v>422</v>
      </c>
      <c r="H44" s="203">
        <v>422</v>
      </c>
      <c r="I44" s="203">
        <v>422</v>
      </c>
      <c r="J44" s="203">
        <v>422</v>
      </c>
      <c r="K44" s="203">
        <v>422</v>
      </c>
      <c r="L44" s="203">
        <v>422</v>
      </c>
      <c r="M44" s="203">
        <v>422</v>
      </c>
      <c r="N44" s="203">
        <v>422</v>
      </c>
      <c r="O44" s="203">
        <v>422</v>
      </c>
      <c r="P44" s="203">
        <v>422</v>
      </c>
      <c r="Q44" s="203">
        <v>422</v>
      </c>
      <c r="R44" s="203">
        <v>422</v>
      </c>
      <c r="S44" s="203">
        <v>422</v>
      </c>
      <c r="T44" s="203">
        <v>422</v>
      </c>
      <c r="U44" s="203">
        <v>422</v>
      </c>
      <c r="V44" s="203">
        <v>422</v>
      </c>
      <c r="W44" s="203">
        <v>422</v>
      </c>
      <c r="X44" s="203">
        <v>422</v>
      </c>
      <c r="Y44" s="203">
        <v>422</v>
      </c>
      <c r="Z44" s="203">
        <v>422</v>
      </c>
      <c r="AA44" s="203">
        <v>422</v>
      </c>
      <c r="AB44" s="203">
        <v>422</v>
      </c>
      <c r="AC44" s="203">
        <v>422</v>
      </c>
      <c r="AD44" s="203">
        <v>422</v>
      </c>
      <c r="AE44" s="203">
        <v>422</v>
      </c>
      <c r="AF44" s="203">
        <v>0</v>
      </c>
      <c r="AG44" s="203">
        <v>422</v>
      </c>
      <c r="AH44" s="203">
        <v>0</v>
      </c>
      <c r="AI44" s="203">
        <v>422</v>
      </c>
      <c r="AJ44" s="203">
        <v>422</v>
      </c>
      <c r="AK44" s="203">
        <v>422</v>
      </c>
      <c r="AL44" s="203">
        <v>422</v>
      </c>
      <c r="AM44" s="203">
        <v>422</v>
      </c>
      <c r="AN44" s="203">
        <v>422</v>
      </c>
      <c r="AO44" s="203">
        <v>422</v>
      </c>
      <c r="AP44" s="203">
        <v>422</v>
      </c>
      <c r="AQ44" s="203">
        <v>422</v>
      </c>
      <c r="AR44" s="203">
        <f t="shared" si="2"/>
        <v>15614</v>
      </c>
      <c r="AS44" s="284" t="s">
        <v>647</v>
      </c>
    </row>
    <row r="45" spans="1:45">
      <c r="A45" s="206">
        <f t="shared" si="5"/>
        <v>45787</v>
      </c>
      <c r="B45" s="203">
        <f>YEAR(Table7[[#This Row],[Date]])+IF(MONTH(Table7[[#This Row],[Date]])&gt;=4,1,0)</f>
        <v>2026</v>
      </c>
      <c r="C45" s="203">
        <f>YEAR(Table7[[#This Row],[Date]])</f>
        <v>2025</v>
      </c>
      <c r="D45" s="205">
        <f t="shared" si="4"/>
        <v>45778</v>
      </c>
      <c r="E45" s="203">
        <v>291</v>
      </c>
      <c r="F45" s="203">
        <v>291</v>
      </c>
      <c r="G45" s="203">
        <v>291</v>
      </c>
      <c r="H45" s="203">
        <v>291</v>
      </c>
      <c r="I45" s="203">
        <v>291</v>
      </c>
      <c r="J45" s="203">
        <v>291</v>
      </c>
      <c r="K45" s="203">
        <v>291</v>
      </c>
      <c r="L45" s="203">
        <v>291</v>
      </c>
      <c r="M45" s="203">
        <v>291</v>
      </c>
      <c r="N45" s="203">
        <v>291</v>
      </c>
      <c r="O45" s="203">
        <v>291</v>
      </c>
      <c r="P45" s="203">
        <v>291</v>
      </c>
      <c r="Q45" s="203">
        <v>291</v>
      </c>
      <c r="R45" s="203">
        <v>291</v>
      </c>
      <c r="S45" s="203">
        <v>291</v>
      </c>
      <c r="T45" s="203">
        <v>291</v>
      </c>
      <c r="U45" s="203">
        <v>291</v>
      </c>
      <c r="V45" s="203">
        <v>291</v>
      </c>
      <c r="W45" s="203">
        <v>291</v>
      </c>
      <c r="X45" s="203">
        <v>291</v>
      </c>
      <c r="Y45" s="203">
        <v>291</v>
      </c>
      <c r="Z45" s="203">
        <v>291</v>
      </c>
      <c r="AA45" s="203">
        <v>291</v>
      </c>
      <c r="AB45" s="203">
        <v>291</v>
      </c>
      <c r="AC45" s="203">
        <v>291</v>
      </c>
      <c r="AD45" s="203">
        <v>291</v>
      </c>
      <c r="AE45" s="203">
        <v>291</v>
      </c>
      <c r="AF45" s="203">
        <v>0</v>
      </c>
      <c r="AG45" s="203">
        <v>291</v>
      </c>
      <c r="AH45" s="203">
        <v>0</v>
      </c>
      <c r="AI45" s="203">
        <v>291</v>
      </c>
      <c r="AJ45" s="203">
        <v>291</v>
      </c>
      <c r="AK45" s="203">
        <v>291</v>
      </c>
      <c r="AL45" s="203">
        <v>291</v>
      </c>
      <c r="AM45" s="203">
        <v>291</v>
      </c>
      <c r="AN45" s="203">
        <v>291</v>
      </c>
      <c r="AO45" s="203">
        <v>291</v>
      </c>
      <c r="AP45" s="203">
        <v>291</v>
      </c>
      <c r="AQ45" s="203">
        <v>291</v>
      </c>
      <c r="AR45" s="203">
        <f t="shared" si="2"/>
        <v>10767</v>
      </c>
      <c r="AS45" s="284" t="s">
        <v>647</v>
      </c>
    </row>
    <row r="46" spans="1:45">
      <c r="A46" s="206">
        <f t="shared" si="5"/>
        <v>45788</v>
      </c>
      <c r="B46" s="203">
        <f>YEAR(Table7[[#This Row],[Date]])+IF(MONTH(Table7[[#This Row],[Date]])&gt;=4,1,0)</f>
        <v>2026</v>
      </c>
      <c r="C46" s="203">
        <f>YEAR(Table7[[#This Row],[Date]])</f>
        <v>2025</v>
      </c>
      <c r="D46" s="205">
        <f t="shared" si="4"/>
        <v>45778</v>
      </c>
      <c r="E46" s="203">
        <v>162</v>
      </c>
      <c r="F46" s="203">
        <v>162</v>
      </c>
      <c r="G46" s="203">
        <v>162</v>
      </c>
      <c r="H46" s="203">
        <v>162</v>
      </c>
      <c r="I46" s="203">
        <v>162</v>
      </c>
      <c r="J46" s="203">
        <v>162</v>
      </c>
      <c r="K46" s="203">
        <v>162</v>
      </c>
      <c r="L46" s="203">
        <v>162</v>
      </c>
      <c r="M46" s="203">
        <v>162</v>
      </c>
      <c r="N46" s="203">
        <v>162</v>
      </c>
      <c r="O46" s="203">
        <v>162</v>
      </c>
      <c r="P46" s="203">
        <v>162</v>
      </c>
      <c r="Q46" s="203">
        <v>162</v>
      </c>
      <c r="R46" s="203">
        <v>162</v>
      </c>
      <c r="S46" s="203">
        <v>162</v>
      </c>
      <c r="T46" s="203">
        <v>162</v>
      </c>
      <c r="U46" s="203">
        <v>162</v>
      </c>
      <c r="V46" s="203">
        <v>162</v>
      </c>
      <c r="W46" s="203">
        <v>162</v>
      </c>
      <c r="X46" s="203">
        <v>162</v>
      </c>
      <c r="Y46" s="203">
        <v>162</v>
      </c>
      <c r="Z46" s="203">
        <v>162</v>
      </c>
      <c r="AA46" s="203">
        <v>162</v>
      </c>
      <c r="AB46" s="203">
        <v>162</v>
      </c>
      <c r="AC46" s="203">
        <v>162</v>
      </c>
      <c r="AD46" s="203">
        <v>162</v>
      </c>
      <c r="AE46" s="203">
        <v>162</v>
      </c>
      <c r="AF46" s="203">
        <v>0</v>
      </c>
      <c r="AG46" s="203">
        <v>162</v>
      </c>
      <c r="AH46" s="203">
        <v>0</v>
      </c>
      <c r="AI46" s="203">
        <v>162</v>
      </c>
      <c r="AJ46" s="203">
        <v>162</v>
      </c>
      <c r="AK46" s="203">
        <v>162</v>
      </c>
      <c r="AL46" s="203">
        <v>162</v>
      </c>
      <c r="AM46" s="203">
        <v>162</v>
      </c>
      <c r="AN46" s="203">
        <v>162</v>
      </c>
      <c r="AO46" s="203">
        <v>162</v>
      </c>
      <c r="AP46" s="203">
        <v>162</v>
      </c>
      <c r="AQ46" s="203">
        <v>162</v>
      </c>
      <c r="AR46" s="203">
        <f t="shared" si="2"/>
        <v>5994</v>
      </c>
      <c r="AS46" s="284" t="s">
        <v>647</v>
      </c>
    </row>
    <row r="47" spans="1:45">
      <c r="A47" s="206">
        <f t="shared" si="5"/>
        <v>45789</v>
      </c>
      <c r="B47" s="203">
        <f>YEAR(Table7[[#This Row],[Date]])+IF(MONTH(Table7[[#This Row],[Date]])&gt;=4,1,0)</f>
        <v>2026</v>
      </c>
      <c r="C47" s="203">
        <f>YEAR(Table7[[#This Row],[Date]])</f>
        <v>2025</v>
      </c>
      <c r="D47" s="205">
        <f t="shared" si="4"/>
        <v>45778</v>
      </c>
      <c r="E47" s="203">
        <v>162</v>
      </c>
      <c r="F47" s="203">
        <v>162</v>
      </c>
      <c r="G47" s="203">
        <v>162</v>
      </c>
      <c r="H47" s="203">
        <v>162</v>
      </c>
      <c r="I47" s="203">
        <v>162</v>
      </c>
      <c r="J47" s="203">
        <v>162</v>
      </c>
      <c r="K47" s="203">
        <v>162</v>
      </c>
      <c r="L47" s="203">
        <v>162</v>
      </c>
      <c r="M47" s="203">
        <v>162</v>
      </c>
      <c r="N47" s="203">
        <v>162</v>
      </c>
      <c r="O47" s="203">
        <v>162</v>
      </c>
      <c r="P47" s="203">
        <v>162</v>
      </c>
      <c r="Q47" s="203">
        <v>162</v>
      </c>
      <c r="R47" s="203">
        <v>162</v>
      </c>
      <c r="S47" s="203">
        <v>162</v>
      </c>
      <c r="T47" s="203">
        <v>162</v>
      </c>
      <c r="U47" s="203">
        <v>162</v>
      </c>
      <c r="V47" s="203">
        <v>162</v>
      </c>
      <c r="W47" s="203">
        <v>162</v>
      </c>
      <c r="X47" s="203">
        <v>162</v>
      </c>
      <c r="Y47" s="203">
        <v>162</v>
      </c>
      <c r="Z47" s="203">
        <v>162</v>
      </c>
      <c r="AA47" s="203">
        <v>162</v>
      </c>
      <c r="AB47" s="203">
        <v>162</v>
      </c>
      <c r="AC47" s="203">
        <v>0</v>
      </c>
      <c r="AD47" s="203">
        <v>162</v>
      </c>
      <c r="AE47" s="203">
        <v>162</v>
      </c>
      <c r="AF47" s="203">
        <v>0</v>
      </c>
      <c r="AG47" s="203">
        <v>162</v>
      </c>
      <c r="AH47" s="203">
        <v>0</v>
      </c>
      <c r="AI47" s="203">
        <v>162</v>
      </c>
      <c r="AJ47" s="203">
        <v>162</v>
      </c>
      <c r="AK47" s="203">
        <v>162</v>
      </c>
      <c r="AL47" s="203">
        <v>162</v>
      </c>
      <c r="AM47" s="203">
        <v>162</v>
      </c>
      <c r="AN47" s="203">
        <v>162</v>
      </c>
      <c r="AO47" s="203">
        <v>162</v>
      </c>
      <c r="AP47" s="203">
        <v>162</v>
      </c>
      <c r="AQ47" s="203">
        <v>162</v>
      </c>
      <c r="AR47" s="203">
        <f t="shared" si="2"/>
        <v>5832</v>
      </c>
      <c r="AS47" s="284" t="s">
        <v>647</v>
      </c>
    </row>
    <row r="48" spans="1:45">
      <c r="A48" s="206">
        <f t="shared" si="5"/>
        <v>45790</v>
      </c>
      <c r="B48" s="203">
        <f>YEAR(Table7[[#This Row],[Date]])+IF(MONTH(Table7[[#This Row],[Date]])&gt;=4,1,0)</f>
        <v>2026</v>
      </c>
      <c r="C48" s="203">
        <f>YEAR(Table7[[#This Row],[Date]])</f>
        <v>2025</v>
      </c>
      <c r="D48" s="205">
        <f t="shared" si="4"/>
        <v>45778</v>
      </c>
      <c r="E48" s="203">
        <v>227</v>
      </c>
      <c r="F48" s="203">
        <v>227</v>
      </c>
      <c r="G48" s="203">
        <v>227</v>
      </c>
      <c r="H48" s="203">
        <v>227</v>
      </c>
      <c r="I48" s="203">
        <v>227</v>
      </c>
      <c r="J48" s="203">
        <v>227</v>
      </c>
      <c r="K48" s="203">
        <v>227</v>
      </c>
      <c r="L48" s="203">
        <v>227</v>
      </c>
      <c r="M48" s="203">
        <v>227</v>
      </c>
      <c r="N48" s="203">
        <v>227</v>
      </c>
      <c r="O48" s="203">
        <v>227</v>
      </c>
      <c r="P48" s="203">
        <v>227</v>
      </c>
      <c r="Q48" s="203">
        <v>227</v>
      </c>
      <c r="R48" s="203">
        <v>227</v>
      </c>
      <c r="S48" s="203">
        <v>227</v>
      </c>
      <c r="T48" s="203">
        <v>227</v>
      </c>
      <c r="U48" s="203">
        <v>227</v>
      </c>
      <c r="V48" s="203">
        <v>227</v>
      </c>
      <c r="W48" s="203">
        <v>227</v>
      </c>
      <c r="X48" s="203">
        <v>227</v>
      </c>
      <c r="Y48" s="203">
        <v>227</v>
      </c>
      <c r="Z48" s="203">
        <v>227</v>
      </c>
      <c r="AA48" s="203">
        <v>227</v>
      </c>
      <c r="AB48" s="203">
        <v>227</v>
      </c>
      <c r="AC48" s="203">
        <v>227</v>
      </c>
      <c r="AD48" s="203">
        <v>227</v>
      </c>
      <c r="AE48" s="203">
        <v>227</v>
      </c>
      <c r="AF48" s="203">
        <v>0</v>
      </c>
      <c r="AG48" s="203">
        <v>227</v>
      </c>
      <c r="AH48" s="203">
        <v>0</v>
      </c>
      <c r="AI48" s="203">
        <v>227</v>
      </c>
      <c r="AJ48" s="203">
        <v>227</v>
      </c>
      <c r="AK48" s="203">
        <v>227</v>
      </c>
      <c r="AL48" s="203">
        <v>227</v>
      </c>
      <c r="AM48" s="203">
        <v>227</v>
      </c>
      <c r="AN48" s="203">
        <v>227</v>
      </c>
      <c r="AO48" s="203">
        <v>227</v>
      </c>
      <c r="AP48" s="203">
        <v>227</v>
      </c>
      <c r="AQ48" s="203">
        <v>227</v>
      </c>
      <c r="AR48" s="203">
        <f t="shared" si="2"/>
        <v>8399</v>
      </c>
      <c r="AS48" s="284" t="s">
        <v>647</v>
      </c>
    </row>
    <row r="49" spans="1:45">
      <c r="A49" s="206">
        <f t="shared" si="5"/>
        <v>45791</v>
      </c>
      <c r="B49" s="203">
        <f>YEAR(Table7[[#This Row],[Date]])+IF(MONTH(Table7[[#This Row],[Date]])&gt;=4,1,0)</f>
        <v>2026</v>
      </c>
      <c r="C49" s="203">
        <f>YEAR(Table7[[#This Row],[Date]])</f>
        <v>2025</v>
      </c>
      <c r="D49" s="205">
        <f t="shared" si="4"/>
        <v>45778</v>
      </c>
      <c r="E49" s="203">
        <v>324</v>
      </c>
      <c r="F49" s="203">
        <v>324</v>
      </c>
      <c r="G49" s="203">
        <v>324</v>
      </c>
      <c r="H49" s="203">
        <v>324</v>
      </c>
      <c r="I49" s="203">
        <v>324</v>
      </c>
      <c r="J49" s="203">
        <v>324</v>
      </c>
      <c r="K49" s="203">
        <v>324</v>
      </c>
      <c r="L49" s="203">
        <v>324</v>
      </c>
      <c r="M49" s="203">
        <v>324</v>
      </c>
      <c r="N49" s="203">
        <v>324</v>
      </c>
      <c r="O49" s="203">
        <v>324</v>
      </c>
      <c r="P49" s="203">
        <v>324</v>
      </c>
      <c r="Q49" s="203">
        <v>324</v>
      </c>
      <c r="R49" s="203">
        <v>324</v>
      </c>
      <c r="S49" s="203">
        <v>324</v>
      </c>
      <c r="T49" s="203">
        <v>324</v>
      </c>
      <c r="U49" s="203">
        <v>324</v>
      </c>
      <c r="V49" s="203">
        <v>324</v>
      </c>
      <c r="W49" s="203">
        <v>324</v>
      </c>
      <c r="X49" s="203">
        <v>324</v>
      </c>
      <c r="Y49" s="203">
        <v>324</v>
      </c>
      <c r="Z49" s="203">
        <v>324</v>
      </c>
      <c r="AA49" s="203">
        <v>324</v>
      </c>
      <c r="AB49" s="203">
        <v>324</v>
      </c>
      <c r="AC49" s="203">
        <v>324</v>
      </c>
      <c r="AD49" s="203">
        <v>324</v>
      </c>
      <c r="AE49" s="203">
        <v>324</v>
      </c>
      <c r="AF49" s="203">
        <v>0</v>
      </c>
      <c r="AG49" s="203">
        <v>324</v>
      </c>
      <c r="AH49" s="203">
        <v>0</v>
      </c>
      <c r="AI49" s="203">
        <v>324</v>
      </c>
      <c r="AJ49" s="203">
        <v>324</v>
      </c>
      <c r="AK49" s="203">
        <v>324</v>
      </c>
      <c r="AL49" s="203">
        <v>324</v>
      </c>
      <c r="AM49" s="203">
        <v>324</v>
      </c>
      <c r="AN49" s="203">
        <v>324</v>
      </c>
      <c r="AO49" s="203">
        <v>324</v>
      </c>
      <c r="AP49" s="203">
        <v>324</v>
      </c>
      <c r="AQ49" s="203">
        <v>0</v>
      </c>
      <c r="AR49" s="203">
        <f t="shared" si="2"/>
        <v>11664</v>
      </c>
      <c r="AS49" s="284" t="s">
        <v>647</v>
      </c>
    </row>
    <row r="50" spans="1:45">
      <c r="A50" s="206">
        <f t="shared" si="5"/>
        <v>45792</v>
      </c>
      <c r="B50" s="203">
        <f>YEAR(Table7[[#This Row],[Date]])+IF(MONTH(Table7[[#This Row],[Date]])&gt;=4,1,0)</f>
        <v>2026</v>
      </c>
      <c r="C50" s="203">
        <f>YEAR(Table7[[#This Row],[Date]])</f>
        <v>2025</v>
      </c>
      <c r="D50" s="205">
        <f t="shared" si="4"/>
        <v>45778</v>
      </c>
      <c r="E50" s="203">
        <v>162</v>
      </c>
      <c r="F50" s="203">
        <v>162</v>
      </c>
      <c r="G50" s="203">
        <v>162</v>
      </c>
      <c r="H50" s="203">
        <v>162</v>
      </c>
      <c r="I50" s="203">
        <v>162</v>
      </c>
      <c r="J50" s="203">
        <v>162</v>
      </c>
      <c r="K50" s="203">
        <v>162</v>
      </c>
      <c r="L50" s="203">
        <v>162</v>
      </c>
      <c r="M50" s="203">
        <v>162</v>
      </c>
      <c r="N50" s="203">
        <v>162</v>
      </c>
      <c r="O50" s="203">
        <v>162</v>
      </c>
      <c r="P50" s="203">
        <v>162</v>
      </c>
      <c r="Q50" s="203">
        <v>162</v>
      </c>
      <c r="R50" s="203">
        <v>162</v>
      </c>
      <c r="S50" s="203">
        <v>162</v>
      </c>
      <c r="T50" s="203">
        <v>162</v>
      </c>
      <c r="U50" s="203">
        <v>162</v>
      </c>
      <c r="V50" s="203">
        <v>162</v>
      </c>
      <c r="W50" s="203">
        <v>162</v>
      </c>
      <c r="X50" s="203">
        <v>162</v>
      </c>
      <c r="Y50" s="203">
        <v>162</v>
      </c>
      <c r="Z50" s="203">
        <v>162</v>
      </c>
      <c r="AA50" s="203">
        <v>162</v>
      </c>
      <c r="AB50" s="203">
        <v>162</v>
      </c>
      <c r="AC50" s="203">
        <v>162</v>
      </c>
      <c r="AD50" s="203">
        <v>162</v>
      </c>
      <c r="AE50" s="203">
        <v>162</v>
      </c>
      <c r="AF50" s="203">
        <v>0</v>
      </c>
      <c r="AG50" s="203">
        <v>162</v>
      </c>
      <c r="AH50" s="203">
        <v>0</v>
      </c>
      <c r="AI50" s="203">
        <v>162</v>
      </c>
      <c r="AJ50" s="203">
        <v>162</v>
      </c>
      <c r="AK50" s="203">
        <v>162</v>
      </c>
      <c r="AL50" s="203">
        <v>162</v>
      </c>
      <c r="AM50" s="203">
        <v>162</v>
      </c>
      <c r="AN50" s="203">
        <v>162</v>
      </c>
      <c r="AO50" s="203">
        <v>162</v>
      </c>
      <c r="AP50" s="203">
        <v>162</v>
      </c>
      <c r="AQ50" s="203">
        <v>162</v>
      </c>
      <c r="AR50" s="203">
        <f t="shared" si="2"/>
        <v>5994</v>
      </c>
      <c r="AS50" s="284" t="s">
        <v>647</v>
      </c>
    </row>
    <row r="51" spans="1:45">
      <c r="A51" s="206">
        <f t="shared" si="5"/>
        <v>45793</v>
      </c>
      <c r="B51" s="203">
        <f>YEAR(Table7[[#This Row],[Date]])+IF(MONTH(Table7[[#This Row],[Date]])&gt;=4,1,0)</f>
        <v>2026</v>
      </c>
      <c r="C51" s="203">
        <f>YEAR(Table7[[#This Row],[Date]])</f>
        <v>2025</v>
      </c>
      <c r="D51" s="205">
        <f t="shared" si="4"/>
        <v>45778</v>
      </c>
      <c r="E51" s="203">
        <v>130</v>
      </c>
      <c r="F51" s="203">
        <v>130</v>
      </c>
      <c r="G51" s="203">
        <v>130</v>
      </c>
      <c r="H51" s="203">
        <v>130</v>
      </c>
      <c r="I51" s="203">
        <v>130</v>
      </c>
      <c r="J51" s="203">
        <v>130</v>
      </c>
      <c r="K51" s="203">
        <v>130</v>
      </c>
      <c r="L51" s="203">
        <v>130</v>
      </c>
      <c r="M51" s="203">
        <v>130</v>
      </c>
      <c r="N51" s="203">
        <v>130</v>
      </c>
      <c r="O51" s="203">
        <v>130</v>
      </c>
      <c r="P51" s="203">
        <v>130</v>
      </c>
      <c r="Q51" s="203">
        <v>130</v>
      </c>
      <c r="R51" s="203">
        <v>130</v>
      </c>
      <c r="S51" s="203">
        <v>130</v>
      </c>
      <c r="T51" s="203">
        <v>130</v>
      </c>
      <c r="U51" s="203">
        <v>130</v>
      </c>
      <c r="V51" s="203">
        <v>130</v>
      </c>
      <c r="W51" s="203">
        <v>130</v>
      </c>
      <c r="X51" s="203">
        <v>130</v>
      </c>
      <c r="Y51" s="203">
        <v>130</v>
      </c>
      <c r="Z51" s="203">
        <v>130</v>
      </c>
      <c r="AA51" s="203">
        <v>130</v>
      </c>
      <c r="AB51" s="203">
        <v>130</v>
      </c>
      <c r="AC51" s="203">
        <v>130</v>
      </c>
      <c r="AD51" s="203">
        <v>130</v>
      </c>
      <c r="AE51" s="203">
        <v>130</v>
      </c>
      <c r="AF51" s="203">
        <v>0</v>
      </c>
      <c r="AG51" s="203">
        <v>130</v>
      </c>
      <c r="AH51" s="203">
        <v>0</v>
      </c>
      <c r="AI51" s="203">
        <v>130</v>
      </c>
      <c r="AJ51" s="203">
        <v>130</v>
      </c>
      <c r="AK51" s="203">
        <v>130</v>
      </c>
      <c r="AL51" s="203">
        <v>130</v>
      </c>
      <c r="AM51" s="203">
        <v>130</v>
      </c>
      <c r="AN51" s="203">
        <v>130</v>
      </c>
      <c r="AO51" s="203">
        <v>130</v>
      </c>
      <c r="AP51" s="203">
        <v>130</v>
      </c>
      <c r="AQ51" s="203">
        <v>130</v>
      </c>
      <c r="AR51" s="203">
        <f t="shared" si="2"/>
        <v>4810</v>
      </c>
      <c r="AS51" s="284" t="s">
        <v>647</v>
      </c>
    </row>
    <row r="52" spans="1:45">
      <c r="A52" s="206">
        <f t="shared" si="5"/>
        <v>45794</v>
      </c>
      <c r="B52" s="203">
        <f>YEAR(Table7[[#This Row],[Date]])+IF(MONTH(Table7[[#This Row],[Date]])&gt;=4,1,0)</f>
        <v>2026</v>
      </c>
      <c r="C52" s="203">
        <f>YEAR(Table7[[#This Row],[Date]])</f>
        <v>2025</v>
      </c>
      <c r="D52" s="205">
        <f t="shared" si="4"/>
        <v>45778</v>
      </c>
      <c r="E52" s="203">
        <v>98</v>
      </c>
      <c r="F52" s="203">
        <v>98</v>
      </c>
      <c r="G52" s="203">
        <v>98</v>
      </c>
      <c r="H52" s="203">
        <v>98</v>
      </c>
      <c r="I52" s="203">
        <v>98</v>
      </c>
      <c r="J52" s="203">
        <v>98</v>
      </c>
      <c r="K52" s="203">
        <v>98</v>
      </c>
      <c r="L52" s="203">
        <v>98</v>
      </c>
      <c r="M52" s="203">
        <v>98</v>
      </c>
      <c r="N52" s="203">
        <v>98</v>
      </c>
      <c r="O52" s="203">
        <v>98</v>
      </c>
      <c r="P52" s="203">
        <v>98</v>
      </c>
      <c r="Q52" s="203">
        <v>98</v>
      </c>
      <c r="R52" s="203">
        <v>98</v>
      </c>
      <c r="S52" s="203">
        <v>98</v>
      </c>
      <c r="T52" s="203">
        <v>98</v>
      </c>
      <c r="U52" s="203">
        <v>98</v>
      </c>
      <c r="V52" s="203">
        <v>98</v>
      </c>
      <c r="W52" s="203">
        <v>98</v>
      </c>
      <c r="X52" s="203">
        <v>98</v>
      </c>
      <c r="Y52" s="203">
        <v>98</v>
      </c>
      <c r="Z52" s="203">
        <v>98</v>
      </c>
      <c r="AA52" s="203">
        <v>98</v>
      </c>
      <c r="AB52" s="203">
        <v>98</v>
      </c>
      <c r="AC52" s="203">
        <v>98</v>
      </c>
      <c r="AD52" s="203">
        <v>98</v>
      </c>
      <c r="AE52" s="203">
        <v>98</v>
      </c>
      <c r="AF52" s="203">
        <v>0</v>
      </c>
      <c r="AG52" s="203">
        <v>98</v>
      </c>
      <c r="AH52" s="203">
        <v>0</v>
      </c>
      <c r="AI52" s="203">
        <v>98</v>
      </c>
      <c r="AJ52" s="203">
        <v>98</v>
      </c>
      <c r="AK52" s="203">
        <v>98</v>
      </c>
      <c r="AL52" s="203">
        <v>98</v>
      </c>
      <c r="AM52" s="203">
        <v>98</v>
      </c>
      <c r="AN52" s="203">
        <v>98</v>
      </c>
      <c r="AO52" s="203">
        <v>98</v>
      </c>
      <c r="AP52" s="203">
        <v>98</v>
      </c>
      <c r="AQ52" s="203">
        <v>98</v>
      </c>
      <c r="AR52" s="203">
        <f t="shared" si="2"/>
        <v>3626</v>
      </c>
      <c r="AS52" s="284" t="s">
        <v>647</v>
      </c>
    </row>
    <row r="53" spans="1:45">
      <c r="A53" s="206">
        <f t="shared" si="5"/>
        <v>45795</v>
      </c>
      <c r="B53" s="203">
        <f>YEAR(Table7[[#This Row],[Date]])+IF(MONTH(Table7[[#This Row],[Date]])&gt;=4,1,0)</f>
        <v>2026</v>
      </c>
      <c r="C53" s="203">
        <f>YEAR(Table7[[#This Row],[Date]])</f>
        <v>2025</v>
      </c>
      <c r="D53" s="205">
        <f t="shared" si="4"/>
        <v>45778</v>
      </c>
      <c r="E53" s="203">
        <v>227</v>
      </c>
      <c r="F53" s="203">
        <v>227</v>
      </c>
      <c r="G53" s="203">
        <v>227</v>
      </c>
      <c r="H53" s="203">
        <v>227</v>
      </c>
      <c r="I53" s="203">
        <v>227</v>
      </c>
      <c r="J53" s="203">
        <v>227</v>
      </c>
      <c r="K53" s="203">
        <v>227</v>
      </c>
      <c r="L53" s="203">
        <v>227</v>
      </c>
      <c r="M53" s="203">
        <v>227</v>
      </c>
      <c r="N53" s="203">
        <v>227</v>
      </c>
      <c r="O53" s="203">
        <v>227</v>
      </c>
      <c r="P53" s="203">
        <v>227</v>
      </c>
      <c r="Q53" s="203">
        <v>227</v>
      </c>
      <c r="R53" s="203">
        <v>227</v>
      </c>
      <c r="S53" s="203">
        <v>227</v>
      </c>
      <c r="T53" s="203">
        <v>227</v>
      </c>
      <c r="U53" s="203">
        <v>227</v>
      </c>
      <c r="V53" s="203">
        <v>227</v>
      </c>
      <c r="W53" s="203">
        <v>227</v>
      </c>
      <c r="X53" s="203">
        <v>227</v>
      </c>
      <c r="Y53" s="203">
        <v>227</v>
      </c>
      <c r="Z53" s="203">
        <v>227</v>
      </c>
      <c r="AA53" s="203">
        <v>227</v>
      </c>
      <c r="AB53" s="203">
        <v>227</v>
      </c>
      <c r="AC53" s="203">
        <v>227</v>
      </c>
      <c r="AD53" s="203">
        <v>227</v>
      </c>
      <c r="AE53" s="203">
        <v>227</v>
      </c>
      <c r="AF53" s="203">
        <v>0</v>
      </c>
      <c r="AG53" s="203">
        <v>227</v>
      </c>
      <c r="AH53" s="203">
        <v>0</v>
      </c>
      <c r="AI53" s="203">
        <v>227</v>
      </c>
      <c r="AJ53" s="203">
        <v>227</v>
      </c>
      <c r="AK53" s="203">
        <v>227</v>
      </c>
      <c r="AL53" s="203">
        <v>227</v>
      </c>
      <c r="AM53" s="203">
        <v>227</v>
      </c>
      <c r="AN53" s="203">
        <v>227</v>
      </c>
      <c r="AO53" s="203">
        <v>227</v>
      </c>
      <c r="AP53" s="203">
        <v>227</v>
      </c>
      <c r="AQ53" s="203">
        <v>227</v>
      </c>
      <c r="AR53" s="203">
        <f t="shared" si="2"/>
        <v>8399</v>
      </c>
      <c r="AS53" s="284" t="s">
        <v>647</v>
      </c>
    </row>
    <row r="54" spans="1:45">
      <c r="A54" s="206">
        <f t="shared" si="5"/>
        <v>45796</v>
      </c>
      <c r="B54" s="203">
        <f>YEAR(Table7[[#This Row],[Date]])+IF(MONTH(Table7[[#This Row],[Date]])&gt;=4,1,0)</f>
        <v>2026</v>
      </c>
      <c r="C54" s="203">
        <f>YEAR(Table7[[#This Row],[Date]])</f>
        <v>2025</v>
      </c>
      <c r="D54" s="205">
        <f t="shared" si="4"/>
        <v>45778</v>
      </c>
      <c r="E54" s="203">
        <v>519</v>
      </c>
      <c r="F54" s="203">
        <v>519</v>
      </c>
      <c r="G54" s="203">
        <v>519</v>
      </c>
      <c r="H54" s="203">
        <v>519</v>
      </c>
      <c r="I54" s="203">
        <v>519</v>
      </c>
      <c r="J54" s="203">
        <v>519</v>
      </c>
      <c r="K54" s="203">
        <v>519</v>
      </c>
      <c r="L54" s="203">
        <v>519</v>
      </c>
      <c r="M54" s="203">
        <v>519</v>
      </c>
      <c r="N54" s="203">
        <v>519</v>
      </c>
      <c r="O54" s="203">
        <v>519</v>
      </c>
      <c r="P54" s="203">
        <v>519</v>
      </c>
      <c r="Q54" s="203">
        <v>519</v>
      </c>
      <c r="R54" s="203">
        <v>519</v>
      </c>
      <c r="S54" s="203">
        <v>519</v>
      </c>
      <c r="T54" s="203">
        <v>519</v>
      </c>
      <c r="U54" s="203">
        <v>519</v>
      </c>
      <c r="V54" s="203">
        <v>519</v>
      </c>
      <c r="W54" s="203">
        <v>519</v>
      </c>
      <c r="X54" s="203">
        <v>519</v>
      </c>
      <c r="Y54" s="203">
        <v>519</v>
      </c>
      <c r="Z54" s="203">
        <v>519</v>
      </c>
      <c r="AA54" s="203">
        <v>519</v>
      </c>
      <c r="AB54" s="203">
        <v>519</v>
      </c>
      <c r="AC54" s="203">
        <v>519</v>
      </c>
      <c r="AD54" s="203">
        <v>519</v>
      </c>
      <c r="AE54" s="203">
        <v>519</v>
      </c>
      <c r="AF54" s="203">
        <v>0</v>
      </c>
      <c r="AG54" s="203">
        <v>519</v>
      </c>
      <c r="AH54" s="203">
        <v>0</v>
      </c>
      <c r="AI54" s="203">
        <v>519</v>
      </c>
      <c r="AJ54" s="203">
        <v>519</v>
      </c>
      <c r="AK54" s="203">
        <v>519</v>
      </c>
      <c r="AL54" s="203">
        <v>519</v>
      </c>
      <c r="AM54" s="203">
        <v>519</v>
      </c>
      <c r="AN54" s="203">
        <v>519</v>
      </c>
      <c r="AO54" s="203">
        <v>519</v>
      </c>
      <c r="AP54" s="203">
        <v>519</v>
      </c>
      <c r="AQ54" s="203">
        <v>519</v>
      </c>
      <c r="AR54" s="203">
        <f t="shared" si="2"/>
        <v>19203</v>
      </c>
      <c r="AS54" s="284" t="s">
        <v>647</v>
      </c>
    </row>
    <row r="55" spans="1:45">
      <c r="A55" s="206">
        <f t="shared" si="5"/>
        <v>45797</v>
      </c>
      <c r="B55" s="203">
        <f>YEAR(Table7[[#This Row],[Date]])+IF(MONTH(Table7[[#This Row],[Date]])&gt;=4,1,0)</f>
        <v>2026</v>
      </c>
      <c r="C55" s="203">
        <f>YEAR(Table7[[#This Row],[Date]])</f>
        <v>2025</v>
      </c>
      <c r="D55" s="205">
        <f t="shared" si="4"/>
        <v>45778</v>
      </c>
      <c r="E55" s="203">
        <v>195</v>
      </c>
      <c r="F55" s="203">
        <v>195</v>
      </c>
      <c r="G55" s="203">
        <v>195</v>
      </c>
      <c r="H55" s="203">
        <v>195</v>
      </c>
      <c r="I55" s="203">
        <v>195</v>
      </c>
      <c r="J55" s="203">
        <v>195</v>
      </c>
      <c r="K55" s="203">
        <v>195</v>
      </c>
      <c r="L55" s="203">
        <v>195</v>
      </c>
      <c r="M55" s="203">
        <v>195</v>
      </c>
      <c r="N55" s="203">
        <v>195</v>
      </c>
      <c r="O55" s="203">
        <v>195</v>
      </c>
      <c r="P55" s="203">
        <v>195</v>
      </c>
      <c r="Q55" s="203">
        <v>195</v>
      </c>
      <c r="R55" s="203">
        <v>195</v>
      </c>
      <c r="S55" s="203">
        <v>195</v>
      </c>
      <c r="T55" s="203">
        <v>195</v>
      </c>
      <c r="U55" s="203">
        <v>195</v>
      </c>
      <c r="V55" s="203">
        <v>195</v>
      </c>
      <c r="W55" s="203">
        <v>195</v>
      </c>
      <c r="X55" s="203">
        <v>195</v>
      </c>
      <c r="Y55" s="203">
        <v>195</v>
      </c>
      <c r="Z55" s="203">
        <v>195</v>
      </c>
      <c r="AA55" s="203">
        <v>195</v>
      </c>
      <c r="AB55" s="203">
        <v>195</v>
      </c>
      <c r="AC55" s="203">
        <v>195</v>
      </c>
      <c r="AD55" s="203">
        <v>195</v>
      </c>
      <c r="AE55" s="203">
        <v>195</v>
      </c>
      <c r="AF55" s="203">
        <v>0</v>
      </c>
      <c r="AG55" s="203">
        <v>195</v>
      </c>
      <c r="AH55" s="203">
        <v>0</v>
      </c>
      <c r="AI55" s="203">
        <v>195</v>
      </c>
      <c r="AJ55" s="203">
        <v>195</v>
      </c>
      <c r="AK55" s="203">
        <v>195</v>
      </c>
      <c r="AL55" s="203">
        <v>195</v>
      </c>
      <c r="AM55" s="203">
        <v>195</v>
      </c>
      <c r="AN55" s="203">
        <v>195</v>
      </c>
      <c r="AO55" s="203">
        <v>195</v>
      </c>
      <c r="AP55" s="203">
        <v>195</v>
      </c>
      <c r="AQ55" s="203">
        <v>195</v>
      </c>
      <c r="AR55" s="203">
        <f t="shared" si="2"/>
        <v>7215</v>
      </c>
      <c r="AS55" s="284" t="s">
        <v>647</v>
      </c>
    </row>
    <row r="56" spans="1:45">
      <c r="A56" s="206">
        <f t="shared" si="5"/>
        <v>45798</v>
      </c>
      <c r="B56" s="203">
        <f>YEAR(Table7[[#This Row],[Date]])+IF(MONTH(Table7[[#This Row],[Date]])&gt;=4,1,0)</f>
        <v>2026</v>
      </c>
      <c r="C56" s="203">
        <f>YEAR(Table7[[#This Row],[Date]])</f>
        <v>2025</v>
      </c>
      <c r="D56" s="205">
        <f t="shared" si="4"/>
        <v>45778</v>
      </c>
      <c r="E56" s="203">
        <v>130</v>
      </c>
      <c r="F56" s="203">
        <v>130</v>
      </c>
      <c r="G56" s="203">
        <v>130</v>
      </c>
      <c r="H56" s="203">
        <v>130</v>
      </c>
      <c r="I56" s="203">
        <v>130</v>
      </c>
      <c r="J56" s="203">
        <v>130</v>
      </c>
      <c r="K56" s="203">
        <v>130</v>
      </c>
      <c r="L56" s="203">
        <v>130</v>
      </c>
      <c r="M56" s="203">
        <v>130</v>
      </c>
      <c r="N56" s="203">
        <v>130</v>
      </c>
      <c r="O56" s="203">
        <v>130</v>
      </c>
      <c r="P56" s="203">
        <v>130</v>
      </c>
      <c r="Q56" s="203">
        <v>130</v>
      </c>
      <c r="R56" s="203">
        <v>130</v>
      </c>
      <c r="S56" s="203">
        <v>130</v>
      </c>
      <c r="T56" s="203">
        <v>130</v>
      </c>
      <c r="U56" s="203">
        <v>130</v>
      </c>
      <c r="V56" s="203">
        <v>130</v>
      </c>
      <c r="W56" s="203">
        <v>130</v>
      </c>
      <c r="X56" s="203">
        <v>130</v>
      </c>
      <c r="Y56" s="203">
        <v>130</v>
      </c>
      <c r="Z56" s="203">
        <v>130</v>
      </c>
      <c r="AA56" s="203">
        <v>130</v>
      </c>
      <c r="AB56" s="203">
        <v>130</v>
      </c>
      <c r="AC56" s="203">
        <v>130</v>
      </c>
      <c r="AD56" s="203">
        <v>130</v>
      </c>
      <c r="AE56" s="203">
        <v>130</v>
      </c>
      <c r="AF56" s="203">
        <v>0</v>
      </c>
      <c r="AG56" s="203">
        <v>130</v>
      </c>
      <c r="AH56" s="203">
        <v>0</v>
      </c>
      <c r="AI56" s="203">
        <v>130</v>
      </c>
      <c r="AJ56" s="203">
        <v>130</v>
      </c>
      <c r="AK56" s="203">
        <v>130</v>
      </c>
      <c r="AL56" s="203">
        <v>130</v>
      </c>
      <c r="AM56" s="203">
        <v>130</v>
      </c>
      <c r="AN56" s="203">
        <v>130</v>
      </c>
      <c r="AO56" s="203">
        <v>130</v>
      </c>
      <c r="AP56" s="203">
        <v>130</v>
      </c>
      <c r="AQ56" s="203">
        <v>130</v>
      </c>
      <c r="AR56" s="203">
        <f t="shared" si="2"/>
        <v>4810</v>
      </c>
      <c r="AS56" s="284" t="s">
        <v>647</v>
      </c>
    </row>
    <row r="57" spans="1:45">
      <c r="A57" s="206">
        <f t="shared" si="5"/>
        <v>45799</v>
      </c>
      <c r="B57" s="203">
        <f>YEAR(Table7[[#This Row],[Date]])+IF(MONTH(Table7[[#This Row],[Date]])&gt;=4,1,0)</f>
        <v>2026</v>
      </c>
      <c r="C57" s="203">
        <f>YEAR(Table7[[#This Row],[Date]])</f>
        <v>2025</v>
      </c>
      <c r="D57" s="205">
        <f t="shared" si="4"/>
        <v>45778</v>
      </c>
      <c r="E57" s="203">
        <v>552</v>
      </c>
      <c r="F57" s="203">
        <v>552</v>
      </c>
      <c r="G57" s="203">
        <v>552</v>
      </c>
      <c r="H57" s="203">
        <v>552</v>
      </c>
      <c r="I57" s="203">
        <v>552</v>
      </c>
      <c r="J57" s="203">
        <v>552</v>
      </c>
      <c r="K57" s="203">
        <v>552</v>
      </c>
      <c r="L57" s="203">
        <v>552</v>
      </c>
      <c r="M57" s="203">
        <v>552</v>
      </c>
      <c r="N57" s="203">
        <v>552</v>
      </c>
      <c r="O57" s="203">
        <v>552</v>
      </c>
      <c r="P57" s="203">
        <v>552</v>
      </c>
      <c r="Q57" s="203">
        <v>552</v>
      </c>
      <c r="R57" s="203">
        <v>552</v>
      </c>
      <c r="S57" s="203">
        <v>552</v>
      </c>
      <c r="T57" s="203">
        <v>552</v>
      </c>
      <c r="U57" s="203">
        <v>552</v>
      </c>
      <c r="V57" s="203">
        <v>552</v>
      </c>
      <c r="W57" s="203">
        <v>552</v>
      </c>
      <c r="X57" s="203">
        <v>552</v>
      </c>
      <c r="Y57" s="203">
        <v>552</v>
      </c>
      <c r="Z57" s="203">
        <v>552</v>
      </c>
      <c r="AA57" s="203">
        <v>552</v>
      </c>
      <c r="AB57" s="203">
        <v>552</v>
      </c>
      <c r="AC57" s="203">
        <v>552</v>
      </c>
      <c r="AD57" s="203">
        <v>552</v>
      </c>
      <c r="AE57" s="203">
        <v>552</v>
      </c>
      <c r="AF57" s="203">
        <v>0</v>
      </c>
      <c r="AG57" s="203">
        <v>552</v>
      </c>
      <c r="AH57" s="203">
        <v>0</v>
      </c>
      <c r="AI57" s="203">
        <v>552</v>
      </c>
      <c r="AJ57" s="203">
        <v>552</v>
      </c>
      <c r="AK57" s="203">
        <v>552</v>
      </c>
      <c r="AL57" s="203">
        <v>552</v>
      </c>
      <c r="AM57" s="203">
        <v>552</v>
      </c>
      <c r="AN57" s="203">
        <v>552</v>
      </c>
      <c r="AO57" s="203">
        <v>552</v>
      </c>
      <c r="AP57" s="203">
        <v>552</v>
      </c>
      <c r="AQ57" s="203">
        <v>552</v>
      </c>
      <c r="AR57" s="203">
        <f t="shared" si="2"/>
        <v>20424</v>
      </c>
      <c r="AS57" s="284" t="s">
        <v>647</v>
      </c>
    </row>
    <row r="58" spans="1:45">
      <c r="A58" s="206">
        <f t="shared" si="5"/>
        <v>45800</v>
      </c>
      <c r="B58" s="203">
        <f>YEAR(Table7[[#This Row],[Date]])+IF(MONTH(Table7[[#This Row],[Date]])&gt;=4,1,0)</f>
        <v>2026</v>
      </c>
      <c r="C58" s="203">
        <f>YEAR(Table7[[#This Row],[Date]])</f>
        <v>2025</v>
      </c>
      <c r="D58" s="205">
        <f t="shared" si="4"/>
        <v>45778</v>
      </c>
      <c r="E58" s="203">
        <v>487</v>
      </c>
      <c r="F58" s="203">
        <v>487</v>
      </c>
      <c r="G58" s="203">
        <v>487</v>
      </c>
      <c r="H58" s="203">
        <v>487</v>
      </c>
      <c r="I58" s="203">
        <v>487</v>
      </c>
      <c r="J58" s="203">
        <v>487</v>
      </c>
      <c r="K58" s="203">
        <v>487</v>
      </c>
      <c r="L58" s="203">
        <v>487</v>
      </c>
      <c r="M58" s="203">
        <v>487</v>
      </c>
      <c r="N58" s="203">
        <v>487</v>
      </c>
      <c r="O58" s="203">
        <v>487</v>
      </c>
      <c r="P58" s="203">
        <v>487</v>
      </c>
      <c r="Q58" s="203">
        <v>487</v>
      </c>
      <c r="R58" s="203">
        <v>487</v>
      </c>
      <c r="S58" s="203">
        <v>487</v>
      </c>
      <c r="T58" s="203">
        <v>487</v>
      </c>
      <c r="U58" s="203">
        <v>487</v>
      </c>
      <c r="V58" s="203">
        <v>487</v>
      </c>
      <c r="W58" s="203">
        <v>487</v>
      </c>
      <c r="X58" s="203">
        <v>487</v>
      </c>
      <c r="Y58" s="203">
        <v>487</v>
      </c>
      <c r="Z58" s="203">
        <v>487</v>
      </c>
      <c r="AA58" s="203">
        <v>487</v>
      </c>
      <c r="AB58" s="203">
        <v>487</v>
      </c>
      <c r="AC58" s="203">
        <v>487</v>
      </c>
      <c r="AD58" s="203">
        <v>487</v>
      </c>
      <c r="AE58" s="203">
        <v>487</v>
      </c>
      <c r="AF58" s="203">
        <v>0</v>
      </c>
      <c r="AG58" s="203">
        <v>487</v>
      </c>
      <c r="AH58" s="203">
        <v>0</v>
      </c>
      <c r="AI58" s="203">
        <v>487</v>
      </c>
      <c r="AJ58" s="203">
        <v>487</v>
      </c>
      <c r="AK58" s="203">
        <v>487</v>
      </c>
      <c r="AL58" s="203">
        <v>487</v>
      </c>
      <c r="AM58" s="203">
        <v>487</v>
      </c>
      <c r="AN58" s="203">
        <v>487</v>
      </c>
      <c r="AO58" s="203">
        <v>487</v>
      </c>
      <c r="AP58" s="203">
        <v>487</v>
      </c>
      <c r="AQ58" s="203">
        <v>487</v>
      </c>
      <c r="AR58" s="203">
        <f t="shared" si="2"/>
        <v>18019</v>
      </c>
      <c r="AS58" s="284" t="s">
        <v>647</v>
      </c>
    </row>
    <row r="59" spans="1:45">
      <c r="A59" s="206">
        <f t="shared" si="5"/>
        <v>45801</v>
      </c>
      <c r="B59" s="203">
        <f>YEAR(Table7[[#This Row],[Date]])+IF(MONTH(Table7[[#This Row],[Date]])&gt;=4,1,0)</f>
        <v>2026</v>
      </c>
      <c r="C59" s="203">
        <f>YEAR(Table7[[#This Row],[Date]])</f>
        <v>2025</v>
      </c>
      <c r="D59" s="205">
        <f t="shared" si="4"/>
        <v>45778</v>
      </c>
      <c r="E59" s="203">
        <v>163</v>
      </c>
      <c r="F59" s="203">
        <v>163</v>
      </c>
      <c r="G59" s="203">
        <v>163</v>
      </c>
      <c r="H59" s="203">
        <v>163</v>
      </c>
      <c r="I59" s="203">
        <v>163</v>
      </c>
      <c r="J59" s="203">
        <v>163</v>
      </c>
      <c r="K59" s="203">
        <v>163</v>
      </c>
      <c r="L59" s="203">
        <v>163</v>
      </c>
      <c r="M59" s="203">
        <v>163</v>
      </c>
      <c r="N59" s="203">
        <v>163</v>
      </c>
      <c r="O59" s="203">
        <v>163</v>
      </c>
      <c r="P59" s="203">
        <v>163</v>
      </c>
      <c r="Q59" s="203">
        <v>163</v>
      </c>
      <c r="R59" s="203">
        <v>163</v>
      </c>
      <c r="S59" s="203">
        <v>163</v>
      </c>
      <c r="T59" s="203">
        <v>163</v>
      </c>
      <c r="U59" s="203">
        <v>163</v>
      </c>
      <c r="V59" s="203">
        <v>163</v>
      </c>
      <c r="W59" s="203">
        <v>163</v>
      </c>
      <c r="X59" s="203">
        <v>163</v>
      </c>
      <c r="Y59" s="203">
        <v>163</v>
      </c>
      <c r="Z59" s="203">
        <v>163</v>
      </c>
      <c r="AA59" s="203">
        <v>163</v>
      </c>
      <c r="AB59" s="203">
        <v>163</v>
      </c>
      <c r="AC59" s="203">
        <v>163</v>
      </c>
      <c r="AD59" s="203">
        <v>163</v>
      </c>
      <c r="AE59" s="203">
        <v>163</v>
      </c>
      <c r="AF59" s="203">
        <v>0</v>
      </c>
      <c r="AG59" s="203">
        <v>163</v>
      </c>
      <c r="AH59" s="203">
        <v>0</v>
      </c>
      <c r="AI59" s="203">
        <v>163</v>
      </c>
      <c r="AJ59" s="203">
        <v>163</v>
      </c>
      <c r="AK59" s="203">
        <v>163</v>
      </c>
      <c r="AL59" s="203">
        <v>163</v>
      </c>
      <c r="AM59" s="203">
        <v>163</v>
      </c>
      <c r="AN59" s="203">
        <v>163</v>
      </c>
      <c r="AO59" s="203">
        <v>163</v>
      </c>
      <c r="AP59" s="203">
        <v>163</v>
      </c>
      <c r="AQ59" s="203">
        <v>163</v>
      </c>
      <c r="AR59" s="203">
        <f t="shared" si="2"/>
        <v>6031</v>
      </c>
      <c r="AS59" s="284" t="s">
        <v>647</v>
      </c>
    </row>
    <row r="60" spans="1:45">
      <c r="A60" s="206">
        <f t="shared" si="5"/>
        <v>45802</v>
      </c>
      <c r="B60" s="203">
        <f>YEAR(Table7[[#This Row],[Date]])+IF(MONTH(Table7[[#This Row],[Date]])&gt;=4,1,0)</f>
        <v>2026</v>
      </c>
      <c r="C60" s="203">
        <f>YEAR(Table7[[#This Row],[Date]])</f>
        <v>2025</v>
      </c>
      <c r="D60" s="205">
        <f t="shared" si="4"/>
        <v>45778</v>
      </c>
      <c r="E60" s="203">
        <v>163</v>
      </c>
      <c r="F60" s="203">
        <v>163</v>
      </c>
      <c r="G60" s="203">
        <v>163</v>
      </c>
      <c r="H60" s="203">
        <v>163</v>
      </c>
      <c r="I60" s="203">
        <v>163</v>
      </c>
      <c r="J60" s="203">
        <v>163</v>
      </c>
      <c r="K60" s="203">
        <v>163</v>
      </c>
      <c r="L60" s="203">
        <v>163</v>
      </c>
      <c r="M60" s="203">
        <v>163</v>
      </c>
      <c r="N60" s="203">
        <v>163</v>
      </c>
      <c r="O60" s="203">
        <v>163</v>
      </c>
      <c r="P60" s="203">
        <v>163</v>
      </c>
      <c r="Q60" s="203">
        <v>163</v>
      </c>
      <c r="R60" s="203">
        <v>163</v>
      </c>
      <c r="S60" s="203">
        <v>163</v>
      </c>
      <c r="T60" s="203">
        <v>163</v>
      </c>
      <c r="U60" s="203">
        <v>163</v>
      </c>
      <c r="V60" s="203">
        <v>163</v>
      </c>
      <c r="W60" s="203">
        <v>163</v>
      </c>
      <c r="X60" s="203">
        <v>163</v>
      </c>
      <c r="Y60" s="203">
        <v>163</v>
      </c>
      <c r="Z60" s="203">
        <v>163</v>
      </c>
      <c r="AA60" s="203">
        <v>163</v>
      </c>
      <c r="AB60" s="203">
        <v>163</v>
      </c>
      <c r="AC60" s="203">
        <v>163</v>
      </c>
      <c r="AD60" s="203">
        <v>163</v>
      </c>
      <c r="AE60" s="203">
        <v>163</v>
      </c>
      <c r="AF60" s="203">
        <v>0</v>
      </c>
      <c r="AG60" s="203">
        <v>163</v>
      </c>
      <c r="AH60" s="203">
        <v>0</v>
      </c>
      <c r="AI60" s="203">
        <v>163</v>
      </c>
      <c r="AJ60" s="203">
        <v>163</v>
      </c>
      <c r="AK60" s="203">
        <v>163</v>
      </c>
      <c r="AL60" s="203">
        <v>163</v>
      </c>
      <c r="AM60" s="203">
        <v>163</v>
      </c>
      <c r="AN60" s="203">
        <v>163</v>
      </c>
      <c r="AO60" s="203">
        <v>163</v>
      </c>
      <c r="AP60" s="203">
        <v>163</v>
      </c>
      <c r="AQ60" s="203">
        <v>163</v>
      </c>
      <c r="AR60" s="203">
        <f t="shared" si="2"/>
        <v>6031</v>
      </c>
      <c r="AS60" s="284" t="s">
        <v>647</v>
      </c>
    </row>
    <row r="61" spans="1:45">
      <c r="A61" s="206">
        <f t="shared" si="5"/>
        <v>45803</v>
      </c>
      <c r="B61" s="203">
        <f>YEAR(Table7[[#This Row],[Date]])+IF(MONTH(Table7[[#This Row],[Date]])&gt;=4,1,0)</f>
        <v>2026</v>
      </c>
      <c r="C61" s="203">
        <f>YEAR(Table7[[#This Row],[Date]])</f>
        <v>2025</v>
      </c>
      <c r="D61" s="205">
        <f t="shared" si="4"/>
        <v>45778</v>
      </c>
      <c r="E61" s="203">
        <v>260</v>
      </c>
      <c r="F61" s="203">
        <v>260</v>
      </c>
      <c r="G61" s="203">
        <v>260</v>
      </c>
      <c r="H61" s="203">
        <v>260</v>
      </c>
      <c r="I61" s="203">
        <v>260</v>
      </c>
      <c r="J61" s="203">
        <v>260</v>
      </c>
      <c r="K61" s="203">
        <v>260</v>
      </c>
      <c r="L61" s="203">
        <v>260</v>
      </c>
      <c r="M61" s="203">
        <v>260</v>
      </c>
      <c r="N61" s="203">
        <v>260</v>
      </c>
      <c r="O61" s="203">
        <v>260</v>
      </c>
      <c r="P61" s="203">
        <v>260</v>
      </c>
      <c r="Q61" s="203">
        <v>260</v>
      </c>
      <c r="R61" s="203">
        <v>260</v>
      </c>
      <c r="S61" s="203">
        <v>260</v>
      </c>
      <c r="T61" s="203">
        <v>260</v>
      </c>
      <c r="U61" s="203">
        <v>260</v>
      </c>
      <c r="V61" s="203">
        <v>260</v>
      </c>
      <c r="W61" s="203">
        <v>260</v>
      </c>
      <c r="X61" s="203">
        <v>260</v>
      </c>
      <c r="Y61" s="203">
        <v>260</v>
      </c>
      <c r="Z61" s="203">
        <v>260</v>
      </c>
      <c r="AA61" s="203">
        <v>260</v>
      </c>
      <c r="AB61" s="203">
        <v>260</v>
      </c>
      <c r="AC61" s="203">
        <v>260</v>
      </c>
      <c r="AD61" s="203">
        <v>260</v>
      </c>
      <c r="AE61" s="203">
        <v>260</v>
      </c>
      <c r="AF61" s="203">
        <v>0</v>
      </c>
      <c r="AG61" s="203">
        <v>260</v>
      </c>
      <c r="AH61" s="203">
        <v>0</v>
      </c>
      <c r="AI61" s="203">
        <v>260</v>
      </c>
      <c r="AJ61" s="203">
        <v>260</v>
      </c>
      <c r="AK61" s="203">
        <v>260</v>
      </c>
      <c r="AL61" s="203">
        <v>260</v>
      </c>
      <c r="AM61" s="203">
        <v>260</v>
      </c>
      <c r="AN61" s="203">
        <v>260</v>
      </c>
      <c r="AO61" s="203">
        <v>260</v>
      </c>
      <c r="AP61" s="203">
        <v>260</v>
      </c>
      <c r="AQ61" s="203">
        <v>260</v>
      </c>
      <c r="AR61" s="203">
        <f t="shared" si="2"/>
        <v>9620</v>
      </c>
      <c r="AS61" s="284" t="s">
        <v>647</v>
      </c>
    </row>
    <row r="62" spans="1:45">
      <c r="A62" s="206">
        <f t="shared" si="5"/>
        <v>45804</v>
      </c>
      <c r="B62" s="203">
        <f>YEAR(Table7[[#This Row],[Date]])+IF(MONTH(Table7[[#This Row],[Date]])&gt;=4,1,0)</f>
        <v>2026</v>
      </c>
      <c r="C62" s="203">
        <f>YEAR(Table7[[#This Row],[Date]])</f>
        <v>2025</v>
      </c>
      <c r="D62" s="205">
        <f t="shared" si="4"/>
        <v>45778</v>
      </c>
      <c r="E62" s="203">
        <v>0</v>
      </c>
      <c r="F62" s="203">
        <v>0</v>
      </c>
      <c r="G62" s="203">
        <v>0</v>
      </c>
      <c r="H62" s="203">
        <v>0</v>
      </c>
      <c r="I62" s="203">
        <v>0</v>
      </c>
      <c r="J62" s="203">
        <v>0</v>
      </c>
      <c r="K62" s="203">
        <v>0</v>
      </c>
      <c r="L62" s="203">
        <v>0</v>
      </c>
      <c r="M62" s="203">
        <v>0</v>
      </c>
      <c r="N62" s="203">
        <v>0</v>
      </c>
      <c r="O62" s="203">
        <v>0</v>
      </c>
      <c r="P62" s="203">
        <v>0</v>
      </c>
      <c r="Q62" s="203">
        <v>0</v>
      </c>
      <c r="R62" s="203">
        <v>0</v>
      </c>
      <c r="S62" s="203">
        <v>0</v>
      </c>
      <c r="T62" s="203">
        <v>0</v>
      </c>
      <c r="U62" s="203">
        <v>0</v>
      </c>
      <c r="V62" s="203">
        <v>0</v>
      </c>
      <c r="W62" s="203">
        <v>0</v>
      </c>
      <c r="X62" s="203">
        <v>0</v>
      </c>
      <c r="Y62" s="203">
        <v>0</v>
      </c>
      <c r="Z62" s="203">
        <v>0</v>
      </c>
      <c r="AA62" s="203">
        <v>0</v>
      </c>
      <c r="AB62" s="203">
        <v>0</v>
      </c>
      <c r="AC62" s="203">
        <v>0</v>
      </c>
      <c r="AD62" s="203">
        <v>0</v>
      </c>
      <c r="AE62" s="203">
        <v>0</v>
      </c>
      <c r="AF62" s="203">
        <v>0</v>
      </c>
      <c r="AG62" s="203">
        <v>0</v>
      </c>
      <c r="AH62" s="203">
        <v>0</v>
      </c>
      <c r="AI62" s="203">
        <v>0</v>
      </c>
      <c r="AJ62" s="203">
        <v>0</v>
      </c>
      <c r="AK62" s="203">
        <v>0</v>
      </c>
      <c r="AL62" s="203">
        <v>0</v>
      </c>
      <c r="AM62" s="203">
        <v>0</v>
      </c>
      <c r="AN62" s="203">
        <v>0</v>
      </c>
      <c r="AO62" s="203">
        <v>0</v>
      </c>
      <c r="AP62" s="203">
        <v>0</v>
      </c>
      <c r="AQ62" s="203">
        <v>0</v>
      </c>
      <c r="AR62" s="203">
        <f t="shared" si="2"/>
        <v>0</v>
      </c>
      <c r="AS62" s="284" t="s">
        <v>647</v>
      </c>
    </row>
    <row r="63" spans="1:45">
      <c r="A63" s="206">
        <f t="shared" si="5"/>
        <v>45805</v>
      </c>
      <c r="B63" s="203">
        <f>YEAR(Table7[[#This Row],[Date]])+IF(MONTH(Table7[[#This Row],[Date]])&gt;=4,1,0)</f>
        <v>2026</v>
      </c>
      <c r="C63" s="203">
        <f>YEAR(Table7[[#This Row],[Date]])</f>
        <v>2025</v>
      </c>
      <c r="D63" s="205">
        <f t="shared" si="4"/>
        <v>45778</v>
      </c>
      <c r="E63" s="203">
        <v>130</v>
      </c>
      <c r="F63" s="203">
        <v>130</v>
      </c>
      <c r="G63" s="203">
        <v>130</v>
      </c>
      <c r="H63" s="203">
        <v>130</v>
      </c>
      <c r="I63" s="203">
        <v>130</v>
      </c>
      <c r="J63" s="203">
        <v>130</v>
      </c>
      <c r="K63" s="203">
        <v>130</v>
      </c>
      <c r="L63" s="203">
        <v>130</v>
      </c>
      <c r="M63" s="203">
        <v>130</v>
      </c>
      <c r="N63" s="203">
        <v>130</v>
      </c>
      <c r="O63" s="203">
        <v>130</v>
      </c>
      <c r="P63" s="203">
        <v>130</v>
      </c>
      <c r="Q63" s="203">
        <v>130</v>
      </c>
      <c r="R63" s="203">
        <v>130</v>
      </c>
      <c r="S63" s="203">
        <v>130</v>
      </c>
      <c r="T63" s="203">
        <v>130</v>
      </c>
      <c r="U63" s="203">
        <v>130</v>
      </c>
      <c r="V63" s="203">
        <v>130</v>
      </c>
      <c r="W63" s="203">
        <v>130</v>
      </c>
      <c r="X63" s="203">
        <v>130</v>
      </c>
      <c r="Y63" s="203">
        <v>130</v>
      </c>
      <c r="Z63" s="203">
        <v>130</v>
      </c>
      <c r="AA63" s="203">
        <v>130</v>
      </c>
      <c r="AB63" s="203">
        <v>130</v>
      </c>
      <c r="AC63" s="203">
        <v>130</v>
      </c>
      <c r="AD63" s="203">
        <v>130</v>
      </c>
      <c r="AE63" s="203">
        <v>130</v>
      </c>
      <c r="AF63" s="203">
        <v>0</v>
      </c>
      <c r="AG63" s="203">
        <v>130</v>
      </c>
      <c r="AH63" s="203">
        <v>0</v>
      </c>
      <c r="AI63" s="203">
        <v>130</v>
      </c>
      <c r="AJ63" s="203">
        <v>130</v>
      </c>
      <c r="AK63" s="203">
        <v>130</v>
      </c>
      <c r="AL63" s="203">
        <v>130</v>
      </c>
      <c r="AM63" s="203">
        <v>130</v>
      </c>
      <c r="AN63" s="203">
        <v>130</v>
      </c>
      <c r="AO63" s="203">
        <v>130</v>
      </c>
      <c r="AP63" s="203">
        <v>130</v>
      </c>
      <c r="AQ63" s="203">
        <v>130</v>
      </c>
      <c r="AR63" s="203">
        <f t="shared" si="2"/>
        <v>4810</v>
      </c>
      <c r="AS63" s="284" t="s">
        <v>647</v>
      </c>
    </row>
    <row r="64" spans="1:45">
      <c r="A64" s="206">
        <f t="shared" si="5"/>
        <v>45806</v>
      </c>
      <c r="B64" s="203">
        <f>YEAR(Table7[[#This Row],[Date]])+IF(MONTH(Table7[[#This Row],[Date]])&gt;=4,1,0)</f>
        <v>2026</v>
      </c>
      <c r="C64" s="203">
        <f>YEAR(Table7[[#This Row],[Date]])</f>
        <v>2025</v>
      </c>
      <c r="D64" s="205">
        <f t="shared" si="4"/>
        <v>45778</v>
      </c>
      <c r="E64" s="203">
        <v>33</v>
      </c>
      <c r="F64" s="203">
        <v>33</v>
      </c>
      <c r="G64" s="203">
        <v>33</v>
      </c>
      <c r="H64" s="203">
        <v>33</v>
      </c>
      <c r="I64" s="203">
        <v>33</v>
      </c>
      <c r="J64" s="203">
        <v>33</v>
      </c>
      <c r="K64" s="203">
        <v>33</v>
      </c>
      <c r="L64" s="203">
        <v>33</v>
      </c>
      <c r="M64" s="203">
        <v>33</v>
      </c>
      <c r="N64" s="203">
        <v>33</v>
      </c>
      <c r="O64" s="203">
        <v>33</v>
      </c>
      <c r="P64" s="203">
        <v>33</v>
      </c>
      <c r="Q64" s="203">
        <v>33</v>
      </c>
      <c r="R64" s="203">
        <v>33</v>
      </c>
      <c r="S64" s="203">
        <v>33</v>
      </c>
      <c r="T64" s="203">
        <v>33</v>
      </c>
      <c r="U64" s="203">
        <v>33</v>
      </c>
      <c r="V64" s="203">
        <v>33</v>
      </c>
      <c r="W64" s="203">
        <v>33</v>
      </c>
      <c r="X64" s="203">
        <v>33</v>
      </c>
      <c r="Y64" s="203">
        <v>33</v>
      </c>
      <c r="Z64" s="203">
        <v>33</v>
      </c>
      <c r="AA64" s="203">
        <v>33</v>
      </c>
      <c r="AB64" s="203">
        <v>33</v>
      </c>
      <c r="AC64" s="203">
        <v>33</v>
      </c>
      <c r="AD64" s="203">
        <v>33</v>
      </c>
      <c r="AE64" s="203">
        <v>33</v>
      </c>
      <c r="AF64" s="203">
        <v>0</v>
      </c>
      <c r="AG64" s="203">
        <v>33</v>
      </c>
      <c r="AH64" s="203">
        <v>0</v>
      </c>
      <c r="AI64" s="203">
        <v>33</v>
      </c>
      <c r="AJ64" s="203">
        <v>33</v>
      </c>
      <c r="AK64" s="203">
        <v>33</v>
      </c>
      <c r="AL64" s="203">
        <v>33</v>
      </c>
      <c r="AM64" s="203">
        <v>33</v>
      </c>
      <c r="AN64" s="203">
        <v>33</v>
      </c>
      <c r="AO64" s="203">
        <v>33</v>
      </c>
      <c r="AP64" s="203">
        <v>33</v>
      </c>
      <c r="AQ64" s="203">
        <v>33</v>
      </c>
      <c r="AR64" s="203">
        <f t="shared" si="2"/>
        <v>1221</v>
      </c>
      <c r="AS64" s="284" t="s">
        <v>647</v>
      </c>
    </row>
    <row r="65" spans="1:45">
      <c r="A65" s="206">
        <f t="shared" si="5"/>
        <v>45807</v>
      </c>
      <c r="B65" s="203">
        <f>YEAR(Table7[[#This Row],[Date]])+IF(MONTH(Table7[[#This Row],[Date]])&gt;=4,1,0)</f>
        <v>2026</v>
      </c>
      <c r="C65" s="203">
        <f>YEAR(Table7[[#This Row],[Date]])</f>
        <v>2025</v>
      </c>
      <c r="D65" s="205">
        <f t="shared" si="4"/>
        <v>45778</v>
      </c>
      <c r="E65" s="203">
        <v>33</v>
      </c>
      <c r="F65" s="203">
        <v>33</v>
      </c>
      <c r="G65" s="203">
        <v>33</v>
      </c>
      <c r="H65" s="203">
        <v>33</v>
      </c>
      <c r="I65" s="203">
        <v>33</v>
      </c>
      <c r="J65" s="203">
        <v>33</v>
      </c>
      <c r="K65" s="203">
        <v>33</v>
      </c>
      <c r="L65" s="203">
        <v>33</v>
      </c>
      <c r="M65" s="203">
        <v>33</v>
      </c>
      <c r="N65" s="203">
        <v>33</v>
      </c>
      <c r="O65" s="203">
        <v>33</v>
      </c>
      <c r="P65" s="203">
        <v>33</v>
      </c>
      <c r="Q65" s="203">
        <v>33</v>
      </c>
      <c r="R65" s="203">
        <v>33</v>
      </c>
      <c r="S65" s="203">
        <v>33</v>
      </c>
      <c r="T65" s="203">
        <v>33</v>
      </c>
      <c r="U65" s="203">
        <v>33</v>
      </c>
      <c r="V65" s="203">
        <v>33</v>
      </c>
      <c r="W65" s="203">
        <v>33</v>
      </c>
      <c r="X65" s="203">
        <v>33</v>
      </c>
      <c r="Y65" s="203">
        <v>33</v>
      </c>
      <c r="Z65" s="203">
        <v>33</v>
      </c>
      <c r="AA65" s="203">
        <v>33</v>
      </c>
      <c r="AB65" s="203">
        <v>33</v>
      </c>
      <c r="AC65" s="203">
        <v>33</v>
      </c>
      <c r="AD65" s="203">
        <v>33</v>
      </c>
      <c r="AE65" s="203">
        <v>33</v>
      </c>
      <c r="AF65" s="203">
        <v>0</v>
      </c>
      <c r="AG65" s="203">
        <v>33</v>
      </c>
      <c r="AH65" s="203">
        <v>0</v>
      </c>
      <c r="AI65" s="203">
        <v>33</v>
      </c>
      <c r="AJ65" s="203">
        <v>33</v>
      </c>
      <c r="AK65" s="203">
        <v>33</v>
      </c>
      <c r="AL65" s="203">
        <v>33</v>
      </c>
      <c r="AM65" s="203">
        <v>33</v>
      </c>
      <c r="AN65" s="203">
        <v>33</v>
      </c>
      <c r="AO65" s="203">
        <v>33</v>
      </c>
      <c r="AP65" s="203">
        <v>33</v>
      </c>
      <c r="AQ65" s="203">
        <v>33</v>
      </c>
      <c r="AR65" s="203">
        <f t="shared" si="2"/>
        <v>1221</v>
      </c>
      <c r="AS65" s="284" t="s">
        <v>647</v>
      </c>
    </row>
    <row r="66" spans="1:45">
      <c r="A66" s="206">
        <f t="shared" si="5"/>
        <v>45808</v>
      </c>
      <c r="B66" s="203">
        <f>YEAR(Table7[[#This Row],[Date]])+IF(MONTH(Table7[[#This Row],[Date]])&gt;=4,1,0)</f>
        <v>2026</v>
      </c>
      <c r="C66" s="203">
        <f>YEAR(Table7[[#This Row],[Date]])</f>
        <v>2025</v>
      </c>
      <c r="D66" s="205">
        <f t="shared" si="4"/>
        <v>45778</v>
      </c>
      <c r="E66" s="203">
        <v>0</v>
      </c>
      <c r="F66" s="203">
        <v>0</v>
      </c>
      <c r="G66" s="203">
        <v>0</v>
      </c>
      <c r="H66" s="203">
        <v>0</v>
      </c>
      <c r="I66" s="203">
        <v>0</v>
      </c>
      <c r="J66" s="203">
        <v>0</v>
      </c>
      <c r="K66" s="203">
        <v>0</v>
      </c>
      <c r="L66" s="203">
        <v>0</v>
      </c>
      <c r="M66" s="203">
        <v>0</v>
      </c>
      <c r="N66" s="203">
        <v>0</v>
      </c>
      <c r="O66" s="203">
        <v>0</v>
      </c>
      <c r="P66" s="203">
        <v>0</v>
      </c>
      <c r="Q66" s="203">
        <v>0</v>
      </c>
      <c r="R66" s="203">
        <v>0</v>
      </c>
      <c r="S66" s="203">
        <v>0</v>
      </c>
      <c r="T66" s="203">
        <v>0</v>
      </c>
      <c r="U66" s="203">
        <v>0</v>
      </c>
      <c r="V66" s="203">
        <v>0</v>
      </c>
      <c r="W66" s="203">
        <v>0</v>
      </c>
      <c r="X66" s="203">
        <v>0</v>
      </c>
      <c r="Y66" s="203">
        <v>0</v>
      </c>
      <c r="Z66" s="203">
        <v>0</v>
      </c>
      <c r="AA66" s="203">
        <v>0</v>
      </c>
      <c r="AB66" s="203">
        <v>0</v>
      </c>
      <c r="AC66" s="203">
        <v>0</v>
      </c>
      <c r="AD66" s="203">
        <v>0</v>
      </c>
      <c r="AE66" s="203">
        <v>0</v>
      </c>
      <c r="AF66" s="203">
        <v>0</v>
      </c>
      <c r="AG66" s="203">
        <v>0</v>
      </c>
      <c r="AH66" s="203">
        <v>0</v>
      </c>
      <c r="AI66" s="203">
        <v>0</v>
      </c>
      <c r="AJ66" s="203">
        <v>0</v>
      </c>
      <c r="AK66" s="203">
        <v>0</v>
      </c>
      <c r="AL66" s="203">
        <v>0</v>
      </c>
      <c r="AM66" s="203">
        <v>0</v>
      </c>
      <c r="AN66" s="203">
        <v>0</v>
      </c>
      <c r="AO66" s="203">
        <v>0</v>
      </c>
      <c r="AP66" s="203">
        <v>0</v>
      </c>
      <c r="AQ66" s="203">
        <v>0</v>
      </c>
      <c r="AR66" s="203">
        <f t="shared" si="2"/>
        <v>0</v>
      </c>
      <c r="AS66" s="284" t="s">
        <v>647</v>
      </c>
    </row>
    <row r="67" spans="1:45">
      <c r="A67" s="206">
        <f t="shared" si="5"/>
        <v>45809</v>
      </c>
      <c r="B67" s="203">
        <f>YEAR(Table7[[#This Row],[Date]])+IF(MONTH(Table7[[#This Row],[Date]])&gt;=4,1,0)</f>
        <v>2026</v>
      </c>
      <c r="C67" s="203">
        <f>YEAR(Table7[[#This Row],[Date]])</f>
        <v>2025</v>
      </c>
      <c r="D67" s="205">
        <f t="shared" si="4"/>
        <v>45809</v>
      </c>
      <c r="E67" s="203">
        <v>0</v>
      </c>
      <c r="F67" s="203">
        <v>0</v>
      </c>
      <c r="G67" s="203">
        <v>0</v>
      </c>
      <c r="H67" s="203">
        <v>0</v>
      </c>
      <c r="I67" s="203">
        <v>0</v>
      </c>
      <c r="J67" s="203">
        <v>0</v>
      </c>
      <c r="K67" s="203">
        <v>0</v>
      </c>
      <c r="L67" s="203">
        <v>0</v>
      </c>
      <c r="M67" s="203">
        <v>0</v>
      </c>
      <c r="N67" s="203">
        <v>0</v>
      </c>
      <c r="O67" s="203">
        <v>0</v>
      </c>
      <c r="P67" s="203">
        <v>0</v>
      </c>
      <c r="Q67" s="203">
        <v>0</v>
      </c>
      <c r="R67" s="203">
        <v>0</v>
      </c>
      <c r="S67" s="203">
        <v>0</v>
      </c>
      <c r="T67" s="203">
        <v>0</v>
      </c>
      <c r="U67" s="203">
        <v>0</v>
      </c>
      <c r="V67" s="203">
        <v>0</v>
      </c>
      <c r="W67" s="203">
        <v>0</v>
      </c>
      <c r="X67" s="203">
        <v>0</v>
      </c>
      <c r="Y67" s="203">
        <v>0</v>
      </c>
      <c r="Z67" s="203">
        <v>0</v>
      </c>
      <c r="AA67" s="203">
        <v>0</v>
      </c>
      <c r="AB67" s="203">
        <v>0</v>
      </c>
      <c r="AC67" s="203">
        <v>0</v>
      </c>
      <c r="AD67" s="203">
        <v>0</v>
      </c>
      <c r="AE67" s="203">
        <v>0</v>
      </c>
      <c r="AF67" s="203">
        <v>0</v>
      </c>
      <c r="AG67" s="203">
        <v>0</v>
      </c>
      <c r="AH67" s="203">
        <v>0</v>
      </c>
      <c r="AI67" s="203">
        <v>0</v>
      </c>
      <c r="AJ67" s="203">
        <v>0</v>
      </c>
      <c r="AK67" s="203">
        <v>0</v>
      </c>
      <c r="AL67" s="203">
        <v>0</v>
      </c>
      <c r="AM67" s="203">
        <v>0</v>
      </c>
      <c r="AN67" s="203">
        <v>0</v>
      </c>
      <c r="AO67" s="203">
        <v>0</v>
      </c>
      <c r="AP67" s="203">
        <v>0</v>
      </c>
      <c r="AQ67" s="203">
        <v>0</v>
      </c>
      <c r="AR67" s="203">
        <f t="shared" ref="AR67:AR130" si="6">SUM(E67:AQ67)</f>
        <v>0</v>
      </c>
      <c r="AS67" s="284" t="s">
        <v>647</v>
      </c>
    </row>
    <row r="68" spans="1:45">
      <c r="A68" s="206">
        <f t="shared" si="5"/>
        <v>45810</v>
      </c>
      <c r="B68" s="203">
        <f>YEAR(Table7[[#This Row],[Date]])+IF(MONTH(Table7[[#This Row],[Date]])&gt;=4,1,0)</f>
        <v>2026</v>
      </c>
      <c r="C68" s="203">
        <f>YEAR(Table7[[#This Row],[Date]])</f>
        <v>2025</v>
      </c>
      <c r="D68" s="205">
        <f t="shared" si="4"/>
        <v>45809</v>
      </c>
      <c r="E68" s="203">
        <v>0</v>
      </c>
      <c r="F68" s="203">
        <v>0</v>
      </c>
      <c r="G68" s="203">
        <v>0</v>
      </c>
      <c r="H68" s="203">
        <v>0</v>
      </c>
      <c r="I68" s="203">
        <v>0</v>
      </c>
      <c r="J68" s="203">
        <v>0</v>
      </c>
      <c r="K68" s="203">
        <v>0</v>
      </c>
      <c r="L68" s="203">
        <v>0</v>
      </c>
      <c r="M68" s="203">
        <v>0</v>
      </c>
      <c r="N68" s="203">
        <v>0</v>
      </c>
      <c r="O68" s="203">
        <v>0</v>
      </c>
      <c r="P68" s="203">
        <v>0</v>
      </c>
      <c r="Q68" s="203">
        <v>0</v>
      </c>
      <c r="R68" s="203">
        <v>0</v>
      </c>
      <c r="S68" s="203">
        <v>0</v>
      </c>
      <c r="T68" s="203">
        <v>0</v>
      </c>
      <c r="U68" s="203">
        <v>0</v>
      </c>
      <c r="V68" s="203">
        <v>0</v>
      </c>
      <c r="W68" s="203">
        <v>0</v>
      </c>
      <c r="X68" s="203">
        <v>0</v>
      </c>
      <c r="Y68" s="203">
        <v>0</v>
      </c>
      <c r="Z68" s="203">
        <v>0</v>
      </c>
      <c r="AA68" s="203">
        <v>0</v>
      </c>
      <c r="AB68" s="203">
        <v>0</v>
      </c>
      <c r="AC68" s="203">
        <v>0</v>
      </c>
      <c r="AD68" s="203">
        <v>0</v>
      </c>
      <c r="AE68" s="203">
        <v>0</v>
      </c>
      <c r="AF68" s="203">
        <v>0</v>
      </c>
      <c r="AG68" s="203">
        <v>0</v>
      </c>
      <c r="AH68" s="203">
        <v>0</v>
      </c>
      <c r="AI68" s="203">
        <v>0</v>
      </c>
      <c r="AJ68" s="203">
        <v>0</v>
      </c>
      <c r="AK68" s="203">
        <v>0</v>
      </c>
      <c r="AL68" s="203">
        <v>0</v>
      </c>
      <c r="AM68" s="203">
        <v>0</v>
      </c>
      <c r="AN68" s="203">
        <v>0</v>
      </c>
      <c r="AO68" s="203">
        <v>0</v>
      </c>
      <c r="AP68" s="203">
        <v>0</v>
      </c>
      <c r="AQ68" s="203">
        <v>0</v>
      </c>
      <c r="AR68" s="203">
        <f t="shared" si="6"/>
        <v>0</v>
      </c>
      <c r="AS68" s="284" t="s">
        <v>647</v>
      </c>
    </row>
    <row r="69" spans="1:45">
      <c r="A69" s="206">
        <f t="shared" si="5"/>
        <v>45811</v>
      </c>
      <c r="B69" s="203">
        <f>YEAR(Table7[[#This Row],[Date]])+IF(MONTH(Table7[[#This Row],[Date]])&gt;=4,1,0)</f>
        <v>2026</v>
      </c>
      <c r="C69" s="203">
        <f>YEAR(Table7[[#This Row],[Date]])</f>
        <v>2025</v>
      </c>
      <c r="D69" s="205">
        <f t="shared" si="4"/>
        <v>45809</v>
      </c>
      <c r="E69" s="203">
        <v>0</v>
      </c>
      <c r="F69" s="203">
        <v>0</v>
      </c>
      <c r="G69" s="203">
        <v>0</v>
      </c>
      <c r="H69" s="203">
        <v>0</v>
      </c>
      <c r="I69" s="203">
        <v>0</v>
      </c>
      <c r="J69" s="203">
        <v>0</v>
      </c>
      <c r="K69" s="203">
        <v>0</v>
      </c>
      <c r="L69" s="203">
        <v>0</v>
      </c>
      <c r="M69" s="203">
        <v>0</v>
      </c>
      <c r="N69" s="203">
        <v>0</v>
      </c>
      <c r="O69" s="203">
        <v>0</v>
      </c>
      <c r="P69" s="203">
        <v>0</v>
      </c>
      <c r="Q69" s="203">
        <v>0</v>
      </c>
      <c r="R69" s="203">
        <v>0</v>
      </c>
      <c r="S69" s="203">
        <v>0</v>
      </c>
      <c r="T69" s="203">
        <v>0</v>
      </c>
      <c r="U69" s="203">
        <v>0</v>
      </c>
      <c r="V69" s="203">
        <v>0</v>
      </c>
      <c r="W69" s="203">
        <v>0</v>
      </c>
      <c r="X69" s="203">
        <v>0</v>
      </c>
      <c r="Y69" s="203">
        <v>0</v>
      </c>
      <c r="Z69" s="203">
        <v>0</v>
      </c>
      <c r="AA69" s="203">
        <v>0</v>
      </c>
      <c r="AB69" s="203">
        <v>0</v>
      </c>
      <c r="AC69" s="203">
        <v>0</v>
      </c>
      <c r="AD69" s="203">
        <v>0</v>
      </c>
      <c r="AE69" s="203">
        <v>0</v>
      </c>
      <c r="AF69" s="203">
        <v>0</v>
      </c>
      <c r="AG69" s="203">
        <v>0</v>
      </c>
      <c r="AH69" s="203">
        <v>0</v>
      </c>
      <c r="AI69" s="203">
        <v>0</v>
      </c>
      <c r="AJ69" s="203">
        <v>0</v>
      </c>
      <c r="AK69" s="203">
        <v>0</v>
      </c>
      <c r="AL69" s="203">
        <v>0</v>
      </c>
      <c r="AM69" s="203">
        <v>0</v>
      </c>
      <c r="AN69" s="203">
        <v>0</v>
      </c>
      <c r="AO69" s="203">
        <v>0</v>
      </c>
      <c r="AP69" s="203">
        <v>0</v>
      </c>
      <c r="AQ69" s="203">
        <v>0</v>
      </c>
      <c r="AR69" s="203">
        <f t="shared" si="6"/>
        <v>0</v>
      </c>
      <c r="AS69" s="284" t="s">
        <v>647</v>
      </c>
    </row>
    <row r="70" spans="1:45">
      <c r="A70" s="206">
        <f t="shared" si="5"/>
        <v>45812</v>
      </c>
      <c r="B70" s="203">
        <f>YEAR(Table7[[#This Row],[Date]])+IF(MONTH(Table7[[#This Row],[Date]])&gt;=4,1,0)</f>
        <v>2026</v>
      </c>
      <c r="C70" s="203">
        <f>YEAR(Table7[[#This Row],[Date]])</f>
        <v>2025</v>
      </c>
      <c r="D70" s="205">
        <f t="shared" si="4"/>
        <v>45809</v>
      </c>
      <c r="E70" s="203">
        <v>65</v>
      </c>
      <c r="F70" s="203">
        <v>65</v>
      </c>
      <c r="G70" s="203">
        <v>65</v>
      </c>
      <c r="H70" s="203">
        <v>65</v>
      </c>
      <c r="I70" s="203">
        <v>65</v>
      </c>
      <c r="J70" s="203">
        <v>65</v>
      </c>
      <c r="K70" s="203">
        <v>65</v>
      </c>
      <c r="L70" s="203">
        <v>65</v>
      </c>
      <c r="M70" s="203">
        <v>65</v>
      </c>
      <c r="N70" s="203">
        <v>65</v>
      </c>
      <c r="O70" s="203">
        <v>65</v>
      </c>
      <c r="P70" s="203">
        <v>65</v>
      </c>
      <c r="Q70" s="203">
        <v>65</v>
      </c>
      <c r="R70" s="203">
        <v>65</v>
      </c>
      <c r="S70" s="203">
        <v>65</v>
      </c>
      <c r="T70" s="203">
        <v>65</v>
      </c>
      <c r="U70" s="203">
        <v>65</v>
      </c>
      <c r="V70" s="203">
        <v>65</v>
      </c>
      <c r="W70" s="203">
        <v>65</v>
      </c>
      <c r="X70" s="203">
        <v>65</v>
      </c>
      <c r="Y70" s="203">
        <v>65</v>
      </c>
      <c r="Z70" s="203">
        <v>65</v>
      </c>
      <c r="AA70" s="203">
        <v>65</v>
      </c>
      <c r="AB70" s="203">
        <v>65</v>
      </c>
      <c r="AC70" s="203">
        <v>65</v>
      </c>
      <c r="AD70" s="203">
        <v>65</v>
      </c>
      <c r="AE70" s="203">
        <v>65</v>
      </c>
      <c r="AF70" s="203">
        <v>0</v>
      </c>
      <c r="AG70" s="203">
        <v>65</v>
      </c>
      <c r="AH70" s="203">
        <v>0</v>
      </c>
      <c r="AI70" s="203">
        <v>65</v>
      </c>
      <c r="AJ70" s="203">
        <v>65</v>
      </c>
      <c r="AK70" s="203">
        <v>65</v>
      </c>
      <c r="AL70" s="203">
        <v>65</v>
      </c>
      <c r="AM70" s="203">
        <v>65</v>
      </c>
      <c r="AN70" s="203">
        <v>65</v>
      </c>
      <c r="AO70" s="203">
        <v>65</v>
      </c>
      <c r="AP70" s="203">
        <v>65</v>
      </c>
      <c r="AQ70" s="203">
        <v>65</v>
      </c>
      <c r="AR70" s="203">
        <f t="shared" si="6"/>
        <v>2405</v>
      </c>
      <c r="AS70" s="284" t="s">
        <v>647</v>
      </c>
    </row>
    <row r="71" spans="1:45">
      <c r="A71" s="206">
        <f t="shared" si="5"/>
        <v>45813</v>
      </c>
      <c r="B71" s="203">
        <f>YEAR(Table7[[#This Row],[Date]])+IF(MONTH(Table7[[#This Row],[Date]])&gt;=4,1,0)</f>
        <v>2026</v>
      </c>
      <c r="C71" s="203">
        <f>YEAR(Table7[[#This Row],[Date]])</f>
        <v>2025</v>
      </c>
      <c r="D71" s="205">
        <f t="shared" si="4"/>
        <v>45809</v>
      </c>
      <c r="E71" s="203">
        <v>163</v>
      </c>
      <c r="F71" s="203">
        <v>163</v>
      </c>
      <c r="G71" s="203">
        <v>163</v>
      </c>
      <c r="H71" s="203">
        <v>163</v>
      </c>
      <c r="I71" s="203">
        <v>163</v>
      </c>
      <c r="J71" s="203">
        <v>163</v>
      </c>
      <c r="K71" s="203">
        <v>163</v>
      </c>
      <c r="L71" s="203">
        <v>163</v>
      </c>
      <c r="M71" s="203">
        <v>163</v>
      </c>
      <c r="N71" s="203">
        <v>163</v>
      </c>
      <c r="O71" s="203">
        <v>163</v>
      </c>
      <c r="P71" s="203">
        <v>163</v>
      </c>
      <c r="Q71" s="203">
        <v>163</v>
      </c>
      <c r="R71" s="203">
        <v>163</v>
      </c>
      <c r="S71" s="203">
        <v>163</v>
      </c>
      <c r="T71" s="203">
        <v>163</v>
      </c>
      <c r="U71" s="203">
        <v>163</v>
      </c>
      <c r="V71" s="203">
        <v>163</v>
      </c>
      <c r="W71" s="203">
        <v>163</v>
      </c>
      <c r="X71" s="203">
        <v>163</v>
      </c>
      <c r="Y71" s="203">
        <v>163</v>
      </c>
      <c r="Z71" s="203">
        <v>163</v>
      </c>
      <c r="AA71" s="203">
        <v>163</v>
      </c>
      <c r="AB71" s="203">
        <v>163</v>
      </c>
      <c r="AC71" s="203">
        <v>163</v>
      </c>
      <c r="AD71" s="203">
        <v>163</v>
      </c>
      <c r="AE71" s="203">
        <v>163</v>
      </c>
      <c r="AF71" s="203">
        <v>0</v>
      </c>
      <c r="AG71" s="203">
        <v>163</v>
      </c>
      <c r="AH71" s="203">
        <v>0</v>
      </c>
      <c r="AI71" s="203">
        <v>163</v>
      </c>
      <c r="AJ71" s="203">
        <v>163</v>
      </c>
      <c r="AK71" s="203">
        <v>163</v>
      </c>
      <c r="AL71" s="203">
        <v>163</v>
      </c>
      <c r="AM71" s="203">
        <v>163</v>
      </c>
      <c r="AN71" s="203">
        <v>163</v>
      </c>
      <c r="AO71" s="203">
        <v>163</v>
      </c>
      <c r="AP71" s="203">
        <v>163</v>
      </c>
      <c r="AQ71" s="203">
        <v>163</v>
      </c>
      <c r="AR71" s="203">
        <f t="shared" si="6"/>
        <v>6031</v>
      </c>
      <c r="AS71" s="284" t="s">
        <v>647</v>
      </c>
    </row>
    <row r="72" spans="1:45">
      <c r="A72" s="206">
        <f t="shared" si="5"/>
        <v>45814</v>
      </c>
      <c r="B72" s="203">
        <f>YEAR(Table7[[#This Row],[Date]])+IF(MONTH(Table7[[#This Row],[Date]])&gt;=4,1,0)</f>
        <v>2026</v>
      </c>
      <c r="C72" s="203">
        <f>YEAR(Table7[[#This Row],[Date]])</f>
        <v>2025</v>
      </c>
      <c r="D72" s="205">
        <f t="shared" si="4"/>
        <v>45809</v>
      </c>
      <c r="E72" s="203">
        <v>33</v>
      </c>
      <c r="F72" s="203">
        <v>33</v>
      </c>
      <c r="G72" s="203">
        <v>33</v>
      </c>
      <c r="H72" s="203">
        <v>33</v>
      </c>
      <c r="I72" s="203">
        <v>33</v>
      </c>
      <c r="J72" s="203">
        <v>33</v>
      </c>
      <c r="K72" s="203">
        <v>33</v>
      </c>
      <c r="L72" s="203">
        <v>33</v>
      </c>
      <c r="M72" s="203">
        <v>33</v>
      </c>
      <c r="N72" s="203">
        <v>33</v>
      </c>
      <c r="O72" s="203">
        <v>33</v>
      </c>
      <c r="P72" s="203">
        <v>33</v>
      </c>
      <c r="Q72" s="203">
        <v>33</v>
      </c>
      <c r="R72" s="203">
        <v>33</v>
      </c>
      <c r="S72" s="203">
        <v>33</v>
      </c>
      <c r="T72" s="203">
        <v>33</v>
      </c>
      <c r="U72" s="203">
        <v>33</v>
      </c>
      <c r="V72" s="203">
        <v>33</v>
      </c>
      <c r="W72" s="203">
        <v>33</v>
      </c>
      <c r="X72" s="203">
        <v>33</v>
      </c>
      <c r="Y72" s="203">
        <v>33</v>
      </c>
      <c r="Z72" s="203">
        <v>33</v>
      </c>
      <c r="AA72" s="203">
        <v>33</v>
      </c>
      <c r="AB72" s="203">
        <v>33</v>
      </c>
      <c r="AC72" s="203">
        <v>33</v>
      </c>
      <c r="AD72" s="203">
        <v>33</v>
      </c>
      <c r="AE72" s="203">
        <v>33</v>
      </c>
      <c r="AF72" s="203">
        <v>0</v>
      </c>
      <c r="AG72" s="203">
        <v>33</v>
      </c>
      <c r="AH72" s="203">
        <v>0</v>
      </c>
      <c r="AI72" s="203">
        <v>33</v>
      </c>
      <c r="AJ72" s="203">
        <v>33</v>
      </c>
      <c r="AK72" s="203">
        <v>33</v>
      </c>
      <c r="AL72" s="203">
        <v>33</v>
      </c>
      <c r="AM72" s="203">
        <v>33</v>
      </c>
      <c r="AN72" s="203">
        <v>33</v>
      </c>
      <c r="AO72" s="203">
        <v>33</v>
      </c>
      <c r="AP72" s="203">
        <v>33</v>
      </c>
      <c r="AQ72" s="203">
        <v>33</v>
      </c>
      <c r="AR72" s="203">
        <f t="shared" si="6"/>
        <v>1221</v>
      </c>
      <c r="AS72" s="284" t="s">
        <v>647</v>
      </c>
    </row>
    <row r="73" spans="1:45">
      <c r="A73" s="206">
        <f t="shared" si="5"/>
        <v>45815</v>
      </c>
      <c r="B73" s="203">
        <f>YEAR(Table7[[#This Row],[Date]])+IF(MONTH(Table7[[#This Row],[Date]])&gt;=4,1,0)</f>
        <v>2026</v>
      </c>
      <c r="C73" s="203">
        <f>YEAR(Table7[[#This Row],[Date]])</f>
        <v>2025</v>
      </c>
      <c r="D73" s="205">
        <f t="shared" si="4"/>
        <v>45809</v>
      </c>
      <c r="E73" s="203">
        <v>0</v>
      </c>
      <c r="F73" s="203">
        <v>0</v>
      </c>
      <c r="G73" s="203">
        <v>0</v>
      </c>
      <c r="H73" s="203">
        <v>0</v>
      </c>
      <c r="I73" s="203">
        <v>0</v>
      </c>
      <c r="J73" s="203">
        <v>0</v>
      </c>
      <c r="K73" s="203">
        <v>0</v>
      </c>
      <c r="L73" s="203">
        <v>0</v>
      </c>
      <c r="M73" s="203">
        <v>0</v>
      </c>
      <c r="N73" s="203">
        <v>0</v>
      </c>
      <c r="O73" s="203">
        <v>0</v>
      </c>
      <c r="P73" s="203">
        <v>0</v>
      </c>
      <c r="Q73" s="203">
        <v>0</v>
      </c>
      <c r="R73" s="203">
        <v>0</v>
      </c>
      <c r="S73" s="203">
        <v>0</v>
      </c>
      <c r="T73" s="203">
        <v>0</v>
      </c>
      <c r="U73" s="203">
        <v>0</v>
      </c>
      <c r="V73" s="203">
        <v>0</v>
      </c>
      <c r="W73" s="203">
        <v>0</v>
      </c>
      <c r="X73" s="203">
        <v>0</v>
      </c>
      <c r="Y73" s="203">
        <v>0</v>
      </c>
      <c r="Z73" s="203">
        <v>0</v>
      </c>
      <c r="AA73" s="203">
        <v>0</v>
      </c>
      <c r="AB73" s="203">
        <v>0</v>
      </c>
      <c r="AC73" s="203">
        <v>0</v>
      </c>
      <c r="AD73" s="203">
        <v>0</v>
      </c>
      <c r="AE73" s="203">
        <v>0</v>
      </c>
      <c r="AF73" s="203">
        <v>0</v>
      </c>
      <c r="AG73" s="203">
        <v>0</v>
      </c>
      <c r="AH73" s="203">
        <v>0</v>
      </c>
      <c r="AI73" s="203">
        <v>0</v>
      </c>
      <c r="AJ73" s="203">
        <v>0</v>
      </c>
      <c r="AK73" s="203">
        <v>0</v>
      </c>
      <c r="AL73" s="203">
        <v>0</v>
      </c>
      <c r="AM73" s="203">
        <v>0</v>
      </c>
      <c r="AN73" s="203">
        <v>0</v>
      </c>
      <c r="AO73" s="203">
        <v>0</v>
      </c>
      <c r="AP73" s="203">
        <v>0</v>
      </c>
      <c r="AQ73" s="203">
        <v>0</v>
      </c>
      <c r="AR73" s="203">
        <f t="shared" si="6"/>
        <v>0</v>
      </c>
      <c r="AS73" s="284" t="s">
        <v>647</v>
      </c>
    </row>
    <row r="74" spans="1:45">
      <c r="A74" s="206">
        <f t="shared" si="5"/>
        <v>45816</v>
      </c>
      <c r="B74" s="203">
        <f>YEAR(Table7[[#This Row],[Date]])+IF(MONTH(Table7[[#This Row],[Date]])&gt;=4,1,0)</f>
        <v>2026</v>
      </c>
      <c r="C74" s="203">
        <f>YEAR(Table7[[#This Row],[Date]])</f>
        <v>2025</v>
      </c>
      <c r="D74" s="205">
        <f t="shared" si="4"/>
        <v>45809</v>
      </c>
      <c r="E74" s="203">
        <v>33</v>
      </c>
      <c r="F74" s="203">
        <v>33</v>
      </c>
      <c r="G74" s="203">
        <v>33</v>
      </c>
      <c r="H74" s="203">
        <v>33</v>
      </c>
      <c r="I74" s="203">
        <v>33</v>
      </c>
      <c r="J74" s="203">
        <v>33</v>
      </c>
      <c r="K74" s="203">
        <v>33</v>
      </c>
      <c r="L74" s="203">
        <v>33</v>
      </c>
      <c r="M74" s="203">
        <v>33</v>
      </c>
      <c r="N74" s="203">
        <v>33</v>
      </c>
      <c r="O74" s="203">
        <v>33</v>
      </c>
      <c r="P74" s="203">
        <v>33</v>
      </c>
      <c r="Q74" s="203">
        <v>33</v>
      </c>
      <c r="R74" s="203">
        <v>33</v>
      </c>
      <c r="S74" s="203">
        <v>33</v>
      </c>
      <c r="T74" s="203">
        <v>33</v>
      </c>
      <c r="U74" s="203">
        <v>33</v>
      </c>
      <c r="V74" s="203">
        <v>33</v>
      </c>
      <c r="W74" s="203">
        <v>33</v>
      </c>
      <c r="X74" s="203">
        <v>33</v>
      </c>
      <c r="Y74" s="203">
        <v>33</v>
      </c>
      <c r="Z74" s="203">
        <v>33</v>
      </c>
      <c r="AA74" s="203">
        <v>33</v>
      </c>
      <c r="AB74" s="203">
        <v>33</v>
      </c>
      <c r="AC74" s="203">
        <v>33</v>
      </c>
      <c r="AD74" s="203">
        <v>33</v>
      </c>
      <c r="AE74" s="203">
        <v>33</v>
      </c>
      <c r="AF74" s="203">
        <v>0</v>
      </c>
      <c r="AG74" s="203">
        <v>33</v>
      </c>
      <c r="AH74" s="203">
        <v>0</v>
      </c>
      <c r="AI74" s="203">
        <v>33</v>
      </c>
      <c r="AJ74" s="203">
        <v>33</v>
      </c>
      <c r="AK74" s="203">
        <v>33</v>
      </c>
      <c r="AL74" s="203">
        <v>33</v>
      </c>
      <c r="AM74" s="203">
        <v>33</v>
      </c>
      <c r="AN74" s="203">
        <v>33</v>
      </c>
      <c r="AO74" s="203">
        <v>33</v>
      </c>
      <c r="AP74" s="203">
        <v>33</v>
      </c>
      <c r="AQ74" s="203">
        <v>33</v>
      </c>
      <c r="AR74" s="203">
        <f t="shared" si="6"/>
        <v>1221</v>
      </c>
      <c r="AS74" s="284" t="s">
        <v>647</v>
      </c>
    </row>
    <row r="75" spans="1:45">
      <c r="A75" s="206">
        <f t="shared" si="5"/>
        <v>45817</v>
      </c>
      <c r="B75" s="203">
        <f>YEAR(Table7[[#This Row],[Date]])+IF(MONTH(Table7[[#This Row],[Date]])&gt;=4,1,0)</f>
        <v>2026</v>
      </c>
      <c r="C75" s="203">
        <f>YEAR(Table7[[#This Row],[Date]])</f>
        <v>2025</v>
      </c>
      <c r="D75" s="205">
        <f t="shared" si="4"/>
        <v>45809</v>
      </c>
      <c r="E75" s="203">
        <v>0</v>
      </c>
      <c r="F75" s="203">
        <v>0</v>
      </c>
      <c r="G75" s="203">
        <v>0</v>
      </c>
      <c r="H75" s="203">
        <v>0</v>
      </c>
      <c r="I75" s="203">
        <v>0</v>
      </c>
      <c r="J75" s="203">
        <v>0</v>
      </c>
      <c r="K75" s="203">
        <v>0</v>
      </c>
      <c r="L75" s="203">
        <v>0</v>
      </c>
      <c r="M75" s="203">
        <v>0</v>
      </c>
      <c r="N75" s="203">
        <v>0</v>
      </c>
      <c r="O75" s="203">
        <v>0</v>
      </c>
      <c r="P75" s="203">
        <v>0</v>
      </c>
      <c r="Q75" s="203">
        <v>0</v>
      </c>
      <c r="R75" s="203">
        <v>0</v>
      </c>
      <c r="S75" s="203">
        <v>0</v>
      </c>
      <c r="T75" s="203">
        <v>0</v>
      </c>
      <c r="U75" s="203">
        <v>0</v>
      </c>
      <c r="V75" s="203">
        <v>0</v>
      </c>
      <c r="W75" s="203">
        <v>0</v>
      </c>
      <c r="X75" s="203">
        <v>0</v>
      </c>
      <c r="Y75" s="203">
        <v>0</v>
      </c>
      <c r="Z75" s="203">
        <v>0</v>
      </c>
      <c r="AA75" s="203">
        <v>0</v>
      </c>
      <c r="AB75" s="203">
        <v>0</v>
      </c>
      <c r="AC75" s="203">
        <v>0</v>
      </c>
      <c r="AD75" s="203">
        <v>0</v>
      </c>
      <c r="AE75" s="203">
        <v>0</v>
      </c>
      <c r="AF75" s="203">
        <v>0</v>
      </c>
      <c r="AG75" s="203">
        <v>0</v>
      </c>
      <c r="AH75" s="203">
        <v>0</v>
      </c>
      <c r="AI75" s="203">
        <v>0</v>
      </c>
      <c r="AJ75" s="203">
        <v>0</v>
      </c>
      <c r="AK75" s="203">
        <v>0</v>
      </c>
      <c r="AL75" s="203">
        <v>0</v>
      </c>
      <c r="AM75" s="203">
        <v>0</v>
      </c>
      <c r="AN75" s="203">
        <v>0</v>
      </c>
      <c r="AO75" s="203">
        <v>0</v>
      </c>
      <c r="AP75" s="203">
        <v>0</v>
      </c>
      <c r="AQ75" s="203">
        <v>0</v>
      </c>
      <c r="AR75" s="203">
        <f t="shared" si="6"/>
        <v>0</v>
      </c>
      <c r="AS75" s="284" t="s">
        <v>647</v>
      </c>
    </row>
    <row r="76" spans="1:45">
      <c r="A76" s="206">
        <f t="shared" si="5"/>
        <v>45818</v>
      </c>
      <c r="B76" s="203">
        <f>YEAR(Table7[[#This Row],[Date]])+IF(MONTH(Table7[[#This Row],[Date]])&gt;=4,1,0)</f>
        <v>2026</v>
      </c>
      <c r="C76" s="203">
        <f>YEAR(Table7[[#This Row],[Date]])</f>
        <v>2025</v>
      </c>
      <c r="D76" s="205">
        <f t="shared" si="4"/>
        <v>45809</v>
      </c>
      <c r="E76" s="203">
        <v>98</v>
      </c>
      <c r="F76" s="203">
        <v>98</v>
      </c>
      <c r="G76" s="203">
        <v>98</v>
      </c>
      <c r="H76" s="203">
        <v>98</v>
      </c>
      <c r="I76" s="203">
        <v>98</v>
      </c>
      <c r="J76" s="203">
        <v>98</v>
      </c>
      <c r="K76" s="203">
        <v>98</v>
      </c>
      <c r="L76" s="203">
        <v>98</v>
      </c>
      <c r="M76" s="203">
        <v>98</v>
      </c>
      <c r="N76" s="203">
        <v>98</v>
      </c>
      <c r="O76" s="203">
        <v>98</v>
      </c>
      <c r="P76" s="203">
        <v>98</v>
      </c>
      <c r="Q76" s="203">
        <v>98</v>
      </c>
      <c r="R76" s="203">
        <v>98</v>
      </c>
      <c r="S76" s="203">
        <v>98</v>
      </c>
      <c r="T76" s="203">
        <v>98</v>
      </c>
      <c r="U76" s="203">
        <v>98</v>
      </c>
      <c r="V76" s="203">
        <v>98</v>
      </c>
      <c r="W76" s="203">
        <v>98</v>
      </c>
      <c r="X76" s="203">
        <v>98</v>
      </c>
      <c r="Y76" s="203">
        <v>98</v>
      </c>
      <c r="Z76" s="203">
        <v>98</v>
      </c>
      <c r="AA76" s="203">
        <v>98</v>
      </c>
      <c r="AB76" s="203">
        <v>98</v>
      </c>
      <c r="AC76" s="203">
        <v>98</v>
      </c>
      <c r="AD76" s="203">
        <v>98</v>
      </c>
      <c r="AE76" s="203">
        <v>98</v>
      </c>
      <c r="AF76" s="203">
        <v>0</v>
      </c>
      <c r="AG76" s="203">
        <v>98</v>
      </c>
      <c r="AH76" s="203">
        <v>0</v>
      </c>
      <c r="AI76" s="203">
        <v>98</v>
      </c>
      <c r="AJ76" s="203">
        <v>98</v>
      </c>
      <c r="AK76" s="203">
        <v>98</v>
      </c>
      <c r="AL76" s="203">
        <v>98</v>
      </c>
      <c r="AM76" s="203">
        <v>98</v>
      </c>
      <c r="AN76" s="203">
        <v>98</v>
      </c>
      <c r="AO76" s="203">
        <v>98</v>
      </c>
      <c r="AP76" s="203">
        <v>98</v>
      </c>
      <c r="AQ76" s="203">
        <v>98</v>
      </c>
      <c r="AR76" s="203">
        <f t="shared" si="6"/>
        <v>3626</v>
      </c>
      <c r="AS76" s="284" t="s">
        <v>647</v>
      </c>
    </row>
    <row r="77" spans="1:45">
      <c r="A77" s="206">
        <f t="shared" si="5"/>
        <v>45819</v>
      </c>
      <c r="B77" s="203">
        <f>YEAR(Table7[[#This Row],[Date]])+IF(MONTH(Table7[[#This Row],[Date]])&gt;=4,1,0)</f>
        <v>2026</v>
      </c>
      <c r="C77" s="203">
        <f>YEAR(Table7[[#This Row],[Date]])</f>
        <v>2025</v>
      </c>
      <c r="D77" s="205">
        <f t="shared" si="4"/>
        <v>45809</v>
      </c>
      <c r="E77" s="203">
        <v>33</v>
      </c>
      <c r="F77" s="203">
        <v>33</v>
      </c>
      <c r="G77" s="203">
        <v>33</v>
      </c>
      <c r="H77" s="203">
        <v>33</v>
      </c>
      <c r="I77" s="203">
        <v>33</v>
      </c>
      <c r="J77" s="203">
        <v>33</v>
      </c>
      <c r="K77" s="203">
        <v>33</v>
      </c>
      <c r="L77" s="203">
        <v>33</v>
      </c>
      <c r="M77" s="203">
        <v>33</v>
      </c>
      <c r="N77" s="203">
        <v>33</v>
      </c>
      <c r="O77" s="203">
        <v>33</v>
      </c>
      <c r="P77" s="203">
        <v>33</v>
      </c>
      <c r="Q77" s="203">
        <v>33</v>
      </c>
      <c r="R77" s="203">
        <v>33</v>
      </c>
      <c r="S77" s="203">
        <v>33</v>
      </c>
      <c r="T77" s="203">
        <v>33</v>
      </c>
      <c r="U77" s="203">
        <v>33</v>
      </c>
      <c r="V77" s="203">
        <v>33</v>
      </c>
      <c r="W77" s="203">
        <v>33</v>
      </c>
      <c r="X77" s="203">
        <v>33</v>
      </c>
      <c r="Y77" s="203">
        <v>33</v>
      </c>
      <c r="Z77" s="203">
        <v>33</v>
      </c>
      <c r="AA77" s="203">
        <v>33</v>
      </c>
      <c r="AB77" s="203">
        <v>33</v>
      </c>
      <c r="AC77" s="203">
        <v>33</v>
      </c>
      <c r="AD77" s="203">
        <v>33</v>
      </c>
      <c r="AE77" s="203">
        <v>33</v>
      </c>
      <c r="AF77" s="203">
        <v>0</v>
      </c>
      <c r="AG77" s="203">
        <v>33</v>
      </c>
      <c r="AH77" s="203">
        <v>0</v>
      </c>
      <c r="AI77" s="203">
        <v>33</v>
      </c>
      <c r="AJ77" s="203">
        <v>33</v>
      </c>
      <c r="AK77" s="203">
        <v>33</v>
      </c>
      <c r="AL77" s="203">
        <v>33</v>
      </c>
      <c r="AM77" s="203">
        <v>33</v>
      </c>
      <c r="AN77" s="203">
        <v>33</v>
      </c>
      <c r="AO77" s="203">
        <v>33</v>
      </c>
      <c r="AP77" s="203">
        <v>33</v>
      </c>
      <c r="AQ77" s="203">
        <v>33</v>
      </c>
      <c r="AR77" s="203">
        <f t="shared" si="6"/>
        <v>1221</v>
      </c>
      <c r="AS77" s="284" t="s">
        <v>647</v>
      </c>
    </row>
    <row r="78" spans="1:45">
      <c r="A78" s="206">
        <f t="shared" si="5"/>
        <v>45820</v>
      </c>
      <c r="B78" s="203">
        <f>YEAR(Table7[[#This Row],[Date]])+IF(MONTH(Table7[[#This Row],[Date]])&gt;=4,1,0)</f>
        <v>2026</v>
      </c>
      <c r="C78" s="203">
        <f>YEAR(Table7[[#This Row],[Date]])</f>
        <v>2025</v>
      </c>
      <c r="D78" s="205">
        <f t="shared" si="4"/>
        <v>45809</v>
      </c>
      <c r="E78" s="203">
        <v>163</v>
      </c>
      <c r="F78" s="203">
        <v>163</v>
      </c>
      <c r="G78" s="203">
        <v>163</v>
      </c>
      <c r="H78" s="203">
        <v>163</v>
      </c>
      <c r="I78" s="203">
        <v>163</v>
      </c>
      <c r="J78" s="203">
        <v>163</v>
      </c>
      <c r="K78" s="203">
        <v>163</v>
      </c>
      <c r="L78" s="203">
        <v>163</v>
      </c>
      <c r="M78" s="203">
        <v>163</v>
      </c>
      <c r="N78" s="203">
        <v>163</v>
      </c>
      <c r="O78" s="203">
        <v>163</v>
      </c>
      <c r="P78" s="203">
        <v>163</v>
      </c>
      <c r="Q78" s="203">
        <v>163</v>
      </c>
      <c r="R78" s="203">
        <v>163</v>
      </c>
      <c r="S78" s="203">
        <v>163</v>
      </c>
      <c r="T78" s="203">
        <v>163</v>
      </c>
      <c r="U78" s="203">
        <v>163</v>
      </c>
      <c r="V78" s="203">
        <v>163</v>
      </c>
      <c r="W78" s="203">
        <v>163</v>
      </c>
      <c r="X78" s="203">
        <v>163</v>
      </c>
      <c r="Y78" s="203">
        <v>163</v>
      </c>
      <c r="Z78" s="203">
        <v>163</v>
      </c>
      <c r="AA78" s="203">
        <v>163</v>
      </c>
      <c r="AB78" s="203">
        <v>163</v>
      </c>
      <c r="AC78" s="203">
        <v>163</v>
      </c>
      <c r="AD78" s="203">
        <v>163</v>
      </c>
      <c r="AE78" s="203">
        <v>163</v>
      </c>
      <c r="AF78" s="203">
        <v>0</v>
      </c>
      <c r="AG78" s="203">
        <v>163</v>
      </c>
      <c r="AH78" s="203">
        <v>0</v>
      </c>
      <c r="AI78" s="203">
        <v>163</v>
      </c>
      <c r="AJ78" s="203">
        <v>163</v>
      </c>
      <c r="AK78" s="203">
        <v>163</v>
      </c>
      <c r="AL78" s="203">
        <v>163</v>
      </c>
      <c r="AM78" s="203">
        <v>163</v>
      </c>
      <c r="AN78" s="203">
        <v>163</v>
      </c>
      <c r="AO78" s="203">
        <v>163</v>
      </c>
      <c r="AP78" s="203">
        <v>163</v>
      </c>
      <c r="AQ78" s="203">
        <v>163</v>
      </c>
      <c r="AR78" s="203">
        <f t="shared" si="6"/>
        <v>6031</v>
      </c>
      <c r="AS78" s="284" t="s">
        <v>647</v>
      </c>
    </row>
    <row r="79" spans="1:45">
      <c r="A79" s="206">
        <f t="shared" si="5"/>
        <v>45821</v>
      </c>
      <c r="B79" s="203">
        <f>YEAR(Table7[[#This Row],[Date]])+IF(MONTH(Table7[[#This Row],[Date]])&gt;=4,1,0)</f>
        <v>2026</v>
      </c>
      <c r="C79" s="203">
        <f>YEAR(Table7[[#This Row],[Date]])</f>
        <v>2025</v>
      </c>
      <c r="D79" s="205">
        <f t="shared" si="4"/>
        <v>45809</v>
      </c>
      <c r="AR79" s="203">
        <f t="shared" si="6"/>
        <v>0</v>
      </c>
    </row>
    <row r="80" spans="1:45">
      <c r="A80" s="206">
        <f t="shared" si="5"/>
        <v>45822</v>
      </c>
      <c r="B80" s="203">
        <f>YEAR(Table7[[#This Row],[Date]])+IF(MONTH(Table7[[#This Row],[Date]])&gt;=4,1,0)</f>
        <v>2026</v>
      </c>
      <c r="C80" s="203">
        <f>YEAR(Table7[[#This Row],[Date]])</f>
        <v>2025</v>
      </c>
      <c r="D80" s="205">
        <f t="shared" si="4"/>
        <v>45809</v>
      </c>
      <c r="AR80" s="203">
        <f t="shared" si="6"/>
        <v>0</v>
      </c>
    </row>
    <row r="81" spans="1:44">
      <c r="A81" s="206">
        <f t="shared" si="5"/>
        <v>45823</v>
      </c>
      <c r="B81" s="203">
        <f>YEAR(Table7[[#This Row],[Date]])+IF(MONTH(Table7[[#This Row],[Date]])&gt;=4,1,0)</f>
        <v>2026</v>
      </c>
      <c r="C81" s="203">
        <f>YEAR(Table7[[#This Row],[Date]])</f>
        <v>2025</v>
      </c>
      <c r="D81" s="205">
        <f t="shared" si="4"/>
        <v>45809</v>
      </c>
      <c r="AR81" s="203">
        <f t="shared" si="6"/>
        <v>0</v>
      </c>
    </row>
    <row r="82" spans="1:44">
      <c r="A82" s="206">
        <f t="shared" si="5"/>
        <v>45824</v>
      </c>
      <c r="B82" s="203">
        <f>YEAR(Table7[[#This Row],[Date]])+IF(MONTH(Table7[[#This Row],[Date]])&gt;=4,1,0)</f>
        <v>2026</v>
      </c>
      <c r="C82" s="203">
        <f>YEAR(Table7[[#This Row],[Date]])</f>
        <v>2025</v>
      </c>
      <c r="D82" s="205">
        <f t="shared" si="4"/>
        <v>45809</v>
      </c>
      <c r="AR82" s="203">
        <f t="shared" si="6"/>
        <v>0</v>
      </c>
    </row>
    <row r="83" spans="1:44">
      <c r="A83" s="206">
        <f t="shared" si="5"/>
        <v>45825</v>
      </c>
      <c r="B83" s="203">
        <f>YEAR(Table7[[#This Row],[Date]])+IF(MONTH(Table7[[#This Row],[Date]])&gt;=4,1,0)</f>
        <v>2026</v>
      </c>
      <c r="C83" s="203">
        <f>YEAR(Table7[[#This Row],[Date]])</f>
        <v>2025</v>
      </c>
      <c r="D83" s="205">
        <f t="shared" si="4"/>
        <v>45809</v>
      </c>
      <c r="AR83" s="203">
        <f t="shared" si="6"/>
        <v>0</v>
      </c>
    </row>
    <row r="84" spans="1:44">
      <c r="A84" s="206">
        <f t="shared" si="5"/>
        <v>45826</v>
      </c>
      <c r="B84" s="203">
        <f>YEAR(Table7[[#This Row],[Date]])+IF(MONTH(Table7[[#This Row],[Date]])&gt;=4,1,0)</f>
        <v>2026</v>
      </c>
      <c r="C84" s="203">
        <f>YEAR(Table7[[#This Row],[Date]])</f>
        <v>2025</v>
      </c>
      <c r="D84" s="205">
        <f t="shared" si="4"/>
        <v>45809</v>
      </c>
      <c r="AR84" s="203">
        <f t="shared" si="6"/>
        <v>0</v>
      </c>
    </row>
    <row r="85" spans="1:44">
      <c r="A85" s="206">
        <f t="shared" si="5"/>
        <v>45827</v>
      </c>
      <c r="B85" s="203">
        <f>YEAR(Table7[[#This Row],[Date]])+IF(MONTH(Table7[[#This Row],[Date]])&gt;=4,1,0)</f>
        <v>2026</v>
      </c>
      <c r="C85" s="203">
        <f>YEAR(Table7[[#This Row],[Date]])</f>
        <v>2025</v>
      </c>
      <c r="D85" s="205">
        <f t="shared" si="4"/>
        <v>45809</v>
      </c>
      <c r="AR85" s="203">
        <f t="shared" si="6"/>
        <v>0</v>
      </c>
    </row>
    <row r="86" spans="1:44">
      <c r="A86" s="206">
        <f t="shared" si="5"/>
        <v>45828</v>
      </c>
      <c r="B86" s="203">
        <f>YEAR(Table7[[#This Row],[Date]])+IF(MONTH(Table7[[#This Row],[Date]])&gt;=4,1,0)</f>
        <v>2026</v>
      </c>
      <c r="C86" s="203">
        <f>YEAR(Table7[[#This Row],[Date]])</f>
        <v>2025</v>
      </c>
      <c r="D86" s="205">
        <f t="shared" si="4"/>
        <v>45809</v>
      </c>
      <c r="AR86" s="203">
        <f t="shared" si="6"/>
        <v>0</v>
      </c>
    </row>
    <row r="87" spans="1:44">
      <c r="A87" s="206">
        <f t="shared" si="5"/>
        <v>45829</v>
      </c>
      <c r="B87" s="203">
        <f>YEAR(Table7[[#This Row],[Date]])+IF(MONTH(Table7[[#This Row],[Date]])&gt;=4,1,0)</f>
        <v>2026</v>
      </c>
      <c r="C87" s="203">
        <f>YEAR(Table7[[#This Row],[Date]])</f>
        <v>2025</v>
      </c>
      <c r="D87" s="205">
        <f t="shared" si="4"/>
        <v>45809</v>
      </c>
      <c r="AR87" s="203">
        <f t="shared" si="6"/>
        <v>0</v>
      </c>
    </row>
    <row r="88" spans="1:44">
      <c r="A88" s="206">
        <f t="shared" si="5"/>
        <v>45830</v>
      </c>
      <c r="B88" s="203">
        <f>YEAR(Table7[[#This Row],[Date]])+IF(MONTH(Table7[[#This Row],[Date]])&gt;=4,1,0)</f>
        <v>2026</v>
      </c>
      <c r="C88" s="203">
        <f>YEAR(Table7[[#This Row],[Date]])</f>
        <v>2025</v>
      </c>
      <c r="D88" s="205">
        <f t="shared" si="4"/>
        <v>45809</v>
      </c>
      <c r="AR88" s="203">
        <f t="shared" si="6"/>
        <v>0</v>
      </c>
    </row>
    <row r="89" spans="1:44">
      <c r="A89" s="206">
        <f t="shared" si="5"/>
        <v>45831</v>
      </c>
      <c r="B89" s="203">
        <f>YEAR(Table7[[#This Row],[Date]])+IF(MONTH(Table7[[#This Row],[Date]])&gt;=4,1,0)</f>
        <v>2026</v>
      </c>
      <c r="C89" s="203">
        <f>YEAR(Table7[[#This Row],[Date]])</f>
        <v>2025</v>
      </c>
      <c r="D89" s="205">
        <f t="shared" si="4"/>
        <v>45809</v>
      </c>
      <c r="AR89" s="203">
        <f t="shared" si="6"/>
        <v>0</v>
      </c>
    </row>
    <row r="90" spans="1:44">
      <c r="A90" s="206">
        <f t="shared" si="5"/>
        <v>45832</v>
      </c>
      <c r="B90" s="203">
        <f>YEAR(Table7[[#This Row],[Date]])+IF(MONTH(Table7[[#This Row],[Date]])&gt;=4,1,0)</f>
        <v>2026</v>
      </c>
      <c r="C90" s="203">
        <f>YEAR(Table7[[#This Row],[Date]])</f>
        <v>2025</v>
      </c>
      <c r="D90" s="205">
        <f t="shared" si="4"/>
        <v>45809</v>
      </c>
      <c r="AR90" s="203">
        <f t="shared" si="6"/>
        <v>0</v>
      </c>
    </row>
    <row r="91" spans="1:44">
      <c r="A91" s="206">
        <f t="shared" si="5"/>
        <v>45833</v>
      </c>
      <c r="B91" s="203">
        <f>YEAR(Table7[[#This Row],[Date]])+IF(MONTH(Table7[[#This Row],[Date]])&gt;=4,1,0)</f>
        <v>2026</v>
      </c>
      <c r="C91" s="203">
        <f>YEAR(Table7[[#This Row],[Date]])</f>
        <v>2025</v>
      </c>
      <c r="D91" s="205">
        <f t="shared" si="4"/>
        <v>45809</v>
      </c>
      <c r="AR91" s="203">
        <f t="shared" si="6"/>
        <v>0</v>
      </c>
    </row>
    <row r="92" spans="1:44">
      <c r="A92" s="206">
        <f t="shared" si="5"/>
        <v>45834</v>
      </c>
      <c r="B92" s="203">
        <f>YEAR(Table7[[#This Row],[Date]])+IF(MONTH(Table7[[#This Row],[Date]])&gt;=4,1,0)</f>
        <v>2026</v>
      </c>
      <c r="C92" s="203">
        <f>YEAR(Table7[[#This Row],[Date]])</f>
        <v>2025</v>
      </c>
      <c r="D92" s="205">
        <f t="shared" si="4"/>
        <v>45809</v>
      </c>
      <c r="AR92" s="203">
        <f t="shared" si="6"/>
        <v>0</v>
      </c>
    </row>
    <row r="93" spans="1:44">
      <c r="A93" s="206">
        <f t="shared" si="5"/>
        <v>45835</v>
      </c>
      <c r="B93" s="203">
        <f>YEAR(Table7[[#This Row],[Date]])+IF(MONTH(Table7[[#This Row],[Date]])&gt;=4,1,0)</f>
        <v>2026</v>
      </c>
      <c r="C93" s="203">
        <f>YEAR(Table7[[#This Row],[Date]])</f>
        <v>2025</v>
      </c>
      <c r="D93" s="205">
        <f t="shared" si="4"/>
        <v>45809</v>
      </c>
      <c r="AR93" s="203">
        <f t="shared" si="6"/>
        <v>0</v>
      </c>
    </row>
    <row r="94" spans="1:44">
      <c r="A94" s="206">
        <f t="shared" si="5"/>
        <v>45836</v>
      </c>
      <c r="B94" s="203">
        <f>YEAR(Table7[[#This Row],[Date]])+IF(MONTH(Table7[[#This Row],[Date]])&gt;=4,1,0)</f>
        <v>2026</v>
      </c>
      <c r="C94" s="203">
        <f>YEAR(Table7[[#This Row],[Date]])</f>
        <v>2025</v>
      </c>
      <c r="D94" s="205">
        <f t="shared" si="4"/>
        <v>45809</v>
      </c>
      <c r="AR94" s="203">
        <f t="shared" si="6"/>
        <v>0</v>
      </c>
    </row>
    <row r="95" spans="1:44">
      <c r="A95" s="206">
        <f t="shared" si="5"/>
        <v>45837</v>
      </c>
      <c r="B95" s="203">
        <f>YEAR(Table7[[#This Row],[Date]])+IF(MONTH(Table7[[#This Row],[Date]])&gt;=4,1,0)</f>
        <v>2026</v>
      </c>
      <c r="C95" s="203">
        <f>YEAR(Table7[[#This Row],[Date]])</f>
        <v>2025</v>
      </c>
      <c r="D95" s="205">
        <f t="shared" si="4"/>
        <v>45809</v>
      </c>
      <c r="AR95" s="203">
        <f t="shared" si="6"/>
        <v>0</v>
      </c>
    </row>
    <row r="96" spans="1:44">
      <c r="A96" s="206">
        <f t="shared" si="5"/>
        <v>45838</v>
      </c>
      <c r="B96" s="203">
        <f>YEAR(Table7[[#This Row],[Date]])+IF(MONTH(Table7[[#This Row],[Date]])&gt;=4,1,0)</f>
        <v>2026</v>
      </c>
      <c r="C96" s="203">
        <f>YEAR(Table7[[#This Row],[Date]])</f>
        <v>2025</v>
      </c>
      <c r="D96" s="205">
        <f t="shared" si="4"/>
        <v>45809</v>
      </c>
      <c r="AR96" s="203">
        <f t="shared" si="6"/>
        <v>0</v>
      </c>
    </row>
    <row r="97" spans="1:44">
      <c r="A97" s="206">
        <f t="shared" si="5"/>
        <v>45839</v>
      </c>
      <c r="B97" s="203">
        <f>YEAR(Table7[[#This Row],[Date]])+IF(MONTH(Table7[[#This Row],[Date]])&gt;=4,1,0)</f>
        <v>2026</v>
      </c>
      <c r="C97" s="203">
        <f>YEAR(Table7[[#This Row],[Date]])</f>
        <v>2025</v>
      </c>
      <c r="D97" s="205">
        <f t="shared" si="4"/>
        <v>45839</v>
      </c>
      <c r="AR97" s="203">
        <f t="shared" si="6"/>
        <v>0</v>
      </c>
    </row>
    <row r="98" spans="1:44">
      <c r="A98" s="206">
        <f t="shared" si="5"/>
        <v>45840</v>
      </c>
      <c r="B98" s="203">
        <f>YEAR(Table7[[#This Row],[Date]])+IF(MONTH(Table7[[#This Row],[Date]])&gt;=4,1,0)</f>
        <v>2026</v>
      </c>
      <c r="C98" s="203">
        <f>YEAR(Table7[[#This Row],[Date]])</f>
        <v>2025</v>
      </c>
      <c r="D98" s="205">
        <f t="shared" si="4"/>
        <v>45839</v>
      </c>
      <c r="AR98" s="203">
        <f t="shared" si="6"/>
        <v>0</v>
      </c>
    </row>
    <row r="99" spans="1:44">
      <c r="A99" s="206">
        <f t="shared" si="5"/>
        <v>45841</v>
      </c>
      <c r="B99" s="203">
        <f>YEAR(Table7[[#This Row],[Date]])+IF(MONTH(Table7[[#This Row],[Date]])&gt;=4,1,0)</f>
        <v>2026</v>
      </c>
      <c r="C99" s="203">
        <f>YEAR(Table7[[#This Row],[Date]])</f>
        <v>2025</v>
      </c>
      <c r="D99" s="205">
        <f t="shared" si="4"/>
        <v>45839</v>
      </c>
      <c r="AR99" s="203">
        <f t="shared" si="6"/>
        <v>0</v>
      </c>
    </row>
    <row r="100" spans="1:44">
      <c r="A100" s="206">
        <f t="shared" si="5"/>
        <v>45842</v>
      </c>
      <c r="B100" s="203">
        <f>YEAR(Table7[[#This Row],[Date]])+IF(MONTH(Table7[[#This Row],[Date]])&gt;=4,1,0)</f>
        <v>2026</v>
      </c>
      <c r="C100" s="203">
        <f>YEAR(Table7[[#This Row],[Date]])</f>
        <v>2025</v>
      </c>
      <c r="D100" s="205">
        <f t="shared" ref="D100:D163" si="7">A100-DAY(A100)+1</f>
        <v>45839</v>
      </c>
      <c r="AR100" s="203">
        <f t="shared" si="6"/>
        <v>0</v>
      </c>
    </row>
    <row r="101" spans="1:44">
      <c r="A101" s="206">
        <f t="shared" si="5"/>
        <v>45843</v>
      </c>
      <c r="B101" s="203">
        <f>YEAR(Table7[[#This Row],[Date]])+IF(MONTH(Table7[[#This Row],[Date]])&gt;=4,1,0)</f>
        <v>2026</v>
      </c>
      <c r="C101" s="203">
        <f>YEAR(Table7[[#This Row],[Date]])</f>
        <v>2025</v>
      </c>
      <c r="D101" s="205">
        <f t="shared" si="7"/>
        <v>45839</v>
      </c>
      <c r="AR101" s="203">
        <f t="shared" si="6"/>
        <v>0</v>
      </c>
    </row>
    <row r="102" spans="1:44">
      <c r="A102" s="206">
        <f t="shared" ref="A102:A165" si="8">A101+1</f>
        <v>45844</v>
      </c>
      <c r="B102" s="203">
        <f>YEAR(Table7[[#This Row],[Date]])+IF(MONTH(Table7[[#This Row],[Date]])&gt;=4,1,0)</f>
        <v>2026</v>
      </c>
      <c r="C102" s="203">
        <f>YEAR(Table7[[#This Row],[Date]])</f>
        <v>2025</v>
      </c>
      <c r="D102" s="205">
        <f t="shared" si="7"/>
        <v>45839</v>
      </c>
      <c r="AR102" s="203">
        <f t="shared" si="6"/>
        <v>0</v>
      </c>
    </row>
    <row r="103" spans="1:44">
      <c r="A103" s="206">
        <f t="shared" si="8"/>
        <v>45845</v>
      </c>
      <c r="B103" s="203">
        <f>YEAR(Table7[[#This Row],[Date]])+IF(MONTH(Table7[[#This Row],[Date]])&gt;=4,1,0)</f>
        <v>2026</v>
      </c>
      <c r="C103" s="203">
        <f>YEAR(Table7[[#This Row],[Date]])</f>
        <v>2025</v>
      </c>
      <c r="D103" s="205">
        <f t="shared" si="7"/>
        <v>45839</v>
      </c>
      <c r="AR103" s="203">
        <f t="shared" si="6"/>
        <v>0</v>
      </c>
    </row>
    <row r="104" spans="1:44">
      <c r="A104" s="206">
        <f t="shared" si="8"/>
        <v>45846</v>
      </c>
      <c r="B104" s="203">
        <f>YEAR(Table7[[#This Row],[Date]])+IF(MONTH(Table7[[#This Row],[Date]])&gt;=4,1,0)</f>
        <v>2026</v>
      </c>
      <c r="C104" s="203">
        <f>YEAR(Table7[[#This Row],[Date]])</f>
        <v>2025</v>
      </c>
      <c r="D104" s="205">
        <f t="shared" si="7"/>
        <v>45839</v>
      </c>
      <c r="AR104" s="203">
        <f t="shared" si="6"/>
        <v>0</v>
      </c>
    </row>
    <row r="105" spans="1:44">
      <c r="A105" s="206">
        <f t="shared" si="8"/>
        <v>45847</v>
      </c>
      <c r="B105" s="203">
        <f>YEAR(Table7[[#This Row],[Date]])+IF(MONTH(Table7[[#This Row],[Date]])&gt;=4,1,0)</f>
        <v>2026</v>
      </c>
      <c r="C105" s="203">
        <f>YEAR(Table7[[#This Row],[Date]])</f>
        <v>2025</v>
      </c>
      <c r="D105" s="205">
        <f t="shared" si="7"/>
        <v>45839</v>
      </c>
      <c r="AR105" s="203">
        <f t="shared" si="6"/>
        <v>0</v>
      </c>
    </row>
    <row r="106" spans="1:44">
      <c r="A106" s="206">
        <f t="shared" si="8"/>
        <v>45848</v>
      </c>
      <c r="B106" s="203">
        <f>YEAR(Table7[[#This Row],[Date]])+IF(MONTH(Table7[[#This Row],[Date]])&gt;=4,1,0)</f>
        <v>2026</v>
      </c>
      <c r="C106" s="203">
        <f>YEAR(Table7[[#This Row],[Date]])</f>
        <v>2025</v>
      </c>
      <c r="D106" s="205">
        <f t="shared" si="7"/>
        <v>45839</v>
      </c>
      <c r="AR106" s="203">
        <f t="shared" si="6"/>
        <v>0</v>
      </c>
    </row>
    <row r="107" spans="1:44">
      <c r="A107" s="206">
        <f t="shared" si="8"/>
        <v>45849</v>
      </c>
      <c r="B107" s="203">
        <f>YEAR(Table7[[#This Row],[Date]])+IF(MONTH(Table7[[#This Row],[Date]])&gt;=4,1,0)</f>
        <v>2026</v>
      </c>
      <c r="C107" s="203">
        <f>YEAR(Table7[[#This Row],[Date]])</f>
        <v>2025</v>
      </c>
      <c r="D107" s="205">
        <f t="shared" si="7"/>
        <v>45839</v>
      </c>
      <c r="AR107" s="203">
        <f t="shared" si="6"/>
        <v>0</v>
      </c>
    </row>
    <row r="108" spans="1:44">
      <c r="A108" s="206">
        <f t="shared" si="8"/>
        <v>45850</v>
      </c>
      <c r="B108" s="203">
        <f>YEAR(Table7[[#This Row],[Date]])+IF(MONTH(Table7[[#This Row],[Date]])&gt;=4,1,0)</f>
        <v>2026</v>
      </c>
      <c r="C108" s="203">
        <f>YEAR(Table7[[#This Row],[Date]])</f>
        <v>2025</v>
      </c>
      <c r="D108" s="205">
        <f t="shared" si="7"/>
        <v>45839</v>
      </c>
      <c r="AR108" s="203">
        <f t="shared" si="6"/>
        <v>0</v>
      </c>
    </row>
    <row r="109" spans="1:44">
      <c r="A109" s="206">
        <f t="shared" si="8"/>
        <v>45851</v>
      </c>
      <c r="B109" s="203">
        <f>YEAR(Table7[[#This Row],[Date]])+IF(MONTH(Table7[[#This Row],[Date]])&gt;=4,1,0)</f>
        <v>2026</v>
      </c>
      <c r="C109" s="203">
        <f>YEAR(Table7[[#This Row],[Date]])</f>
        <v>2025</v>
      </c>
      <c r="D109" s="205">
        <f t="shared" si="7"/>
        <v>45839</v>
      </c>
      <c r="AR109" s="203">
        <f t="shared" si="6"/>
        <v>0</v>
      </c>
    </row>
    <row r="110" spans="1:44">
      <c r="A110" s="206">
        <f t="shared" si="8"/>
        <v>45852</v>
      </c>
      <c r="B110" s="203">
        <f>YEAR(Table7[[#This Row],[Date]])+IF(MONTH(Table7[[#This Row],[Date]])&gt;=4,1,0)</f>
        <v>2026</v>
      </c>
      <c r="C110" s="203">
        <f>YEAR(Table7[[#This Row],[Date]])</f>
        <v>2025</v>
      </c>
      <c r="D110" s="205">
        <f t="shared" si="7"/>
        <v>45839</v>
      </c>
      <c r="AR110" s="203">
        <f t="shared" si="6"/>
        <v>0</v>
      </c>
    </row>
    <row r="111" spans="1:44">
      <c r="A111" s="206">
        <f t="shared" si="8"/>
        <v>45853</v>
      </c>
      <c r="B111" s="203">
        <f>YEAR(Table7[[#This Row],[Date]])+IF(MONTH(Table7[[#This Row],[Date]])&gt;=4,1,0)</f>
        <v>2026</v>
      </c>
      <c r="C111" s="203">
        <f>YEAR(Table7[[#This Row],[Date]])</f>
        <v>2025</v>
      </c>
      <c r="D111" s="205">
        <f t="shared" si="7"/>
        <v>45839</v>
      </c>
      <c r="AR111" s="203">
        <f t="shared" si="6"/>
        <v>0</v>
      </c>
    </row>
    <row r="112" spans="1:44">
      <c r="A112" s="206">
        <f t="shared" si="8"/>
        <v>45854</v>
      </c>
      <c r="B112" s="203">
        <f>YEAR(Table7[[#This Row],[Date]])+IF(MONTH(Table7[[#This Row],[Date]])&gt;=4,1,0)</f>
        <v>2026</v>
      </c>
      <c r="C112" s="203">
        <f>YEAR(Table7[[#This Row],[Date]])</f>
        <v>2025</v>
      </c>
      <c r="D112" s="205">
        <f t="shared" si="7"/>
        <v>45839</v>
      </c>
      <c r="AR112" s="203">
        <f t="shared" si="6"/>
        <v>0</v>
      </c>
    </row>
    <row r="113" spans="1:44">
      <c r="A113" s="206">
        <f t="shared" si="8"/>
        <v>45855</v>
      </c>
      <c r="B113" s="203">
        <f>YEAR(Table7[[#This Row],[Date]])+IF(MONTH(Table7[[#This Row],[Date]])&gt;=4,1,0)</f>
        <v>2026</v>
      </c>
      <c r="C113" s="203">
        <f>YEAR(Table7[[#This Row],[Date]])</f>
        <v>2025</v>
      </c>
      <c r="D113" s="205">
        <f t="shared" si="7"/>
        <v>45839</v>
      </c>
      <c r="AR113" s="203">
        <f t="shared" si="6"/>
        <v>0</v>
      </c>
    </row>
    <row r="114" spans="1:44">
      <c r="A114" s="206">
        <f t="shared" si="8"/>
        <v>45856</v>
      </c>
      <c r="B114" s="203">
        <f>YEAR(Table7[[#This Row],[Date]])+IF(MONTH(Table7[[#This Row],[Date]])&gt;=4,1,0)</f>
        <v>2026</v>
      </c>
      <c r="C114" s="203">
        <f>YEAR(Table7[[#This Row],[Date]])</f>
        <v>2025</v>
      </c>
      <c r="D114" s="205">
        <f t="shared" si="7"/>
        <v>45839</v>
      </c>
      <c r="AR114" s="203">
        <f t="shared" si="6"/>
        <v>0</v>
      </c>
    </row>
    <row r="115" spans="1:44">
      <c r="A115" s="206">
        <f t="shared" si="8"/>
        <v>45857</v>
      </c>
      <c r="B115" s="203">
        <f>YEAR(Table7[[#This Row],[Date]])+IF(MONTH(Table7[[#This Row],[Date]])&gt;=4,1,0)</f>
        <v>2026</v>
      </c>
      <c r="C115" s="203">
        <f>YEAR(Table7[[#This Row],[Date]])</f>
        <v>2025</v>
      </c>
      <c r="D115" s="205">
        <f t="shared" si="7"/>
        <v>45839</v>
      </c>
      <c r="AR115" s="203">
        <f t="shared" si="6"/>
        <v>0</v>
      </c>
    </row>
    <row r="116" spans="1:44">
      <c r="A116" s="206">
        <f t="shared" si="8"/>
        <v>45858</v>
      </c>
      <c r="B116" s="203">
        <f>YEAR(Table7[[#This Row],[Date]])+IF(MONTH(Table7[[#This Row],[Date]])&gt;=4,1,0)</f>
        <v>2026</v>
      </c>
      <c r="C116" s="203">
        <f>YEAR(Table7[[#This Row],[Date]])</f>
        <v>2025</v>
      </c>
      <c r="D116" s="205">
        <f t="shared" si="7"/>
        <v>45839</v>
      </c>
      <c r="AR116" s="203">
        <f t="shared" si="6"/>
        <v>0</v>
      </c>
    </row>
    <row r="117" spans="1:44">
      <c r="A117" s="206">
        <f t="shared" si="8"/>
        <v>45859</v>
      </c>
      <c r="B117" s="203">
        <f>YEAR(Table7[[#This Row],[Date]])+IF(MONTH(Table7[[#This Row],[Date]])&gt;=4,1,0)</f>
        <v>2026</v>
      </c>
      <c r="C117" s="203">
        <f>YEAR(Table7[[#This Row],[Date]])</f>
        <v>2025</v>
      </c>
      <c r="D117" s="205">
        <f t="shared" si="7"/>
        <v>45839</v>
      </c>
      <c r="AR117" s="203">
        <f t="shared" si="6"/>
        <v>0</v>
      </c>
    </row>
    <row r="118" spans="1:44">
      <c r="A118" s="206">
        <f t="shared" si="8"/>
        <v>45860</v>
      </c>
      <c r="B118" s="203">
        <f>YEAR(Table7[[#This Row],[Date]])+IF(MONTH(Table7[[#This Row],[Date]])&gt;=4,1,0)</f>
        <v>2026</v>
      </c>
      <c r="C118" s="203">
        <f>YEAR(Table7[[#This Row],[Date]])</f>
        <v>2025</v>
      </c>
      <c r="D118" s="205">
        <f t="shared" si="7"/>
        <v>45839</v>
      </c>
      <c r="AR118" s="203">
        <f t="shared" si="6"/>
        <v>0</v>
      </c>
    </row>
    <row r="119" spans="1:44">
      <c r="A119" s="206">
        <f t="shared" si="8"/>
        <v>45861</v>
      </c>
      <c r="B119" s="203">
        <f>YEAR(Table7[[#This Row],[Date]])+IF(MONTH(Table7[[#This Row],[Date]])&gt;=4,1,0)</f>
        <v>2026</v>
      </c>
      <c r="C119" s="203">
        <f>YEAR(Table7[[#This Row],[Date]])</f>
        <v>2025</v>
      </c>
      <c r="D119" s="205">
        <f t="shared" si="7"/>
        <v>45839</v>
      </c>
      <c r="AR119" s="203">
        <f t="shared" si="6"/>
        <v>0</v>
      </c>
    </row>
    <row r="120" spans="1:44">
      <c r="A120" s="206">
        <f t="shared" si="8"/>
        <v>45862</v>
      </c>
      <c r="B120" s="203">
        <f>YEAR(Table7[[#This Row],[Date]])+IF(MONTH(Table7[[#This Row],[Date]])&gt;=4,1,0)</f>
        <v>2026</v>
      </c>
      <c r="C120" s="203">
        <f>YEAR(Table7[[#This Row],[Date]])</f>
        <v>2025</v>
      </c>
      <c r="D120" s="205">
        <f t="shared" si="7"/>
        <v>45839</v>
      </c>
      <c r="AR120" s="203">
        <f t="shared" si="6"/>
        <v>0</v>
      </c>
    </row>
    <row r="121" spans="1:44">
      <c r="A121" s="206">
        <f t="shared" si="8"/>
        <v>45863</v>
      </c>
      <c r="B121" s="203">
        <f>YEAR(Table7[[#This Row],[Date]])+IF(MONTH(Table7[[#This Row],[Date]])&gt;=4,1,0)</f>
        <v>2026</v>
      </c>
      <c r="C121" s="203">
        <f>YEAR(Table7[[#This Row],[Date]])</f>
        <v>2025</v>
      </c>
      <c r="D121" s="205">
        <f t="shared" si="7"/>
        <v>45839</v>
      </c>
      <c r="AR121" s="203">
        <f t="shared" si="6"/>
        <v>0</v>
      </c>
    </row>
    <row r="122" spans="1:44">
      <c r="A122" s="206">
        <f t="shared" si="8"/>
        <v>45864</v>
      </c>
      <c r="B122" s="203">
        <f>YEAR(Table7[[#This Row],[Date]])+IF(MONTH(Table7[[#This Row],[Date]])&gt;=4,1,0)</f>
        <v>2026</v>
      </c>
      <c r="C122" s="203">
        <f>YEAR(Table7[[#This Row],[Date]])</f>
        <v>2025</v>
      </c>
      <c r="D122" s="205">
        <f t="shared" si="7"/>
        <v>45839</v>
      </c>
      <c r="AR122" s="203">
        <f t="shared" si="6"/>
        <v>0</v>
      </c>
    </row>
    <row r="123" spans="1:44">
      <c r="A123" s="206">
        <f t="shared" si="8"/>
        <v>45865</v>
      </c>
      <c r="B123" s="203">
        <f>YEAR(Table7[[#This Row],[Date]])+IF(MONTH(Table7[[#This Row],[Date]])&gt;=4,1,0)</f>
        <v>2026</v>
      </c>
      <c r="C123" s="203">
        <f>YEAR(Table7[[#This Row],[Date]])</f>
        <v>2025</v>
      </c>
      <c r="D123" s="205">
        <f t="shared" si="7"/>
        <v>45839</v>
      </c>
      <c r="AR123" s="203">
        <f t="shared" si="6"/>
        <v>0</v>
      </c>
    </row>
    <row r="124" spans="1:44">
      <c r="A124" s="206">
        <f t="shared" si="8"/>
        <v>45866</v>
      </c>
      <c r="B124" s="203">
        <f>YEAR(Table7[[#This Row],[Date]])+IF(MONTH(Table7[[#This Row],[Date]])&gt;=4,1,0)</f>
        <v>2026</v>
      </c>
      <c r="C124" s="203">
        <f>YEAR(Table7[[#This Row],[Date]])</f>
        <v>2025</v>
      </c>
      <c r="D124" s="205">
        <f t="shared" si="7"/>
        <v>45839</v>
      </c>
      <c r="AR124" s="203">
        <f t="shared" si="6"/>
        <v>0</v>
      </c>
    </row>
    <row r="125" spans="1:44">
      <c r="A125" s="206">
        <f t="shared" si="8"/>
        <v>45867</v>
      </c>
      <c r="B125" s="203">
        <f>YEAR(Table7[[#This Row],[Date]])+IF(MONTH(Table7[[#This Row],[Date]])&gt;=4,1,0)</f>
        <v>2026</v>
      </c>
      <c r="C125" s="203">
        <f>YEAR(Table7[[#This Row],[Date]])</f>
        <v>2025</v>
      </c>
      <c r="D125" s="205">
        <f t="shared" si="7"/>
        <v>45839</v>
      </c>
      <c r="AR125" s="203">
        <f t="shared" si="6"/>
        <v>0</v>
      </c>
    </row>
    <row r="126" spans="1:44">
      <c r="A126" s="206">
        <f t="shared" si="8"/>
        <v>45868</v>
      </c>
      <c r="B126" s="203">
        <f>YEAR(Table7[[#This Row],[Date]])+IF(MONTH(Table7[[#This Row],[Date]])&gt;=4,1,0)</f>
        <v>2026</v>
      </c>
      <c r="C126" s="203">
        <f>YEAR(Table7[[#This Row],[Date]])</f>
        <v>2025</v>
      </c>
      <c r="D126" s="205">
        <f t="shared" si="7"/>
        <v>45839</v>
      </c>
      <c r="AR126" s="203">
        <f t="shared" si="6"/>
        <v>0</v>
      </c>
    </row>
    <row r="127" spans="1:44">
      <c r="A127" s="206">
        <f t="shared" si="8"/>
        <v>45869</v>
      </c>
      <c r="B127" s="203">
        <f>YEAR(Table7[[#This Row],[Date]])+IF(MONTH(Table7[[#This Row],[Date]])&gt;=4,1,0)</f>
        <v>2026</v>
      </c>
      <c r="C127" s="203">
        <f>YEAR(Table7[[#This Row],[Date]])</f>
        <v>2025</v>
      </c>
      <c r="D127" s="205">
        <f t="shared" si="7"/>
        <v>45839</v>
      </c>
      <c r="AR127" s="203">
        <f t="shared" si="6"/>
        <v>0</v>
      </c>
    </row>
    <row r="128" spans="1:44">
      <c r="A128" s="206">
        <f t="shared" si="8"/>
        <v>45870</v>
      </c>
      <c r="B128" s="203">
        <f>YEAR(Table7[[#This Row],[Date]])+IF(MONTH(Table7[[#This Row],[Date]])&gt;=4,1,0)</f>
        <v>2026</v>
      </c>
      <c r="C128" s="203">
        <f>YEAR(Table7[[#This Row],[Date]])</f>
        <v>2025</v>
      </c>
      <c r="D128" s="205">
        <f t="shared" si="7"/>
        <v>45870</v>
      </c>
      <c r="AR128" s="203">
        <f t="shared" si="6"/>
        <v>0</v>
      </c>
    </row>
    <row r="129" spans="1:44">
      <c r="A129" s="206">
        <f t="shared" si="8"/>
        <v>45871</v>
      </c>
      <c r="B129" s="203">
        <f>YEAR(Table7[[#This Row],[Date]])+IF(MONTH(Table7[[#This Row],[Date]])&gt;=4,1,0)</f>
        <v>2026</v>
      </c>
      <c r="C129" s="203">
        <f>YEAR(Table7[[#This Row],[Date]])</f>
        <v>2025</v>
      </c>
      <c r="D129" s="205">
        <f t="shared" si="7"/>
        <v>45870</v>
      </c>
      <c r="AR129" s="203">
        <f t="shared" si="6"/>
        <v>0</v>
      </c>
    </row>
    <row r="130" spans="1:44">
      <c r="A130" s="206">
        <f t="shared" si="8"/>
        <v>45872</v>
      </c>
      <c r="B130" s="203">
        <f>YEAR(Table7[[#This Row],[Date]])+IF(MONTH(Table7[[#This Row],[Date]])&gt;=4,1,0)</f>
        <v>2026</v>
      </c>
      <c r="C130" s="203">
        <f>YEAR(Table7[[#This Row],[Date]])</f>
        <v>2025</v>
      </c>
      <c r="D130" s="205">
        <f t="shared" si="7"/>
        <v>45870</v>
      </c>
      <c r="AR130" s="203">
        <f t="shared" si="6"/>
        <v>0</v>
      </c>
    </row>
    <row r="131" spans="1:44">
      <c r="A131" s="206">
        <f t="shared" si="8"/>
        <v>45873</v>
      </c>
      <c r="B131" s="203">
        <f>YEAR(Table7[[#This Row],[Date]])+IF(MONTH(Table7[[#This Row],[Date]])&gt;=4,1,0)</f>
        <v>2026</v>
      </c>
      <c r="C131" s="203">
        <f>YEAR(Table7[[#This Row],[Date]])</f>
        <v>2025</v>
      </c>
      <c r="D131" s="205">
        <f t="shared" si="7"/>
        <v>45870</v>
      </c>
      <c r="AR131" s="203">
        <f t="shared" ref="AR131:AR194" si="9">SUM(E131:AQ131)</f>
        <v>0</v>
      </c>
    </row>
    <row r="132" spans="1:44">
      <c r="A132" s="206">
        <f t="shared" si="8"/>
        <v>45874</v>
      </c>
      <c r="B132" s="203">
        <f>YEAR(Table7[[#This Row],[Date]])+IF(MONTH(Table7[[#This Row],[Date]])&gt;=4,1,0)</f>
        <v>2026</v>
      </c>
      <c r="C132" s="203">
        <f>YEAR(Table7[[#This Row],[Date]])</f>
        <v>2025</v>
      </c>
      <c r="D132" s="205">
        <f t="shared" si="7"/>
        <v>45870</v>
      </c>
      <c r="AR132" s="203">
        <f t="shared" si="9"/>
        <v>0</v>
      </c>
    </row>
    <row r="133" spans="1:44">
      <c r="A133" s="206">
        <f t="shared" si="8"/>
        <v>45875</v>
      </c>
      <c r="B133" s="203">
        <f>YEAR(Table7[[#This Row],[Date]])+IF(MONTH(Table7[[#This Row],[Date]])&gt;=4,1,0)</f>
        <v>2026</v>
      </c>
      <c r="C133" s="203">
        <f>YEAR(Table7[[#This Row],[Date]])</f>
        <v>2025</v>
      </c>
      <c r="D133" s="205">
        <f t="shared" si="7"/>
        <v>45870</v>
      </c>
      <c r="AR133" s="203">
        <f t="shared" si="9"/>
        <v>0</v>
      </c>
    </row>
    <row r="134" spans="1:44">
      <c r="A134" s="206">
        <f t="shared" si="8"/>
        <v>45876</v>
      </c>
      <c r="B134" s="203">
        <f>YEAR(Table7[[#This Row],[Date]])+IF(MONTH(Table7[[#This Row],[Date]])&gt;=4,1,0)</f>
        <v>2026</v>
      </c>
      <c r="C134" s="203">
        <f>YEAR(Table7[[#This Row],[Date]])</f>
        <v>2025</v>
      </c>
      <c r="D134" s="205">
        <f t="shared" si="7"/>
        <v>45870</v>
      </c>
      <c r="AR134" s="203">
        <f t="shared" si="9"/>
        <v>0</v>
      </c>
    </row>
    <row r="135" spans="1:44">
      <c r="A135" s="206">
        <f t="shared" si="8"/>
        <v>45877</v>
      </c>
      <c r="B135" s="203">
        <f>YEAR(Table7[[#This Row],[Date]])+IF(MONTH(Table7[[#This Row],[Date]])&gt;=4,1,0)</f>
        <v>2026</v>
      </c>
      <c r="C135" s="203">
        <f>YEAR(Table7[[#This Row],[Date]])</f>
        <v>2025</v>
      </c>
      <c r="D135" s="205">
        <f t="shared" si="7"/>
        <v>45870</v>
      </c>
      <c r="AR135" s="203">
        <f t="shared" si="9"/>
        <v>0</v>
      </c>
    </row>
    <row r="136" spans="1:44">
      <c r="A136" s="206">
        <f t="shared" si="8"/>
        <v>45878</v>
      </c>
      <c r="B136" s="203">
        <f>YEAR(Table7[[#This Row],[Date]])+IF(MONTH(Table7[[#This Row],[Date]])&gt;=4,1,0)</f>
        <v>2026</v>
      </c>
      <c r="C136" s="203">
        <f>YEAR(Table7[[#This Row],[Date]])</f>
        <v>2025</v>
      </c>
      <c r="D136" s="205">
        <f t="shared" si="7"/>
        <v>45870</v>
      </c>
      <c r="AR136" s="203">
        <f t="shared" si="9"/>
        <v>0</v>
      </c>
    </row>
    <row r="137" spans="1:44">
      <c r="A137" s="206">
        <f t="shared" si="8"/>
        <v>45879</v>
      </c>
      <c r="B137" s="203">
        <f>YEAR(Table7[[#This Row],[Date]])+IF(MONTH(Table7[[#This Row],[Date]])&gt;=4,1,0)</f>
        <v>2026</v>
      </c>
      <c r="C137" s="203">
        <f>YEAR(Table7[[#This Row],[Date]])</f>
        <v>2025</v>
      </c>
      <c r="D137" s="205">
        <f t="shared" si="7"/>
        <v>45870</v>
      </c>
      <c r="AR137" s="203">
        <f t="shared" si="9"/>
        <v>0</v>
      </c>
    </row>
    <row r="138" spans="1:44">
      <c r="A138" s="206">
        <f t="shared" si="8"/>
        <v>45880</v>
      </c>
      <c r="B138" s="203">
        <f>YEAR(Table7[[#This Row],[Date]])+IF(MONTH(Table7[[#This Row],[Date]])&gt;=4,1,0)</f>
        <v>2026</v>
      </c>
      <c r="C138" s="203">
        <f>YEAR(Table7[[#This Row],[Date]])</f>
        <v>2025</v>
      </c>
      <c r="D138" s="205">
        <f t="shared" si="7"/>
        <v>45870</v>
      </c>
      <c r="AR138" s="203">
        <f t="shared" si="9"/>
        <v>0</v>
      </c>
    </row>
    <row r="139" spans="1:44">
      <c r="A139" s="206">
        <f t="shared" si="8"/>
        <v>45881</v>
      </c>
      <c r="B139" s="203">
        <f>YEAR(Table7[[#This Row],[Date]])+IF(MONTH(Table7[[#This Row],[Date]])&gt;=4,1,0)</f>
        <v>2026</v>
      </c>
      <c r="C139" s="203">
        <f>YEAR(Table7[[#This Row],[Date]])</f>
        <v>2025</v>
      </c>
      <c r="D139" s="205">
        <f t="shared" si="7"/>
        <v>45870</v>
      </c>
      <c r="AR139" s="203">
        <f t="shared" si="9"/>
        <v>0</v>
      </c>
    </row>
    <row r="140" spans="1:44">
      <c r="A140" s="206">
        <f t="shared" si="8"/>
        <v>45882</v>
      </c>
      <c r="B140" s="203">
        <f>YEAR(Table7[[#This Row],[Date]])+IF(MONTH(Table7[[#This Row],[Date]])&gt;=4,1,0)</f>
        <v>2026</v>
      </c>
      <c r="C140" s="203">
        <f>YEAR(Table7[[#This Row],[Date]])</f>
        <v>2025</v>
      </c>
      <c r="D140" s="205">
        <f t="shared" si="7"/>
        <v>45870</v>
      </c>
      <c r="AR140" s="203">
        <f t="shared" si="9"/>
        <v>0</v>
      </c>
    </row>
    <row r="141" spans="1:44">
      <c r="A141" s="206">
        <f t="shared" si="8"/>
        <v>45883</v>
      </c>
      <c r="B141" s="203">
        <f>YEAR(Table7[[#This Row],[Date]])+IF(MONTH(Table7[[#This Row],[Date]])&gt;=4,1,0)</f>
        <v>2026</v>
      </c>
      <c r="C141" s="203">
        <f>YEAR(Table7[[#This Row],[Date]])</f>
        <v>2025</v>
      </c>
      <c r="D141" s="205">
        <f t="shared" si="7"/>
        <v>45870</v>
      </c>
      <c r="AR141" s="203">
        <f t="shared" si="9"/>
        <v>0</v>
      </c>
    </row>
    <row r="142" spans="1:44">
      <c r="A142" s="206">
        <f t="shared" si="8"/>
        <v>45884</v>
      </c>
      <c r="B142" s="203">
        <f>YEAR(Table7[[#This Row],[Date]])+IF(MONTH(Table7[[#This Row],[Date]])&gt;=4,1,0)</f>
        <v>2026</v>
      </c>
      <c r="C142" s="203">
        <f>YEAR(Table7[[#This Row],[Date]])</f>
        <v>2025</v>
      </c>
      <c r="D142" s="205">
        <f t="shared" si="7"/>
        <v>45870</v>
      </c>
      <c r="AR142" s="203">
        <f t="shared" si="9"/>
        <v>0</v>
      </c>
    </row>
    <row r="143" spans="1:44">
      <c r="A143" s="206">
        <f t="shared" si="8"/>
        <v>45885</v>
      </c>
      <c r="B143" s="203">
        <f>YEAR(Table7[[#This Row],[Date]])+IF(MONTH(Table7[[#This Row],[Date]])&gt;=4,1,0)</f>
        <v>2026</v>
      </c>
      <c r="C143" s="203">
        <f>YEAR(Table7[[#This Row],[Date]])</f>
        <v>2025</v>
      </c>
      <c r="D143" s="205">
        <f t="shared" si="7"/>
        <v>45870</v>
      </c>
      <c r="AR143" s="203">
        <f t="shared" si="9"/>
        <v>0</v>
      </c>
    </row>
    <row r="144" spans="1:44">
      <c r="A144" s="206">
        <f t="shared" si="8"/>
        <v>45886</v>
      </c>
      <c r="B144" s="203">
        <f>YEAR(Table7[[#This Row],[Date]])+IF(MONTH(Table7[[#This Row],[Date]])&gt;=4,1,0)</f>
        <v>2026</v>
      </c>
      <c r="C144" s="203">
        <f>YEAR(Table7[[#This Row],[Date]])</f>
        <v>2025</v>
      </c>
      <c r="D144" s="205">
        <f t="shared" si="7"/>
        <v>45870</v>
      </c>
      <c r="AR144" s="203">
        <f t="shared" si="9"/>
        <v>0</v>
      </c>
    </row>
    <row r="145" spans="1:44">
      <c r="A145" s="206">
        <f t="shared" si="8"/>
        <v>45887</v>
      </c>
      <c r="B145" s="203">
        <f>YEAR(Table7[[#This Row],[Date]])+IF(MONTH(Table7[[#This Row],[Date]])&gt;=4,1,0)</f>
        <v>2026</v>
      </c>
      <c r="C145" s="203">
        <f>YEAR(Table7[[#This Row],[Date]])</f>
        <v>2025</v>
      </c>
      <c r="D145" s="205">
        <f t="shared" si="7"/>
        <v>45870</v>
      </c>
      <c r="AR145" s="203">
        <f t="shared" si="9"/>
        <v>0</v>
      </c>
    </row>
    <row r="146" spans="1:44">
      <c r="A146" s="206">
        <f t="shared" si="8"/>
        <v>45888</v>
      </c>
      <c r="B146" s="203">
        <f>YEAR(Table7[[#This Row],[Date]])+IF(MONTH(Table7[[#This Row],[Date]])&gt;=4,1,0)</f>
        <v>2026</v>
      </c>
      <c r="C146" s="203">
        <f>YEAR(Table7[[#This Row],[Date]])</f>
        <v>2025</v>
      </c>
      <c r="D146" s="205">
        <f t="shared" si="7"/>
        <v>45870</v>
      </c>
      <c r="AR146" s="203">
        <f t="shared" si="9"/>
        <v>0</v>
      </c>
    </row>
    <row r="147" spans="1:44">
      <c r="A147" s="206">
        <f t="shared" si="8"/>
        <v>45889</v>
      </c>
      <c r="B147" s="203">
        <f>YEAR(Table7[[#This Row],[Date]])+IF(MONTH(Table7[[#This Row],[Date]])&gt;=4,1,0)</f>
        <v>2026</v>
      </c>
      <c r="C147" s="203">
        <f>YEAR(Table7[[#This Row],[Date]])</f>
        <v>2025</v>
      </c>
      <c r="D147" s="205">
        <f t="shared" si="7"/>
        <v>45870</v>
      </c>
      <c r="AR147" s="203">
        <f t="shared" si="9"/>
        <v>0</v>
      </c>
    </row>
    <row r="148" spans="1:44">
      <c r="A148" s="206">
        <f t="shared" si="8"/>
        <v>45890</v>
      </c>
      <c r="B148" s="203">
        <f>YEAR(Table7[[#This Row],[Date]])+IF(MONTH(Table7[[#This Row],[Date]])&gt;=4,1,0)</f>
        <v>2026</v>
      </c>
      <c r="C148" s="203">
        <f>YEAR(Table7[[#This Row],[Date]])</f>
        <v>2025</v>
      </c>
      <c r="D148" s="205">
        <f t="shared" si="7"/>
        <v>45870</v>
      </c>
      <c r="AR148" s="203">
        <f t="shared" si="9"/>
        <v>0</v>
      </c>
    </row>
    <row r="149" spans="1:44">
      <c r="A149" s="206">
        <f t="shared" si="8"/>
        <v>45891</v>
      </c>
      <c r="B149" s="203">
        <f>YEAR(Table7[[#This Row],[Date]])+IF(MONTH(Table7[[#This Row],[Date]])&gt;=4,1,0)</f>
        <v>2026</v>
      </c>
      <c r="C149" s="203">
        <f>YEAR(Table7[[#This Row],[Date]])</f>
        <v>2025</v>
      </c>
      <c r="D149" s="205">
        <f t="shared" si="7"/>
        <v>45870</v>
      </c>
      <c r="AR149" s="203">
        <f t="shared" si="9"/>
        <v>0</v>
      </c>
    </row>
    <row r="150" spans="1:44">
      <c r="A150" s="206">
        <f t="shared" si="8"/>
        <v>45892</v>
      </c>
      <c r="B150" s="203">
        <f>YEAR(Table7[[#This Row],[Date]])+IF(MONTH(Table7[[#This Row],[Date]])&gt;=4,1,0)</f>
        <v>2026</v>
      </c>
      <c r="C150" s="203">
        <f>YEAR(Table7[[#This Row],[Date]])</f>
        <v>2025</v>
      </c>
      <c r="D150" s="205">
        <f t="shared" si="7"/>
        <v>45870</v>
      </c>
      <c r="AR150" s="203">
        <f t="shared" si="9"/>
        <v>0</v>
      </c>
    </row>
    <row r="151" spans="1:44">
      <c r="A151" s="206">
        <f t="shared" si="8"/>
        <v>45893</v>
      </c>
      <c r="B151" s="203">
        <f>YEAR(Table7[[#This Row],[Date]])+IF(MONTH(Table7[[#This Row],[Date]])&gt;=4,1,0)</f>
        <v>2026</v>
      </c>
      <c r="C151" s="203">
        <f>YEAR(Table7[[#This Row],[Date]])</f>
        <v>2025</v>
      </c>
      <c r="D151" s="205">
        <f t="shared" si="7"/>
        <v>45870</v>
      </c>
      <c r="AR151" s="203">
        <f t="shared" si="9"/>
        <v>0</v>
      </c>
    </row>
    <row r="152" spans="1:44">
      <c r="A152" s="206">
        <f t="shared" si="8"/>
        <v>45894</v>
      </c>
      <c r="B152" s="203">
        <f>YEAR(Table7[[#This Row],[Date]])+IF(MONTH(Table7[[#This Row],[Date]])&gt;=4,1,0)</f>
        <v>2026</v>
      </c>
      <c r="C152" s="203">
        <f>YEAR(Table7[[#This Row],[Date]])</f>
        <v>2025</v>
      </c>
      <c r="D152" s="205">
        <f t="shared" si="7"/>
        <v>45870</v>
      </c>
      <c r="AR152" s="203">
        <f t="shared" si="9"/>
        <v>0</v>
      </c>
    </row>
    <row r="153" spans="1:44">
      <c r="A153" s="206">
        <f t="shared" si="8"/>
        <v>45895</v>
      </c>
      <c r="B153" s="203">
        <f>YEAR(Table7[[#This Row],[Date]])+IF(MONTH(Table7[[#This Row],[Date]])&gt;=4,1,0)</f>
        <v>2026</v>
      </c>
      <c r="C153" s="203">
        <f>YEAR(Table7[[#This Row],[Date]])</f>
        <v>2025</v>
      </c>
      <c r="D153" s="205">
        <f t="shared" si="7"/>
        <v>45870</v>
      </c>
      <c r="AR153" s="203">
        <f t="shared" si="9"/>
        <v>0</v>
      </c>
    </row>
    <row r="154" spans="1:44">
      <c r="A154" s="206">
        <f t="shared" si="8"/>
        <v>45896</v>
      </c>
      <c r="B154" s="203">
        <f>YEAR(Table7[[#This Row],[Date]])+IF(MONTH(Table7[[#This Row],[Date]])&gt;=4,1,0)</f>
        <v>2026</v>
      </c>
      <c r="C154" s="203">
        <f>YEAR(Table7[[#This Row],[Date]])</f>
        <v>2025</v>
      </c>
      <c r="D154" s="205">
        <f t="shared" si="7"/>
        <v>45870</v>
      </c>
      <c r="AR154" s="203">
        <f t="shared" si="9"/>
        <v>0</v>
      </c>
    </row>
    <row r="155" spans="1:44">
      <c r="A155" s="206">
        <f t="shared" si="8"/>
        <v>45897</v>
      </c>
      <c r="B155" s="203">
        <f>YEAR(Table7[[#This Row],[Date]])+IF(MONTH(Table7[[#This Row],[Date]])&gt;=4,1,0)</f>
        <v>2026</v>
      </c>
      <c r="C155" s="203">
        <f>YEAR(Table7[[#This Row],[Date]])</f>
        <v>2025</v>
      </c>
      <c r="D155" s="205">
        <f t="shared" si="7"/>
        <v>45870</v>
      </c>
      <c r="AR155" s="203">
        <f t="shared" si="9"/>
        <v>0</v>
      </c>
    </row>
    <row r="156" spans="1:44">
      <c r="A156" s="206">
        <f t="shared" si="8"/>
        <v>45898</v>
      </c>
      <c r="B156" s="203">
        <f>YEAR(Table7[[#This Row],[Date]])+IF(MONTH(Table7[[#This Row],[Date]])&gt;=4,1,0)</f>
        <v>2026</v>
      </c>
      <c r="C156" s="203">
        <f>YEAR(Table7[[#This Row],[Date]])</f>
        <v>2025</v>
      </c>
      <c r="D156" s="205">
        <f t="shared" si="7"/>
        <v>45870</v>
      </c>
      <c r="AR156" s="203">
        <f t="shared" si="9"/>
        <v>0</v>
      </c>
    </row>
    <row r="157" spans="1:44">
      <c r="A157" s="206">
        <f t="shared" si="8"/>
        <v>45899</v>
      </c>
      <c r="B157" s="203">
        <f>YEAR(Table7[[#This Row],[Date]])+IF(MONTH(Table7[[#This Row],[Date]])&gt;=4,1,0)</f>
        <v>2026</v>
      </c>
      <c r="C157" s="203">
        <f>YEAR(Table7[[#This Row],[Date]])</f>
        <v>2025</v>
      </c>
      <c r="D157" s="205">
        <f t="shared" si="7"/>
        <v>45870</v>
      </c>
      <c r="AR157" s="203">
        <f t="shared" si="9"/>
        <v>0</v>
      </c>
    </row>
    <row r="158" spans="1:44">
      <c r="A158" s="206">
        <f t="shared" si="8"/>
        <v>45900</v>
      </c>
      <c r="B158" s="203">
        <f>YEAR(Table7[[#This Row],[Date]])+IF(MONTH(Table7[[#This Row],[Date]])&gt;=4,1,0)</f>
        <v>2026</v>
      </c>
      <c r="C158" s="203">
        <f>YEAR(Table7[[#This Row],[Date]])</f>
        <v>2025</v>
      </c>
      <c r="D158" s="205">
        <f t="shared" si="7"/>
        <v>45870</v>
      </c>
      <c r="AR158" s="203">
        <f t="shared" si="9"/>
        <v>0</v>
      </c>
    </row>
    <row r="159" spans="1:44">
      <c r="A159" s="206">
        <f t="shared" si="8"/>
        <v>45901</v>
      </c>
      <c r="B159" s="203">
        <f>YEAR(Table7[[#This Row],[Date]])+IF(MONTH(Table7[[#This Row],[Date]])&gt;=4,1,0)</f>
        <v>2026</v>
      </c>
      <c r="C159" s="203">
        <f>YEAR(Table7[[#This Row],[Date]])</f>
        <v>2025</v>
      </c>
      <c r="D159" s="205">
        <f t="shared" si="7"/>
        <v>45901</v>
      </c>
      <c r="AR159" s="203">
        <f t="shared" si="9"/>
        <v>0</v>
      </c>
    </row>
    <row r="160" spans="1:44">
      <c r="A160" s="206">
        <f t="shared" si="8"/>
        <v>45902</v>
      </c>
      <c r="B160" s="203">
        <f>YEAR(Table7[[#This Row],[Date]])+IF(MONTH(Table7[[#This Row],[Date]])&gt;=4,1,0)</f>
        <v>2026</v>
      </c>
      <c r="C160" s="203">
        <f>YEAR(Table7[[#This Row],[Date]])</f>
        <v>2025</v>
      </c>
      <c r="D160" s="205">
        <f t="shared" si="7"/>
        <v>45901</v>
      </c>
      <c r="AR160" s="203">
        <f t="shared" si="9"/>
        <v>0</v>
      </c>
    </row>
    <row r="161" spans="1:44">
      <c r="A161" s="206">
        <f t="shared" si="8"/>
        <v>45903</v>
      </c>
      <c r="B161" s="203">
        <f>YEAR(Table7[[#This Row],[Date]])+IF(MONTH(Table7[[#This Row],[Date]])&gt;=4,1,0)</f>
        <v>2026</v>
      </c>
      <c r="C161" s="203">
        <f>YEAR(Table7[[#This Row],[Date]])</f>
        <v>2025</v>
      </c>
      <c r="D161" s="205">
        <f t="shared" si="7"/>
        <v>45901</v>
      </c>
      <c r="AR161" s="203">
        <f t="shared" si="9"/>
        <v>0</v>
      </c>
    </row>
    <row r="162" spans="1:44">
      <c r="A162" s="206">
        <f t="shared" si="8"/>
        <v>45904</v>
      </c>
      <c r="B162" s="203">
        <f>YEAR(Table7[[#This Row],[Date]])+IF(MONTH(Table7[[#This Row],[Date]])&gt;=4,1,0)</f>
        <v>2026</v>
      </c>
      <c r="C162" s="203">
        <f>YEAR(Table7[[#This Row],[Date]])</f>
        <v>2025</v>
      </c>
      <c r="D162" s="205">
        <f t="shared" si="7"/>
        <v>45901</v>
      </c>
      <c r="AR162" s="203">
        <f t="shared" si="9"/>
        <v>0</v>
      </c>
    </row>
    <row r="163" spans="1:44">
      <c r="A163" s="206">
        <f t="shared" si="8"/>
        <v>45905</v>
      </c>
      <c r="B163" s="203">
        <f>YEAR(Table7[[#This Row],[Date]])+IF(MONTH(Table7[[#This Row],[Date]])&gt;=4,1,0)</f>
        <v>2026</v>
      </c>
      <c r="C163" s="203">
        <f>YEAR(Table7[[#This Row],[Date]])</f>
        <v>2025</v>
      </c>
      <c r="D163" s="205">
        <f t="shared" si="7"/>
        <v>45901</v>
      </c>
      <c r="AR163" s="203">
        <f t="shared" si="9"/>
        <v>0</v>
      </c>
    </row>
    <row r="164" spans="1:44">
      <c r="A164" s="206">
        <f t="shared" si="8"/>
        <v>45906</v>
      </c>
      <c r="B164" s="203">
        <f>YEAR(Table7[[#This Row],[Date]])+IF(MONTH(Table7[[#This Row],[Date]])&gt;=4,1,0)</f>
        <v>2026</v>
      </c>
      <c r="C164" s="203">
        <f>YEAR(Table7[[#This Row],[Date]])</f>
        <v>2025</v>
      </c>
      <c r="D164" s="205">
        <f t="shared" ref="D164:D227" si="10">A164-DAY(A164)+1</f>
        <v>45901</v>
      </c>
      <c r="AR164" s="203">
        <f t="shared" si="9"/>
        <v>0</v>
      </c>
    </row>
    <row r="165" spans="1:44">
      <c r="A165" s="206">
        <f t="shared" si="8"/>
        <v>45907</v>
      </c>
      <c r="B165" s="203">
        <f>YEAR(Table7[[#This Row],[Date]])+IF(MONTH(Table7[[#This Row],[Date]])&gt;=4,1,0)</f>
        <v>2026</v>
      </c>
      <c r="C165" s="203">
        <f>YEAR(Table7[[#This Row],[Date]])</f>
        <v>2025</v>
      </c>
      <c r="D165" s="205">
        <f t="shared" si="10"/>
        <v>45901</v>
      </c>
      <c r="AR165" s="203">
        <f t="shared" si="9"/>
        <v>0</v>
      </c>
    </row>
    <row r="166" spans="1:44">
      <c r="A166" s="206">
        <f t="shared" ref="A166:A229" si="11">A165+1</f>
        <v>45908</v>
      </c>
      <c r="B166" s="203">
        <f>YEAR(Table7[[#This Row],[Date]])+IF(MONTH(Table7[[#This Row],[Date]])&gt;=4,1,0)</f>
        <v>2026</v>
      </c>
      <c r="C166" s="203">
        <f>YEAR(Table7[[#This Row],[Date]])</f>
        <v>2025</v>
      </c>
      <c r="D166" s="205">
        <f t="shared" si="10"/>
        <v>45901</v>
      </c>
      <c r="AR166" s="203">
        <f t="shared" si="9"/>
        <v>0</v>
      </c>
    </row>
    <row r="167" spans="1:44">
      <c r="A167" s="206">
        <f t="shared" si="11"/>
        <v>45909</v>
      </c>
      <c r="B167" s="203">
        <f>YEAR(Table7[[#This Row],[Date]])+IF(MONTH(Table7[[#This Row],[Date]])&gt;=4,1,0)</f>
        <v>2026</v>
      </c>
      <c r="C167" s="203">
        <f>YEAR(Table7[[#This Row],[Date]])</f>
        <v>2025</v>
      </c>
      <c r="D167" s="205">
        <f t="shared" si="10"/>
        <v>45901</v>
      </c>
      <c r="AR167" s="203">
        <f t="shared" si="9"/>
        <v>0</v>
      </c>
    </row>
    <row r="168" spans="1:44">
      <c r="A168" s="206">
        <f t="shared" si="11"/>
        <v>45910</v>
      </c>
      <c r="B168" s="203">
        <f>YEAR(Table7[[#This Row],[Date]])+IF(MONTH(Table7[[#This Row],[Date]])&gt;=4,1,0)</f>
        <v>2026</v>
      </c>
      <c r="C168" s="203">
        <f>YEAR(Table7[[#This Row],[Date]])</f>
        <v>2025</v>
      </c>
      <c r="D168" s="205">
        <f t="shared" si="10"/>
        <v>45901</v>
      </c>
      <c r="AR168" s="203">
        <f t="shared" si="9"/>
        <v>0</v>
      </c>
    </row>
    <row r="169" spans="1:44">
      <c r="A169" s="206">
        <f t="shared" si="11"/>
        <v>45911</v>
      </c>
      <c r="B169" s="203">
        <f>YEAR(Table7[[#This Row],[Date]])+IF(MONTH(Table7[[#This Row],[Date]])&gt;=4,1,0)</f>
        <v>2026</v>
      </c>
      <c r="C169" s="203">
        <f>YEAR(Table7[[#This Row],[Date]])</f>
        <v>2025</v>
      </c>
      <c r="D169" s="205">
        <f t="shared" si="10"/>
        <v>45901</v>
      </c>
      <c r="AR169" s="203">
        <f t="shared" si="9"/>
        <v>0</v>
      </c>
    </row>
    <row r="170" spans="1:44">
      <c r="A170" s="206">
        <f t="shared" si="11"/>
        <v>45912</v>
      </c>
      <c r="B170" s="203">
        <f>YEAR(Table7[[#This Row],[Date]])+IF(MONTH(Table7[[#This Row],[Date]])&gt;=4,1,0)</f>
        <v>2026</v>
      </c>
      <c r="C170" s="203">
        <f>YEAR(Table7[[#This Row],[Date]])</f>
        <v>2025</v>
      </c>
      <c r="D170" s="205">
        <f t="shared" si="10"/>
        <v>45901</v>
      </c>
      <c r="AR170" s="203">
        <f t="shared" si="9"/>
        <v>0</v>
      </c>
    </row>
    <row r="171" spans="1:44">
      <c r="A171" s="206">
        <f t="shared" si="11"/>
        <v>45913</v>
      </c>
      <c r="B171" s="203">
        <f>YEAR(Table7[[#This Row],[Date]])+IF(MONTH(Table7[[#This Row],[Date]])&gt;=4,1,0)</f>
        <v>2026</v>
      </c>
      <c r="C171" s="203">
        <f>YEAR(Table7[[#This Row],[Date]])</f>
        <v>2025</v>
      </c>
      <c r="D171" s="205">
        <f t="shared" si="10"/>
        <v>45901</v>
      </c>
      <c r="AR171" s="203">
        <f t="shared" si="9"/>
        <v>0</v>
      </c>
    </row>
    <row r="172" spans="1:44">
      <c r="A172" s="206">
        <f t="shared" si="11"/>
        <v>45914</v>
      </c>
      <c r="B172" s="203">
        <f>YEAR(Table7[[#This Row],[Date]])+IF(MONTH(Table7[[#This Row],[Date]])&gt;=4,1,0)</f>
        <v>2026</v>
      </c>
      <c r="C172" s="203">
        <f>YEAR(Table7[[#This Row],[Date]])</f>
        <v>2025</v>
      </c>
      <c r="D172" s="205">
        <f t="shared" si="10"/>
        <v>45901</v>
      </c>
      <c r="AR172" s="203">
        <f t="shared" si="9"/>
        <v>0</v>
      </c>
    </row>
    <row r="173" spans="1:44">
      <c r="A173" s="206">
        <f t="shared" si="11"/>
        <v>45915</v>
      </c>
      <c r="B173" s="203">
        <f>YEAR(Table7[[#This Row],[Date]])+IF(MONTH(Table7[[#This Row],[Date]])&gt;=4,1,0)</f>
        <v>2026</v>
      </c>
      <c r="C173" s="203">
        <f>YEAR(Table7[[#This Row],[Date]])</f>
        <v>2025</v>
      </c>
      <c r="D173" s="205">
        <f t="shared" si="10"/>
        <v>45901</v>
      </c>
      <c r="AR173" s="203">
        <f t="shared" si="9"/>
        <v>0</v>
      </c>
    </row>
    <row r="174" spans="1:44">
      <c r="A174" s="206">
        <f t="shared" si="11"/>
        <v>45916</v>
      </c>
      <c r="B174" s="203">
        <f>YEAR(Table7[[#This Row],[Date]])+IF(MONTH(Table7[[#This Row],[Date]])&gt;=4,1,0)</f>
        <v>2026</v>
      </c>
      <c r="C174" s="203">
        <f>YEAR(Table7[[#This Row],[Date]])</f>
        <v>2025</v>
      </c>
      <c r="D174" s="205">
        <f t="shared" si="10"/>
        <v>45901</v>
      </c>
      <c r="AR174" s="203">
        <f t="shared" si="9"/>
        <v>0</v>
      </c>
    </row>
    <row r="175" spans="1:44">
      <c r="A175" s="206">
        <f t="shared" si="11"/>
        <v>45917</v>
      </c>
      <c r="B175" s="203">
        <f>YEAR(Table7[[#This Row],[Date]])+IF(MONTH(Table7[[#This Row],[Date]])&gt;=4,1,0)</f>
        <v>2026</v>
      </c>
      <c r="C175" s="203">
        <f>YEAR(Table7[[#This Row],[Date]])</f>
        <v>2025</v>
      </c>
      <c r="D175" s="205">
        <f t="shared" si="10"/>
        <v>45901</v>
      </c>
      <c r="AR175" s="203">
        <f t="shared" si="9"/>
        <v>0</v>
      </c>
    </row>
    <row r="176" spans="1:44">
      <c r="A176" s="206">
        <f t="shared" si="11"/>
        <v>45918</v>
      </c>
      <c r="B176" s="203">
        <f>YEAR(Table7[[#This Row],[Date]])+IF(MONTH(Table7[[#This Row],[Date]])&gt;=4,1,0)</f>
        <v>2026</v>
      </c>
      <c r="C176" s="203">
        <f>YEAR(Table7[[#This Row],[Date]])</f>
        <v>2025</v>
      </c>
      <c r="D176" s="205">
        <f t="shared" si="10"/>
        <v>45901</v>
      </c>
      <c r="AR176" s="203">
        <f t="shared" si="9"/>
        <v>0</v>
      </c>
    </row>
    <row r="177" spans="1:44">
      <c r="A177" s="206">
        <f t="shared" si="11"/>
        <v>45919</v>
      </c>
      <c r="B177" s="203">
        <f>YEAR(Table7[[#This Row],[Date]])+IF(MONTH(Table7[[#This Row],[Date]])&gt;=4,1,0)</f>
        <v>2026</v>
      </c>
      <c r="C177" s="203">
        <f>YEAR(Table7[[#This Row],[Date]])</f>
        <v>2025</v>
      </c>
      <c r="D177" s="205">
        <f t="shared" si="10"/>
        <v>45901</v>
      </c>
      <c r="AR177" s="203">
        <f t="shared" si="9"/>
        <v>0</v>
      </c>
    </row>
    <row r="178" spans="1:44">
      <c r="A178" s="206">
        <f t="shared" si="11"/>
        <v>45920</v>
      </c>
      <c r="B178" s="203">
        <f>YEAR(Table7[[#This Row],[Date]])+IF(MONTH(Table7[[#This Row],[Date]])&gt;=4,1,0)</f>
        <v>2026</v>
      </c>
      <c r="C178" s="203">
        <f>YEAR(Table7[[#This Row],[Date]])</f>
        <v>2025</v>
      </c>
      <c r="D178" s="205">
        <f t="shared" si="10"/>
        <v>45901</v>
      </c>
      <c r="AR178" s="203">
        <f t="shared" si="9"/>
        <v>0</v>
      </c>
    </row>
    <row r="179" spans="1:44">
      <c r="A179" s="206">
        <f t="shared" si="11"/>
        <v>45921</v>
      </c>
      <c r="B179" s="203">
        <f>YEAR(Table7[[#This Row],[Date]])+IF(MONTH(Table7[[#This Row],[Date]])&gt;=4,1,0)</f>
        <v>2026</v>
      </c>
      <c r="C179" s="203">
        <f>YEAR(Table7[[#This Row],[Date]])</f>
        <v>2025</v>
      </c>
      <c r="D179" s="205">
        <f t="shared" si="10"/>
        <v>45901</v>
      </c>
      <c r="AR179" s="203">
        <f t="shared" si="9"/>
        <v>0</v>
      </c>
    </row>
    <row r="180" spans="1:44">
      <c r="A180" s="206">
        <f t="shared" si="11"/>
        <v>45922</v>
      </c>
      <c r="B180" s="203">
        <f>YEAR(Table7[[#This Row],[Date]])+IF(MONTH(Table7[[#This Row],[Date]])&gt;=4,1,0)</f>
        <v>2026</v>
      </c>
      <c r="C180" s="203">
        <f>YEAR(Table7[[#This Row],[Date]])</f>
        <v>2025</v>
      </c>
      <c r="D180" s="205">
        <f t="shared" si="10"/>
        <v>45901</v>
      </c>
      <c r="AR180" s="203">
        <f t="shared" si="9"/>
        <v>0</v>
      </c>
    </row>
    <row r="181" spans="1:44">
      <c r="A181" s="206">
        <f t="shared" si="11"/>
        <v>45923</v>
      </c>
      <c r="B181" s="203">
        <f>YEAR(Table7[[#This Row],[Date]])+IF(MONTH(Table7[[#This Row],[Date]])&gt;=4,1,0)</f>
        <v>2026</v>
      </c>
      <c r="C181" s="203">
        <f>YEAR(Table7[[#This Row],[Date]])</f>
        <v>2025</v>
      </c>
      <c r="D181" s="205">
        <f t="shared" si="10"/>
        <v>45901</v>
      </c>
      <c r="AR181" s="203">
        <f t="shared" si="9"/>
        <v>0</v>
      </c>
    </row>
    <row r="182" spans="1:44">
      <c r="A182" s="206">
        <f t="shared" si="11"/>
        <v>45924</v>
      </c>
      <c r="B182" s="203">
        <f>YEAR(Table7[[#This Row],[Date]])+IF(MONTH(Table7[[#This Row],[Date]])&gt;=4,1,0)</f>
        <v>2026</v>
      </c>
      <c r="C182" s="203">
        <f>YEAR(Table7[[#This Row],[Date]])</f>
        <v>2025</v>
      </c>
      <c r="D182" s="205">
        <f t="shared" si="10"/>
        <v>45901</v>
      </c>
      <c r="AR182" s="203">
        <f t="shared" si="9"/>
        <v>0</v>
      </c>
    </row>
    <row r="183" spans="1:44">
      <c r="A183" s="206">
        <f t="shared" si="11"/>
        <v>45925</v>
      </c>
      <c r="B183" s="203">
        <f>YEAR(Table7[[#This Row],[Date]])+IF(MONTH(Table7[[#This Row],[Date]])&gt;=4,1,0)</f>
        <v>2026</v>
      </c>
      <c r="C183" s="203">
        <f>YEAR(Table7[[#This Row],[Date]])</f>
        <v>2025</v>
      </c>
      <c r="D183" s="205">
        <f t="shared" si="10"/>
        <v>45901</v>
      </c>
      <c r="AR183" s="203">
        <f t="shared" si="9"/>
        <v>0</v>
      </c>
    </row>
    <row r="184" spans="1:44">
      <c r="A184" s="206">
        <f t="shared" si="11"/>
        <v>45926</v>
      </c>
      <c r="B184" s="203">
        <f>YEAR(Table7[[#This Row],[Date]])+IF(MONTH(Table7[[#This Row],[Date]])&gt;=4,1,0)</f>
        <v>2026</v>
      </c>
      <c r="C184" s="203">
        <f>YEAR(Table7[[#This Row],[Date]])</f>
        <v>2025</v>
      </c>
      <c r="D184" s="205">
        <f t="shared" si="10"/>
        <v>45901</v>
      </c>
      <c r="AR184" s="203">
        <f t="shared" si="9"/>
        <v>0</v>
      </c>
    </row>
    <row r="185" spans="1:44">
      <c r="A185" s="206">
        <f t="shared" si="11"/>
        <v>45927</v>
      </c>
      <c r="B185" s="203">
        <f>YEAR(Table7[[#This Row],[Date]])+IF(MONTH(Table7[[#This Row],[Date]])&gt;=4,1,0)</f>
        <v>2026</v>
      </c>
      <c r="C185" s="203">
        <f>YEAR(Table7[[#This Row],[Date]])</f>
        <v>2025</v>
      </c>
      <c r="D185" s="205">
        <f t="shared" si="10"/>
        <v>45901</v>
      </c>
      <c r="AR185" s="203">
        <f t="shared" si="9"/>
        <v>0</v>
      </c>
    </row>
    <row r="186" spans="1:44">
      <c r="A186" s="206">
        <f t="shared" si="11"/>
        <v>45928</v>
      </c>
      <c r="B186" s="203">
        <f>YEAR(Table7[[#This Row],[Date]])+IF(MONTH(Table7[[#This Row],[Date]])&gt;=4,1,0)</f>
        <v>2026</v>
      </c>
      <c r="C186" s="203">
        <f>YEAR(Table7[[#This Row],[Date]])</f>
        <v>2025</v>
      </c>
      <c r="D186" s="205">
        <f t="shared" si="10"/>
        <v>45901</v>
      </c>
      <c r="AR186" s="203">
        <f t="shared" si="9"/>
        <v>0</v>
      </c>
    </row>
    <row r="187" spans="1:44">
      <c r="A187" s="206">
        <f t="shared" si="11"/>
        <v>45929</v>
      </c>
      <c r="B187" s="203">
        <f>YEAR(Table7[[#This Row],[Date]])+IF(MONTH(Table7[[#This Row],[Date]])&gt;=4,1,0)</f>
        <v>2026</v>
      </c>
      <c r="C187" s="203">
        <f>YEAR(Table7[[#This Row],[Date]])</f>
        <v>2025</v>
      </c>
      <c r="D187" s="205">
        <f t="shared" si="10"/>
        <v>45901</v>
      </c>
      <c r="AR187" s="203">
        <f t="shared" si="9"/>
        <v>0</v>
      </c>
    </row>
    <row r="188" spans="1:44">
      <c r="A188" s="206">
        <f t="shared" si="11"/>
        <v>45930</v>
      </c>
      <c r="B188" s="203">
        <f>YEAR(Table7[[#This Row],[Date]])+IF(MONTH(Table7[[#This Row],[Date]])&gt;=4,1,0)</f>
        <v>2026</v>
      </c>
      <c r="C188" s="203">
        <f>YEAR(Table7[[#This Row],[Date]])</f>
        <v>2025</v>
      </c>
      <c r="D188" s="205">
        <f t="shared" si="10"/>
        <v>45901</v>
      </c>
      <c r="AR188" s="203">
        <f t="shared" si="9"/>
        <v>0</v>
      </c>
    </row>
    <row r="189" spans="1:44">
      <c r="A189" s="206">
        <f t="shared" si="11"/>
        <v>45931</v>
      </c>
      <c r="B189" s="203">
        <f>YEAR(Table7[[#This Row],[Date]])+IF(MONTH(Table7[[#This Row],[Date]])&gt;=4,1,0)</f>
        <v>2026</v>
      </c>
      <c r="C189" s="203">
        <f>YEAR(Table7[[#This Row],[Date]])</f>
        <v>2025</v>
      </c>
      <c r="D189" s="205">
        <f t="shared" si="10"/>
        <v>45931</v>
      </c>
      <c r="AR189" s="203">
        <f t="shared" si="9"/>
        <v>0</v>
      </c>
    </row>
    <row r="190" spans="1:44">
      <c r="A190" s="206">
        <f t="shared" si="11"/>
        <v>45932</v>
      </c>
      <c r="B190" s="203">
        <f>YEAR(Table7[[#This Row],[Date]])+IF(MONTH(Table7[[#This Row],[Date]])&gt;=4,1,0)</f>
        <v>2026</v>
      </c>
      <c r="C190" s="203">
        <f>YEAR(Table7[[#This Row],[Date]])</f>
        <v>2025</v>
      </c>
      <c r="D190" s="205">
        <f t="shared" si="10"/>
        <v>45931</v>
      </c>
      <c r="AR190" s="203">
        <f t="shared" si="9"/>
        <v>0</v>
      </c>
    </row>
    <row r="191" spans="1:44">
      <c r="A191" s="206">
        <f t="shared" si="11"/>
        <v>45933</v>
      </c>
      <c r="B191" s="203">
        <f>YEAR(Table7[[#This Row],[Date]])+IF(MONTH(Table7[[#This Row],[Date]])&gt;=4,1,0)</f>
        <v>2026</v>
      </c>
      <c r="C191" s="203">
        <f>YEAR(Table7[[#This Row],[Date]])</f>
        <v>2025</v>
      </c>
      <c r="D191" s="205">
        <f t="shared" si="10"/>
        <v>45931</v>
      </c>
      <c r="AR191" s="203">
        <f t="shared" si="9"/>
        <v>0</v>
      </c>
    </row>
    <row r="192" spans="1:44">
      <c r="A192" s="206">
        <f t="shared" si="11"/>
        <v>45934</v>
      </c>
      <c r="B192" s="203">
        <f>YEAR(Table7[[#This Row],[Date]])+IF(MONTH(Table7[[#This Row],[Date]])&gt;=4,1,0)</f>
        <v>2026</v>
      </c>
      <c r="C192" s="203">
        <f>YEAR(Table7[[#This Row],[Date]])</f>
        <v>2025</v>
      </c>
      <c r="D192" s="205">
        <f t="shared" si="10"/>
        <v>45931</v>
      </c>
      <c r="AR192" s="203">
        <f t="shared" si="9"/>
        <v>0</v>
      </c>
    </row>
    <row r="193" spans="1:44">
      <c r="A193" s="206">
        <f t="shared" si="11"/>
        <v>45935</v>
      </c>
      <c r="B193" s="203">
        <f>YEAR(Table7[[#This Row],[Date]])+IF(MONTH(Table7[[#This Row],[Date]])&gt;=4,1,0)</f>
        <v>2026</v>
      </c>
      <c r="C193" s="203">
        <f>YEAR(Table7[[#This Row],[Date]])</f>
        <v>2025</v>
      </c>
      <c r="D193" s="205">
        <f t="shared" si="10"/>
        <v>45931</v>
      </c>
      <c r="AR193" s="203">
        <f t="shared" si="9"/>
        <v>0</v>
      </c>
    </row>
    <row r="194" spans="1:44">
      <c r="A194" s="206">
        <f t="shared" si="11"/>
        <v>45936</v>
      </c>
      <c r="B194" s="203">
        <f>YEAR(Table7[[#This Row],[Date]])+IF(MONTH(Table7[[#This Row],[Date]])&gt;=4,1,0)</f>
        <v>2026</v>
      </c>
      <c r="C194" s="203">
        <f>YEAR(Table7[[#This Row],[Date]])</f>
        <v>2025</v>
      </c>
      <c r="D194" s="205">
        <f t="shared" si="10"/>
        <v>45931</v>
      </c>
      <c r="AR194" s="203">
        <f t="shared" si="9"/>
        <v>0</v>
      </c>
    </row>
    <row r="195" spans="1:44">
      <c r="A195" s="206">
        <f t="shared" si="11"/>
        <v>45937</v>
      </c>
      <c r="B195" s="203">
        <f>YEAR(Table7[[#This Row],[Date]])+IF(MONTH(Table7[[#This Row],[Date]])&gt;=4,1,0)</f>
        <v>2026</v>
      </c>
      <c r="C195" s="203">
        <f>YEAR(Table7[[#This Row],[Date]])</f>
        <v>2025</v>
      </c>
      <c r="D195" s="205">
        <f t="shared" si="10"/>
        <v>45931</v>
      </c>
      <c r="AR195" s="203">
        <f t="shared" ref="AR195:AR258" si="12">SUM(E195:AQ195)</f>
        <v>0</v>
      </c>
    </row>
    <row r="196" spans="1:44">
      <c r="A196" s="206">
        <f t="shared" si="11"/>
        <v>45938</v>
      </c>
      <c r="B196" s="203">
        <f>YEAR(Table7[[#This Row],[Date]])+IF(MONTH(Table7[[#This Row],[Date]])&gt;=4,1,0)</f>
        <v>2026</v>
      </c>
      <c r="C196" s="203">
        <f>YEAR(Table7[[#This Row],[Date]])</f>
        <v>2025</v>
      </c>
      <c r="D196" s="205">
        <f t="shared" si="10"/>
        <v>45931</v>
      </c>
      <c r="AR196" s="203">
        <f t="shared" si="12"/>
        <v>0</v>
      </c>
    </row>
    <row r="197" spans="1:44">
      <c r="A197" s="206">
        <f t="shared" si="11"/>
        <v>45939</v>
      </c>
      <c r="B197" s="203">
        <f>YEAR(Table7[[#This Row],[Date]])+IF(MONTH(Table7[[#This Row],[Date]])&gt;=4,1,0)</f>
        <v>2026</v>
      </c>
      <c r="C197" s="203">
        <f>YEAR(Table7[[#This Row],[Date]])</f>
        <v>2025</v>
      </c>
      <c r="D197" s="205">
        <f t="shared" si="10"/>
        <v>45931</v>
      </c>
      <c r="AR197" s="203">
        <f t="shared" si="12"/>
        <v>0</v>
      </c>
    </row>
    <row r="198" spans="1:44">
      <c r="A198" s="206">
        <f t="shared" si="11"/>
        <v>45940</v>
      </c>
      <c r="B198" s="203">
        <f>YEAR(Table7[[#This Row],[Date]])+IF(MONTH(Table7[[#This Row],[Date]])&gt;=4,1,0)</f>
        <v>2026</v>
      </c>
      <c r="C198" s="203">
        <f>YEAR(Table7[[#This Row],[Date]])</f>
        <v>2025</v>
      </c>
      <c r="D198" s="205">
        <f t="shared" si="10"/>
        <v>45931</v>
      </c>
      <c r="AR198" s="203">
        <f t="shared" si="12"/>
        <v>0</v>
      </c>
    </row>
    <row r="199" spans="1:44">
      <c r="A199" s="206">
        <f t="shared" si="11"/>
        <v>45941</v>
      </c>
      <c r="B199" s="203">
        <f>YEAR(Table7[[#This Row],[Date]])+IF(MONTH(Table7[[#This Row],[Date]])&gt;=4,1,0)</f>
        <v>2026</v>
      </c>
      <c r="C199" s="203">
        <f>YEAR(Table7[[#This Row],[Date]])</f>
        <v>2025</v>
      </c>
      <c r="D199" s="205">
        <f t="shared" si="10"/>
        <v>45931</v>
      </c>
      <c r="AR199" s="203">
        <f t="shared" si="12"/>
        <v>0</v>
      </c>
    </row>
    <row r="200" spans="1:44">
      <c r="A200" s="206">
        <f t="shared" si="11"/>
        <v>45942</v>
      </c>
      <c r="B200" s="203">
        <f>YEAR(Table7[[#This Row],[Date]])+IF(MONTH(Table7[[#This Row],[Date]])&gt;=4,1,0)</f>
        <v>2026</v>
      </c>
      <c r="C200" s="203">
        <f>YEAR(Table7[[#This Row],[Date]])</f>
        <v>2025</v>
      </c>
      <c r="D200" s="205">
        <f t="shared" si="10"/>
        <v>45931</v>
      </c>
      <c r="AR200" s="203">
        <f t="shared" si="12"/>
        <v>0</v>
      </c>
    </row>
    <row r="201" spans="1:44">
      <c r="A201" s="206">
        <f t="shared" si="11"/>
        <v>45943</v>
      </c>
      <c r="B201" s="203">
        <f>YEAR(Table7[[#This Row],[Date]])+IF(MONTH(Table7[[#This Row],[Date]])&gt;=4,1,0)</f>
        <v>2026</v>
      </c>
      <c r="C201" s="203">
        <f>YEAR(Table7[[#This Row],[Date]])</f>
        <v>2025</v>
      </c>
      <c r="D201" s="205">
        <f t="shared" si="10"/>
        <v>45931</v>
      </c>
      <c r="AR201" s="203">
        <f t="shared" si="12"/>
        <v>0</v>
      </c>
    </row>
    <row r="202" spans="1:44">
      <c r="A202" s="206">
        <f t="shared" si="11"/>
        <v>45944</v>
      </c>
      <c r="B202" s="203">
        <f>YEAR(Table7[[#This Row],[Date]])+IF(MONTH(Table7[[#This Row],[Date]])&gt;=4,1,0)</f>
        <v>2026</v>
      </c>
      <c r="C202" s="203">
        <f>YEAR(Table7[[#This Row],[Date]])</f>
        <v>2025</v>
      </c>
      <c r="D202" s="205">
        <f t="shared" si="10"/>
        <v>45931</v>
      </c>
      <c r="AR202" s="203">
        <f t="shared" si="12"/>
        <v>0</v>
      </c>
    </row>
    <row r="203" spans="1:44">
      <c r="A203" s="206">
        <f t="shared" si="11"/>
        <v>45945</v>
      </c>
      <c r="B203" s="203">
        <f>YEAR(Table7[[#This Row],[Date]])+IF(MONTH(Table7[[#This Row],[Date]])&gt;=4,1,0)</f>
        <v>2026</v>
      </c>
      <c r="C203" s="203">
        <f>YEAR(Table7[[#This Row],[Date]])</f>
        <v>2025</v>
      </c>
      <c r="D203" s="205">
        <f t="shared" si="10"/>
        <v>45931</v>
      </c>
      <c r="AR203" s="203">
        <f t="shared" si="12"/>
        <v>0</v>
      </c>
    </row>
    <row r="204" spans="1:44">
      <c r="A204" s="206">
        <f t="shared" si="11"/>
        <v>45946</v>
      </c>
      <c r="B204" s="203">
        <f>YEAR(Table7[[#This Row],[Date]])+IF(MONTH(Table7[[#This Row],[Date]])&gt;=4,1,0)</f>
        <v>2026</v>
      </c>
      <c r="C204" s="203">
        <f>YEAR(Table7[[#This Row],[Date]])</f>
        <v>2025</v>
      </c>
      <c r="D204" s="205">
        <f t="shared" si="10"/>
        <v>45931</v>
      </c>
      <c r="AR204" s="203">
        <f t="shared" si="12"/>
        <v>0</v>
      </c>
    </row>
    <row r="205" spans="1:44">
      <c r="A205" s="206">
        <f t="shared" si="11"/>
        <v>45947</v>
      </c>
      <c r="B205" s="203">
        <f>YEAR(Table7[[#This Row],[Date]])+IF(MONTH(Table7[[#This Row],[Date]])&gt;=4,1,0)</f>
        <v>2026</v>
      </c>
      <c r="C205" s="203">
        <f>YEAR(Table7[[#This Row],[Date]])</f>
        <v>2025</v>
      </c>
      <c r="D205" s="205">
        <f t="shared" si="10"/>
        <v>45931</v>
      </c>
      <c r="AR205" s="203">
        <f t="shared" si="12"/>
        <v>0</v>
      </c>
    </row>
    <row r="206" spans="1:44">
      <c r="A206" s="206">
        <f t="shared" si="11"/>
        <v>45948</v>
      </c>
      <c r="B206" s="203">
        <f>YEAR(Table7[[#This Row],[Date]])+IF(MONTH(Table7[[#This Row],[Date]])&gt;=4,1,0)</f>
        <v>2026</v>
      </c>
      <c r="C206" s="203">
        <f>YEAR(Table7[[#This Row],[Date]])</f>
        <v>2025</v>
      </c>
      <c r="D206" s="205">
        <f t="shared" si="10"/>
        <v>45931</v>
      </c>
      <c r="AR206" s="203">
        <f t="shared" si="12"/>
        <v>0</v>
      </c>
    </row>
    <row r="207" spans="1:44">
      <c r="A207" s="206">
        <f t="shared" si="11"/>
        <v>45949</v>
      </c>
      <c r="B207" s="203">
        <f>YEAR(Table7[[#This Row],[Date]])+IF(MONTH(Table7[[#This Row],[Date]])&gt;=4,1,0)</f>
        <v>2026</v>
      </c>
      <c r="C207" s="203">
        <f>YEAR(Table7[[#This Row],[Date]])</f>
        <v>2025</v>
      </c>
      <c r="D207" s="205">
        <f t="shared" si="10"/>
        <v>45931</v>
      </c>
      <c r="AR207" s="203">
        <f t="shared" si="12"/>
        <v>0</v>
      </c>
    </row>
    <row r="208" spans="1:44">
      <c r="A208" s="206">
        <f t="shared" si="11"/>
        <v>45950</v>
      </c>
      <c r="B208" s="203">
        <f>YEAR(Table7[[#This Row],[Date]])+IF(MONTH(Table7[[#This Row],[Date]])&gt;=4,1,0)</f>
        <v>2026</v>
      </c>
      <c r="C208" s="203">
        <f>YEAR(Table7[[#This Row],[Date]])</f>
        <v>2025</v>
      </c>
      <c r="D208" s="205">
        <f t="shared" si="10"/>
        <v>45931</v>
      </c>
      <c r="AR208" s="203">
        <f t="shared" si="12"/>
        <v>0</v>
      </c>
    </row>
    <row r="209" spans="1:44">
      <c r="A209" s="206">
        <f t="shared" si="11"/>
        <v>45951</v>
      </c>
      <c r="B209" s="203">
        <f>YEAR(Table7[[#This Row],[Date]])+IF(MONTH(Table7[[#This Row],[Date]])&gt;=4,1,0)</f>
        <v>2026</v>
      </c>
      <c r="C209" s="203">
        <f>YEAR(Table7[[#This Row],[Date]])</f>
        <v>2025</v>
      </c>
      <c r="D209" s="205">
        <f t="shared" si="10"/>
        <v>45931</v>
      </c>
      <c r="AR209" s="203">
        <f t="shared" si="12"/>
        <v>0</v>
      </c>
    </row>
    <row r="210" spans="1:44">
      <c r="A210" s="206">
        <f t="shared" si="11"/>
        <v>45952</v>
      </c>
      <c r="B210" s="203">
        <f>YEAR(Table7[[#This Row],[Date]])+IF(MONTH(Table7[[#This Row],[Date]])&gt;=4,1,0)</f>
        <v>2026</v>
      </c>
      <c r="C210" s="203">
        <f>YEAR(Table7[[#This Row],[Date]])</f>
        <v>2025</v>
      </c>
      <c r="D210" s="205">
        <f t="shared" si="10"/>
        <v>45931</v>
      </c>
      <c r="AR210" s="203">
        <f t="shared" si="12"/>
        <v>0</v>
      </c>
    </row>
    <row r="211" spans="1:44">
      <c r="A211" s="206">
        <f t="shared" si="11"/>
        <v>45953</v>
      </c>
      <c r="B211" s="203">
        <f>YEAR(Table7[[#This Row],[Date]])+IF(MONTH(Table7[[#This Row],[Date]])&gt;=4,1,0)</f>
        <v>2026</v>
      </c>
      <c r="C211" s="203">
        <f>YEAR(Table7[[#This Row],[Date]])</f>
        <v>2025</v>
      </c>
      <c r="D211" s="205">
        <f t="shared" si="10"/>
        <v>45931</v>
      </c>
      <c r="AR211" s="203">
        <f t="shared" si="12"/>
        <v>0</v>
      </c>
    </row>
    <row r="212" spans="1:44">
      <c r="A212" s="206">
        <f t="shared" si="11"/>
        <v>45954</v>
      </c>
      <c r="B212" s="203">
        <f>YEAR(Table7[[#This Row],[Date]])+IF(MONTH(Table7[[#This Row],[Date]])&gt;=4,1,0)</f>
        <v>2026</v>
      </c>
      <c r="C212" s="203">
        <f>YEAR(Table7[[#This Row],[Date]])</f>
        <v>2025</v>
      </c>
      <c r="D212" s="205">
        <f t="shared" si="10"/>
        <v>45931</v>
      </c>
      <c r="AR212" s="203">
        <f t="shared" si="12"/>
        <v>0</v>
      </c>
    </row>
    <row r="213" spans="1:44">
      <c r="A213" s="206">
        <f t="shared" si="11"/>
        <v>45955</v>
      </c>
      <c r="B213" s="203">
        <f>YEAR(Table7[[#This Row],[Date]])+IF(MONTH(Table7[[#This Row],[Date]])&gt;=4,1,0)</f>
        <v>2026</v>
      </c>
      <c r="C213" s="203">
        <f>YEAR(Table7[[#This Row],[Date]])</f>
        <v>2025</v>
      </c>
      <c r="D213" s="205">
        <f t="shared" si="10"/>
        <v>45931</v>
      </c>
      <c r="AR213" s="203">
        <f t="shared" si="12"/>
        <v>0</v>
      </c>
    </row>
    <row r="214" spans="1:44">
      <c r="A214" s="206">
        <f t="shared" si="11"/>
        <v>45956</v>
      </c>
      <c r="B214" s="203">
        <f>YEAR(Table7[[#This Row],[Date]])+IF(MONTH(Table7[[#This Row],[Date]])&gt;=4,1,0)</f>
        <v>2026</v>
      </c>
      <c r="C214" s="203">
        <f>YEAR(Table7[[#This Row],[Date]])</f>
        <v>2025</v>
      </c>
      <c r="D214" s="205">
        <f t="shared" si="10"/>
        <v>45931</v>
      </c>
      <c r="AR214" s="203">
        <f t="shared" si="12"/>
        <v>0</v>
      </c>
    </row>
    <row r="215" spans="1:44">
      <c r="A215" s="206">
        <f t="shared" si="11"/>
        <v>45957</v>
      </c>
      <c r="B215" s="203">
        <f>YEAR(Table7[[#This Row],[Date]])+IF(MONTH(Table7[[#This Row],[Date]])&gt;=4,1,0)</f>
        <v>2026</v>
      </c>
      <c r="C215" s="203">
        <f>YEAR(Table7[[#This Row],[Date]])</f>
        <v>2025</v>
      </c>
      <c r="D215" s="205">
        <f t="shared" si="10"/>
        <v>45931</v>
      </c>
      <c r="AR215" s="203">
        <f t="shared" si="12"/>
        <v>0</v>
      </c>
    </row>
    <row r="216" spans="1:44">
      <c r="A216" s="206">
        <f t="shared" si="11"/>
        <v>45958</v>
      </c>
      <c r="B216" s="203">
        <f>YEAR(Table7[[#This Row],[Date]])+IF(MONTH(Table7[[#This Row],[Date]])&gt;=4,1,0)</f>
        <v>2026</v>
      </c>
      <c r="C216" s="203">
        <f>YEAR(Table7[[#This Row],[Date]])</f>
        <v>2025</v>
      </c>
      <c r="D216" s="205">
        <f t="shared" si="10"/>
        <v>45931</v>
      </c>
      <c r="AR216" s="203">
        <f t="shared" si="12"/>
        <v>0</v>
      </c>
    </row>
    <row r="217" spans="1:44">
      <c r="A217" s="206">
        <f t="shared" si="11"/>
        <v>45959</v>
      </c>
      <c r="B217" s="203">
        <f>YEAR(Table7[[#This Row],[Date]])+IF(MONTH(Table7[[#This Row],[Date]])&gt;=4,1,0)</f>
        <v>2026</v>
      </c>
      <c r="C217" s="203">
        <f>YEAR(Table7[[#This Row],[Date]])</f>
        <v>2025</v>
      </c>
      <c r="D217" s="205">
        <f t="shared" si="10"/>
        <v>45931</v>
      </c>
      <c r="AR217" s="203">
        <f t="shared" si="12"/>
        <v>0</v>
      </c>
    </row>
    <row r="218" spans="1:44">
      <c r="A218" s="206">
        <f t="shared" si="11"/>
        <v>45960</v>
      </c>
      <c r="B218" s="203">
        <f>YEAR(Table7[[#This Row],[Date]])+IF(MONTH(Table7[[#This Row],[Date]])&gt;=4,1,0)</f>
        <v>2026</v>
      </c>
      <c r="C218" s="203">
        <f>YEAR(Table7[[#This Row],[Date]])</f>
        <v>2025</v>
      </c>
      <c r="D218" s="205">
        <f t="shared" si="10"/>
        <v>45931</v>
      </c>
      <c r="AR218" s="203">
        <f t="shared" si="12"/>
        <v>0</v>
      </c>
    </row>
    <row r="219" spans="1:44">
      <c r="A219" s="206">
        <f t="shared" si="11"/>
        <v>45961</v>
      </c>
      <c r="B219" s="203">
        <f>YEAR(Table7[[#This Row],[Date]])+IF(MONTH(Table7[[#This Row],[Date]])&gt;=4,1,0)</f>
        <v>2026</v>
      </c>
      <c r="C219" s="203">
        <f>YEAR(Table7[[#This Row],[Date]])</f>
        <v>2025</v>
      </c>
      <c r="D219" s="205">
        <f t="shared" si="10"/>
        <v>45931</v>
      </c>
      <c r="AR219" s="203">
        <f t="shared" si="12"/>
        <v>0</v>
      </c>
    </row>
    <row r="220" spans="1:44">
      <c r="A220" s="206">
        <f t="shared" si="11"/>
        <v>45962</v>
      </c>
      <c r="B220" s="203">
        <f>YEAR(Table7[[#This Row],[Date]])+IF(MONTH(Table7[[#This Row],[Date]])&gt;=4,1,0)</f>
        <v>2026</v>
      </c>
      <c r="C220" s="203">
        <f>YEAR(Table7[[#This Row],[Date]])</f>
        <v>2025</v>
      </c>
      <c r="D220" s="205">
        <f t="shared" si="10"/>
        <v>45962</v>
      </c>
      <c r="AR220" s="203">
        <f t="shared" si="12"/>
        <v>0</v>
      </c>
    </row>
    <row r="221" spans="1:44">
      <c r="A221" s="206">
        <f t="shared" si="11"/>
        <v>45963</v>
      </c>
      <c r="B221" s="203">
        <f>YEAR(Table7[[#This Row],[Date]])+IF(MONTH(Table7[[#This Row],[Date]])&gt;=4,1,0)</f>
        <v>2026</v>
      </c>
      <c r="C221" s="203">
        <f>YEAR(Table7[[#This Row],[Date]])</f>
        <v>2025</v>
      </c>
      <c r="D221" s="205">
        <f t="shared" si="10"/>
        <v>45962</v>
      </c>
      <c r="AR221" s="203">
        <f t="shared" si="12"/>
        <v>0</v>
      </c>
    </row>
    <row r="222" spans="1:44">
      <c r="A222" s="206">
        <f t="shared" si="11"/>
        <v>45964</v>
      </c>
      <c r="B222" s="203">
        <f>YEAR(Table7[[#This Row],[Date]])+IF(MONTH(Table7[[#This Row],[Date]])&gt;=4,1,0)</f>
        <v>2026</v>
      </c>
      <c r="C222" s="203">
        <f>YEAR(Table7[[#This Row],[Date]])</f>
        <v>2025</v>
      </c>
      <c r="D222" s="205">
        <f t="shared" si="10"/>
        <v>45962</v>
      </c>
      <c r="AR222" s="203">
        <f t="shared" si="12"/>
        <v>0</v>
      </c>
    </row>
    <row r="223" spans="1:44">
      <c r="A223" s="206">
        <f t="shared" si="11"/>
        <v>45965</v>
      </c>
      <c r="B223" s="203">
        <f>YEAR(Table7[[#This Row],[Date]])+IF(MONTH(Table7[[#This Row],[Date]])&gt;=4,1,0)</f>
        <v>2026</v>
      </c>
      <c r="C223" s="203">
        <f>YEAR(Table7[[#This Row],[Date]])</f>
        <v>2025</v>
      </c>
      <c r="D223" s="205">
        <f t="shared" si="10"/>
        <v>45962</v>
      </c>
      <c r="AR223" s="203">
        <f t="shared" si="12"/>
        <v>0</v>
      </c>
    </row>
    <row r="224" spans="1:44">
      <c r="A224" s="206">
        <f t="shared" si="11"/>
        <v>45966</v>
      </c>
      <c r="B224" s="203">
        <f>YEAR(Table7[[#This Row],[Date]])+IF(MONTH(Table7[[#This Row],[Date]])&gt;=4,1,0)</f>
        <v>2026</v>
      </c>
      <c r="C224" s="203">
        <f>YEAR(Table7[[#This Row],[Date]])</f>
        <v>2025</v>
      </c>
      <c r="D224" s="205">
        <f t="shared" si="10"/>
        <v>45962</v>
      </c>
      <c r="AR224" s="203">
        <f t="shared" si="12"/>
        <v>0</v>
      </c>
    </row>
    <row r="225" spans="1:44">
      <c r="A225" s="206">
        <f t="shared" si="11"/>
        <v>45967</v>
      </c>
      <c r="B225" s="203">
        <f>YEAR(Table7[[#This Row],[Date]])+IF(MONTH(Table7[[#This Row],[Date]])&gt;=4,1,0)</f>
        <v>2026</v>
      </c>
      <c r="C225" s="203">
        <f>YEAR(Table7[[#This Row],[Date]])</f>
        <v>2025</v>
      </c>
      <c r="D225" s="205">
        <f t="shared" si="10"/>
        <v>45962</v>
      </c>
      <c r="AR225" s="203">
        <f t="shared" si="12"/>
        <v>0</v>
      </c>
    </row>
    <row r="226" spans="1:44">
      <c r="A226" s="206">
        <f t="shared" si="11"/>
        <v>45968</v>
      </c>
      <c r="B226" s="203">
        <f>YEAR(Table7[[#This Row],[Date]])+IF(MONTH(Table7[[#This Row],[Date]])&gt;=4,1,0)</f>
        <v>2026</v>
      </c>
      <c r="C226" s="203">
        <f>YEAR(Table7[[#This Row],[Date]])</f>
        <v>2025</v>
      </c>
      <c r="D226" s="205">
        <f t="shared" si="10"/>
        <v>45962</v>
      </c>
      <c r="AR226" s="203">
        <f t="shared" si="12"/>
        <v>0</v>
      </c>
    </row>
    <row r="227" spans="1:44">
      <c r="A227" s="206">
        <f t="shared" si="11"/>
        <v>45969</v>
      </c>
      <c r="B227" s="203">
        <f>YEAR(Table7[[#This Row],[Date]])+IF(MONTH(Table7[[#This Row],[Date]])&gt;=4,1,0)</f>
        <v>2026</v>
      </c>
      <c r="C227" s="203">
        <f>YEAR(Table7[[#This Row],[Date]])</f>
        <v>2025</v>
      </c>
      <c r="D227" s="205">
        <f t="shared" si="10"/>
        <v>45962</v>
      </c>
      <c r="AR227" s="203">
        <f t="shared" si="12"/>
        <v>0</v>
      </c>
    </row>
    <row r="228" spans="1:44">
      <c r="A228" s="206">
        <f t="shared" si="11"/>
        <v>45970</v>
      </c>
      <c r="B228" s="203">
        <f>YEAR(Table7[[#This Row],[Date]])+IF(MONTH(Table7[[#This Row],[Date]])&gt;=4,1,0)</f>
        <v>2026</v>
      </c>
      <c r="C228" s="203">
        <f>YEAR(Table7[[#This Row],[Date]])</f>
        <v>2025</v>
      </c>
      <c r="D228" s="205">
        <f t="shared" ref="D228:D280" si="13">A228-DAY(A228)+1</f>
        <v>45962</v>
      </c>
      <c r="AR228" s="203">
        <f t="shared" si="12"/>
        <v>0</v>
      </c>
    </row>
    <row r="229" spans="1:44">
      <c r="A229" s="206">
        <f t="shared" si="11"/>
        <v>45971</v>
      </c>
      <c r="B229" s="203">
        <f>YEAR(Table7[[#This Row],[Date]])+IF(MONTH(Table7[[#This Row],[Date]])&gt;=4,1,0)</f>
        <v>2026</v>
      </c>
      <c r="C229" s="203">
        <f>YEAR(Table7[[#This Row],[Date]])</f>
        <v>2025</v>
      </c>
      <c r="D229" s="205">
        <f t="shared" si="13"/>
        <v>45962</v>
      </c>
      <c r="AR229" s="203">
        <f t="shared" si="12"/>
        <v>0</v>
      </c>
    </row>
    <row r="230" spans="1:44">
      <c r="A230" s="206">
        <f t="shared" ref="A230:A280" si="14">A229+1</f>
        <v>45972</v>
      </c>
      <c r="B230" s="203">
        <f>YEAR(Table7[[#This Row],[Date]])+IF(MONTH(Table7[[#This Row],[Date]])&gt;=4,1,0)</f>
        <v>2026</v>
      </c>
      <c r="C230" s="203">
        <f>YEAR(Table7[[#This Row],[Date]])</f>
        <v>2025</v>
      </c>
      <c r="D230" s="205">
        <f t="shared" si="13"/>
        <v>45962</v>
      </c>
      <c r="AR230" s="203">
        <f t="shared" si="12"/>
        <v>0</v>
      </c>
    </row>
    <row r="231" spans="1:44">
      <c r="A231" s="206">
        <f t="shared" si="14"/>
        <v>45973</v>
      </c>
      <c r="B231" s="203">
        <f>YEAR(Table7[[#This Row],[Date]])+IF(MONTH(Table7[[#This Row],[Date]])&gt;=4,1,0)</f>
        <v>2026</v>
      </c>
      <c r="C231" s="203">
        <f>YEAR(Table7[[#This Row],[Date]])</f>
        <v>2025</v>
      </c>
      <c r="D231" s="205">
        <f t="shared" si="13"/>
        <v>45962</v>
      </c>
      <c r="AR231" s="203">
        <f t="shared" si="12"/>
        <v>0</v>
      </c>
    </row>
    <row r="232" spans="1:44">
      <c r="A232" s="206">
        <f t="shared" si="14"/>
        <v>45974</v>
      </c>
      <c r="B232" s="203">
        <f>YEAR(Table7[[#This Row],[Date]])+IF(MONTH(Table7[[#This Row],[Date]])&gt;=4,1,0)</f>
        <v>2026</v>
      </c>
      <c r="C232" s="203">
        <f>YEAR(Table7[[#This Row],[Date]])</f>
        <v>2025</v>
      </c>
      <c r="D232" s="205">
        <f t="shared" si="13"/>
        <v>45962</v>
      </c>
      <c r="AR232" s="203">
        <f t="shared" si="12"/>
        <v>0</v>
      </c>
    </row>
    <row r="233" spans="1:44">
      <c r="A233" s="206">
        <f t="shared" si="14"/>
        <v>45975</v>
      </c>
      <c r="B233" s="203">
        <f>YEAR(Table7[[#This Row],[Date]])+IF(MONTH(Table7[[#This Row],[Date]])&gt;=4,1,0)</f>
        <v>2026</v>
      </c>
      <c r="C233" s="203">
        <f>YEAR(Table7[[#This Row],[Date]])</f>
        <v>2025</v>
      </c>
      <c r="D233" s="205">
        <f t="shared" si="13"/>
        <v>45962</v>
      </c>
      <c r="AR233" s="203">
        <f t="shared" si="12"/>
        <v>0</v>
      </c>
    </row>
    <row r="234" spans="1:44">
      <c r="A234" s="206">
        <f t="shared" si="14"/>
        <v>45976</v>
      </c>
      <c r="B234" s="203">
        <f>YEAR(Table7[[#This Row],[Date]])+IF(MONTH(Table7[[#This Row],[Date]])&gt;=4,1,0)</f>
        <v>2026</v>
      </c>
      <c r="C234" s="203">
        <f>YEAR(Table7[[#This Row],[Date]])</f>
        <v>2025</v>
      </c>
      <c r="D234" s="205">
        <f t="shared" si="13"/>
        <v>45962</v>
      </c>
      <c r="AR234" s="203">
        <f t="shared" si="12"/>
        <v>0</v>
      </c>
    </row>
    <row r="235" spans="1:44">
      <c r="A235" s="206">
        <f t="shared" si="14"/>
        <v>45977</v>
      </c>
      <c r="B235" s="203">
        <f>YEAR(Table7[[#This Row],[Date]])+IF(MONTH(Table7[[#This Row],[Date]])&gt;=4,1,0)</f>
        <v>2026</v>
      </c>
      <c r="C235" s="203">
        <f>YEAR(Table7[[#This Row],[Date]])</f>
        <v>2025</v>
      </c>
      <c r="D235" s="205">
        <f t="shared" si="13"/>
        <v>45962</v>
      </c>
      <c r="AR235" s="203">
        <f t="shared" si="12"/>
        <v>0</v>
      </c>
    </row>
    <row r="236" spans="1:44">
      <c r="A236" s="206">
        <f t="shared" si="14"/>
        <v>45978</v>
      </c>
      <c r="B236" s="203">
        <f>YEAR(Table7[[#This Row],[Date]])+IF(MONTH(Table7[[#This Row],[Date]])&gt;=4,1,0)</f>
        <v>2026</v>
      </c>
      <c r="C236" s="203">
        <f>YEAR(Table7[[#This Row],[Date]])</f>
        <v>2025</v>
      </c>
      <c r="D236" s="205">
        <f t="shared" si="13"/>
        <v>45962</v>
      </c>
      <c r="AR236" s="203">
        <f t="shared" si="12"/>
        <v>0</v>
      </c>
    </row>
    <row r="237" spans="1:44">
      <c r="A237" s="206">
        <f t="shared" si="14"/>
        <v>45979</v>
      </c>
      <c r="B237" s="203">
        <f>YEAR(Table7[[#This Row],[Date]])+IF(MONTH(Table7[[#This Row],[Date]])&gt;=4,1,0)</f>
        <v>2026</v>
      </c>
      <c r="C237" s="203">
        <f>YEAR(Table7[[#This Row],[Date]])</f>
        <v>2025</v>
      </c>
      <c r="D237" s="205">
        <f t="shared" si="13"/>
        <v>45962</v>
      </c>
      <c r="AR237" s="203">
        <f t="shared" si="12"/>
        <v>0</v>
      </c>
    </row>
    <row r="238" spans="1:44">
      <c r="A238" s="206">
        <f t="shared" si="14"/>
        <v>45980</v>
      </c>
      <c r="B238" s="203">
        <f>YEAR(Table7[[#This Row],[Date]])+IF(MONTH(Table7[[#This Row],[Date]])&gt;=4,1,0)</f>
        <v>2026</v>
      </c>
      <c r="C238" s="203">
        <f>YEAR(Table7[[#This Row],[Date]])</f>
        <v>2025</v>
      </c>
      <c r="D238" s="205">
        <f t="shared" si="13"/>
        <v>45962</v>
      </c>
      <c r="AR238" s="203">
        <f t="shared" si="12"/>
        <v>0</v>
      </c>
    </row>
    <row r="239" spans="1:44">
      <c r="A239" s="206">
        <f t="shared" si="14"/>
        <v>45981</v>
      </c>
      <c r="B239" s="203">
        <f>YEAR(Table7[[#This Row],[Date]])+IF(MONTH(Table7[[#This Row],[Date]])&gt;=4,1,0)</f>
        <v>2026</v>
      </c>
      <c r="C239" s="203">
        <f>YEAR(Table7[[#This Row],[Date]])</f>
        <v>2025</v>
      </c>
      <c r="D239" s="205">
        <f t="shared" si="13"/>
        <v>45962</v>
      </c>
      <c r="AR239" s="203">
        <f t="shared" si="12"/>
        <v>0</v>
      </c>
    </row>
    <row r="240" spans="1:44">
      <c r="A240" s="206">
        <f t="shared" si="14"/>
        <v>45982</v>
      </c>
      <c r="B240" s="203">
        <f>YEAR(Table7[[#This Row],[Date]])+IF(MONTH(Table7[[#This Row],[Date]])&gt;=4,1,0)</f>
        <v>2026</v>
      </c>
      <c r="C240" s="203">
        <f>YEAR(Table7[[#This Row],[Date]])</f>
        <v>2025</v>
      </c>
      <c r="D240" s="205">
        <f t="shared" si="13"/>
        <v>45962</v>
      </c>
      <c r="AR240" s="203">
        <f t="shared" si="12"/>
        <v>0</v>
      </c>
    </row>
    <row r="241" spans="1:44">
      <c r="A241" s="206">
        <f t="shared" si="14"/>
        <v>45983</v>
      </c>
      <c r="B241" s="203">
        <f>YEAR(Table7[[#This Row],[Date]])+IF(MONTH(Table7[[#This Row],[Date]])&gt;=4,1,0)</f>
        <v>2026</v>
      </c>
      <c r="C241" s="203">
        <f>YEAR(Table7[[#This Row],[Date]])</f>
        <v>2025</v>
      </c>
      <c r="D241" s="205">
        <f t="shared" si="13"/>
        <v>45962</v>
      </c>
      <c r="AR241" s="203">
        <f t="shared" si="12"/>
        <v>0</v>
      </c>
    </row>
    <row r="242" spans="1:44">
      <c r="A242" s="206">
        <f t="shared" si="14"/>
        <v>45984</v>
      </c>
      <c r="B242" s="203">
        <f>YEAR(Table7[[#This Row],[Date]])+IF(MONTH(Table7[[#This Row],[Date]])&gt;=4,1,0)</f>
        <v>2026</v>
      </c>
      <c r="C242" s="203">
        <f>YEAR(Table7[[#This Row],[Date]])</f>
        <v>2025</v>
      </c>
      <c r="D242" s="205">
        <f t="shared" si="13"/>
        <v>45962</v>
      </c>
      <c r="AR242" s="203">
        <f t="shared" si="12"/>
        <v>0</v>
      </c>
    </row>
    <row r="243" spans="1:44">
      <c r="A243" s="206">
        <f t="shared" si="14"/>
        <v>45985</v>
      </c>
      <c r="B243" s="203">
        <f>YEAR(Table7[[#This Row],[Date]])+IF(MONTH(Table7[[#This Row],[Date]])&gt;=4,1,0)</f>
        <v>2026</v>
      </c>
      <c r="C243" s="203">
        <f>YEAR(Table7[[#This Row],[Date]])</f>
        <v>2025</v>
      </c>
      <c r="D243" s="205">
        <f t="shared" si="13"/>
        <v>45962</v>
      </c>
      <c r="AR243" s="203">
        <f t="shared" si="12"/>
        <v>0</v>
      </c>
    </row>
    <row r="244" spans="1:44">
      <c r="A244" s="206">
        <f t="shared" si="14"/>
        <v>45986</v>
      </c>
      <c r="B244" s="203">
        <f>YEAR(Table7[[#This Row],[Date]])+IF(MONTH(Table7[[#This Row],[Date]])&gt;=4,1,0)</f>
        <v>2026</v>
      </c>
      <c r="C244" s="203">
        <f>YEAR(Table7[[#This Row],[Date]])</f>
        <v>2025</v>
      </c>
      <c r="D244" s="205">
        <f t="shared" si="13"/>
        <v>45962</v>
      </c>
      <c r="AR244" s="203">
        <f t="shared" si="12"/>
        <v>0</v>
      </c>
    </row>
    <row r="245" spans="1:44">
      <c r="A245" s="206">
        <f t="shared" si="14"/>
        <v>45987</v>
      </c>
      <c r="B245" s="203">
        <f>YEAR(Table7[[#This Row],[Date]])+IF(MONTH(Table7[[#This Row],[Date]])&gt;=4,1,0)</f>
        <v>2026</v>
      </c>
      <c r="C245" s="203">
        <f>YEAR(Table7[[#This Row],[Date]])</f>
        <v>2025</v>
      </c>
      <c r="D245" s="205">
        <f t="shared" si="13"/>
        <v>45962</v>
      </c>
      <c r="AR245" s="203">
        <f t="shared" si="12"/>
        <v>0</v>
      </c>
    </row>
    <row r="246" spans="1:44">
      <c r="A246" s="206">
        <f t="shared" si="14"/>
        <v>45988</v>
      </c>
      <c r="B246" s="203">
        <f>YEAR(Table7[[#This Row],[Date]])+IF(MONTH(Table7[[#This Row],[Date]])&gt;=4,1,0)</f>
        <v>2026</v>
      </c>
      <c r="C246" s="203">
        <f>YEAR(Table7[[#This Row],[Date]])</f>
        <v>2025</v>
      </c>
      <c r="D246" s="205">
        <f t="shared" si="13"/>
        <v>45962</v>
      </c>
      <c r="AR246" s="203">
        <f t="shared" si="12"/>
        <v>0</v>
      </c>
    </row>
    <row r="247" spans="1:44">
      <c r="A247" s="206">
        <f t="shared" si="14"/>
        <v>45989</v>
      </c>
      <c r="B247" s="203">
        <f>YEAR(Table7[[#This Row],[Date]])+IF(MONTH(Table7[[#This Row],[Date]])&gt;=4,1,0)</f>
        <v>2026</v>
      </c>
      <c r="C247" s="203">
        <f>YEAR(Table7[[#This Row],[Date]])</f>
        <v>2025</v>
      </c>
      <c r="D247" s="205">
        <f t="shared" si="13"/>
        <v>45962</v>
      </c>
      <c r="AR247" s="203">
        <f t="shared" si="12"/>
        <v>0</v>
      </c>
    </row>
    <row r="248" spans="1:44">
      <c r="A248" s="206">
        <f t="shared" si="14"/>
        <v>45990</v>
      </c>
      <c r="B248" s="203">
        <f>YEAR(Table7[[#This Row],[Date]])+IF(MONTH(Table7[[#This Row],[Date]])&gt;=4,1,0)</f>
        <v>2026</v>
      </c>
      <c r="C248" s="203">
        <f>YEAR(Table7[[#This Row],[Date]])</f>
        <v>2025</v>
      </c>
      <c r="D248" s="205">
        <f t="shared" si="13"/>
        <v>45962</v>
      </c>
      <c r="AR248" s="203">
        <f t="shared" si="12"/>
        <v>0</v>
      </c>
    </row>
    <row r="249" spans="1:44">
      <c r="A249" s="206">
        <f t="shared" si="14"/>
        <v>45991</v>
      </c>
      <c r="B249" s="203">
        <f>YEAR(Table7[[#This Row],[Date]])+IF(MONTH(Table7[[#This Row],[Date]])&gt;=4,1,0)</f>
        <v>2026</v>
      </c>
      <c r="C249" s="203">
        <f>YEAR(Table7[[#This Row],[Date]])</f>
        <v>2025</v>
      </c>
      <c r="D249" s="205">
        <f t="shared" si="13"/>
        <v>45962</v>
      </c>
      <c r="AR249" s="203">
        <f t="shared" si="12"/>
        <v>0</v>
      </c>
    </row>
    <row r="250" spans="1:44">
      <c r="A250" s="206">
        <f t="shared" si="14"/>
        <v>45992</v>
      </c>
      <c r="B250" s="203">
        <f>YEAR(Table7[[#This Row],[Date]])+IF(MONTH(Table7[[#This Row],[Date]])&gt;=4,1,0)</f>
        <v>2026</v>
      </c>
      <c r="C250" s="203">
        <f>YEAR(Table7[[#This Row],[Date]])</f>
        <v>2025</v>
      </c>
      <c r="D250" s="205">
        <f t="shared" si="13"/>
        <v>45992</v>
      </c>
      <c r="AR250" s="203">
        <f t="shared" si="12"/>
        <v>0</v>
      </c>
    </row>
    <row r="251" spans="1:44">
      <c r="A251" s="206">
        <f t="shared" si="14"/>
        <v>45993</v>
      </c>
      <c r="B251" s="203">
        <f>YEAR(Table7[[#This Row],[Date]])+IF(MONTH(Table7[[#This Row],[Date]])&gt;=4,1,0)</f>
        <v>2026</v>
      </c>
      <c r="C251" s="203">
        <f>YEAR(Table7[[#This Row],[Date]])</f>
        <v>2025</v>
      </c>
      <c r="D251" s="205">
        <f t="shared" si="13"/>
        <v>45992</v>
      </c>
      <c r="AR251" s="203">
        <f t="shared" si="12"/>
        <v>0</v>
      </c>
    </row>
    <row r="252" spans="1:44">
      <c r="A252" s="206">
        <f t="shared" si="14"/>
        <v>45994</v>
      </c>
      <c r="B252" s="203">
        <f>YEAR(Table7[[#This Row],[Date]])+IF(MONTH(Table7[[#This Row],[Date]])&gt;=4,1,0)</f>
        <v>2026</v>
      </c>
      <c r="C252" s="203">
        <f>YEAR(Table7[[#This Row],[Date]])</f>
        <v>2025</v>
      </c>
      <c r="D252" s="205">
        <f t="shared" si="13"/>
        <v>45992</v>
      </c>
      <c r="AR252" s="203">
        <f t="shared" si="12"/>
        <v>0</v>
      </c>
    </row>
    <row r="253" spans="1:44">
      <c r="A253" s="206">
        <f t="shared" si="14"/>
        <v>45995</v>
      </c>
      <c r="B253" s="203">
        <f>YEAR(Table7[[#This Row],[Date]])+IF(MONTH(Table7[[#This Row],[Date]])&gt;=4,1,0)</f>
        <v>2026</v>
      </c>
      <c r="C253" s="203">
        <f>YEAR(Table7[[#This Row],[Date]])</f>
        <v>2025</v>
      </c>
      <c r="D253" s="205">
        <f t="shared" si="13"/>
        <v>45992</v>
      </c>
      <c r="AR253" s="203">
        <f t="shared" si="12"/>
        <v>0</v>
      </c>
    </row>
    <row r="254" spans="1:44">
      <c r="A254" s="206">
        <f t="shared" si="14"/>
        <v>45996</v>
      </c>
      <c r="B254" s="203">
        <f>YEAR(Table7[[#This Row],[Date]])+IF(MONTH(Table7[[#This Row],[Date]])&gt;=4,1,0)</f>
        <v>2026</v>
      </c>
      <c r="C254" s="203">
        <f>YEAR(Table7[[#This Row],[Date]])</f>
        <v>2025</v>
      </c>
      <c r="D254" s="205">
        <f t="shared" si="13"/>
        <v>45992</v>
      </c>
      <c r="AR254" s="203">
        <f t="shared" si="12"/>
        <v>0</v>
      </c>
    </row>
    <row r="255" spans="1:44">
      <c r="A255" s="206">
        <f t="shared" si="14"/>
        <v>45997</v>
      </c>
      <c r="B255" s="203">
        <f>YEAR(Table7[[#This Row],[Date]])+IF(MONTH(Table7[[#This Row],[Date]])&gt;=4,1,0)</f>
        <v>2026</v>
      </c>
      <c r="C255" s="203">
        <f>YEAR(Table7[[#This Row],[Date]])</f>
        <v>2025</v>
      </c>
      <c r="D255" s="205">
        <f t="shared" si="13"/>
        <v>45992</v>
      </c>
      <c r="AR255" s="203">
        <f t="shared" si="12"/>
        <v>0</v>
      </c>
    </row>
    <row r="256" spans="1:44">
      <c r="A256" s="206">
        <f t="shared" si="14"/>
        <v>45998</v>
      </c>
      <c r="B256" s="203">
        <f>YEAR(Table7[[#This Row],[Date]])+IF(MONTH(Table7[[#This Row],[Date]])&gt;=4,1,0)</f>
        <v>2026</v>
      </c>
      <c r="C256" s="203">
        <f>YEAR(Table7[[#This Row],[Date]])</f>
        <v>2025</v>
      </c>
      <c r="D256" s="205">
        <f t="shared" si="13"/>
        <v>45992</v>
      </c>
      <c r="AR256" s="203">
        <f t="shared" si="12"/>
        <v>0</v>
      </c>
    </row>
    <row r="257" spans="1:44">
      <c r="A257" s="206">
        <f t="shared" si="14"/>
        <v>45999</v>
      </c>
      <c r="B257" s="203">
        <f>YEAR(Table7[[#This Row],[Date]])+IF(MONTH(Table7[[#This Row],[Date]])&gt;=4,1,0)</f>
        <v>2026</v>
      </c>
      <c r="C257" s="203">
        <f>YEAR(Table7[[#This Row],[Date]])</f>
        <v>2025</v>
      </c>
      <c r="D257" s="205">
        <f t="shared" si="13"/>
        <v>45992</v>
      </c>
      <c r="AR257" s="203">
        <f t="shared" si="12"/>
        <v>0</v>
      </c>
    </row>
    <row r="258" spans="1:44">
      <c r="A258" s="206">
        <f t="shared" si="14"/>
        <v>46000</v>
      </c>
      <c r="B258" s="203">
        <f>YEAR(Table7[[#This Row],[Date]])+IF(MONTH(Table7[[#This Row],[Date]])&gt;=4,1,0)</f>
        <v>2026</v>
      </c>
      <c r="C258" s="203">
        <f>YEAR(Table7[[#This Row],[Date]])</f>
        <v>2025</v>
      </c>
      <c r="D258" s="205">
        <f t="shared" si="13"/>
        <v>45992</v>
      </c>
      <c r="AR258" s="203">
        <f t="shared" si="12"/>
        <v>0</v>
      </c>
    </row>
    <row r="259" spans="1:44">
      <c r="A259" s="206">
        <f t="shared" si="14"/>
        <v>46001</v>
      </c>
      <c r="B259" s="203">
        <f>YEAR(Table7[[#This Row],[Date]])+IF(MONTH(Table7[[#This Row],[Date]])&gt;=4,1,0)</f>
        <v>2026</v>
      </c>
      <c r="C259" s="203">
        <f>YEAR(Table7[[#This Row],[Date]])</f>
        <v>2025</v>
      </c>
      <c r="D259" s="205">
        <f t="shared" si="13"/>
        <v>45992</v>
      </c>
      <c r="AR259" s="203">
        <f t="shared" ref="AR259:AR280" si="15">SUM(E259:AQ259)</f>
        <v>0</v>
      </c>
    </row>
    <row r="260" spans="1:44">
      <c r="A260" s="206">
        <f t="shared" si="14"/>
        <v>46002</v>
      </c>
      <c r="B260" s="203">
        <f>YEAR(Table7[[#This Row],[Date]])+IF(MONTH(Table7[[#This Row],[Date]])&gt;=4,1,0)</f>
        <v>2026</v>
      </c>
      <c r="C260" s="203">
        <f>YEAR(Table7[[#This Row],[Date]])</f>
        <v>2025</v>
      </c>
      <c r="D260" s="205">
        <f t="shared" si="13"/>
        <v>45992</v>
      </c>
      <c r="AR260" s="203">
        <f t="shared" si="15"/>
        <v>0</v>
      </c>
    </row>
    <row r="261" spans="1:44">
      <c r="A261" s="206">
        <f t="shared" si="14"/>
        <v>46003</v>
      </c>
      <c r="B261" s="203">
        <f>YEAR(Table7[[#This Row],[Date]])+IF(MONTH(Table7[[#This Row],[Date]])&gt;=4,1,0)</f>
        <v>2026</v>
      </c>
      <c r="C261" s="203">
        <f>YEAR(Table7[[#This Row],[Date]])</f>
        <v>2025</v>
      </c>
      <c r="D261" s="205">
        <f t="shared" si="13"/>
        <v>45992</v>
      </c>
      <c r="AR261" s="203">
        <f t="shared" si="15"/>
        <v>0</v>
      </c>
    </row>
    <row r="262" spans="1:44">
      <c r="A262" s="206">
        <f t="shared" si="14"/>
        <v>46004</v>
      </c>
      <c r="B262" s="203">
        <f>YEAR(Table7[[#This Row],[Date]])+IF(MONTH(Table7[[#This Row],[Date]])&gt;=4,1,0)</f>
        <v>2026</v>
      </c>
      <c r="C262" s="203">
        <f>YEAR(Table7[[#This Row],[Date]])</f>
        <v>2025</v>
      </c>
      <c r="D262" s="205">
        <f t="shared" si="13"/>
        <v>45992</v>
      </c>
      <c r="AR262" s="203">
        <f t="shared" si="15"/>
        <v>0</v>
      </c>
    </row>
    <row r="263" spans="1:44">
      <c r="A263" s="206">
        <f t="shared" si="14"/>
        <v>46005</v>
      </c>
      <c r="B263" s="203">
        <f>YEAR(Table7[[#This Row],[Date]])+IF(MONTH(Table7[[#This Row],[Date]])&gt;=4,1,0)</f>
        <v>2026</v>
      </c>
      <c r="C263" s="203">
        <f>YEAR(Table7[[#This Row],[Date]])</f>
        <v>2025</v>
      </c>
      <c r="D263" s="205">
        <f t="shared" si="13"/>
        <v>45992</v>
      </c>
      <c r="AR263" s="203">
        <f t="shared" si="15"/>
        <v>0</v>
      </c>
    </row>
    <row r="264" spans="1:44">
      <c r="A264" s="206">
        <f t="shared" si="14"/>
        <v>46006</v>
      </c>
      <c r="B264" s="203">
        <f>YEAR(Table7[[#This Row],[Date]])+IF(MONTH(Table7[[#This Row],[Date]])&gt;=4,1,0)</f>
        <v>2026</v>
      </c>
      <c r="C264" s="203">
        <f>YEAR(Table7[[#This Row],[Date]])</f>
        <v>2025</v>
      </c>
      <c r="D264" s="205">
        <f t="shared" si="13"/>
        <v>45992</v>
      </c>
      <c r="AR264" s="203">
        <f t="shared" si="15"/>
        <v>0</v>
      </c>
    </row>
    <row r="265" spans="1:44">
      <c r="A265" s="206">
        <f t="shared" si="14"/>
        <v>46007</v>
      </c>
      <c r="B265" s="203">
        <f>YEAR(Table7[[#This Row],[Date]])+IF(MONTH(Table7[[#This Row],[Date]])&gt;=4,1,0)</f>
        <v>2026</v>
      </c>
      <c r="C265" s="203">
        <f>YEAR(Table7[[#This Row],[Date]])</f>
        <v>2025</v>
      </c>
      <c r="D265" s="205">
        <f t="shared" si="13"/>
        <v>45992</v>
      </c>
      <c r="AR265" s="203">
        <f t="shared" si="15"/>
        <v>0</v>
      </c>
    </row>
    <row r="266" spans="1:44">
      <c r="A266" s="206">
        <f t="shared" si="14"/>
        <v>46008</v>
      </c>
      <c r="B266" s="203">
        <f>YEAR(Table7[[#This Row],[Date]])+IF(MONTH(Table7[[#This Row],[Date]])&gt;=4,1,0)</f>
        <v>2026</v>
      </c>
      <c r="C266" s="203">
        <f>YEAR(Table7[[#This Row],[Date]])</f>
        <v>2025</v>
      </c>
      <c r="D266" s="205">
        <f t="shared" si="13"/>
        <v>45992</v>
      </c>
      <c r="AR266" s="203">
        <f t="shared" si="15"/>
        <v>0</v>
      </c>
    </row>
    <row r="267" spans="1:44">
      <c r="A267" s="206">
        <f t="shared" si="14"/>
        <v>46009</v>
      </c>
      <c r="B267" s="203">
        <f>YEAR(Table7[[#This Row],[Date]])+IF(MONTH(Table7[[#This Row],[Date]])&gt;=4,1,0)</f>
        <v>2026</v>
      </c>
      <c r="C267" s="203">
        <f>YEAR(Table7[[#This Row],[Date]])</f>
        <v>2025</v>
      </c>
      <c r="D267" s="205">
        <f t="shared" si="13"/>
        <v>45992</v>
      </c>
      <c r="AR267" s="203">
        <f t="shared" si="15"/>
        <v>0</v>
      </c>
    </row>
    <row r="268" spans="1:44">
      <c r="A268" s="206">
        <f t="shared" si="14"/>
        <v>46010</v>
      </c>
      <c r="B268" s="203">
        <f>YEAR(Table7[[#This Row],[Date]])+IF(MONTH(Table7[[#This Row],[Date]])&gt;=4,1,0)</f>
        <v>2026</v>
      </c>
      <c r="C268" s="203">
        <f>YEAR(Table7[[#This Row],[Date]])</f>
        <v>2025</v>
      </c>
      <c r="D268" s="205">
        <f t="shared" si="13"/>
        <v>45992</v>
      </c>
      <c r="AR268" s="203">
        <f t="shared" si="15"/>
        <v>0</v>
      </c>
    </row>
    <row r="269" spans="1:44">
      <c r="A269" s="206">
        <f t="shared" si="14"/>
        <v>46011</v>
      </c>
      <c r="B269" s="203">
        <f>YEAR(Table7[[#This Row],[Date]])+IF(MONTH(Table7[[#This Row],[Date]])&gt;=4,1,0)</f>
        <v>2026</v>
      </c>
      <c r="C269" s="203">
        <f>YEAR(Table7[[#This Row],[Date]])</f>
        <v>2025</v>
      </c>
      <c r="D269" s="205">
        <f t="shared" si="13"/>
        <v>45992</v>
      </c>
      <c r="AR269" s="203">
        <f t="shared" si="15"/>
        <v>0</v>
      </c>
    </row>
    <row r="270" spans="1:44">
      <c r="A270" s="206">
        <f t="shared" si="14"/>
        <v>46012</v>
      </c>
      <c r="B270" s="203">
        <f>YEAR(Table7[[#This Row],[Date]])+IF(MONTH(Table7[[#This Row],[Date]])&gt;=4,1,0)</f>
        <v>2026</v>
      </c>
      <c r="C270" s="203">
        <f>YEAR(Table7[[#This Row],[Date]])</f>
        <v>2025</v>
      </c>
      <c r="D270" s="205">
        <f t="shared" si="13"/>
        <v>45992</v>
      </c>
      <c r="AR270" s="203">
        <f t="shared" si="15"/>
        <v>0</v>
      </c>
    </row>
    <row r="271" spans="1:44">
      <c r="A271" s="206">
        <f t="shared" si="14"/>
        <v>46013</v>
      </c>
      <c r="B271" s="203">
        <f>YEAR(Table7[[#This Row],[Date]])+IF(MONTH(Table7[[#This Row],[Date]])&gt;=4,1,0)</f>
        <v>2026</v>
      </c>
      <c r="C271" s="203">
        <f>YEAR(Table7[[#This Row],[Date]])</f>
        <v>2025</v>
      </c>
      <c r="D271" s="205">
        <f t="shared" si="13"/>
        <v>45992</v>
      </c>
      <c r="AR271" s="203">
        <f t="shared" si="15"/>
        <v>0</v>
      </c>
    </row>
    <row r="272" spans="1:44">
      <c r="A272" s="206">
        <f t="shared" si="14"/>
        <v>46014</v>
      </c>
      <c r="B272" s="203">
        <f>YEAR(Table7[[#This Row],[Date]])+IF(MONTH(Table7[[#This Row],[Date]])&gt;=4,1,0)</f>
        <v>2026</v>
      </c>
      <c r="C272" s="203">
        <f>YEAR(Table7[[#This Row],[Date]])</f>
        <v>2025</v>
      </c>
      <c r="D272" s="205">
        <f t="shared" si="13"/>
        <v>45992</v>
      </c>
      <c r="AR272" s="203">
        <f t="shared" si="15"/>
        <v>0</v>
      </c>
    </row>
    <row r="273" spans="1:44">
      <c r="A273" s="206">
        <f t="shared" si="14"/>
        <v>46015</v>
      </c>
      <c r="B273" s="203">
        <f>YEAR(Table7[[#This Row],[Date]])+IF(MONTH(Table7[[#This Row],[Date]])&gt;=4,1,0)</f>
        <v>2026</v>
      </c>
      <c r="C273" s="203">
        <f>YEAR(Table7[[#This Row],[Date]])</f>
        <v>2025</v>
      </c>
      <c r="D273" s="205">
        <f t="shared" si="13"/>
        <v>45992</v>
      </c>
      <c r="AR273" s="203">
        <f t="shared" si="15"/>
        <v>0</v>
      </c>
    </row>
    <row r="274" spans="1:44">
      <c r="A274" s="206">
        <f t="shared" si="14"/>
        <v>46016</v>
      </c>
      <c r="B274" s="203">
        <f>YEAR(Table7[[#This Row],[Date]])+IF(MONTH(Table7[[#This Row],[Date]])&gt;=4,1,0)</f>
        <v>2026</v>
      </c>
      <c r="C274" s="203">
        <f>YEAR(Table7[[#This Row],[Date]])</f>
        <v>2025</v>
      </c>
      <c r="D274" s="205">
        <f t="shared" si="13"/>
        <v>45992</v>
      </c>
      <c r="AR274" s="203">
        <f t="shared" si="15"/>
        <v>0</v>
      </c>
    </row>
    <row r="275" spans="1:44">
      <c r="A275" s="206">
        <f t="shared" si="14"/>
        <v>46017</v>
      </c>
      <c r="B275" s="203">
        <f>YEAR(Table7[[#This Row],[Date]])+IF(MONTH(Table7[[#This Row],[Date]])&gt;=4,1,0)</f>
        <v>2026</v>
      </c>
      <c r="C275" s="203">
        <f>YEAR(Table7[[#This Row],[Date]])</f>
        <v>2025</v>
      </c>
      <c r="D275" s="205">
        <f t="shared" si="13"/>
        <v>45992</v>
      </c>
      <c r="AR275" s="203">
        <f t="shared" si="15"/>
        <v>0</v>
      </c>
    </row>
    <row r="276" spans="1:44">
      <c r="A276" s="206">
        <f t="shared" si="14"/>
        <v>46018</v>
      </c>
      <c r="B276" s="203">
        <f>YEAR(Table7[[#This Row],[Date]])+IF(MONTH(Table7[[#This Row],[Date]])&gt;=4,1,0)</f>
        <v>2026</v>
      </c>
      <c r="C276" s="203">
        <f>YEAR(Table7[[#This Row],[Date]])</f>
        <v>2025</v>
      </c>
      <c r="D276" s="205">
        <f t="shared" si="13"/>
        <v>45992</v>
      </c>
      <c r="AR276" s="203">
        <f t="shared" si="15"/>
        <v>0</v>
      </c>
    </row>
    <row r="277" spans="1:44">
      <c r="A277" s="206">
        <f t="shared" si="14"/>
        <v>46019</v>
      </c>
      <c r="B277" s="203">
        <f>YEAR(Table7[[#This Row],[Date]])+IF(MONTH(Table7[[#This Row],[Date]])&gt;=4,1,0)</f>
        <v>2026</v>
      </c>
      <c r="C277" s="203">
        <f>YEAR(Table7[[#This Row],[Date]])</f>
        <v>2025</v>
      </c>
      <c r="D277" s="205">
        <f t="shared" si="13"/>
        <v>45992</v>
      </c>
      <c r="AR277" s="203">
        <f t="shared" si="15"/>
        <v>0</v>
      </c>
    </row>
    <row r="278" spans="1:44">
      <c r="A278" s="206">
        <f t="shared" si="14"/>
        <v>46020</v>
      </c>
      <c r="B278" s="203">
        <f>YEAR(Table7[[#This Row],[Date]])+IF(MONTH(Table7[[#This Row],[Date]])&gt;=4,1,0)</f>
        <v>2026</v>
      </c>
      <c r="C278" s="203">
        <f>YEAR(Table7[[#This Row],[Date]])</f>
        <v>2025</v>
      </c>
      <c r="D278" s="205">
        <f t="shared" si="13"/>
        <v>45992</v>
      </c>
      <c r="AR278" s="203">
        <f t="shared" si="15"/>
        <v>0</v>
      </c>
    </row>
    <row r="279" spans="1:44">
      <c r="A279" s="206">
        <f t="shared" si="14"/>
        <v>46021</v>
      </c>
      <c r="B279" s="203">
        <f>YEAR(Table7[[#This Row],[Date]])+IF(MONTH(Table7[[#This Row],[Date]])&gt;=4,1,0)</f>
        <v>2026</v>
      </c>
      <c r="C279" s="203">
        <f>YEAR(Table7[[#This Row],[Date]])</f>
        <v>2025</v>
      </c>
      <c r="D279" s="205">
        <f t="shared" si="13"/>
        <v>45992</v>
      </c>
      <c r="AR279" s="203">
        <f t="shared" si="15"/>
        <v>0</v>
      </c>
    </row>
    <row r="280" spans="1:44">
      <c r="A280" s="206">
        <f t="shared" si="14"/>
        <v>46022</v>
      </c>
      <c r="B280" s="203">
        <f>YEAR(Table7[[#This Row],[Date]])+IF(MONTH(Table7[[#This Row],[Date]])&gt;=4,1,0)</f>
        <v>2026</v>
      </c>
      <c r="C280" s="203">
        <f>YEAR(Table7[[#This Row],[Date]])</f>
        <v>2025</v>
      </c>
      <c r="D280" s="205">
        <f t="shared" si="13"/>
        <v>45992</v>
      </c>
      <c r="E280" s="208">
        <v>2411.4870499999997</v>
      </c>
      <c r="F280" s="208">
        <v>891.6197333333331</v>
      </c>
      <c r="G280" s="208">
        <v>1879.9699166666667</v>
      </c>
      <c r="H280" s="208">
        <v>874.26264999999989</v>
      </c>
      <c r="I280" s="208">
        <v>880.47126666666634</v>
      </c>
      <c r="J280" s="208">
        <v>636.22654999999975</v>
      </c>
      <c r="K280" s="208">
        <v>372.88330000000008</v>
      </c>
      <c r="L280" s="208">
        <v>641.51903333333337</v>
      </c>
      <c r="M280" s="208">
        <v>906.08874999999966</v>
      </c>
      <c r="N280" s="208">
        <v>2260.3940000000007</v>
      </c>
      <c r="O280" s="208">
        <v>383.09098333333333</v>
      </c>
      <c r="P280" s="208">
        <v>377.68645000000021</v>
      </c>
      <c r="Q280" s="208">
        <v>2175.7977833333325</v>
      </c>
      <c r="R280" s="208">
        <v>1993.9216333333334</v>
      </c>
      <c r="S280" s="208">
        <v>1758.4656500000006</v>
      </c>
      <c r="T280" s="208">
        <v>2234.110716666667</v>
      </c>
      <c r="U280" s="208">
        <v>1964.6706833333335</v>
      </c>
      <c r="V280" s="208">
        <v>2190.6097833333329</v>
      </c>
      <c r="W280" s="208">
        <v>441.97923333333341</v>
      </c>
      <c r="X280" s="208">
        <v>670.5095333333328</v>
      </c>
      <c r="Y280" s="208">
        <v>1570.8375833333334</v>
      </c>
      <c r="Z280" s="208">
        <v>1180.1706999999994</v>
      </c>
      <c r="AA280" s="208">
        <v>1761.4244000000006</v>
      </c>
      <c r="AB280" s="208">
        <v>999.70584999999994</v>
      </c>
      <c r="AC280" s="208">
        <v>1757.0460333333331</v>
      </c>
      <c r="AD280" s="208">
        <v>677.21181666666666</v>
      </c>
      <c r="AE280" s="208">
        <v>333.81999999999994</v>
      </c>
      <c r="AF280" s="208">
        <v>0</v>
      </c>
      <c r="AG280" s="208">
        <v>1635.0767333333333</v>
      </c>
      <c r="AH280" s="208">
        <v>0</v>
      </c>
      <c r="AI280" s="208">
        <v>1909.0220500000016</v>
      </c>
      <c r="AJ280" s="208">
        <v>573.77486666666687</v>
      </c>
      <c r="AK280" s="208">
        <v>742.58261666666658</v>
      </c>
      <c r="AL280" s="208">
        <v>1713.1288333333325</v>
      </c>
      <c r="AM280" s="208">
        <v>1709.3144666666656</v>
      </c>
      <c r="AN280" s="208">
        <v>-8.1558666666666682</v>
      </c>
      <c r="AO280" s="208">
        <v>2496.8773666666675</v>
      </c>
      <c r="AP280" s="208">
        <v>783.47119999999995</v>
      </c>
      <c r="AQ280" s="208">
        <v>2020.9579999999989</v>
      </c>
      <c r="AR280" s="208">
        <f t="shared" si="15"/>
        <v>47802.031349999997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D1195"/>
  <sheetViews>
    <sheetView showGridLines="0" zoomScaleNormal="90" workbookViewId="0">
      <pane xSplit="2" ySplit="1" topLeftCell="C34" activePane="bottomRight" state="frozen"/>
      <selection pane="bottomRight" activeCell="A46" sqref="A46"/>
      <selection pane="bottomLeft" activeCell="A2" sqref="A2"/>
      <selection pane="topRight" activeCell="C1" sqref="C1"/>
    </sheetView>
  </sheetViews>
  <sheetFormatPr defaultColWidth="8.85546875" defaultRowHeight="15"/>
  <cols>
    <col min="1" max="1" width="10.28515625" customWidth="1"/>
    <col min="2" max="2" width="10.28515625" bestFit="1" customWidth="1"/>
    <col min="3" max="3" width="12.140625" customWidth="1"/>
    <col min="4" max="6" width="12.85546875" customWidth="1"/>
    <col min="7" max="7" width="13.7109375" customWidth="1"/>
    <col min="9" max="9" width="9.42578125" style="1" customWidth="1"/>
    <col min="10" max="10" width="9.85546875" style="1" customWidth="1"/>
    <col min="11" max="11" width="57.42578125" bestFit="1" customWidth="1"/>
    <col min="12" max="12" width="10.42578125" customWidth="1"/>
    <col min="13" max="13" width="17.7109375" customWidth="1"/>
    <col min="14" max="14" width="13.85546875" customWidth="1"/>
    <col min="15" max="15" width="22.28515625" customWidth="1"/>
    <col min="16" max="16" width="8.85546875" customWidth="1"/>
    <col min="17" max="17" width="10.140625" customWidth="1"/>
    <col min="18" max="18" width="44.7109375" customWidth="1"/>
    <col min="19" max="19" width="8.42578125" customWidth="1"/>
    <col min="20" max="20" width="27.85546875" customWidth="1"/>
    <col min="21" max="21" width="43.140625" customWidth="1"/>
    <col min="22" max="22" width="29.140625" customWidth="1"/>
    <col min="23" max="23" width="23.85546875" customWidth="1"/>
    <col min="24" max="24" width="10.7109375" customWidth="1"/>
  </cols>
  <sheetData>
    <row r="1" spans="1:56" ht="42" customHeight="1">
      <c r="A1" s="24" t="s">
        <v>7</v>
      </c>
      <c r="B1" s="25" t="s">
        <v>73</v>
      </c>
      <c r="C1" s="26" t="s">
        <v>174</v>
      </c>
      <c r="D1" s="26" t="s">
        <v>312</v>
      </c>
      <c r="E1" s="26" t="s">
        <v>385</v>
      </c>
      <c r="F1" s="26" t="s">
        <v>440</v>
      </c>
      <c r="G1" s="26" t="s">
        <v>648</v>
      </c>
      <c r="H1" s="26" t="s">
        <v>442</v>
      </c>
      <c r="I1" s="26" t="s">
        <v>443</v>
      </c>
      <c r="J1" s="26" t="s">
        <v>444</v>
      </c>
      <c r="K1" s="26" t="s">
        <v>447</v>
      </c>
      <c r="L1" s="26" t="s">
        <v>448</v>
      </c>
      <c r="M1" s="26" t="s">
        <v>449</v>
      </c>
      <c r="N1" s="26" t="s">
        <v>450</v>
      </c>
      <c r="O1" s="26" t="s">
        <v>451</v>
      </c>
      <c r="P1" s="26" t="s">
        <v>452</v>
      </c>
      <c r="Q1" s="26" t="s">
        <v>453</v>
      </c>
      <c r="R1" s="26" t="s">
        <v>454</v>
      </c>
      <c r="S1" s="26" t="s">
        <v>455</v>
      </c>
      <c r="T1" s="27" t="s">
        <v>456</v>
      </c>
      <c r="U1" s="26" t="s">
        <v>380</v>
      </c>
      <c r="V1" s="26" t="s">
        <v>649</v>
      </c>
      <c r="W1" s="26" t="s">
        <v>650</v>
      </c>
      <c r="X1" s="26" t="s">
        <v>651</v>
      </c>
      <c r="BD1" s="117" t="s">
        <v>460</v>
      </c>
    </row>
    <row r="2" spans="1:56">
      <c r="A2" s="28">
        <v>1</v>
      </c>
      <c r="B2" s="154">
        <v>45747</v>
      </c>
      <c r="C2" s="30">
        <f>YEAR(WTG_BD[[#This Row],[Date]])+IF(MONTH(WTG_BD[[#This Row],[Date]])&gt;=4,1,0)</f>
        <v>2025</v>
      </c>
      <c r="D2" s="31">
        <f>YEAR(IGA_BD[[#This Row],[Date]])</f>
        <v>2025</v>
      </c>
      <c r="E2" s="48">
        <f t="shared" ref="E2:E27" si="0">B2-DAY(B2)+1</f>
        <v>45717</v>
      </c>
      <c r="F2" s="32" t="s">
        <v>652</v>
      </c>
      <c r="G2" s="33" t="s">
        <v>653</v>
      </c>
      <c r="H2" s="43" t="str">
        <f>IFERROR(VLOOKUP(IGA_BD[[#This Row],[Affected Feeder ]],'Basic Data'!$A$42:$E$53,2,0),"")</f>
        <v>PWEGPL</v>
      </c>
      <c r="I2" s="43" t="str">
        <f>IFERROR(VLOOKUP(IGA_BD[[#This Row],[Affected Feeder ]],'Basic Data'!$A$42:$E$53,3,0),"")</f>
        <v>MSEDCL</v>
      </c>
      <c r="J2" s="43">
        <f>IFERROR(VLOOKUP(IGA_BD[[#This Row],[Affected Feeder ]],'Basic Data'!$A$42:$E$53,5,0),"")</f>
        <v>0.25641025641025639</v>
      </c>
      <c r="K2" s="141" t="s">
        <v>654</v>
      </c>
      <c r="L2" s="50">
        <v>0.80555555555555558</v>
      </c>
      <c r="M2" s="116">
        <v>0.80555555555555558</v>
      </c>
      <c r="N2" s="116">
        <v>0.81736111111111109</v>
      </c>
      <c r="O2" s="57">
        <f>(IGA_BD[[#This Row],[Work Start TimeStamp]]-IGA_BD[[#This Row],[Fault Start TimeStamp]])*24</f>
        <v>0</v>
      </c>
      <c r="P2" s="44">
        <f>IF(IGA_BD[[#This Row],[Work Start TimeStamp]]="","",(IGA_BD[[#This Row],[Fault Clearance time]]-IGA_BD[[#This Row],[Work Start TimeStamp]])*24)</f>
        <v>0.28333333333333233</v>
      </c>
      <c r="Q2" s="57">
        <f>(IGA_BD[[#This Row],[Fault Clearance time]]-IGA_BD[[#This Row],[Fault Start TimeStamp]])*24</f>
        <v>0.28333333333333233</v>
      </c>
      <c r="R2" s="153" t="s">
        <v>655</v>
      </c>
      <c r="S2" s="44" t="s">
        <v>474</v>
      </c>
      <c r="T2" s="45">
        <f>IFERROR(IGA_BD[[#This Row],[Breakdown Time]]*IGA_BD[[#This Row],[Plant Equivalent Weightage]],"")</f>
        <v>7.2649572649572391E-2</v>
      </c>
      <c r="U2" s="153" t="s">
        <v>655</v>
      </c>
      <c r="V2" t="s">
        <v>656</v>
      </c>
      <c r="W2" t="s">
        <v>657</v>
      </c>
      <c r="X2">
        <v>580</v>
      </c>
    </row>
    <row r="3" spans="1:56">
      <c r="A3" s="28">
        <f t="shared" ref="A3:A51" si="1">A2+1</f>
        <v>2</v>
      </c>
      <c r="B3" s="154">
        <v>45748</v>
      </c>
      <c r="C3" s="30">
        <f>YEAR(WTG_BD[[#This Row],[Date]])+IF(MONTH(WTG_BD[[#This Row],[Date]])&gt;=4,1,0)</f>
        <v>2025</v>
      </c>
      <c r="D3" s="31">
        <f>YEAR(IGA_BD[[#This Row],[Date]])</f>
        <v>2025</v>
      </c>
      <c r="E3" s="48">
        <f t="shared" si="0"/>
        <v>45748</v>
      </c>
      <c r="F3" s="32" t="s">
        <v>652</v>
      </c>
      <c r="G3" s="33" t="s">
        <v>658</v>
      </c>
      <c r="H3" s="43" t="str">
        <f>IFERROR(VLOOKUP(IGA_BD[[#This Row],[Affected Feeder ]],'Basic Data'!$A$42:$E$53,2,0),"")</f>
        <v>PWEGPL</v>
      </c>
      <c r="I3" s="43" t="str">
        <f>IFERROR(VLOOKUP(IGA_BD[[#This Row],[Affected Feeder ]],'Basic Data'!$A$42:$E$53,3,0),"")</f>
        <v>MSEDCL</v>
      </c>
      <c r="J3" s="43">
        <f>IFERROR(VLOOKUP(IGA_BD[[#This Row],[Affected Feeder ]],'Basic Data'!$A$42:$E$53,5,0),"")</f>
        <v>0.23076923076923078</v>
      </c>
      <c r="K3" s="141" t="s">
        <v>659</v>
      </c>
      <c r="L3" s="50">
        <v>0.94097222222222221</v>
      </c>
      <c r="M3" s="116">
        <v>0.94097222222222221</v>
      </c>
      <c r="N3" s="116">
        <v>0.99930555555555556</v>
      </c>
      <c r="O3" s="57">
        <f>(IGA_BD[[#This Row],[Work Start TimeStamp]]-IGA_BD[[#This Row],[Fault Start TimeStamp]])*24</f>
        <v>0</v>
      </c>
      <c r="P3" s="44">
        <f>IF(IGA_BD[[#This Row],[Work Start TimeStamp]]="","",(IGA_BD[[#This Row],[Fault Clearance time]]-IGA_BD[[#This Row],[Work Start TimeStamp]])*24)</f>
        <v>1.4000000000000004</v>
      </c>
      <c r="Q3" s="57">
        <f>(IGA_BD[[#This Row],[Fault Clearance time]]-IGA_BD[[#This Row],[Fault Start TimeStamp]])*24</f>
        <v>1.4000000000000004</v>
      </c>
      <c r="R3" s="153" t="s">
        <v>655</v>
      </c>
      <c r="S3" s="44" t="s">
        <v>469</v>
      </c>
      <c r="T3" s="45">
        <f>IFERROR(IGA_BD[[#This Row],[Breakdown Time]]*IGA_BD[[#This Row],[Plant Equivalent Weightage]],"")</f>
        <v>0.32307692307692315</v>
      </c>
      <c r="U3" s="153" t="s">
        <v>655</v>
      </c>
      <c r="V3" t="s">
        <v>656</v>
      </c>
      <c r="W3" t="s">
        <v>657</v>
      </c>
      <c r="X3" s="3">
        <v>2898.0000000000005</v>
      </c>
    </row>
    <row r="4" spans="1:56">
      <c r="A4" s="28">
        <f t="shared" si="1"/>
        <v>3</v>
      </c>
      <c r="B4" s="154">
        <v>45748</v>
      </c>
      <c r="C4" s="30">
        <f>YEAR(WTG_BD[[#This Row],[Date]])+IF(MONTH(WTG_BD[[#This Row],[Date]])&gt;=4,1,0)</f>
        <v>2025</v>
      </c>
      <c r="D4" s="31">
        <f>YEAR(IGA_BD[[#This Row],[Date]])</f>
        <v>2025</v>
      </c>
      <c r="E4" s="48">
        <f t="shared" si="0"/>
        <v>45748</v>
      </c>
      <c r="F4" s="32" t="s">
        <v>652</v>
      </c>
      <c r="G4" s="33" t="s">
        <v>660</v>
      </c>
      <c r="H4" s="43" t="str">
        <f>IFERROR(VLOOKUP(IGA_BD[[#This Row],[Affected Feeder ]],'Basic Data'!$A$42:$E$53,2,0),"")</f>
        <v>PWEGPL</v>
      </c>
      <c r="I4" s="43" t="str">
        <f>IFERROR(VLOOKUP(IGA_BD[[#This Row],[Affected Feeder ]],'Basic Data'!$A$42:$E$53,3,0),"")</f>
        <v>MSEDCL</v>
      </c>
      <c r="J4" s="43">
        <f>IFERROR(VLOOKUP(IGA_BD[[#This Row],[Affected Feeder ]],'Basic Data'!$A$42:$E$53,5,0),"")</f>
        <v>0.25641025641025639</v>
      </c>
      <c r="K4" s="141" t="s">
        <v>661</v>
      </c>
      <c r="L4" s="50">
        <v>0.94305555555555554</v>
      </c>
      <c r="M4" s="116">
        <v>0.94305555555555554</v>
      </c>
      <c r="N4" s="116">
        <v>0.9604166666666667</v>
      </c>
      <c r="O4" s="57">
        <f>(IGA_BD[[#This Row],[Work Start TimeStamp]]-IGA_BD[[#This Row],[Fault Start TimeStamp]])*24</f>
        <v>0</v>
      </c>
      <c r="P4" s="44">
        <f>IF(IGA_BD[[#This Row],[Work Start TimeStamp]]="","",(IGA_BD[[#This Row],[Fault Clearance time]]-IGA_BD[[#This Row],[Work Start TimeStamp]])*24)</f>
        <v>0.41666666666666785</v>
      </c>
      <c r="Q4" s="57">
        <f>(IGA_BD[[#This Row],[Fault Clearance time]]-IGA_BD[[#This Row],[Fault Start TimeStamp]])*24</f>
        <v>0.41666666666666785</v>
      </c>
      <c r="R4" s="153" t="s">
        <v>655</v>
      </c>
      <c r="S4" s="44" t="s">
        <v>474</v>
      </c>
      <c r="T4" s="45">
        <f>IFERROR(IGA_BD[[#This Row],[Breakdown Time]]*IGA_BD[[#This Row],[Plant Equivalent Weightage]],"")</f>
        <v>0.10683760683760714</v>
      </c>
      <c r="U4" s="153" t="s">
        <v>655</v>
      </c>
      <c r="V4" t="s">
        <v>656</v>
      </c>
      <c r="W4" t="s">
        <v>657</v>
      </c>
      <c r="X4" s="3">
        <v>708.33333333333542</v>
      </c>
    </row>
    <row r="5" spans="1:56">
      <c r="A5" s="28">
        <f t="shared" si="1"/>
        <v>4</v>
      </c>
      <c r="B5" s="154">
        <v>45749</v>
      </c>
      <c r="C5" s="30">
        <f>YEAR(WTG_BD[[#This Row],[Date]])+IF(MONTH(WTG_BD[[#This Row],[Date]])&gt;=4,1,0)</f>
        <v>2025</v>
      </c>
      <c r="D5" s="31">
        <f>YEAR(IGA_BD[[#This Row],[Date]])</f>
        <v>2025</v>
      </c>
      <c r="E5" s="48">
        <f t="shared" si="0"/>
        <v>45748</v>
      </c>
      <c r="F5" s="32" t="s">
        <v>652</v>
      </c>
      <c r="G5" s="33" t="s">
        <v>658</v>
      </c>
      <c r="H5" s="43" t="str">
        <f>IFERROR(VLOOKUP(IGA_BD[[#This Row],[Affected Feeder ]],'Basic Data'!$A$42:$E$53,2,0),"")</f>
        <v>PWEGPL</v>
      </c>
      <c r="I5" s="43" t="str">
        <f>IFERROR(VLOOKUP(IGA_BD[[#This Row],[Affected Feeder ]],'Basic Data'!$A$42:$E$53,3,0),"")</f>
        <v>MSEDCL</v>
      </c>
      <c r="J5" s="43">
        <f>IFERROR(VLOOKUP(IGA_BD[[#This Row],[Affected Feeder ]],'Basic Data'!$A$42:$E$53,5,0),"")</f>
        <v>0.23076923076923078</v>
      </c>
      <c r="K5" s="141" t="s">
        <v>659</v>
      </c>
      <c r="L5" s="50">
        <v>0</v>
      </c>
      <c r="M5" s="116">
        <v>0</v>
      </c>
      <c r="N5" s="116">
        <v>5.6250000000000001E-2</v>
      </c>
      <c r="O5" s="57">
        <f>(IGA_BD[[#This Row],[Work Start TimeStamp]]-IGA_BD[[#This Row],[Fault Start TimeStamp]])*24</f>
        <v>0</v>
      </c>
      <c r="P5" s="44">
        <f>IF(IGA_BD[[#This Row],[Work Start TimeStamp]]="","",(IGA_BD[[#This Row],[Fault Clearance time]]-IGA_BD[[#This Row],[Work Start TimeStamp]])*24)</f>
        <v>1.35</v>
      </c>
      <c r="Q5" s="57">
        <f>(IGA_BD[[#This Row],[Fault Clearance time]]-IGA_BD[[#This Row],[Fault Start TimeStamp]])*24</f>
        <v>1.35</v>
      </c>
      <c r="R5" s="153" t="s">
        <v>662</v>
      </c>
      <c r="S5" s="44" t="s">
        <v>474</v>
      </c>
      <c r="T5" s="45">
        <f>IFERROR(IGA_BD[[#This Row],[Breakdown Time]]*IGA_BD[[#This Row],[Plant Equivalent Weightage]],"")</f>
        <v>0.3115384615384616</v>
      </c>
      <c r="U5" s="153" t="s">
        <v>662</v>
      </c>
      <c r="V5" t="s">
        <v>656</v>
      </c>
      <c r="W5" t="s">
        <v>657</v>
      </c>
      <c r="X5" s="3">
        <v>6986.25</v>
      </c>
    </row>
    <row r="6" spans="1:56">
      <c r="A6" s="28">
        <f t="shared" si="1"/>
        <v>5</v>
      </c>
      <c r="B6" s="154">
        <v>45750</v>
      </c>
      <c r="C6" s="30">
        <f>YEAR(WTG_BD[[#This Row],[Date]])+IF(MONTH(WTG_BD[[#This Row],[Date]])&gt;=4,1,0)</f>
        <v>2025</v>
      </c>
      <c r="D6" s="31">
        <f>YEAR(IGA_BD[[#This Row],[Date]])</f>
        <v>2025</v>
      </c>
      <c r="E6" s="48">
        <f t="shared" si="0"/>
        <v>45748</v>
      </c>
      <c r="F6" s="32" t="s">
        <v>652</v>
      </c>
      <c r="G6" s="33" t="s">
        <v>653</v>
      </c>
      <c r="H6" s="43" t="str">
        <f>IFERROR(VLOOKUP(IGA_BD[[#This Row],[Affected Feeder ]],'Basic Data'!$A$42:$E$53,2,0),"")</f>
        <v>PWEGPL</v>
      </c>
      <c r="I6" s="43" t="str">
        <f>IFERROR(VLOOKUP(IGA_BD[[#This Row],[Affected Feeder ]],'Basic Data'!$A$42:$E$53,3,0),"")</f>
        <v>MSEDCL</v>
      </c>
      <c r="J6" s="43">
        <f>IFERROR(VLOOKUP(IGA_BD[[#This Row],[Affected Feeder ]],'Basic Data'!$A$42:$E$53,5,0),"")</f>
        <v>0.25641025641025639</v>
      </c>
      <c r="K6" s="141" t="s">
        <v>654</v>
      </c>
      <c r="L6" s="50">
        <v>0.89166666666666672</v>
      </c>
      <c r="M6" s="116">
        <v>0.89166666666666672</v>
      </c>
      <c r="N6" s="116">
        <v>0.90625</v>
      </c>
      <c r="O6" s="57">
        <f>(IGA_BD[[#This Row],[Work Start TimeStamp]]-IGA_BD[[#This Row],[Fault Start TimeStamp]])*24</f>
        <v>0</v>
      </c>
      <c r="P6" s="44">
        <f>IF(IGA_BD[[#This Row],[Work Start TimeStamp]]="","",(IGA_BD[[#This Row],[Fault Clearance time]]-IGA_BD[[#This Row],[Work Start TimeStamp]])*24)</f>
        <v>0.34999999999999876</v>
      </c>
      <c r="Q6" s="57">
        <f>(IGA_BD[[#This Row],[Fault Clearance time]]-IGA_BD[[#This Row],[Fault Start TimeStamp]])*24</f>
        <v>0.34999999999999876</v>
      </c>
      <c r="R6" s="153" t="s">
        <v>655</v>
      </c>
      <c r="S6" s="44" t="s">
        <v>474</v>
      </c>
      <c r="T6" s="45">
        <f>IFERROR(IGA_BD[[#This Row],[Breakdown Time]]*IGA_BD[[#This Row],[Plant Equivalent Weightage]],"")</f>
        <v>8.9743589743589411E-2</v>
      </c>
      <c r="U6" s="153" t="s">
        <v>655</v>
      </c>
      <c r="V6" t="s">
        <v>656</v>
      </c>
      <c r="W6" t="s">
        <v>657</v>
      </c>
      <c r="X6" s="3">
        <v>857.49999999999704</v>
      </c>
    </row>
    <row r="7" spans="1:56">
      <c r="A7" s="28">
        <f t="shared" si="1"/>
        <v>6</v>
      </c>
      <c r="B7" s="154">
        <v>45754</v>
      </c>
      <c r="C7" s="30">
        <f>YEAR(WTG_BD[[#This Row],[Date]])+IF(MONTH(WTG_BD[[#This Row],[Date]])&gt;=4,1,0)</f>
        <v>2025</v>
      </c>
      <c r="D7" s="31">
        <f>YEAR(IGA_BD[[#This Row],[Date]])</f>
        <v>2025</v>
      </c>
      <c r="E7" s="48">
        <f t="shared" si="0"/>
        <v>45748</v>
      </c>
      <c r="F7" s="32" t="s">
        <v>652</v>
      </c>
      <c r="G7" s="33" t="s">
        <v>658</v>
      </c>
      <c r="H7" s="43" t="str">
        <f>IFERROR(VLOOKUP(IGA_BD[[#This Row],[Affected Feeder ]],'Basic Data'!$A$42:$E$53,2,0),"")</f>
        <v>PWEGPL</v>
      </c>
      <c r="I7" s="43" t="str">
        <f>IFERROR(VLOOKUP(IGA_BD[[#This Row],[Affected Feeder ]],'Basic Data'!$A$42:$E$53,3,0),"")</f>
        <v>MSEDCL</v>
      </c>
      <c r="J7" s="43">
        <f>IFERROR(VLOOKUP(IGA_BD[[#This Row],[Affected Feeder ]],'Basic Data'!$A$42:$E$53,5,0),"")</f>
        <v>0.23076923076923078</v>
      </c>
      <c r="K7" s="141" t="s">
        <v>663</v>
      </c>
      <c r="L7" s="50">
        <v>0.52569444444444446</v>
      </c>
      <c r="M7" s="116">
        <v>0.52569444444444446</v>
      </c>
      <c r="N7" s="116">
        <v>0.60972222222222228</v>
      </c>
      <c r="O7" s="57">
        <f>(IGA_BD[[#This Row],[Work Start TimeStamp]]-IGA_BD[[#This Row],[Fault Start TimeStamp]])*24</f>
        <v>0</v>
      </c>
      <c r="P7" s="44">
        <f>IF(IGA_BD[[#This Row],[Work Start TimeStamp]]="","",(IGA_BD[[#This Row],[Fault Clearance time]]-IGA_BD[[#This Row],[Work Start TimeStamp]])*24)</f>
        <v>2.0166666666666675</v>
      </c>
      <c r="Q7" s="57">
        <f>(IGA_BD[[#This Row],[Fault Clearance time]]-IGA_BD[[#This Row],[Fault Start TimeStamp]])*24</f>
        <v>2.0166666666666675</v>
      </c>
      <c r="R7" s="153" t="s">
        <v>664</v>
      </c>
      <c r="S7" s="44" t="s">
        <v>474</v>
      </c>
      <c r="T7" s="45">
        <f>IFERROR(IGA_BD[[#This Row],[Breakdown Time]]*IGA_BD[[#This Row],[Plant Equivalent Weightage]],"")</f>
        <v>0.46538461538461562</v>
      </c>
      <c r="U7" s="153" t="s">
        <v>664</v>
      </c>
      <c r="V7" t="s">
        <v>665</v>
      </c>
      <c r="W7" t="s">
        <v>657</v>
      </c>
      <c r="X7" s="3">
        <v>4083.7500000000014</v>
      </c>
    </row>
    <row r="8" spans="1:56">
      <c r="A8" s="28">
        <f t="shared" si="1"/>
        <v>7</v>
      </c>
      <c r="B8" s="154">
        <v>45754</v>
      </c>
      <c r="C8" s="30">
        <f>YEAR(WTG_BD[[#This Row],[Date]])+IF(MONTH(WTG_BD[[#This Row],[Date]])&gt;=4,1,0)</f>
        <v>2025</v>
      </c>
      <c r="D8" s="31">
        <f>YEAR(IGA_BD[[#This Row],[Date]])</f>
        <v>2025</v>
      </c>
      <c r="E8" s="48">
        <f t="shared" si="0"/>
        <v>45748</v>
      </c>
      <c r="F8" s="32" t="s">
        <v>652</v>
      </c>
      <c r="G8" s="33" t="s">
        <v>666</v>
      </c>
      <c r="H8" s="43" t="str">
        <f>IFERROR(VLOOKUP(IGA_BD[[#This Row],[Affected Feeder ]],'Basic Data'!$A$42:$E$53,2,0),"")</f>
        <v>PWEGPL</v>
      </c>
      <c r="I8" s="43" t="str">
        <f>IFERROR(VLOOKUP(IGA_BD[[#This Row],[Affected Feeder ]],'Basic Data'!$A$42:$E$53,3,0),"")</f>
        <v>MSEDCL</v>
      </c>
      <c r="J8" s="43">
        <f>IFERROR(VLOOKUP(IGA_BD[[#This Row],[Affected Feeder ]],'Basic Data'!$A$42:$E$53,5,0),"")</f>
        <v>0.25641025641025639</v>
      </c>
      <c r="K8" s="141" t="s">
        <v>667</v>
      </c>
      <c r="L8" s="50">
        <v>0.52569444444444446</v>
      </c>
      <c r="M8" s="116">
        <v>0.52569444444444446</v>
      </c>
      <c r="N8" s="116">
        <v>0.61041666666666672</v>
      </c>
      <c r="O8" s="57">
        <f>(IGA_BD[[#This Row],[Work Start TimeStamp]]-IGA_BD[[#This Row],[Fault Start TimeStamp]])*24</f>
        <v>0</v>
      </c>
      <c r="P8" s="44">
        <f>IF(IGA_BD[[#This Row],[Work Start TimeStamp]]="","",(IGA_BD[[#This Row],[Fault Clearance time]]-IGA_BD[[#This Row],[Work Start TimeStamp]])*24)</f>
        <v>2.0333333333333341</v>
      </c>
      <c r="Q8" s="57">
        <f>(IGA_BD[[#This Row],[Fault Clearance time]]-IGA_BD[[#This Row],[Fault Start TimeStamp]])*24</f>
        <v>2.0333333333333341</v>
      </c>
      <c r="R8" s="153" t="s">
        <v>664</v>
      </c>
      <c r="S8" s="44" t="s">
        <v>474</v>
      </c>
      <c r="T8" s="45">
        <f>IFERROR(IGA_BD[[#This Row],[Breakdown Time]]*IGA_BD[[#This Row],[Plant Equivalent Weightage]],"")</f>
        <v>0.52136752136752151</v>
      </c>
      <c r="U8" s="153" t="s">
        <v>664</v>
      </c>
      <c r="V8" t="s">
        <v>665</v>
      </c>
      <c r="W8" t="s">
        <v>657</v>
      </c>
      <c r="X8" s="3">
        <v>4631.4814814814836</v>
      </c>
    </row>
    <row r="9" spans="1:56">
      <c r="A9" s="28">
        <f t="shared" si="1"/>
        <v>8</v>
      </c>
      <c r="B9" s="154">
        <v>45778</v>
      </c>
      <c r="C9" s="30">
        <f>YEAR(WTG_BD[[#This Row],[Date]])+IF(MONTH(WTG_BD[[#This Row],[Date]])&gt;=4,1,0)</f>
        <v>2025</v>
      </c>
      <c r="D9" s="31">
        <f>YEAR(IGA_BD[[#This Row],[Date]])</f>
        <v>2025</v>
      </c>
      <c r="E9" s="48">
        <f t="shared" si="0"/>
        <v>45778</v>
      </c>
      <c r="F9" s="32" t="s">
        <v>652</v>
      </c>
      <c r="G9" s="33" t="s">
        <v>658</v>
      </c>
      <c r="H9" s="43" t="str">
        <f>IFERROR(VLOOKUP(IGA_BD[[#This Row],[Affected Feeder ]],'Basic Data'!$A$42:$E$53,2,0),"")</f>
        <v>PWEGPL</v>
      </c>
      <c r="I9" s="43" t="str">
        <f>IFERROR(VLOOKUP(IGA_BD[[#This Row],[Affected Feeder ]],'Basic Data'!$A$42:$E$53,3,0),"")</f>
        <v>MSEDCL</v>
      </c>
      <c r="J9" s="43">
        <f>IFERROR(VLOOKUP(IGA_BD[[#This Row],[Affected Feeder ]],'Basic Data'!$A$42:$E$53,5,0),"")</f>
        <v>0.23076923076923078</v>
      </c>
      <c r="K9" s="141" t="s">
        <v>668</v>
      </c>
      <c r="L9" s="50">
        <v>0.71180555555555558</v>
      </c>
      <c r="M9" s="116">
        <v>0.71180555555555558</v>
      </c>
      <c r="N9" s="116">
        <v>0.75</v>
      </c>
      <c r="O9" s="57">
        <f>(IGA_BD[[#This Row],[Work Start TimeStamp]]-IGA_BD[[#This Row],[Fault Start TimeStamp]])*24</f>
        <v>0</v>
      </c>
      <c r="P9" s="44">
        <f>IF(IGA_BD[[#This Row],[Work Start TimeStamp]]="","",(IGA_BD[[#This Row],[Fault Clearance time]]-IGA_BD[[#This Row],[Work Start TimeStamp]])*24)</f>
        <v>0.91666666666666607</v>
      </c>
      <c r="Q9" s="57">
        <f>(IGA_BD[[#This Row],[Fault Clearance time]]-IGA_BD[[#This Row],[Fault Start TimeStamp]])*24</f>
        <v>0.91666666666666607</v>
      </c>
      <c r="R9" s="153" t="s">
        <v>669</v>
      </c>
      <c r="S9" s="44" t="s">
        <v>474</v>
      </c>
      <c r="T9" s="45">
        <f>IFERROR(IGA_BD[[#This Row],[Breakdown Time]]*IGA_BD[[#This Row],[Plant Equivalent Weightage]],"")</f>
        <v>0.21153846153846143</v>
      </c>
      <c r="U9" s="153" t="s">
        <v>669</v>
      </c>
      <c r="V9" t="s">
        <v>665</v>
      </c>
      <c r="W9" t="s">
        <v>657</v>
      </c>
      <c r="X9" s="3">
        <v>5651.2499999999964</v>
      </c>
    </row>
    <row r="10" spans="1:56">
      <c r="A10" s="28">
        <f t="shared" si="1"/>
        <v>9</v>
      </c>
      <c r="B10" s="154">
        <v>45778</v>
      </c>
      <c r="C10" s="30">
        <f>YEAR(WTG_BD[[#This Row],[Date]])+IF(MONTH(WTG_BD[[#This Row],[Date]])&gt;=4,1,0)</f>
        <v>2025</v>
      </c>
      <c r="D10" s="31">
        <f>YEAR(IGA_BD[[#This Row],[Date]])</f>
        <v>2025</v>
      </c>
      <c r="E10" s="48">
        <f t="shared" si="0"/>
        <v>45778</v>
      </c>
      <c r="F10" s="32" t="s">
        <v>652</v>
      </c>
      <c r="G10" s="33" t="s">
        <v>666</v>
      </c>
      <c r="H10" s="43" t="str">
        <f>IFERROR(VLOOKUP(IGA_BD[[#This Row],[Affected Feeder ]],'Basic Data'!$A$42:$E$53,2,0),"")</f>
        <v>PWEGPL</v>
      </c>
      <c r="I10" s="43" t="str">
        <f>IFERROR(VLOOKUP(IGA_BD[[#This Row],[Affected Feeder ]],'Basic Data'!$A$42:$E$53,3,0),"")</f>
        <v>MSEDCL</v>
      </c>
      <c r="J10" s="43">
        <f>IFERROR(VLOOKUP(IGA_BD[[#This Row],[Affected Feeder ]],'Basic Data'!$A$42:$E$53,5,0),"")</f>
        <v>0.25641025641025639</v>
      </c>
      <c r="K10" s="141" t="s">
        <v>670</v>
      </c>
      <c r="L10" s="50">
        <v>0.71180555555555558</v>
      </c>
      <c r="M10" s="116">
        <v>0.71180555555555558</v>
      </c>
      <c r="N10" s="116">
        <v>0.75</v>
      </c>
      <c r="O10" s="57">
        <f>(IGA_BD[[#This Row],[Work Start TimeStamp]]-IGA_BD[[#This Row],[Fault Start TimeStamp]])*24</f>
        <v>0</v>
      </c>
      <c r="P10" s="44">
        <f>IF(IGA_BD[[#This Row],[Work Start TimeStamp]]="","",(IGA_BD[[#This Row],[Fault Clearance time]]-IGA_BD[[#This Row],[Work Start TimeStamp]])*24)</f>
        <v>0.91666666666666607</v>
      </c>
      <c r="Q10" s="57">
        <f>(IGA_BD[[#This Row],[Fault Clearance time]]-IGA_BD[[#This Row],[Fault Start TimeStamp]])*24</f>
        <v>0.91666666666666607</v>
      </c>
      <c r="R10" s="153" t="s">
        <v>669</v>
      </c>
      <c r="S10" s="44" t="s">
        <v>474</v>
      </c>
      <c r="T10" s="45">
        <f>IFERROR(IGA_BD[[#This Row],[Breakdown Time]]*IGA_BD[[#This Row],[Plant Equivalent Weightage]],"")</f>
        <v>0.23504273504273487</v>
      </c>
      <c r="U10" s="153" t="s">
        <v>669</v>
      </c>
      <c r="V10" t="s">
        <v>665</v>
      </c>
      <c r="W10" t="s">
        <v>657</v>
      </c>
      <c r="X10" s="3">
        <v>6416.6666666666624</v>
      </c>
    </row>
    <row r="11" spans="1:56">
      <c r="A11" s="28">
        <f t="shared" si="1"/>
        <v>10</v>
      </c>
      <c r="B11" s="154">
        <v>45783</v>
      </c>
      <c r="C11" s="30">
        <f>YEAR(WTG_BD[[#This Row],[Date]])+IF(MONTH(WTG_BD[[#This Row],[Date]])&gt;=4,1,0)</f>
        <v>2025</v>
      </c>
      <c r="D11" s="31">
        <f>YEAR(IGA_BD[[#This Row],[Date]])</f>
        <v>2025</v>
      </c>
      <c r="E11" s="48">
        <f t="shared" si="0"/>
        <v>45778</v>
      </c>
      <c r="F11" s="32" t="s">
        <v>652</v>
      </c>
      <c r="G11" s="33" t="s">
        <v>653</v>
      </c>
      <c r="H11" s="43" t="str">
        <f>IFERROR(VLOOKUP(IGA_BD[[#This Row],[Affected Feeder ]],'Basic Data'!$A$42:$E$53,2,0),"")</f>
        <v>PWEGPL</v>
      </c>
      <c r="I11" s="43" t="str">
        <f>IFERROR(VLOOKUP(IGA_BD[[#This Row],[Affected Feeder ]],'Basic Data'!$A$42:$E$53,3,0),"")</f>
        <v>MSEDCL</v>
      </c>
      <c r="J11" s="43">
        <f>IFERROR(VLOOKUP(IGA_BD[[#This Row],[Affected Feeder ]],'Basic Data'!$A$42:$E$53,5,0),"")</f>
        <v>0.25641025641025639</v>
      </c>
      <c r="K11" s="141" t="s">
        <v>654</v>
      </c>
      <c r="L11" s="50">
        <v>0.68472222222222223</v>
      </c>
      <c r="M11" s="116">
        <v>0.68472222222222223</v>
      </c>
      <c r="N11" s="116">
        <v>0.68888888888888888</v>
      </c>
      <c r="O11" s="57">
        <f>(IGA_BD[[#This Row],[Work Start TimeStamp]]-IGA_BD[[#This Row],[Fault Start TimeStamp]])*24</f>
        <v>0</v>
      </c>
      <c r="P11" s="44">
        <f>IF(IGA_BD[[#This Row],[Work Start TimeStamp]]="","",(IGA_BD[[#This Row],[Fault Clearance time]]-IGA_BD[[#This Row],[Work Start TimeStamp]])*24)</f>
        <v>9.9999999999999645E-2</v>
      </c>
      <c r="Q11" s="57">
        <f>(IGA_BD[[#This Row],[Fault Clearance time]]-IGA_BD[[#This Row],[Fault Start TimeStamp]])*24</f>
        <v>9.9999999999999645E-2</v>
      </c>
      <c r="R11" s="153" t="s">
        <v>655</v>
      </c>
      <c r="S11" s="44" t="s">
        <v>474</v>
      </c>
      <c r="T11" s="45">
        <f>IFERROR(IGA_BD[[#This Row],[Breakdown Time]]*IGA_BD[[#This Row],[Plant Equivalent Weightage]],"")</f>
        <v>2.5641025641025546E-2</v>
      </c>
      <c r="U11" s="153" t="s">
        <v>655</v>
      </c>
      <c r="V11" t="s">
        <v>656</v>
      </c>
      <c r="W11" t="s">
        <v>657</v>
      </c>
      <c r="X11">
        <v>265</v>
      </c>
    </row>
    <row r="12" spans="1:56">
      <c r="A12" s="28">
        <f t="shared" si="1"/>
        <v>11</v>
      </c>
      <c r="B12" s="154">
        <v>45789</v>
      </c>
      <c r="C12" s="30">
        <f>YEAR(WTG_BD[[#This Row],[Date]])+IF(MONTH(WTG_BD[[#This Row],[Date]])&gt;=4,1,0)</f>
        <v>2025</v>
      </c>
      <c r="D12" s="31">
        <f>YEAR(IGA_BD[[#This Row],[Date]])</f>
        <v>2025</v>
      </c>
      <c r="E12" s="48">
        <f t="shared" si="0"/>
        <v>45778</v>
      </c>
      <c r="F12" s="32" t="s">
        <v>652</v>
      </c>
      <c r="G12" s="33" t="s">
        <v>658</v>
      </c>
      <c r="H12" s="43" t="str">
        <f>IFERROR(VLOOKUP(IGA_BD[[#This Row],[Affected Feeder ]],'Basic Data'!$A$42:$E$53,2,0),"")</f>
        <v>PWEGPL</v>
      </c>
      <c r="I12" s="43" t="str">
        <f>IFERROR(VLOOKUP(IGA_BD[[#This Row],[Affected Feeder ]],'Basic Data'!$A$42:$E$53,3,0),"")</f>
        <v>MSEDCL</v>
      </c>
      <c r="J12" s="43">
        <f>IFERROR(VLOOKUP(IGA_BD[[#This Row],[Affected Feeder ]],'Basic Data'!$A$42:$E$53,5,0),"")</f>
        <v>0.23076923076923078</v>
      </c>
      <c r="K12" s="141" t="s">
        <v>671</v>
      </c>
      <c r="L12" s="50">
        <v>0.62638888888888888</v>
      </c>
      <c r="M12" s="116">
        <v>0.62638888888888888</v>
      </c>
      <c r="N12" s="116">
        <v>0.6333333333333333</v>
      </c>
      <c r="O12" s="57">
        <f>(IGA_BD[[#This Row],[Work Start TimeStamp]]-IGA_BD[[#This Row],[Fault Start TimeStamp]])*24</f>
        <v>0</v>
      </c>
      <c r="P12" s="44">
        <f>IF(IGA_BD[[#This Row],[Work Start TimeStamp]]="","",(IGA_BD[[#This Row],[Fault Clearance time]]-IGA_BD[[#This Row],[Work Start TimeStamp]])*24)</f>
        <v>0.16666666666666607</v>
      </c>
      <c r="Q12" s="57">
        <f>(IGA_BD[[#This Row],[Fault Clearance time]]-IGA_BD[[#This Row],[Fault Start TimeStamp]])*24</f>
        <v>0.16666666666666607</v>
      </c>
      <c r="R12" s="153" t="s">
        <v>655</v>
      </c>
      <c r="S12" s="44" t="s">
        <v>474</v>
      </c>
      <c r="T12" s="45">
        <f>IFERROR(IGA_BD[[#This Row],[Breakdown Time]]*IGA_BD[[#This Row],[Plant Equivalent Weightage]],"")</f>
        <v>3.8461538461538325E-2</v>
      </c>
      <c r="U12" s="153" t="s">
        <v>655</v>
      </c>
      <c r="V12" t="s">
        <v>656</v>
      </c>
      <c r="W12" t="s">
        <v>657</v>
      </c>
      <c r="X12">
        <v>214</v>
      </c>
    </row>
    <row r="13" spans="1:56">
      <c r="A13" s="28">
        <f t="shared" si="1"/>
        <v>12</v>
      </c>
      <c r="B13" s="154">
        <v>45789</v>
      </c>
      <c r="C13" s="30">
        <f>YEAR(WTG_BD[[#This Row],[Date]])+IF(MONTH(WTG_BD[[#This Row],[Date]])&gt;=4,1,0)</f>
        <v>2025</v>
      </c>
      <c r="D13" s="31">
        <f>YEAR(IGA_BD[[#This Row],[Date]])</f>
        <v>2025</v>
      </c>
      <c r="E13" s="48">
        <f t="shared" si="0"/>
        <v>45778</v>
      </c>
      <c r="F13" s="32" t="s">
        <v>652</v>
      </c>
      <c r="G13" s="33" t="s">
        <v>660</v>
      </c>
      <c r="H13" s="43" t="str">
        <f>IFERROR(VLOOKUP(IGA_BD[[#This Row],[Affected Feeder ]],'Basic Data'!$A$42:$E$53,2,0),"")</f>
        <v>PWEGPL</v>
      </c>
      <c r="I13" s="43" t="str">
        <f>IFERROR(VLOOKUP(IGA_BD[[#This Row],[Affected Feeder ]],'Basic Data'!$A$42:$E$53,3,0),"")</f>
        <v>MSEDCL</v>
      </c>
      <c r="J13" s="43">
        <f>IFERROR(VLOOKUP(IGA_BD[[#This Row],[Affected Feeder ]],'Basic Data'!$A$42:$E$53,5,0),"")</f>
        <v>0.25641025641025639</v>
      </c>
      <c r="K13" s="141" t="s">
        <v>672</v>
      </c>
      <c r="L13" s="50">
        <v>0.63958333333333328</v>
      </c>
      <c r="M13" s="116">
        <v>0.63958333333333328</v>
      </c>
      <c r="N13" s="116">
        <v>0.64444444444444449</v>
      </c>
      <c r="O13" s="57">
        <f>(IGA_BD[[#This Row],[Work Start TimeStamp]]-IGA_BD[[#This Row],[Fault Start TimeStamp]])*24</f>
        <v>0</v>
      </c>
      <c r="P13" s="44">
        <f>IF(IGA_BD[[#This Row],[Work Start TimeStamp]]="","",(IGA_BD[[#This Row],[Fault Clearance time]]-IGA_BD[[#This Row],[Work Start TimeStamp]])*24)</f>
        <v>0.11666666666666892</v>
      </c>
      <c r="Q13" s="57">
        <f>(IGA_BD[[#This Row],[Fault Clearance time]]-IGA_BD[[#This Row],[Fault Start TimeStamp]])*24</f>
        <v>0.11666666666666892</v>
      </c>
      <c r="R13" s="153" t="s">
        <v>655</v>
      </c>
      <c r="S13" s="44" t="s">
        <v>474</v>
      </c>
      <c r="T13" s="45">
        <f>IFERROR(IGA_BD[[#This Row],[Breakdown Time]]*IGA_BD[[#This Row],[Plant Equivalent Weightage]],"")</f>
        <v>2.9914529914530488E-2</v>
      </c>
      <c r="U13" s="153" t="s">
        <v>655</v>
      </c>
      <c r="V13" t="s">
        <v>656</v>
      </c>
      <c r="W13" t="s">
        <v>657</v>
      </c>
      <c r="X13">
        <v>126</v>
      </c>
    </row>
    <row r="14" spans="1:56">
      <c r="A14" s="28">
        <f t="shared" si="1"/>
        <v>13</v>
      </c>
      <c r="B14" s="154">
        <v>45793</v>
      </c>
      <c r="C14" s="30">
        <f>YEAR(WTG_BD[[#This Row],[Date]])+IF(MONTH(WTG_BD[[#This Row],[Date]])&gt;=4,1,0)</f>
        <v>2025</v>
      </c>
      <c r="D14" s="31">
        <f>YEAR(IGA_BD[[#This Row],[Date]])</f>
        <v>2025</v>
      </c>
      <c r="E14" s="48">
        <f t="shared" si="0"/>
        <v>45778</v>
      </c>
      <c r="F14" s="32" t="s">
        <v>652</v>
      </c>
      <c r="G14" s="33" t="s">
        <v>673</v>
      </c>
      <c r="H14" s="43" t="str">
        <f>IFERROR(VLOOKUP(IGA_BD[[#This Row],[Affected Feeder ]],'Basic Data'!$A$42:$E$53,2,0),"")</f>
        <v>PWEGPL</v>
      </c>
      <c r="I14" s="43" t="str">
        <f>IFERROR(VLOOKUP(IGA_BD[[#This Row],[Affected Feeder ]],'Basic Data'!$A$42:$E$53,3,0),"")</f>
        <v>MSEDCL</v>
      </c>
      <c r="J14" s="43">
        <f>IFERROR(VLOOKUP(IGA_BD[[#This Row],[Affected Feeder ]],'Basic Data'!$A$42:$E$53,5,0),"")</f>
        <v>0.12820512820512819</v>
      </c>
      <c r="K14" s="164" t="s">
        <v>674</v>
      </c>
      <c r="L14" s="50">
        <v>0.58333333333333337</v>
      </c>
      <c r="M14" s="116">
        <v>0.58333333333333337</v>
      </c>
      <c r="N14" s="116">
        <v>0.63888888888888884</v>
      </c>
      <c r="O14" s="57">
        <f>(IGA_BD[[#This Row],[Work Start TimeStamp]]-IGA_BD[[#This Row],[Fault Start TimeStamp]])*24</f>
        <v>0</v>
      </c>
      <c r="P14" s="44">
        <f>IF(IGA_BD[[#This Row],[Work Start TimeStamp]]="","",(IGA_BD[[#This Row],[Fault Clearance time]]-IGA_BD[[#This Row],[Work Start TimeStamp]])*24)</f>
        <v>1.3333333333333313</v>
      </c>
      <c r="Q14" s="57">
        <f>(IGA_BD[[#This Row],[Fault Clearance time]]-IGA_BD[[#This Row],[Fault Start TimeStamp]])*24</f>
        <v>1.3333333333333313</v>
      </c>
      <c r="R14" s="153" t="s">
        <v>675</v>
      </c>
      <c r="S14" s="44" t="s">
        <v>474</v>
      </c>
      <c r="T14" s="45">
        <f>IFERROR(IGA_BD[[#This Row],[Breakdown Time]]*IGA_BD[[#This Row],[Plant Equivalent Weightage]],"")</f>
        <v>0.17094017094017067</v>
      </c>
      <c r="U14" s="153" t="s">
        <v>675</v>
      </c>
      <c r="V14" t="s">
        <v>676</v>
      </c>
      <c r="W14" t="s">
        <v>657</v>
      </c>
      <c r="X14" s="3">
        <v>2777.7777777777737</v>
      </c>
    </row>
    <row r="15" spans="1:56">
      <c r="A15" s="28">
        <f t="shared" si="1"/>
        <v>14</v>
      </c>
      <c r="B15" s="154">
        <v>45794</v>
      </c>
      <c r="C15" s="30">
        <f>YEAR(WTG_BD[[#This Row],[Date]])+IF(MONTH(WTG_BD[[#This Row],[Date]])&gt;=4,1,0)</f>
        <v>2025</v>
      </c>
      <c r="D15" s="31">
        <f>YEAR(IGA_BD[[#This Row],[Date]])</f>
        <v>2025</v>
      </c>
      <c r="E15" s="48">
        <f t="shared" si="0"/>
        <v>45778</v>
      </c>
      <c r="F15" s="32" t="s">
        <v>652</v>
      </c>
      <c r="G15" s="33" t="s">
        <v>658</v>
      </c>
      <c r="H15" s="43" t="str">
        <f>IFERROR(VLOOKUP(IGA_BD[[#This Row],[Affected Feeder ]],'Basic Data'!$A$42:$E$53,2,0),"")</f>
        <v>PWEGPL</v>
      </c>
      <c r="I15" s="43" t="str">
        <f>IFERROR(VLOOKUP(IGA_BD[[#This Row],[Affected Feeder ]],'Basic Data'!$A$42:$E$53,3,0),"")</f>
        <v>MSEDCL</v>
      </c>
      <c r="J15" s="43">
        <f>IFERROR(VLOOKUP(IGA_BD[[#This Row],[Affected Feeder ]],'Basic Data'!$A$42:$E$53,5,0),"")</f>
        <v>0.23076923076923078</v>
      </c>
      <c r="K15" s="164" t="s">
        <v>677</v>
      </c>
      <c r="L15" s="50">
        <v>0.54166666666666663</v>
      </c>
      <c r="M15" s="116">
        <v>0.54166666666666663</v>
      </c>
      <c r="N15" s="116">
        <v>0.6166666666666667</v>
      </c>
      <c r="O15" s="57">
        <f>(IGA_BD[[#This Row],[Work Start TimeStamp]]-IGA_BD[[#This Row],[Fault Start TimeStamp]])*24</f>
        <v>0</v>
      </c>
      <c r="P15" s="44">
        <f>IF(IGA_BD[[#This Row],[Work Start TimeStamp]]="","",(IGA_BD[[#This Row],[Fault Clearance time]]-IGA_BD[[#This Row],[Work Start TimeStamp]])*24)</f>
        <v>1.8000000000000016</v>
      </c>
      <c r="Q15" s="57">
        <f>(IGA_BD[[#This Row],[Fault Clearance time]]-IGA_BD[[#This Row],[Fault Start TimeStamp]])*24</f>
        <v>1.8000000000000016</v>
      </c>
      <c r="R15" s="153" t="s">
        <v>678</v>
      </c>
      <c r="S15" s="44" t="s">
        <v>474</v>
      </c>
      <c r="T15" s="45">
        <f>IFERROR(IGA_BD[[#This Row],[Breakdown Time]]*IGA_BD[[#This Row],[Plant Equivalent Weightage]],"")</f>
        <v>0.4153846153846158</v>
      </c>
      <c r="U15" s="153" t="s">
        <v>678</v>
      </c>
      <c r="V15" t="s">
        <v>676</v>
      </c>
      <c r="W15" t="s">
        <v>657</v>
      </c>
      <c r="X15">
        <v>3969</v>
      </c>
    </row>
    <row r="16" spans="1:56">
      <c r="A16" s="28">
        <f t="shared" si="1"/>
        <v>15</v>
      </c>
      <c r="B16" s="154">
        <v>45796</v>
      </c>
      <c r="C16" s="30">
        <f>YEAR(WTG_BD[[#This Row],[Date]])+IF(MONTH(WTG_BD[[#This Row],[Date]])&gt;=4,1,0)</f>
        <v>2025</v>
      </c>
      <c r="D16" s="31">
        <f>YEAR(IGA_BD[[#This Row],[Date]])</f>
        <v>2025</v>
      </c>
      <c r="E16" s="48">
        <f t="shared" si="0"/>
        <v>45778</v>
      </c>
      <c r="F16" s="32" t="s">
        <v>652</v>
      </c>
      <c r="G16" s="33" t="s">
        <v>660</v>
      </c>
      <c r="H16" s="43" t="str">
        <f>IFERROR(VLOOKUP(IGA_BD[[#This Row],[Affected Feeder ]],'Basic Data'!$A$42:$E$53,2,0),"")</f>
        <v>PWEGPL</v>
      </c>
      <c r="I16" s="43" t="str">
        <f>IFERROR(VLOOKUP(IGA_BD[[#This Row],[Affected Feeder ]],'Basic Data'!$A$42:$E$53,3,0),"")</f>
        <v>MSEDCL</v>
      </c>
      <c r="J16" s="43">
        <f>IFERROR(VLOOKUP(IGA_BD[[#This Row],[Affected Feeder ]],'Basic Data'!$A$42:$E$53,5,0),"")</f>
        <v>0.25641025641025639</v>
      </c>
      <c r="K16" s="141" t="s">
        <v>672</v>
      </c>
      <c r="L16" s="50">
        <v>0.86388888888888893</v>
      </c>
      <c r="M16" s="116">
        <v>0.86388888888888893</v>
      </c>
      <c r="N16" s="116">
        <v>0.875</v>
      </c>
      <c r="O16" s="57">
        <f>(IGA_BD[[#This Row],[Work Start TimeStamp]]-IGA_BD[[#This Row],[Fault Start TimeStamp]])*24</f>
        <v>0</v>
      </c>
      <c r="P16" s="44">
        <f>IF(IGA_BD[[#This Row],[Work Start TimeStamp]]="","",(IGA_BD[[#This Row],[Fault Clearance time]]-IGA_BD[[#This Row],[Work Start TimeStamp]])*24)</f>
        <v>0.26666666666666572</v>
      </c>
      <c r="Q16" s="57">
        <f>(IGA_BD[[#This Row],[Fault Clearance time]]-IGA_BD[[#This Row],[Fault Start TimeStamp]])*24</f>
        <v>0.26666666666666572</v>
      </c>
      <c r="R16" s="153" t="s">
        <v>655</v>
      </c>
      <c r="S16" s="44" t="s">
        <v>474</v>
      </c>
      <c r="T16" s="45">
        <f>IFERROR(IGA_BD[[#This Row],[Breakdown Time]]*IGA_BD[[#This Row],[Plant Equivalent Weightage]],"")</f>
        <v>6.8376068376068133E-2</v>
      </c>
      <c r="U16" s="153" t="s">
        <v>655</v>
      </c>
      <c r="V16" t="s">
        <v>656</v>
      </c>
      <c r="W16" t="s">
        <v>657</v>
      </c>
      <c r="X16" s="3">
        <v>333.33333333333212</v>
      </c>
    </row>
    <row r="17" spans="1:24">
      <c r="A17" s="28">
        <f t="shared" si="1"/>
        <v>16</v>
      </c>
      <c r="B17" s="154">
        <v>45796</v>
      </c>
      <c r="C17" s="30">
        <f>YEAR(WTG_BD[[#This Row],[Date]])+IF(MONTH(WTG_BD[[#This Row],[Date]])&gt;=4,1,0)</f>
        <v>2025</v>
      </c>
      <c r="D17" s="31">
        <f>YEAR(IGA_BD[[#This Row],[Date]])</f>
        <v>2025</v>
      </c>
      <c r="E17" s="48">
        <f t="shared" si="0"/>
        <v>45778</v>
      </c>
      <c r="F17" s="32" t="s">
        <v>652</v>
      </c>
      <c r="G17" s="33" t="s">
        <v>679</v>
      </c>
      <c r="H17" s="43" t="str">
        <f>IFERROR(VLOOKUP(IGA_BD[[#This Row],[Affected Feeder ]],'Basic Data'!$A$42:$E$53,2,0),"")</f>
        <v>PWEGPL</v>
      </c>
      <c r="I17" s="43" t="str">
        <f>IFERROR(VLOOKUP(IGA_BD[[#This Row],[Affected Feeder ]],'Basic Data'!$A$42:$E$53,3,0),"")</f>
        <v>MSEDCL</v>
      </c>
      <c r="J17" s="43">
        <f>IFERROR(VLOOKUP(IGA_BD[[#This Row],[Affected Feeder ]],'Basic Data'!$A$42:$E$53,5,0),"")</f>
        <v>0.12820512820512819</v>
      </c>
      <c r="K17" s="141" t="s">
        <v>680</v>
      </c>
      <c r="L17" s="50">
        <v>0.8833333333333333</v>
      </c>
      <c r="M17" s="116">
        <v>0.8833333333333333</v>
      </c>
      <c r="N17" s="116">
        <v>0.92152777777777772</v>
      </c>
      <c r="O17" s="57">
        <f>(IGA_BD[[#This Row],[Work Start TimeStamp]]-IGA_BD[[#This Row],[Fault Start TimeStamp]])*24</f>
        <v>0</v>
      </c>
      <c r="P17" s="44">
        <f>IF(IGA_BD[[#This Row],[Work Start TimeStamp]]="","",(IGA_BD[[#This Row],[Fault Clearance time]]-IGA_BD[[#This Row],[Work Start TimeStamp]])*24)</f>
        <v>0.91666666666666607</v>
      </c>
      <c r="Q17" s="57">
        <f>(IGA_BD[[#This Row],[Fault Clearance time]]-IGA_BD[[#This Row],[Fault Start TimeStamp]])*24</f>
        <v>0.91666666666666607</v>
      </c>
      <c r="R17" s="153" t="s">
        <v>681</v>
      </c>
      <c r="S17" s="44" t="s">
        <v>474</v>
      </c>
      <c r="T17" s="45">
        <f>IFERROR(IGA_BD[[#This Row],[Breakdown Time]]*IGA_BD[[#This Row],[Plant Equivalent Weightage]],"")</f>
        <v>0.11752136752136744</v>
      </c>
      <c r="U17" s="153" t="s">
        <v>681</v>
      </c>
      <c r="V17" t="s">
        <v>656</v>
      </c>
      <c r="W17" t="s">
        <v>657</v>
      </c>
      <c r="X17" s="3">
        <v>1283.3333333333326</v>
      </c>
    </row>
    <row r="18" spans="1:24">
      <c r="A18" s="28">
        <f t="shared" si="1"/>
        <v>17</v>
      </c>
      <c r="B18" s="154">
        <v>45796</v>
      </c>
      <c r="C18" s="30">
        <f>YEAR(WTG_BD[[#This Row],[Date]])+IF(MONTH(WTG_BD[[#This Row],[Date]])&gt;=4,1,0)</f>
        <v>2025</v>
      </c>
      <c r="D18" s="31">
        <f>YEAR(IGA_BD[[#This Row],[Date]])</f>
        <v>2025</v>
      </c>
      <c r="E18" s="48">
        <f t="shared" si="0"/>
        <v>45778</v>
      </c>
      <c r="F18" s="32" t="s">
        <v>652</v>
      </c>
      <c r="G18" s="33" t="s">
        <v>673</v>
      </c>
      <c r="H18" s="43" t="str">
        <f>IFERROR(VLOOKUP(IGA_BD[[#This Row],[Affected Feeder ]],'Basic Data'!$A$42:$E$53,2,0),"")</f>
        <v>PWEGPL</v>
      </c>
      <c r="I18" s="43" t="str">
        <f>IFERROR(VLOOKUP(IGA_BD[[#This Row],[Affected Feeder ]],'Basic Data'!$A$42:$E$53,3,0),"")</f>
        <v>MSEDCL</v>
      </c>
      <c r="J18" s="43">
        <f>IFERROR(VLOOKUP(IGA_BD[[#This Row],[Affected Feeder ]],'Basic Data'!$A$42:$E$53,5,0),"")</f>
        <v>0.12820512820512819</v>
      </c>
      <c r="K18" s="141" t="s">
        <v>680</v>
      </c>
      <c r="L18" s="50">
        <v>0.8833333333333333</v>
      </c>
      <c r="M18" s="116">
        <v>0.8833333333333333</v>
      </c>
      <c r="N18" s="116">
        <v>0.99930555555555556</v>
      </c>
      <c r="O18" s="57">
        <f>(IGA_BD[[#This Row],[Work Start TimeStamp]]-IGA_BD[[#This Row],[Fault Start TimeStamp]])*24</f>
        <v>0</v>
      </c>
      <c r="P18" s="44">
        <f>IF(IGA_BD[[#This Row],[Work Start TimeStamp]]="","",(IGA_BD[[#This Row],[Fault Clearance time]]-IGA_BD[[#This Row],[Work Start TimeStamp]])*24)</f>
        <v>2.7833333333333341</v>
      </c>
      <c r="Q18" s="57">
        <f>(IGA_BD[[#This Row],[Fault Clearance time]]-IGA_BD[[#This Row],[Fault Start TimeStamp]])*24</f>
        <v>2.7833333333333341</v>
      </c>
      <c r="R18" s="153" t="s">
        <v>486</v>
      </c>
      <c r="S18" s="44" t="s">
        <v>469</v>
      </c>
      <c r="T18" s="45">
        <f>IFERROR(IGA_BD[[#This Row],[Breakdown Time]]*IGA_BD[[#This Row],[Plant Equivalent Weightage]],"")</f>
        <v>0.3568376068376069</v>
      </c>
      <c r="U18" s="153" t="s">
        <v>486</v>
      </c>
      <c r="V18" t="s">
        <v>656</v>
      </c>
      <c r="W18" t="s">
        <v>657</v>
      </c>
      <c r="X18" s="3">
        <v>4035.8333333333344</v>
      </c>
    </row>
    <row r="19" spans="1:24">
      <c r="A19" s="28">
        <f t="shared" si="1"/>
        <v>18</v>
      </c>
      <c r="B19" s="154">
        <v>45796</v>
      </c>
      <c r="C19" s="30">
        <f>YEAR(WTG_BD[[#This Row],[Date]])+IF(MONTH(WTG_BD[[#This Row],[Date]])&gt;=4,1,0)</f>
        <v>2025</v>
      </c>
      <c r="D19" s="31">
        <f>YEAR(IGA_BD[[#This Row],[Date]])</f>
        <v>2025</v>
      </c>
      <c r="E19" s="48">
        <f t="shared" si="0"/>
        <v>45778</v>
      </c>
      <c r="F19" s="32" t="s">
        <v>652</v>
      </c>
      <c r="G19" s="33" t="s">
        <v>673</v>
      </c>
      <c r="H19" s="43" t="str">
        <f>IFERROR(VLOOKUP(IGA_BD[[#This Row],[Affected Feeder ]],'Basic Data'!$A$42:$E$53,2,0),"")</f>
        <v>PWEGPL</v>
      </c>
      <c r="I19" s="43" t="str">
        <f>IFERROR(VLOOKUP(IGA_BD[[#This Row],[Affected Feeder ]],'Basic Data'!$A$42:$E$53,3,0),"")</f>
        <v>MSEDCL</v>
      </c>
      <c r="J19" s="43">
        <f>IFERROR(VLOOKUP(IGA_BD[[#This Row],[Affected Feeder ]],'Basic Data'!$A$42:$E$53,5,0),"")</f>
        <v>0.12820512820512819</v>
      </c>
      <c r="K19" s="141" t="s">
        <v>680</v>
      </c>
      <c r="L19" s="50">
        <v>0</v>
      </c>
      <c r="M19" s="116">
        <v>0</v>
      </c>
      <c r="N19" s="116">
        <v>3.0555555555555555E-2</v>
      </c>
      <c r="O19" s="57">
        <f>(IGA_BD[[#This Row],[Work Start TimeStamp]]-IGA_BD[[#This Row],[Fault Start TimeStamp]])*24</f>
        <v>0</v>
      </c>
      <c r="P19" s="44">
        <f>IF(IGA_BD[[#This Row],[Work Start TimeStamp]]="","",(IGA_BD[[#This Row],[Fault Clearance time]]-IGA_BD[[#This Row],[Work Start TimeStamp]])*24)</f>
        <v>0.73333333333333328</v>
      </c>
      <c r="Q19" s="57">
        <f>(IGA_BD[[#This Row],[Fault Clearance time]]-IGA_BD[[#This Row],[Fault Start TimeStamp]])*24</f>
        <v>0.73333333333333328</v>
      </c>
      <c r="R19" s="153" t="s">
        <v>682</v>
      </c>
      <c r="S19" s="44" t="s">
        <v>474</v>
      </c>
      <c r="T19" s="45">
        <f>IFERROR(IGA_BD[[#This Row],[Breakdown Time]]*IGA_BD[[#This Row],[Plant Equivalent Weightage]],"")</f>
        <v>9.4017094017094002E-2</v>
      </c>
      <c r="U19" s="153" t="s">
        <v>682</v>
      </c>
      <c r="V19" t="s">
        <v>656</v>
      </c>
      <c r="W19" t="s">
        <v>657</v>
      </c>
      <c r="X19" s="3">
        <v>1063.3333333333333</v>
      </c>
    </row>
    <row r="20" spans="1:24">
      <c r="A20" s="28">
        <f t="shared" si="1"/>
        <v>19</v>
      </c>
      <c r="B20" s="154">
        <v>45797</v>
      </c>
      <c r="C20" s="30">
        <f>YEAR(WTG_BD[[#This Row],[Date]])+IF(MONTH(WTG_BD[[#This Row],[Date]])&gt;=4,1,0)</f>
        <v>2025</v>
      </c>
      <c r="D20" s="31">
        <f>YEAR(IGA_BD[[#This Row],[Date]])</f>
        <v>2025</v>
      </c>
      <c r="E20" s="48">
        <f t="shared" si="0"/>
        <v>45778</v>
      </c>
      <c r="F20" s="32" t="s">
        <v>652</v>
      </c>
      <c r="G20" s="33" t="s">
        <v>679</v>
      </c>
      <c r="H20" s="43" t="str">
        <f>IFERROR(VLOOKUP(IGA_BD[[#This Row],[Affected Feeder ]],'Basic Data'!$A$42:$E$53,2,0),"")</f>
        <v>PWEGPL</v>
      </c>
      <c r="I20" s="43" t="str">
        <f>IFERROR(VLOOKUP(IGA_BD[[#This Row],[Affected Feeder ]],'Basic Data'!$A$42:$E$53,3,0),"")</f>
        <v>MSEDCL</v>
      </c>
      <c r="J20" s="43">
        <f>IFERROR(VLOOKUP(IGA_BD[[#This Row],[Affected Feeder ]],'Basic Data'!$A$42:$E$53,5,0),"")</f>
        <v>0.12820512820512819</v>
      </c>
      <c r="K20" s="164" t="s">
        <v>683</v>
      </c>
      <c r="L20" s="50">
        <v>0.44097222222222221</v>
      </c>
      <c r="M20" s="116">
        <v>0.44097222222222221</v>
      </c>
      <c r="N20" s="116">
        <v>0.4909722222222222</v>
      </c>
      <c r="O20" s="57">
        <f>(IGA_BD[[#This Row],[Work Start TimeStamp]]-IGA_BD[[#This Row],[Fault Start TimeStamp]])*24</f>
        <v>0</v>
      </c>
      <c r="P20" s="44">
        <f>IF(IGA_BD[[#This Row],[Work Start TimeStamp]]="","",(IGA_BD[[#This Row],[Fault Clearance time]]-IGA_BD[[#This Row],[Work Start TimeStamp]])*24)</f>
        <v>1.1999999999999997</v>
      </c>
      <c r="Q20" s="57">
        <f>(IGA_BD[[#This Row],[Fault Clearance time]]-IGA_BD[[#This Row],[Fault Start TimeStamp]])*24</f>
        <v>1.1999999999999997</v>
      </c>
      <c r="R20" s="153" t="s">
        <v>678</v>
      </c>
      <c r="S20" s="44" t="s">
        <v>474</v>
      </c>
      <c r="T20" s="45">
        <f>IFERROR(IGA_BD[[#This Row],[Breakdown Time]]*IGA_BD[[#This Row],[Plant Equivalent Weightage]],"")</f>
        <v>0.1538461538461538</v>
      </c>
      <c r="U20" s="153" t="s">
        <v>678</v>
      </c>
      <c r="V20" t="s">
        <v>676</v>
      </c>
      <c r="W20" t="s">
        <v>657</v>
      </c>
      <c r="X20" s="3">
        <v>2579.9999999999995</v>
      </c>
    </row>
    <row r="21" spans="1:24">
      <c r="A21" s="28">
        <f t="shared" si="1"/>
        <v>20</v>
      </c>
      <c r="B21" s="154">
        <v>45797</v>
      </c>
      <c r="C21" s="30">
        <f>YEAR(WTG_BD[[#This Row],[Date]])+IF(MONTH(WTG_BD[[#This Row],[Date]])&gt;=4,1,0)</f>
        <v>2025</v>
      </c>
      <c r="D21" s="31">
        <f>YEAR(IGA_BD[[#This Row],[Date]])</f>
        <v>2025</v>
      </c>
      <c r="E21" s="48">
        <f t="shared" si="0"/>
        <v>45778</v>
      </c>
      <c r="F21" s="32" t="s">
        <v>652</v>
      </c>
      <c r="G21" s="33" t="s">
        <v>660</v>
      </c>
      <c r="H21" s="43" t="str">
        <f>IFERROR(VLOOKUP(IGA_BD[[#This Row],[Affected Feeder ]],'Basic Data'!$A$42:$E$53,2,0),"")</f>
        <v>PWEGPL</v>
      </c>
      <c r="I21" s="43" t="str">
        <f>IFERROR(VLOOKUP(IGA_BD[[#This Row],[Affected Feeder ]],'Basic Data'!$A$42:$E$53,3,0),"")</f>
        <v>MSEDCL</v>
      </c>
      <c r="J21" s="43">
        <f>IFERROR(VLOOKUP(IGA_BD[[#This Row],[Affected Feeder ]],'Basic Data'!$A$42:$E$53,5,0),"")</f>
        <v>0.25641025641025639</v>
      </c>
      <c r="K21" s="164" t="s">
        <v>684</v>
      </c>
      <c r="L21" s="50">
        <v>0.52083333333333337</v>
      </c>
      <c r="M21" s="116">
        <v>0.52083333333333337</v>
      </c>
      <c r="N21" s="116">
        <v>0.58333333333333337</v>
      </c>
      <c r="O21" s="57">
        <f>(IGA_BD[[#This Row],[Work Start TimeStamp]]-IGA_BD[[#This Row],[Fault Start TimeStamp]])*24</f>
        <v>0</v>
      </c>
      <c r="P21" s="44">
        <f>IF(IGA_BD[[#This Row],[Work Start TimeStamp]]="","",(IGA_BD[[#This Row],[Fault Clearance time]]-IGA_BD[[#This Row],[Work Start TimeStamp]])*24)</f>
        <v>1.5</v>
      </c>
      <c r="Q21" s="57">
        <f>(IGA_BD[[#This Row],[Fault Clearance time]]-IGA_BD[[#This Row],[Fault Start TimeStamp]])*24</f>
        <v>1.5</v>
      </c>
      <c r="R21" s="153" t="s">
        <v>678</v>
      </c>
      <c r="S21" s="44" t="s">
        <v>474</v>
      </c>
      <c r="T21" s="45">
        <f>IFERROR(IGA_BD[[#This Row],[Breakdown Time]]*IGA_BD[[#This Row],[Plant Equivalent Weightage]],"")</f>
        <v>0.38461538461538458</v>
      </c>
      <c r="U21" s="153" t="s">
        <v>678</v>
      </c>
      <c r="V21" t="s">
        <v>676</v>
      </c>
      <c r="W21" t="s">
        <v>657</v>
      </c>
      <c r="X21" s="3">
        <v>2550</v>
      </c>
    </row>
    <row r="22" spans="1:24">
      <c r="A22" s="28">
        <f t="shared" si="1"/>
        <v>21</v>
      </c>
      <c r="B22" s="154">
        <v>45797</v>
      </c>
      <c r="C22" s="30">
        <f>YEAR(WTG_BD[[#This Row],[Date]])+IF(MONTH(WTG_BD[[#This Row],[Date]])&gt;=4,1,0)</f>
        <v>2025</v>
      </c>
      <c r="D22" s="31">
        <f>YEAR(IGA_BD[[#This Row],[Date]])</f>
        <v>2025</v>
      </c>
      <c r="E22" s="48">
        <f t="shared" si="0"/>
        <v>45778</v>
      </c>
      <c r="F22" s="32" t="s">
        <v>652</v>
      </c>
      <c r="G22" s="33" t="s">
        <v>660</v>
      </c>
      <c r="H22" s="43" t="str">
        <f>IFERROR(VLOOKUP(IGA_BD[[#This Row],[Affected Feeder ]],'Basic Data'!$A$42:$E$53,2,0),"")</f>
        <v>PWEGPL</v>
      </c>
      <c r="I22" s="43" t="str">
        <f>IFERROR(VLOOKUP(IGA_BD[[#This Row],[Affected Feeder ]],'Basic Data'!$A$42:$E$53,3,0),"")</f>
        <v>MSEDCL</v>
      </c>
      <c r="J22" s="43">
        <f>IFERROR(VLOOKUP(IGA_BD[[#This Row],[Affected Feeder ]],'Basic Data'!$A$42:$E$53,5,0),"")</f>
        <v>0.25641025641025639</v>
      </c>
      <c r="K22" s="141" t="s">
        <v>672</v>
      </c>
      <c r="L22" s="50">
        <v>0.76180555555555551</v>
      </c>
      <c r="M22" s="116">
        <v>0.76180555555555551</v>
      </c>
      <c r="N22" s="116">
        <v>0.78333333333333333</v>
      </c>
      <c r="O22" s="57">
        <f>(IGA_BD[[#This Row],[Work Start TimeStamp]]-IGA_BD[[#This Row],[Fault Start TimeStamp]])*24</f>
        <v>0</v>
      </c>
      <c r="P22" s="44">
        <f>IF(IGA_BD[[#This Row],[Work Start TimeStamp]]="","",(IGA_BD[[#This Row],[Fault Clearance time]]-IGA_BD[[#This Row],[Work Start TimeStamp]])*24)</f>
        <v>0.5166666666666675</v>
      </c>
      <c r="Q22" s="57">
        <f>(IGA_BD[[#This Row],[Fault Clearance time]]-IGA_BD[[#This Row],[Fault Start TimeStamp]])*24</f>
        <v>0.5166666666666675</v>
      </c>
      <c r="R22" s="153" t="s">
        <v>655</v>
      </c>
      <c r="S22" s="44" t="s">
        <v>474</v>
      </c>
      <c r="T22" s="45">
        <f>IFERROR(IGA_BD[[#This Row],[Breakdown Time]]*IGA_BD[[#This Row],[Plant Equivalent Weightage]],"")</f>
        <v>0.13247863247863267</v>
      </c>
      <c r="U22" s="153" t="s">
        <v>655</v>
      </c>
      <c r="V22" t="s">
        <v>656</v>
      </c>
      <c r="W22" t="s">
        <v>657</v>
      </c>
      <c r="X22" s="3">
        <v>878.33333333333474</v>
      </c>
    </row>
    <row r="23" spans="1:24">
      <c r="A23" s="28">
        <f t="shared" si="1"/>
        <v>22</v>
      </c>
      <c r="B23" s="154">
        <v>45798</v>
      </c>
      <c r="C23" s="30">
        <f>YEAR(WTG_BD[[#This Row],[Date]])+IF(MONTH(WTG_BD[[#This Row],[Date]])&gt;=4,1,0)</f>
        <v>2025</v>
      </c>
      <c r="D23" s="31">
        <f>YEAR(IGA_BD[[#This Row],[Date]])</f>
        <v>2025</v>
      </c>
      <c r="E23" s="48">
        <f t="shared" si="0"/>
        <v>45778</v>
      </c>
      <c r="F23" s="32" t="s">
        <v>652</v>
      </c>
      <c r="G23" s="33" t="s">
        <v>685</v>
      </c>
      <c r="H23" s="43" t="str">
        <f>IFERROR(VLOOKUP(IGA_BD[[#This Row],[Affected Feeder ]],'Basic Data'!$A$42:$E$53,2,0),"")</f>
        <v>PWEGPL</v>
      </c>
      <c r="I23" s="43" t="str">
        <f>IFERROR(VLOOKUP(IGA_BD[[#This Row],[Affected Feeder ]],'Basic Data'!$A$42:$E$53,3,0),"")</f>
        <v>MSEDCL</v>
      </c>
      <c r="J23" s="43">
        <f>IFERROR(VLOOKUP(IGA_BD[[#This Row],[Affected Feeder ]],'Basic Data'!$A$42:$E$53,5,0),"")</f>
        <v>0.15384615384615385</v>
      </c>
      <c r="K23" s="164" t="s">
        <v>686</v>
      </c>
      <c r="L23" s="50">
        <v>0.47222222222222221</v>
      </c>
      <c r="M23" s="116">
        <v>0.47222222222222221</v>
      </c>
      <c r="N23" s="116">
        <v>0.52777777777777779</v>
      </c>
      <c r="O23" s="57">
        <f>(IGA_BD[[#This Row],[Work Start TimeStamp]]-IGA_BD[[#This Row],[Fault Start TimeStamp]])*24</f>
        <v>0</v>
      </c>
      <c r="P23" s="44">
        <f>IF(IGA_BD[[#This Row],[Work Start TimeStamp]]="","",(IGA_BD[[#This Row],[Fault Clearance time]]-IGA_BD[[#This Row],[Work Start TimeStamp]])*24)</f>
        <v>1.3333333333333339</v>
      </c>
      <c r="Q23" s="57">
        <f>(IGA_BD[[#This Row],[Fault Clearance time]]-IGA_BD[[#This Row],[Fault Start TimeStamp]])*24</f>
        <v>1.3333333333333339</v>
      </c>
      <c r="R23" s="153" t="s">
        <v>678</v>
      </c>
      <c r="S23" s="44" t="s">
        <v>474</v>
      </c>
      <c r="T23" s="45">
        <f>IFERROR(IGA_BD[[#This Row],[Breakdown Time]]*IGA_BD[[#This Row],[Plant Equivalent Weightage]],"")</f>
        <v>0.20512820512820523</v>
      </c>
      <c r="U23" s="153" t="s">
        <v>678</v>
      </c>
      <c r="V23" t="s">
        <v>656</v>
      </c>
      <c r="W23" t="s">
        <v>657</v>
      </c>
      <c r="X23" s="3">
        <v>2400.0000000000009</v>
      </c>
    </row>
    <row r="24" spans="1:24">
      <c r="A24" s="28">
        <f t="shared" si="1"/>
        <v>23</v>
      </c>
      <c r="B24" s="154">
        <v>45800</v>
      </c>
      <c r="C24" s="30">
        <f>YEAR(WTG_BD[[#This Row],[Date]])+IF(MONTH(WTG_BD[[#This Row],[Date]])&gt;=4,1,0)</f>
        <v>2025</v>
      </c>
      <c r="D24" s="31">
        <f>YEAR(IGA_BD[[#This Row],[Date]])</f>
        <v>2025</v>
      </c>
      <c r="E24" s="48">
        <f t="shared" si="0"/>
        <v>45778</v>
      </c>
      <c r="F24" s="32" t="s">
        <v>652</v>
      </c>
      <c r="G24" s="33" t="s">
        <v>660</v>
      </c>
      <c r="H24" s="43" t="str">
        <f>IFERROR(VLOOKUP(IGA_BD[[#This Row],[Affected Feeder ]],'Basic Data'!$A$42:$E$53,2,0),"")</f>
        <v>PWEGPL</v>
      </c>
      <c r="I24" s="43" t="str">
        <f>IFERROR(VLOOKUP(IGA_BD[[#This Row],[Affected Feeder ]],'Basic Data'!$A$42:$E$53,3,0),"")</f>
        <v>MSEDCL</v>
      </c>
      <c r="J24" s="43">
        <f>IFERROR(VLOOKUP(IGA_BD[[#This Row],[Affected Feeder ]],'Basic Data'!$A$42:$E$53,5,0),"")</f>
        <v>0.25641025641025639</v>
      </c>
      <c r="K24" s="164" t="s">
        <v>687</v>
      </c>
      <c r="L24" s="50">
        <v>0.45277777777777778</v>
      </c>
      <c r="M24" s="116">
        <v>0.45277777777777778</v>
      </c>
      <c r="N24" s="116">
        <v>0.59583333333333333</v>
      </c>
      <c r="O24" s="57">
        <f>(IGA_BD[[#This Row],[Work Start TimeStamp]]-IGA_BD[[#This Row],[Fault Start TimeStamp]])*24</f>
        <v>0</v>
      </c>
      <c r="P24" s="44">
        <f>IF(IGA_BD[[#This Row],[Work Start TimeStamp]]="","",(IGA_BD[[#This Row],[Fault Clearance time]]-IGA_BD[[#This Row],[Work Start TimeStamp]])*24)</f>
        <v>3.4333333333333331</v>
      </c>
      <c r="Q24" s="57">
        <f>(IGA_BD[[#This Row],[Fault Clearance time]]-IGA_BD[[#This Row],[Fault Start TimeStamp]])*24</f>
        <v>3.4333333333333331</v>
      </c>
      <c r="R24" s="153" t="s">
        <v>688</v>
      </c>
      <c r="S24" s="44" t="s">
        <v>474</v>
      </c>
      <c r="T24" s="45">
        <f>IFERROR(IGA_BD[[#This Row],[Breakdown Time]]*IGA_BD[[#This Row],[Plant Equivalent Weightage]],"")</f>
        <v>0.88034188034188021</v>
      </c>
      <c r="U24" s="153" t="s">
        <v>688</v>
      </c>
      <c r="V24" t="s">
        <v>676</v>
      </c>
      <c r="W24" t="s">
        <v>657</v>
      </c>
      <c r="X24" s="3">
        <v>2231.6666666666665</v>
      </c>
    </row>
    <row r="25" spans="1:24">
      <c r="A25" s="28">
        <f t="shared" si="1"/>
        <v>24</v>
      </c>
      <c r="B25" s="154">
        <v>45800</v>
      </c>
      <c r="C25" s="30">
        <f>YEAR(WTG_BD[[#This Row],[Date]])+IF(MONTH(WTG_BD[[#This Row],[Date]])&gt;=4,1,0)</f>
        <v>2025</v>
      </c>
      <c r="D25" s="31">
        <f>YEAR(IGA_BD[[#This Row],[Date]])</f>
        <v>2025</v>
      </c>
      <c r="E25" s="48">
        <f t="shared" si="0"/>
        <v>45778</v>
      </c>
      <c r="F25" s="32" t="s">
        <v>652</v>
      </c>
      <c r="G25" s="33" t="s">
        <v>653</v>
      </c>
      <c r="H25" s="43" t="str">
        <f>IFERROR(VLOOKUP(IGA_BD[[#This Row],[Affected Feeder ]],'Basic Data'!$A$42:$E$53,2,0),"")</f>
        <v>PWEGPL</v>
      </c>
      <c r="I25" s="43" t="str">
        <f>IFERROR(VLOOKUP(IGA_BD[[#This Row],[Affected Feeder ]],'Basic Data'!$A$42:$E$53,3,0),"")</f>
        <v>MSEDCL</v>
      </c>
      <c r="J25" s="43">
        <f>IFERROR(VLOOKUP(IGA_BD[[#This Row],[Affected Feeder ]],'Basic Data'!$A$42:$E$53,5,0),"")</f>
        <v>0.25641025641025639</v>
      </c>
      <c r="K25" s="164" t="s">
        <v>689</v>
      </c>
      <c r="L25" s="50">
        <v>0.45277777777777778</v>
      </c>
      <c r="M25" s="116">
        <v>0.45277777777777778</v>
      </c>
      <c r="N25" s="116">
        <v>0.59583333333333333</v>
      </c>
      <c r="O25" s="57">
        <f>(IGA_BD[[#This Row],[Work Start TimeStamp]]-IGA_BD[[#This Row],[Fault Start TimeStamp]])*24</f>
        <v>0</v>
      </c>
      <c r="P25" s="44">
        <f>IF(IGA_BD[[#This Row],[Work Start TimeStamp]]="","",(IGA_BD[[#This Row],[Fault Clearance time]]-IGA_BD[[#This Row],[Work Start TimeStamp]])*24)</f>
        <v>3.4333333333333331</v>
      </c>
      <c r="Q25" s="57">
        <f>(IGA_BD[[#This Row],[Fault Clearance time]]-IGA_BD[[#This Row],[Fault Start TimeStamp]])*24</f>
        <v>3.4333333333333331</v>
      </c>
      <c r="R25" s="153" t="s">
        <v>688</v>
      </c>
      <c r="S25" s="44" t="s">
        <v>474</v>
      </c>
      <c r="T25" s="45">
        <f>IFERROR(IGA_BD[[#This Row],[Breakdown Time]]*IGA_BD[[#This Row],[Plant Equivalent Weightage]],"")</f>
        <v>0.88034188034188021</v>
      </c>
      <c r="U25" s="153" t="s">
        <v>688</v>
      </c>
      <c r="V25" t="s">
        <v>676</v>
      </c>
      <c r="W25" t="s">
        <v>657</v>
      </c>
      <c r="X25" s="3">
        <v>2060</v>
      </c>
    </row>
    <row r="26" spans="1:24">
      <c r="A26" s="28">
        <f t="shared" si="1"/>
        <v>25</v>
      </c>
      <c r="B26" s="154">
        <v>45800</v>
      </c>
      <c r="C26" s="30">
        <f>YEAR(WTG_BD[[#This Row],[Date]])+IF(MONTH(WTG_BD[[#This Row],[Date]])&gt;=4,1,0)</f>
        <v>2025</v>
      </c>
      <c r="D26" s="31">
        <f>YEAR(IGA_BD[[#This Row],[Date]])</f>
        <v>2025</v>
      </c>
      <c r="E26" s="48">
        <f t="shared" si="0"/>
        <v>45778</v>
      </c>
      <c r="F26" s="32" t="s">
        <v>652</v>
      </c>
      <c r="G26" s="33" t="s">
        <v>673</v>
      </c>
      <c r="H26" s="43" t="str">
        <f>IFERROR(VLOOKUP(IGA_BD[[#This Row],[Affected Feeder ]],'Basic Data'!$A$42:$E$53,2,0),"")</f>
        <v>PWEGPL</v>
      </c>
      <c r="I26" s="43" t="str">
        <f>IFERROR(VLOOKUP(IGA_BD[[#This Row],[Affected Feeder ]],'Basic Data'!$A$42:$E$53,3,0),"")</f>
        <v>MSEDCL</v>
      </c>
      <c r="J26" s="43">
        <f>IFERROR(VLOOKUP(IGA_BD[[#This Row],[Affected Feeder ]],'Basic Data'!$A$42:$E$53,5,0),"")</f>
        <v>0.12820512820512819</v>
      </c>
      <c r="K26" s="164" t="s">
        <v>690</v>
      </c>
      <c r="L26" s="50">
        <v>0.6166666666666667</v>
      </c>
      <c r="M26" s="116">
        <v>0.6166666666666667</v>
      </c>
      <c r="N26" s="116">
        <v>0.66736111111111107</v>
      </c>
      <c r="O26" s="57">
        <f>(IGA_BD[[#This Row],[Work Start TimeStamp]]-IGA_BD[[#This Row],[Fault Start TimeStamp]])*24</f>
        <v>0</v>
      </c>
      <c r="P26" s="44">
        <f>IF(IGA_BD[[#This Row],[Work Start TimeStamp]]="","",(IGA_BD[[#This Row],[Fault Clearance time]]-IGA_BD[[#This Row],[Work Start TimeStamp]])*24)</f>
        <v>1.216666666666665</v>
      </c>
      <c r="Q26" s="57">
        <f>(IGA_BD[[#This Row],[Fault Clearance time]]-IGA_BD[[#This Row],[Fault Start TimeStamp]])*24</f>
        <v>1.216666666666665</v>
      </c>
      <c r="R26" s="153" t="s">
        <v>691</v>
      </c>
      <c r="S26" s="44" t="s">
        <v>474</v>
      </c>
      <c r="T26" s="45">
        <f>IFERROR(IGA_BD[[#This Row],[Breakdown Time]]*IGA_BD[[#This Row],[Plant Equivalent Weightage]],"")</f>
        <v>0.15598290598290576</v>
      </c>
      <c r="U26" s="153" t="s">
        <v>691</v>
      </c>
      <c r="V26" t="s">
        <v>665</v>
      </c>
      <c r="W26" t="s">
        <v>692</v>
      </c>
      <c r="X26" s="3">
        <v>1216.6666666666649</v>
      </c>
    </row>
    <row r="27" spans="1:24">
      <c r="A27" s="28">
        <f t="shared" si="1"/>
        <v>26</v>
      </c>
      <c r="B27" s="154">
        <v>45800</v>
      </c>
      <c r="C27" s="30">
        <f>YEAR(WTG_BD[[#This Row],[Date]])+IF(MONTH(WTG_BD[[#This Row],[Date]])&gt;=4,1,0)</f>
        <v>2025</v>
      </c>
      <c r="D27" s="31">
        <f>YEAR(IGA_BD[[#This Row],[Date]])</f>
        <v>2025</v>
      </c>
      <c r="E27" s="48">
        <f t="shared" si="0"/>
        <v>45778</v>
      </c>
      <c r="F27" s="32" t="s">
        <v>652</v>
      </c>
      <c r="G27" s="33" t="s">
        <v>679</v>
      </c>
      <c r="H27" s="43" t="str">
        <f>IFERROR(VLOOKUP(IGA_BD[[#This Row],[Affected Feeder ]],'Basic Data'!$A$42:$E$53,2,0),"")</f>
        <v>PWEGPL</v>
      </c>
      <c r="I27" s="43" t="str">
        <f>IFERROR(VLOOKUP(IGA_BD[[#This Row],[Affected Feeder ]],'Basic Data'!$A$42:$E$53,3,0),"")</f>
        <v>MSEDCL</v>
      </c>
      <c r="J27" s="43">
        <f>IFERROR(VLOOKUP(IGA_BD[[#This Row],[Affected Feeder ]],'Basic Data'!$A$42:$E$53,5,0),"")</f>
        <v>0.12820512820512819</v>
      </c>
      <c r="K27" s="164" t="s">
        <v>693</v>
      </c>
      <c r="L27" s="50">
        <v>0.65277777777777779</v>
      </c>
      <c r="M27" s="116">
        <v>0.65277777777777779</v>
      </c>
      <c r="N27" s="116">
        <v>0.66736111111111107</v>
      </c>
      <c r="O27" s="57">
        <f>(IGA_BD[[#This Row],[Work Start TimeStamp]]-IGA_BD[[#This Row],[Fault Start TimeStamp]])*24</f>
        <v>0</v>
      </c>
      <c r="P27" s="44">
        <f>IF(IGA_BD[[#This Row],[Work Start TimeStamp]]="","",(IGA_BD[[#This Row],[Fault Clearance time]]-IGA_BD[[#This Row],[Work Start TimeStamp]])*24)</f>
        <v>0.34999999999999876</v>
      </c>
      <c r="Q27" s="57">
        <f>(IGA_BD[[#This Row],[Fault Clearance time]]-IGA_BD[[#This Row],[Fault Start TimeStamp]])*24</f>
        <v>0.34999999999999876</v>
      </c>
      <c r="R27" s="153" t="s">
        <v>694</v>
      </c>
      <c r="S27" s="44" t="s">
        <v>474</v>
      </c>
      <c r="T27" s="45">
        <f>IFERROR(IGA_BD[[#This Row],[Breakdown Time]]*IGA_BD[[#This Row],[Plant Equivalent Weightage]],"")</f>
        <v>4.4871794871794705E-2</v>
      </c>
      <c r="U27" s="153" t="s">
        <v>694</v>
      </c>
      <c r="V27" t="s">
        <v>665</v>
      </c>
      <c r="W27" t="s">
        <v>657</v>
      </c>
      <c r="X27" s="3">
        <v>349.99999999999875</v>
      </c>
    </row>
    <row r="28" spans="1:24">
      <c r="A28" s="28">
        <f t="shared" si="1"/>
        <v>27</v>
      </c>
      <c r="B28" s="154">
        <v>45801</v>
      </c>
      <c r="C28" s="30">
        <f>YEAR(WTG_BD[[#This Row],[Date]])+IF(MONTH(WTG_BD[[#This Row],[Date]])&gt;=4,1,0)</f>
        <v>2025</v>
      </c>
      <c r="D28" s="31">
        <f>YEAR(IGA_BD[[#This Row],[Date]])</f>
        <v>2025</v>
      </c>
      <c r="E28" s="48">
        <f t="shared" ref="E28:E91" si="2">B28-DAY(B28)+1</f>
        <v>45778</v>
      </c>
      <c r="F28" s="32" t="s">
        <v>652</v>
      </c>
      <c r="G28" s="33" t="s">
        <v>666</v>
      </c>
      <c r="H28" s="43" t="str">
        <f>IFERROR(VLOOKUP(IGA_BD[[#This Row],[Affected Feeder ]],'Basic Data'!$A$42:$E$53,2,0),"")</f>
        <v>PWEGPL</v>
      </c>
      <c r="I28" s="43" t="str">
        <f>IFERROR(VLOOKUP(IGA_BD[[#This Row],[Affected Feeder ]],'Basic Data'!$A$42:$E$53,3,0),"")</f>
        <v>MSEDCL</v>
      </c>
      <c r="J28" s="43">
        <f>IFERROR(VLOOKUP(IGA_BD[[#This Row],[Affected Feeder ]],'Basic Data'!$A$42:$E$53,5,0),"")</f>
        <v>0.25641025641025639</v>
      </c>
      <c r="K28" s="164" t="s">
        <v>695</v>
      </c>
      <c r="L28" s="50">
        <v>0.6</v>
      </c>
      <c r="M28" s="116">
        <v>0.6</v>
      </c>
      <c r="N28" s="116">
        <v>0.62847222222222221</v>
      </c>
      <c r="O28" s="57">
        <f>(IGA_BD[[#This Row],[Work Start TimeStamp]]-IGA_BD[[#This Row],[Fault Start TimeStamp]])*24</f>
        <v>0</v>
      </c>
      <c r="P28" s="44">
        <f>IF(IGA_BD[[#This Row],[Work Start TimeStamp]]="","",(IGA_BD[[#This Row],[Fault Clearance time]]-IGA_BD[[#This Row],[Work Start TimeStamp]])*24)</f>
        <v>0.68333333333333357</v>
      </c>
      <c r="Q28" s="57">
        <f>(IGA_BD[[#This Row],[Fault Clearance time]]-IGA_BD[[#This Row],[Fault Start TimeStamp]])*24</f>
        <v>0.68333333333333357</v>
      </c>
      <c r="R28" s="153" t="s">
        <v>694</v>
      </c>
      <c r="S28" s="44" t="s">
        <v>474</v>
      </c>
      <c r="T28" s="45">
        <f>IFERROR(IGA_BD[[#This Row],[Breakdown Time]]*IGA_BD[[#This Row],[Plant Equivalent Weightage]],"")</f>
        <v>0.17521367521367526</v>
      </c>
      <c r="U28" s="153" t="s">
        <v>694</v>
      </c>
      <c r="V28" t="s">
        <v>665</v>
      </c>
      <c r="W28" t="s">
        <v>657</v>
      </c>
      <c r="X28">
        <v>1777</v>
      </c>
    </row>
    <row r="29" spans="1:24">
      <c r="A29" s="28">
        <f t="shared" si="1"/>
        <v>28</v>
      </c>
      <c r="B29" s="154">
        <v>45804</v>
      </c>
      <c r="C29" s="30">
        <f>YEAR(WTG_BD[[#This Row],[Date]])+IF(MONTH(WTG_BD[[#This Row],[Date]])&gt;=4,1,0)</f>
        <v>2025</v>
      </c>
      <c r="D29" s="31">
        <f>YEAR(IGA_BD[[#This Row],[Date]])</f>
        <v>2025</v>
      </c>
      <c r="E29" s="48">
        <f t="shared" si="2"/>
        <v>45778</v>
      </c>
      <c r="F29" s="32" t="s">
        <v>652</v>
      </c>
      <c r="G29" s="33" t="s">
        <v>653</v>
      </c>
      <c r="H29" s="43" t="str">
        <f>IFERROR(VLOOKUP(IGA_BD[[#This Row],[Affected Feeder ]],'Basic Data'!$A$42:$E$53,2,0),"")</f>
        <v>PWEGPL</v>
      </c>
      <c r="I29" s="43" t="str">
        <f>IFERROR(VLOOKUP(IGA_BD[[#This Row],[Affected Feeder ]],'Basic Data'!$A$42:$E$53,3,0),"")</f>
        <v>MSEDCL</v>
      </c>
      <c r="J29" s="43">
        <f>IFERROR(VLOOKUP(IGA_BD[[#This Row],[Affected Feeder ]],'Basic Data'!$A$42:$E$53,5,0),"")</f>
        <v>0.25641025641025639</v>
      </c>
      <c r="K29" s="141" t="s">
        <v>654</v>
      </c>
      <c r="L29" s="50">
        <v>0.47916666666666669</v>
      </c>
      <c r="M29" s="116">
        <v>0.47916666666666669</v>
      </c>
      <c r="N29" s="116">
        <v>0.48333333333333334</v>
      </c>
      <c r="O29" s="57">
        <f>(IGA_BD[[#This Row],[Work Start TimeStamp]]-IGA_BD[[#This Row],[Fault Start TimeStamp]])*24</f>
        <v>0</v>
      </c>
      <c r="P29" s="44">
        <f>IF(IGA_BD[[#This Row],[Work Start TimeStamp]]="","",(IGA_BD[[#This Row],[Fault Clearance time]]-IGA_BD[[#This Row],[Work Start TimeStamp]])*24)</f>
        <v>9.9999999999999645E-2</v>
      </c>
      <c r="Q29" s="57">
        <f>(IGA_BD[[#This Row],[Fault Clearance time]]-IGA_BD[[#This Row],[Fault Start TimeStamp]])*24</f>
        <v>9.9999999999999645E-2</v>
      </c>
      <c r="R29" s="153" t="s">
        <v>655</v>
      </c>
      <c r="S29" s="44" t="s">
        <v>474</v>
      </c>
      <c r="T29" s="45">
        <f>IFERROR(IGA_BD[[#This Row],[Breakdown Time]]*IGA_BD[[#This Row],[Plant Equivalent Weightage]],"")</f>
        <v>2.5641025641025546E-2</v>
      </c>
      <c r="U29" s="153" t="s">
        <v>655</v>
      </c>
      <c r="V29" t="s">
        <v>665</v>
      </c>
      <c r="W29" t="s">
        <v>657</v>
      </c>
      <c r="X29" s="3">
        <v>429.99999999999841</v>
      </c>
    </row>
    <row r="30" spans="1:24">
      <c r="A30" s="28">
        <f t="shared" si="1"/>
        <v>29</v>
      </c>
      <c r="B30" s="154">
        <v>45804</v>
      </c>
      <c r="C30" s="30">
        <f>YEAR(WTG_BD[[#This Row],[Date]])+IF(MONTH(WTG_BD[[#This Row],[Date]])&gt;=4,1,0)</f>
        <v>2025</v>
      </c>
      <c r="D30" s="31">
        <f>YEAR(IGA_BD[[#This Row],[Date]])</f>
        <v>2025</v>
      </c>
      <c r="E30" s="48">
        <f t="shared" si="2"/>
        <v>45778</v>
      </c>
      <c r="F30" s="32" t="s">
        <v>652</v>
      </c>
      <c r="G30" s="33" t="s">
        <v>658</v>
      </c>
      <c r="H30" s="43" t="str">
        <f>IFERROR(VLOOKUP(IGA_BD[[#This Row],[Affected Feeder ]],'Basic Data'!$A$42:$E$53,2,0),"")</f>
        <v>PWEGPL</v>
      </c>
      <c r="I30" s="43" t="str">
        <f>IFERROR(VLOOKUP(IGA_BD[[#This Row],[Affected Feeder ]],'Basic Data'!$A$42:$E$53,3,0),"")</f>
        <v>MSEDCL</v>
      </c>
      <c r="J30" s="43">
        <f>IFERROR(VLOOKUP(IGA_BD[[#This Row],[Affected Feeder ]],'Basic Data'!$A$42:$E$53,5,0),"")</f>
        <v>0.23076923076923078</v>
      </c>
      <c r="K30" s="141" t="s">
        <v>671</v>
      </c>
      <c r="L30" s="50">
        <v>0.65277777777777779</v>
      </c>
      <c r="M30" s="116">
        <v>0.65277777777777779</v>
      </c>
      <c r="N30" s="116">
        <v>0.82638888888888884</v>
      </c>
      <c r="O30" s="57">
        <f>(IGA_BD[[#This Row],[Work Start TimeStamp]]-IGA_BD[[#This Row],[Fault Start TimeStamp]])*24</f>
        <v>0</v>
      </c>
      <c r="P30" s="44">
        <f>IF(IGA_BD[[#This Row],[Work Start TimeStamp]]="","",(IGA_BD[[#This Row],[Fault Clearance time]]-IGA_BD[[#This Row],[Work Start TimeStamp]])*24)</f>
        <v>4.1666666666666652</v>
      </c>
      <c r="Q30" s="57">
        <f>(IGA_BD[[#This Row],[Fault Clearance time]]-IGA_BD[[#This Row],[Fault Start TimeStamp]])*24</f>
        <v>4.1666666666666652</v>
      </c>
      <c r="R30" s="153" t="s">
        <v>696</v>
      </c>
      <c r="S30" s="44" t="s">
        <v>474</v>
      </c>
      <c r="T30" s="45">
        <f>IFERROR(IGA_BD[[#This Row],[Breakdown Time]]*IGA_BD[[#This Row],[Plant Equivalent Weightage]],"")</f>
        <v>0.96153846153846123</v>
      </c>
      <c r="U30" s="153" t="s">
        <v>697</v>
      </c>
      <c r="V30" t="s">
        <v>665</v>
      </c>
      <c r="W30" t="s">
        <v>657</v>
      </c>
      <c r="X30" s="3">
        <v>22687.499999999993</v>
      </c>
    </row>
    <row r="31" spans="1:24">
      <c r="A31" s="28">
        <f t="shared" si="1"/>
        <v>30</v>
      </c>
      <c r="B31" s="154">
        <v>45805</v>
      </c>
      <c r="C31" s="30">
        <f>YEAR(WTG_BD[[#This Row],[Date]])+IF(MONTH(WTG_BD[[#This Row],[Date]])&gt;=4,1,0)</f>
        <v>2025</v>
      </c>
      <c r="D31" s="31">
        <f>YEAR(IGA_BD[[#This Row],[Date]])</f>
        <v>2025</v>
      </c>
      <c r="E31" s="48">
        <f t="shared" si="2"/>
        <v>45778</v>
      </c>
      <c r="F31" s="32" t="s">
        <v>652</v>
      </c>
      <c r="G31" s="33" t="s">
        <v>653</v>
      </c>
      <c r="H31" s="43" t="str">
        <f>IFERROR(VLOOKUP(IGA_BD[[#This Row],[Affected Feeder ]],'Basic Data'!$A$42:$E$53,2,0),"")</f>
        <v>PWEGPL</v>
      </c>
      <c r="I31" s="43" t="str">
        <f>IFERROR(VLOOKUP(IGA_BD[[#This Row],[Affected Feeder ]],'Basic Data'!$A$42:$E$53,3,0),"")</f>
        <v>MSEDCL</v>
      </c>
      <c r="J31" s="43">
        <f>IFERROR(VLOOKUP(IGA_BD[[#This Row],[Affected Feeder ]],'Basic Data'!$A$42:$E$53,5,0),"")</f>
        <v>0.25641025641025639</v>
      </c>
      <c r="K31" s="141" t="s">
        <v>654</v>
      </c>
      <c r="L31" s="50">
        <v>0.59791666666666665</v>
      </c>
      <c r="M31" s="116">
        <v>0.59791666666666665</v>
      </c>
      <c r="N31" s="116">
        <v>0.60069444444444442</v>
      </c>
      <c r="O31" s="57">
        <f>(IGA_BD[[#This Row],[Work Start TimeStamp]]-IGA_BD[[#This Row],[Fault Start TimeStamp]])*24</f>
        <v>0</v>
      </c>
      <c r="P31" s="44">
        <f>IF(IGA_BD[[#This Row],[Work Start TimeStamp]]="","",(IGA_BD[[#This Row],[Fault Clearance time]]-IGA_BD[[#This Row],[Work Start TimeStamp]])*24)</f>
        <v>6.666666666666643E-2</v>
      </c>
      <c r="Q31" s="57">
        <f>(IGA_BD[[#This Row],[Fault Clearance time]]-IGA_BD[[#This Row],[Fault Start TimeStamp]])*24</f>
        <v>6.666666666666643E-2</v>
      </c>
      <c r="R31" s="153" t="s">
        <v>655</v>
      </c>
      <c r="S31" s="44" t="s">
        <v>474</v>
      </c>
      <c r="T31" s="45">
        <f>IFERROR(IGA_BD[[#This Row],[Breakdown Time]]*IGA_BD[[#This Row],[Plant Equivalent Weightage]],"")</f>
        <v>1.7094017094017033E-2</v>
      </c>
      <c r="U31" s="153" t="s">
        <v>655</v>
      </c>
      <c r="V31" t="s">
        <v>665</v>
      </c>
      <c r="W31" t="s">
        <v>657</v>
      </c>
      <c r="X31">
        <v>203</v>
      </c>
    </row>
    <row r="32" spans="1:24">
      <c r="A32" s="28">
        <f t="shared" si="1"/>
        <v>31</v>
      </c>
      <c r="B32" s="154">
        <v>45806</v>
      </c>
      <c r="C32" s="30">
        <f>YEAR(WTG_BD[[#This Row],[Date]])+IF(MONTH(WTG_BD[[#This Row],[Date]])&gt;=4,1,0)</f>
        <v>2025</v>
      </c>
      <c r="D32" s="31">
        <f>YEAR(IGA_BD[[#This Row],[Date]])</f>
        <v>2025</v>
      </c>
      <c r="E32" s="48">
        <f t="shared" si="2"/>
        <v>45778</v>
      </c>
      <c r="F32" s="32" t="s">
        <v>652</v>
      </c>
      <c r="G32" s="33" t="s">
        <v>653</v>
      </c>
      <c r="H32" s="43" t="str">
        <f>IFERROR(VLOOKUP(IGA_BD[[#This Row],[Affected Feeder ]],'Basic Data'!$A$42:$E$53,2,0),"")</f>
        <v>PWEGPL</v>
      </c>
      <c r="I32" s="43" t="str">
        <f>IFERROR(VLOOKUP(IGA_BD[[#This Row],[Affected Feeder ]],'Basic Data'!$A$42:$E$53,3,0),"")</f>
        <v>MSEDCL</v>
      </c>
      <c r="J32" s="43">
        <f>IFERROR(VLOOKUP(IGA_BD[[#This Row],[Affected Feeder ]],'Basic Data'!$A$42:$E$53,5,0),"")</f>
        <v>0.25641025641025639</v>
      </c>
      <c r="K32" s="141" t="s">
        <v>654</v>
      </c>
      <c r="L32" s="50">
        <v>0.35138888888888886</v>
      </c>
      <c r="M32" s="50">
        <v>0.35138888888888886</v>
      </c>
      <c r="N32" s="116">
        <v>0.35555555555555557</v>
      </c>
      <c r="O32" s="57">
        <f>(IGA_BD[[#This Row],[Work Start TimeStamp]]-IGA_BD[[#This Row],[Fault Start TimeStamp]])*24</f>
        <v>0</v>
      </c>
      <c r="P32" s="44">
        <f>IF(IGA_BD[[#This Row],[Work Start TimeStamp]]="","",(IGA_BD[[#This Row],[Fault Clearance time]]-IGA_BD[[#This Row],[Work Start TimeStamp]])*24)</f>
        <v>0.10000000000000098</v>
      </c>
      <c r="Q32" s="57">
        <f>(IGA_BD[[#This Row],[Fault Clearance time]]-IGA_BD[[#This Row],[Fault Start TimeStamp]])*24</f>
        <v>0.10000000000000098</v>
      </c>
      <c r="R32" s="153" t="s">
        <v>655</v>
      </c>
      <c r="S32" s="44" t="s">
        <v>474</v>
      </c>
      <c r="T32" s="45">
        <f>IFERROR(IGA_BD[[#This Row],[Breakdown Time]]*IGA_BD[[#This Row],[Plant Equivalent Weightage]],"")</f>
        <v>2.564102564102589E-2</v>
      </c>
      <c r="U32" s="153" t="s">
        <v>655</v>
      </c>
      <c r="V32" t="s">
        <v>665</v>
      </c>
      <c r="W32" t="s">
        <v>657</v>
      </c>
      <c r="X32">
        <v>555.00000000000546</v>
      </c>
    </row>
    <row r="33" spans="1:24">
      <c r="A33" s="28">
        <f t="shared" si="1"/>
        <v>32</v>
      </c>
      <c r="B33" s="154">
        <v>45806</v>
      </c>
      <c r="C33" s="30">
        <f>YEAR(WTG_BD[[#This Row],[Date]])+IF(MONTH(WTG_BD[[#This Row],[Date]])&gt;=4,1,0)</f>
        <v>2025</v>
      </c>
      <c r="D33" s="31">
        <f>YEAR(IGA_BD[[#This Row],[Date]])</f>
        <v>2025</v>
      </c>
      <c r="E33" s="48">
        <f t="shared" si="2"/>
        <v>45778</v>
      </c>
      <c r="F33" s="32" t="s">
        <v>652</v>
      </c>
      <c r="G33" s="33" t="s">
        <v>653</v>
      </c>
      <c r="H33" s="43" t="str">
        <f>IFERROR(VLOOKUP(IGA_BD[[#This Row],[Affected Feeder ]],'Basic Data'!$A$42:$E$53,2,0),"")</f>
        <v>PWEGPL</v>
      </c>
      <c r="I33" s="43" t="str">
        <f>IFERROR(VLOOKUP(IGA_BD[[#This Row],[Affected Feeder ]],'Basic Data'!$A$42:$E$53,3,0),"")</f>
        <v>MSEDCL</v>
      </c>
      <c r="J33" s="43">
        <f>IFERROR(VLOOKUP(IGA_BD[[#This Row],[Affected Feeder ]],'Basic Data'!$A$42:$E$53,5,0),"")</f>
        <v>0.25641025641025639</v>
      </c>
      <c r="K33" s="141" t="s">
        <v>654</v>
      </c>
      <c r="L33" s="50">
        <v>0.39305555555555555</v>
      </c>
      <c r="M33" s="50">
        <v>0.39305555555555555</v>
      </c>
      <c r="N33" s="116">
        <v>0.39583333333333331</v>
      </c>
      <c r="O33" s="57">
        <f>(IGA_BD[[#This Row],[Work Start TimeStamp]]-IGA_BD[[#This Row],[Fault Start TimeStamp]])*24</f>
        <v>0</v>
      </c>
      <c r="P33" s="44">
        <f>IF(IGA_BD[[#This Row],[Work Start TimeStamp]]="","",(IGA_BD[[#This Row],[Fault Clearance time]]-IGA_BD[[#This Row],[Work Start TimeStamp]])*24)</f>
        <v>6.666666666666643E-2</v>
      </c>
      <c r="Q33" s="57">
        <f>(IGA_BD[[#This Row],[Fault Clearance time]]-IGA_BD[[#This Row],[Fault Start TimeStamp]])*24</f>
        <v>6.666666666666643E-2</v>
      </c>
      <c r="R33" s="153" t="s">
        <v>655</v>
      </c>
      <c r="S33" s="44" t="s">
        <v>474</v>
      </c>
      <c r="T33" s="45">
        <f>IFERROR(IGA_BD[[#This Row],[Breakdown Time]]*IGA_BD[[#This Row],[Plant Equivalent Weightage]],"")</f>
        <v>1.7094017094017033E-2</v>
      </c>
      <c r="U33" s="153" t="s">
        <v>655</v>
      </c>
      <c r="V33" t="s">
        <v>656</v>
      </c>
      <c r="W33" t="s">
        <v>657</v>
      </c>
      <c r="X33">
        <v>369.99999999999875</v>
      </c>
    </row>
    <row r="34" spans="1:24">
      <c r="A34" s="28">
        <f t="shared" si="1"/>
        <v>33</v>
      </c>
      <c r="B34" s="154">
        <v>45808</v>
      </c>
      <c r="C34" s="30">
        <f>YEAR(WTG_BD[[#This Row],[Date]])+IF(MONTH(WTG_BD[[#This Row],[Date]])&gt;=4,1,0)</f>
        <v>2025</v>
      </c>
      <c r="D34" s="31">
        <f>YEAR(IGA_BD[[#This Row],[Date]])</f>
        <v>2025</v>
      </c>
      <c r="E34" s="48">
        <f t="shared" si="2"/>
        <v>45778</v>
      </c>
      <c r="F34" s="32" t="s">
        <v>652</v>
      </c>
      <c r="G34" s="33" t="s">
        <v>698</v>
      </c>
      <c r="H34" s="43" t="str">
        <f>IFERROR(VLOOKUP(IGA_BD[[#This Row],[Affected Feeder ]],'Basic Data'!$A$42:$E$53,2,0),"")</f>
        <v>PWEGPL</v>
      </c>
      <c r="I34" s="43" t="str">
        <f>IFERROR(VLOOKUP(IGA_BD[[#This Row],[Affected Feeder ]],'Basic Data'!$A$42:$E$53,3,0),"")</f>
        <v>MSEDCL</v>
      </c>
      <c r="J34" s="43">
        <f>IFERROR(VLOOKUP(IGA_BD[[#This Row],[Affected Feeder ]],'Basic Data'!$A$42:$E$53,5,0),"")</f>
        <v>0.10256410256410256</v>
      </c>
      <c r="K34" s="141" t="s">
        <v>654</v>
      </c>
      <c r="L34" s="50">
        <v>0.4201388888888889</v>
      </c>
      <c r="M34" s="116">
        <v>0.4201388888888889</v>
      </c>
      <c r="N34" s="116">
        <v>0.48472222222222222</v>
      </c>
      <c r="O34" s="57">
        <f>(IGA_BD[[#This Row],[Work Start TimeStamp]]-IGA_BD[[#This Row],[Fault Start TimeStamp]])*24</f>
        <v>0</v>
      </c>
      <c r="P34" s="44">
        <f>IF(IGA_BD[[#This Row],[Work Start TimeStamp]]="","",(IGA_BD[[#This Row],[Fault Clearance time]]-IGA_BD[[#This Row],[Work Start TimeStamp]])*24)</f>
        <v>1.5499999999999998</v>
      </c>
      <c r="Q34" s="57">
        <f>(IGA_BD[[#This Row],[Fault Clearance time]]-IGA_BD[[#This Row],[Fault Start TimeStamp]])*24</f>
        <v>1.5499999999999998</v>
      </c>
      <c r="R34" s="153" t="s">
        <v>699</v>
      </c>
      <c r="S34" s="44" t="s">
        <v>474</v>
      </c>
      <c r="T34" s="45">
        <f>IFERROR(IGA_BD[[#This Row],[Breakdown Time]]*IGA_BD[[#This Row],[Plant Equivalent Weightage]],"")</f>
        <v>0.15897435897435894</v>
      </c>
      <c r="U34" s="153" t="s">
        <v>699</v>
      </c>
      <c r="V34" t="s">
        <v>665</v>
      </c>
      <c r="W34" t="s">
        <v>657</v>
      </c>
      <c r="X34" s="3">
        <v>11314.999999999998</v>
      </c>
    </row>
    <row r="35" spans="1:24">
      <c r="A35" s="28">
        <f t="shared" si="1"/>
        <v>34</v>
      </c>
      <c r="B35" s="154">
        <v>45808</v>
      </c>
      <c r="C35" s="30">
        <f>YEAR(WTG_BD[[#This Row],[Date]])+IF(MONTH(WTG_BD[[#This Row],[Date]])&gt;=4,1,0)</f>
        <v>2025</v>
      </c>
      <c r="D35" s="31">
        <f>YEAR(IGA_BD[[#This Row],[Date]])</f>
        <v>2025</v>
      </c>
      <c r="E35" s="48">
        <f t="shared" si="2"/>
        <v>45778</v>
      </c>
      <c r="F35" s="32" t="s">
        <v>652</v>
      </c>
      <c r="G35" s="33" t="s">
        <v>685</v>
      </c>
      <c r="H35" s="43" t="str">
        <f>IFERROR(VLOOKUP(IGA_BD[[#This Row],[Affected Feeder ]],'Basic Data'!$A$42:$E$53,2,0),"")</f>
        <v>PWEGPL</v>
      </c>
      <c r="I35" s="43" t="str">
        <f>IFERROR(VLOOKUP(IGA_BD[[#This Row],[Affected Feeder ]],'Basic Data'!$A$42:$E$53,3,0),"")</f>
        <v>MSEDCL</v>
      </c>
      <c r="J35" s="43">
        <f>IFERROR(VLOOKUP(IGA_BD[[#This Row],[Affected Feeder ]],'Basic Data'!$A$42:$E$53,5,0),"")</f>
        <v>0.15384615384615385</v>
      </c>
      <c r="K35" s="141" t="s">
        <v>654</v>
      </c>
      <c r="L35" s="50">
        <v>0.4201388888888889</v>
      </c>
      <c r="M35" s="116">
        <v>0.4201388888888889</v>
      </c>
      <c r="N35" s="116">
        <v>0.53125</v>
      </c>
      <c r="O35" s="57">
        <f>(IGA_BD[[#This Row],[Work Start TimeStamp]]-IGA_BD[[#This Row],[Fault Start TimeStamp]])*24</f>
        <v>0</v>
      </c>
      <c r="P35" s="44">
        <f>IF(IGA_BD[[#This Row],[Work Start TimeStamp]]="","",(IGA_BD[[#This Row],[Fault Clearance time]]-IGA_BD[[#This Row],[Work Start TimeStamp]])*24)</f>
        <v>2.6666666666666665</v>
      </c>
      <c r="Q35" s="57">
        <f>(IGA_BD[[#This Row],[Fault Clearance time]]-IGA_BD[[#This Row],[Fault Start TimeStamp]])*24</f>
        <v>2.6666666666666665</v>
      </c>
      <c r="R35" s="153" t="s">
        <v>700</v>
      </c>
      <c r="S35" s="44" t="s">
        <v>474</v>
      </c>
      <c r="T35" s="45">
        <f>IFERROR(IGA_BD[[#This Row],[Breakdown Time]]*IGA_BD[[#This Row],[Plant Equivalent Weightage]],"")</f>
        <v>0.41025641025641024</v>
      </c>
      <c r="U35" s="153" t="s">
        <v>700</v>
      </c>
      <c r="V35" t="s">
        <v>665</v>
      </c>
      <c r="W35" t="s">
        <v>657</v>
      </c>
      <c r="X35" s="3">
        <v>19466.666666666664</v>
      </c>
    </row>
    <row r="36" spans="1:24">
      <c r="A36" s="28">
        <f t="shared" si="1"/>
        <v>35</v>
      </c>
      <c r="B36" s="154">
        <v>45809</v>
      </c>
      <c r="C36" s="30">
        <f>YEAR(WTG_BD[[#This Row],[Date]])+IF(MONTH(WTG_BD[[#This Row],[Date]])&gt;=4,1,0)</f>
        <v>2025</v>
      </c>
      <c r="D36" s="31">
        <f>YEAR(IGA_BD[[#This Row],[Date]])</f>
        <v>2025</v>
      </c>
      <c r="E36" s="48">
        <f t="shared" si="2"/>
        <v>45809</v>
      </c>
      <c r="F36" s="32" t="s">
        <v>652</v>
      </c>
      <c r="G36" s="33" t="s">
        <v>653</v>
      </c>
      <c r="H36" s="43" t="str">
        <f>IFERROR(VLOOKUP(IGA_BD[[#This Row],[Affected Feeder ]],'Basic Data'!$A$42:$E$53,2,0),"")</f>
        <v>PWEGPL</v>
      </c>
      <c r="I36" s="43" t="str">
        <f>IFERROR(VLOOKUP(IGA_BD[[#This Row],[Affected Feeder ]],'Basic Data'!$A$42:$E$53,3,0),"")</f>
        <v>MSEDCL</v>
      </c>
      <c r="J36" s="43">
        <f>IFERROR(VLOOKUP(IGA_BD[[#This Row],[Affected Feeder ]],'Basic Data'!$A$42:$E$53,5,0),"")</f>
        <v>0.25641025641025639</v>
      </c>
      <c r="K36" s="141" t="s">
        <v>654</v>
      </c>
      <c r="L36" s="50">
        <v>0.52152777777777781</v>
      </c>
      <c r="M36" s="116">
        <v>0.52152777777777781</v>
      </c>
      <c r="N36" s="116">
        <v>0.5229166666666667</v>
      </c>
      <c r="O36" s="57">
        <f>(IGA_BD[[#This Row],[Work Start TimeStamp]]-IGA_BD[[#This Row],[Fault Start TimeStamp]])*24</f>
        <v>0</v>
      </c>
      <c r="P36" s="44">
        <f>IF(IGA_BD[[#This Row],[Work Start TimeStamp]]="","",(IGA_BD[[#This Row],[Fault Clearance time]]-IGA_BD[[#This Row],[Work Start TimeStamp]])*24)</f>
        <v>3.3333333333333215E-2</v>
      </c>
      <c r="Q36" s="57">
        <f>(IGA_BD[[#This Row],[Fault Clearance time]]-IGA_BD[[#This Row],[Fault Start TimeStamp]])*24</f>
        <v>3.3333333333333215E-2</v>
      </c>
      <c r="R36" s="153" t="s">
        <v>655</v>
      </c>
      <c r="S36" s="44" t="s">
        <v>474</v>
      </c>
      <c r="T36" s="45">
        <f>IFERROR(IGA_BD[[#This Row],[Breakdown Time]]*IGA_BD[[#This Row],[Plant Equivalent Weightage]],"")</f>
        <v>8.5470085470085166E-3</v>
      </c>
      <c r="U36" s="153" t="s">
        <v>655</v>
      </c>
      <c r="V36" t="s">
        <v>656</v>
      </c>
      <c r="W36" t="s">
        <v>657</v>
      </c>
      <c r="X36" s="3">
        <v>248.33333333333243</v>
      </c>
    </row>
    <row r="37" spans="1:24">
      <c r="A37" s="28">
        <f t="shared" si="1"/>
        <v>36</v>
      </c>
      <c r="B37" s="154">
        <v>45809</v>
      </c>
      <c r="C37" s="30">
        <f>YEAR(WTG_BD[[#This Row],[Date]])+IF(MONTH(WTG_BD[[#This Row],[Date]])&gt;=4,1,0)</f>
        <v>2025</v>
      </c>
      <c r="D37" s="31">
        <f>YEAR(IGA_BD[[#This Row],[Date]])</f>
        <v>2025</v>
      </c>
      <c r="E37" s="48">
        <f t="shared" si="2"/>
        <v>45809</v>
      </c>
      <c r="F37" s="32" t="s">
        <v>652</v>
      </c>
      <c r="G37" s="33" t="s">
        <v>660</v>
      </c>
      <c r="H37" s="43" t="str">
        <f>IFERROR(VLOOKUP(IGA_BD[[#This Row],[Affected Feeder ]],'Basic Data'!$A$42:$E$53,2,0),"")</f>
        <v>PWEGPL</v>
      </c>
      <c r="I37" s="43" t="str">
        <f>IFERROR(VLOOKUP(IGA_BD[[#This Row],[Affected Feeder ]],'Basic Data'!$A$42:$E$53,3,0),"")</f>
        <v>MSEDCL</v>
      </c>
      <c r="J37" s="43">
        <f>IFERROR(VLOOKUP(IGA_BD[[#This Row],[Affected Feeder ]],'Basic Data'!$A$42:$E$53,5,0),"")</f>
        <v>0.25641025641025639</v>
      </c>
      <c r="K37" s="141" t="s">
        <v>672</v>
      </c>
      <c r="L37" s="50">
        <v>0.69791666666666663</v>
      </c>
      <c r="M37" s="116">
        <v>0.69791666666666663</v>
      </c>
      <c r="N37" s="116">
        <v>0.7</v>
      </c>
      <c r="O37" s="57">
        <f>(IGA_BD[[#This Row],[Work Start TimeStamp]]-IGA_BD[[#This Row],[Fault Start TimeStamp]])*24</f>
        <v>0</v>
      </c>
      <c r="P37" s="44">
        <f>IF(IGA_BD[[#This Row],[Work Start TimeStamp]]="","",(IGA_BD[[#This Row],[Fault Clearance time]]-IGA_BD[[#This Row],[Work Start TimeStamp]])*24)</f>
        <v>4.9999999999999822E-2</v>
      </c>
      <c r="Q37" s="57">
        <f>(IGA_BD[[#This Row],[Fault Clearance time]]-IGA_BD[[#This Row],[Fault Start TimeStamp]])*24</f>
        <v>4.9999999999999822E-2</v>
      </c>
      <c r="R37" s="153" t="s">
        <v>655</v>
      </c>
      <c r="S37" s="44" t="s">
        <v>474</v>
      </c>
      <c r="T37" s="45">
        <f>IFERROR(IGA_BD[[#This Row],[Breakdown Time]]*IGA_BD[[#This Row],[Plant Equivalent Weightage]],"")</f>
        <v>1.2820512820512773E-2</v>
      </c>
      <c r="U37" s="153" t="s">
        <v>655</v>
      </c>
      <c r="V37" t="s">
        <v>656</v>
      </c>
      <c r="W37" t="s">
        <v>657</v>
      </c>
      <c r="X37" s="3">
        <v>312.49999999999892</v>
      </c>
    </row>
    <row r="38" spans="1:24">
      <c r="A38" s="28">
        <f t="shared" si="1"/>
        <v>37</v>
      </c>
      <c r="B38" s="154">
        <v>45810</v>
      </c>
      <c r="C38" s="30">
        <f>YEAR(WTG_BD[[#This Row],[Date]])+IF(MONTH(WTG_BD[[#This Row],[Date]])&gt;=4,1,0)</f>
        <v>2025</v>
      </c>
      <c r="D38" s="31">
        <f>YEAR(IGA_BD[[#This Row],[Date]])</f>
        <v>2025</v>
      </c>
      <c r="E38" s="48">
        <f t="shared" si="2"/>
        <v>45809</v>
      </c>
      <c r="F38" s="32" t="s">
        <v>652</v>
      </c>
      <c r="G38" s="33" t="s">
        <v>698</v>
      </c>
      <c r="H38" s="43" t="str">
        <f>IFERROR(VLOOKUP(IGA_BD[[#This Row],[Affected Feeder ]],'Basic Data'!$A$42:$E$53,2,0),"")</f>
        <v>PWEGPL</v>
      </c>
      <c r="I38" s="43" t="str">
        <f>IFERROR(VLOOKUP(IGA_BD[[#This Row],[Affected Feeder ]],'Basic Data'!$A$42:$E$53,3,0),"")</f>
        <v>MSEDCL</v>
      </c>
      <c r="J38" s="43">
        <f>IFERROR(VLOOKUP(IGA_BD[[#This Row],[Affected Feeder ]],'Basic Data'!$A$42:$E$53,5,0),"")</f>
        <v>0.10256410256410256</v>
      </c>
      <c r="K38" s="164" t="s">
        <v>686</v>
      </c>
      <c r="L38" s="50">
        <v>0.62152777777777779</v>
      </c>
      <c r="M38" s="116">
        <v>0.62152777777777779</v>
      </c>
      <c r="N38" s="116">
        <v>0.66319444444444442</v>
      </c>
      <c r="O38" s="57">
        <f>(IGA_BD[[#This Row],[Work Start TimeStamp]]-IGA_BD[[#This Row],[Fault Start TimeStamp]])*24</f>
        <v>0</v>
      </c>
      <c r="P38" s="44">
        <f>IF(IGA_BD[[#This Row],[Work Start TimeStamp]]="","",(IGA_BD[[#This Row],[Fault Clearance time]]-IGA_BD[[#This Row],[Work Start TimeStamp]])*24)</f>
        <v>0.99999999999999911</v>
      </c>
      <c r="Q38" s="57">
        <f>(IGA_BD[[#This Row],[Fault Clearance time]]-IGA_BD[[#This Row],[Fault Start TimeStamp]])*24</f>
        <v>0.99999999999999911</v>
      </c>
      <c r="R38" s="153" t="s">
        <v>675</v>
      </c>
      <c r="S38" s="44" t="s">
        <v>474</v>
      </c>
      <c r="T38" s="45">
        <f>IFERROR(IGA_BD[[#This Row],[Breakdown Time]]*IGA_BD[[#This Row],[Plant Equivalent Weightage]],"")</f>
        <v>0.10256410256410246</v>
      </c>
      <c r="U38" s="153" t="s">
        <v>675</v>
      </c>
      <c r="V38" t="s">
        <v>676</v>
      </c>
      <c r="W38" t="s">
        <v>657</v>
      </c>
      <c r="X38">
        <v>3699.9999999999968</v>
      </c>
    </row>
    <row r="39" spans="1:24">
      <c r="A39" s="28">
        <f t="shared" si="1"/>
        <v>38</v>
      </c>
      <c r="B39" s="154">
        <v>45811</v>
      </c>
      <c r="C39" s="30">
        <f>YEAR(WTG_BD[[#This Row],[Date]])+IF(MONTH(WTG_BD[[#This Row],[Date]])&gt;=4,1,0)</f>
        <v>2025</v>
      </c>
      <c r="D39" s="31">
        <f>YEAR(IGA_BD[[#This Row],[Date]])</f>
        <v>2025</v>
      </c>
      <c r="E39" s="48">
        <f t="shared" si="2"/>
        <v>45809</v>
      </c>
      <c r="F39" s="32" t="s">
        <v>652</v>
      </c>
      <c r="G39" s="33" t="s">
        <v>653</v>
      </c>
      <c r="H39" s="43" t="str">
        <f>IFERROR(VLOOKUP(IGA_BD[[#This Row],[Affected Feeder ]],'Basic Data'!$A$42:$E$53,2,0),"")</f>
        <v>PWEGPL</v>
      </c>
      <c r="I39" s="43" t="str">
        <f>IFERROR(VLOOKUP(IGA_BD[[#This Row],[Affected Feeder ]],'Basic Data'!$A$42:$E$53,3,0),"")</f>
        <v>MSEDCL</v>
      </c>
      <c r="J39" s="43">
        <f>IFERROR(VLOOKUP(IGA_BD[[#This Row],[Affected Feeder ]],'Basic Data'!$A$42:$E$53,5,0),"")</f>
        <v>0.25641025641025639</v>
      </c>
      <c r="K39" s="141" t="s">
        <v>654</v>
      </c>
      <c r="L39" s="50">
        <v>0.19444444444444445</v>
      </c>
      <c r="M39" s="116">
        <v>0.19444444444444445</v>
      </c>
      <c r="N39" s="116">
        <v>0.20416666666666666</v>
      </c>
      <c r="O39" s="57">
        <f>(IGA_BD[[#This Row],[Work Start TimeStamp]]-IGA_BD[[#This Row],[Fault Start TimeStamp]])*24</f>
        <v>0</v>
      </c>
      <c r="P39" s="44">
        <f>IF(IGA_BD[[#This Row],[Work Start TimeStamp]]="","",(IGA_BD[[#This Row],[Fault Clearance time]]-IGA_BD[[#This Row],[Work Start TimeStamp]])*24)</f>
        <v>0.23333333333333317</v>
      </c>
      <c r="Q39" s="57">
        <f>(IGA_BD[[#This Row],[Fault Clearance time]]-IGA_BD[[#This Row],[Fault Start TimeStamp]])*24</f>
        <v>0.23333333333333317</v>
      </c>
      <c r="R39" s="153" t="s">
        <v>655</v>
      </c>
      <c r="S39" s="44" t="s">
        <v>474</v>
      </c>
      <c r="T39" s="45">
        <f>IFERROR(IGA_BD[[#This Row],[Breakdown Time]]*IGA_BD[[#This Row],[Plant Equivalent Weightage]],"")</f>
        <v>5.9829059829059783E-2</v>
      </c>
      <c r="U39" s="153" t="s">
        <v>655</v>
      </c>
      <c r="V39" t="s">
        <v>656</v>
      </c>
      <c r="W39" t="s">
        <v>657</v>
      </c>
      <c r="X39">
        <v>1702</v>
      </c>
    </row>
    <row r="40" spans="1:24">
      <c r="A40" s="28">
        <f t="shared" si="1"/>
        <v>39</v>
      </c>
      <c r="B40" s="154">
        <v>45812</v>
      </c>
      <c r="C40" s="30">
        <f>YEAR(WTG_BD[[#This Row],[Date]])+IF(MONTH(WTG_BD[[#This Row],[Date]])&gt;=4,1,0)</f>
        <v>2025</v>
      </c>
      <c r="D40" s="31">
        <f>YEAR(IGA_BD[[#This Row],[Date]])</f>
        <v>2025</v>
      </c>
      <c r="E40" s="48">
        <f t="shared" si="2"/>
        <v>45809</v>
      </c>
      <c r="F40" s="32" t="s">
        <v>652</v>
      </c>
      <c r="G40" s="33" t="s">
        <v>658</v>
      </c>
      <c r="H40" s="43" t="str">
        <f>IFERROR(VLOOKUP(IGA_BD[[#This Row],[Affected Feeder ]],'Basic Data'!$A$42:$E$53,2,0),"")</f>
        <v>PWEGPL</v>
      </c>
      <c r="I40" s="43" t="str">
        <f>IFERROR(VLOOKUP(IGA_BD[[#This Row],[Affected Feeder ]],'Basic Data'!$A$42:$E$53,3,0),"")</f>
        <v>MSEDCL</v>
      </c>
      <c r="J40" s="43">
        <f>IFERROR(VLOOKUP(IGA_BD[[#This Row],[Affected Feeder ]],'Basic Data'!$A$42:$E$53,5,0),"")</f>
        <v>0.23076923076923078</v>
      </c>
      <c r="K40" s="164" t="s">
        <v>701</v>
      </c>
      <c r="L40" s="50">
        <v>0.4375</v>
      </c>
      <c r="M40" s="116">
        <v>0.4375</v>
      </c>
      <c r="N40" s="116">
        <v>0.59097222222222223</v>
      </c>
      <c r="O40" s="57">
        <f>(IGA_BD[[#This Row],[Work Start TimeStamp]]-IGA_BD[[#This Row],[Fault Start TimeStamp]])*24</f>
        <v>0</v>
      </c>
      <c r="P40" s="44">
        <f>IF(IGA_BD[[#This Row],[Work Start TimeStamp]]="","",(IGA_BD[[#This Row],[Fault Clearance time]]-IGA_BD[[#This Row],[Work Start TimeStamp]])*24)</f>
        <v>3.6833333333333336</v>
      </c>
      <c r="Q40" s="57">
        <f>(IGA_BD[[#This Row],[Fault Clearance time]]-IGA_BD[[#This Row],[Fault Start TimeStamp]])*24</f>
        <v>3.6833333333333336</v>
      </c>
      <c r="R40" s="153" t="s">
        <v>688</v>
      </c>
      <c r="S40" s="44" t="s">
        <v>474</v>
      </c>
      <c r="T40" s="45">
        <f>IFERROR(IGA_BD[[#This Row],[Breakdown Time]]*IGA_BD[[#This Row],[Plant Equivalent Weightage]],"")</f>
        <v>0.85000000000000009</v>
      </c>
      <c r="U40" s="153" t="s">
        <v>688</v>
      </c>
      <c r="V40" t="s">
        <v>676</v>
      </c>
      <c r="W40" t="s">
        <v>657</v>
      </c>
      <c r="X40" s="3">
        <v>8121.7500000000009</v>
      </c>
    </row>
    <row r="41" spans="1:24">
      <c r="A41" s="28">
        <f t="shared" si="1"/>
        <v>40</v>
      </c>
      <c r="B41" s="154">
        <v>45812</v>
      </c>
      <c r="C41" s="30">
        <f>YEAR(WTG_BD[[#This Row],[Date]])+IF(MONTH(WTG_BD[[#This Row],[Date]])&gt;=4,1,0)</f>
        <v>2025</v>
      </c>
      <c r="D41" s="31">
        <f>YEAR(IGA_BD[[#This Row],[Date]])</f>
        <v>2025</v>
      </c>
      <c r="E41" s="48">
        <f t="shared" si="2"/>
        <v>45809</v>
      </c>
      <c r="F41" s="32" t="s">
        <v>652</v>
      </c>
      <c r="G41" s="33" t="s">
        <v>666</v>
      </c>
      <c r="H41" s="43" t="str">
        <f>IFERROR(VLOOKUP(IGA_BD[[#This Row],[Affected Feeder ]],'Basic Data'!$A$42:$E$53,2,0),"")</f>
        <v>PWEGPL</v>
      </c>
      <c r="I41" s="43" t="str">
        <f>IFERROR(VLOOKUP(IGA_BD[[#This Row],[Affected Feeder ]],'Basic Data'!$A$42:$E$53,3,0),"")</f>
        <v>MSEDCL</v>
      </c>
      <c r="J41" s="43">
        <f>IFERROR(VLOOKUP(IGA_BD[[#This Row],[Affected Feeder ]],'Basic Data'!$A$42:$E$53,5,0),"")</f>
        <v>0.25641025641025639</v>
      </c>
      <c r="K41" s="164" t="s">
        <v>702</v>
      </c>
      <c r="L41" s="50">
        <v>0.4375</v>
      </c>
      <c r="M41" s="116">
        <v>0.4375</v>
      </c>
      <c r="N41" s="116">
        <v>0.59097222222222223</v>
      </c>
      <c r="O41" s="57">
        <f>(IGA_BD[[#This Row],[Work Start TimeStamp]]-IGA_BD[[#This Row],[Fault Start TimeStamp]])*24</f>
        <v>0</v>
      </c>
      <c r="P41" s="44">
        <f>IF(IGA_BD[[#This Row],[Work Start TimeStamp]]="","",(IGA_BD[[#This Row],[Fault Clearance time]]-IGA_BD[[#This Row],[Work Start TimeStamp]])*24)</f>
        <v>3.6833333333333336</v>
      </c>
      <c r="Q41" s="57">
        <f>(IGA_BD[[#This Row],[Fault Clearance time]]-IGA_BD[[#This Row],[Fault Start TimeStamp]])*24</f>
        <v>3.6833333333333336</v>
      </c>
      <c r="R41" s="153" t="s">
        <v>688</v>
      </c>
      <c r="S41" s="44" t="s">
        <v>474</v>
      </c>
      <c r="T41" s="45">
        <f>IFERROR(IGA_BD[[#This Row],[Breakdown Time]]*IGA_BD[[#This Row],[Plant Equivalent Weightage]],"")</f>
        <v>0.94444444444444442</v>
      </c>
      <c r="U41" s="153" t="s">
        <v>688</v>
      </c>
      <c r="V41" t="s">
        <v>676</v>
      </c>
      <c r="W41" t="s">
        <v>657</v>
      </c>
      <c r="X41" s="3">
        <v>8594.4444444444453</v>
      </c>
    </row>
    <row r="42" spans="1:24">
      <c r="A42" s="28">
        <f t="shared" si="1"/>
        <v>41</v>
      </c>
      <c r="B42" s="154">
        <v>45812</v>
      </c>
      <c r="C42" s="30">
        <f>YEAR(WTG_BD[[#This Row],[Date]])+IF(MONTH(WTG_BD[[#This Row],[Date]])&gt;=4,1,0)</f>
        <v>2025</v>
      </c>
      <c r="D42" s="31">
        <f>YEAR(IGA_BD[[#This Row],[Date]])</f>
        <v>2025</v>
      </c>
      <c r="E42" s="48">
        <f t="shared" si="2"/>
        <v>45809</v>
      </c>
      <c r="F42" s="32" t="s">
        <v>652</v>
      </c>
      <c r="G42" s="33" t="s">
        <v>653</v>
      </c>
      <c r="H42" s="43" t="str">
        <f>IFERROR(VLOOKUP(IGA_BD[[#This Row],[Affected Feeder ]],'Basic Data'!$A$42:$E$53,2,0),"")</f>
        <v>PWEGPL</v>
      </c>
      <c r="I42" s="43" t="str">
        <f>IFERROR(VLOOKUP(IGA_BD[[#This Row],[Affected Feeder ]],'Basic Data'!$A$42:$E$53,3,0),"")</f>
        <v>MSEDCL</v>
      </c>
      <c r="J42" s="43">
        <f>IFERROR(VLOOKUP(IGA_BD[[#This Row],[Affected Feeder ]],'Basic Data'!$A$42:$E$53,5,0),"")</f>
        <v>0.25641025641025639</v>
      </c>
      <c r="K42" s="141" t="s">
        <v>654</v>
      </c>
      <c r="L42" s="50">
        <v>0.60763888888888884</v>
      </c>
      <c r="M42" s="116">
        <v>0.60763888888888884</v>
      </c>
      <c r="N42" s="116">
        <v>0.61805555555555558</v>
      </c>
      <c r="O42" s="57">
        <f>(IGA_BD[[#This Row],[Work Start TimeStamp]]-IGA_BD[[#This Row],[Fault Start TimeStamp]])*24</f>
        <v>0</v>
      </c>
      <c r="P42" s="44">
        <f>IF(IGA_BD[[#This Row],[Work Start TimeStamp]]="","",(IGA_BD[[#This Row],[Fault Clearance time]]-IGA_BD[[#This Row],[Work Start TimeStamp]])*24)</f>
        <v>0.25000000000000178</v>
      </c>
      <c r="Q42" s="57">
        <f>(IGA_BD[[#This Row],[Fault Clearance time]]-IGA_BD[[#This Row],[Fault Start TimeStamp]])*24</f>
        <v>0.25000000000000178</v>
      </c>
      <c r="R42" s="153" t="s">
        <v>655</v>
      </c>
      <c r="S42" s="44" t="s">
        <v>474</v>
      </c>
      <c r="T42" s="45">
        <f>IFERROR(IGA_BD[[#This Row],[Breakdown Time]]*IGA_BD[[#This Row],[Plant Equivalent Weightage]],"")</f>
        <v>6.4102564102564555E-2</v>
      </c>
      <c r="U42" s="153" t="s">
        <v>655</v>
      </c>
      <c r="V42" t="s">
        <v>665</v>
      </c>
      <c r="W42" t="s">
        <v>657</v>
      </c>
      <c r="X42" s="3">
        <v>312.50000000000222</v>
      </c>
    </row>
    <row r="43" spans="1:24">
      <c r="A43" s="28">
        <f t="shared" si="1"/>
        <v>42</v>
      </c>
      <c r="B43" s="154">
        <v>45812</v>
      </c>
      <c r="C43" s="30">
        <f>YEAR(WTG_BD[[#This Row],[Date]])+IF(MONTH(WTG_BD[[#This Row],[Date]])&gt;=4,1,0)</f>
        <v>2025</v>
      </c>
      <c r="D43" s="31">
        <f>YEAR(IGA_BD[[#This Row],[Date]])</f>
        <v>2025</v>
      </c>
      <c r="E43" s="48">
        <f t="shared" si="2"/>
        <v>45809</v>
      </c>
      <c r="F43" s="32" t="s">
        <v>652</v>
      </c>
      <c r="G43" s="33" t="s">
        <v>653</v>
      </c>
      <c r="H43" s="43" t="str">
        <f>IFERROR(VLOOKUP(IGA_BD[[#This Row],[Affected Feeder ]],'Basic Data'!$A$42:$E$53,2,0),"")</f>
        <v>PWEGPL</v>
      </c>
      <c r="I43" s="43" t="str">
        <f>IFERROR(VLOOKUP(IGA_BD[[#This Row],[Affected Feeder ]],'Basic Data'!$A$42:$E$53,3,0),"")</f>
        <v>MSEDCL</v>
      </c>
      <c r="J43" s="43">
        <f>IFERROR(VLOOKUP(IGA_BD[[#This Row],[Affected Feeder ]],'Basic Data'!$A$42:$E$53,5,0),"")</f>
        <v>0.25641025641025639</v>
      </c>
      <c r="K43" s="164" t="s">
        <v>703</v>
      </c>
      <c r="L43" s="50">
        <v>0.6875</v>
      </c>
      <c r="M43" s="116">
        <v>0.6875</v>
      </c>
      <c r="N43" s="116">
        <v>0.87152777777777779</v>
      </c>
      <c r="O43" s="57">
        <f>(IGA_BD[[#This Row],[Work Start TimeStamp]]-IGA_BD[[#This Row],[Fault Start TimeStamp]])*24</f>
        <v>0</v>
      </c>
      <c r="P43" s="44">
        <f>IF(IGA_BD[[#This Row],[Work Start TimeStamp]]="","",(IGA_BD[[#This Row],[Fault Clearance time]]-IGA_BD[[#This Row],[Work Start TimeStamp]])*24)</f>
        <v>4.416666666666667</v>
      </c>
      <c r="Q43" s="57">
        <f>(IGA_BD[[#This Row],[Fault Clearance time]]-IGA_BD[[#This Row],[Fault Start TimeStamp]])*24</f>
        <v>4.416666666666667</v>
      </c>
      <c r="R43" s="153" t="s">
        <v>704</v>
      </c>
      <c r="S43" s="44" t="s">
        <v>474</v>
      </c>
      <c r="T43" s="45">
        <f>IFERROR(IGA_BD[[#This Row],[Breakdown Time]]*IGA_BD[[#This Row],[Plant Equivalent Weightage]],"")</f>
        <v>1.1324786324786325</v>
      </c>
      <c r="U43" s="153" t="s">
        <v>704</v>
      </c>
      <c r="V43" t="s">
        <v>665</v>
      </c>
      <c r="W43" t="s">
        <v>657</v>
      </c>
      <c r="X43" s="3">
        <v>5520.8333333333339</v>
      </c>
    </row>
    <row r="44" spans="1:24">
      <c r="A44" s="28">
        <f t="shared" si="1"/>
        <v>43</v>
      </c>
      <c r="B44" s="154">
        <v>45816</v>
      </c>
      <c r="C44" s="30">
        <f>YEAR(WTG_BD[[#This Row],[Date]])+IF(MONTH(WTG_BD[[#This Row],[Date]])&gt;=4,1,0)</f>
        <v>2025</v>
      </c>
      <c r="D44" s="31">
        <f>YEAR(IGA_BD[[#This Row],[Date]])</f>
        <v>2025</v>
      </c>
      <c r="E44" s="48">
        <f t="shared" si="2"/>
        <v>45809</v>
      </c>
      <c r="F44" s="32" t="s">
        <v>652</v>
      </c>
      <c r="G44" s="33" t="s">
        <v>653</v>
      </c>
      <c r="H44" s="43" t="str">
        <f>IFERROR(VLOOKUP(IGA_BD[[#This Row],[Affected Feeder ]],'Basic Data'!$A$42:$E$53,2,0),"")</f>
        <v>PWEGPL</v>
      </c>
      <c r="I44" s="43" t="str">
        <f>IFERROR(VLOOKUP(IGA_BD[[#This Row],[Affected Feeder ]],'Basic Data'!$A$42:$E$53,3,0),"")</f>
        <v>MSEDCL</v>
      </c>
      <c r="J44" s="43">
        <f>IFERROR(VLOOKUP(IGA_BD[[#This Row],[Affected Feeder ]],'Basic Data'!$A$42:$E$53,5,0),"")</f>
        <v>0.25641025641025639</v>
      </c>
      <c r="K44" s="141" t="s">
        <v>654</v>
      </c>
      <c r="L44" s="50">
        <v>0.28402777777777777</v>
      </c>
      <c r="M44" s="116">
        <v>0.28402777777777777</v>
      </c>
      <c r="N44" s="116">
        <v>0.28541666666666665</v>
      </c>
      <c r="O44" s="57">
        <f>(IGA_BD[[#This Row],[Work Start TimeStamp]]-IGA_BD[[#This Row],[Fault Start TimeStamp]])*24</f>
        <v>0</v>
      </c>
      <c r="P44" s="44">
        <f>IF(IGA_BD[[#This Row],[Work Start TimeStamp]]="","",(IGA_BD[[#This Row],[Fault Clearance time]]-IGA_BD[[#This Row],[Work Start TimeStamp]])*24)</f>
        <v>3.3333333333333215E-2</v>
      </c>
      <c r="Q44" s="57">
        <f>(IGA_BD[[#This Row],[Fault Clearance time]]-IGA_BD[[#This Row],[Fault Start TimeStamp]])*24</f>
        <v>3.3333333333333215E-2</v>
      </c>
      <c r="R44" s="153" t="s">
        <v>655</v>
      </c>
      <c r="S44" s="44" t="s">
        <v>474</v>
      </c>
      <c r="T44" s="45">
        <f>IFERROR(IGA_BD[[#This Row],[Breakdown Time]]*IGA_BD[[#This Row],[Plant Equivalent Weightage]],"")</f>
        <v>8.5470085470085166E-3</v>
      </c>
      <c r="U44" s="153" t="s">
        <v>655</v>
      </c>
      <c r="V44" t="s">
        <v>656</v>
      </c>
      <c r="W44" t="s">
        <v>657</v>
      </c>
      <c r="X44" s="3">
        <v>179.16666666666603</v>
      </c>
    </row>
    <row r="45" spans="1:24">
      <c r="A45" s="28">
        <f t="shared" si="1"/>
        <v>44</v>
      </c>
      <c r="B45" s="154">
        <v>45816</v>
      </c>
      <c r="C45" s="30">
        <f>YEAR(WTG_BD[[#This Row],[Date]])+IF(MONTH(WTG_BD[[#This Row],[Date]])&gt;=4,1,0)</f>
        <v>2025</v>
      </c>
      <c r="D45" s="31">
        <f>YEAR(IGA_BD[[#This Row],[Date]])</f>
        <v>2025</v>
      </c>
      <c r="E45" s="48">
        <f t="shared" si="2"/>
        <v>45809</v>
      </c>
      <c r="F45" s="32" t="s">
        <v>652</v>
      </c>
      <c r="G45" s="33" t="s">
        <v>653</v>
      </c>
      <c r="H45" s="43" t="str">
        <f>IFERROR(VLOOKUP(IGA_BD[[#This Row],[Affected Feeder ]],'Basic Data'!$A$42:$E$53,2,0),"")</f>
        <v>PWEGPL</v>
      </c>
      <c r="I45" s="43" t="str">
        <f>IFERROR(VLOOKUP(IGA_BD[[#This Row],[Affected Feeder ]],'Basic Data'!$A$42:$E$53,3,0),"")</f>
        <v>MSEDCL</v>
      </c>
      <c r="J45" s="43">
        <f>IFERROR(VLOOKUP(IGA_BD[[#This Row],[Affected Feeder ]],'Basic Data'!$A$42:$E$53,5,0),"")</f>
        <v>0.25641025641025639</v>
      </c>
      <c r="K45" s="141" t="s">
        <v>705</v>
      </c>
      <c r="L45" s="50">
        <v>0.79305555555555551</v>
      </c>
      <c r="M45" s="116">
        <v>0.79305555555555551</v>
      </c>
      <c r="N45" s="116">
        <v>0.87847222222222221</v>
      </c>
      <c r="O45" s="57">
        <f>(IGA_BD[[#This Row],[Work Start TimeStamp]]-IGA_BD[[#This Row],[Fault Start TimeStamp]])*24</f>
        <v>0</v>
      </c>
      <c r="P45" s="44">
        <f>IF(IGA_BD[[#This Row],[Work Start TimeStamp]]="","",(IGA_BD[[#This Row],[Fault Clearance time]]-IGA_BD[[#This Row],[Work Start TimeStamp]])*24)</f>
        <v>2.0500000000000007</v>
      </c>
      <c r="Q45" s="57">
        <f>(IGA_BD[[#This Row],[Fault Clearance time]]-IGA_BD[[#This Row],[Fault Start TimeStamp]])*24</f>
        <v>2.0500000000000007</v>
      </c>
      <c r="R45" s="153" t="s">
        <v>706</v>
      </c>
      <c r="S45" s="44" t="s">
        <v>474</v>
      </c>
      <c r="T45" s="45">
        <f>IFERROR(IGA_BD[[#This Row],[Breakdown Time]]*IGA_BD[[#This Row],[Plant Equivalent Weightage]],"")</f>
        <v>0.52564102564102577</v>
      </c>
      <c r="U45" s="153" t="s">
        <v>706</v>
      </c>
      <c r="V45" t="s">
        <v>656</v>
      </c>
      <c r="W45" t="s">
        <v>657</v>
      </c>
      <c r="X45" s="3">
        <v>11018.750000000004</v>
      </c>
    </row>
    <row r="46" spans="1:24">
      <c r="A46" s="28">
        <f t="shared" si="1"/>
        <v>45</v>
      </c>
      <c r="B46" s="154">
        <v>45819</v>
      </c>
      <c r="C46" s="30">
        <f>YEAR(WTG_BD[[#This Row],[Date]])+IF(MONTH(WTG_BD[[#This Row],[Date]])&gt;=4,1,0)</f>
        <v>2025</v>
      </c>
      <c r="D46" s="31">
        <f>YEAR(IGA_BD[[#This Row],[Date]])</f>
        <v>2025</v>
      </c>
      <c r="E46" s="48">
        <f t="shared" si="2"/>
        <v>45809</v>
      </c>
      <c r="F46" s="32" t="s">
        <v>652</v>
      </c>
      <c r="G46" s="33" t="s">
        <v>658</v>
      </c>
      <c r="H46" s="43" t="str">
        <f>IFERROR(VLOOKUP(IGA_BD[[#This Row],[Affected Feeder ]],'Basic Data'!$A$42:$E$53,2,0),"")</f>
        <v>PWEGPL</v>
      </c>
      <c r="I46" s="43" t="str">
        <f>IFERROR(VLOOKUP(IGA_BD[[#This Row],[Affected Feeder ]],'Basic Data'!$A$42:$E$53,3,0),"")</f>
        <v>MSEDCL</v>
      </c>
      <c r="J46" s="43">
        <f>IFERROR(VLOOKUP(IGA_BD[[#This Row],[Affected Feeder ]],'Basic Data'!$A$42:$E$53,5,0),"")</f>
        <v>0.23076923076923078</v>
      </c>
      <c r="K46" s="141" t="s">
        <v>707</v>
      </c>
      <c r="L46" s="50">
        <v>0.69236111111111109</v>
      </c>
      <c r="M46" s="116">
        <v>0.69236111111111109</v>
      </c>
      <c r="N46" s="116">
        <v>0.69791666666666663</v>
      </c>
      <c r="O46" s="57">
        <f>(IGA_BD[[#This Row],[Work Start TimeStamp]]-IGA_BD[[#This Row],[Fault Start TimeStamp]])*24</f>
        <v>0</v>
      </c>
      <c r="P46" s="44">
        <f>IF(IGA_BD[[#This Row],[Work Start TimeStamp]]="","",(IGA_BD[[#This Row],[Fault Clearance time]]-IGA_BD[[#This Row],[Work Start TimeStamp]])*24)</f>
        <v>0.13333333333333286</v>
      </c>
      <c r="Q46" s="57">
        <f>(IGA_BD[[#This Row],[Fault Clearance time]]-IGA_BD[[#This Row],[Fault Start TimeStamp]])*24</f>
        <v>0.13333333333333286</v>
      </c>
      <c r="R46" s="153" t="s">
        <v>655</v>
      </c>
      <c r="S46" s="44" t="s">
        <v>474</v>
      </c>
      <c r="T46" s="45">
        <f>IFERROR(IGA_BD[[#This Row],[Breakdown Time]]*IGA_BD[[#This Row],[Plant Equivalent Weightage]],"")</f>
        <v>3.076923076923066E-2</v>
      </c>
      <c r="U46" s="153" t="s">
        <v>655</v>
      </c>
      <c r="V46" t="s">
        <v>656</v>
      </c>
      <c r="W46" t="s">
        <v>657</v>
      </c>
      <c r="X46">
        <v>527</v>
      </c>
    </row>
    <row r="47" spans="1:24">
      <c r="A47" s="28">
        <f t="shared" si="1"/>
        <v>46</v>
      </c>
      <c r="B47" s="154"/>
      <c r="C47" s="30">
        <f>YEAR(WTG_BD[[#This Row],[Date]])+IF(MONTH(WTG_BD[[#This Row],[Date]])&gt;=4,1,0)</f>
        <v>2025</v>
      </c>
      <c r="D47" s="31">
        <f>YEAR(IGA_BD[[#This Row],[Date]])</f>
        <v>1900</v>
      </c>
      <c r="E47" s="48">
        <f t="shared" si="2"/>
        <v>1</v>
      </c>
      <c r="F47" s="32"/>
      <c r="G47" s="33"/>
      <c r="H47" s="43" t="str">
        <f>IFERROR(VLOOKUP(IGA_BD[[#This Row],[Affected Feeder ]],'Basic Data'!$A$42:$E$53,2,0),"")</f>
        <v/>
      </c>
      <c r="I47" s="43" t="str">
        <f>IFERROR(VLOOKUP(IGA_BD[[#This Row],[Affected Feeder ]],'Basic Data'!$A$42:$E$53,3,0),"")</f>
        <v/>
      </c>
      <c r="J47" s="43" t="str">
        <f>IFERROR(VLOOKUP(IGA_BD[[#This Row],[Affected Feeder ]],'Basic Data'!$A$42:$E$53,5,0),"")</f>
        <v/>
      </c>
      <c r="K47" s="164"/>
      <c r="L47" s="50"/>
      <c r="M47" s="116"/>
      <c r="N47" s="116"/>
      <c r="O47" s="57">
        <f>(IGA_BD[[#This Row],[Work Start TimeStamp]]-IGA_BD[[#This Row],[Fault Start TimeStamp]])*24</f>
        <v>0</v>
      </c>
      <c r="P47" s="44" t="str">
        <f>IF(IGA_BD[[#This Row],[Work Start TimeStamp]]="","",(IGA_BD[[#This Row],[Fault Clearance time]]-IGA_BD[[#This Row],[Work Start TimeStamp]])*24)</f>
        <v/>
      </c>
      <c r="Q47" s="57">
        <f>(IGA_BD[[#This Row],[Fault Clearance time]]-IGA_BD[[#This Row],[Fault Start TimeStamp]])*24</f>
        <v>0</v>
      </c>
      <c r="R47" s="153"/>
      <c r="S47" s="44"/>
      <c r="T47" s="45" t="str">
        <f>IFERROR(IGA_BD[[#This Row],[Breakdown Time]]*IGA_BD[[#This Row],[Plant Equivalent Weightage]],"")</f>
        <v/>
      </c>
    </row>
    <row r="48" spans="1:24">
      <c r="A48" s="28">
        <f t="shared" si="1"/>
        <v>47</v>
      </c>
      <c r="B48" s="154"/>
      <c r="C48" s="30">
        <f>YEAR(WTG_BD[[#This Row],[Date]])+IF(MONTH(WTG_BD[[#This Row],[Date]])&gt;=4,1,0)</f>
        <v>2025</v>
      </c>
      <c r="D48" s="31">
        <f>YEAR(IGA_BD[[#This Row],[Date]])</f>
        <v>1900</v>
      </c>
      <c r="E48" s="48">
        <f t="shared" si="2"/>
        <v>1</v>
      </c>
      <c r="F48" s="32"/>
      <c r="G48" s="33"/>
      <c r="H48" s="43" t="str">
        <f>IFERROR(VLOOKUP(IGA_BD[[#This Row],[Affected Feeder ]],'Basic Data'!$A$42:$E$53,2,0),"")</f>
        <v/>
      </c>
      <c r="I48" s="43" t="str">
        <f>IFERROR(VLOOKUP(IGA_BD[[#This Row],[Affected Feeder ]],'Basic Data'!$A$42:$E$53,3,0),"")</f>
        <v/>
      </c>
      <c r="J48" s="43" t="str">
        <f>IFERROR(VLOOKUP(IGA_BD[[#This Row],[Affected Feeder ]],'Basic Data'!$A$42:$E$53,5,0),"")</f>
        <v/>
      </c>
      <c r="K48" s="164"/>
      <c r="L48" s="50"/>
      <c r="M48" s="116"/>
      <c r="N48" s="116"/>
      <c r="O48" s="57">
        <f>(IGA_BD[[#This Row],[Work Start TimeStamp]]-IGA_BD[[#This Row],[Fault Start TimeStamp]])*24</f>
        <v>0</v>
      </c>
      <c r="P48" s="44" t="str">
        <f>IF(IGA_BD[[#This Row],[Work Start TimeStamp]]="","",(IGA_BD[[#This Row],[Fault Clearance time]]-IGA_BD[[#This Row],[Work Start TimeStamp]])*24)</f>
        <v/>
      </c>
      <c r="Q48" s="57">
        <f>(IGA_BD[[#This Row],[Fault Clearance time]]-IGA_BD[[#This Row],[Fault Start TimeStamp]])*24</f>
        <v>0</v>
      </c>
      <c r="R48" s="153"/>
      <c r="S48" s="44"/>
      <c r="T48" s="45" t="str">
        <f>IFERROR(IGA_BD[[#This Row],[Breakdown Time]]*IGA_BD[[#This Row],[Plant Equivalent Weightage]],"")</f>
        <v/>
      </c>
    </row>
    <row r="49" spans="1:20">
      <c r="A49" s="28">
        <f t="shared" si="1"/>
        <v>48</v>
      </c>
      <c r="B49" s="154"/>
      <c r="C49" s="30">
        <f>YEAR(WTG_BD[[#This Row],[Date]])+IF(MONTH(WTG_BD[[#This Row],[Date]])&gt;=4,1,0)</f>
        <v>2025</v>
      </c>
      <c r="D49" s="31">
        <f>YEAR(IGA_BD[[#This Row],[Date]])</f>
        <v>1900</v>
      </c>
      <c r="E49" s="48">
        <f t="shared" si="2"/>
        <v>1</v>
      </c>
      <c r="F49" s="32"/>
      <c r="G49" s="33"/>
      <c r="H49" s="43" t="str">
        <f>IFERROR(VLOOKUP(IGA_BD[[#This Row],[Affected Feeder ]],'Basic Data'!$A$42:$E$53,2,0),"")</f>
        <v/>
      </c>
      <c r="I49" s="43" t="str">
        <f>IFERROR(VLOOKUP(IGA_BD[[#This Row],[Affected Feeder ]],'Basic Data'!$A$42:$E$53,3,0),"")</f>
        <v/>
      </c>
      <c r="J49" s="43" t="str">
        <f>IFERROR(VLOOKUP(IGA_BD[[#This Row],[Affected Feeder ]],'Basic Data'!$A$42:$E$53,5,0),"")</f>
        <v/>
      </c>
      <c r="K49" s="164"/>
      <c r="L49" s="50"/>
      <c r="M49" s="116"/>
      <c r="N49" s="116"/>
      <c r="O49" s="57">
        <f>(IGA_BD[[#This Row],[Work Start TimeStamp]]-IGA_BD[[#This Row],[Fault Start TimeStamp]])*24</f>
        <v>0</v>
      </c>
      <c r="P49" s="44" t="str">
        <f>IF(IGA_BD[[#This Row],[Work Start TimeStamp]]="","",(IGA_BD[[#This Row],[Fault Clearance time]]-IGA_BD[[#This Row],[Work Start TimeStamp]])*24)</f>
        <v/>
      </c>
      <c r="Q49" s="57">
        <f>(IGA_BD[[#This Row],[Fault Clearance time]]-IGA_BD[[#This Row],[Fault Start TimeStamp]])*24</f>
        <v>0</v>
      </c>
      <c r="R49" s="153"/>
      <c r="S49" s="44"/>
      <c r="T49" s="45" t="str">
        <f>IFERROR(IGA_BD[[#This Row],[Breakdown Time]]*IGA_BD[[#This Row],[Plant Equivalent Weightage]],"")</f>
        <v/>
      </c>
    </row>
    <row r="50" spans="1:20">
      <c r="A50" s="28">
        <f t="shared" si="1"/>
        <v>49</v>
      </c>
      <c r="B50" s="154"/>
      <c r="C50" s="30">
        <f>YEAR(WTG_BD[[#This Row],[Date]])+IF(MONTH(WTG_BD[[#This Row],[Date]])&gt;=4,1,0)</f>
        <v>2025</v>
      </c>
      <c r="D50" s="31">
        <f>YEAR(IGA_BD[[#This Row],[Date]])</f>
        <v>1900</v>
      </c>
      <c r="E50" s="48">
        <f t="shared" si="2"/>
        <v>1</v>
      </c>
      <c r="F50" s="32"/>
      <c r="G50" s="33"/>
      <c r="H50" s="43" t="str">
        <f>IFERROR(VLOOKUP(IGA_BD[[#This Row],[Affected Feeder ]],'Basic Data'!$A$42:$E$53,2,0),"")</f>
        <v/>
      </c>
      <c r="I50" s="43" t="str">
        <f>IFERROR(VLOOKUP(IGA_BD[[#This Row],[Affected Feeder ]],'Basic Data'!$A$42:$E$53,3,0),"")</f>
        <v/>
      </c>
      <c r="J50" s="43" t="str">
        <f>IFERROR(VLOOKUP(IGA_BD[[#This Row],[Affected Feeder ]],'Basic Data'!$A$42:$E$53,5,0),"")</f>
        <v/>
      </c>
      <c r="K50" s="164"/>
      <c r="L50" s="50"/>
      <c r="M50" s="116"/>
      <c r="N50" s="116"/>
      <c r="O50" s="57">
        <f>(IGA_BD[[#This Row],[Work Start TimeStamp]]-IGA_BD[[#This Row],[Fault Start TimeStamp]])*24</f>
        <v>0</v>
      </c>
      <c r="P50" s="44" t="str">
        <f>IF(IGA_BD[[#This Row],[Work Start TimeStamp]]="","",(IGA_BD[[#This Row],[Fault Clearance time]]-IGA_BD[[#This Row],[Work Start TimeStamp]])*24)</f>
        <v/>
      </c>
      <c r="Q50" s="57">
        <f>(IGA_BD[[#This Row],[Fault Clearance time]]-IGA_BD[[#This Row],[Fault Start TimeStamp]])*24</f>
        <v>0</v>
      </c>
      <c r="R50" s="153"/>
      <c r="S50" s="44"/>
      <c r="T50" s="45" t="str">
        <f>IFERROR(IGA_BD[[#This Row],[Breakdown Time]]*IGA_BD[[#This Row],[Plant Equivalent Weightage]],"")</f>
        <v/>
      </c>
    </row>
    <row r="51" spans="1:20">
      <c r="A51" s="28">
        <f t="shared" si="1"/>
        <v>50</v>
      </c>
      <c r="B51" s="154"/>
      <c r="C51" s="30">
        <f>YEAR(WTG_BD[[#This Row],[Date]])+IF(MONTH(WTG_BD[[#This Row],[Date]])&gt;=4,1,0)</f>
        <v>2025</v>
      </c>
      <c r="D51" s="31">
        <f>YEAR(IGA_BD[[#This Row],[Date]])</f>
        <v>1900</v>
      </c>
      <c r="E51" s="48">
        <f t="shared" si="2"/>
        <v>1</v>
      </c>
      <c r="F51" s="32"/>
      <c r="G51" s="33"/>
      <c r="H51" s="43" t="str">
        <f>IFERROR(VLOOKUP(IGA_BD[[#This Row],[Affected Feeder ]],'Basic Data'!$A$42:$E$53,2,0),"")</f>
        <v/>
      </c>
      <c r="I51" s="43" t="str">
        <f>IFERROR(VLOOKUP(IGA_BD[[#This Row],[Affected Feeder ]],'Basic Data'!$A$42:$E$53,3,0),"")</f>
        <v/>
      </c>
      <c r="J51" s="43" t="str">
        <f>IFERROR(VLOOKUP(IGA_BD[[#This Row],[Affected Feeder ]],'Basic Data'!$A$42:$E$53,5,0),"")</f>
        <v/>
      </c>
      <c r="K51" s="164"/>
      <c r="L51" s="50"/>
      <c r="M51" s="116"/>
      <c r="N51" s="116"/>
      <c r="O51" s="57">
        <f>(IGA_BD[[#This Row],[Work Start TimeStamp]]-IGA_BD[[#This Row],[Fault Start TimeStamp]])*24</f>
        <v>0</v>
      </c>
      <c r="P51" s="44" t="str">
        <f>IF(IGA_BD[[#This Row],[Work Start TimeStamp]]="","",(IGA_BD[[#This Row],[Fault Clearance time]]-IGA_BD[[#This Row],[Work Start TimeStamp]])*24)</f>
        <v/>
      </c>
      <c r="Q51" s="57">
        <f>(IGA_BD[[#This Row],[Fault Clearance time]]-IGA_BD[[#This Row],[Fault Start TimeStamp]])*24</f>
        <v>0</v>
      </c>
      <c r="R51" s="153"/>
      <c r="S51" s="44"/>
      <c r="T51" s="45" t="str">
        <f>IFERROR(IGA_BD[[#This Row],[Breakdown Time]]*IGA_BD[[#This Row],[Plant Equivalent Weightage]],"")</f>
        <v/>
      </c>
    </row>
    <row r="52" spans="1:20">
      <c r="A52" s="28">
        <f t="shared" ref="A52:A102" si="3">A51+1</f>
        <v>51</v>
      </c>
      <c r="B52" s="154"/>
      <c r="C52" s="30">
        <f>YEAR(WTG_BD[[#This Row],[Date]])+IF(MONTH(WTG_BD[[#This Row],[Date]])&gt;=4,1,0)</f>
        <v>2025</v>
      </c>
      <c r="D52" s="31">
        <f>YEAR(IGA_BD[[#This Row],[Date]])</f>
        <v>1900</v>
      </c>
      <c r="E52" s="48">
        <f t="shared" si="2"/>
        <v>1</v>
      </c>
      <c r="F52" s="32"/>
      <c r="G52" s="33"/>
      <c r="H52" s="43" t="str">
        <f>IFERROR(VLOOKUP(IGA_BD[[#This Row],[Affected Feeder ]],'Basic Data'!$A$42:$E$53,2,0),"")</f>
        <v/>
      </c>
      <c r="I52" s="43" t="str">
        <f>IFERROR(VLOOKUP(IGA_BD[[#This Row],[Affected Feeder ]],'Basic Data'!$A$42:$E$53,3,0),"")</f>
        <v/>
      </c>
      <c r="J52" s="43" t="str">
        <f>IFERROR(VLOOKUP(IGA_BD[[#This Row],[Affected Feeder ]],'Basic Data'!$A$42:$E$53,5,0),"")</f>
        <v/>
      </c>
      <c r="K52" s="164"/>
      <c r="L52" s="50"/>
      <c r="M52" s="116"/>
      <c r="N52" s="116"/>
      <c r="O52" s="57">
        <f>(IGA_BD[[#This Row],[Work Start TimeStamp]]-IGA_BD[[#This Row],[Fault Start TimeStamp]])*24</f>
        <v>0</v>
      </c>
      <c r="P52" s="44" t="str">
        <f>IF(IGA_BD[[#This Row],[Work Start TimeStamp]]="","",(IGA_BD[[#This Row],[Fault Clearance time]]-IGA_BD[[#This Row],[Work Start TimeStamp]])*24)</f>
        <v/>
      </c>
      <c r="Q52" s="57">
        <f>(IGA_BD[[#This Row],[Fault Clearance time]]-IGA_BD[[#This Row],[Fault Start TimeStamp]])*24</f>
        <v>0</v>
      </c>
      <c r="R52" s="153"/>
      <c r="S52" s="44"/>
      <c r="T52" s="45" t="str">
        <f>IFERROR(IGA_BD[[#This Row],[Breakdown Time]]*IGA_BD[[#This Row],[Plant Equivalent Weightage]],"")</f>
        <v/>
      </c>
    </row>
    <row r="53" spans="1:20">
      <c r="A53" s="28">
        <f t="shared" si="3"/>
        <v>52</v>
      </c>
      <c r="B53" s="154"/>
      <c r="C53" s="30">
        <f>YEAR(WTG_BD[[#This Row],[Date]])+IF(MONTH(WTG_BD[[#This Row],[Date]])&gt;=4,1,0)</f>
        <v>2025</v>
      </c>
      <c r="D53" s="31">
        <f>YEAR(IGA_BD[[#This Row],[Date]])</f>
        <v>1900</v>
      </c>
      <c r="E53" s="48">
        <f t="shared" si="2"/>
        <v>1</v>
      </c>
      <c r="F53" s="32"/>
      <c r="G53" s="33"/>
      <c r="H53" s="43" t="str">
        <f>IFERROR(VLOOKUP(IGA_BD[[#This Row],[Affected Feeder ]],'Basic Data'!$A$42:$E$53,2,0),"")</f>
        <v/>
      </c>
      <c r="I53" s="43" t="str">
        <f>IFERROR(VLOOKUP(IGA_BD[[#This Row],[Affected Feeder ]],'Basic Data'!$A$42:$E$53,3,0),"")</f>
        <v/>
      </c>
      <c r="J53" s="43" t="str">
        <f>IFERROR(VLOOKUP(IGA_BD[[#This Row],[Affected Feeder ]],'Basic Data'!$A$42:$E$53,5,0),"")</f>
        <v/>
      </c>
      <c r="K53" s="164"/>
      <c r="L53" s="50"/>
      <c r="M53" s="116"/>
      <c r="N53" s="116"/>
      <c r="O53" s="57">
        <f>(IGA_BD[[#This Row],[Work Start TimeStamp]]-IGA_BD[[#This Row],[Fault Start TimeStamp]])*24</f>
        <v>0</v>
      </c>
      <c r="P53" s="44" t="str">
        <f>IF(IGA_BD[[#This Row],[Work Start TimeStamp]]="","",(IGA_BD[[#This Row],[Fault Clearance time]]-IGA_BD[[#This Row],[Work Start TimeStamp]])*24)</f>
        <v/>
      </c>
      <c r="Q53" s="57">
        <f>(IGA_BD[[#This Row],[Fault Clearance time]]-IGA_BD[[#This Row],[Fault Start TimeStamp]])*24</f>
        <v>0</v>
      </c>
      <c r="R53" s="153"/>
      <c r="S53" s="44"/>
      <c r="T53" s="45" t="str">
        <f>IFERROR(IGA_BD[[#This Row],[Breakdown Time]]*IGA_BD[[#This Row],[Plant Equivalent Weightage]],"")</f>
        <v/>
      </c>
    </row>
    <row r="54" spans="1:20">
      <c r="A54" s="28">
        <f t="shared" si="3"/>
        <v>53</v>
      </c>
      <c r="B54" s="154"/>
      <c r="C54" s="30">
        <f>YEAR(WTG_BD[[#This Row],[Date]])+IF(MONTH(WTG_BD[[#This Row],[Date]])&gt;=4,1,0)</f>
        <v>2025</v>
      </c>
      <c r="D54" s="31">
        <f>YEAR(IGA_BD[[#This Row],[Date]])</f>
        <v>1900</v>
      </c>
      <c r="E54" s="48">
        <f t="shared" si="2"/>
        <v>1</v>
      </c>
      <c r="F54" s="32"/>
      <c r="G54" s="33"/>
      <c r="H54" s="43" t="str">
        <f>IFERROR(VLOOKUP(IGA_BD[[#This Row],[Affected Feeder ]],'Basic Data'!$A$42:$E$53,2,0),"")</f>
        <v/>
      </c>
      <c r="I54" s="43" t="str">
        <f>IFERROR(VLOOKUP(IGA_BD[[#This Row],[Affected Feeder ]],'Basic Data'!$A$42:$E$53,3,0),"")</f>
        <v/>
      </c>
      <c r="J54" s="43" t="str">
        <f>IFERROR(VLOOKUP(IGA_BD[[#This Row],[Affected Feeder ]],'Basic Data'!$A$42:$E$53,5,0),"")</f>
        <v/>
      </c>
      <c r="K54" s="164"/>
      <c r="L54" s="50"/>
      <c r="M54" s="116"/>
      <c r="N54" s="116"/>
      <c r="O54" s="57">
        <f>(IGA_BD[[#This Row],[Work Start TimeStamp]]-IGA_BD[[#This Row],[Fault Start TimeStamp]])*24</f>
        <v>0</v>
      </c>
      <c r="P54" s="44" t="str">
        <f>IF(IGA_BD[[#This Row],[Work Start TimeStamp]]="","",(IGA_BD[[#This Row],[Fault Clearance time]]-IGA_BD[[#This Row],[Work Start TimeStamp]])*24)</f>
        <v/>
      </c>
      <c r="Q54" s="57">
        <f>(IGA_BD[[#This Row],[Fault Clearance time]]-IGA_BD[[#This Row],[Fault Start TimeStamp]])*24</f>
        <v>0</v>
      </c>
      <c r="R54" s="153"/>
      <c r="S54" s="44"/>
      <c r="T54" s="45" t="str">
        <f>IFERROR(IGA_BD[[#This Row],[Breakdown Time]]*IGA_BD[[#This Row],[Plant Equivalent Weightage]],"")</f>
        <v/>
      </c>
    </row>
    <row r="55" spans="1:20">
      <c r="A55" s="28">
        <f t="shared" si="3"/>
        <v>54</v>
      </c>
      <c r="B55" s="154"/>
      <c r="C55" s="30">
        <f>YEAR(WTG_BD[[#This Row],[Date]])+IF(MONTH(WTG_BD[[#This Row],[Date]])&gt;=4,1,0)</f>
        <v>2025</v>
      </c>
      <c r="D55" s="31">
        <f>YEAR(IGA_BD[[#This Row],[Date]])</f>
        <v>1900</v>
      </c>
      <c r="E55" s="48">
        <f t="shared" si="2"/>
        <v>1</v>
      </c>
      <c r="F55" s="32"/>
      <c r="G55" s="33"/>
      <c r="H55" s="43" t="str">
        <f>IFERROR(VLOOKUP(IGA_BD[[#This Row],[Affected Feeder ]],'Basic Data'!$A$42:$E$53,2,0),"")</f>
        <v/>
      </c>
      <c r="I55" s="43" t="str">
        <f>IFERROR(VLOOKUP(IGA_BD[[#This Row],[Affected Feeder ]],'Basic Data'!$A$42:$E$53,3,0),"")</f>
        <v/>
      </c>
      <c r="J55" s="43" t="str">
        <f>IFERROR(VLOOKUP(IGA_BD[[#This Row],[Affected Feeder ]],'Basic Data'!$A$42:$E$53,5,0),"")</f>
        <v/>
      </c>
      <c r="K55" s="164"/>
      <c r="L55" s="50"/>
      <c r="M55" s="116"/>
      <c r="N55" s="116"/>
      <c r="O55" s="57">
        <f>(IGA_BD[[#This Row],[Work Start TimeStamp]]-IGA_BD[[#This Row],[Fault Start TimeStamp]])*24</f>
        <v>0</v>
      </c>
      <c r="P55" s="44" t="str">
        <f>IF(IGA_BD[[#This Row],[Work Start TimeStamp]]="","",(IGA_BD[[#This Row],[Fault Clearance time]]-IGA_BD[[#This Row],[Work Start TimeStamp]])*24)</f>
        <v/>
      </c>
      <c r="Q55" s="57">
        <f>(IGA_BD[[#This Row],[Fault Clearance time]]-IGA_BD[[#This Row],[Fault Start TimeStamp]])*24</f>
        <v>0</v>
      </c>
      <c r="R55" s="153"/>
      <c r="S55" s="44"/>
      <c r="T55" s="45" t="str">
        <f>IFERROR(IGA_BD[[#This Row],[Breakdown Time]]*IGA_BD[[#This Row],[Plant Equivalent Weightage]],"")</f>
        <v/>
      </c>
    </row>
    <row r="56" spans="1:20">
      <c r="A56" s="28">
        <f t="shared" si="3"/>
        <v>55</v>
      </c>
      <c r="B56" s="154"/>
      <c r="C56" s="30">
        <f>YEAR(WTG_BD[[#This Row],[Date]])+IF(MONTH(WTG_BD[[#This Row],[Date]])&gt;=4,1,0)</f>
        <v>2025</v>
      </c>
      <c r="D56" s="31">
        <f>YEAR(IGA_BD[[#This Row],[Date]])</f>
        <v>1900</v>
      </c>
      <c r="E56" s="48">
        <f t="shared" si="2"/>
        <v>1</v>
      </c>
      <c r="F56" s="32"/>
      <c r="G56" s="33"/>
      <c r="H56" s="43" t="str">
        <f>IFERROR(VLOOKUP(IGA_BD[[#This Row],[Affected Feeder ]],'Basic Data'!$A$42:$E$53,2,0),"")</f>
        <v/>
      </c>
      <c r="I56" s="43" t="str">
        <f>IFERROR(VLOOKUP(IGA_BD[[#This Row],[Affected Feeder ]],'Basic Data'!$A$42:$E$53,3,0),"")</f>
        <v/>
      </c>
      <c r="J56" s="43" t="str">
        <f>IFERROR(VLOOKUP(IGA_BD[[#This Row],[Affected Feeder ]],'Basic Data'!$A$42:$E$53,5,0),"")</f>
        <v/>
      </c>
      <c r="K56" s="164"/>
      <c r="L56" s="50"/>
      <c r="M56" s="116"/>
      <c r="N56" s="116"/>
      <c r="O56" s="57">
        <f>(IGA_BD[[#This Row],[Work Start TimeStamp]]-IGA_BD[[#This Row],[Fault Start TimeStamp]])*24</f>
        <v>0</v>
      </c>
      <c r="P56" s="44" t="str">
        <f>IF(IGA_BD[[#This Row],[Work Start TimeStamp]]="","",(IGA_BD[[#This Row],[Fault Clearance time]]-IGA_BD[[#This Row],[Work Start TimeStamp]])*24)</f>
        <v/>
      </c>
      <c r="Q56" s="57">
        <f>(IGA_BD[[#This Row],[Fault Clearance time]]-IGA_BD[[#This Row],[Fault Start TimeStamp]])*24</f>
        <v>0</v>
      </c>
      <c r="R56" s="153"/>
      <c r="S56" s="44"/>
      <c r="T56" s="45" t="str">
        <f>IFERROR(IGA_BD[[#This Row],[Breakdown Time]]*IGA_BD[[#This Row],[Plant Equivalent Weightage]],"")</f>
        <v/>
      </c>
    </row>
    <row r="57" spans="1:20">
      <c r="A57" s="28">
        <f t="shared" si="3"/>
        <v>56</v>
      </c>
      <c r="B57" s="154"/>
      <c r="C57" s="30">
        <f>YEAR(WTG_BD[[#This Row],[Date]])+IF(MONTH(WTG_BD[[#This Row],[Date]])&gt;=4,1,0)</f>
        <v>2025</v>
      </c>
      <c r="D57" s="31">
        <f>YEAR(IGA_BD[[#This Row],[Date]])</f>
        <v>1900</v>
      </c>
      <c r="E57" s="48">
        <f t="shared" si="2"/>
        <v>1</v>
      </c>
      <c r="F57" s="32"/>
      <c r="G57" s="33"/>
      <c r="H57" s="43" t="str">
        <f>IFERROR(VLOOKUP(IGA_BD[[#This Row],[Affected Feeder ]],'Basic Data'!$A$42:$E$53,2,0),"")</f>
        <v/>
      </c>
      <c r="I57" s="43" t="str">
        <f>IFERROR(VLOOKUP(IGA_BD[[#This Row],[Affected Feeder ]],'Basic Data'!$A$42:$E$53,3,0),"")</f>
        <v/>
      </c>
      <c r="J57" s="43" t="str">
        <f>IFERROR(VLOOKUP(IGA_BD[[#This Row],[Affected Feeder ]],'Basic Data'!$A$42:$E$53,5,0),"")</f>
        <v/>
      </c>
      <c r="K57" s="164"/>
      <c r="L57" s="50"/>
      <c r="M57" s="116"/>
      <c r="N57" s="116"/>
      <c r="O57" s="57">
        <f>(IGA_BD[[#This Row],[Work Start TimeStamp]]-IGA_BD[[#This Row],[Fault Start TimeStamp]])*24</f>
        <v>0</v>
      </c>
      <c r="P57" s="44" t="str">
        <f>IF(IGA_BD[[#This Row],[Work Start TimeStamp]]="","",(IGA_BD[[#This Row],[Fault Clearance time]]-IGA_BD[[#This Row],[Work Start TimeStamp]])*24)</f>
        <v/>
      </c>
      <c r="Q57" s="57">
        <f>(IGA_BD[[#This Row],[Fault Clearance time]]-IGA_BD[[#This Row],[Fault Start TimeStamp]])*24</f>
        <v>0</v>
      </c>
      <c r="R57" s="153"/>
      <c r="S57" s="44"/>
      <c r="T57" s="45" t="str">
        <f>IFERROR(IGA_BD[[#This Row],[Breakdown Time]]*IGA_BD[[#This Row],[Plant Equivalent Weightage]],"")</f>
        <v/>
      </c>
    </row>
    <row r="58" spans="1:20">
      <c r="A58" s="28">
        <f t="shared" si="3"/>
        <v>57</v>
      </c>
      <c r="B58" s="154"/>
      <c r="C58" s="30">
        <f>YEAR(WTG_BD[[#This Row],[Date]])+IF(MONTH(WTG_BD[[#This Row],[Date]])&gt;=4,1,0)</f>
        <v>2025</v>
      </c>
      <c r="D58" s="31">
        <f>YEAR(IGA_BD[[#This Row],[Date]])</f>
        <v>1900</v>
      </c>
      <c r="E58" s="48">
        <f t="shared" si="2"/>
        <v>1</v>
      </c>
      <c r="F58" s="32"/>
      <c r="G58" s="33"/>
      <c r="H58" s="43" t="str">
        <f>IFERROR(VLOOKUP(IGA_BD[[#This Row],[Affected Feeder ]],'Basic Data'!$A$42:$E$53,2,0),"")</f>
        <v/>
      </c>
      <c r="I58" s="43" t="str">
        <f>IFERROR(VLOOKUP(IGA_BD[[#This Row],[Affected Feeder ]],'Basic Data'!$A$42:$E$53,3,0),"")</f>
        <v/>
      </c>
      <c r="J58" s="43" t="str">
        <f>IFERROR(VLOOKUP(IGA_BD[[#This Row],[Affected Feeder ]],'Basic Data'!$A$42:$E$53,5,0),"")</f>
        <v/>
      </c>
      <c r="K58" s="164"/>
      <c r="L58" s="50"/>
      <c r="M58" s="116"/>
      <c r="N58" s="116"/>
      <c r="O58" s="57">
        <f>(IGA_BD[[#This Row],[Work Start TimeStamp]]-IGA_BD[[#This Row],[Fault Start TimeStamp]])*24</f>
        <v>0</v>
      </c>
      <c r="P58" s="44" t="str">
        <f>IF(IGA_BD[[#This Row],[Work Start TimeStamp]]="","",(IGA_BD[[#This Row],[Fault Clearance time]]-IGA_BD[[#This Row],[Work Start TimeStamp]])*24)</f>
        <v/>
      </c>
      <c r="Q58" s="57">
        <f>(IGA_BD[[#This Row],[Fault Clearance time]]-IGA_BD[[#This Row],[Fault Start TimeStamp]])*24</f>
        <v>0</v>
      </c>
      <c r="R58" s="153"/>
      <c r="S58" s="44"/>
      <c r="T58" s="45" t="str">
        <f>IFERROR(IGA_BD[[#This Row],[Breakdown Time]]*IGA_BD[[#This Row],[Plant Equivalent Weightage]],"")</f>
        <v/>
      </c>
    </row>
    <row r="59" spans="1:20">
      <c r="A59" s="28">
        <f t="shared" si="3"/>
        <v>58</v>
      </c>
      <c r="B59" s="154"/>
      <c r="C59" s="30">
        <f>YEAR(WTG_BD[[#This Row],[Date]])+IF(MONTH(WTG_BD[[#This Row],[Date]])&gt;=4,1,0)</f>
        <v>2025</v>
      </c>
      <c r="D59" s="31">
        <f>YEAR(IGA_BD[[#This Row],[Date]])</f>
        <v>1900</v>
      </c>
      <c r="E59" s="48">
        <f t="shared" si="2"/>
        <v>1</v>
      </c>
      <c r="F59" s="32"/>
      <c r="G59" s="33"/>
      <c r="H59" s="43" t="str">
        <f>IFERROR(VLOOKUP(IGA_BD[[#This Row],[Affected Feeder ]],'Basic Data'!$A$42:$E$53,2,0),"")</f>
        <v/>
      </c>
      <c r="I59" s="43" t="str">
        <f>IFERROR(VLOOKUP(IGA_BD[[#This Row],[Affected Feeder ]],'Basic Data'!$A$42:$E$53,3,0),"")</f>
        <v/>
      </c>
      <c r="J59" s="43" t="str">
        <f>IFERROR(VLOOKUP(IGA_BD[[#This Row],[Affected Feeder ]],'Basic Data'!$A$42:$E$53,5,0),"")</f>
        <v/>
      </c>
      <c r="K59" s="164"/>
      <c r="L59" s="50"/>
      <c r="M59" s="116"/>
      <c r="N59" s="116"/>
      <c r="O59" s="57">
        <f>(IGA_BD[[#This Row],[Work Start TimeStamp]]-IGA_BD[[#This Row],[Fault Start TimeStamp]])*24</f>
        <v>0</v>
      </c>
      <c r="P59" s="44" t="str">
        <f>IF(IGA_BD[[#This Row],[Work Start TimeStamp]]="","",(IGA_BD[[#This Row],[Fault Clearance time]]-IGA_BD[[#This Row],[Work Start TimeStamp]])*24)</f>
        <v/>
      </c>
      <c r="Q59" s="57">
        <f>(IGA_BD[[#This Row],[Fault Clearance time]]-IGA_BD[[#This Row],[Fault Start TimeStamp]])*24</f>
        <v>0</v>
      </c>
      <c r="R59" s="153"/>
      <c r="S59" s="44"/>
      <c r="T59" s="45" t="str">
        <f>IFERROR(IGA_BD[[#This Row],[Breakdown Time]]*IGA_BD[[#This Row],[Plant Equivalent Weightage]],"")</f>
        <v/>
      </c>
    </row>
    <row r="60" spans="1:20">
      <c r="A60" s="28">
        <f t="shared" si="3"/>
        <v>59</v>
      </c>
      <c r="B60" s="154"/>
      <c r="C60" s="30">
        <f>YEAR(WTG_BD[[#This Row],[Date]])+IF(MONTH(WTG_BD[[#This Row],[Date]])&gt;=4,1,0)</f>
        <v>2025</v>
      </c>
      <c r="D60" s="31">
        <f>YEAR(IGA_BD[[#This Row],[Date]])</f>
        <v>1900</v>
      </c>
      <c r="E60" s="48">
        <f t="shared" si="2"/>
        <v>1</v>
      </c>
      <c r="F60" s="32"/>
      <c r="G60" s="33"/>
      <c r="H60" s="43" t="str">
        <f>IFERROR(VLOOKUP(IGA_BD[[#This Row],[Affected Feeder ]],'Basic Data'!$A$42:$E$53,2,0),"")</f>
        <v/>
      </c>
      <c r="I60" s="43" t="str">
        <f>IFERROR(VLOOKUP(IGA_BD[[#This Row],[Affected Feeder ]],'Basic Data'!$A$42:$E$53,3,0),"")</f>
        <v/>
      </c>
      <c r="J60" s="43" t="str">
        <f>IFERROR(VLOOKUP(IGA_BD[[#This Row],[Affected Feeder ]],'Basic Data'!$A$42:$E$53,5,0),"")</f>
        <v/>
      </c>
      <c r="K60" s="164"/>
      <c r="L60" s="50"/>
      <c r="M60" s="116"/>
      <c r="N60" s="116"/>
      <c r="O60" s="57">
        <f>(IGA_BD[[#This Row],[Work Start TimeStamp]]-IGA_BD[[#This Row],[Fault Start TimeStamp]])*24</f>
        <v>0</v>
      </c>
      <c r="P60" s="44" t="str">
        <f>IF(IGA_BD[[#This Row],[Work Start TimeStamp]]="","",(IGA_BD[[#This Row],[Fault Clearance time]]-IGA_BD[[#This Row],[Work Start TimeStamp]])*24)</f>
        <v/>
      </c>
      <c r="Q60" s="57">
        <f>(IGA_BD[[#This Row],[Fault Clearance time]]-IGA_BD[[#This Row],[Fault Start TimeStamp]])*24</f>
        <v>0</v>
      </c>
      <c r="R60" s="153"/>
      <c r="S60" s="44"/>
      <c r="T60" s="45" t="str">
        <f>IFERROR(IGA_BD[[#This Row],[Breakdown Time]]*IGA_BD[[#This Row],[Plant Equivalent Weightage]],"")</f>
        <v/>
      </c>
    </row>
    <row r="61" spans="1:20">
      <c r="A61" s="28">
        <f t="shared" si="3"/>
        <v>60</v>
      </c>
      <c r="B61" s="154"/>
      <c r="C61" s="30">
        <f>YEAR(WTG_BD[[#This Row],[Date]])+IF(MONTH(WTG_BD[[#This Row],[Date]])&gt;=4,1,0)</f>
        <v>2025</v>
      </c>
      <c r="D61" s="31">
        <f>YEAR(IGA_BD[[#This Row],[Date]])</f>
        <v>1900</v>
      </c>
      <c r="E61" s="48">
        <f t="shared" si="2"/>
        <v>1</v>
      </c>
      <c r="F61" s="32"/>
      <c r="G61" s="33"/>
      <c r="H61" s="43" t="str">
        <f>IFERROR(VLOOKUP(IGA_BD[[#This Row],[Affected Feeder ]],'Basic Data'!$A$42:$E$53,2,0),"")</f>
        <v/>
      </c>
      <c r="I61" s="43" t="str">
        <f>IFERROR(VLOOKUP(IGA_BD[[#This Row],[Affected Feeder ]],'Basic Data'!$A$42:$E$53,3,0),"")</f>
        <v/>
      </c>
      <c r="J61" s="43" t="str">
        <f>IFERROR(VLOOKUP(IGA_BD[[#This Row],[Affected Feeder ]],'Basic Data'!$A$42:$E$53,5,0),"")</f>
        <v/>
      </c>
      <c r="K61" s="164"/>
      <c r="L61" s="50"/>
      <c r="M61" s="116"/>
      <c r="N61" s="116"/>
      <c r="O61" s="57">
        <f>(IGA_BD[[#This Row],[Work Start TimeStamp]]-IGA_BD[[#This Row],[Fault Start TimeStamp]])*24</f>
        <v>0</v>
      </c>
      <c r="P61" s="44" t="str">
        <f>IF(IGA_BD[[#This Row],[Work Start TimeStamp]]="","",(IGA_BD[[#This Row],[Fault Clearance time]]-IGA_BD[[#This Row],[Work Start TimeStamp]])*24)</f>
        <v/>
      </c>
      <c r="Q61" s="57">
        <f>(IGA_BD[[#This Row],[Fault Clearance time]]-IGA_BD[[#This Row],[Fault Start TimeStamp]])*24</f>
        <v>0</v>
      </c>
      <c r="R61" s="153"/>
      <c r="S61" s="44"/>
      <c r="T61" s="45" t="str">
        <f>IFERROR(IGA_BD[[#This Row],[Breakdown Time]]*IGA_BD[[#This Row],[Plant Equivalent Weightage]],"")</f>
        <v/>
      </c>
    </row>
    <row r="62" spans="1:20">
      <c r="A62" s="28">
        <f t="shared" si="3"/>
        <v>61</v>
      </c>
      <c r="B62" s="154"/>
      <c r="C62" s="30">
        <f>YEAR(WTG_BD[[#This Row],[Date]])+IF(MONTH(WTG_BD[[#This Row],[Date]])&gt;=4,1,0)</f>
        <v>2025</v>
      </c>
      <c r="D62" s="31">
        <f>YEAR(IGA_BD[[#This Row],[Date]])</f>
        <v>1900</v>
      </c>
      <c r="E62" s="48">
        <f t="shared" si="2"/>
        <v>1</v>
      </c>
      <c r="F62" s="32"/>
      <c r="G62" s="33"/>
      <c r="H62" s="43" t="str">
        <f>IFERROR(VLOOKUP(IGA_BD[[#This Row],[Affected Feeder ]],'Basic Data'!$A$42:$E$53,2,0),"")</f>
        <v/>
      </c>
      <c r="I62" s="43" t="str">
        <f>IFERROR(VLOOKUP(IGA_BD[[#This Row],[Affected Feeder ]],'Basic Data'!$A$42:$E$53,3,0),"")</f>
        <v/>
      </c>
      <c r="J62" s="43" t="str">
        <f>IFERROR(VLOOKUP(IGA_BD[[#This Row],[Affected Feeder ]],'Basic Data'!$A$42:$E$53,5,0),"")</f>
        <v/>
      </c>
      <c r="K62" s="164"/>
      <c r="L62" s="50"/>
      <c r="M62" s="116"/>
      <c r="N62" s="116"/>
      <c r="O62" s="57">
        <f>(IGA_BD[[#This Row],[Work Start TimeStamp]]-IGA_BD[[#This Row],[Fault Start TimeStamp]])*24</f>
        <v>0</v>
      </c>
      <c r="P62" s="44" t="str">
        <f>IF(IGA_BD[[#This Row],[Work Start TimeStamp]]="","",(IGA_BD[[#This Row],[Fault Clearance time]]-IGA_BD[[#This Row],[Work Start TimeStamp]])*24)</f>
        <v/>
      </c>
      <c r="Q62" s="57">
        <f>(IGA_BD[[#This Row],[Fault Clearance time]]-IGA_BD[[#This Row],[Fault Start TimeStamp]])*24</f>
        <v>0</v>
      </c>
      <c r="R62" s="153"/>
      <c r="S62" s="44"/>
      <c r="T62" s="45" t="str">
        <f>IFERROR(IGA_BD[[#This Row],[Breakdown Time]]*IGA_BD[[#This Row],[Plant Equivalent Weightage]],"")</f>
        <v/>
      </c>
    </row>
    <row r="63" spans="1:20">
      <c r="A63" s="28">
        <f t="shared" si="3"/>
        <v>62</v>
      </c>
      <c r="B63" s="154"/>
      <c r="C63" s="30">
        <f>YEAR(WTG_BD[[#This Row],[Date]])+IF(MONTH(WTG_BD[[#This Row],[Date]])&gt;=4,1,0)</f>
        <v>2025</v>
      </c>
      <c r="D63" s="31">
        <f>YEAR(IGA_BD[[#This Row],[Date]])</f>
        <v>1900</v>
      </c>
      <c r="E63" s="48">
        <f t="shared" si="2"/>
        <v>1</v>
      </c>
      <c r="F63" s="32"/>
      <c r="G63" s="33"/>
      <c r="H63" s="43" t="str">
        <f>IFERROR(VLOOKUP(IGA_BD[[#This Row],[Affected Feeder ]],'Basic Data'!$A$42:$E$53,2,0),"")</f>
        <v/>
      </c>
      <c r="I63" s="43" t="str">
        <f>IFERROR(VLOOKUP(IGA_BD[[#This Row],[Affected Feeder ]],'Basic Data'!$A$42:$E$53,3,0),"")</f>
        <v/>
      </c>
      <c r="J63" s="43" t="str">
        <f>IFERROR(VLOOKUP(IGA_BD[[#This Row],[Affected Feeder ]],'Basic Data'!$A$42:$E$53,5,0),"")</f>
        <v/>
      </c>
      <c r="K63" s="164"/>
      <c r="L63" s="50"/>
      <c r="M63" s="116"/>
      <c r="N63" s="116"/>
      <c r="O63" s="57">
        <f>(IGA_BD[[#This Row],[Work Start TimeStamp]]-IGA_BD[[#This Row],[Fault Start TimeStamp]])*24</f>
        <v>0</v>
      </c>
      <c r="P63" s="44" t="str">
        <f>IF(IGA_BD[[#This Row],[Work Start TimeStamp]]="","",(IGA_BD[[#This Row],[Fault Clearance time]]-IGA_BD[[#This Row],[Work Start TimeStamp]])*24)</f>
        <v/>
      </c>
      <c r="Q63" s="57">
        <f>(IGA_BD[[#This Row],[Fault Clearance time]]-IGA_BD[[#This Row],[Fault Start TimeStamp]])*24</f>
        <v>0</v>
      </c>
      <c r="R63" s="153"/>
      <c r="S63" s="44"/>
      <c r="T63" s="45" t="str">
        <f>IFERROR(IGA_BD[[#This Row],[Breakdown Time]]*IGA_BD[[#This Row],[Plant Equivalent Weightage]],"")</f>
        <v/>
      </c>
    </row>
    <row r="64" spans="1:20">
      <c r="A64" s="28">
        <f t="shared" si="3"/>
        <v>63</v>
      </c>
      <c r="B64" s="154"/>
      <c r="C64" s="30">
        <f>YEAR(WTG_BD[[#This Row],[Date]])+IF(MONTH(WTG_BD[[#This Row],[Date]])&gt;=4,1,0)</f>
        <v>2025</v>
      </c>
      <c r="D64" s="31">
        <f>YEAR(IGA_BD[[#This Row],[Date]])</f>
        <v>1900</v>
      </c>
      <c r="E64" s="48">
        <f t="shared" si="2"/>
        <v>1</v>
      </c>
      <c r="F64" s="32"/>
      <c r="G64" s="33"/>
      <c r="H64" s="43" t="str">
        <f>IFERROR(VLOOKUP(IGA_BD[[#This Row],[Affected Feeder ]],'Basic Data'!$A$42:$E$53,2,0),"")</f>
        <v/>
      </c>
      <c r="I64" s="43" t="str">
        <f>IFERROR(VLOOKUP(IGA_BD[[#This Row],[Affected Feeder ]],'Basic Data'!$A$42:$E$53,3,0),"")</f>
        <v/>
      </c>
      <c r="J64" s="43" t="str">
        <f>IFERROR(VLOOKUP(IGA_BD[[#This Row],[Affected Feeder ]],'Basic Data'!$A$42:$E$53,5,0),"")</f>
        <v/>
      </c>
      <c r="K64" s="164"/>
      <c r="L64" s="50"/>
      <c r="M64" s="116"/>
      <c r="N64" s="116"/>
      <c r="O64" s="57">
        <f>(IGA_BD[[#This Row],[Work Start TimeStamp]]-IGA_BD[[#This Row],[Fault Start TimeStamp]])*24</f>
        <v>0</v>
      </c>
      <c r="P64" s="44" t="str">
        <f>IF(IGA_BD[[#This Row],[Work Start TimeStamp]]="","",(IGA_BD[[#This Row],[Fault Clearance time]]-IGA_BD[[#This Row],[Work Start TimeStamp]])*24)</f>
        <v/>
      </c>
      <c r="Q64" s="57">
        <f>(IGA_BD[[#This Row],[Fault Clearance time]]-IGA_BD[[#This Row],[Fault Start TimeStamp]])*24</f>
        <v>0</v>
      </c>
      <c r="R64" s="153"/>
      <c r="S64" s="44"/>
      <c r="T64" s="45" t="str">
        <f>IFERROR(IGA_BD[[#This Row],[Breakdown Time]]*IGA_BD[[#This Row],[Plant Equivalent Weightage]],"")</f>
        <v/>
      </c>
    </row>
    <row r="65" spans="1:20">
      <c r="A65" s="28">
        <f t="shared" si="3"/>
        <v>64</v>
      </c>
      <c r="B65" s="154"/>
      <c r="C65" s="30">
        <f>YEAR(WTG_BD[[#This Row],[Date]])+IF(MONTH(WTG_BD[[#This Row],[Date]])&gt;=4,1,0)</f>
        <v>2025</v>
      </c>
      <c r="D65" s="31">
        <f>YEAR(IGA_BD[[#This Row],[Date]])</f>
        <v>1900</v>
      </c>
      <c r="E65" s="48">
        <f t="shared" si="2"/>
        <v>1</v>
      </c>
      <c r="F65" s="32"/>
      <c r="G65" s="33"/>
      <c r="H65" s="43" t="str">
        <f>IFERROR(VLOOKUP(IGA_BD[[#This Row],[Affected Feeder ]],'Basic Data'!$A$42:$E$53,2,0),"")</f>
        <v/>
      </c>
      <c r="I65" s="43" t="str">
        <f>IFERROR(VLOOKUP(IGA_BD[[#This Row],[Affected Feeder ]],'Basic Data'!$A$42:$E$53,3,0),"")</f>
        <v/>
      </c>
      <c r="J65" s="43" t="str">
        <f>IFERROR(VLOOKUP(IGA_BD[[#This Row],[Affected Feeder ]],'Basic Data'!$A$42:$E$53,5,0),"")</f>
        <v/>
      </c>
      <c r="K65" s="164"/>
      <c r="L65" s="50"/>
      <c r="M65" s="116"/>
      <c r="N65" s="116"/>
      <c r="O65" s="57">
        <f>(IGA_BD[[#This Row],[Work Start TimeStamp]]-IGA_BD[[#This Row],[Fault Start TimeStamp]])*24</f>
        <v>0</v>
      </c>
      <c r="P65" s="44" t="str">
        <f>IF(IGA_BD[[#This Row],[Work Start TimeStamp]]="","",(IGA_BD[[#This Row],[Fault Clearance time]]-IGA_BD[[#This Row],[Work Start TimeStamp]])*24)</f>
        <v/>
      </c>
      <c r="Q65" s="57">
        <f>(IGA_BD[[#This Row],[Fault Clearance time]]-IGA_BD[[#This Row],[Fault Start TimeStamp]])*24</f>
        <v>0</v>
      </c>
      <c r="R65" s="153"/>
      <c r="S65" s="44"/>
      <c r="T65" s="45" t="str">
        <f>IFERROR(IGA_BD[[#This Row],[Breakdown Time]]*IGA_BD[[#This Row],[Plant Equivalent Weightage]],"")</f>
        <v/>
      </c>
    </row>
    <row r="66" spans="1:20">
      <c r="A66" s="28">
        <f t="shared" si="3"/>
        <v>65</v>
      </c>
      <c r="B66" s="154"/>
      <c r="C66" s="30">
        <f>YEAR(WTG_BD[[#This Row],[Date]])+IF(MONTH(WTG_BD[[#This Row],[Date]])&gt;=4,1,0)</f>
        <v>2025</v>
      </c>
      <c r="D66" s="31">
        <f>YEAR(IGA_BD[[#This Row],[Date]])</f>
        <v>1900</v>
      </c>
      <c r="E66" s="48">
        <f t="shared" si="2"/>
        <v>1</v>
      </c>
      <c r="F66" s="32"/>
      <c r="G66" s="33"/>
      <c r="H66" s="43" t="str">
        <f>IFERROR(VLOOKUP(IGA_BD[[#This Row],[Affected Feeder ]],'Basic Data'!$A$42:$E$53,2,0),"")</f>
        <v/>
      </c>
      <c r="I66" s="43" t="str">
        <f>IFERROR(VLOOKUP(IGA_BD[[#This Row],[Affected Feeder ]],'Basic Data'!$A$42:$E$53,3,0),"")</f>
        <v/>
      </c>
      <c r="J66" s="43" t="str">
        <f>IFERROR(VLOOKUP(IGA_BD[[#This Row],[Affected Feeder ]],'Basic Data'!$A$42:$E$53,5,0),"")</f>
        <v/>
      </c>
      <c r="K66" s="164"/>
      <c r="L66" s="50"/>
      <c r="M66" s="116"/>
      <c r="N66" s="116"/>
      <c r="O66" s="57">
        <f>(IGA_BD[[#This Row],[Work Start TimeStamp]]-IGA_BD[[#This Row],[Fault Start TimeStamp]])*24</f>
        <v>0</v>
      </c>
      <c r="P66" s="44" t="str">
        <f>IF(IGA_BD[[#This Row],[Work Start TimeStamp]]="","",(IGA_BD[[#This Row],[Fault Clearance time]]-IGA_BD[[#This Row],[Work Start TimeStamp]])*24)</f>
        <v/>
      </c>
      <c r="Q66" s="57">
        <f>(IGA_BD[[#This Row],[Fault Clearance time]]-IGA_BD[[#This Row],[Fault Start TimeStamp]])*24</f>
        <v>0</v>
      </c>
      <c r="R66" s="153"/>
      <c r="S66" s="44"/>
      <c r="T66" s="45" t="str">
        <f>IFERROR(IGA_BD[[#This Row],[Breakdown Time]]*IGA_BD[[#This Row],[Plant Equivalent Weightage]],"")</f>
        <v/>
      </c>
    </row>
    <row r="67" spans="1:20">
      <c r="A67" s="28">
        <f t="shared" si="3"/>
        <v>66</v>
      </c>
      <c r="B67" s="154"/>
      <c r="C67" s="30">
        <f>YEAR(WTG_BD[[#This Row],[Date]])+IF(MONTH(WTG_BD[[#This Row],[Date]])&gt;=4,1,0)</f>
        <v>2025</v>
      </c>
      <c r="D67" s="31">
        <f>YEAR(IGA_BD[[#This Row],[Date]])</f>
        <v>1900</v>
      </c>
      <c r="E67" s="48">
        <f t="shared" si="2"/>
        <v>1</v>
      </c>
      <c r="F67" s="32"/>
      <c r="G67" s="33"/>
      <c r="H67" s="43" t="str">
        <f>IFERROR(VLOOKUP(IGA_BD[[#This Row],[Affected Feeder ]],'Basic Data'!$A$42:$E$53,2,0),"")</f>
        <v/>
      </c>
      <c r="I67" s="43" t="str">
        <f>IFERROR(VLOOKUP(IGA_BD[[#This Row],[Affected Feeder ]],'Basic Data'!$A$42:$E$53,3,0),"")</f>
        <v/>
      </c>
      <c r="J67" s="43" t="str">
        <f>IFERROR(VLOOKUP(IGA_BD[[#This Row],[Affected Feeder ]],'Basic Data'!$A$42:$E$53,5,0),"")</f>
        <v/>
      </c>
      <c r="K67" s="164"/>
      <c r="L67" s="50"/>
      <c r="M67" s="116"/>
      <c r="N67" s="116"/>
      <c r="O67" s="57">
        <f>(IGA_BD[[#This Row],[Work Start TimeStamp]]-IGA_BD[[#This Row],[Fault Start TimeStamp]])*24</f>
        <v>0</v>
      </c>
      <c r="P67" s="44" t="str">
        <f>IF(IGA_BD[[#This Row],[Work Start TimeStamp]]="","",(IGA_BD[[#This Row],[Fault Clearance time]]-IGA_BD[[#This Row],[Work Start TimeStamp]])*24)</f>
        <v/>
      </c>
      <c r="Q67" s="57">
        <f>(IGA_BD[[#This Row],[Fault Clearance time]]-IGA_BD[[#This Row],[Fault Start TimeStamp]])*24</f>
        <v>0</v>
      </c>
      <c r="R67" s="153"/>
      <c r="S67" s="44"/>
      <c r="T67" s="45" t="str">
        <f>IFERROR(IGA_BD[[#This Row],[Breakdown Time]]*IGA_BD[[#This Row],[Plant Equivalent Weightage]],"")</f>
        <v/>
      </c>
    </row>
    <row r="68" spans="1:20">
      <c r="A68" s="28">
        <f t="shared" si="3"/>
        <v>67</v>
      </c>
      <c r="B68" s="154"/>
      <c r="C68" s="30">
        <f>YEAR(WTG_BD[[#This Row],[Date]])+IF(MONTH(WTG_BD[[#This Row],[Date]])&gt;=4,1,0)</f>
        <v>2025</v>
      </c>
      <c r="D68" s="31">
        <f>YEAR(IGA_BD[[#This Row],[Date]])</f>
        <v>1900</v>
      </c>
      <c r="E68" s="48">
        <f t="shared" si="2"/>
        <v>1</v>
      </c>
      <c r="F68" s="32"/>
      <c r="G68" s="33"/>
      <c r="H68" s="43" t="str">
        <f>IFERROR(VLOOKUP(IGA_BD[[#This Row],[Affected Feeder ]],'Basic Data'!$A$42:$E$53,2,0),"")</f>
        <v/>
      </c>
      <c r="I68" s="43" t="str">
        <f>IFERROR(VLOOKUP(IGA_BD[[#This Row],[Affected Feeder ]],'Basic Data'!$A$42:$E$53,3,0),"")</f>
        <v/>
      </c>
      <c r="J68" s="43" t="str">
        <f>IFERROR(VLOOKUP(IGA_BD[[#This Row],[Affected Feeder ]],'Basic Data'!$A$42:$E$53,5,0),"")</f>
        <v/>
      </c>
      <c r="K68" s="164"/>
      <c r="L68" s="50"/>
      <c r="M68" s="116"/>
      <c r="N68" s="116"/>
      <c r="O68" s="57">
        <f>(IGA_BD[[#This Row],[Work Start TimeStamp]]-IGA_BD[[#This Row],[Fault Start TimeStamp]])*24</f>
        <v>0</v>
      </c>
      <c r="P68" s="44" t="str">
        <f>IF(IGA_BD[[#This Row],[Work Start TimeStamp]]="","",(IGA_BD[[#This Row],[Fault Clearance time]]-IGA_BD[[#This Row],[Work Start TimeStamp]])*24)</f>
        <v/>
      </c>
      <c r="Q68" s="57">
        <f>(IGA_BD[[#This Row],[Fault Clearance time]]-IGA_BD[[#This Row],[Fault Start TimeStamp]])*24</f>
        <v>0</v>
      </c>
      <c r="R68" s="153"/>
      <c r="S68" s="44"/>
      <c r="T68" s="45" t="str">
        <f>IFERROR(IGA_BD[[#This Row],[Breakdown Time]]*IGA_BD[[#This Row],[Plant Equivalent Weightage]],"")</f>
        <v/>
      </c>
    </row>
    <row r="69" spans="1:20">
      <c r="A69" s="28">
        <f t="shared" si="3"/>
        <v>68</v>
      </c>
      <c r="B69" s="154"/>
      <c r="C69" s="30">
        <f>YEAR(WTG_BD[[#This Row],[Date]])+IF(MONTH(WTG_BD[[#This Row],[Date]])&gt;=4,1,0)</f>
        <v>2025</v>
      </c>
      <c r="D69" s="31">
        <f>YEAR(IGA_BD[[#This Row],[Date]])</f>
        <v>1900</v>
      </c>
      <c r="E69" s="48">
        <f t="shared" si="2"/>
        <v>1</v>
      </c>
      <c r="F69" s="32"/>
      <c r="G69" s="33"/>
      <c r="H69" s="43" t="str">
        <f>IFERROR(VLOOKUP(IGA_BD[[#This Row],[Affected Feeder ]],'Basic Data'!$A$42:$E$53,2,0),"")</f>
        <v/>
      </c>
      <c r="I69" s="43" t="str">
        <f>IFERROR(VLOOKUP(IGA_BD[[#This Row],[Affected Feeder ]],'Basic Data'!$A$42:$E$53,3,0),"")</f>
        <v/>
      </c>
      <c r="J69" s="43" t="str">
        <f>IFERROR(VLOOKUP(IGA_BD[[#This Row],[Affected Feeder ]],'Basic Data'!$A$42:$E$53,5,0),"")</f>
        <v/>
      </c>
      <c r="K69" s="164"/>
      <c r="L69" s="50"/>
      <c r="M69" s="116"/>
      <c r="N69" s="116"/>
      <c r="O69" s="57">
        <f>(IGA_BD[[#This Row],[Work Start TimeStamp]]-IGA_BD[[#This Row],[Fault Start TimeStamp]])*24</f>
        <v>0</v>
      </c>
      <c r="P69" s="44" t="str">
        <f>IF(IGA_BD[[#This Row],[Work Start TimeStamp]]="","",(IGA_BD[[#This Row],[Fault Clearance time]]-IGA_BD[[#This Row],[Work Start TimeStamp]])*24)</f>
        <v/>
      </c>
      <c r="Q69" s="57">
        <f>(IGA_BD[[#This Row],[Fault Clearance time]]-IGA_BD[[#This Row],[Fault Start TimeStamp]])*24</f>
        <v>0</v>
      </c>
      <c r="R69" s="153"/>
      <c r="S69" s="44"/>
      <c r="T69" s="45" t="str">
        <f>IFERROR(IGA_BD[[#This Row],[Breakdown Time]]*IGA_BD[[#This Row],[Plant Equivalent Weightage]],"")</f>
        <v/>
      </c>
    </row>
    <row r="70" spans="1:20">
      <c r="A70" s="28">
        <f t="shared" si="3"/>
        <v>69</v>
      </c>
      <c r="B70" s="154"/>
      <c r="C70" s="30">
        <f>YEAR(WTG_BD[[#This Row],[Date]])+IF(MONTH(WTG_BD[[#This Row],[Date]])&gt;=4,1,0)</f>
        <v>2025</v>
      </c>
      <c r="D70" s="31">
        <f>YEAR(IGA_BD[[#This Row],[Date]])</f>
        <v>1900</v>
      </c>
      <c r="E70" s="48">
        <f t="shared" si="2"/>
        <v>1</v>
      </c>
      <c r="F70" s="32"/>
      <c r="G70" s="33"/>
      <c r="H70" s="43" t="str">
        <f>IFERROR(VLOOKUP(IGA_BD[[#This Row],[Affected Feeder ]],'Basic Data'!$A$42:$E$53,2,0),"")</f>
        <v/>
      </c>
      <c r="I70" s="43" t="str">
        <f>IFERROR(VLOOKUP(IGA_BD[[#This Row],[Affected Feeder ]],'Basic Data'!$A$42:$E$53,3,0),"")</f>
        <v/>
      </c>
      <c r="J70" s="43" t="str">
        <f>IFERROR(VLOOKUP(IGA_BD[[#This Row],[Affected Feeder ]],'Basic Data'!$A$42:$E$53,5,0),"")</f>
        <v/>
      </c>
      <c r="K70" s="164"/>
      <c r="L70" s="50"/>
      <c r="M70" s="116"/>
      <c r="N70" s="116"/>
      <c r="O70" s="57">
        <f>(IGA_BD[[#This Row],[Work Start TimeStamp]]-IGA_BD[[#This Row],[Fault Start TimeStamp]])*24</f>
        <v>0</v>
      </c>
      <c r="P70" s="44" t="str">
        <f>IF(IGA_BD[[#This Row],[Work Start TimeStamp]]="","",(IGA_BD[[#This Row],[Fault Clearance time]]-IGA_BD[[#This Row],[Work Start TimeStamp]])*24)</f>
        <v/>
      </c>
      <c r="Q70" s="57">
        <f>(IGA_BD[[#This Row],[Fault Clearance time]]-IGA_BD[[#This Row],[Fault Start TimeStamp]])*24</f>
        <v>0</v>
      </c>
      <c r="R70" s="153"/>
      <c r="S70" s="44"/>
      <c r="T70" s="45" t="str">
        <f>IFERROR(IGA_BD[[#This Row],[Breakdown Time]]*IGA_BD[[#This Row],[Plant Equivalent Weightage]],"")</f>
        <v/>
      </c>
    </row>
    <row r="71" spans="1:20">
      <c r="A71" s="28">
        <f t="shared" si="3"/>
        <v>70</v>
      </c>
      <c r="B71" s="154"/>
      <c r="C71" s="30">
        <f>YEAR(WTG_BD[[#This Row],[Date]])+IF(MONTH(WTG_BD[[#This Row],[Date]])&gt;=4,1,0)</f>
        <v>2025</v>
      </c>
      <c r="D71" s="31">
        <f>YEAR(IGA_BD[[#This Row],[Date]])</f>
        <v>1900</v>
      </c>
      <c r="E71" s="48">
        <f t="shared" si="2"/>
        <v>1</v>
      </c>
      <c r="F71" s="32"/>
      <c r="G71" s="33"/>
      <c r="H71" s="43" t="str">
        <f>IFERROR(VLOOKUP(IGA_BD[[#This Row],[Affected Feeder ]],'Basic Data'!$A$42:$E$53,2,0),"")</f>
        <v/>
      </c>
      <c r="I71" s="43" t="str">
        <f>IFERROR(VLOOKUP(IGA_BD[[#This Row],[Affected Feeder ]],'Basic Data'!$A$42:$E$53,3,0),"")</f>
        <v/>
      </c>
      <c r="J71" s="43" t="str">
        <f>IFERROR(VLOOKUP(IGA_BD[[#This Row],[Affected Feeder ]],'Basic Data'!$A$42:$E$53,5,0),"")</f>
        <v/>
      </c>
      <c r="K71" s="164"/>
      <c r="L71" s="50"/>
      <c r="M71" s="116"/>
      <c r="N71" s="116"/>
      <c r="O71" s="57">
        <f>(IGA_BD[[#This Row],[Work Start TimeStamp]]-IGA_BD[[#This Row],[Fault Start TimeStamp]])*24</f>
        <v>0</v>
      </c>
      <c r="P71" s="44" t="str">
        <f>IF(IGA_BD[[#This Row],[Work Start TimeStamp]]="","",(IGA_BD[[#This Row],[Fault Clearance time]]-IGA_BD[[#This Row],[Work Start TimeStamp]])*24)</f>
        <v/>
      </c>
      <c r="Q71" s="57">
        <f>(IGA_BD[[#This Row],[Fault Clearance time]]-IGA_BD[[#This Row],[Fault Start TimeStamp]])*24</f>
        <v>0</v>
      </c>
      <c r="R71" s="153"/>
      <c r="S71" s="44"/>
      <c r="T71" s="45" t="str">
        <f>IFERROR(IGA_BD[[#This Row],[Breakdown Time]]*IGA_BD[[#This Row],[Plant Equivalent Weightage]],"")</f>
        <v/>
      </c>
    </row>
    <row r="72" spans="1:20">
      <c r="A72" s="28">
        <f t="shared" si="3"/>
        <v>71</v>
      </c>
      <c r="B72" s="154"/>
      <c r="C72" s="30">
        <f>YEAR(WTG_BD[[#This Row],[Date]])+IF(MONTH(WTG_BD[[#This Row],[Date]])&gt;=4,1,0)</f>
        <v>2025</v>
      </c>
      <c r="D72" s="31">
        <f>YEAR(IGA_BD[[#This Row],[Date]])</f>
        <v>1900</v>
      </c>
      <c r="E72" s="48">
        <f t="shared" si="2"/>
        <v>1</v>
      </c>
      <c r="F72" s="32"/>
      <c r="G72" s="33"/>
      <c r="H72" s="43" t="str">
        <f>IFERROR(VLOOKUP(IGA_BD[[#This Row],[Affected Feeder ]],'Basic Data'!$A$42:$E$53,2,0),"")</f>
        <v/>
      </c>
      <c r="I72" s="43" t="str">
        <f>IFERROR(VLOOKUP(IGA_BD[[#This Row],[Affected Feeder ]],'Basic Data'!$A$42:$E$53,3,0),"")</f>
        <v/>
      </c>
      <c r="J72" s="43" t="str">
        <f>IFERROR(VLOOKUP(IGA_BD[[#This Row],[Affected Feeder ]],'Basic Data'!$A$42:$E$53,5,0),"")</f>
        <v/>
      </c>
      <c r="K72" s="164"/>
      <c r="L72" s="50"/>
      <c r="M72" s="116"/>
      <c r="N72" s="116"/>
      <c r="O72" s="57">
        <f>(IGA_BD[[#This Row],[Work Start TimeStamp]]-IGA_BD[[#This Row],[Fault Start TimeStamp]])*24</f>
        <v>0</v>
      </c>
      <c r="P72" s="44" t="str">
        <f>IF(IGA_BD[[#This Row],[Work Start TimeStamp]]="","",(IGA_BD[[#This Row],[Fault Clearance time]]-IGA_BD[[#This Row],[Work Start TimeStamp]])*24)</f>
        <v/>
      </c>
      <c r="Q72" s="57">
        <f>(IGA_BD[[#This Row],[Fault Clearance time]]-IGA_BD[[#This Row],[Fault Start TimeStamp]])*24</f>
        <v>0</v>
      </c>
      <c r="R72" s="153"/>
      <c r="S72" s="44"/>
      <c r="T72" s="45" t="str">
        <f>IFERROR(IGA_BD[[#This Row],[Breakdown Time]]*IGA_BD[[#This Row],[Plant Equivalent Weightage]],"")</f>
        <v/>
      </c>
    </row>
    <row r="73" spans="1:20">
      <c r="A73" s="28">
        <f t="shared" si="3"/>
        <v>72</v>
      </c>
      <c r="B73" s="154"/>
      <c r="C73" s="30">
        <f>YEAR(WTG_BD[[#This Row],[Date]])+IF(MONTH(WTG_BD[[#This Row],[Date]])&gt;=4,1,0)</f>
        <v>2025</v>
      </c>
      <c r="D73" s="31">
        <f>YEAR(IGA_BD[[#This Row],[Date]])</f>
        <v>1900</v>
      </c>
      <c r="E73" s="48">
        <f t="shared" si="2"/>
        <v>1</v>
      </c>
      <c r="F73" s="32"/>
      <c r="G73" s="33"/>
      <c r="H73" s="43" t="str">
        <f>IFERROR(VLOOKUP(IGA_BD[[#This Row],[Affected Feeder ]],'Basic Data'!$A$42:$E$53,2,0),"")</f>
        <v/>
      </c>
      <c r="I73" s="43" t="str">
        <f>IFERROR(VLOOKUP(IGA_BD[[#This Row],[Affected Feeder ]],'Basic Data'!$A$42:$E$53,3,0),"")</f>
        <v/>
      </c>
      <c r="J73" s="43" t="str">
        <f>IFERROR(VLOOKUP(IGA_BD[[#This Row],[Affected Feeder ]],'Basic Data'!$A$42:$E$53,5,0),"")</f>
        <v/>
      </c>
      <c r="K73" s="164"/>
      <c r="L73" s="50"/>
      <c r="M73" s="116"/>
      <c r="N73" s="116"/>
      <c r="O73" s="57">
        <f>(IGA_BD[[#This Row],[Work Start TimeStamp]]-IGA_BD[[#This Row],[Fault Start TimeStamp]])*24</f>
        <v>0</v>
      </c>
      <c r="P73" s="44" t="str">
        <f>IF(IGA_BD[[#This Row],[Work Start TimeStamp]]="","",(IGA_BD[[#This Row],[Fault Clearance time]]-IGA_BD[[#This Row],[Work Start TimeStamp]])*24)</f>
        <v/>
      </c>
      <c r="Q73" s="57">
        <f>(IGA_BD[[#This Row],[Fault Clearance time]]-IGA_BD[[#This Row],[Fault Start TimeStamp]])*24</f>
        <v>0</v>
      </c>
      <c r="R73" s="153"/>
      <c r="S73" s="44"/>
      <c r="T73" s="45" t="str">
        <f>IFERROR(IGA_BD[[#This Row],[Breakdown Time]]*IGA_BD[[#This Row],[Plant Equivalent Weightage]],"")</f>
        <v/>
      </c>
    </row>
    <row r="74" spans="1:20">
      <c r="A74" s="28">
        <f t="shared" si="3"/>
        <v>73</v>
      </c>
      <c r="B74" s="154"/>
      <c r="C74" s="30">
        <f>YEAR(WTG_BD[[#This Row],[Date]])+IF(MONTH(WTG_BD[[#This Row],[Date]])&gt;=4,1,0)</f>
        <v>2025</v>
      </c>
      <c r="D74" s="31">
        <f>YEAR(IGA_BD[[#This Row],[Date]])</f>
        <v>1900</v>
      </c>
      <c r="E74" s="48">
        <f t="shared" si="2"/>
        <v>1</v>
      </c>
      <c r="F74" s="32"/>
      <c r="G74" s="33"/>
      <c r="H74" s="43" t="str">
        <f>IFERROR(VLOOKUP(IGA_BD[[#This Row],[Affected Feeder ]],'Basic Data'!$A$42:$E$53,2,0),"")</f>
        <v/>
      </c>
      <c r="I74" s="43" t="str">
        <f>IFERROR(VLOOKUP(IGA_BD[[#This Row],[Affected Feeder ]],'Basic Data'!$A$42:$E$53,3,0),"")</f>
        <v/>
      </c>
      <c r="J74" s="43" t="str">
        <f>IFERROR(VLOOKUP(IGA_BD[[#This Row],[Affected Feeder ]],'Basic Data'!$A$42:$E$53,5,0),"")</f>
        <v/>
      </c>
      <c r="K74" s="164"/>
      <c r="L74" s="50"/>
      <c r="M74" s="116"/>
      <c r="N74" s="116"/>
      <c r="O74" s="57">
        <f>(IGA_BD[[#This Row],[Work Start TimeStamp]]-IGA_BD[[#This Row],[Fault Start TimeStamp]])*24</f>
        <v>0</v>
      </c>
      <c r="P74" s="44" t="str">
        <f>IF(IGA_BD[[#This Row],[Work Start TimeStamp]]="","",(IGA_BD[[#This Row],[Fault Clearance time]]-IGA_BD[[#This Row],[Work Start TimeStamp]])*24)</f>
        <v/>
      </c>
      <c r="Q74" s="57">
        <f>(IGA_BD[[#This Row],[Fault Clearance time]]-IGA_BD[[#This Row],[Fault Start TimeStamp]])*24</f>
        <v>0</v>
      </c>
      <c r="R74" s="153"/>
      <c r="S74" s="44"/>
      <c r="T74" s="45" t="str">
        <f>IFERROR(IGA_BD[[#This Row],[Breakdown Time]]*IGA_BD[[#This Row],[Plant Equivalent Weightage]],"")</f>
        <v/>
      </c>
    </row>
    <row r="75" spans="1:20">
      <c r="A75" s="28">
        <f t="shared" si="3"/>
        <v>74</v>
      </c>
      <c r="B75" s="154"/>
      <c r="C75" s="30">
        <f>YEAR(WTG_BD[[#This Row],[Date]])+IF(MONTH(WTG_BD[[#This Row],[Date]])&gt;=4,1,0)</f>
        <v>2025</v>
      </c>
      <c r="D75" s="31">
        <f>YEAR(IGA_BD[[#This Row],[Date]])</f>
        <v>1900</v>
      </c>
      <c r="E75" s="48">
        <f t="shared" si="2"/>
        <v>1</v>
      </c>
      <c r="F75" s="32"/>
      <c r="G75" s="33"/>
      <c r="H75" s="43" t="str">
        <f>IFERROR(VLOOKUP(IGA_BD[[#This Row],[Affected Feeder ]],'Basic Data'!$A$42:$E$53,2,0),"")</f>
        <v/>
      </c>
      <c r="I75" s="43" t="str">
        <f>IFERROR(VLOOKUP(IGA_BD[[#This Row],[Affected Feeder ]],'Basic Data'!$A$42:$E$53,3,0),"")</f>
        <v/>
      </c>
      <c r="J75" s="43" t="str">
        <f>IFERROR(VLOOKUP(IGA_BD[[#This Row],[Affected Feeder ]],'Basic Data'!$A$42:$E$53,5,0),"")</f>
        <v/>
      </c>
      <c r="K75" s="164"/>
      <c r="L75" s="50"/>
      <c r="M75" s="116"/>
      <c r="N75" s="116"/>
      <c r="O75" s="57">
        <f>(IGA_BD[[#This Row],[Work Start TimeStamp]]-IGA_BD[[#This Row],[Fault Start TimeStamp]])*24</f>
        <v>0</v>
      </c>
      <c r="P75" s="44" t="str">
        <f>IF(IGA_BD[[#This Row],[Work Start TimeStamp]]="","",(IGA_BD[[#This Row],[Fault Clearance time]]-IGA_BD[[#This Row],[Work Start TimeStamp]])*24)</f>
        <v/>
      </c>
      <c r="Q75" s="57">
        <f>(IGA_BD[[#This Row],[Fault Clearance time]]-IGA_BD[[#This Row],[Fault Start TimeStamp]])*24</f>
        <v>0</v>
      </c>
      <c r="R75" s="153"/>
      <c r="S75" s="44"/>
      <c r="T75" s="45" t="str">
        <f>IFERROR(IGA_BD[[#This Row],[Breakdown Time]]*IGA_BD[[#This Row],[Plant Equivalent Weightage]],"")</f>
        <v/>
      </c>
    </row>
    <row r="76" spans="1:20">
      <c r="A76" s="28">
        <f t="shared" si="3"/>
        <v>75</v>
      </c>
      <c r="B76" s="154"/>
      <c r="C76" s="30">
        <f>YEAR(WTG_BD[[#This Row],[Date]])+IF(MONTH(WTG_BD[[#This Row],[Date]])&gt;=4,1,0)</f>
        <v>2025</v>
      </c>
      <c r="D76" s="31">
        <f>YEAR(IGA_BD[[#This Row],[Date]])</f>
        <v>1900</v>
      </c>
      <c r="E76" s="48">
        <f t="shared" si="2"/>
        <v>1</v>
      </c>
      <c r="F76" s="32"/>
      <c r="G76" s="33"/>
      <c r="H76" s="43" t="str">
        <f>IFERROR(VLOOKUP(IGA_BD[[#This Row],[Affected Feeder ]],'Basic Data'!$A$42:$E$53,2,0),"")</f>
        <v/>
      </c>
      <c r="I76" s="43" t="str">
        <f>IFERROR(VLOOKUP(IGA_BD[[#This Row],[Affected Feeder ]],'Basic Data'!$A$42:$E$53,3,0),"")</f>
        <v/>
      </c>
      <c r="J76" s="43" t="str">
        <f>IFERROR(VLOOKUP(IGA_BD[[#This Row],[Affected Feeder ]],'Basic Data'!$A$42:$E$53,5,0),"")</f>
        <v/>
      </c>
      <c r="K76" s="164"/>
      <c r="L76" s="50"/>
      <c r="M76" s="116"/>
      <c r="N76" s="116"/>
      <c r="O76" s="57">
        <f>(IGA_BD[[#This Row],[Work Start TimeStamp]]-IGA_BD[[#This Row],[Fault Start TimeStamp]])*24</f>
        <v>0</v>
      </c>
      <c r="P76" s="44" t="str">
        <f>IF(IGA_BD[[#This Row],[Work Start TimeStamp]]="","",(IGA_BD[[#This Row],[Fault Clearance time]]-IGA_BD[[#This Row],[Work Start TimeStamp]])*24)</f>
        <v/>
      </c>
      <c r="Q76" s="57">
        <f>(IGA_BD[[#This Row],[Fault Clearance time]]-IGA_BD[[#This Row],[Fault Start TimeStamp]])*24</f>
        <v>0</v>
      </c>
      <c r="R76" s="153"/>
      <c r="S76" s="44"/>
      <c r="T76" s="45" t="str">
        <f>IFERROR(IGA_BD[[#This Row],[Breakdown Time]]*IGA_BD[[#This Row],[Plant Equivalent Weightage]],"")</f>
        <v/>
      </c>
    </row>
    <row r="77" spans="1:20">
      <c r="A77" s="28">
        <f t="shared" si="3"/>
        <v>76</v>
      </c>
      <c r="B77" s="154"/>
      <c r="C77" s="30">
        <f>YEAR(WTG_BD[[#This Row],[Date]])+IF(MONTH(WTG_BD[[#This Row],[Date]])&gt;=4,1,0)</f>
        <v>2025</v>
      </c>
      <c r="D77" s="31">
        <f>YEAR(IGA_BD[[#This Row],[Date]])</f>
        <v>1900</v>
      </c>
      <c r="E77" s="48">
        <f t="shared" si="2"/>
        <v>1</v>
      </c>
      <c r="F77" s="32"/>
      <c r="G77" s="33"/>
      <c r="H77" s="43" t="str">
        <f>IFERROR(VLOOKUP(IGA_BD[[#This Row],[Affected Feeder ]],'Basic Data'!$A$42:$E$53,2,0),"")</f>
        <v/>
      </c>
      <c r="I77" s="43" t="str">
        <f>IFERROR(VLOOKUP(IGA_BD[[#This Row],[Affected Feeder ]],'Basic Data'!$A$42:$E$53,3,0),"")</f>
        <v/>
      </c>
      <c r="J77" s="43" t="str">
        <f>IFERROR(VLOOKUP(IGA_BD[[#This Row],[Affected Feeder ]],'Basic Data'!$A$42:$E$53,5,0),"")</f>
        <v/>
      </c>
      <c r="K77" s="164"/>
      <c r="L77" s="50"/>
      <c r="M77" s="116"/>
      <c r="N77" s="116"/>
      <c r="O77" s="57">
        <f>(IGA_BD[[#This Row],[Work Start TimeStamp]]-IGA_BD[[#This Row],[Fault Start TimeStamp]])*24</f>
        <v>0</v>
      </c>
      <c r="P77" s="44" t="str">
        <f>IF(IGA_BD[[#This Row],[Work Start TimeStamp]]="","",(IGA_BD[[#This Row],[Fault Clearance time]]-IGA_BD[[#This Row],[Work Start TimeStamp]])*24)</f>
        <v/>
      </c>
      <c r="Q77" s="57">
        <f>(IGA_BD[[#This Row],[Fault Clearance time]]-IGA_BD[[#This Row],[Fault Start TimeStamp]])*24</f>
        <v>0</v>
      </c>
      <c r="R77" s="153"/>
      <c r="S77" s="44"/>
      <c r="T77" s="45" t="str">
        <f>IFERROR(IGA_BD[[#This Row],[Breakdown Time]]*IGA_BD[[#This Row],[Plant Equivalent Weightage]],"")</f>
        <v/>
      </c>
    </row>
    <row r="78" spans="1:20">
      <c r="A78" s="28">
        <f t="shared" si="3"/>
        <v>77</v>
      </c>
      <c r="B78" s="154"/>
      <c r="C78" s="30">
        <f>YEAR(WTG_BD[[#This Row],[Date]])+IF(MONTH(WTG_BD[[#This Row],[Date]])&gt;=4,1,0)</f>
        <v>2025</v>
      </c>
      <c r="D78" s="31">
        <f>YEAR(IGA_BD[[#This Row],[Date]])</f>
        <v>1900</v>
      </c>
      <c r="E78" s="48">
        <f t="shared" si="2"/>
        <v>1</v>
      </c>
      <c r="F78" s="32"/>
      <c r="G78" s="33"/>
      <c r="H78" s="43" t="str">
        <f>IFERROR(VLOOKUP(IGA_BD[[#This Row],[Affected Feeder ]],'Basic Data'!$A$42:$E$53,2,0),"")</f>
        <v/>
      </c>
      <c r="I78" s="43" t="str">
        <f>IFERROR(VLOOKUP(IGA_BD[[#This Row],[Affected Feeder ]],'Basic Data'!$A$42:$E$53,3,0),"")</f>
        <v/>
      </c>
      <c r="J78" s="43" t="str">
        <f>IFERROR(VLOOKUP(IGA_BD[[#This Row],[Affected Feeder ]],'Basic Data'!$A$42:$E$53,5,0),"")</f>
        <v/>
      </c>
      <c r="K78" s="164"/>
      <c r="L78" s="50"/>
      <c r="M78" s="116"/>
      <c r="N78" s="116"/>
      <c r="O78" s="57">
        <f>(IGA_BD[[#This Row],[Work Start TimeStamp]]-IGA_BD[[#This Row],[Fault Start TimeStamp]])*24</f>
        <v>0</v>
      </c>
      <c r="P78" s="44" t="str">
        <f>IF(IGA_BD[[#This Row],[Work Start TimeStamp]]="","",(IGA_BD[[#This Row],[Fault Clearance time]]-IGA_BD[[#This Row],[Work Start TimeStamp]])*24)</f>
        <v/>
      </c>
      <c r="Q78" s="57">
        <f>(IGA_BD[[#This Row],[Fault Clearance time]]-IGA_BD[[#This Row],[Fault Start TimeStamp]])*24</f>
        <v>0</v>
      </c>
      <c r="R78" s="153"/>
      <c r="S78" s="44"/>
      <c r="T78" s="45" t="str">
        <f>IFERROR(IGA_BD[[#This Row],[Breakdown Time]]*IGA_BD[[#This Row],[Plant Equivalent Weightage]],"")</f>
        <v/>
      </c>
    </row>
    <row r="79" spans="1:20">
      <c r="A79" s="28">
        <f t="shared" si="3"/>
        <v>78</v>
      </c>
      <c r="B79" s="154"/>
      <c r="C79" s="30">
        <f>YEAR(WTG_BD[[#This Row],[Date]])+IF(MONTH(WTG_BD[[#This Row],[Date]])&gt;=4,1,0)</f>
        <v>2025</v>
      </c>
      <c r="D79" s="31">
        <f>YEAR(IGA_BD[[#This Row],[Date]])</f>
        <v>1900</v>
      </c>
      <c r="E79" s="48">
        <f t="shared" si="2"/>
        <v>1</v>
      </c>
      <c r="F79" s="32"/>
      <c r="G79" s="33"/>
      <c r="H79" s="43" t="str">
        <f>IFERROR(VLOOKUP(IGA_BD[[#This Row],[Affected Feeder ]],'Basic Data'!$A$42:$E$53,2,0),"")</f>
        <v/>
      </c>
      <c r="I79" s="43" t="str">
        <f>IFERROR(VLOOKUP(IGA_BD[[#This Row],[Affected Feeder ]],'Basic Data'!$A$42:$E$53,3,0),"")</f>
        <v/>
      </c>
      <c r="J79" s="43" t="str">
        <f>IFERROR(VLOOKUP(IGA_BD[[#This Row],[Affected Feeder ]],'Basic Data'!$A$42:$E$53,5,0),"")</f>
        <v/>
      </c>
      <c r="K79" s="164"/>
      <c r="L79" s="50"/>
      <c r="M79" s="116"/>
      <c r="N79" s="116"/>
      <c r="O79" s="57">
        <f>(IGA_BD[[#This Row],[Work Start TimeStamp]]-IGA_BD[[#This Row],[Fault Start TimeStamp]])*24</f>
        <v>0</v>
      </c>
      <c r="P79" s="44" t="str">
        <f>IF(IGA_BD[[#This Row],[Work Start TimeStamp]]="","",(IGA_BD[[#This Row],[Fault Clearance time]]-IGA_BD[[#This Row],[Work Start TimeStamp]])*24)</f>
        <v/>
      </c>
      <c r="Q79" s="57">
        <f>(IGA_BD[[#This Row],[Fault Clearance time]]-IGA_BD[[#This Row],[Fault Start TimeStamp]])*24</f>
        <v>0</v>
      </c>
      <c r="R79" s="153"/>
      <c r="S79" s="44"/>
      <c r="T79" s="45" t="str">
        <f>IFERROR(IGA_BD[[#This Row],[Breakdown Time]]*IGA_BD[[#This Row],[Plant Equivalent Weightage]],"")</f>
        <v/>
      </c>
    </row>
    <row r="80" spans="1:20">
      <c r="A80" s="28">
        <f t="shared" si="3"/>
        <v>79</v>
      </c>
      <c r="B80" s="154"/>
      <c r="C80" s="30">
        <f>YEAR(WTG_BD[[#This Row],[Date]])+IF(MONTH(WTG_BD[[#This Row],[Date]])&gt;=4,1,0)</f>
        <v>2025</v>
      </c>
      <c r="D80" s="31">
        <f>YEAR(IGA_BD[[#This Row],[Date]])</f>
        <v>1900</v>
      </c>
      <c r="E80" s="48">
        <f t="shared" si="2"/>
        <v>1</v>
      </c>
      <c r="F80" s="32"/>
      <c r="G80" s="33"/>
      <c r="H80" s="43" t="str">
        <f>IFERROR(VLOOKUP(IGA_BD[[#This Row],[Affected Feeder ]],'Basic Data'!$A$42:$E$53,2,0),"")</f>
        <v/>
      </c>
      <c r="I80" s="43" t="str">
        <f>IFERROR(VLOOKUP(IGA_BD[[#This Row],[Affected Feeder ]],'Basic Data'!$A$42:$E$53,3,0),"")</f>
        <v/>
      </c>
      <c r="J80" s="43" t="str">
        <f>IFERROR(VLOOKUP(IGA_BD[[#This Row],[Affected Feeder ]],'Basic Data'!$A$42:$E$53,5,0),"")</f>
        <v/>
      </c>
      <c r="K80" s="164"/>
      <c r="L80" s="50"/>
      <c r="M80" s="116"/>
      <c r="N80" s="116"/>
      <c r="O80" s="57">
        <f>(IGA_BD[[#This Row],[Work Start TimeStamp]]-IGA_BD[[#This Row],[Fault Start TimeStamp]])*24</f>
        <v>0</v>
      </c>
      <c r="P80" s="44" t="str">
        <f>IF(IGA_BD[[#This Row],[Work Start TimeStamp]]="","",(IGA_BD[[#This Row],[Fault Clearance time]]-IGA_BD[[#This Row],[Work Start TimeStamp]])*24)</f>
        <v/>
      </c>
      <c r="Q80" s="57">
        <f>(IGA_BD[[#This Row],[Fault Clearance time]]-IGA_BD[[#This Row],[Fault Start TimeStamp]])*24</f>
        <v>0</v>
      </c>
      <c r="R80" s="153"/>
      <c r="S80" s="44"/>
      <c r="T80" s="45" t="str">
        <f>IFERROR(IGA_BD[[#This Row],[Breakdown Time]]*IGA_BD[[#This Row],[Plant Equivalent Weightage]],"")</f>
        <v/>
      </c>
    </row>
    <row r="81" spans="1:20">
      <c r="A81" s="28">
        <f t="shared" si="3"/>
        <v>80</v>
      </c>
      <c r="B81" s="154"/>
      <c r="C81" s="30">
        <f>YEAR(WTG_BD[[#This Row],[Date]])+IF(MONTH(WTG_BD[[#This Row],[Date]])&gt;=4,1,0)</f>
        <v>2025</v>
      </c>
      <c r="D81" s="31">
        <f>YEAR(IGA_BD[[#This Row],[Date]])</f>
        <v>1900</v>
      </c>
      <c r="E81" s="48">
        <f t="shared" si="2"/>
        <v>1</v>
      </c>
      <c r="F81" s="32"/>
      <c r="G81" s="33"/>
      <c r="H81" s="43" t="str">
        <f>IFERROR(VLOOKUP(IGA_BD[[#This Row],[Affected Feeder ]],'Basic Data'!$A$42:$E$53,2,0),"")</f>
        <v/>
      </c>
      <c r="I81" s="43" t="str">
        <f>IFERROR(VLOOKUP(IGA_BD[[#This Row],[Affected Feeder ]],'Basic Data'!$A$42:$E$53,3,0),"")</f>
        <v/>
      </c>
      <c r="J81" s="43" t="str">
        <f>IFERROR(VLOOKUP(IGA_BD[[#This Row],[Affected Feeder ]],'Basic Data'!$A$42:$E$53,5,0),"")</f>
        <v/>
      </c>
      <c r="K81" s="164"/>
      <c r="L81" s="50"/>
      <c r="M81" s="116"/>
      <c r="N81" s="116"/>
      <c r="O81" s="57">
        <f>(IGA_BD[[#This Row],[Work Start TimeStamp]]-IGA_BD[[#This Row],[Fault Start TimeStamp]])*24</f>
        <v>0</v>
      </c>
      <c r="P81" s="44" t="str">
        <f>IF(IGA_BD[[#This Row],[Work Start TimeStamp]]="","",(IGA_BD[[#This Row],[Fault Clearance time]]-IGA_BD[[#This Row],[Work Start TimeStamp]])*24)</f>
        <v/>
      </c>
      <c r="Q81" s="57">
        <f>(IGA_BD[[#This Row],[Fault Clearance time]]-IGA_BD[[#This Row],[Fault Start TimeStamp]])*24</f>
        <v>0</v>
      </c>
      <c r="R81" s="153"/>
      <c r="S81" s="44"/>
      <c r="T81" s="45" t="str">
        <f>IFERROR(IGA_BD[[#This Row],[Breakdown Time]]*IGA_BD[[#This Row],[Plant Equivalent Weightage]],"")</f>
        <v/>
      </c>
    </row>
    <row r="82" spans="1:20">
      <c r="A82" s="28">
        <f t="shared" si="3"/>
        <v>81</v>
      </c>
      <c r="B82" s="154"/>
      <c r="C82" s="30">
        <f>YEAR(WTG_BD[[#This Row],[Date]])+IF(MONTH(WTG_BD[[#This Row],[Date]])&gt;=4,1,0)</f>
        <v>2025</v>
      </c>
      <c r="D82" s="31">
        <f>YEAR(IGA_BD[[#This Row],[Date]])</f>
        <v>1900</v>
      </c>
      <c r="E82" s="48">
        <f t="shared" si="2"/>
        <v>1</v>
      </c>
      <c r="F82" s="32"/>
      <c r="G82" s="33"/>
      <c r="H82" s="43" t="str">
        <f>IFERROR(VLOOKUP(IGA_BD[[#This Row],[Affected Feeder ]],'Basic Data'!$A$42:$E$53,2,0),"")</f>
        <v/>
      </c>
      <c r="I82" s="43" t="str">
        <f>IFERROR(VLOOKUP(IGA_BD[[#This Row],[Affected Feeder ]],'Basic Data'!$A$42:$E$53,3,0),"")</f>
        <v/>
      </c>
      <c r="J82" s="43" t="str">
        <f>IFERROR(VLOOKUP(IGA_BD[[#This Row],[Affected Feeder ]],'Basic Data'!$A$42:$E$53,5,0),"")</f>
        <v/>
      </c>
      <c r="K82" s="164"/>
      <c r="L82" s="50"/>
      <c r="M82" s="116"/>
      <c r="N82" s="116"/>
      <c r="O82" s="57">
        <f>(IGA_BD[[#This Row],[Work Start TimeStamp]]-IGA_BD[[#This Row],[Fault Start TimeStamp]])*24</f>
        <v>0</v>
      </c>
      <c r="P82" s="44" t="str">
        <f>IF(IGA_BD[[#This Row],[Work Start TimeStamp]]="","",(IGA_BD[[#This Row],[Fault Clearance time]]-IGA_BD[[#This Row],[Work Start TimeStamp]])*24)</f>
        <v/>
      </c>
      <c r="Q82" s="57">
        <f>(IGA_BD[[#This Row],[Fault Clearance time]]-IGA_BD[[#This Row],[Fault Start TimeStamp]])*24</f>
        <v>0</v>
      </c>
      <c r="R82" s="153"/>
      <c r="S82" s="44"/>
      <c r="T82" s="45" t="str">
        <f>IFERROR(IGA_BD[[#This Row],[Breakdown Time]]*IGA_BD[[#This Row],[Plant Equivalent Weightage]],"")</f>
        <v/>
      </c>
    </row>
    <row r="83" spans="1:20">
      <c r="A83" s="28">
        <f t="shared" si="3"/>
        <v>82</v>
      </c>
      <c r="B83" s="154"/>
      <c r="C83" s="30">
        <f>YEAR(WTG_BD[[#This Row],[Date]])+IF(MONTH(WTG_BD[[#This Row],[Date]])&gt;=4,1,0)</f>
        <v>2025</v>
      </c>
      <c r="D83" s="31">
        <f>YEAR(IGA_BD[[#This Row],[Date]])</f>
        <v>1900</v>
      </c>
      <c r="E83" s="48">
        <f t="shared" si="2"/>
        <v>1</v>
      </c>
      <c r="F83" s="32"/>
      <c r="G83" s="33"/>
      <c r="H83" s="43" t="str">
        <f>IFERROR(VLOOKUP(IGA_BD[[#This Row],[Affected Feeder ]],'Basic Data'!$A$42:$E$53,2,0),"")</f>
        <v/>
      </c>
      <c r="I83" s="43" t="str">
        <f>IFERROR(VLOOKUP(IGA_BD[[#This Row],[Affected Feeder ]],'Basic Data'!$A$42:$E$53,3,0),"")</f>
        <v/>
      </c>
      <c r="J83" s="43" t="str">
        <f>IFERROR(VLOOKUP(IGA_BD[[#This Row],[Affected Feeder ]],'Basic Data'!$A$42:$E$53,5,0),"")</f>
        <v/>
      </c>
      <c r="K83" s="164"/>
      <c r="L83" s="50"/>
      <c r="M83" s="116"/>
      <c r="N83" s="116"/>
      <c r="O83" s="57">
        <f>(IGA_BD[[#This Row],[Work Start TimeStamp]]-IGA_BD[[#This Row],[Fault Start TimeStamp]])*24</f>
        <v>0</v>
      </c>
      <c r="P83" s="44" t="str">
        <f>IF(IGA_BD[[#This Row],[Work Start TimeStamp]]="","",(IGA_BD[[#This Row],[Fault Clearance time]]-IGA_BD[[#This Row],[Work Start TimeStamp]])*24)</f>
        <v/>
      </c>
      <c r="Q83" s="57">
        <f>(IGA_BD[[#This Row],[Fault Clearance time]]-IGA_BD[[#This Row],[Fault Start TimeStamp]])*24</f>
        <v>0</v>
      </c>
      <c r="R83" s="153"/>
      <c r="S83" s="44"/>
      <c r="T83" s="45" t="str">
        <f>IFERROR(IGA_BD[[#This Row],[Breakdown Time]]*IGA_BD[[#This Row],[Plant Equivalent Weightage]],"")</f>
        <v/>
      </c>
    </row>
    <row r="84" spans="1:20">
      <c r="A84" s="28">
        <f t="shared" si="3"/>
        <v>83</v>
      </c>
      <c r="B84" s="154"/>
      <c r="C84" s="30">
        <f>YEAR(WTG_BD[[#This Row],[Date]])+IF(MONTH(WTG_BD[[#This Row],[Date]])&gt;=4,1,0)</f>
        <v>2025</v>
      </c>
      <c r="D84" s="31">
        <f>YEAR(IGA_BD[[#This Row],[Date]])</f>
        <v>1900</v>
      </c>
      <c r="E84" s="48">
        <f t="shared" si="2"/>
        <v>1</v>
      </c>
      <c r="F84" s="32"/>
      <c r="G84" s="33"/>
      <c r="H84" s="43" t="str">
        <f>IFERROR(VLOOKUP(IGA_BD[[#This Row],[Affected Feeder ]],'Basic Data'!$A$42:$E$53,2,0),"")</f>
        <v/>
      </c>
      <c r="I84" s="43" t="str">
        <f>IFERROR(VLOOKUP(IGA_BD[[#This Row],[Affected Feeder ]],'Basic Data'!$A$42:$E$53,3,0),"")</f>
        <v/>
      </c>
      <c r="J84" s="43" t="str">
        <f>IFERROR(VLOOKUP(IGA_BD[[#This Row],[Affected Feeder ]],'Basic Data'!$A$42:$E$53,5,0),"")</f>
        <v/>
      </c>
      <c r="K84" s="164"/>
      <c r="L84" s="50"/>
      <c r="M84" s="116"/>
      <c r="N84" s="116"/>
      <c r="O84" s="57">
        <f>(IGA_BD[[#This Row],[Work Start TimeStamp]]-IGA_BD[[#This Row],[Fault Start TimeStamp]])*24</f>
        <v>0</v>
      </c>
      <c r="P84" s="44" t="str">
        <f>IF(IGA_BD[[#This Row],[Work Start TimeStamp]]="","",(IGA_BD[[#This Row],[Fault Clearance time]]-IGA_BD[[#This Row],[Work Start TimeStamp]])*24)</f>
        <v/>
      </c>
      <c r="Q84" s="57">
        <f>(IGA_BD[[#This Row],[Fault Clearance time]]-IGA_BD[[#This Row],[Fault Start TimeStamp]])*24</f>
        <v>0</v>
      </c>
      <c r="R84" s="153"/>
      <c r="S84" s="44"/>
      <c r="T84" s="45" t="str">
        <f>IFERROR(IGA_BD[[#This Row],[Breakdown Time]]*IGA_BD[[#This Row],[Plant Equivalent Weightage]],"")</f>
        <v/>
      </c>
    </row>
    <row r="85" spans="1:20">
      <c r="A85" s="28">
        <f t="shared" si="3"/>
        <v>84</v>
      </c>
      <c r="B85" s="154"/>
      <c r="C85" s="30">
        <f>YEAR(WTG_BD[[#This Row],[Date]])+IF(MONTH(WTG_BD[[#This Row],[Date]])&gt;=4,1,0)</f>
        <v>2025</v>
      </c>
      <c r="D85" s="31">
        <f>YEAR(IGA_BD[[#This Row],[Date]])</f>
        <v>1900</v>
      </c>
      <c r="E85" s="48">
        <f t="shared" si="2"/>
        <v>1</v>
      </c>
      <c r="F85" s="32"/>
      <c r="G85" s="33"/>
      <c r="H85" s="43" t="str">
        <f>IFERROR(VLOOKUP(IGA_BD[[#This Row],[Affected Feeder ]],'Basic Data'!$A$42:$E$53,2,0),"")</f>
        <v/>
      </c>
      <c r="I85" s="43" t="str">
        <f>IFERROR(VLOOKUP(IGA_BD[[#This Row],[Affected Feeder ]],'Basic Data'!$A$42:$E$53,3,0),"")</f>
        <v/>
      </c>
      <c r="J85" s="43" t="str">
        <f>IFERROR(VLOOKUP(IGA_BD[[#This Row],[Affected Feeder ]],'Basic Data'!$A$42:$E$53,5,0),"")</f>
        <v/>
      </c>
      <c r="K85" s="164"/>
      <c r="L85" s="50"/>
      <c r="M85" s="116"/>
      <c r="N85" s="116"/>
      <c r="O85" s="57">
        <f>(IGA_BD[[#This Row],[Work Start TimeStamp]]-IGA_BD[[#This Row],[Fault Start TimeStamp]])*24</f>
        <v>0</v>
      </c>
      <c r="P85" s="44" t="str">
        <f>IF(IGA_BD[[#This Row],[Work Start TimeStamp]]="","",(IGA_BD[[#This Row],[Fault Clearance time]]-IGA_BD[[#This Row],[Work Start TimeStamp]])*24)</f>
        <v/>
      </c>
      <c r="Q85" s="57">
        <f>(IGA_BD[[#This Row],[Fault Clearance time]]-IGA_BD[[#This Row],[Fault Start TimeStamp]])*24</f>
        <v>0</v>
      </c>
      <c r="R85" s="153"/>
      <c r="S85" s="44"/>
      <c r="T85" s="45" t="str">
        <f>IFERROR(IGA_BD[[#This Row],[Breakdown Time]]*IGA_BD[[#This Row],[Plant Equivalent Weightage]],"")</f>
        <v/>
      </c>
    </row>
    <row r="86" spans="1:20">
      <c r="A86" s="28">
        <f t="shared" si="3"/>
        <v>85</v>
      </c>
      <c r="B86" s="154"/>
      <c r="C86" s="30">
        <f>YEAR(WTG_BD[[#This Row],[Date]])+IF(MONTH(WTG_BD[[#This Row],[Date]])&gt;=4,1,0)</f>
        <v>2025</v>
      </c>
      <c r="D86" s="31">
        <f>YEAR(IGA_BD[[#This Row],[Date]])</f>
        <v>1900</v>
      </c>
      <c r="E86" s="48">
        <f t="shared" si="2"/>
        <v>1</v>
      </c>
      <c r="F86" s="32"/>
      <c r="G86" s="33"/>
      <c r="H86" s="43" t="str">
        <f>IFERROR(VLOOKUP(IGA_BD[[#This Row],[Affected Feeder ]],'Basic Data'!$A$42:$E$53,2,0),"")</f>
        <v/>
      </c>
      <c r="I86" s="43" t="str">
        <f>IFERROR(VLOOKUP(IGA_BD[[#This Row],[Affected Feeder ]],'Basic Data'!$A$42:$E$53,3,0),"")</f>
        <v/>
      </c>
      <c r="J86" s="43" t="str">
        <f>IFERROR(VLOOKUP(IGA_BD[[#This Row],[Affected Feeder ]],'Basic Data'!$A$42:$E$53,5,0),"")</f>
        <v/>
      </c>
      <c r="K86" s="164"/>
      <c r="L86" s="50"/>
      <c r="M86" s="116"/>
      <c r="N86" s="116"/>
      <c r="O86" s="57">
        <f>(IGA_BD[[#This Row],[Work Start TimeStamp]]-IGA_BD[[#This Row],[Fault Start TimeStamp]])*24</f>
        <v>0</v>
      </c>
      <c r="P86" s="44" t="str">
        <f>IF(IGA_BD[[#This Row],[Work Start TimeStamp]]="","",(IGA_BD[[#This Row],[Fault Clearance time]]-IGA_BD[[#This Row],[Work Start TimeStamp]])*24)</f>
        <v/>
      </c>
      <c r="Q86" s="57">
        <f>(IGA_BD[[#This Row],[Fault Clearance time]]-IGA_BD[[#This Row],[Fault Start TimeStamp]])*24</f>
        <v>0</v>
      </c>
      <c r="R86" s="153"/>
      <c r="S86" s="44"/>
      <c r="T86" s="45" t="str">
        <f>IFERROR(IGA_BD[[#This Row],[Breakdown Time]]*IGA_BD[[#This Row],[Plant Equivalent Weightage]],"")</f>
        <v/>
      </c>
    </row>
    <row r="87" spans="1:20">
      <c r="A87" s="28">
        <f t="shared" si="3"/>
        <v>86</v>
      </c>
      <c r="B87" s="154"/>
      <c r="C87" s="30">
        <f>YEAR(WTG_BD[[#This Row],[Date]])+IF(MONTH(WTG_BD[[#This Row],[Date]])&gt;=4,1,0)</f>
        <v>2025</v>
      </c>
      <c r="D87" s="31">
        <f>YEAR(IGA_BD[[#This Row],[Date]])</f>
        <v>1900</v>
      </c>
      <c r="E87" s="48">
        <f t="shared" si="2"/>
        <v>1</v>
      </c>
      <c r="F87" s="32"/>
      <c r="G87" s="33"/>
      <c r="H87" s="43" t="str">
        <f>IFERROR(VLOOKUP(IGA_BD[[#This Row],[Affected Feeder ]],'Basic Data'!$A$42:$E$53,2,0),"")</f>
        <v/>
      </c>
      <c r="I87" s="43" t="str">
        <f>IFERROR(VLOOKUP(IGA_BD[[#This Row],[Affected Feeder ]],'Basic Data'!$A$42:$E$53,3,0),"")</f>
        <v/>
      </c>
      <c r="J87" s="43" t="str">
        <f>IFERROR(VLOOKUP(IGA_BD[[#This Row],[Affected Feeder ]],'Basic Data'!$A$42:$E$53,5,0),"")</f>
        <v/>
      </c>
      <c r="K87" s="164"/>
      <c r="L87" s="50"/>
      <c r="M87" s="116"/>
      <c r="N87" s="116"/>
      <c r="O87" s="57">
        <f>(IGA_BD[[#This Row],[Work Start TimeStamp]]-IGA_BD[[#This Row],[Fault Start TimeStamp]])*24</f>
        <v>0</v>
      </c>
      <c r="P87" s="44" t="str">
        <f>IF(IGA_BD[[#This Row],[Work Start TimeStamp]]="","",(IGA_BD[[#This Row],[Fault Clearance time]]-IGA_BD[[#This Row],[Work Start TimeStamp]])*24)</f>
        <v/>
      </c>
      <c r="Q87" s="57">
        <f>(IGA_BD[[#This Row],[Fault Clearance time]]-IGA_BD[[#This Row],[Fault Start TimeStamp]])*24</f>
        <v>0</v>
      </c>
      <c r="R87" s="153"/>
      <c r="S87" s="44"/>
      <c r="T87" s="45" t="str">
        <f>IFERROR(IGA_BD[[#This Row],[Breakdown Time]]*IGA_BD[[#This Row],[Plant Equivalent Weightage]],"")</f>
        <v/>
      </c>
    </row>
    <row r="88" spans="1:20">
      <c r="A88" s="28">
        <f t="shared" si="3"/>
        <v>87</v>
      </c>
      <c r="B88" s="154"/>
      <c r="C88" s="30">
        <f>YEAR(WTG_BD[[#This Row],[Date]])+IF(MONTH(WTG_BD[[#This Row],[Date]])&gt;=4,1,0)</f>
        <v>2025</v>
      </c>
      <c r="D88" s="31">
        <f>YEAR(IGA_BD[[#This Row],[Date]])</f>
        <v>1900</v>
      </c>
      <c r="E88" s="48">
        <f t="shared" si="2"/>
        <v>1</v>
      </c>
      <c r="F88" s="32"/>
      <c r="G88" s="33"/>
      <c r="H88" s="43" t="str">
        <f>IFERROR(VLOOKUP(IGA_BD[[#This Row],[Affected Feeder ]],'Basic Data'!$A$42:$E$53,2,0),"")</f>
        <v/>
      </c>
      <c r="I88" s="43" t="str">
        <f>IFERROR(VLOOKUP(IGA_BD[[#This Row],[Affected Feeder ]],'Basic Data'!$A$42:$E$53,3,0),"")</f>
        <v/>
      </c>
      <c r="J88" s="43" t="str">
        <f>IFERROR(VLOOKUP(IGA_BD[[#This Row],[Affected Feeder ]],'Basic Data'!$A$42:$E$53,5,0),"")</f>
        <v/>
      </c>
      <c r="K88" s="164"/>
      <c r="L88" s="50"/>
      <c r="M88" s="116"/>
      <c r="N88" s="116"/>
      <c r="O88" s="57">
        <f>(IGA_BD[[#This Row],[Work Start TimeStamp]]-IGA_BD[[#This Row],[Fault Start TimeStamp]])*24</f>
        <v>0</v>
      </c>
      <c r="P88" s="44" t="str">
        <f>IF(IGA_BD[[#This Row],[Work Start TimeStamp]]="","",(IGA_BD[[#This Row],[Fault Clearance time]]-IGA_BD[[#This Row],[Work Start TimeStamp]])*24)</f>
        <v/>
      </c>
      <c r="Q88" s="57">
        <f>(IGA_BD[[#This Row],[Fault Clearance time]]-IGA_BD[[#This Row],[Fault Start TimeStamp]])*24</f>
        <v>0</v>
      </c>
      <c r="R88" s="153"/>
      <c r="S88" s="44"/>
      <c r="T88" s="45" t="str">
        <f>IFERROR(IGA_BD[[#This Row],[Breakdown Time]]*IGA_BD[[#This Row],[Plant Equivalent Weightage]],"")</f>
        <v/>
      </c>
    </row>
    <row r="89" spans="1:20">
      <c r="A89" s="28">
        <f t="shared" si="3"/>
        <v>88</v>
      </c>
      <c r="B89" s="154"/>
      <c r="C89" s="30">
        <f>YEAR(WTG_BD[[#This Row],[Date]])+IF(MONTH(WTG_BD[[#This Row],[Date]])&gt;=4,1,0)</f>
        <v>2025</v>
      </c>
      <c r="D89" s="31">
        <f>YEAR(IGA_BD[[#This Row],[Date]])</f>
        <v>1900</v>
      </c>
      <c r="E89" s="48">
        <f t="shared" si="2"/>
        <v>1</v>
      </c>
      <c r="F89" s="32"/>
      <c r="G89" s="33"/>
      <c r="H89" s="43" t="str">
        <f>IFERROR(VLOOKUP(IGA_BD[[#This Row],[Affected Feeder ]],'Basic Data'!$A$42:$E$53,2,0),"")</f>
        <v/>
      </c>
      <c r="I89" s="43" t="str">
        <f>IFERROR(VLOOKUP(IGA_BD[[#This Row],[Affected Feeder ]],'Basic Data'!$A$42:$E$53,3,0),"")</f>
        <v/>
      </c>
      <c r="J89" s="43" t="str">
        <f>IFERROR(VLOOKUP(IGA_BD[[#This Row],[Affected Feeder ]],'Basic Data'!$A$42:$E$53,5,0),"")</f>
        <v/>
      </c>
      <c r="K89" s="164"/>
      <c r="L89" s="50"/>
      <c r="M89" s="116"/>
      <c r="N89" s="116"/>
      <c r="O89" s="57">
        <f>(IGA_BD[[#This Row],[Work Start TimeStamp]]-IGA_BD[[#This Row],[Fault Start TimeStamp]])*24</f>
        <v>0</v>
      </c>
      <c r="P89" s="44" t="str">
        <f>IF(IGA_BD[[#This Row],[Work Start TimeStamp]]="","",(IGA_BD[[#This Row],[Fault Clearance time]]-IGA_BD[[#This Row],[Work Start TimeStamp]])*24)</f>
        <v/>
      </c>
      <c r="Q89" s="57">
        <f>(IGA_BD[[#This Row],[Fault Clearance time]]-IGA_BD[[#This Row],[Fault Start TimeStamp]])*24</f>
        <v>0</v>
      </c>
      <c r="R89" s="153"/>
      <c r="S89" s="44"/>
      <c r="T89" s="45" t="str">
        <f>IFERROR(IGA_BD[[#This Row],[Breakdown Time]]*IGA_BD[[#This Row],[Plant Equivalent Weightage]],"")</f>
        <v/>
      </c>
    </row>
    <row r="90" spans="1:20">
      <c r="A90" s="28">
        <f t="shared" si="3"/>
        <v>89</v>
      </c>
      <c r="B90" s="154"/>
      <c r="C90" s="30">
        <f>YEAR(WTG_BD[[#This Row],[Date]])+IF(MONTH(WTG_BD[[#This Row],[Date]])&gt;=4,1,0)</f>
        <v>2025</v>
      </c>
      <c r="D90" s="31">
        <f>YEAR(IGA_BD[[#This Row],[Date]])</f>
        <v>1900</v>
      </c>
      <c r="E90" s="48">
        <f t="shared" si="2"/>
        <v>1</v>
      </c>
      <c r="F90" s="32"/>
      <c r="G90" s="33"/>
      <c r="H90" s="43" t="str">
        <f>IFERROR(VLOOKUP(IGA_BD[[#This Row],[Affected Feeder ]],'Basic Data'!$A$42:$E$53,2,0),"")</f>
        <v/>
      </c>
      <c r="I90" s="43" t="str">
        <f>IFERROR(VLOOKUP(IGA_BD[[#This Row],[Affected Feeder ]],'Basic Data'!$A$42:$E$53,3,0),"")</f>
        <v/>
      </c>
      <c r="J90" s="43" t="str">
        <f>IFERROR(VLOOKUP(IGA_BD[[#This Row],[Affected Feeder ]],'Basic Data'!$A$42:$E$53,5,0),"")</f>
        <v/>
      </c>
      <c r="K90" s="164"/>
      <c r="L90" s="50"/>
      <c r="M90" s="116"/>
      <c r="N90" s="116"/>
      <c r="O90" s="57">
        <f>(IGA_BD[[#This Row],[Work Start TimeStamp]]-IGA_BD[[#This Row],[Fault Start TimeStamp]])*24</f>
        <v>0</v>
      </c>
      <c r="P90" s="44" t="str">
        <f>IF(IGA_BD[[#This Row],[Work Start TimeStamp]]="","",(IGA_BD[[#This Row],[Fault Clearance time]]-IGA_BD[[#This Row],[Work Start TimeStamp]])*24)</f>
        <v/>
      </c>
      <c r="Q90" s="57">
        <f>(IGA_BD[[#This Row],[Fault Clearance time]]-IGA_BD[[#This Row],[Fault Start TimeStamp]])*24</f>
        <v>0</v>
      </c>
      <c r="R90" s="153"/>
      <c r="S90" s="44"/>
      <c r="T90" s="45" t="str">
        <f>IFERROR(IGA_BD[[#This Row],[Breakdown Time]]*IGA_BD[[#This Row],[Plant Equivalent Weightage]],"")</f>
        <v/>
      </c>
    </row>
    <row r="91" spans="1:20">
      <c r="A91" s="28">
        <f t="shared" si="3"/>
        <v>90</v>
      </c>
      <c r="B91" s="154"/>
      <c r="C91" s="30">
        <f>YEAR(WTG_BD[[#This Row],[Date]])+IF(MONTH(WTG_BD[[#This Row],[Date]])&gt;=4,1,0)</f>
        <v>2025</v>
      </c>
      <c r="D91" s="31">
        <f>YEAR(IGA_BD[[#This Row],[Date]])</f>
        <v>1900</v>
      </c>
      <c r="E91" s="48">
        <f t="shared" si="2"/>
        <v>1</v>
      </c>
      <c r="F91" s="32"/>
      <c r="G91" s="33"/>
      <c r="H91" s="43" t="str">
        <f>IFERROR(VLOOKUP(IGA_BD[[#This Row],[Affected Feeder ]],'Basic Data'!$A$42:$E$53,2,0),"")</f>
        <v/>
      </c>
      <c r="I91" s="43" t="str">
        <f>IFERROR(VLOOKUP(IGA_BD[[#This Row],[Affected Feeder ]],'Basic Data'!$A$42:$E$53,3,0),"")</f>
        <v/>
      </c>
      <c r="J91" s="43" t="str">
        <f>IFERROR(VLOOKUP(IGA_BD[[#This Row],[Affected Feeder ]],'Basic Data'!$A$42:$E$53,5,0),"")</f>
        <v/>
      </c>
      <c r="K91" s="164"/>
      <c r="L91" s="50"/>
      <c r="M91" s="116"/>
      <c r="N91" s="116"/>
      <c r="O91" s="57">
        <f>(IGA_BD[[#This Row],[Work Start TimeStamp]]-IGA_BD[[#This Row],[Fault Start TimeStamp]])*24</f>
        <v>0</v>
      </c>
      <c r="P91" s="44" t="str">
        <f>IF(IGA_BD[[#This Row],[Work Start TimeStamp]]="","",(IGA_BD[[#This Row],[Fault Clearance time]]-IGA_BD[[#This Row],[Work Start TimeStamp]])*24)</f>
        <v/>
      </c>
      <c r="Q91" s="57">
        <f>(IGA_BD[[#This Row],[Fault Clearance time]]-IGA_BD[[#This Row],[Fault Start TimeStamp]])*24</f>
        <v>0</v>
      </c>
      <c r="R91" s="153"/>
      <c r="S91" s="44"/>
      <c r="T91" s="45" t="str">
        <f>IFERROR(IGA_BD[[#This Row],[Breakdown Time]]*IGA_BD[[#This Row],[Plant Equivalent Weightage]],"")</f>
        <v/>
      </c>
    </row>
    <row r="92" spans="1:20">
      <c r="A92" s="28">
        <f t="shared" si="3"/>
        <v>91</v>
      </c>
      <c r="B92" s="154"/>
      <c r="C92" s="30">
        <f>YEAR(WTG_BD[[#This Row],[Date]])+IF(MONTH(WTG_BD[[#This Row],[Date]])&gt;=4,1,0)</f>
        <v>2025</v>
      </c>
      <c r="D92" s="31">
        <f>YEAR(IGA_BD[[#This Row],[Date]])</f>
        <v>1900</v>
      </c>
      <c r="E92" s="48">
        <f t="shared" ref="E92:E155" si="4">B92-DAY(B92)+1</f>
        <v>1</v>
      </c>
      <c r="F92" s="32"/>
      <c r="G92" s="33"/>
      <c r="H92" s="43" t="str">
        <f>IFERROR(VLOOKUP(IGA_BD[[#This Row],[Affected Feeder ]],'Basic Data'!$A$42:$E$53,2,0),"")</f>
        <v/>
      </c>
      <c r="I92" s="43" t="str">
        <f>IFERROR(VLOOKUP(IGA_BD[[#This Row],[Affected Feeder ]],'Basic Data'!$A$42:$E$53,3,0),"")</f>
        <v/>
      </c>
      <c r="J92" s="43" t="str">
        <f>IFERROR(VLOOKUP(IGA_BD[[#This Row],[Affected Feeder ]],'Basic Data'!$A$42:$E$53,5,0),"")</f>
        <v/>
      </c>
      <c r="K92" s="164"/>
      <c r="L92" s="50"/>
      <c r="M92" s="116"/>
      <c r="N92" s="116"/>
      <c r="O92" s="57">
        <f>(IGA_BD[[#This Row],[Work Start TimeStamp]]-IGA_BD[[#This Row],[Fault Start TimeStamp]])*24</f>
        <v>0</v>
      </c>
      <c r="P92" s="44" t="str">
        <f>IF(IGA_BD[[#This Row],[Work Start TimeStamp]]="","",(IGA_BD[[#This Row],[Fault Clearance time]]-IGA_BD[[#This Row],[Work Start TimeStamp]])*24)</f>
        <v/>
      </c>
      <c r="Q92" s="57">
        <f>(IGA_BD[[#This Row],[Fault Clearance time]]-IGA_BD[[#This Row],[Fault Start TimeStamp]])*24</f>
        <v>0</v>
      </c>
      <c r="R92" s="153"/>
      <c r="S92" s="44"/>
      <c r="T92" s="45" t="str">
        <f>IFERROR(IGA_BD[[#This Row],[Breakdown Time]]*IGA_BD[[#This Row],[Plant Equivalent Weightage]],"")</f>
        <v/>
      </c>
    </row>
    <row r="93" spans="1:20">
      <c r="A93" s="28">
        <f t="shared" si="3"/>
        <v>92</v>
      </c>
      <c r="B93" s="154"/>
      <c r="C93" s="30">
        <f>YEAR(WTG_BD[[#This Row],[Date]])+IF(MONTH(WTG_BD[[#This Row],[Date]])&gt;=4,1,0)</f>
        <v>2025</v>
      </c>
      <c r="D93" s="31">
        <f>YEAR(IGA_BD[[#This Row],[Date]])</f>
        <v>1900</v>
      </c>
      <c r="E93" s="48">
        <f t="shared" si="4"/>
        <v>1</v>
      </c>
      <c r="F93" s="32"/>
      <c r="G93" s="33"/>
      <c r="H93" s="43" t="str">
        <f>IFERROR(VLOOKUP(IGA_BD[[#This Row],[Affected Feeder ]],'Basic Data'!$A$42:$E$53,2,0),"")</f>
        <v/>
      </c>
      <c r="I93" s="43" t="str">
        <f>IFERROR(VLOOKUP(IGA_BD[[#This Row],[Affected Feeder ]],'Basic Data'!$A$42:$E$53,3,0),"")</f>
        <v/>
      </c>
      <c r="J93" s="43" t="str">
        <f>IFERROR(VLOOKUP(IGA_BD[[#This Row],[Affected Feeder ]],'Basic Data'!$A$42:$E$53,5,0),"")</f>
        <v/>
      </c>
      <c r="K93" s="164"/>
      <c r="L93" s="50"/>
      <c r="M93" s="116"/>
      <c r="N93" s="116"/>
      <c r="O93" s="57">
        <f>(IGA_BD[[#This Row],[Work Start TimeStamp]]-IGA_BD[[#This Row],[Fault Start TimeStamp]])*24</f>
        <v>0</v>
      </c>
      <c r="P93" s="44" t="str">
        <f>IF(IGA_BD[[#This Row],[Work Start TimeStamp]]="","",(IGA_BD[[#This Row],[Fault Clearance time]]-IGA_BD[[#This Row],[Work Start TimeStamp]])*24)</f>
        <v/>
      </c>
      <c r="Q93" s="57">
        <f>(IGA_BD[[#This Row],[Fault Clearance time]]-IGA_BD[[#This Row],[Fault Start TimeStamp]])*24</f>
        <v>0</v>
      </c>
      <c r="R93" s="153"/>
      <c r="S93" s="44"/>
      <c r="T93" s="45" t="str">
        <f>IFERROR(IGA_BD[[#This Row],[Breakdown Time]]*IGA_BD[[#This Row],[Plant Equivalent Weightage]],"")</f>
        <v/>
      </c>
    </row>
    <row r="94" spans="1:20">
      <c r="A94" s="28">
        <f t="shared" si="3"/>
        <v>93</v>
      </c>
      <c r="B94" s="154"/>
      <c r="C94" s="30">
        <f>YEAR(WTG_BD[[#This Row],[Date]])+IF(MONTH(WTG_BD[[#This Row],[Date]])&gt;=4,1,0)</f>
        <v>2026</v>
      </c>
      <c r="D94" s="31">
        <f>YEAR(IGA_BD[[#This Row],[Date]])</f>
        <v>1900</v>
      </c>
      <c r="E94" s="48">
        <f t="shared" si="4"/>
        <v>1</v>
      </c>
      <c r="F94" s="32"/>
      <c r="G94" s="33"/>
      <c r="H94" s="43" t="str">
        <f>IFERROR(VLOOKUP(IGA_BD[[#This Row],[Affected Feeder ]],'Basic Data'!$A$42:$E$53,2,0),"")</f>
        <v/>
      </c>
      <c r="I94" s="43" t="str">
        <f>IFERROR(VLOOKUP(IGA_BD[[#This Row],[Affected Feeder ]],'Basic Data'!$A$42:$E$53,3,0),"")</f>
        <v/>
      </c>
      <c r="J94" s="43" t="str">
        <f>IFERROR(VLOOKUP(IGA_BD[[#This Row],[Affected Feeder ]],'Basic Data'!$A$42:$E$53,5,0),"")</f>
        <v/>
      </c>
      <c r="K94" s="164"/>
      <c r="L94" s="50"/>
      <c r="M94" s="116"/>
      <c r="N94" s="116"/>
      <c r="O94" s="57">
        <f>(IGA_BD[[#This Row],[Work Start TimeStamp]]-IGA_BD[[#This Row],[Fault Start TimeStamp]])*24</f>
        <v>0</v>
      </c>
      <c r="P94" s="44" t="str">
        <f>IF(IGA_BD[[#This Row],[Work Start TimeStamp]]="","",(IGA_BD[[#This Row],[Fault Clearance time]]-IGA_BD[[#This Row],[Work Start TimeStamp]])*24)</f>
        <v/>
      </c>
      <c r="Q94" s="57">
        <f>(IGA_BD[[#This Row],[Fault Clearance time]]-IGA_BD[[#This Row],[Fault Start TimeStamp]])*24</f>
        <v>0</v>
      </c>
      <c r="R94" s="153"/>
      <c r="S94" s="44"/>
      <c r="T94" s="45" t="str">
        <f>IFERROR(IGA_BD[[#This Row],[Breakdown Time]]*IGA_BD[[#This Row],[Plant Equivalent Weightage]],"")</f>
        <v/>
      </c>
    </row>
    <row r="95" spans="1:20">
      <c r="A95" s="28">
        <f t="shared" si="3"/>
        <v>94</v>
      </c>
      <c r="B95" s="154"/>
      <c r="C95" s="30">
        <f>YEAR(WTG_BD[[#This Row],[Date]])+IF(MONTH(WTG_BD[[#This Row],[Date]])&gt;=4,1,0)</f>
        <v>2026</v>
      </c>
      <c r="D95" s="31">
        <f>YEAR(IGA_BD[[#This Row],[Date]])</f>
        <v>1900</v>
      </c>
      <c r="E95" s="48">
        <f t="shared" si="4"/>
        <v>1</v>
      </c>
      <c r="F95" s="32"/>
      <c r="G95" s="33"/>
      <c r="H95" s="43" t="str">
        <f>IFERROR(VLOOKUP(IGA_BD[[#This Row],[Affected Feeder ]],'Basic Data'!$A$42:$E$53,2,0),"")</f>
        <v/>
      </c>
      <c r="I95" s="43" t="str">
        <f>IFERROR(VLOOKUP(IGA_BD[[#This Row],[Affected Feeder ]],'Basic Data'!$A$42:$E$53,3,0),"")</f>
        <v/>
      </c>
      <c r="J95" s="43" t="str">
        <f>IFERROR(VLOOKUP(IGA_BD[[#This Row],[Affected Feeder ]],'Basic Data'!$A$42:$E$53,5,0),"")</f>
        <v/>
      </c>
      <c r="K95" s="164"/>
      <c r="L95" s="50"/>
      <c r="M95" s="116"/>
      <c r="N95" s="116"/>
      <c r="O95" s="57">
        <f>(IGA_BD[[#This Row],[Work Start TimeStamp]]-IGA_BD[[#This Row],[Fault Start TimeStamp]])*24</f>
        <v>0</v>
      </c>
      <c r="P95" s="44" t="str">
        <f>IF(IGA_BD[[#This Row],[Work Start TimeStamp]]="","",(IGA_BD[[#This Row],[Fault Clearance time]]-IGA_BD[[#This Row],[Work Start TimeStamp]])*24)</f>
        <v/>
      </c>
      <c r="Q95" s="57">
        <f>(IGA_BD[[#This Row],[Fault Clearance time]]-IGA_BD[[#This Row],[Fault Start TimeStamp]])*24</f>
        <v>0</v>
      </c>
      <c r="R95" s="153"/>
      <c r="S95" s="44"/>
      <c r="T95" s="45" t="str">
        <f>IFERROR(IGA_BD[[#This Row],[Breakdown Time]]*IGA_BD[[#This Row],[Plant Equivalent Weightage]],"")</f>
        <v/>
      </c>
    </row>
    <row r="96" spans="1:20">
      <c r="A96" s="28">
        <f t="shared" si="3"/>
        <v>95</v>
      </c>
      <c r="B96" s="154"/>
      <c r="C96" s="30">
        <f>YEAR(WTG_BD[[#This Row],[Date]])+IF(MONTH(WTG_BD[[#This Row],[Date]])&gt;=4,1,0)</f>
        <v>2026</v>
      </c>
      <c r="D96" s="31">
        <f>YEAR(IGA_BD[[#This Row],[Date]])</f>
        <v>1900</v>
      </c>
      <c r="E96" s="48">
        <f t="shared" si="4"/>
        <v>1</v>
      </c>
      <c r="F96" s="32"/>
      <c r="G96" s="33"/>
      <c r="H96" s="43" t="str">
        <f>IFERROR(VLOOKUP(IGA_BD[[#This Row],[Affected Feeder ]],'Basic Data'!$A$42:$E$53,2,0),"")</f>
        <v/>
      </c>
      <c r="I96" s="43" t="str">
        <f>IFERROR(VLOOKUP(IGA_BD[[#This Row],[Affected Feeder ]],'Basic Data'!$A$42:$E$53,3,0),"")</f>
        <v/>
      </c>
      <c r="J96" s="43" t="str">
        <f>IFERROR(VLOOKUP(IGA_BD[[#This Row],[Affected Feeder ]],'Basic Data'!$A$42:$E$53,5,0),"")</f>
        <v/>
      </c>
      <c r="K96" s="164"/>
      <c r="L96" s="50"/>
      <c r="M96" s="116"/>
      <c r="N96" s="116"/>
      <c r="O96" s="57">
        <f>(IGA_BD[[#This Row],[Work Start TimeStamp]]-IGA_BD[[#This Row],[Fault Start TimeStamp]])*24</f>
        <v>0</v>
      </c>
      <c r="P96" s="44" t="str">
        <f>IF(IGA_BD[[#This Row],[Work Start TimeStamp]]="","",(IGA_BD[[#This Row],[Fault Clearance time]]-IGA_BD[[#This Row],[Work Start TimeStamp]])*24)</f>
        <v/>
      </c>
      <c r="Q96" s="57">
        <f>(IGA_BD[[#This Row],[Fault Clearance time]]-IGA_BD[[#This Row],[Fault Start TimeStamp]])*24</f>
        <v>0</v>
      </c>
      <c r="R96" s="153"/>
      <c r="S96" s="44"/>
      <c r="T96" s="45" t="str">
        <f>IFERROR(IGA_BD[[#This Row],[Breakdown Time]]*IGA_BD[[#This Row],[Plant Equivalent Weightage]],"")</f>
        <v/>
      </c>
    </row>
    <row r="97" spans="1:20">
      <c r="A97" s="28">
        <f t="shared" si="3"/>
        <v>96</v>
      </c>
      <c r="B97" s="154"/>
      <c r="C97" s="30">
        <f>YEAR(WTG_BD[[#This Row],[Date]])+IF(MONTH(WTG_BD[[#This Row],[Date]])&gt;=4,1,0)</f>
        <v>2026</v>
      </c>
      <c r="D97" s="31">
        <f>YEAR(IGA_BD[[#This Row],[Date]])</f>
        <v>1900</v>
      </c>
      <c r="E97" s="48">
        <f t="shared" si="4"/>
        <v>1</v>
      </c>
      <c r="F97" s="32"/>
      <c r="G97" s="33"/>
      <c r="H97" s="43" t="str">
        <f>IFERROR(VLOOKUP(IGA_BD[[#This Row],[Affected Feeder ]],'Basic Data'!$A$42:$E$53,2,0),"")</f>
        <v/>
      </c>
      <c r="I97" s="43" t="str">
        <f>IFERROR(VLOOKUP(IGA_BD[[#This Row],[Affected Feeder ]],'Basic Data'!$A$42:$E$53,3,0),"")</f>
        <v/>
      </c>
      <c r="J97" s="43" t="str">
        <f>IFERROR(VLOOKUP(IGA_BD[[#This Row],[Affected Feeder ]],'Basic Data'!$A$42:$E$53,5,0),"")</f>
        <v/>
      </c>
      <c r="K97" s="164"/>
      <c r="L97" s="50"/>
      <c r="M97" s="116"/>
      <c r="N97" s="116"/>
      <c r="O97" s="57">
        <f>(IGA_BD[[#This Row],[Work Start TimeStamp]]-IGA_BD[[#This Row],[Fault Start TimeStamp]])*24</f>
        <v>0</v>
      </c>
      <c r="P97" s="44" t="str">
        <f>IF(IGA_BD[[#This Row],[Work Start TimeStamp]]="","",(IGA_BD[[#This Row],[Fault Clearance time]]-IGA_BD[[#This Row],[Work Start TimeStamp]])*24)</f>
        <v/>
      </c>
      <c r="Q97" s="57">
        <f>(IGA_BD[[#This Row],[Fault Clearance time]]-IGA_BD[[#This Row],[Fault Start TimeStamp]])*24</f>
        <v>0</v>
      </c>
      <c r="R97" s="153"/>
      <c r="S97" s="44"/>
      <c r="T97" s="45" t="str">
        <f>IFERROR(IGA_BD[[#This Row],[Breakdown Time]]*IGA_BD[[#This Row],[Plant Equivalent Weightage]],"")</f>
        <v/>
      </c>
    </row>
    <row r="98" spans="1:20">
      <c r="A98" s="28">
        <f t="shared" si="3"/>
        <v>97</v>
      </c>
      <c r="B98" s="154"/>
      <c r="C98" s="30">
        <f>YEAR(WTG_BD[[#This Row],[Date]])+IF(MONTH(WTG_BD[[#This Row],[Date]])&gt;=4,1,0)</f>
        <v>2026</v>
      </c>
      <c r="D98" s="31">
        <f>YEAR(IGA_BD[[#This Row],[Date]])</f>
        <v>1900</v>
      </c>
      <c r="E98" s="48">
        <f t="shared" si="4"/>
        <v>1</v>
      </c>
      <c r="F98" s="32"/>
      <c r="G98" s="33"/>
      <c r="H98" s="43" t="str">
        <f>IFERROR(VLOOKUP(IGA_BD[[#This Row],[Affected Feeder ]],'Basic Data'!$A$42:$E$53,2,0),"")</f>
        <v/>
      </c>
      <c r="I98" s="43" t="str">
        <f>IFERROR(VLOOKUP(IGA_BD[[#This Row],[Affected Feeder ]],'Basic Data'!$A$42:$E$53,3,0),"")</f>
        <v/>
      </c>
      <c r="J98" s="43" t="str">
        <f>IFERROR(VLOOKUP(IGA_BD[[#This Row],[Affected Feeder ]],'Basic Data'!$A$42:$E$53,5,0),"")</f>
        <v/>
      </c>
      <c r="K98" s="164"/>
      <c r="L98" s="50"/>
      <c r="M98" s="116"/>
      <c r="N98" s="116"/>
      <c r="O98" s="57">
        <f>(IGA_BD[[#This Row],[Work Start TimeStamp]]-IGA_BD[[#This Row],[Fault Start TimeStamp]])*24</f>
        <v>0</v>
      </c>
      <c r="P98" s="44" t="str">
        <f>IF(IGA_BD[[#This Row],[Work Start TimeStamp]]="","",(IGA_BD[[#This Row],[Fault Clearance time]]-IGA_BD[[#This Row],[Work Start TimeStamp]])*24)</f>
        <v/>
      </c>
      <c r="Q98" s="57">
        <f>(IGA_BD[[#This Row],[Fault Clearance time]]-IGA_BD[[#This Row],[Fault Start TimeStamp]])*24</f>
        <v>0</v>
      </c>
      <c r="R98" s="153"/>
      <c r="S98" s="44"/>
      <c r="T98" s="45" t="str">
        <f>IFERROR(IGA_BD[[#This Row],[Breakdown Time]]*IGA_BD[[#This Row],[Plant Equivalent Weightage]],"")</f>
        <v/>
      </c>
    </row>
    <row r="99" spans="1:20">
      <c r="A99" s="28">
        <f t="shared" si="3"/>
        <v>98</v>
      </c>
      <c r="B99" s="154"/>
      <c r="C99" s="30">
        <f>YEAR(WTG_BD[[#This Row],[Date]])+IF(MONTH(WTG_BD[[#This Row],[Date]])&gt;=4,1,0)</f>
        <v>2026</v>
      </c>
      <c r="D99" s="31">
        <f>YEAR(IGA_BD[[#This Row],[Date]])</f>
        <v>1900</v>
      </c>
      <c r="E99" s="48">
        <f t="shared" si="4"/>
        <v>1</v>
      </c>
      <c r="F99" s="32"/>
      <c r="G99" s="33"/>
      <c r="H99" s="43" t="str">
        <f>IFERROR(VLOOKUP(IGA_BD[[#This Row],[Affected Feeder ]],'Basic Data'!$A$42:$E$53,2,0),"")</f>
        <v/>
      </c>
      <c r="I99" s="43" t="str">
        <f>IFERROR(VLOOKUP(IGA_BD[[#This Row],[Affected Feeder ]],'Basic Data'!$A$42:$E$53,3,0),"")</f>
        <v/>
      </c>
      <c r="J99" s="43" t="str">
        <f>IFERROR(VLOOKUP(IGA_BD[[#This Row],[Affected Feeder ]],'Basic Data'!$A$42:$E$53,5,0),"")</f>
        <v/>
      </c>
      <c r="K99" s="164"/>
      <c r="L99" s="50"/>
      <c r="M99" s="116"/>
      <c r="N99" s="116"/>
      <c r="O99" s="57">
        <f>(IGA_BD[[#This Row],[Work Start TimeStamp]]-IGA_BD[[#This Row],[Fault Start TimeStamp]])*24</f>
        <v>0</v>
      </c>
      <c r="P99" s="44" t="str">
        <f>IF(IGA_BD[[#This Row],[Work Start TimeStamp]]="","",(IGA_BD[[#This Row],[Fault Clearance time]]-IGA_BD[[#This Row],[Work Start TimeStamp]])*24)</f>
        <v/>
      </c>
      <c r="Q99" s="57">
        <f>(IGA_BD[[#This Row],[Fault Clearance time]]-IGA_BD[[#This Row],[Fault Start TimeStamp]])*24</f>
        <v>0</v>
      </c>
      <c r="R99" s="153"/>
      <c r="S99" s="44"/>
      <c r="T99" s="45" t="str">
        <f>IFERROR(IGA_BD[[#This Row],[Breakdown Time]]*IGA_BD[[#This Row],[Plant Equivalent Weightage]],"")</f>
        <v/>
      </c>
    </row>
    <row r="100" spans="1:20">
      <c r="A100" s="28">
        <f t="shared" si="3"/>
        <v>99</v>
      </c>
      <c r="B100" s="154"/>
      <c r="C100" s="30">
        <f>YEAR(WTG_BD[[#This Row],[Date]])+IF(MONTH(WTG_BD[[#This Row],[Date]])&gt;=4,1,0)</f>
        <v>2026</v>
      </c>
      <c r="D100" s="31">
        <f>YEAR(IGA_BD[[#This Row],[Date]])</f>
        <v>1900</v>
      </c>
      <c r="E100" s="48">
        <f t="shared" si="4"/>
        <v>1</v>
      </c>
      <c r="F100" s="32"/>
      <c r="G100" s="33"/>
      <c r="H100" s="43" t="str">
        <f>IFERROR(VLOOKUP(IGA_BD[[#This Row],[Affected Feeder ]],'Basic Data'!$A$42:$E$53,2,0),"")</f>
        <v/>
      </c>
      <c r="I100" s="43" t="str">
        <f>IFERROR(VLOOKUP(IGA_BD[[#This Row],[Affected Feeder ]],'Basic Data'!$A$42:$E$53,3,0),"")</f>
        <v/>
      </c>
      <c r="J100" s="43" t="str">
        <f>IFERROR(VLOOKUP(IGA_BD[[#This Row],[Affected Feeder ]],'Basic Data'!$A$42:$E$53,5,0),"")</f>
        <v/>
      </c>
      <c r="K100" s="164"/>
      <c r="L100" s="50"/>
      <c r="M100" s="116"/>
      <c r="N100" s="116"/>
      <c r="O100" s="57">
        <f>(IGA_BD[[#This Row],[Work Start TimeStamp]]-IGA_BD[[#This Row],[Fault Start TimeStamp]])*24</f>
        <v>0</v>
      </c>
      <c r="P100" s="44" t="str">
        <f>IF(IGA_BD[[#This Row],[Work Start TimeStamp]]="","",(IGA_BD[[#This Row],[Fault Clearance time]]-IGA_BD[[#This Row],[Work Start TimeStamp]])*24)</f>
        <v/>
      </c>
      <c r="Q100" s="57">
        <f>(IGA_BD[[#This Row],[Fault Clearance time]]-IGA_BD[[#This Row],[Fault Start TimeStamp]])*24</f>
        <v>0</v>
      </c>
      <c r="R100" s="153"/>
      <c r="S100" s="44"/>
      <c r="T100" s="45" t="str">
        <f>IFERROR(IGA_BD[[#This Row],[Breakdown Time]]*IGA_BD[[#This Row],[Plant Equivalent Weightage]],"")</f>
        <v/>
      </c>
    </row>
    <row r="101" spans="1:20">
      <c r="A101" s="28">
        <f t="shared" si="3"/>
        <v>100</v>
      </c>
      <c r="B101" s="154"/>
      <c r="C101" s="30">
        <f>YEAR(WTG_BD[[#This Row],[Date]])+IF(MONTH(WTG_BD[[#This Row],[Date]])&gt;=4,1,0)</f>
        <v>2026</v>
      </c>
      <c r="D101" s="31">
        <f>YEAR(IGA_BD[[#This Row],[Date]])</f>
        <v>1900</v>
      </c>
      <c r="E101" s="48">
        <f t="shared" si="4"/>
        <v>1</v>
      </c>
      <c r="F101" s="32"/>
      <c r="G101" s="33"/>
      <c r="H101" s="43" t="str">
        <f>IFERROR(VLOOKUP(IGA_BD[[#This Row],[Affected Feeder ]],'Basic Data'!$A$42:$E$53,2,0),"")</f>
        <v/>
      </c>
      <c r="I101" s="43" t="str">
        <f>IFERROR(VLOOKUP(IGA_BD[[#This Row],[Affected Feeder ]],'Basic Data'!$A$42:$E$53,3,0),"")</f>
        <v/>
      </c>
      <c r="J101" s="43" t="str">
        <f>IFERROR(VLOOKUP(IGA_BD[[#This Row],[Affected Feeder ]],'Basic Data'!$A$42:$E$53,5,0),"")</f>
        <v/>
      </c>
      <c r="K101" s="164"/>
      <c r="L101" s="50"/>
      <c r="M101" s="116"/>
      <c r="N101" s="116"/>
      <c r="O101" s="57">
        <f>(IGA_BD[[#This Row],[Work Start TimeStamp]]-IGA_BD[[#This Row],[Fault Start TimeStamp]])*24</f>
        <v>0</v>
      </c>
      <c r="P101" s="44" t="str">
        <f>IF(IGA_BD[[#This Row],[Work Start TimeStamp]]="","",(IGA_BD[[#This Row],[Fault Clearance time]]-IGA_BD[[#This Row],[Work Start TimeStamp]])*24)</f>
        <v/>
      </c>
      <c r="Q101" s="57">
        <f>(IGA_BD[[#This Row],[Fault Clearance time]]-IGA_BD[[#This Row],[Fault Start TimeStamp]])*24</f>
        <v>0</v>
      </c>
      <c r="R101" s="153"/>
      <c r="S101" s="44"/>
      <c r="T101" s="45" t="str">
        <f>IFERROR(IGA_BD[[#This Row],[Breakdown Time]]*IGA_BD[[#This Row],[Plant Equivalent Weightage]],"")</f>
        <v/>
      </c>
    </row>
    <row r="102" spans="1:20">
      <c r="A102" s="28">
        <f t="shared" si="3"/>
        <v>101</v>
      </c>
      <c r="B102" s="154"/>
      <c r="C102" s="30">
        <f>YEAR(WTG_BD[[#This Row],[Date]])+IF(MONTH(WTG_BD[[#This Row],[Date]])&gt;=4,1,0)</f>
        <v>2026</v>
      </c>
      <c r="D102" s="31">
        <f>YEAR(IGA_BD[[#This Row],[Date]])</f>
        <v>1900</v>
      </c>
      <c r="E102" s="48">
        <f t="shared" si="4"/>
        <v>1</v>
      </c>
      <c r="F102" s="32"/>
      <c r="G102" s="33"/>
      <c r="H102" s="43" t="str">
        <f>IFERROR(VLOOKUP(IGA_BD[[#This Row],[Affected Feeder ]],'Basic Data'!$A$42:$E$53,2,0),"")</f>
        <v/>
      </c>
      <c r="I102" s="43" t="str">
        <f>IFERROR(VLOOKUP(IGA_BD[[#This Row],[Affected Feeder ]],'Basic Data'!$A$42:$E$53,3,0),"")</f>
        <v/>
      </c>
      <c r="J102" s="43" t="str">
        <f>IFERROR(VLOOKUP(IGA_BD[[#This Row],[Affected Feeder ]],'Basic Data'!$A$42:$E$53,5,0),"")</f>
        <v/>
      </c>
      <c r="K102" s="164"/>
      <c r="L102" s="50"/>
      <c r="M102" s="116"/>
      <c r="N102" s="116"/>
      <c r="O102" s="57">
        <f>(IGA_BD[[#This Row],[Work Start TimeStamp]]-IGA_BD[[#This Row],[Fault Start TimeStamp]])*24</f>
        <v>0</v>
      </c>
      <c r="P102" s="44" t="str">
        <f>IF(IGA_BD[[#This Row],[Work Start TimeStamp]]="","",(IGA_BD[[#This Row],[Fault Clearance time]]-IGA_BD[[#This Row],[Work Start TimeStamp]])*24)</f>
        <v/>
      </c>
      <c r="Q102" s="57">
        <f>(IGA_BD[[#This Row],[Fault Clearance time]]-IGA_BD[[#This Row],[Fault Start TimeStamp]])*24</f>
        <v>0</v>
      </c>
      <c r="R102" s="153"/>
      <c r="S102" s="44"/>
      <c r="T102" s="45" t="str">
        <f>IFERROR(IGA_BD[[#This Row],[Breakdown Time]]*IGA_BD[[#This Row],[Plant Equivalent Weightage]],"")</f>
        <v/>
      </c>
    </row>
    <row r="103" spans="1:20">
      <c r="A103" s="28"/>
      <c r="B103" s="154"/>
      <c r="C103" s="30">
        <f>YEAR(WTG_BD[[#This Row],[Date]])+IF(MONTH(WTG_BD[[#This Row],[Date]])&gt;=4,1,0)</f>
        <v>2026</v>
      </c>
      <c r="D103" s="31">
        <f>YEAR(IGA_BD[[#This Row],[Date]])</f>
        <v>1900</v>
      </c>
      <c r="E103" s="48">
        <f t="shared" si="4"/>
        <v>1</v>
      </c>
      <c r="F103" s="32"/>
      <c r="G103" s="33"/>
      <c r="H103" s="43" t="str">
        <f>IFERROR(VLOOKUP(IGA_BD[[#This Row],[Affected Feeder ]],'Basic Data'!$A$42:$E$53,2,0),"")</f>
        <v/>
      </c>
      <c r="I103" s="43" t="str">
        <f>IFERROR(VLOOKUP(IGA_BD[[#This Row],[Affected Feeder ]],'Basic Data'!$A$42:$E$53,3,0),"")</f>
        <v/>
      </c>
      <c r="J103" s="43" t="str">
        <f>IFERROR(VLOOKUP(IGA_BD[[#This Row],[Affected Feeder ]],'Basic Data'!$A$42:$E$53,5,0),"")</f>
        <v/>
      </c>
      <c r="K103" s="164"/>
      <c r="L103" s="50"/>
      <c r="M103" s="116"/>
      <c r="N103" s="116"/>
      <c r="O103" s="57">
        <f>(IGA_BD[[#This Row],[Work Start TimeStamp]]-IGA_BD[[#This Row],[Fault Start TimeStamp]])*24</f>
        <v>0</v>
      </c>
      <c r="P103" s="44" t="str">
        <f>IF(IGA_BD[[#This Row],[Work Start TimeStamp]]="","",(IGA_BD[[#This Row],[Fault Clearance time]]-IGA_BD[[#This Row],[Work Start TimeStamp]])*24)</f>
        <v/>
      </c>
      <c r="Q103" s="57">
        <f>(IGA_BD[[#This Row],[Fault Clearance time]]-IGA_BD[[#This Row],[Fault Start TimeStamp]])*24</f>
        <v>0</v>
      </c>
      <c r="R103" s="153"/>
      <c r="S103" s="44"/>
      <c r="T103" s="45" t="str">
        <f>IFERROR(IGA_BD[[#This Row],[Breakdown Time]]*IGA_BD[[#This Row],[Plant Equivalent Weightage]],"")</f>
        <v/>
      </c>
    </row>
    <row r="104" spans="1:20">
      <c r="A104" s="28"/>
      <c r="B104" s="154"/>
      <c r="C104" s="30">
        <f>YEAR(WTG_BD[[#This Row],[Date]])+IF(MONTH(WTG_BD[[#This Row],[Date]])&gt;=4,1,0)</f>
        <v>2026</v>
      </c>
      <c r="D104" s="31">
        <f>YEAR(IGA_BD[[#This Row],[Date]])</f>
        <v>1900</v>
      </c>
      <c r="E104" s="48">
        <f t="shared" si="4"/>
        <v>1</v>
      </c>
      <c r="F104" s="32"/>
      <c r="G104" s="33"/>
      <c r="H104" s="43" t="str">
        <f>IFERROR(VLOOKUP(IGA_BD[[#This Row],[Affected Feeder ]],'Basic Data'!$A$42:$E$53,2,0),"")</f>
        <v/>
      </c>
      <c r="I104" s="43" t="str">
        <f>IFERROR(VLOOKUP(IGA_BD[[#This Row],[Affected Feeder ]],'Basic Data'!$A$42:$E$53,3,0),"")</f>
        <v/>
      </c>
      <c r="J104" s="43" t="str">
        <f>IFERROR(VLOOKUP(IGA_BD[[#This Row],[Affected Feeder ]],'Basic Data'!$A$42:$E$53,5,0),"")</f>
        <v/>
      </c>
      <c r="K104" s="164"/>
      <c r="L104" s="50"/>
      <c r="M104" s="116"/>
      <c r="N104" s="116"/>
      <c r="O104" s="57">
        <f>(IGA_BD[[#This Row],[Work Start TimeStamp]]-IGA_BD[[#This Row],[Fault Start TimeStamp]])*24</f>
        <v>0</v>
      </c>
      <c r="P104" s="44" t="str">
        <f>IF(IGA_BD[[#This Row],[Work Start TimeStamp]]="","",(IGA_BD[[#This Row],[Fault Clearance time]]-IGA_BD[[#This Row],[Work Start TimeStamp]])*24)</f>
        <v/>
      </c>
      <c r="Q104" s="57">
        <f>(IGA_BD[[#This Row],[Fault Clearance time]]-IGA_BD[[#This Row],[Fault Start TimeStamp]])*24</f>
        <v>0</v>
      </c>
      <c r="R104" s="153"/>
      <c r="S104" s="44"/>
      <c r="T104" s="45" t="str">
        <f>IFERROR(IGA_BD[[#This Row],[Breakdown Time]]*IGA_BD[[#This Row],[Plant Equivalent Weightage]],"")</f>
        <v/>
      </c>
    </row>
    <row r="105" spans="1:20">
      <c r="A105" s="28"/>
      <c r="B105" s="154"/>
      <c r="C105" s="30">
        <f>YEAR(WTG_BD[[#This Row],[Date]])+IF(MONTH(WTG_BD[[#This Row],[Date]])&gt;=4,1,0)</f>
        <v>2026</v>
      </c>
      <c r="D105" s="31">
        <f>YEAR(IGA_BD[[#This Row],[Date]])</f>
        <v>1900</v>
      </c>
      <c r="E105" s="48">
        <f t="shared" si="4"/>
        <v>1</v>
      </c>
      <c r="F105" s="32"/>
      <c r="G105" s="33"/>
      <c r="H105" s="43" t="str">
        <f>IFERROR(VLOOKUP(IGA_BD[[#This Row],[Affected Feeder ]],'Basic Data'!$A$42:$E$53,2,0),"")</f>
        <v/>
      </c>
      <c r="I105" s="43" t="str">
        <f>IFERROR(VLOOKUP(IGA_BD[[#This Row],[Affected Feeder ]],'Basic Data'!$A$42:$E$53,3,0),"")</f>
        <v/>
      </c>
      <c r="J105" s="43" t="str">
        <f>IFERROR(VLOOKUP(IGA_BD[[#This Row],[Affected Feeder ]],'Basic Data'!$A$42:$E$53,5,0),"")</f>
        <v/>
      </c>
      <c r="K105" s="164"/>
      <c r="L105" s="50"/>
      <c r="M105" s="116"/>
      <c r="N105" s="116"/>
      <c r="O105" s="57">
        <f>(IGA_BD[[#This Row],[Work Start TimeStamp]]-IGA_BD[[#This Row],[Fault Start TimeStamp]])*24</f>
        <v>0</v>
      </c>
      <c r="P105" s="44" t="str">
        <f>IF(IGA_BD[[#This Row],[Work Start TimeStamp]]="","",(IGA_BD[[#This Row],[Fault Clearance time]]-IGA_BD[[#This Row],[Work Start TimeStamp]])*24)</f>
        <v/>
      </c>
      <c r="Q105" s="57">
        <f>(IGA_BD[[#This Row],[Fault Clearance time]]-IGA_BD[[#This Row],[Fault Start TimeStamp]])*24</f>
        <v>0</v>
      </c>
      <c r="R105" s="153"/>
      <c r="S105" s="44"/>
      <c r="T105" s="45" t="str">
        <f>IFERROR(IGA_BD[[#This Row],[Breakdown Time]]*IGA_BD[[#This Row],[Plant Equivalent Weightage]],"")</f>
        <v/>
      </c>
    </row>
    <row r="106" spans="1:20">
      <c r="A106" s="28"/>
      <c r="B106" s="154"/>
      <c r="C106" s="30">
        <f>YEAR(WTG_BD[[#This Row],[Date]])+IF(MONTH(WTG_BD[[#This Row],[Date]])&gt;=4,1,0)</f>
        <v>2026</v>
      </c>
      <c r="D106" s="31">
        <f>YEAR(IGA_BD[[#This Row],[Date]])</f>
        <v>1900</v>
      </c>
      <c r="E106" s="48">
        <f t="shared" si="4"/>
        <v>1</v>
      </c>
      <c r="F106" s="32"/>
      <c r="G106" s="33"/>
      <c r="H106" s="43" t="str">
        <f>IFERROR(VLOOKUP(IGA_BD[[#This Row],[Affected Feeder ]],'Basic Data'!$A$42:$E$53,2,0),"")</f>
        <v/>
      </c>
      <c r="I106" s="43" t="str">
        <f>IFERROR(VLOOKUP(IGA_BD[[#This Row],[Affected Feeder ]],'Basic Data'!$A$42:$E$53,3,0),"")</f>
        <v/>
      </c>
      <c r="J106" s="43" t="str">
        <f>IFERROR(VLOOKUP(IGA_BD[[#This Row],[Affected Feeder ]],'Basic Data'!$A$42:$E$53,5,0),"")</f>
        <v/>
      </c>
      <c r="K106" s="164"/>
      <c r="L106" s="50"/>
      <c r="M106" s="116"/>
      <c r="N106" s="116"/>
      <c r="O106" s="57">
        <f>(IGA_BD[[#This Row],[Work Start TimeStamp]]-IGA_BD[[#This Row],[Fault Start TimeStamp]])*24</f>
        <v>0</v>
      </c>
      <c r="P106" s="44" t="str">
        <f>IF(IGA_BD[[#This Row],[Work Start TimeStamp]]="","",(IGA_BD[[#This Row],[Fault Clearance time]]-IGA_BD[[#This Row],[Work Start TimeStamp]])*24)</f>
        <v/>
      </c>
      <c r="Q106" s="57">
        <f>(IGA_BD[[#This Row],[Fault Clearance time]]-IGA_BD[[#This Row],[Fault Start TimeStamp]])*24</f>
        <v>0</v>
      </c>
      <c r="R106" s="153"/>
      <c r="S106" s="44"/>
      <c r="T106" s="45" t="str">
        <f>IFERROR(IGA_BD[[#This Row],[Breakdown Time]]*IGA_BD[[#This Row],[Plant Equivalent Weightage]],"")</f>
        <v/>
      </c>
    </row>
    <row r="107" spans="1:20">
      <c r="A107" s="28"/>
      <c r="B107" s="154"/>
      <c r="C107" s="30">
        <f>YEAR(WTG_BD[[#This Row],[Date]])+IF(MONTH(WTG_BD[[#This Row],[Date]])&gt;=4,1,0)</f>
        <v>2026</v>
      </c>
      <c r="D107" s="31">
        <f>YEAR(IGA_BD[[#This Row],[Date]])</f>
        <v>1900</v>
      </c>
      <c r="E107" s="48">
        <f t="shared" si="4"/>
        <v>1</v>
      </c>
      <c r="F107" s="32"/>
      <c r="G107" s="33"/>
      <c r="H107" s="43" t="str">
        <f>IFERROR(VLOOKUP(IGA_BD[[#This Row],[Affected Feeder ]],'Basic Data'!$A$42:$E$53,2,0),"")</f>
        <v/>
      </c>
      <c r="I107" s="43" t="str">
        <f>IFERROR(VLOOKUP(IGA_BD[[#This Row],[Affected Feeder ]],'Basic Data'!$A$42:$E$53,3,0),"")</f>
        <v/>
      </c>
      <c r="J107" s="43" t="str">
        <f>IFERROR(VLOOKUP(IGA_BD[[#This Row],[Affected Feeder ]],'Basic Data'!$A$42:$E$53,5,0),"")</f>
        <v/>
      </c>
      <c r="K107" s="164"/>
      <c r="L107" s="50"/>
      <c r="M107" s="116"/>
      <c r="N107" s="116"/>
      <c r="O107" s="57">
        <f>(IGA_BD[[#This Row],[Work Start TimeStamp]]-IGA_BD[[#This Row],[Fault Start TimeStamp]])*24</f>
        <v>0</v>
      </c>
      <c r="P107" s="44" t="str">
        <f>IF(IGA_BD[[#This Row],[Work Start TimeStamp]]="","",(IGA_BD[[#This Row],[Fault Clearance time]]-IGA_BD[[#This Row],[Work Start TimeStamp]])*24)</f>
        <v/>
      </c>
      <c r="Q107" s="57">
        <f>(IGA_BD[[#This Row],[Fault Clearance time]]-IGA_BD[[#This Row],[Fault Start TimeStamp]])*24</f>
        <v>0</v>
      </c>
      <c r="R107" s="153"/>
      <c r="S107" s="44"/>
      <c r="T107" s="45" t="str">
        <f>IFERROR(IGA_BD[[#This Row],[Breakdown Time]]*IGA_BD[[#This Row],[Plant Equivalent Weightage]],"")</f>
        <v/>
      </c>
    </row>
    <row r="108" spans="1:20">
      <c r="A108" s="28"/>
      <c r="B108" s="154"/>
      <c r="C108" s="30">
        <f>YEAR(WTG_BD[[#This Row],[Date]])+IF(MONTH(WTG_BD[[#This Row],[Date]])&gt;=4,1,0)</f>
        <v>2026</v>
      </c>
      <c r="D108" s="31">
        <f>YEAR(IGA_BD[[#This Row],[Date]])</f>
        <v>1900</v>
      </c>
      <c r="E108" s="48">
        <f t="shared" si="4"/>
        <v>1</v>
      </c>
      <c r="F108" s="32"/>
      <c r="G108" s="33"/>
      <c r="H108" s="43" t="str">
        <f>IFERROR(VLOOKUP(IGA_BD[[#This Row],[Affected Feeder ]],'Basic Data'!$A$42:$E$53,2,0),"")</f>
        <v/>
      </c>
      <c r="I108" s="43" t="str">
        <f>IFERROR(VLOOKUP(IGA_BD[[#This Row],[Affected Feeder ]],'Basic Data'!$A$42:$E$53,3,0),"")</f>
        <v/>
      </c>
      <c r="J108" s="43" t="str">
        <f>IFERROR(VLOOKUP(IGA_BD[[#This Row],[Affected Feeder ]],'Basic Data'!$A$42:$E$53,5,0),"")</f>
        <v/>
      </c>
      <c r="K108" s="164"/>
      <c r="L108" s="50"/>
      <c r="M108" s="116"/>
      <c r="N108" s="116"/>
      <c r="O108" s="57">
        <f>(IGA_BD[[#This Row],[Work Start TimeStamp]]-IGA_BD[[#This Row],[Fault Start TimeStamp]])*24</f>
        <v>0</v>
      </c>
      <c r="P108" s="44" t="str">
        <f>IF(IGA_BD[[#This Row],[Work Start TimeStamp]]="","",(IGA_BD[[#This Row],[Fault Clearance time]]-IGA_BD[[#This Row],[Work Start TimeStamp]])*24)</f>
        <v/>
      </c>
      <c r="Q108" s="57">
        <f>(IGA_BD[[#This Row],[Fault Clearance time]]-IGA_BD[[#This Row],[Fault Start TimeStamp]])*24</f>
        <v>0</v>
      </c>
      <c r="R108" s="153"/>
      <c r="S108" s="44"/>
      <c r="T108" s="45" t="str">
        <f>IFERROR(IGA_BD[[#This Row],[Breakdown Time]]*IGA_BD[[#This Row],[Plant Equivalent Weightage]],"")</f>
        <v/>
      </c>
    </row>
    <row r="109" spans="1:20">
      <c r="A109" s="28"/>
      <c r="B109" s="154"/>
      <c r="C109" s="30">
        <f>YEAR(WTG_BD[[#This Row],[Date]])+IF(MONTH(WTG_BD[[#This Row],[Date]])&gt;=4,1,0)</f>
        <v>2026</v>
      </c>
      <c r="D109" s="31">
        <f>YEAR(IGA_BD[[#This Row],[Date]])</f>
        <v>1900</v>
      </c>
      <c r="E109" s="48">
        <f t="shared" si="4"/>
        <v>1</v>
      </c>
      <c r="F109" s="32"/>
      <c r="G109" s="33"/>
      <c r="H109" s="43" t="str">
        <f>IFERROR(VLOOKUP(IGA_BD[[#This Row],[Affected Feeder ]],'Basic Data'!$A$42:$E$53,2,0),"")</f>
        <v/>
      </c>
      <c r="I109" s="43" t="str">
        <f>IFERROR(VLOOKUP(IGA_BD[[#This Row],[Affected Feeder ]],'Basic Data'!$A$42:$E$53,3,0),"")</f>
        <v/>
      </c>
      <c r="J109" s="43" t="str">
        <f>IFERROR(VLOOKUP(IGA_BD[[#This Row],[Affected Feeder ]],'Basic Data'!$A$42:$E$53,5,0),"")</f>
        <v/>
      </c>
      <c r="K109" s="164"/>
      <c r="L109" s="50"/>
      <c r="M109" s="116"/>
      <c r="N109" s="116"/>
      <c r="O109" s="57">
        <f>(IGA_BD[[#This Row],[Work Start TimeStamp]]-IGA_BD[[#This Row],[Fault Start TimeStamp]])*24</f>
        <v>0</v>
      </c>
      <c r="P109" s="44" t="str">
        <f>IF(IGA_BD[[#This Row],[Work Start TimeStamp]]="","",(IGA_BD[[#This Row],[Fault Clearance time]]-IGA_BD[[#This Row],[Work Start TimeStamp]])*24)</f>
        <v/>
      </c>
      <c r="Q109" s="57">
        <f>(IGA_BD[[#This Row],[Fault Clearance time]]-IGA_BD[[#This Row],[Fault Start TimeStamp]])*24</f>
        <v>0</v>
      </c>
      <c r="R109" s="153"/>
      <c r="S109" s="44"/>
      <c r="T109" s="45" t="str">
        <f>IFERROR(IGA_BD[[#This Row],[Breakdown Time]]*IGA_BD[[#This Row],[Plant Equivalent Weightage]],"")</f>
        <v/>
      </c>
    </row>
    <row r="110" spans="1:20">
      <c r="A110" s="28"/>
      <c r="B110" s="154"/>
      <c r="C110" s="30">
        <f>YEAR(WTG_BD[[#This Row],[Date]])+IF(MONTH(WTG_BD[[#This Row],[Date]])&gt;=4,1,0)</f>
        <v>2026</v>
      </c>
      <c r="D110" s="31">
        <f>YEAR(IGA_BD[[#This Row],[Date]])</f>
        <v>1900</v>
      </c>
      <c r="E110" s="48">
        <f t="shared" si="4"/>
        <v>1</v>
      </c>
      <c r="F110" s="32"/>
      <c r="G110" s="33"/>
      <c r="H110" s="43" t="str">
        <f>IFERROR(VLOOKUP(IGA_BD[[#This Row],[Affected Feeder ]],'Basic Data'!$A$42:$E$53,2,0),"")</f>
        <v/>
      </c>
      <c r="I110" s="43" t="str">
        <f>IFERROR(VLOOKUP(IGA_BD[[#This Row],[Affected Feeder ]],'Basic Data'!$A$42:$E$53,3,0),"")</f>
        <v/>
      </c>
      <c r="J110" s="43" t="str">
        <f>IFERROR(VLOOKUP(IGA_BD[[#This Row],[Affected Feeder ]],'Basic Data'!$A$42:$E$53,5,0),"")</f>
        <v/>
      </c>
      <c r="K110" s="164"/>
      <c r="L110" s="50"/>
      <c r="M110" s="116"/>
      <c r="N110" s="116"/>
      <c r="O110" s="57">
        <f>(IGA_BD[[#This Row],[Work Start TimeStamp]]-IGA_BD[[#This Row],[Fault Start TimeStamp]])*24</f>
        <v>0</v>
      </c>
      <c r="P110" s="44" t="str">
        <f>IF(IGA_BD[[#This Row],[Work Start TimeStamp]]="","",(IGA_BD[[#This Row],[Fault Clearance time]]-IGA_BD[[#This Row],[Work Start TimeStamp]])*24)</f>
        <v/>
      </c>
      <c r="Q110" s="57">
        <f>(IGA_BD[[#This Row],[Fault Clearance time]]-IGA_BD[[#This Row],[Fault Start TimeStamp]])*24</f>
        <v>0</v>
      </c>
      <c r="R110" s="153"/>
      <c r="S110" s="44"/>
      <c r="T110" s="45" t="str">
        <f>IFERROR(IGA_BD[[#This Row],[Breakdown Time]]*IGA_BD[[#This Row],[Plant Equivalent Weightage]],"")</f>
        <v/>
      </c>
    </row>
    <row r="111" spans="1:20">
      <c r="A111" s="28"/>
      <c r="B111" s="154"/>
      <c r="C111" s="30">
        <f>YEAR(WTG_BD[[#This Row],[Date]])+IF(MONTH(WTG_BD[[#This Row],[Date]])&gt;=4,1,0)</f>
        <v>2026</v>
      </c>
      <c r="D111" s="31">
        <f>YEAR(IGA_BD[[#This Row],[Date]])</f>
        <v>1900</v>
      </c>
      <c r="E111" s="48">
        <f t="shared" si="4"/>
        <v>1</v>
      </c>
      <c r="F111" s="32"/>
      <c r="G111" s="33"/>
      <c r="H111" s="43" t="str">
        <f>IFERROR(VLOOKUP(IGA_BD[[#This Row],[Affected Feeder ]],'Basic Data'!$A$42:$E$53,2,0),"")</f>
        <v/>
      </c>
      <c r="I111" s="43" t="str">
        <f>IFERROR(VLOOKUP(IGA_BD[[#This Row],[Affected Feeder ]],'Basic Data'!$A$42:$E$53,3,0),"")</f>
        <v/>
      </c>
      <c r="J111" s="43" t="str">
        <f>IFERROR(VLOOKUP(IGA_BD[[#This Row],[Affected Feeder ]],'Basic Data'!$A$42:$E$53,5,0),"")</f>
        <v/>
      </c>
      <c r="K111" s="164"/>
      <c r="L111" s="50"/>
      <c r="M111" s="116"/>
      <c r="N111" s="116"/>
      <c r="O111" s="57">
        <f>(IGA_BD[[#This Row],[Work Start TimeStamp]]-IGA_BD[[#This Row],[Fault Start TimeStamp]])*24</f>
        <v>0</v>
      </c>
      <c r="P111" s="44" t="str">
        <f>IF(IGA_BD[[#This Row],[Work Start TimeStamp]]="","",(IGA_BD[[#This Row],[Fault Clearance time]]-IGA_BD[[#This Row],[Work Start TimeStamp]])*24)</f>
        <v/>
      </c>
      <c r="Q111" s="57">
        <f>(IGA_BD[[#This Row],[Fault Clearance time]]-IGA_BD[[#This Row],[Fault Start TimeStamp]])*24</f>
        <v>0</v>
      </c>
      <c r="R111" s="153"/>
      <c r="S111" s="44"/>
      <c r="T111" s="45" t="str">
        <f>IFERROR(IGA_BD[[#This Row],[Breakdown Time]]*IGA_BD[[#This Row],[Plant Equivalent Weightage]],"")</f>
        <v/>
      </c>
    </row>
    <row r="112" spans="1:20">
      <c r="A112" s="28"/>
      <c r="B112" s="154"/>
      <c r="C112" s="30">
        <f>YEAR(WTG_BD[[#This Row],[Date]])+IF(MONTH(WTG_BD[[#This Row],[Date]])&gt;=4,1,0)</f>
        <v>2026</v>
      </c>
      <c r="D112" s="31">
        <f>YEAR(IGA_BD[[#This Row],[Date]])</f>
        <v>1900</v>
      </c>
      <c r="E112" s="48">
        <f t="shared" si="4"/>
        <v>1</v>
      </c>
      <c r="F112" s="32"/>
      <c r="G112" s="33"/>
      <c r="H112" s="43" t="str">
        <f>IFERROR(VLOOKUP(IGA_BD[[#This Row],[Affected Feeder ]],'Basic Data'!$A$42:$E$53,2,0),"")</f>
        <v/>
      </c>
      <c r="I112" s="43" t="str">
        <f>IFERROR(VLOOKUP(IGA_BD[[#This Row],[Affected Feeder ]],'Basic Data'!$A$42:$E$53,3,0),"")</f>
        <v/>
      </c>
      <c r="J112" s="43" t="str">
        <f>IFERROR(VLOOKUP(IGA_BD[[#This Row],[Affected Feeder ]],'Basic Data'!$A$42:$E$53,5,0),"")</f>
        <v/>
      </c>
      <c r="K112" s="164"/>
      <c r="L112" s="50"/>
      <c r="M112" s="116"/>
      <c r="N112" s="116"/>
      <c r="O112" s="57">
        <f>(IGA_BD[[#This Row],[Work Start TimeStamp]]-IGA_BD[[#This Row],[Fault Start TimeStamp]])*24</f>
        <v>0</v>
      </c>
      <c r="P112" s="44" t="str">
        <f>IF(IGA_BD[[#This Row],[Work Start TimeStamp]]="","",(IGA_BD[[#This Row],[Fault Clearance time]]-IGA_BD[[#This Row],[Work Start TimeStamp]])*24)</f>
        <v/>
      </c>
      <c r="Q112" s="57">
        <f>(IGA_BD[[#This Row],[Fault Clearance time]]-IGA_BD[[#This Row],[Fault Start TimeStamp]])*24</f>
        <v>0</v>
      </c>
      <c r="R112" s="153"/>
      <c r="S112" s="44"/>
      <c r="T112" s="45" t="str">
        <f>IFERROR(IGA_BD[[#This Row],[Breakdown Time]]*IGA_BD[[#This Row],[Plant Equivalent Weightage]],"")</f>
        <v/>
      </c>
    </row>
    <row r="113" spans="1:20">
      <c r="A113" s="28"/>
      <c r="B113" s="154"/>
      <c r="C113" s="30">
        <f>YEAR(WTG_BD[[#This Row],[Date]])+IF(MONTH(WTG_BD[[#This Row],[Date]])&gt;=4,1,0)</f>
        <v>2026</v>
      </c>
      <c r="D113" s="31">
        <f>YEAR(IGA_BD[[#This Row],[Date]])</f>
        <v>1900</v>
      </c>
      <c r="E113" s="48">
        <f t="shared" si="4"/>
        <v>1</v>
      </c>
      <c r="F113" s="32"/>
      <c r="G113" s="33"/>
      <c r="H113" s="43" t="str">
        <f>IFERROR(VLOOKUP(IGA_BD[[#This Row],[Affected Feeder ]],'Basic Data'!$A$42:$E$53,2,0),"")</f>
        <v/>
      </c>
      <c r="I113" s="43" t="str">
        <f>IFERROR(VLOOKUP(IGA_BD[[#This Row],[Affected Feeder ]],'Basic Data'!$A$42:$E$53,3,0),"")</f>
        <v/>
      </c>
      <c r="J113" s="43" t="str">
        <f>IFERROR(VLOOKUP(IGA_BD[[#This Row],[Affected Feeder ]],'Basic Data'!$A$42:$E$53,5,0),"")</f>
        <v/>
      </c>
      <c r="K113" s="164"/>
      <c r="L113" s="50"/>
      <c r="M113" s="116"/>
      <c r="N113" s="116"/>
      <c r="O113" s="57">
        <f>(IGA_BD[[#This Row],[Work Start TimeStamp]]-IGA_BD[[#This Row],[Fault Start TimeStamp]])*24</f>
        <v>0</v>
      </c>
      <c r="P113" s="44" t="str">
        <f>IF(IGA_BD[[#This Row],[Work Start TimeStamp]]="","",(IGA_BD[[#This Row],[Fault Clearance time]]-IGA_BD[[#This Row],[Work Start TimeStamp]])*24)</f>
        <v/>
      </c>
      <c r="Q113" s="57">
        <f>(IGA_BD[[#This Row],[Fault Clearance time]]-IGA_BD[[#This Row],[Fault Start TimeStamp]])*24</f>
        <v>0</v>
      </c>
      <c r="R113" s="153"/>
      <c r="S113" s="44"/>
      <c r="T113" s="45" t="str">
        <f>IFERROR(IGA_BD[[#This Row],[Breakdown Time]]*IGA_BD[[#This Row],[Plant Equivalent Weightage]],"")</f>
        <v/>
      </c>
    </row>
    <row r="114" spans="1:20">
      <c r="A114" s="28"/>
      <c r="B114" s="154"/>
      <c r="C114" s="30">
        <f>YEAR(WTG_BD[[#This Row],[Date]])+IF(MONTH(WTG_BD[[#This Row],[Date]])&gt;=4,1,0)</f>
        <v>2026</v>
      </c>
      <c r="D114" s="31">
        <f>YEAR(IGA_BD[[#This Row],[Date]])</f>
        <v>1900</v>
      </c>
      <c r="E114" s="48">
        <f t="shared" si="4"/>
        <v>1</v>
      </c>
      <c r="F114" s="32"/>
      <c r="G114" s="33"/>
      <c r="H114" s="43" t="str">
        <f>IFERROR(VLOOKUP(IGA_BD[[#This Row],[Affected Feeder ]],'Basic Data'!$A$42:$E$53,2,0),"")</f>
        <v/>
      </c>
      <c r="I114" s="43" t="str">
        <f>IFERROR(VLOOKUP(IGA_BD[[#This Row],[Affected Feeder ]],'Basic Data'!$A$42:$E$53,3,0),"")</f>
        <v/>
      </c>
      <c r="J114" s="43" t="str">
        <f>IFERROR(VLOOKUP(IGA_BD[[#This Row],[Affected Feeder ]],'Basic Data'!$A$42:$E$53,5,0),"")</f>
        <v/>
      </c>
      <c r="K114" s="164"/>
      <c r="L114" s="50"/>
      <c r="M114" s="116"/>
      <c r="N114" s="116"/>
      <c r="O114" s="57">
        <f>(IGA_BD[[#This Row],[Work Start TimeStamp]]-IGA_BD[[#This Row],[Fault Start TimeStamp]])*24</f>
        <v>0</v>
      </c>
      <c r="P114" s="44" t="str">
        <f>IF(IGA_BD[[#This Row],[Work Start TimeStamp]]="","",(IGA_BD[[#This Row],[Fault Clearance time]]-IGA_BD[[#This Row],[Work Start TimeStamp]])*24)</f>
        <v/>
      </c>
      <c r="Q114" s="57">
        <f>(IGA_BD[[#This Row],[Fault Clearance time]]-IGA_BD[[#This Row],[Fault Start TimeStamp]])*24</f>
        <v>0</v>
      </c>
      <c r="R114" s="153"/>
      <c r="S114" s="44"/>
      <c r="T114" s="45" t="str">
        <f>IFERROR(IGA_BD[[#This Row],[Breakdown Time]]*IGA_BD[[#This Row],[Plant Equivalent Weightage]],"")</f>
        <v/>
      </c>
    </row>
    <row r="115" spans="1:20">
      <c r="A115" s="28"/>
      <c r="B115" s="154"/>
      <c r="C115" s="30">
        <f>YEAR(WTG_BD[[#This Row],[Date]])+IF(MONTH(WTG_BD[[#This Row],[Date]])&gt;=4,1,0)</f>
        <v>2026</v>
      </c>
      <c r="D115" s="31">
        <f>YEAR(IGA_BD[[#This Row],[Date]])</f>
        <v>1900</v>
      </c>
      <c r="E115" s="48">
        <f t="shared" si="4"/>
        <v>1</v>
      </c>
      <c r="F115" s="32"/>
      <c r="G115" s="33"/>
      <c r="H115" s="43" t="str">
        <f>IFERROR(VLOOKUP(IGA_BD[[#This Row],[Affected Feeder ]],'Basic Data'!$A$42:$E$53,2,0),"")</f>
        <v/>
      </c>
      <c r="I115" s="43" t="str">
        <f>IFERROR(VLOOKUP(IGA_BD[[#This Row],[Affected Feeder ]],'Basic Data'!$A$42:$E$53,3,0),"")</f>
        <v/>
      </c>
      <c r="J115" s="43" t="str">
        <f>IFERROR(VLOOKUP(IGA_BD[[#This Row],[Affected Feeder ]],'Basic Data'!$A$42:$E$53,5,0),"")</f>
        <v/>
      </c>
      <c r="K115" s="164"/>
      <c r="L115" s="50"/>
      <c r="M115" s="116"/>
      <c r="N115" s="116"/>
      <c r="O115" s="57">
        <f>(IGA_BD[[#This Row],[Work Start TimeStamp]]-IGA_BD[[#This Row],[Fault Start TimeStamp]])*24</f>
        <v>0</v>
      </c>
      <c r="P115" s="44" t="str">
        <f>IF(IGA_BD[[#This Row],[Work Start TimeStamp]]="","",(IGA_BD[[#This Row],[Fault Clearance time]]-IGA_BD[[#This Row],[Work Start TimeStamp]])*24)</f>
        <v/>
      </c>
      <c r="Q115" s="57">
        <f>(IGA_BD[[#This Row],[Fault Clearance time]]-IGA_BD[[#This Row],[Fault Start TimeStamp]])*24</f>
        <v>0</v>
      </c>
      <c r="R115" s="153"/>
      <c r="S115" s="44"/>
      <c r="T115" s="45" t="str">
        <f>IFERROR(IGA_BD[[#This Row],[Breakdown Time]]*IGA_BD[[#This Row],[Plant Equivalent Weightage]],"")</f>
        <v/>
      </c>
    </row>
    <row r="116" spans="1:20">
      <c r="A116" s="28"/>
      <c r="B116" s="154"/>
      <c r="C116" s="30">
        <f>YEAR(WTG_BD[[#This Row],[Date]])+IF(MONTH(WTG_BD[[#This Row],[Date]])&gt;=4,1,0)</f>
        <v>2026</v>
      </c>
      <c r="D116" s="31">
        <f>YEAR(IGA_BD[[#This Row],[Date]])</f>
        <v>1900</v>
      </c>
      <c r="E116" s="48">
        <f t="shared" si="4"/>
        <v>1</v>
      </c>
      <c r="F116" s="32"/>
      <c r="G116" s="33"/>
      <c r="H116" s="43" t="str">
        <f>IFERROR(VLOOKUP(IGA_BD[[#This Row],[Affected Feeder ]],'Basic Data'!$A$42:$E$53,2,0),"")</f>
        <v/>
      </c>
      <c r="I116" s="43" t="str">
        <f>IFERROR(VLOOKUP(IGA_BD[[#This Row],[Affected Feeder ]],'Basic Data'!$A$42:$E$53,3,0),"")</f>
        <v/>
      </c>
      <c r="J116" s="43" t="str">
        <f>IFERROR(VLOOKUP(IGA_BD[[#This Row],[Affected Feeder ]],'Basic Data'!$A$42:$E$53,5,0),"")</f>
        <v/>
      </c>
      <c r="K116" s="164"/>
      <c r="L116" s="50"/>
      <c r="M116" s="116"/>
      <c r="N116" s="116"/>
      <c r="O116" s="57">
        <f>(IGA_BD[[#This Row],[Work Start TimeStamp]]-IGA_BD[[#This Row],[Fault Start TimeStamp]])*24</f>
        <v>0</v>
      </c>
      <c r="P116" s="44" t="str">
        <f>IF(IGA_BD[[#This Row],[Work Start TimeStamp]]="","",(IGA_BD[[#This Row],[Fault Clearance time]]-IGA_BD[[#This Row],[Work Start TimeStamp]])*24)</f>
        <v/>
      </c>
      <c r="Q116" s="57">
        <f>(IGA_BD[[#This Row],[Fault Clearance time]]-IGA_BD[[#This Row],[Fault Start TimeStamp]])*24</f>
        <v>0</v>
      </c>
      <c r="R116" s="153"/>
      <c r="S116" s="44"/>
      <c r="T116" s="45" t="str">
        <f>IFERROR(IGA_BD[[#This Row],[Breakdown Time]]*IGA_BD[[#This Row],[Plant Equivalent Weightage]],"")</f>
        <v/>
      </c>
    </row>
    <row r="117" spans="1:20">
      <c r="A117" s="28"/>
      <c r="B117" s="154"/>
      <c r="C117" s="30">
        <f>YEAR(WTG_BD[[#This Row],[Date]])+IF(MONTH(WTG_BD[[#This Row],[Date]])&gt;=4,1,0)</f>
        <v>2026</v>
      </c>
      <c r="D117" s="31">
        <f>YEAR(IGA_BD[[#This Row],[Date]])</f>
        <v>1900</v>
      </c>
      <c r="E117" s="48">
        <f t="shared" si="4"/>
        <v>1</v>
      </c>
      <c r="F117" s="32"/>
      <c r="G117" s="33"/>
      <c r="H117" s="43" t="str">
        <f>IFERROR(VLOOKUP(IGA_BD[[#This Row],[Affected Feeder ]],'Basic Data'!$A$42:$E$53,2,0),"")</f>
        <v/>
      </c>
      <c r="I117" s="43" t="str">
        <f>IFERROR(VLOOKUP(IGA_BD[[#This Row],[Affected Feeder ]],'Basic Data'!$A$42:$E$53,3,0),"")</f>
        <v/>
      </c>
      <c r="J117" s="43" t="str">
        <f>IFERROR(VLOOKUP(IGA_BD[[#This Row],[Affected Feeder ]],'Basic Data'!$A$42:$E$53,5,0),"")</f>
        <v/>
      </c>
      <c r="K117" s="164"/>
      <c r="L117" s="50"/>
      <c r="M117" s="116"/>
      <c r="N117" s="116"/>
      <c r="O117" s="57">
        <f>(IGA_BD[[#This Row],[Work Start TimeStamp]]-IGA_BD[[#This Row],[Fault Start TimeStamp]])*24</f>
        <v>0</v>
      </c>
      <c r="P117" s="44" t="str">
        <f>IF(IGA_BD[[#This Row],[Work Start TimeStamp]]="","",(IGA_BD[[#This Row],[Fault Clearance time]]-IGA_BD[[#This Row],[Work Start TimeStamp]])*24)</f>
        <v/>
      </c>
      <c r="Q117" s="57">
        <f>(IGA_BD[[#This Row],[Fault Clearance time]]-IGA_BD[[#This Row],[Fault Start TimeStamp]])*24</f>
        <v>0</v>
      </c>
      <c r="R117" s="153"/>
      <c r="S117" s="44"/>
      <c r="T117" s="45" t="str">
        <f>IFERROR(IGA_BD[[#This Row],[Breakdown Time]]*IGA_BD[[#This Row],[Plant Equivalent Weightage]],"")</f>
        <v/>
      </c>
    </row>
    <row r="118" spans="1:20">
      <c r="A118" s="28"/>
      <c r="B118" s="154"/>
      <c r="C118" s="30">
        <f>YEAR(WTG_BD[[#This Row],[Date]])+IF(MONTH(WTG_BD[[#This Row],[Date]])&gt;=4,1,0)</f>
        <v>2026</v>
      </c>
      <c r="D118" s="31">
        <f>YEAR(IGA_BD[[#This Row],[Date]])</f>
        <v>1900</v>
      </c>
      <c r="E118" s="48">
        <f t="shared" si="4"/>
        <v>1</v>
      </c>
      <c r="F118" s="32"/>
      <c r="G118" s="33"/>
      <c r="H118" s="43" t="str">
        <f>IFERROR(VLOOKUP(IGA_BD[[#This Row],[Affected Feeder ]],'Basic Data'!$A$42:$E$53,2,0),"")</f>
        <v/>
      </c>
      <c r="I118" s="43" t="str">
        <f>IFERROR(VLOOKUP(IGA_BD[[#This Row],[Affected Feeder ]],'Basic Data'!$A$42:$E$53,3,0),"")</f>
        <v/>
      </c>
      <c r="J118" s="43" t="str">
        <f>IFERROR(VLOOKUP(IGA_BD[[#This Row],[Affected Feeder ]],'Basic Data'!$A$42:$E$53,5,0),"")</f>
        <v/>
      </c>
      <c r="K118" s="164"/>
      <c r="L118" s="50"/>
      <c r="M118" s="116"/>
      <c r="N118" s="116"/>
      <c r="O118" s="57">
        <f>(IGA_BD[[#This Row],[Work Start TimeStamp]]-IGA_BD[[#This Row],[Fault Start TimeStamp]])*24</f>
        <v>0</v>
      </c>
      <c r="P118" s="44" t="str">
        <f>IF(IGA_BD[[#This Row],[Work Start TimeStamp]]="","",(IGA_BD[[#This Row],[Fault Clearance time]]-IGA_BD[[#This Row],[Work Start TimeStamp]])*24)</f>
        <v/>
      </c>
      <c r="Q118" s="57">
        <f>(IGA_BD[[#This Row],[Fault Clearance time]]-IGA_BD[[#This Row],[Fault Start TimeStamp]])*24</f>
        <v>0</v>
      </c>
      <c r="R118" s="153"/>
      <c r="S118" s="44"/>
      <c r="T118" s="45" t="str">
        <f>IFERROR(IGA_BD[[#This Row],[Breakdown Time]]*IGA_BD[[#This Row],[Plant Equivalent Weightage]],"")</f>
        <v/>
      </c>
    </row>
    <row r="119" spans="1:20">
      <c r="A119" s="28"/>
      <c r="B119" s="154"/>
      <c r="C119" s="30">
        <f>YEAR(WTG_BD[[#This Row],[Date]])+IF(MONTH(WTG_BD[[#This Row],[Date]])&gt;=4,1,0)</f>
        <v>2026</v>
      </c>
      <c r="D119" s="31">
        <f>YEAR(IGA_BD[[#This Row],[Date]])</f>
        <v>1900</v>
      </c>
      <c r="E119" s="48">
        <f t="shared" si="4"/>
        <v>1</v>
      </c>
      <c r="F119" s="32"/>
      <c r="G119" s="33"/>
      <c r="H119" s="43" t="str">
        <f>IFERROR(VLOOKUP(IGA_BD[[#This Row],[Affected Feeder ]],'Basic Data'!$A$42:$E$53,2,0),"")</f>
        <v/>
      </c>
      <c r="I119" s="43" t="str">
        <f>IFERROR(VLOOKUP(IGA_BD[[#This Row],[Affected Feeder ]],'Basic Data'!$A$42:$E$53,3,0),"")</f>
        <v/>
      </c>
      <c r="J119" s="43" t="str">
        <f>IFERROR(VLOOKUP(IGA_BD[[#This Row],[Affected Feeder ]],'Basic Data'!$A$42:$E$53,5,0),"")</f>
        <v/>
      </c>
      <c r="K119" s="164"/>
      <c r="L119" s="50"/>
      <c r="M119" s="116"/>
      <c r="N119" s="116"/>
      <c r="O119" s="57">
        <f>(IGA_BD[[#This Row],[Work Start TimeStamp]]-IGA_BD[[#This Row],[Fault Start TimeStamp]])*24</f>
        <v>0</v>
      </c>
      <c r="P119" s="44" t="str">
        <f>IF(IGA_BD[[#This Row],[Work Start TimeStamp]]="","",(IGA_BD[[#This Row],[Fault Clearance time]]-IGA_BD[[#This Row],[Work Start TimeStamp]])*24)</f>
        <v/>
      </c>
      <c r="Q119" s="57">
        <f>(IGA_BD[[#This Row],[Fault Clearance time]]-IGA_BD[[#This Row],[Fault Start TimeStamp]])*24</f>
        <v>0</v>
      </c>
      <c r="R119" s="153"/>
      <c r="S119" s="44"/>
      <c r="T119" s="45" t="str">
        <f>IFERROR(IGA_BD[[#This Row],[Breakdown Time]]*IGA_BD[[#This Row],[Plant Equivalent Weightage]],"")</f>
        <v/>
      </c>
    </row>
    <row r="120" spans="1:20">
      <c r="A120" s="28"/>
      <c r="B120" s="154"/>
      <c r="C120" s="30">
        <f>YEAR(WTG_BD[[#This Row],[Date]])+IF(MONTH(WTG_BD[[#This Row],[Date]])&gt;=4,1,0)</f>
        <v>2026</v>
      </c>
      <c r="D120" s="31">
        <f>YEAR(IGA_BD[[#This Row],[Date]])</f>
        <v>1900</v>
      </c>
      <c r="E120" s="48">
        <f t="shared" si="4"/>
        <v>1</v>
      </c>
      <c r="F120" s="32"/>
      <c r="G120" s="33"/>
      <c r="H120" s="43" t="str">
        <f>IFERROR(VLOOKUP(IGA_BD[[#This Row],[Affected Feeder ]],'Basic Data'!$A$42:$E$53,2,0),"")</f>
        <v/>
      </c>
      <c r="I120" s="43" t="str">
        <f>IFERROR(VLOOKUP(IGA_BD[[#This Row],[Affected Feeder ]],'Basic Data'!$A$42:$E$53,3,0),"")</f>
        <v/>
      </c>
      <c r="J120" s="43" t="str">
        <f>IFERROR(VLOOKUP(IGA_BD[[#This Row],[Affected Feeder ]],'Basic Data'!$A$42:$E$53,5,0),"")</f>
        <v/>
      </c>
      <c r="K120" s="164"/>
      <c r="L120" s="50"/>
      <c r="M120" s="116"/>
      <c r="N120" s="116"/>
      <c r="O120" s="57">
        <f>(IGA_BD[[#This Row],[Work Start TimeStamp]]-IGA_BD[[#This Row],[Fault Start TimeStamp]])*24</f>
        <v>0</v>
      </c>
      <c r="P120" s="44" t="str">
        <f>IF(IGA_BD[[#This Row],[Work Start TimeStamp]]="","",(IGA_BD[[#This Row],[Fault Clearance time]]-IGA_BD[[#This Row],[Work Start TimeStamp]])*24)</f>
        <v/>
      </c>
      <c r="Q120" s="57">
        <f>(IGA_BD[[#This Row],[Fault Clearance time]]-IGA_BD[[#This Row],[Fault Start TimeStamp]])*24</f>
        <v>0</v>
      </c>
      <c r="R120" s="153"/>
      <c r="S120" s="44"/>
      <c r="T120" s="45" t="str">
        <f>IFERROR(IGA_BD[[#This Row],[Breakdown Time]]*IGA_BD[[#This Row],[Plant Equivalent Weightage]],"")</f>
        <v/>
      </c>
    </row>
    <row r="121" spans="1:20">
      <c r="A121" s="28"/>
      <c r="B121" s="154"/>
      <c r="C121" s="30">
        <f>YEAR(WTG_BD[[#This Row],[Date]])+IF(MONTH(WTG_BD[[#This Row],[Date]])&gt;=4,1,0)</f>
        <v>2026</v>
      </c>
      <c r="D121" s="31">
        <f>YEAR(IGA_BD[[#This Row],[Date]])</f>
        <v>1900</v>
      </c>
      <c r="E121" s="48">
        <f t="shared" si="4"/>
        <v>1</v>
      </c>
      <c r="F121" s="32"/>
      <c r="G121" s="33"/>
      <c r="H121" s="43" t="str">
        <f>IFERROR(VLOOKUP(IGA_BD[[#This Row],[Affected Feeder ]],'Basic Data'!$A$42:$E$53,2,0),"")</f>
        <v/>
      </c>
      <c r="I121" s="43" t="str">
        <f>IFERROR(VLOOKUP(IGA_BD[[#This Row],[Affected Feeder ]],'Basic Data'!$A$42:$E$53,3,0),"")</f>
        <v/>
      </c>
      <c r="J121" s="43" t="str">
        <f>IFERROR(VLOOKUP(IGA_BD[[#This Row],[Affected Feeder ]],'Basic Data'!$A$42:$E$53,5,0),"")</f>
        <v/>
      </c>
      <c r="K121" s="164"/>
      <c r="L121" s="50"/>
      <c r="M121" s="116"/>
      <c r="N121" s="116"/>
      <c r="O121" s="57">
        <f>(IGA_BD[[#This Row],[Work Start TimeStamp]]-IGA_BD[[#This Row],[Fault Start TimeStamp]])*24</f>
        <v>0</v>
      </c>
      <c r="P121" s="44" t="str">
        <f>IF(IGA_BD[[#This Row],[Work Start TimeStamp]]="","",(IGA_BD[[#This Row],[Fault Clearance time]]-IGA_BD[[#This Row],[Work Start TimeStamp]])*24)</f>
        <v/>
      </c>
      <c r="Q121" s="57">
        <f>(IGA_BD[[#This Row],[Fault Clearance time]]-IGA_BD[[#This Row],[Fault Start TimeStamp]])*24</f>
        <v>0</v>
      </c>
      <c r="R121" s="153"/>
      <c r="S121" s="44"/>
      <c r="T121" s="45" t="str">
        <f>IFERROR(IGA_BD[[#This Row],[Breakdown Time]]*IGA_BD[[#This Row],[Plant Equivalent Weightage]],"")</f>
        <v/>
      </c>
    </row>
    <row r="122" spans="1:20">
      <c r="A122" s="28"/>
      <c r="B122" s="154"/>
      <c r="C122" s="30">
        <f>YEAR(WTG_BD[[#This Row],[Date]])+IF(MONTH(WTG_BD[[#This Row],[Date]])&gt;=4,1,0)</f>
        <v>2026</v>
      </c>
      <c r="D122" s="31">
        <f>YEAR(IGA_BD[[#This Row],[Date]])</f>
        <v>1900</v>
      </c>
      <c r="E122" s="48">
        <f t="shared" si="4"/>
        <v>1</v>
      </c>
      <c r="F122" s="32"/>
      <c r="G122" s="33"/>
      <c r="H122" s="43" t="str">
        <f>IFERROR(VLOOKUP(IGA_BD[[#This Row],[Affected Feeder ]],'Basic Data'!$A$42:$E$53,2,0),"")</f>
        <v/>
      </c>
      <c r="I122" s="43" t="str">
        <f>IFERROR(VLOOKUP(IGA_BD[[#This Row],[Affected Feeder ]],'Basic Data'!$A$42:$E$53,3,0),"")</f>
        <v/>
      </c>
      <c r="J122" s="43" t="str">
        <f>IFERROR(VLOOKUP(IGA_BD[[#This Row],[Affected Feeder ]],'Basic Data'!$A$42:$E$53,5,0),"")</f>
        <v/>
      </c>
      <c r="K122" s="164"/>
      <c r="L122" s="50"/>
      <c r="M122" s="116"/>
      <c r="N122" s="116"/>
      <c r="O122" s="57">
        <f>(IGA_BD[[#This Row],[Work Start TimeStamp]]-IGA_BD[[#This Row],[Fault Start TimeStamp]])*24</f>
        <v>0</v>
      </c>
      <c r="P122" s="44" t="str">
        <f>IF(IGA_BD[[#This Row],[Work Start TimeStamp]]="","",(IGA_BD[[#This Row],[Fault Clearance time]]-IGA_BD[[#This Row],[Work Start TimeStamp]])*24)</f>
        <v/>
      </c>
      <c r="Q122" s="57">
        <f>(IGA_BD[[#This Row],[Fault Clearance time]]-IGA_BD[[#This Row],[Fault Start TimeStamp]])*24</f>
        <v>0</v>
      </c>
      <c r="R122" s="153"/>
      <c r="S122" s="44"/>
      <c r="T122" s="45" t="str">
        <f>IFERROR(IGA_BD[[#This Row],[Breakdown Time]]*IGA_BD[[#This Row],[Plant Equivalent Weightage]],"")</f>
        <v/>
      </c>
    </row>
    <row r="123" spans="1:20">
      <c r="A123" s="28"/>
      <c r="B123" s="154"/>
      <c r="C123" s="30">
        <f>YEAR(WTG_BD[[#This Row],[Date]])+IF(MONTH(WTG_BD[[#This Row],[Date]])&gt;=4,1,0)</f>
        <v>2026</v>
      </c>
      <c r="D123" s="31">
        <f>YEAR(IGA_BD[[#This Row],[Date]])</f>
        <v>1900</v>
      </c>
      <c r="E123" s="48">
        <f t="shared" si="4"/>
        <v>1</v>
      </c>
      <c r="F123" s="32"/>
      <c r="G123" s="33"/>
      <c r="H123" s="43" t="str">
        <f>IFERROR(VLOOKUP(IGA_BD[[#This Row],[Affected Feeder ]],'Basic Data'!$A$42:$E$53,2,0),"")</f>
        <v/>
      </c>
      <c r="I123" s="43" t="str">
        <f>IFERROR(VLOOKUP(IGA_BD[[#This Row],[Affected Feeder ]],'Basic Data'!$A$42:$E$53,3,0),"")</f>
        <v/>
      </c>
      <c r="J123" s="43" t="str">
        <f>IFERROR(VLOOKUP(IGA_BD[[#This Row],[Affected Feeder ]],'Basic Data'!$A$42:$E$53,5,0),"")</f>
        <v/>
      </c>
      <c r="K123" s="164"/>
      <c r="L123" s="50"/>
      <c r="M123" s="116"/>
      <c r="N123" s="116"/>
      <c r="O123" s="57">
        <f>(IGA_BD[[#This Row],[Work Start TimeStamp]]-IGA_BD[[#This Row],[Fault Start TimeStamp]])*24</f>
        <v>0</v>
      </c>
      <c r="P123" s="44" t="str">
        <f>IF(IGA_BD[[#This Row],[Work Start TimeStamp]]="","",(IGA_BD[[#This Row],[Fault Clearance time]]-IGA_BD[[#This Row],[Work Start TimeStamp]])*24)</f>
        <v/>
      </c>
      <c r="Q123" s="57">
        <f>(IGA_BD[[#This Row],[Fault Clearance time]]-IGA_BD[[#This Row],[Fault Start TimeStamp]])*24</f>
        <v>0</v>
      </c>
      <c r="R123" s="153"/>
      <c r="S123" s="44"/>
      <c r="T123" s="45" t="str">
        <f>IFERROR(IGA_BD[[#This Row],[Breakdown Time]]*IGA_BD[[#This Row],[Plant Equivalent Weightage]],"")</f>
        <v/>
      </c>
    </row>
    <row r="124" spans="1:20">
      <c r="A124" s="28"/>
      <c r="B124" s="154"/>
      <c r="C124" s="30">
        <f>YEAR(WTG_BD[[#This Row],[Date]])+IF(MONTH(WTG_BD[[#This Row],[Date]])&gt;=4,1,0)</f>
        <v>2026</v>
      </c>
      <c r="D124" s="31">
        <f>YEAR(IGA_BD[[#This Row],[Date]])</f>
        <v>1900</v>
      </c>
      <c r="E124" s="48">
        <f t="shared" si="4"/>
        <v>1</v>
      </c>
      <c r="F124" s="32"/>
      <c r="G124" s="33"/>
      <c r="H124" s="43" t="str">
        <f>IFERROR(VLOOKUP(IGA_BD[[#This Row],[Affected Feeder ]],'Basic Data'!$A$42:$E$53,2,0),"")</f>
        <v/>
      </c>
      <c r="I124" s="43" t="str">
        <f>IFERROR(VLOOKUP(IGA_BD[[#This Row],[Affected Feeder ]],'Basic Data'!$A$42:$E$53,3,0),"")</f>
        <v/>
      </c>
      <c r="J124" s="43" t="str">
        <f>IFERROR(VLOOKUP(IGA_BD[[#This Row],[Affected Feeder ]],'Basic Data'!$A$42:$E$53,5,0),"")</f>
        <v/>
      </c>
      <c r="K124" s="164"/>
      <c r="L124" s="50"/>
      <c r="M124" s="116"/>
      <c r="N124" s="116"/>
      <c r="O124" s="57">
        <f>(IGA_BD[[#This Row],[Work Start TimeStamp]]-IGA_BD[[#This Row],[Fault Start TimeStamp]])*24</f>
        <v>0</v>
      </c>
      <c r="P124" s="44" t="str">
        <f>IF(IGA_BD[[#This Row],[Work Start TimeStamp]]="","",(IGA_BD[[#This Row],[Fault Clearance time]]-IGA_BD[[#This Row],[Work Start TimeStamp]])*24)</f>
        <v/>
      </c>
      <c r="Q124" s="57">
        <f>(IGA_BD[[#This Row],[Fault Clearance time]]-IGA_BD[[#This Row],[Fault Start TimeStamp]])*24</f>
        <v>0</v>
      </c>
      <c r="R124" s="153"/>
      <c r="S124" s="44"/>
      <c r="T124" s="45" t="str">
        <f>IFERROR(IGA_BD[[#This Row],[Breakdown Time]]*IGA_BD[[#This Row],[Plant Equivalent Weightage]],"")</f>
        <v/>
      </c>
    </row>
    <row r="125" spans="1:20">
      <c r="A125" s="28"/>
      <c r="B125" s="154"/>
      <c r="C125" s="30">
        <f>YEAR(WTG_BD[[#This Row],[Date]])+IF(MONTH(WTG_BD[[#This Row],[Date]])&gt;=4,1,0)</f>
        <v>2026</v>
      </c>
      <c r="D125" s="31">
        <f>YEAR(IGA_BD[[#This Row],[Date]])</f>
        <v>1900</v>
      </c>
      <c r="E125" s="48">
        <f t="shared" si="4"/>
        <v>1</v>
      </c>
      <c r="F125" s="32"/>
      <c r="G125" s="33"/>
      <c r="H125" s="43" t="str">
        <f>IFERROR(VLOOKUP(IGA_BD[[#This Row],[Affected Feeder ]],'Basic Data'!$A$42:$E$53,2,0),"")</f>
        <v/>
      </c>
      <c r="I125" s="43" t="str">
        <f>IFERROR(VLOOKUP(IGA_BD[[#This Row],[Affected Feeder ]],'Basic Data'!$A$42:$E$53,3,0),"")</f>
        <v/>
      </c>
      <c r="J125" s="43" t="str">
        <f>IFERROR(VLOOKUP(IGA_BD[[#This Row],[Affected Feeder ]],'Basic Data'!$A$42:$E$53,5,0),"")</f>
        <v/>
      </c>
      <c r="K125" s="164"/>
      <c r="L125" s="50"/>
      <c r="M125" s="116"/>
      <c r="N125" s="116"/>
      <c r="O125" s="57">
        <f>(IGA_BD[[#This Row],[Work Start TimeStamp]]-IGA_BD[[#This Row],[Fault Start TimeStamp]])*24</f>
        <v>0</v>
      </c>
      <c r="P125" s="44" t="str">
        <f>IF(IGA_BD[[#This Row],[Work Start TimeStamp]]="","",(IGA_BD[[#This Row],[Fault Clearance time]]-IGA_BD[[#This Row],[Work Start TimeStamp]])*24)</f>
        <v/>
      </c>
      <c r="Q125" s="57">
        <f>(IGA_BD[[#This Row],[Fault Clearance time]]-IGA_BD[[#This Row],[Fault Start TimeStamp]])*24</f>
        <v>0</v>
      </c>
      <c r="R125" s="153"/>
      <c r="S125" s="44"/>
      <c r="T125" s="45" t="str">
        <f>IFERROR(IGA_BD[[#This Row],[Breakdown Time]]*IGA_BD[[#This Row],[Plant Equivalent Weightage]],"")</f>
        <v/>
      </c>
    </row>
    <row r="126" spans="1:20">
      <c r="A126" s="28"/>
      <c r="B126" s="154"/>
      <c r="C126" s="30">
        <f>YEAR(WTG_BD[[#This Row],[Date]])+IF(MONTH(WTG_BD[[#This Row],[Date]])&gt;=4,1,0)</f>
        <v>2026</v>
      </c>
      <c r="D126" s="31">
        <f>YEAR(IGA_BD[[#This Row],[Date]])</f>
        <v>1900</v>
      </c>
      <c r="E126" s="48">
        <f t="shared" si="4"/>
        <v>1</v>
      </c>
      <c r="F126" s="32"/>
      <c r="G126" s="33"/>
      <c r="H126" s="43" t="str">
        <f>IFERROR(VLOOKUP(IGA_BD[[#This Row],[Affected Feeder ]],'Basic Data'!$A$42:$E$53,2,0),"")</f>
        <v/>
      </c>
      <c r="I126" s="43" t="str">
        <f>IFERROR(VLOOKUP(IGA_BD[[#This Row],[Affected Feeder ]],'Basic Data'!$A$42:$E$53,3,0),"")</f>
        <v/>
      </c>
      <c r="J126" s="43" t="str">
        <f>IFERROR(VLOOKUP(IGA_BD[[#This Row],[Affected Feeder ]],'Basic Data'!$A$42:$E$53,5,0),"")</f>
        <v/>
      </c>
      <c r="K126" s="164"/>
      <c r="L126" s="50"/>
      <c r="M126" s="116"/>
      <c r="N126" s="116"/>
      <c r="O126" s="57">
        <f>(IGA_BD[[#This Row],[Work Start TimeStamp]]-IGA_BD[[#This Row],[Fault Start TimeStamp]])*24</f>
        <v>0</v>
      </c>
      <c r="P126" s="44" t="str">
        <f>IF(IGA_BD[[#This Row],[Work Start TimeStamp]]="","",(IGA_BD[[#This Row],[Fault Clearance time]]-IGA_BD[[#This Row],[Work Start TimeStamp]])*24)</f>
        <v/>
      </c>
      <c r="Q126" s="57">
        <f>(IGA_BD[[#This Row],[Fault Clearance time]]-IGA_BD[[#This Row],[Fault Start TimeStamp]])*24</f>
        <v>0</v>
      </c>
      <c r="R126" s="153"/>
      <c r="S126" s="44"/>
      <c r="T126" s="45" t="str">
        <f>IFERROR(IGA_BD[[#This Row],[Breakdown Time]]*IGA_BD[[#This Row],[Plant Equivalent Weightage]],"")</f>
        <v/>
      </c>
    </row>
    <row r="127" spans="1:20">
      <c r="A127" s="28"/>
      <c r="B127" s="154"/>
      <c r="C127" s="30">
        <f>YEAR(WTG_BD[[#This Row],[Date]])+IF(MONTH(WTG_BD[[#This Row],[Date]])&gt;=4,1,0)</f>
        <v>2026</v>
      </c>
      <c r="D127" s="31">
        <f>YEAR(IGA_BD[[#This Row],[Date]])</f>
        <v>1900</v>
      </c>
      <c r="E127" s="48">
        <f t="shared" si="4"/>
        <v>1</v>
      </c>
      <c r="F127" s="32"/>
      <c r="G127" s="33"/>
      <c r="H127" s="43" t="str">
        <f>IFERROR(VLOOKUP(IGA_BD[[#This Row],[Affected Feeder ]],'Basic Data'!$A$42:$E$53,2,0),"")</f>
        <v/>
      </c>
      <c r="I127" s="43" t="str">
        <f>IFERROR(VLOOKUP(IGA_BD[[#This Row],[Affected Feeder ]],'Basic Data'!$A$42:$E$53,3,0),"")</f>
        <v/>
      </c>
      <c r="J127" s="43" t="str">
        <f>IFERROR(VLOOKUP(IGA_BD[[#This Row],[Affected Feeder ]],'Basic Data'!$A$42:$E$53,5,0),"")</f>
        <v/>
      </c>
      <c r="K127" s="164"/>
      <c r="L127" s="50"/>
      <c r="M127" s="116"/>
      <c r="N127" s="116"/>
      <c r="O127" s="57">
        <f>(IGA_BD[[#This Row],[Work Start TimeStamp]]-IGA_BD[[#This Row],[Fault Start TimeStamp]])*24</f>
        <v>0</v>
      </c>
      <c r="P127" s="44" t="str">
        <f>IF(IGA_BD[[#This Row],[Work Start TimeStamp]]="","",(IGA_BD[[#This Row],[Fault Clearance time]]-IGA_BD[[#This Row],[Work Start TimeStamp]])*24)</f>
        <v/>
      </c>
      <c r="Q127" s="57">
        <f>(IGA_BD[[#This Row],[Fault Clearance time]]-IGA_BD[[#This Row],[Fault Start TimeStamp]])*24</f>
        <v>0</v>
      </c>
      <c r="R127" s="153"/>
      <c r="S127" s="44"/>
      <c r="T127" s="45" t="str">
        <f>IFERROR(IGA_BD[[#This Row],[Breakdown Time]]*IGA_BD[[#This Row],[Plant Equivalent Weightage]],"")</f>
        <v/>
      </c>
    </row>
    <row r="128" spans="1:20">
      <c r="A128" s="28"/>
      <c r="B128" s="154"/>
      <c r="C128" s="30">
        <f>YEAR(WTG_BD[[#This Row],[Date]])+IF(MONTH(WTG_BD[[#This Row],[Date]])&gt;=4,1,0)</f>
        <v>2026</v>
      </c>
      <c r="D128" s="31">
        <f>YEAR(IGA_BD[[#This Row],[Date]])</f>
        <v>1900</v>
      </c>
      <c r="E128" s="48">
        <f t="shared" si="4"/>
        <v>1</v>
      </c>
      <c r="F128" s="32"/>
      <c r="G128" s="33"/>
      <c r="H128" s="43" t="str">
        <f>IFERROR(VLOOKUP(IGA_BD[[#This Row],[Affected Feeder ]],'Basic Data'!$A$42:$E$53,2,0),"")</f>
        <v/>
      </c>
      <c r="I128" s="43" t="str">
        <f>IFERROR(VLOOKUP(IGA_BD[[#This Row],[Affected Feeder ]],'Basic Data'!$A$42:$E$53,3,0),"")</f>
        <v/>
      </c>
      <c r="J128" s="43" t="str">
        <f>IFERROR(VLOOKUP(IGA_BD[[#This Row],[Affected Feeder ]],'Basic Data'!$A$42:$E$53,5,0),"")</f>
        <v/>
      </c>
      <c r="K128" s="164"/>
      <c r="L128" s="50"/>
      <c r="M128" s="116"/>
      <c r="N128" s="116"/>
      <c r="O128" s="57">
        <f>(IGA_BD[[#This Row],[Work Start TimeStamp]]-IGA_BD[[#This Row],[Fault Start TimeStamp]])*24</f>
        <v>0</v>
      </c>
      <c r="P128" s="44" t="str">
        <f>IF(IGA_BD[[#This Row],[Work Start TimeStamp]]="","",(IGA_BD[[#This Row],[Fault Clearance time]]-IGA_BD[[#This Row],[Work Start TimeStamp]])*24)</f>
        <v/>
      </c>
      <c r="Q128" s="57">
        <f>(IGA_BD[[#This Row],[Fault Clearance time]]-IGA_BD[[#This Row],[Fault Start TimeStamp]])*24</f>
        <v>0</v>
      </c>
      <c r="R128" s="153"/>
      <c r="S128" s="44"/>
      <c r="T128" s="45" t="str">
        <f>IFERROR(IGA_BD[[#This Row],[Breakdown Time]]*IGA_BD[[#This Row],[Plant Equivalent Weightage]],"")</f>
        <v/>
      </c>
    </row>
    <row r="129" spans="1:20">
      <c r="A129" s="28"/>
      <c r="B129" s="154"/>
      <c r="C129" s="30">
        <f>YEAR(WTG_BD[[#This Row],[Date]])+IF(MONTH(WTG_BD[[#This Row],[Date]])&gt;=4,1,0)</f>
        <v>2026</v>
      </c>
      <c r="D129" s="31">
        <f>YEAR(IGA_BD[[#This Row],[Date]])</f>
        <v>1900</v>
      </c>
      <c r="E129" s="48">
        <f t="shared" si="4"/>
        <v>1</v>
      </c>
      <c r="F129" s="32"/>
      <c r="G129" s="33"/>
      <c r="H129" s="43" t="str">
        <f>IFERROR(VLOOKUP(IGA_BD[[#This Row],[Affected Feeder ]],'Basic Data'!$A$42:$E$53,2,0),"")</f>
        <v/>
      </c>
      <c r="I129" s="43" t="str">
        <f>IFERROR(VLOOKUP(IGA_BD[[#This Row],[Affected Feeder ]],'Basic Data'!$A$42:$E$53,3,0),"")</f>
        <v/>
      </c>
      <c r="J129" s="43" t="str">
        <f>IFERROR(VLOOKUP(IGA_BD[[#This Row],[Affected Feeder ]],'Basic Data'!$A$42:$E$53,5,0),"")</f>
        <v/>
      </c>
      <c r="K129" s="164"/>
      <c r="L129" s="50"/>
      <c r="M129" s="116"/>
      <c r="N129" s="116"/>
      <c r="O129" s="57">
        <f>(IGA_BD[[#This Row],[Work Start TimeStamp]]-IGA_BD[[#This Row],[Fault Start TimeStamp]])*24</f>
        <v>0</v>
      </c>
      <c r="P129" s="44" t="str">
        <f>IF(IGA_BD[[#This Row],[Work Start TimeStamp]]="","",(IGA_BD[[#This Row],[Fault Clearance time]]-IGA_BD[[#This Row],[Work Start TimeStamp]])*24)</f>
        <v/>
      </c>
      <c r="Q129" s="57">
        <f>(IGA_BD[[#This Row],[Fault Clearance time]]-IGA_BD[[#This Row],[Fault Start TimeStamp]])*24</f>
        <v>0</v>
      </c>
      <c r="R129" s="153"/>
      <c r="S129" s="44"/>
      <c r="T129" s="45" t="str">
        <f>IFERROR(IGA_BD[[#This Row],[Breakdown Time]]*IGA_BD[[#This Row],[Plant Equivalent Weightage]],"")</f>
        <v/>
      </c>
    </row>
    <row r="130" spans="1:20">
      <c r="A130" s="28"/>
      <c r="B130" s="154"/>
      <c r="C130" s="30">
        <f>YEAR(WTG_BD[[#This Row],[Date]])+IF(MONTH(WTG_BD[[#This Row],[Date]])&gt;=4,1,0)</f>
        <v>2026</v>
      </c>
      <c r="D130" s="31">
        <f>YEAR(IGA_BD[[#This Row],[Date]])</f>
        <v>1900</v>
      </c>
      <c r="E130" s="48">
        <f t="shared" si="4"/>
        <v>1</v>
      </c>
      <c r="F130" s="32"/>
      <c r="G130" s="33"/>
      <c r="H130" s="43" t="str">
        <f>IFERROR(VLOOKUP(IGA_BD[[#This Row],[Affected Feeder ]],'Basic Data'!$A$42:$E$53,2,0),"")</f>
        <v/>
      </c>
      <c r="I130" s="43" t="str">
        <f>IFERROR(VLOOKUP(IGA_BD[[#This Row],[Affected Feeder ]],'Basic Data'!$A$42:$E$53,3,0),"")</f>
        <v/>
      </c>
      <c r="J130" s="43" t="str">
        <f>IFERROR(VLOOKUP(IGA_BD[[#This Row],[Affected Feeder ]],'Basic Data'!$A$42:$E$53,5,0),"")</f>
        <v/>
      </c>
      <c r="K130" s="164"/>
      <c r="L130" s="50"/>
      <c r="M130" s="116"/>
      <c r="N130" s="116"/>
      <c r="O130" s="57">
        <f>(IGA_BD[[#This Row],[Work Start TimeStamp]]-IGA_BD[[#This Row],[Fault Start TimeStamp]])*24</f>
        <v>0</v>
      </c>
      <c r="P130" s="44" t="str">
        <f>IF(IGA_BD[[#This Row],[Work Start TimeStamp]]="","",(IGA_BD[[#This Row],[Fault Clearance time]]-IGA_BD[[#This Row],[Work Start TimeStamp]])*24)</f>
        <v/>
      </c>
      <c r="Q130" s="57">
        <f>(IGA_BD[[#This Row],[Fault Clearance time]]-IGA_BD[[#This Row],[Fault Start TimeStamp]])*24</f>
        <v>0</v>
      </c>
      <c r="R130" s="153"/>
      <c r="S130" s="44"/>
      <c r="T130" s="45" t="str">
        <f>IFERROR(IGA_BD[[#This Row],[Breakdown Time]]*IGA_BD[[#This Row],[Plant Equivalent Weightage]],"")</f>
        <v/>
      </c>
    </row>
    <row r="131" spans="1:20">
      <c r="A131" s="28"/>
      <c r="B131" s="154"/>
      <c r="C131" s="30">
        <f>YEAR(WTG_BD[[#This Row],[Date]])+IF(MONTH(WTG_BD[[#This Row],[Date]])&gt;=4,1,0)</f>
        <v>2026</v>
      </c>
      <c r="D131" s="31">
        <f>YEAR(IGA_BD[[#This Row],[Date]])</f>
        <v>1900</v>
      </c>
      <c r="E131" s="48">
        <f t="shared" si="4"/>
        <v>1</v>
      </c>
      <c r="F131" s="32"/>
      <c r="G131" s="33"/>
      <c r="H131" s="43" t="str">
        <f>IFERROR(VLOOKUP(IGA_BD[[#This Row],[Affected Feeder ]],'Basic Data'!$A$42:$E$53,2,0),"")</f>
        <v/>
      </c>
      <c r="I131" s="43" t="str">
        <f>IFERROR(VLOOKUP(IGA_BD[[#This Row],[Affected Feeder ]],'Basic Data'!$A$42:$E$53,3,0),"")</f>
        <v/>
      </c>
      <c r="J131" s="43" t="str">
        <f>IFERROR(VLOOKUP(IGA_BD[[#This Row],[Affected Feeder ]],'Basic Data'!$A$42:$E$53,5,0),"")</f>
        <v/>
      </c>
      <c r="K131" s="164"/>
      <c r="L131" s="50"/>
      <c r="M131" s="116"/>
      <c r="N131" s="116"/>
      <c r="O131" s="57">
        <f>(IGA_BD[[#This Row],[Work Start TimeStamp]]-IGA_BD[[#This Row],[Fault Start TimeStamp]])*24</f>
        <v>0</v>
      </c>
      <c r="P131" s="44" t="str">
        <f>IF(IGA_BD[[#This Row],[Work Start TimeStamp]]="","",(IGA_BD[[#This Row],[Fault Clearance time]]-IGA_BD[[#This Row],[Work Start TimeStamp]])*24)</f>
        <v/>
      </c>
      <c r="Q131" s="57">
        <f>(IGA_BD[[#This Row],[Fault Clearance time]]-IGA_BD[[#This Row],[Fault Start TimeStamp]])*24</f>
        <v>0</v>
      </c>
      <c r="R131" s="153"/>
      <c r="S131" s="44"/>
      <c r="T131" s="45" t="str">
        <f>IFERROR(IGA_BD[[#This Row],[Breakdown Time]]*IGA_BD[[#This Row],[Plant Equivalent Weightage]],"")</f>
        <v/>
      </c>
    </row>
    <row r="132" spans="1:20">
      <c r="A132" s="28"/>
      <c r="B132" s="154"/>
      <c r="C132" s="30">
        <f>YEAR(WTG_BD[[#This Row],[Date]])+IF(MONTH(WTG_BD[[#This Row],[Date]])&gt;=4,1,0)</f>
        <v>2026</v>
      </c>
      <c r="D132" s="31">
        <f>YEAR(IGA_BD[[#This Row],[Date]])</f>
        <v>1900</v>
      </c>
      <c r="E132" s="48">
        <f t="shared" si="4"/>
        <v>1</v>
      </c>
      <c r="F132" s="32"/>
      <c r="G132" s="33"/>
      <c r="H132" s="43" t="str">
        <f>IFERROR(VLOOKUP(IGA_BD[[#This Row],[Affected Feeder ]],'Basic Data'!$A$42:$E$53,2,0),"")</f>
        <v/>
      </c>
      <c r="I132" s="43" t="str">
        <f>IFERROR(VLOOKUP(IGA_BD[[#This Row],[Affected Feeder ]],'Basic Data'!$A$42:$E$53,3,0),"")</f>
        <v/>
      </c>
      <c r="J132" s="43" t="str">
        <f>IFERROR(VLOOKUP(IGA_BD[[#This Row],[Affected Feeder ]],'Basic Data'!$A$42:$E$53,5,0),"")</f>
        <v/>
      </c>
      <c r="K132" s="164"/>
      <c r="L132" s="50"/>
      <c r="M132" s="116"/>
      <c r="N132" s="116"/>
      <c r="O132" s="57">
        <f>(IGA_BD[[#This Row],[Work Start TimeStamp]]-IGA_BD[[#This Row],[Fault Start TimeStamp]])*24</f>
        <v>0</v>
      </c>
      <c r="P132" s="44" t="str">
        <f>IF(IGA_BD[[#This Row],[Work Start TimeStamp]]="","",(IGA_BD[[#This Row],[Fault Clearance time]]-IGA_BD[[#This Row],[Work Start TimeStamp]])*24)</f>
        <v/>
      </c>
      <c r="Q132" s="57">
        <f>(IGA_BD[[#This Row],[Fault Clearance time]]-IGA_BD[[#This Row],[Fault Start TimeStamp]])*24</f>
        <v>0</v>
      </c>
      <c r="R132" s="153"/>
      <c r="S132" s="44"/>
      <c r="T132" s="45" t="str">
        <f>IFERROR(IGA_BD[[#This Row],[Breakdown Time]]*IGA_BD[[#This Row],[Plant Equivalent Weightage]],"")</f>
        <v/>
      </c>
    </row>
    <row r="133" spans="1:20">
      <c r="A133" s="28"/>
      <c r="B133" s="154"/>
      <c r="C133" s="30">
        <f>YEAR(WTG_BD[[#This Row],[Date]])+IF(MONTH(WTG_BD[[#This Row],[Date]])&gt;=4,1,0)</f>
        <v>2026</v>
      </c>
      <c r="D133" s="31">
        <f>YEAR(IGA_BD[[#This Row],[Date]])</f>
        <v>1900</v>
      </c>
      <c r="E133" s="48">
        <f t="shared" si="4"/>
        <v>1</v>
      </c>
      <c r="F133" s="32"/>
      <c r="G133" s="33"/>
      <c r="H133" s="43" t="str">
        <f>IFERROR(VLOOKUP(IGA_BD[[#This Row],[Affected Feeder ]],'Basic Data'!$A$42:$E$53,2,0),"")</f>
        <v/>
      </c>
      <c r="I133" s="43" t="str">
        <f>IFERROR(VLOOKUP(IGA_BD[[#This Row],[Affected Feeder ]],'Basic Data'!$A$42:$E$53,3,0),"")</f>
        <v/>
      </c>
      <c r="J133" s="43" t="str">
        <f>IFERROR(VLOOKUP(IGA_BD[[#This Row],[Affected Feeder ]],'Basic Data'!$A$42:$E$53,5,0),"")</f>
        <v/>
      </c>
      <c r="K133" s="164"/>
      <c r="L133" s="50"/>
      <c r="M133" s="116"/>
      <c r="N133" s="116"/>
      <c r="O133" s="57">
        <f>(IGA_BD[[#This Row],[Work Start TimeStamp]]-IGA_BD[[#This Row],[Fault Start TimeStamp]])*24</f>
        <v>0</v>
      </c>
      <c r="P133" s="44" t="str">
        <f>IF(IGA_BD[[#This Row],[Work Start TimeStamp]]="","",(IGA_BD[[#This Row],[Fault Clearance time]]-IGA_BD[[#This Row],[Work Start TimeStamp]])*24)</f>
        <v/>
      </c>
      <c r="Q133" s="57">
        <f>(IGA_BD[[#This Row],[Fault Clearance time]]-IGA_BD[[#This Row],[Fault Start TimeStamp]])*24</f>
        <v>0</v>
      </c>
      <c r="R133" s="153"/>
      <c r="S133" s="44"/>
      <c r="T133" s="45" t="str">
        <f>IFERROR(IGA_BD[[#This Row],[Breakdown Time]]*IGA_BD[[#This Row],[Plant Equivalent Weightage]],"")</f>
        <v/>
      </c>
    </row>
    <row r="134" spans="1:20">
      <c r="A134" s="28"/>
      <c r="B134" s="154"/>
      <c r="C134" s="30">
        <f>YEAR(WTG_BD[[#This Row],[Date]])+IF(MONTH(WTG_BD[[#This Row],[Date]])&gt;=4,1,0)</f>
        <v>2026</v>
      </c>
      <c r="D134" s="31">
        <f>YEAR(IGA_BD[[#This Row],[Date]])</f>
        <v>1900</v>
      </c>
      <c r="E134" s="48">
        <f t="shared" si="4"/>
        <v>1</v>
      </c>
      <c r="F134" s="32"/>
      <c r="G134" s="33"/>
      <c r="H134" s="43" t="str">
        <f>IFERROR(VLOOKUP(IGA_BD[[#This Row],[Affected Feeder ]],'Basic Data'!$A$42:$E$53,2,0),"")</f>
        <v/>
      </c>
      <c r="I134" s="43" t="str">
        <f>IFERROR(VLOOKUP(IGA_BD[[#This Row],[Affected Feeder ]],'Basic Data'!$A$42:$E$53,3,0),"")</f>
        <v/>
      </c>
      <c r="J134" s="43" t="str">
        <f>IFERROR(VLOOKUP(IGA_BD[[#This Row],[Affected Feeder ]],'Basic Data'!$A$42:$E$53,5,0),"")</f>
        <v/>
      </c>
      <c r="K134" s="164"/>
      <c r="L134" s="50"/>
      <c r="M134" s="116"/>
      <c r="N134" s="116"/>
      <c r="O134" s="57">
        <f>(IGA_BD[[#This Row],[Work Start TimeStamp]]-IGA_BD[[#This Row],[Fault Start TimeStamp]])*24</f>
        <v>0</v>
      </c>
      <c r="P134" s="44" t="str">
        <f>IF(IGA_BD[[#This Row],[Work Start TimeStamp]]="","",(IGA_BD[[#This Row],[Fault Clearance time]]-IGA_BD[[#This Row],[Work Start TimeStamp]])*24)</f>
        <v/>
      </c>
      <c r="Q134" s="57">
        <f>(IGA_BD[[#This Row],[Fault Clearance time]]-IGA_BD[[#This Row],[Fault Start TimeStamp]])*24</f>
        <v>0</v>
      </c>
      <c r="R134" s="153"/>
      <c r="S134" s="44"/>
      <c r="T134" s="45" t="str">
        <f>IFERROR(IGA_BD[[#This Row],[Breakdown Time]]*IGA_BD[[#This Row],[Plant Equivalent Weightage]],"")</f>
        <v/>
      </c>
    </row>
    <row r="135" spans="1:20">
      <c r="A135" s="28"/>
      <c r="B135" s="154"/>
      <c r="C135" s="30">
        <f>YEAR(WTG_BD[[#This Row],[Date]])+IF(MONTH(WTG_BD[[#This Row],[Date]])&gt;=4,1,0)</f>
        <v>2026</v>
      </c>
      <c r="D135" s="31">
        <f>YEAR(IGA_BD[[#This Row],[Date]])</f>
        <v>1900</v>
      </c>
      <c r="E135" s="48">
        <f t="shared" si="4"/>
        <v>1</v>
      </c>
      <c r="F135" s="32"/>
      <c r="G135" s="33"/>
      <c r="H135" s="43" t="str">
        <f>IFERROR(VLOOKUP(IGA_BD[[#This Row],[Affected Feeder ]],'Basic Data'!$A$42:$E$53,2,0),"")</f>
        <v/>
      </c>
      <c r="I135" s="43" t="str">
        <f>IFERROR(VLOOKUP(IGA_BD[[#This Row],[Affected Feeder ]],'Basic Data'!$A$42:$E$53,3,0),"")</f>
        <v/>
      </c>
      <c r="J135" s="43" t="str">
        <f>IFERROR(VLOOKUP(IGA_BD[[#This Row],[Affected Feeder ]],'Basic Data'!$A$42:$E$53,5,0),"")</f>
        <v/>
      </c>
      <c r="K135" s="164"/>
      <c r="L135" s="50"/>
      <c r="M135" s="116"/>
      <c r="N135" s="116"/>
      <c r="O135" s="57">
        <f>(IGA_BD[[#This Row],[Work Start TimeStamp]]-IGA_BD[[#This Row],[Fault Start TimeStamp]])*24</f>
        <v>0</v>
      </c>
      <c r="P135" s="44" t="str">
        <f>IF(IGA_BD[[#This Row],[Work Start TimeStamp]]="","",(IGA_BD[[#This Row],[Fault Clearance time]]-IGA_BD[[#This Row],[Work Start TimeStamp]])*24)</f>
        <v/>
      </c>
      <c r="Q135" s="57">
        <f>(IGA_BD[[#This Row],[Fault Clearance time]]-IGA_BD[[#This Row],[Fault Start TimeStamp]])*24</f>
        <v>0</v>
      </c>
      <c r="R135" s="153"/>
      <c r="S135" s="44"/>
      <c r="T135" s="45" t="str">
        <f>IFERROR(IGA_BD[[#This Row],[Breakdown Time]]*IGA_BD[[#This Row],[Plant Equivalent Weightage]],"")</f>
        <v/>
      </c>
    </row>
    <row r="136" spans="1:20">
      <c r="A136" s="28"/>
      <c r="B136" s="154"/>
      <c r="C136" s="30">
        <f>YEAR(WTG_BD[[#This Row],[Date]])+IF(MONTH(WTG_BD[[#This Row],[Date]])&gt;=4,1,0)</f>
        <v>2026</v>
      </c>
      <c r="D136" s="31">
        <f>YEAR(IGA_BD[[#This Row],[Date]])</f>
        <v>1900</v>
      </c>
      <c r="E136" s="48">
        <f t="shared" si="4"/>
        <v>1</v>
      </c>
      <c r="F136" s="32"/>
      <c r="G136" s="33"/>
      <c r="H136" s="43" t="str">
        <f>IFERROR(VLOOKUP(IGA_BD[[#This Row],[Affected Feeder ]],'Basic Data'!$A$42:$E$53,2,0),"")</f>
        <v/>
      </c>
      <c r="I136" s="43" t="str">
        <f>IFERROR(VLOOKUP(IGA_BD[[#This Row],[Affected Feeder ]],'Basic Data'!$A$42:$E$53,3,0),"")</f>
        <v/>
      </c>
      <c r="J136" s="43" t="str">
        <f>IFERROR(VLOOKUP(IGA_BD[[#This Row],[Affected Feeder ]],'Basic Data'!$A$42:$E$53,5,0),"")</f>
        <v/>
      </c>
      <c r="K136" s="164"/>
      <c r="L136" s="50"/>
      <c r="M136" s="116"/>
      <c r="N136" s="116"/>
      <c r="O136" s="57">
        <f>(IGA_BD[[#This Row],[Work Start TimeStamp]]-IGA_BD[[#This Row],[Fault Start TimeStamp]])*24</f>
        <v>0</v>
      </c>
      <c r="P136" s="44" t="str">
        <f>IF(IGA_BD[[#This Row],[Work Start TimeStamp]]="","",(IGA_BD[[#This Row],[Fault Clearance time]]-IGA_BD[[#This Row],[Work Start TimeStamp]])*24)</f>
        <v/>
      </c>
      <c r="Q136" s="57">
        <f>(IGA_BD[[#This Row],[Fault Clearance time]]-IGA_BD[[#This Row],[Fault Start TimeStamp]])*24</f>
        <v>0</v>
      </c>
      <c r="R136" s="153"/>
      <c r="S136" s="44"/>
      <c r="T136" s="45" t="str">
        <f>IFERROR(IGA_BD[[#This Row],[Breakdown Time]]*IGA_BD[[#This Row],[Plant Equivalent Weightage]],"")</f>
        <v/>
      </c>
    </row>
    <row r="137" spans="1:20">
      <c r="A137" s="28"/>
      <c r="B137" s="154"/>
      <c r="C137" s="30">
        <f>YEAR(WTG_BD[[#This Row],[Date]])+IF(MONTH(WTG_BD[[#This Row],[Date]])&gt;=4,1,0)</f>
        <v>2026</v>
      </c>
      <c r="D137" s="31">
        <f>YEAR(IGA_BD[[#This Row],[Date]])</f>
        <v>1900</v>
      </c>
      <c r="E137" s="48">
        <f t="shared" si="4"/>
        <v>1</v>
      </c>
      <c r="F137" s="32"/>
      <c r="G137" s="33"/>
      <c r="H137" s="43" t="str">
        <f>IFERROR(VLOOKUP(IGA_BD[[#This Row],[Affected Feeder ]],'Basic Data'!$A$42:$E$53,2,0),"")</f>
        <v/>
      </c>
      <c r="I137" s="43" t="str">
        <f>IFERROR(VLOOKUP(IGA_BD[[#This Row],[Affected Feeder ]],'Basic Data'!$A$42:$E$53,3,0),"")</f>
        <v/>
      </c>
      <c r="J137" s="43" t="str">
        <f>IFERROR(VLOOKUP(IGA_BD[[#This Row],[Affected Feeder ]],'Basic Data'!$A$42:$E$53,5,0),"")</f>
        <v/>
      </c>
      <c r="K137" s="164"/>
      <c r="L137" s="50"/>
      <c r="M137" s="116"/>
      <c r="N137" s="116"/>
      <c r="O137" s="57">
        <f>(IGA_BD[[#This Row],[Work Start TimeStamp]]-IGA_BD[[#This Row],[Fault Start TimeStamp]])*24</f>
        <v>0</v>
      </c>
      <c r="P137" s="44" t="str">
        <f>IF(IGA_BD[[#This Row],[Work Start TimeStamp]]="","",(IGA_BD[[#This Row],[Fault Clearance time]]-IGA_BD[[#This Row],[Work Start TimeStamp]])*24)</f>
        <v/>
      </c>
      <c r="Q137" s="57">
        <f>(IGA_BD[[#This Row],[Fault Clearance time]]-IGA_BD[[#This Row],[Fault Start TimeStamp]])*24</f>
        <v>0</v>
      </c>
      <c r="R137" s="153"/>
      <c r="S137" s="44"/>
      <c r="T137" s="45" t="str">
        <f>IFERROR(IGA_BD[[#This Row],[Breakdown Time]]*IGA_BD[[#This Row],[Plant Equivalent Weightage]],"")</f>
        <v/>
      </c>
    </row>
    <row r="138" spans="1:20">
      <c r="A138" s="28"/>
      <c r="B138" s="154"/>
      <c r="C138" s="30">
        <f>YEAR(WTG_BD[[#This Row],[Date]])+IF(MONTH(WTG_BD[[#This Row],[Date]])&gt;=4,1,0)</f>
        <v>2026</v>
      </c>
      <c r="D138" s="31">
        <f>YEAR(IGA_BD[[#This Row],[Date]])</f>
        <v>1900</v>
      </c>
      <c r="E138" s="48">
        <f t="shared" si="4"/>
        <v>1</v>
      </c>
      <c r="F138" s="32"/>
      <c r="G138" s="33"/>
      <c r="H138" s="43" t="str">
        <f>IFERROR(VLOOKUP(IGA_BD[[#This Row],[Affected Feeder ]],'Basic Data'!$A$42:$E$53,2,0),"")</f>
        <v/>
      </c>
      <c r="I138" s="43" t="str">
        <f>IFERROR(VLOOKUP(IGA_BD[[#This Row],[Affected Feeder ]],'Basic Data'!$A$42:$E$53,3,0),"")</f>
        <v/>
      </c>
      <c r="J138" s="43" t="str">
        <f>IFERROR(VLOOKUP(IGA_BD[[#This Row],[Affected Feeder ]],'Basic Data'!$A$42:$E$53,5,0),"")</f>
        <v/>
      </c>
      <c r="K138" s="164"/>
      <c r="L138" s="50"/>
      <c r="M138" s="116"/>
      <c r="N138" s="116"/>
      <c r="O138" s="57">
        <f>(IGA_BD[[#This Row],[Work Start TimeStamp]]-IGA_BD[[#This Row],[Fault Start TimeStamp]])*24</f>
        <v>0</v>
      </c>
      <c r="P138" s="44" t="str">
        <f>IF(IGA_BD[[#This Row],[Work Start TimeStamp]]="","",(IGA_BD[[#This Row],[Fault Clearance time]]-IGA_BD[[#This Row],[Work Start TimeStamp]])*24)</f>
        <v/>
      </c>
      <c r="Q138" s="57">
        <f>(IGA_BD[[#This Row],[Fault Clearance time]]-IGA_BD[[#This Row],[Fault Start TimeStamp]])*24</f>
        <v>0</v>
      </c>
      <c r="R138" s="153"/>
      <c r="S138" s="44"/>
      <c r="T138" s="45" t="str">
        <f>IFERROR(IGA_BD[[#This Row],[Breakdown Time]]*IGA_BD[[#This Row],[Plant Equivalent Weightage]],"")</f>
        <v/>
      </c>
    </row>
    <row r="139" spans="1:20">
      <c r="A139" s="28"/>
      <c r="B139" s="154"/>
      <c r="C139" s="30">
        <f>YEAR(WTG_BD[[#This Row],[Date]])+IF(MONTH(WTG_BD[[#This Row],[Date]])&gt;=4,1,0)</f>
        <v>2026</v>
      </c>
      <c r="D139" s="31">
        <f>YEAR(IGA_BD[[#This Row],[Date]])</f>
        <v>1900</v>
      </c>
      <c r="E139" s="48">
        <f t="shared" si="4"/>
        <v>1</v>
      </c>
      <c r="F139" s="32"/>
      <c r="G139" s="33"/>
      <c r="H139" s="43" t="str">
        <f>IFERROR(VLOOKUP(IGA_BD[[#This Row],[Affected Feeder ]],'Basic Data'!$A$42:$E$53,2,0),"")</f>
        <v/>
      </c>
      <c r="I139" s="43" t="str">
        <f>IFERROR(VLOOKUP(IGA_BD[[#This Row],[Affected Feeder ]],'Basic Data'!$A$42:$E$53,3,0),"")</f>
        <v/>
      </c>
      <c r="J139" s="43" t="str">
        <f>IFERROR(VLOOKUP(IGA_BD[[#This Row],[Affected Feeder ]],'Basic Data'!$A$42:$E$53,5,0),"")</f>
        <v/>
      </c>
      <c r="K139" s="164"/>
      <c r="L139" s="50"/>
      <c r="M139" s="116"/>
      <c r="N139" s="116"/>
      <c r="O139" s="57">
        <f>(IGA_BD[[#This Row],[Work Start TimeStamp]]-IGA_BD[[#This Row],[Fault Start TimeStamp]])*24</f>
        <v>0</v>
      </c>
      <c r="P139" s="44" t="str">
        <f>IF(IGA_BD[[#This Row],[Work Start TimeStamp]]="","",(IGA_BD[[#This Row],[Fault Clearance time]]-IGA_BD[[#This Row],[Work Start TimeStamp]])*24)</f>
        <v/>
      </c>
      <c r="Q139" s="57">
        <f>(IGA_BD[[#This Row],[Fault Clearance time]]-IGA_BD[[#This Row],[Fault Start TimeStamp]])*24</f>
        <v>0</v>
      </c>
      <c r="R139" s="153"/>
      <c r="S139" s="44"/>
      <c r="T139" s="45" t="str">
        <f>IFERROR(IGA_BD[[#This Row],[Breakdown Time]]*IGA_BD[[#This Row],[Plant Equivalent Weightage]],"")</f>
        <v/>
      </c>
    </row>
    <row r="140" spans="1:20">
      <c r="A140" s="28"/>
      <c r="B140" s="154"/>
      <c r="C140" s="30">
        <f>YEAR(WTG_BD[[#This Row],[Date]])+IF(MONTH(WTG_BD[[#This Row],[Date]])&gt;=4,1,0)</f>
        <v>2026</v>
      </c>
      <c r="D140" s="31">
        <f>YEAR(IGA_BD[[#This Row],[Date]])</f>
        <v>1900</v>
      </c>
      <c r="E140" s="48">
        <f t="shared" si="4"/>
        <v>1</v>
      </c>
      <c r="F140" s="32"/>
      <c r="G140" s="33"/>
      <c r="H140" s="43" t="str">
        <f>IFERROR(VLOOKUP(IGA_BD[[#This Row],[Affected Feeder ]],'Basic Data'!$A$42:$E$53,2,0),"")</f>
        <v/>
      </c>
      <c r="I140" s="43" t="str">
        <f>IFERROR(VLOOKUP(IGA_BD[[#This Row],[Affected Feeder ]],'Basic Data'!$A$42:$E$53,3,0),"")</f>
        <v/>
      </c>
      <c r="J140" s="43" t="str">
        <f>IFERROR(VLOOKUP(IGA_BD[[#This Row],[Affected Feeder ]],'Basic Data'!$A$42:$E$53,5,0),"")</f>
        <v/>
      </c>
      <c r="K140" s="164"/>
      <c r="L140" s="50"/>
      <c r="M140" s="116"/>
      <c r="N140" s="116"/>
      <c r="O140" s="57">
        <f>(IGA_BD[[#This Row],[Work Start TimeStamp]]-IGA_BD[[#This Row],[Fault Start TimeStamp]])*24</f>
        <v>0</v>
      </c>
      <c r="P140" s="44" t="str">
        <f>IF(IGA_BD[[#This Row],[Work Start TimeStamp]]="","",(IGA_BD[[#This Row],[Fault Clearance time]]-IGA_BD[[#This Row],[Work Start TimeStamp]])*24)</f>
        <v/>
      </c>
      <c r="Q140" s="57">
        <f>(IGA_BD[[#This Row],[Fault Clearance time]]-IGA_BD[[#This Row],[Fault Start TimeStamp]])*24</f>
        <v>0</v>
      </c>
      <c r="R140" s="153"/>
      <c r="S140" s="44"/>
      <c r="T140" s="45" t="str">
        <f>IFERROR(IGA_BD[[#This Row],[Breakdown Time]]*IGA_BD[[#This Row],[Plant Equivalent Weightage]],"")</f>
        <v/>
      </c>
    </row>
    <row r="141" spans="1:20">
      <c r="A141" s="28"/>
      <c r="B141" s="154"/>
      <c r="C141" s="30">
        <f>YEAR(WTG_BD[[#This Row],[Date]])+IF(MONTH(WTG_BD[[#This Row],[Date]])&gt;=4,1,0)</f>
        <v>2026</v>
      </c>
      <c r="D141" s="31">
        <f>YEAR(IGA_BD[[#This Row],[Date]])</f>
        <v>1900</v>
      </c>
      <c r="E141" s="48">
        <f t="shared" si="4"/>
        <v>1</v>
      </c>
      <c r="F141" s="32"/>
      <c r="G141" s="33"/>
      <c r="H141" s="43" t="str">
        <f>IFERROR(VLOOKUP(IGA_BD[[#This Row],[Affected Feeder ]],'Basic Data'!$A$42:$E$53,2,0),"")</f>
        <v/>
      </c>
      <c r="I141" s="43" t="str">
        <f>IFERROR(VLOOKUP(IGA_BD[[#This Row],[Affected Feeder ]],'Basic Data'!$A$42:$E$53,3,0),"")</f>
        <v/>
      </c>
      <c r="J141" s="43" t="str">
        <f>IFERROR(VLOOKUP(IGA_BD[[#This Row],[Affected Feeder ]],'Basic Data'!$A$42:$E$53,5,0),"")</f>
        <v/>
      </c>
      <c r="K141" s="164"/>
      <c r="L141" s="50"/>
      <c r="M141" s="116"/>
      <c r="N141" s="116"/>
      <c r="O141" s="57">
        <f>(IGA_BD[[#This Row],[Work Start TimeStamp]]-IGA_BD[[#This Row],[Fault Start TimeStamp]])*24</f>
        <v>0</v>
      </c>
      <c r="P141" s="44" t="str">
        <f>IF(IGA_BD[[#This Row],[Work Start TimeStamp]]="","",(IGA_BD[[#This Row],[Fault Clearance time]]-IGA_BD[[#This Row],[Work Start TimeStamp]])*24)</f>
        <v/>
      </c>
      <c r="Q141" s="57">
        <f>(IGA_BD[[#This Row],[Fault Clearance time]]-IGA_BD[[#This Row],[Fault Start TimeStamp]])*24</f>
        <v>0</v>
      </c>
      <c r="R141" s="153"/>
      <c r="S141" s="44"/>
      <c r="T141" s="45" t="str">
        <f>IFERROR(IGA_BD[[#This Row],[Breakdown Time]]*IGA_BD[[#This Row],[Plant Equivalent Weightage]],"")</f>
        <v/>
      </c>
    </row>
    <row r="142" spans="1:20">
      <c r="A142" s="28"/>
      <c r="B142" s="154"/>
      <c r="C142" s="30">
        <f>YEAR(WTG_BD[[#This Row],[Date]])+IF(MONTH(WTG_BD[[#This Row],[Date]])&gt;=4,1,0)</f>
        <v>2026</v>
      </c>
      <c r="D142" s="31">
        <f>YEAR(IGA_BD[[#This Row],[Date]])</f>
        <v>1900</v>
      </c>
      <c r="E142" s="48">
        <f t="shared" si="4"/>
        <v>1</v>
      </c>
      <c r="F142" s="32"/>
      <c r="G142" s="33"/>
      <c r="H142" s="43" t="str">
        <f>IFERROR(VLOOKUP(IGA_BD[[#This Row],[Affected Feeder ]],'Basic Data'!$A$42:$E$53,2,0),"")</f>
        <v/>
      </c>
      <c r="I142" s="43" t="str">
        <f>IFERROR(VLOOKUP(IGA_BD[[#This Row],[Affected Feeder ]],'Basic Data'!$A$42:$E$53,3,0),"")</f>
        <v/>
      </c>
      <c r="J142" s="43" t="str">
        <f>IFERROR(VLOOKUP(IGA_BD[[#This Row],[Affected Feeder ]],'Basic Data'!$A$42:$E$53,5,0),"")</f>
        <v/>
      </c>
      <c r="K142" s="164"/>
      <c r="L142" s="50"/>
      <c r="M142" s="116"/>
      <c r="N142" s="116"/>
      <c r="O142" s="57">
        <f>(IGA_BD[[#This Row],[Work Start TimeStamp]]-IGA_BD[[#This Row],[Fault Start TimeStamp]])*24</f>
        <v>0</v>
      </c>
      <c r="P142" s="44" t="str">
        <f>IF(IGA_BD[[#This Row],[Work Start TimeStamp]]="","",(IGA_BD[[#This Row],[Fault Clearance time]]-IGA_BD[[#This Row],[Work Start TimeStamp]])*24)</f>
        <v/>
      </c>
      <c r="Q142" s="57">
        <f>(IGA_BD[[#This Row],[Fault Clearance time]]-IGA_BD[[#This Row],[Fault Start TimeStamp]])*24</f>
        <v>0</v>
      </c>
      <c r="R142" s="153"/>
      <c r="S142" s="44"/>
      <c r="T142" s="45" t="str">
        <f>IFERROR(IGA_BD[[#This Row],[Breakdown Time]]*IGA_BD[[#This Row],[Plant Equivalent Weightage]],"")</f>
        <v/>
      </c>
    </row>
    <row r="143" spans="1:20">
      <c r="A143" s="28"/>
      <c r="B143" s="154"/>
      <c r="C143" s="30">
        <f>YEAR(WTG_BD[[#This Row],[Date]])+IF(MONTH(WTG_BD[[#This Row],[Date]])&gt;=4,1,0)</f>
        <v>2026</v>
      </c>
      <c r="D143" s="31">
        <f>YEAR(IGA_BD[[#This Row],[Date]])</f>
        <v>1900</v>
      </c>
      <c r="E143" s="48">
        <f t="shared" si="4"/>
        <v>1</v>
      </c>
      <c r="F143" s="32"/>
      <c r="G143" s="33"/>
      <c r="H143" s="43" t="str">
        <f>IFERROR(VLOOKUP(IGA_BD[[#This Row],[Affected Feeder ]],'Basic Data'!$A$42:$E$53,2,0),"")</f>
        <v/>
      </c>
      <c r="I143" s="43" t="str">
        <f>IFERROR(VLOOKUP(IGA_BD[[#This Row],[Affected Feeder ]],'Basic Data'!$A$42:$E$53,3,0),"")</f>
        <v/>
      </c>
      <c r="J143" s="43" t="str">
        <f>IFERROR(VLOOKUP(IGA_BD[[#This Row],[Affected Feeder ]],'Basic Data'!$A$42:$E$53,5,0),"")</f>
        <v/>
      </c>
      <c r="K143" s="164"/>
      <c r="L143" s="50"/>
      <c r="M143" s="116"/>
      <c r="N143" s="116"/>
      <c r="O143" s="57">
        <f>(IGA_BD[[#This Row],[Work Start TimeStamp]]-IGA_BD[[#This Row],[Fault Start TimeStamp]])*24</f>
        <v>0</v>
      </c>
      <c r="P143" s="44" t="str">
        <f>IF(IGA_BD[[#This Row],[Work Start TimeStamp]]="","",(IGA_BD[[#This Row],[Fault Clearance time]]-IGA_BD[[#This Row],[Work Start TimeStamp]])*24)</f>
        <v/>
      </c>
      <c r="Q143" s="57">
        <f>(IGA_BD[[#This Row],[Fault Clearance time]]-IGA_BD[[#This Row],[Fault Start TimeStamp]])*24</f>
        <v>0</v>
      </c>
      <c r="R143" s="153"/>
      <c r="S143" s="44"/>
      <c r="T143" s="45" t="str">
        <f>IFERROR(IGA_BD[[#This Row],[Breakdown Time]]*IGA_BD[[#This Row],[Plant Equivalent Weightage]],"")</f>
        <v/>
      </c>
    </row>
    <row r="144" spans="1:20">
      <c r="A144" s="28"/>
      <c r="B144" s="154"/>
      <c r="C144" s="30">
        <f>YEAR(WTG_BD[[#This Row],[Date]])+IF(MONTH(WTG_BD[[#This Row],[Date]])&gt;=4,1,0)</f>
        <v>2026</v>
      </c>
      <c r="D144" s="31">
        <f>YEAR(IGA_BD[[#This Row],[Date]])</f>
        <v>1900</v>
      </c>
      <c r="E144" s="48">
        <f t="shared" si="4"/>
        <v>1</v>
      </c>
      <c r="F144" s="32"/>
      <c r="G144" s="33"/>
      <c r="H144" s="43" t="str">
        <f>IFERROR(VLOOKUP(IGA_BD[[#This Row],[Affected Feeder ]],'Basic Data'!$A$42:$E$53,2,0),"")</f>
        <v/>
      </c>
      <c r="I144" s="43" t="str">
        <f>IFERROR(VLOOKUP(IGA_BD[[#This Row],[Affected Feeder ]],'Basic Data'!$A$42:$E$53,3,0),"")</f>
        <v/>
      </c>
      <c r="J144" s="43" t="str">
        <f>IFERROR(VLOOKUP(IGA_BD[[#This Row],[Affected Feeder ]],'Basic Data'!$A$42:$E$53,5,0),"")</f>
        <v/>
      </c>
      <c r="K144" s="164"/>
      <c r="L144" s="50"/>
      <c r="M144" s="116"/>
      <c r="N144" s="116"/>
      <c r="O144" s="57">
        <f>(IGA_BD[[#This Row],[Work Start TimeStamp]]-IGA_BD[[#This Row],[Fault Start TimeStamp]])*24</f>
        <v>0</v>
      </c>
      <c r="P144" s="44" t="str">
        <f>IF(IGA_BD[[#This Row],[Work Start TimeStamp]]="","",(IGA_BD[[#This Row],[Fault Clearance time]]-IGA_BD[[#This Row],[Work Start TimeStamp]])*24)</f>
        <v/>
      </c>
      <c r="Q144" s="57">
        <f>(IGA_BD[[#This Row],[Fault Clearance time]]-IGA_BD[[#This Row],[Fault Start TimeStamp]])*24</f>
        <v>0</v>
      </c>
      <c r="R144" s="153"/>
      <c r="S144" s="44"/>
      <c r="T144" s="45" t="str">
        <f>IFERROR(IGA_BD[[#This Row],[Breakdown Time]]*IGA_BD[[#This Row],[Plant Equivalent Weightage]],"")</f>
        <v/>
      </c>
    </row>
    <row r="145" spans="1:20">
      <c r="A145" s="28"/>
      <c r="B145" s="154"/>
      <c r="C145" s="30">
        <f>YEAR(WTG_BD[[#This Row],[Date]])+IF(MONTH(WTG_BD[[#This Row],[Date]])&gt;=4,1,0)</f>
        <v>2026</v>
      </c>
      <c r="D145" s="31">
        <f>YEAR(IGA_BD[[#This Row],[Date]])</f>
        <v>1900</v>
      </c>
      <c r="E145" s="48">
        <f t="shared" si="4"/>
        <v>1</v>
      </c>
      <c r="F145" s="32"/>
      <c r="G145" s="33"/>
      <c r="H145" s="43" t="str">
        <f>IFERROR(VLOOKUP(IGA_BD[[#This Row],[Affected Feeder ]],'Basic Data'!$A$42:$E$53,2,0),"")</f>
        <v/>
      </c>
      <c r="I145" s="43" t="str">
        <f>IFERROR(VLOOKUP(IGA_BD[[#This Row],[Affected Feeder ]],'Basic Data'!$A$42:$E$53,3,0),"")</f>
        <v/>
      </c>
      <c r="J145" s="43" t="str">
        <f>IFERROR(VLOOKUP(IGA_BD[[#This Row],[Affected Feeder ]],'Basic Data'!$A$42:$E$53,5,0),"")</f>
        <v/>
      </c>
      <c r="K145" s="164"/>
      <c r="L145" s="50"/>
      <c r="M145" s="116"/>
      <c r="N145" s="116"/>
      <c r="O145" s="57">
        <f>(IGA_BD[[#This Row],[Work Start TimeStamp]]-IGA_BD[[#This Row],[Fault Start TimeStamp]])*24</f>
        <v>0</v>
      </c>
      <c r="P145" s="44" t="str">
        <f>IF(IGA_BD[[#This Row],[Work Start TimeStamp]]="","",(IGA_BD[[#This Row],[Fault Clearance time]]-IGA_BD[[#This Row],[Work Start TimeStamp]])*24)</f>
        <v/>
      </c>
      <c r="Q145" s="57">
        <f>(IGA_BD[[#This Row],[Fault Clearance time]]-IGA_BD[[#This Row],[Fault Start TimeStamp]])*24</f>
        <v>0</v>
      </c>
      <c r="R145" s="153"/>
      <c r="S145" s="44"/>
      <c r="T145" s="45" t="str">
        <f>IFERROR(IGA_BD[[#This Row],[Breakdown Time]]*IGA_BD[[#This Row],[Plant Equivalent Weightage]],"")</f>
        <v/>
      </c>
    </row>
    <row r="146" spans="1:20">
      <c r="A146" s="28"/>
      <c r="B146" s="154"/>
      <c r="C146" s="30">
        <f>YEAR(WTG_BD[[#This Row],[Date]])+IF(MONTH(WTG_BD[[#This Row],[Date]])&gt;=4,1,0)</f>
        <v>2026</v>
      </c>
      <c r="D146" s="31">
        <f>YEAR(IGA_BD[[#This Row],[Date]])</f>
        <v>1900</v>
      </c>
      <c r="E146" s="48">
        <f t="shared" si="4"/>
        <v>1</v>
      </c>
      <c r="F146" s="32"/>
      <c r="G146" s="33"/>
      <c r="H146" s="43" t="str">
        <f>IFERROR(VLOOKUP(IGA_BD[[#This Row],[Affected Feeder ]],'Basic Data'!$A$42:$E$53,2,0),"")</f>
        <v/>
      </c>
      <c r="I146" s="43" t="str">
        <f>IFERROR(VLOOKUP(IGA_BD[[#This Row],[Affected Feeder ]],'Basic Data'!$A$42:$E$53,3,0),"")</f>
        <v/>
      </c>
      <c r="J146" s="43" t="str">
        <f>IFERROR(VLOOKUP(IGA_BD[[#This Row],[Affected Feeder ]],'Basic Data'!$A$42:$E$53,5,0),"")</f>
        <v/>
      </c>
      <c r="K146" s="164"/>
      <c r="L146" s="50"/>
      <c r="M146" s="116"/>
      <c r="N146" s="116"/>
      <c r="O146" s="57">
        <f>(IGA_BD[[#This Row],[Work Start TimeStamp]]-IGA_BD[[#This Row],[Fault Start TimeStamp]])*24</f>
        <v>0</v>
      </c>
      <c r="P146" s="44" t="str">
        <f>IF(IGA_BD[[#This Row],[Work Start TimeStamp]]="","",(IGA_BD[[#This Row],[Fault Clearance time]]-IGA_BD[[#This Row],[Work Start TimeStamp]])*24)</f>
        <v/>
      </c>
      <c r="Q146" s="57">
        <f>(IGA_BD[[#This Row],[Fault Clearance time]]-IGA_BD[[#This Row],[Fault Start TimeStamp]])*24</f>
        <v>0</v>
      </c>
      <c r="R146" s="153"/>
      <c r="S146" s="44"/>
      <c r="T146" s="45" t="str">
        <f>IFERROR(IGA_BD[[#This Row],[Breakdown Time]]*IGA_BD[[#This Row],[Plant Equivalent Weightage]],"")</f>
        <v/>
      </c>
    </row>
    <row r="147" spans="1:20">
      <c r="A147" s="28"/>
      <c r="B147" s="154"/>
      <c r="C147" s="30">
        <f>YEAR(WTG_BD[[#This Row],[Date]])+IF(MONTH(WTG_BD[[#This Row],[Date]])&gt;=4,1,0)</f>
        <v>2026</v>
      </c>
      <c r="D147" s="31">
        <f>YEAR(IGA_BD[[#This Row],[Date]])</f>
        <v>1900</v>
      </c>
      <c r="E147" s="48">
        <f t="shared" si="4"/>
        <v>1</v>
      </c>
      <c r="F147" s="32"/>
      <c r="G147" s="33"/>
      <c r="H147" s="43" t="str">
        <f>IFERROR(VLOOKUP(IGA_BD[[#This Row],[Affected Feeder ]],'Basic Data'!$A$42:$E$53,2,0),"")</f>
        <v/>
      </c>
      <c r="I147" s="43" t="str">
        <f>IFERROR(VLOOKUP(IGA_BD[[#This Row],[Affected Feeder ]],'Basic Data'!$A$42:$E$53,3,0),"")</f>
        <v/>
      </c>
      <c r="J147" s="43" t="str">
        <f>IFERROR(VLOOKUP(IGA_BD[[#This Row],[Affected Feeder ]],'Basic Data'!$A$42:$E$53,5,0),"")</f>
        <v/>
      </c>
      <c r="K147" s="164"/>
      <c r="L147" s="50"/>
      <c r="M147" s="116"/>
      <c r="N147" s="116"/>
      <c r="O147" s="57">
        <f>(IGA_BD[[#This Row],[Work Start TimeStamp]]-IGA_BD[[#This Row],[Fault Start TimeStamp]])*24</f>
        <v>0</v>
      </c>
      <c r="P147" s="44" t="str">
        <f>IF(IGA_BD[[#This Row],[Work Start TimeStamp]]="","",(IGA_BD[[#This Row],[Fault Clearance time]]-IGA_BD[[#This Row],[Work Start TimeStamp]])*24)</f>
        <v/>
      </c>
      <c r="Q147" s="57">
        <f>(IGA_BD[[#This Row],[Fault Clearance time]]-IGA_BD[[#This Row],[Fault Start TimeStamp]])*24</f>
        <v>0</v>
      </c>
      <c r="R147" s="153"/>
      <c r="S147" s="44"/>
      <c r="T147" s="45" t="str">
        <f>IFERROR(IGA_BD[[#This Row],[Breakdown Time]]*IGA_BD[[#This Row],[Plant Equivalent Weightage]],"")</f>
        <v/>
      </c>
    </row>
    <row r="148" spans="1:20">
      <c r="A148" s="28"/>
      <c r="B148" s="154"/>
      <c r="C148" s="30">
        <f>YEAR(WTG_BD[[#This Row],[Date]])+IF(MONTH(WTG_BD[[#This Row],[Date]])&gt;=4,1,0)</f>
        <v>2026</v>
      </c>
      <c r="D148" s="31">
        <f>YEAR(IGA_BD[[#This Row],[Date]])</f>
        <v>1900</v>
      </c>
      <c r="E148" s="48">
        <f t="shared" si="4"/>
        <v>1</v>
      </c>
      <c r="F148" s="32"/>
      <c r="G148" s="33"/>
      <c r="H148" s="43" t="str">
        <f>IFERROR(VLOOKUP(IGA_BD[[#This Row],[Affected Feeder ]],'Basic Data'!$A$42:$E$53,2,0),"")</f>
        <v/>
      </c>
      <c r="I148" s="43" t="str">
        <f>IFERROR(VLOOKUP(IGA_BD[[#This Row],[Affected Feeder ]],'Basic Data'!$A$42:$E$53,3,0),"")</f>
        <v/>
      </c>
      <c r="J148" s="43" t="str">
        <f>IFERROR(VLOOKUP(IGA_BD[[#This Row],[Affected Feeder ]],'Basic Data'!$A$42:$E$53,5,0),"")</f>
        <v/>
      </c>
      <c r="K148" s="164"/>
      <c r="L148" s="50"/>
      <c r="M148" s="116"/>
      <c r="N148" s="116"/>
      <c r="O148" s="57">
        <f>(IGA_BD[[#This Row],[Work Start TimeStamp]]-IGA_BD[[#This Row],[Fault Start TimeStamp]])*24</f>
        <v>0</v>
      </c>
      <c r="P148" s="44" t="str">
        <f>IF(IGA_BD[[#This Row],[Work Start TimeStamp]]="","",(IGA_BD[[#This Row],[Fault Clearance time]]-IGA_BD[[#This Row],[Work Start TimeStamp]])*24)</f>
        <v/>
      </c>
      <c r="Q148" s="57">
        <f>(IGA_BD[[#This Row],[Fault Clearance time]]-IGA_BD[[#This Row],[Fault Start TimeStamp]])*24</f>
        <v>0</v>
      </c>
      <c r="R148" s="153"/>
      <c r="S148" s="44"/>
      <c r="T148" s="45" t="str">
        <f>IFERROR(IGA_BD[[#This Row],[Breakdown Time]]*IGA_BD[[#This Row],[Plant Equivalent Weightage]],"")</f>
        <v/>
      </c>
    </row>
    <row r="149" spans="1:20">
      <c r="A149" s="28"/>
      <c r="B149" s="154"/>
      <c r="C149" s="30">
        <f>YEAR(WTG_BD[[#This Row],[Date]])+IF(MONTH(WTG_BD[[#This Row],[Date]])&gt;=4,1,0)</f>
        <v>2026</v>
      </c>
      <c r="D149" s="31">
        <f>YEAR(IGA_BD[[#This Row],[Date]])</f>
        <v>1900</v>
      </c>
      <c r="E149" s="48">
        <f t="shared" si="4"/>
        <v>1</v>
      </c>
      <c r="F149" s="32"/>
      <c r="G149" s="33"/>
      <c r="H149" s="43" t="str">
        <f>IFERROR(VLOOKUP(IGA_BD[[#This Row],[Affected Feeder ]],'Basic Data'!$A$42:$E$53,2,0),"")</f>
        <v/>
      </c>
      <c r="I149" s="43" t="str">
        <f>IFERROR(VLOOKUP(IGA_BD[[#This Row],[Affected Feeder ]],'Basic Data'!$A$42:$E$53,3,0),"")</f>
        <v/>
      </c>
      <c r="J149" s="43" t="str">
        <f>IFERROR(VLOOKUP(IGA_BD[[#This Row],[Affected Feeder ]],'Basic Data'!$A$42:$E$53,5,0),"")</f>
        <v/>
      </c>
      <c r="K149" s="164"/>
      <c r="L149" s="50"/>
      <c r="M149" s="116"/>
      <c r="N149" s="116"/>
      <c r="O149" s="57">
        <f>(IGA_BD[[#This Row],[Work Start TimeStamp]]-IGA_BD[[#This Row],[Fault Start TimeStamp]])*24</f>
        <v>0</v>
      </c>
      <c r="P149" s="44" t="str">
        <f>IF(IGA_BD[[#This Row],[Work Start TimeStamp]]="","",(IGA_BD[[#This Row],[Fault Clearance time]]-IGA_BD[[#This Row],[Work Start TimeStamp]])*24)</f>
        <v/>
      </c>
      <c r="Q149" s="57">
        <f>(IGA_BD[[#This Row],[Fault Clearance time]]-IGA_BD[[#This Row],[Fault Start TimeStamp]])*24</f>
        <v>0</v>
      </c>
      <c r="R149" s="153"/>
      <c r="S149" s="44"/>
      <c r="T149" s="45" t="str">
        <f>IFERROR(IGA_BD[[#This Row],[Breakdown Time]]*IGA_BD[[#This Row],[Plant Equivalent Weightage]],"")</f>
        <v/>
      </c>
    </row>
    <row r="150" spans="1:20">
      <c r="A150" s="28"/>
      <c r="B150" s="154"/>
      <c r="C150" s="30">
        <f>YEAR(WTG_BD[[#This Row],[Date]])+IF(MONTH(WTG_BD[[#This Row],[Date]])&gt;=4,1,0)</f>
        <v>2026</v>
      </c>
      <c r="D150" s="31">
        <f>YEAR(IGA_BD[[#This Row],[Date]])</f>
        <v>1900</v>
      </c>
      <c r="E150" s="48">
        <f t="shared" si="4"/>
        <v>1</v>
      </c>
      <c r="F150" s="32"/>
      <c r="G150" s="33"/>
      <c r="H150" s="43" t="str">
        <f>IFERROR(VLOOKUP(IGA_BD[[#This Row],[Affected Feeder ]],'Basic Data'!$A$42:$E$53,2,0),"")</f>
        <v/>
      </c>
      <c r="I150" s="43" t="str">
        <f>IFERROR(VLOOKUP(IGA_BD[[#This Row],[Affected Feeder ]],'Basic Data'!$A$42:$E$53,3,0),"")</f>
        <v/>
      </c>
      <c r="J150" s="43" t="str">
        <f>IFERROR(VLOOKUP(IGA_BD[[#This Row],[Affected Feeder ]],'Basic Data'!$A$42:$E$53,5,0),"")</f>
        <v/>
      </c>
      <c r="K150" s="164"/>
      <c r="L150" s="50"/>
      <c r="M150" s="116"/>
      <c r="N150" s="116"/>
      <c r="O150" s="57">
        <f>(IGA_BD[[#This Row],[Work Start TimeStamp]]-IGA_BD[[#This Row],[Fault Start TimeStamp]])*24</f>
        <v>0</v>
      </c>
      <c r="P150" s="44" t="str">
        <f>IF(IGA_BD[[#This Row],[Work Start TimeStamp]]="","",(IGA_BD[[#This Row],[Fault Clearance time]]-IGA_BD[[#This Row],[Work Start TimeStamp]])*24)</f>
        <v/>
      </c>
      <c r="Q150" s="57">
        <f>(IGA_BD[[#This Row],[Fault Clearance time]]-IGA_BD[[#This Row],[Fault Start TimeStamp]])*24</f>
        <v>0</v>
      </c>
      <c r="R150" s="153"/>
      <c r="S150" s="44"/>
      <c r="T150" s="45" t="str">
        <f>IFERROR(IGA_BD[[#This Row],[Breakdown Time]]*IGA_BD[[#This Row],[Plant Equivalent Weightage]],"")</f>
        <v/>
      </c>
    </row>
    <row r="151" spans="1:20">
      <c r="A151" s="28"/>
      <c r="B151" s="154"/>
      <c r="C151" s="30">
        <f>YEAR(WTG_BD[[#This Row],[Date]])+IF(MONTH(WTG_BD[[#This Row],[Date]])&gt;=4,1,0)</f>
        <v>2026</v>
      </c>
      <c r="D151" s="31">
        <f>YEAR(IGA_BD[[#This Row],[Date]])</f>
        <v>1900</v>
      </c>
      <c r="E151" s="48">
        <f t="shared" si="4"/>
        <v>1</v>
      </c>
      <c r="F151" s="32"/>
      <c r="G151" s="33"/>
      <c r="H151" s="43" t="str">
        <f>IFERROR(VLOOKUP(IGA_BD[[#This Row],[Affected Feeder ]],'Basic Data'!$A$42:$E$53,2,0),"")</f>
        <v/>
      </c>
      <c r="I151" s="43" t="str">
        <f>IFERROR(VLOOKUP(IGA_BD[[#This Row],[Affected Feeder ]],'Basic Data'!$A$42:$E$53,3,0),"")</f>
        <v/>
      </c>
      <c r="J151" s="43" t="str">
        <f>IFERROR(VLOOKUP(IGA_BD[[#This Row],[Affected Feeder ]],'Basic Data'!$A$42:$E$53,5,0),"")</f>
        <v/>
      </c>
      <c r="K151" s="164"/>
      <c r="L151" s="50"/>
      <c r="M151" s="116"/>
      <c r="N151" s="116"/>
      <c r="O151" s="57">
        <f>(IGA_BD[[#This Row],[Work Start TimeStamp]]-IGA_BD[[#This Row],[Fault Start TimeStamp]])*24</f>
        <v>0</v>
      </c>
      <c r="P151" s="44" t="str">
        <f>IF(IGA_BD[[#This Row],[Work Start TimeStamp]]="","",(IGA_BD[[#This Row],[Fault Clearance time]]-IGA_BD[[#This Row],[Work Start TimeStamp]])*24)</f>
        <v/>
      </c>
      <c r="Q151" s="57">
        <f>(IGA_BD[[#This Row],[Fault Clearance time]]-IGA_BD[[#This Row],[Fault Start TimeStamp]])*24</f>
        <v>0</v>
      </c>
      <c r="R151" s="153"/>
      <c r="S151" s="44"/>
      <c r="T151" s="45" t="str">
        <f>IFERROR(IGA_BD[[#This Row],[Breakdown Time]]*IGA_BD[[#This Row],[Plant Equivalent Weightage]],"")</f>
        <v/>
      </c>
    </row>
    <row r="152" spans="1:20">
      <c r="A152" s="28"/>
      <c r="B152" s="154"/>
      <c r="C152" s="30">
        <f>YEAR(WTG_BD[[#This Row],[Date]])+IF(MONTH(WTG_BD[[#This Row],[Date]])&gt;=4,1,0)</f>
        <v>2026</v>
      </c>
      <c r="D152" s="31">
        <f>YEAR(IGA_BD[[#This Row],[Date]])</f>
        <v>1900</v>
      </c>
      <c r="E152" s="48">
        <f t="shared" si="4"/>
        <v>1</v>
      </c>
      <c r="F152" s="32"/>
      <c r="G152" s="33"/>
      <c r="H152" s="43" t="str">
        <f>IFERROR(VLOOKUP(IGA_BD[[#This Row],[Affected Feeder ]],'Basic Data'!$A$42:$E$53,2,0),"")</f>
        <v/>
      </c>
      <c r="I152" s="43" t="str">
        <f>IFERROR(VLOOKUP(IGA_BD[[#This Row],[Affected Feeder ]],'Basic Data'!$A$42:$E$53,3,0),"")</f>
        <v/>
      </c>
      <c r="J152" s="43" t="str">
        <f>IFERROR(VLOOKUP(IGA_BD[[#This Row],[Affected Feeder ]],'Basic Data'!$A$42:$E$53,5,0),"")</f>
        <v/>
      </c>
      <c r="K152" s="164"/>
      <c r="L152" s="50"/>
      <c r="M152" s="116"/>
      <c r="N152" s="116"/>
      <c r="O152" s="57">
        <f>(IGA_BD[[#This Row],[Work Start TimeStamp]]-IGA_BD[[#This Row],[Fault Start TimeStamp]])*24</f>
        <v>0</v>
      </c>
      <c r="P152" s="44" t="str">
        <f>IF(IGA_BD[[#This Row],[Work Start TimeStamp]]="","",(IGA_BD[[#This Row],[Fault Clearance time]]-IGA_BD[[#This Row],[Work Start TimeStamp]])*24)</f>
        <v/>
      </c>
      <c r="Q152" s="57">
        <f>(IGA_BD[[#This Row],[Fault Clearance time]]-IGA_BD[[#This Row],[Fault Start TimeStamp]])*24</f>
        <v>0</v>
      </c>
      <c r="R152" s="153"/>
      <c r="S152" s="44"/>
      <c r="T152" s="45" t="str">
        <f>IFERROR(IGA_BD[[#This Row],[Breakdown Time]]*IGA_BD[[#This Row],[Plant Equivalent Weightage]],"")</f>
        <v/>
      </c>
    </row>
    <row r="153" spans="1:20">
      <c r="A153" s="28"/>
      <c r="B153" s="154"/>
      <c r="C153" s="30">
        <f>YEAR(WTG_BD[[#This Row],[Date]])+IF(MONTH(WTG_BD[[#This Row],[Date]])&gt;=4,1,0)</f>
        <v>2026</v>
      </c>
      <c r="D153" s="31">
        <f>YEAR(IGA_BD[[#This Row],[Date]])</f>
        <v>1900</v>
      </c>
      <c r="E153" s="48">
        <f t="shared" si="4"/>
        <v>1</v>
      </c>
      <c r="F153" s="32"/>
      <c r="G153" s="33"/>
      <c r="H153" s="43" t="str">
        <f>IFERROR(VLOOKUP(IGA_BD[[#This Row],[Affected Feeder ]],'Basic Data'!$A$42:$E$53,2,0),"")</f>
        <v/>
      </c>
      <c r="I153" s="43" t="str">
        <f>IFERROR(VLOOKUP(IGA_BD[[#This Row],[Affected Feeder ]],'Basic Data'!$A$42:$E$53,3,0),"")</f>
        <v/>
      </c>
      <c r="J153" s="43" t="str">
        <f>IFERROR(VLOOKUP(IGA_BD[[#This Row],[Affected Feeder ]],'Basic Data'!$A$42:$E$53,5,0),"")</f>
        <v/>
      </c>
      <c r="K153" s="164"/>
      <c r="L153" s="50"/>
      <c r="M153" s="116"/>
      <c r="N153" s="116"/>
      <c r="O153" s="57">
        <f>(IGA_BD[[#This Row],[Work Start TimeStamp]]-IGA_BD[[#This Row],[Fault Start TimeStamp]])*24</f>
        <v>0</v>
      </c>
      <c r="P153" s="44" t="str">
        <f>IF(IGA_BD[[#This Row],[Work Start TimeStamp]]="","",(IGA_BD[[#This Row],[Fault Clearance time]]-IGA_BD[[#This Row],[Work Start TimeStamp]])*24)</f>
        <v/>
      </c>
      <c r="Q153" s="57">
        <f>(IGA_BD[[#This Row],[Fault Clearance time]]-IGA_BD[[#This Row],[Fault Start TimeStamp]])*24</f>
        <v>0</v>
      </c>
      <c r="R153" s="153"/>
      <c r="S153" s="44"/>
      <c r="T153" s="45" t="str">
        <f>IFERROR(IGA_BD[[#This Row],[Breakdown Time]]*IGA_BD[[#This Row],[Plant Equivalent Weightage]],"")</f>
        <v/>
      </c>
    </row>
    <row r="154" spans="1:20">
      <c r="A154" s="28"/>
      <c r="B154" s="154"/>
      <c r="C154" s="30">
        <f>YEAR(WTG_BD[[#This Row],[Date]])+IF(MONTH(WTG_BD[[#This Row],[Date]])&gt;=4,1,0)</f>
        <v>2026</v>
      </c>
      <c r="D154" s="31">
        <f>YEAR(IGA_BD[[#This Row],[Date]])</f>
        <v>1900</v>
      </c>
      <c r="E154" s="48">
        <f t="shared" si="4"/>
        <v>1</v>
      </c>
      <c r="F154" s="32"/>
      <c r="G154" s="33"/>
      <c r="H154" s="43" t="str">
        <f>IFERROR(VLOOKUP(IGA_BD[[#This Row],[Affected Feeder ]],'Basic Data'!$A$42:$E$53,2,0),"")</f>
        <v/>
      </c>
      <c r="I154" s="43" t="str">
        <f>IFERROR(VLOOKUP(IGA_BD[[#This Row],[Affected Feeder ]],'Basic Data'!$A$42:$E$53,3,0),"")</f>
        <v/>
      </c>
      <c r="J154" s="43" t="str">
        <f>IFERROR(VLOOKUP(IGA_BD[[#This Row],[Affected Feeder ]],'Basic Data'!$A$42:$E$53,5,0),"")</f>
        <v/>
      </c>
      <c r="K154" s="164"/>
      <c r="L154" s="50"/>
      <c r="M154" s="116"/>
      <c r="N154" s="116"/>
      <c r="O154" s="57">
        <f>(IGA_BD[[#This Row],[Work Start TimeStamp]]-IGA_BD[[#This Row],[Fault Start TimeStamp]])*24</f>
        <v>0</v>
      </c>
      <c r="P154" s="44" t="str">
        <f>IF(IGA_BD[[#This Row],[Work Start TimeStamp]]="","",(IGA_BD[[#This Row],[Fault Clearance time]]-IGA_BD[[#This Row],[Work Start TimeStamp]])*24)</f>
        <v/>
      </c>
      <c r="Q154" s="57">
        <f>(IGA_BD[[#This Row],[Fault Clearance time]]-IGA_BD[[#This Row],[Fault Start TimeStamp]])*24</f>
        <v>0</v>
      </c>
      <c r="R154" s="153"/>
      <c r="S154" s="44"/>
      <c r="T154" s="45" t="str">
        <f>IFERROR(IGA_BD[[#This Row],[Breakdown Time]]*IGA_BD[[#This Row],[Plant Equivalent Weightage]],"")</f>
        <v/>
      </c>
    </row>
    <row r="155" spans="1:20">
      <c r="A155" s="28"/>
      <c r="B155" s="154"/>
      <c r="C155" s="30">
        <f>YEAR(WTG_BD[[#This Row],[Date]])+IF(MONTH(WTG_BD[[#This Row],[Date]])&gt;=4,1,0)</f>
        <v>2026</v>
      </c>
      <c r="D155" s="31">
        <f>YEAR(IGA_BD[[#This Row],[Date]])</f>
        <v>1900</v>
      </c>
      <c r="E155" s="48">
        <f t="shared" si="4"/>
        <v>1</v>
      </c>
      <c r="F155" s="32"/>
      <c r="G155" s="33"/>
      <c r="H155" s="43" t="str">
        <f>IFERROR(VLOOKUP(IGA_BD[[#This Row],[Affected Feeder ]],'Basic Data'!$A$42:$E$53,2,0),"")</f>
        <v/>
      </c>
      <c r="I155" s="43" t="str">
        <f>IFERROR(VLOOKUP(IGA_BD[[#This Row],[Affected Feeder ]],'Basic Data'!$A$42:$E$53,3,0),"")</f>
        <v/>
      </c>
      <c r="J155" s="43" t="str">
        <f>IFERROR(VLOOKUP(IGA_BD[[#This Row],[Affected Feeder ]],'Basic Data'!$A$42:$E$53,5,0),"")</f>
        <v/>
      </c>
      <c r="K155" s="164"/>
      <c r="L155" s="50"/>
      <c r="M155" s="116"/>
      <c r="N155" s="116"/>
      <c r="O155" s="57">
        <f>(IGA_BD[[#This Row],[Work Start TimeStamp]]-IGA_BD[[#This Row],[Fault Start TimeStamp]])*24</f>
        <v>0</v>
      </c>
      <c r="P155" s="44" t="str">
        <f>IF(IGA_BD[[#This Row],[Work Start TimeStamp]]="","",(IGA_BD[[#This Row],[Fault Clearance time]]-IGA_BD[[#This Row],[Work Start TimeStamp]])*24)</f>
        <v/>
      </c>
      <c r="Q155" s="57">
        <f>(IGA_BD[[#This Row],[Fault Clearance time]]-IGA_BD[[#This Row],[Fault Start TimeStamp]])*24</f>
        <v>0</v>
      </c>
      <c r="R155" s="153"/>
      <c r="S155" s="44"/>
      <c r="T155" s="45" t="str">
        <f>IFERROR(IGA_BD[[#This Row],[Breakdown Time]]*IGA_BD[[#This Row],[Plant Equivalent Weightage]],"")</f>
        <v/>
      </c>
    </row>
    <row r="156" spans="1:20">
      <c r="A156" s="28"/>
      <c r="B156" s="154"/>
      <c r="C156" s="30">
        <f>YEAR(WTG_BD[[#This Row],[Date]])+IF(MONTH(WTG_BD[[#This Row],[Date]])&gt;=4,1,0)</f>
        <v>2026</v>
      </c>
      <c r="D156" s="31">
        <f>YEAR(IGA_BD[[#This Row],[Date]])</f>
        <v>1900</v>
      </c>
      <c r="E156" s="48">
        <f t="shared" ref="E156:E219" si="5">B156-DAY(B156)+1</f>
        <v>1</v>
      </c>
      <c r="F156" s="32"/>
      <c r="G156" s="33"/>
      <c r="H156" s="43" t="str">
        <f>IFERROR(VLOOKUP(IGA_BD[[#This Row],[Affected Feeder ]],'Basic Data'!$A$42:$E$53,2,0),"")</f>
        <v/>
      </c>
      <c r="I156" s="43" t="str">
        <f>IFERROR(VLOOKUP(IGA_BD[[#This Row],[Affected Feeder ]],'Basic Data'!$A$42:$E$53,3,0),"")</f>
        <v/>
      </c>
      <c r="J156" s="43" t="str">
        <f>IFERROR(VLOOKUP(IGA_BD[[#This Row],[Affected Feeder ]],'Basic Data'!$A$42:$E$53,5,0),"")</f>
        <v/>
      </c>
      <c r="K156" s="164"/>
      <c r="L156" s="50"/>
      <c r="M156" s="116"/>
      <c r="N156" s="116"/>
      <c r="O156" s="57">
        <f>(IGA_BD[[#This Row],[Work Start TimeStamp]]-IGA_BD[[#This Row],[Fault Start TimeStamp]])*24</f>
        <v>0</v>
      </c>
      <c r="P156" s="44" t="str">
        <f>IF(IGA_BD[[#This Row],[Work Start TimeStamp]]="","",(IGA_BD[[#This Row],[Fault Clearance time]]-IGA_BD[[#This Row],[Work Start TimeStamp]])*24)</f>
        <v/>
      </c>
      <c r="Q156" s="57">
        <f>(IGA_BD[[#This Row],[Fault Clearance time]]-IGA_BD[[#This Row],[Fault Start TimeStamp]])*24</f>
        <v>0</v>
      </c>
      <c r="R156" s="153"/>
      <c r="S156" s="44"/>
      <c r="T156" s="45" t="str">
        <f>IFERROR(IGA_BD[[#This Row],[Breakdown Time]]*IGA_BD[[#This Row],[Plant Equivalent Weightage]],"")</f>
        <v/>
      </c>
    </row>
    <row r="157" spans="1:20">
      <c r="A157" s="28"/>
      <c r="B157" s="154"/>
      <c r="C157" s="30">
        <f>YEAR(WTG_BD[[#This Row],[Date]])+IF(MONTH(WTG_BD[[#This Row],[Date]])&gt;=4,1,0)</f>
        <v>2026</v>
      </c>
      <c r="D157" s="31">
        <f>YEAR(IGA_BD[[#This Row],[Date]])</f>
        <v>1900</v>
      </c>
      <c r="E157" s="48">
        <f t="shared" si="5"/>
        <v>1</v>
      </c>
      <c r="F157" s="32"/>
      <c r="G157" s="33"/>
      <c r="H157" s="43" t="str">
        <f>IFERROR(VLOOKUP(IGA_BD[[#This Row],[Affected Feeder ]],'Basic Data'!$A$42:$E$53,2,0),"")</f>
        <v/>
      </c>
      <c r="I157" s="43" t="str">
        <f>IFERROR(VLOOKUP(IGA_BD[[#This Row],[Affected Feeder ]],'Basic Data'!$A$42:$E$53,3,0),"")</f>
        <v/>
      </c>
      <c r="J157" s="43" t="str">
        <f>IFERROR(VLOOKUP(IGA_BD[[#This Row],[Affected Feeder ]],'Basic Data'!$A$42:$E$53,5,0),"")</f>
        <v/>
      </c>
      <c r="K157" s="164"/>
      <c r="L157" s="50"/>
      <c r="M157" s="116"/>
      <c r="N157" s="116"/>
      <c r="O157" s="57">
        <f>(IGA_BD[[#This Row],[Work Start TimeStamp]]-IGA_BD[[#This Row],[Fault Start TimeStamp]])*24</f>
        <v>0</v>
      </c>
      <c r="P157" s="44" t="str">
        <f>IF(IGA_BD[[#This Row],[Work Start TimeStamp]]="","",(IGA_BD[[#This Row],[Fault Clearance time]]-IGA_BD[[#This Row],[Work Start TimeStamp]])*24)</f>
        <v/>
      </c>
      <c r="Q157" s="57">
        <f>(IGA_BD[[#This Row],[Fault Clearance time]]-IGA_BD[[#This Row],[Fault Start TimeStamp]])*24</f>
        <v>0</v>
      </c>
      <c r="R157" s="153"/>
      <c r="S157" s="44"/>
      <c r="T157" s="45" t="str">
        <f>IFERROR(IGA_BD[[#This Row],[Breakdown Time]]*IGA_BD[[#This Row],[Plant Equivalent Weightage]],"")</f>
        <v/>
      </c>
    </row>
    <row r="158" spans="1:20">
      <c r="A158" s="28"/>
      <c r="B158" s="154"/>
      <c r="C158" s="30">
        <f>YEAR(WTG_BD[[#This Row],[Date]])+IF(MONTH(WTG_BD[[#This Row],[Date]])&gt;=4,1,0)</f>
        <v>2026</v>
      </c>
      <c r="D158" s="31">
        <f>YEAR(IGA_BD[[#This Row],[Date]])</f>
        <v>1900</v>
      </c>
      <c r="E158" s="48">
        <f t="shared" si="5"/>
        <v>1</v>
      </c>
      <c r="F158" s="32"/>
      <c r="G158" s="33"/>
      <c r="H158" s="43" t="str">
        <f>IFERROR(VLOOKUP(IGA_BD[[#This Row],[Affected Feeder ]],'Basic Data'!$A$42:$E$53,2,0),"")</f>
        <v/>
      </c>
      <c r="I158" s="43" t="str">
        <f>IFERROR(VLOOKUP(IGA_BD[[#This Row],[Affected Feeder ]],'Basic Data'!$A$42:$E$53,3,0),"")</f>
        <v/>
      </c>
      <c r="J158" s="43" t="str">
        <f>IFERROR(VLOOKUP(IGA_BD[[#This Row],[Affected Feeder ]],'Basic Data'!$A$42:$E$53,5,0),"")</f>
        <v/>
      </c>
      <c r="K158" s="164"/>
      <c r="L158" s="50"/>
      <c r="M158" s="116"/>
      <c r="N158" s="116"/>
      <c r="O158" s="57">
        <f>(IGA_BD[[#This Row],[Work Start TimeStamp]]-IGA_BD[[#This Row],[Fault Start TimeStamp]])*24</f>
        <v>0</v>
      </c>
      <c r="P158" s="44" t="str">
        <f>IF(IGA_BD[[#This Row],[Work Start TimeStamp]]="","",(IGA_BD[[#This Row],[Fault Clearance time]]-IGA_BD[[#This Row],[Work Start TimeStamp]])*24)</f>
        <v/>
      </c>
      <c r="Q158" s="57">
        <f>(IGA_BD[[#This Row],[Fault Clearance time]]-IGA_BD[[#This Row],[Fault Start TimeStamp]])*24</f>
        <v>0</v>
      </c>
      <c r="R158" s="153"/>
      <c r="S158" s="44"/>
      <c r="T158" s="45" t="str">
        <f>IFERROR(IGA_BD[[#This Row],[Breakdown Time]]*IGA_BD[[#This Row],[Plant Equivalent Weightage]],"")</f>
        <v/>
      </c>
    </row>
    <row r="159" spans="1:20">
      <c r="A159" s="28"/>
      <c r="B159" s="154"/>
      <c r="C159" s="30">
        <f>YEAR(WTG_BD[[#This Row],[Date]])+IF(MONTH(WTG_BD[[#This Row],[Date]])&gt;=4,1,0)</f>
        <v>2026</v>
      </c>
      <c r="D159" s="31">
        <f>YEAR(IGA_BD[[#This Row],[Date]])</f>
        <v>1900</v>
      </c>
      <c r="E159" s="48">
        <f t="shared" si="5"/>
        <v>1</v>
      </c>
      <c r="F159" s="32"/>
      <c r="G159" s="33"/>
      <c r="H159" s="43" t="str">
        <f>IFERROR(VLOOKUP(IGA_BD[[#This Row],[Affected Feeder ]],'Basic Data'!$A$42:$E$53,2,0),"")</f>
        <v/>
      </c>
      <c r="I159" s="43" t="str">
        <f>IFERROR(VLOOKUP(IGA_BD[[#This Row],[Affected Feeder ]],'Basic Data'!$A$42:$E$53,3,0),"")</f>
        <v/>
      </c>
      <c r="J159" s="43" t="str">
        <f>IFERROR(VLOOKUP(IGA_BD[[#This Row],[Affected Feeder ]],'Basic Data'!$A$42:$E$53,5,0),"")</f>
        <v/>
      </c>
      <c r="K159" s="164"/>
      <c r="L159" s="50"/>
      <c r="M159" s="116"/>
      <c r="N159" s="116"/>
      <c r="O159" s="57">
        <f>(IGA_BD[[#This Row],[Work Start TimeStamp]]-IGA_BD[[#This Row],[Fault Start TimeStamp]])*24</f>
        <v>0</v>
      </c>
      <c r="P159" s="44" t="str">
        <f>IF(IGA_BD[[#This Row],[Work Start TimeStamp]]="","",(IGA_BD[[#This Row],[Fault Clearance time]]-IGA_BD[[#This Row],[Work Start TimeStamp]])*24)</f>
        <v/>
      </c>
      <c r="Q159" s="57">
        <f>(IGA_BD[[#This Row],[Fault Clearance time]]-IGA_BD[[#This Row],[Fault Start TimeStamp]])*24</f>
        <v>0</v>
      </c>
      <c r="R159" s="153"/>
      <c r="S159" s="44"/>
      <c r="T159" s="45" t="str">
        <f>IFERROR(IGA_BD[[#This Row],[Breakdown Time]]*IGA_BD[[#This Row],[Plant Equivalent Weightage]],"")</f>
        <v/>
      </c>
    </row>
    <row r="160" spans="1:20">
      <c r="A160" s="28"/>
      <c r="B160" s="154"/>
      <c r="C160" s="30">
        <f>YEAR(WTG_BD[[#This Row],[Date]])+IF(MONTH(WTG_BD[[#This Row],[Date]])&gt;=4,1,0)</f>
        <v>2026</v>
      </c>
      <c r="D160" s="31">
        <f>YEAR(IGA_BD[[#This Row],[Date]])</f>
        <v>1900</v>
      </c>
      <c r="E160" s="48">
        <f t="shared" si="5"/>
        <v>1</v>
      </c>
      <c r="F160" s="32"/>
      <c r="G160" s="33"/>
      <c r="H160" s="43" t="str">
        <f>IFERROR(VLOOKUP(IGA_BD[[#This Row],[Affected Feeder ]],'Basic Data'!$A$42:$E$53,2,0),"")</f>
        <v/>
      </c>
      <c r="I160" s="43" t="str">
        <f>IFERROR(VLOOKUP(IGA_BD[[#This Row],[Affected Feeder ]],'Basic Data'!$A$42:$E$53,3,0),"")</f>
        <v/>
      </c>
      <c r="J160" s="43" t="str">
        <f>IFERROR(VLOOKUP(IGA_BD[[#This Row],[Affected Feeder ]],'Basic Data'!$A$42:$E$53,5,0),"")</f>
        <v/>
      </c>
      <c r="K160" s="164"/>
      <c r="L160" s="50"/>
      <c r="M160" s="116"/>
      <c r="N160" s="116"/>
      <c r="O160" s="57">
        <f>(IGA_BD[[#This Row],[Work Start TimeStamp]]-IGA_BD[[#This Row],[Fault Start TimeStamp]])*24</f>
        <v>0</v>
      </c>
      <c r="P160" s="44" t="str">
        <f>IF(IGA_BD[[#This Row],[Work Start TimeStamp]]="","",(IGA_BD[[#This Row],[Fault Clearance time]]-IGA_BD[[#This Row],[Work Start TimeStamp]])*24)</f>
        <v/>
      </c>
      <c r="Q160" s="57">
        <f>(IGA_BD[[#This Row],[Fault Clearance time]]-IGA_BD[[#This Row],[Fault Start TimeStamp]])*24</f>
        <v>0</v>
      </c>
      <c r="R160" s="153"/>
      <c r="S160" s="44"/>
      <c r="T160" s="45" t="str">
        <f>IFERROR(IGA_BD[[#This Row],[Breakdown Time]]*IGA_BD[[#This Row],[Plant Equivalent Weightage]],"")</f>
        <v/>
      </c>
    </row>
    <row r="161" spans="1:20">
      <c r="A161" s="28"/>
      <c r="B161" s="154"/>
      <c r="C161" s="30">
        <f>YEAR(WTG_BD[[#This Row],[Date]])+IF(MONTH(WTG_BD[[#This Row],[Date]])&gt;=4,1,0)</f>
        <v>2026</v>
      </c>
      <c r="D161" s="31">
        <f>YEAR(IGA_BD[[#This Row],[Date]])</f>
        <v>1900</v>
      </c>
      <c r="E161" s="48">
        <f t="shared" si="5"/>
        <v>1</v>
      </c>
      <c r="F161" s="32"/>
      <c r="G161" s="33"/>
      <c r="H161" s="43" t="str">
        <f>IFERROR(VLOOKUP(IGA_BD[[#This Row],[Affected Feeder ]],'Basic Data'!$A$42:$E$53,2,0),"")</f>
        <v/>
      </c>
      <c r="I161" s="43" t="str">
        <f>IFERROR(VLOOKUP(IGA_BD[[#This Row],[Affected Feeder ]],'Basic Data'!$A$42:$E$53,3,0),"")</f>
        <v/>
      </c>
      <c r="J161" s="43" t="str">
        <f>IFERROR(VLOOKUP(IGA_BD[[#This Row],[Affected Feeder ]],'Basic Data'!$A$42:$E$53,5,0),"")</f>
        <v/>
      </c>
      <c r="K161" s="164"/>
      <c r="L161" s="50"/>
      <c r="M161" s="116"/>
      <c r="N161" s="116"/>
      <c r="O161" s="57">
        <f>(IGA_BD[[#This Row],[Work Start TimeStamp]]-IGA_BD[[#This Row],[Fault Start TimeStamp]])*24</f>
        <v>0</v>
      </c>
      <c r="P161" s="44" t="str">
        <f>IF(IGA_BD[[#This Row],[Work Start TimeStamp]]="","",(IGA_BD[[#This Row],[Fault Clearance time]]-IGA_BD[[#This Row],[Work Start TimeStamp]])*24)</f>
        <v/>
      </c>
      <c r="Q161" s="57">
        <f>(IGA_BD[[#This Row],[Fault Clearance time]]-IGA_BD[[#This Row],[Fault Start TimeStamp]])*24</f>
        <v>0</v>
      </c>
      <c r="R161" s="153"/>
      <c r="S161" s="44"/>
      <c r="T161" s="45" t="str">
        <f>IFERROR(IGA_BD[[#This Row],[Breakdown Time]]*IGA_BD[[#This Row],[Plant Equivalent Weightage]],"")</f>
        <v/>
      </c>
    </row>
    <row r="162" spans="1:20">
      <c r="A162" s="28"/>
      <c r="B162" s="154"/>
      <c r="C162" s="30">
        <f>YEAR(WTG_BD[[#This Row],[Date]])+IF(MONTH(WTG_BD[[#This Row],[Date]])&gt;=4,1,0)</f>
        <v>2026</v>
      </c>
      <c r="D162" s="31">
        <f>YEAR(IGA_BD[[#This Row],[Date]])</f>
        <v>1900</v>
      </c>
      <c r="E162" s="48">
        <f t="shared" si="5"/>
        <v>1</v>
      </c>
      <c r="F162" s="32"/>
      <c r="G162" s="33"/>
      <c r="H162" s="43" t="str">
        <f>IFERROR(VLOOKUP(IGA_BD[[#This Row],[Affected Feeder ]],'Basic Data'!$A$42:$E$53,2,0),"")</f>
        <v/>
      </c>
      <c r="I162" s="43" t="str">
        <f>IFERROR(VLOOKUP(IGA_BD[[#This Row],[Affected Feeder ]],'Basic Data'!$A$42:$E$53,3,0),"")</f>
        <v/>
      </c>
      <c r="J162" s="43" t="str">
        <f>IFERROR(VLOOKUP(IGA_BD[[#This Row],[Affected Feeder ]],'Basic Data'!$A$42:$E$53,5,0),"")</f>
        <v/>
      </c>
      <c r="K162" s="164"/>
      <c r="L162" s="50"/>
      <c r="M162" s="116"/>
      <c r="N162" s="116"/>
      <c r="O162" s="57">
        <f>(IGA_BD[[#This Row],[Work Start TimeStamp]]-IGA_BD[[#This Row],[Fault Start TimeStamp]])*24</f>
        <v>0</v>
      </c>
      <c r="P162" s="44" t="str">
        <f>IF(IGA_BD[[#This Row],[Work Start TimeStamp]]="","",(IGA_BD[[#This Row],[Fault Clearance time]]-IGA_BD[[#This Row],[Work Start TimeStamp]])*24)</f>
        <v/>
      </c>
      <c r="Q162" s="57">
        <f>(IGA_BD[[#This Row],[Fault Clearance time]]-IGA_BD[[#This Row],[Fault Start TimeStamp]])*24</f>
        <v>0</v>
      </c>
      <c r="R162" s="153"/>
      <c r="S162" s="44"/>
      <c r="T162" s="45" t="str">
        <f>IFERROR(IGA_BD[[#This Row],[Breakdown Time]]*IGA_BD[[#This Row],[Plant Equivalent Weightage]],"")</f>
        <v/>
      </c>
    </row>
    <row r="163" spans="1:20">
      <c r="A163" s="28"/>
      <c r="B163" s="154"/>
      <c r="C163" s="30">
        <f>YEAR(WTG_BD[[#This Row],[Date]])+IF(MONTH(WTG_BD[[#This Row],[Date]])&gt;=4,1,0)</f>
        <v>2026</v>
      </c>
      <c r="D163" s="31">
        <f>YEAR(IGA_BD[[#This Row],[Date]])</f>
        <v>1900</v>
      </c>
      <c r="E163" s="48">
        <f t="shared" si="5"/>
        <v>1</v>
      </c>
      <c r="F163" s="32"/>
      <c r="G163" s="33"/>
      <c r="H163" s="43" t="str">
        <f>IFERROR(VLOOKUP(IGA_BD[[#This Row],[Affected Feeder ]],'Basic Data'!$A$42:$E$53,2,0),"")</f>
        <v/>
      </c>
      <c r="I163" s="43" t="str">
        <f>IFERROR(VLOOKUP(IGA_BD[[#This Row],[Affected Feeder ]],'Basic Data'!$A$42:$E$53,3,0),"")</f>
        <v/>
      </c>
      <c r="J163" s="43" t="str">
        <f>IFERROR(VLOOKUP(IGA_BD[[#This Row],[Affected Feeder ]],'Basic Data'!$A$42:$E$53,5,0),"")</f>
        <v/>
      </c>
      <c r="K163" s="164"/>
      <c r="L163" s="50"/>
      <c r="M163" s="116"/>
      <c r="N163" s="116"/>
      <c r="O163" s="57">
        <f>(IGA_BD[[#This Row],[Work Start TimeStamp]]-IGA_BD[[#This Row],[Fault Start TimeStamp]])*24</f>
        <v>0</v>
      </c>
      <c r="P163" s="44" t="str">
        <f>IF(IGA_BD[[#This Row],[Work Start TimeStamp]]="","",(IGA_BD[[#This Row],[Fault Clearance time]]-IGA_BD[[#This Row],[Work Start TimeStamp]])*24)</f>
        <v/>
      </c>
      <c r="Q163" s="57">
        <f>(IGA_BD[[#This Row],[Fault Clearance time]]-IGA_BD[[#This Row],[Fault Start TimeStamp]])*24</f>
        <v>0</v>
      </c>
      <c r="R163" s="153"/>
      <c r="S163" s="44"/>
      <c r="T163" s="45" t="str">
        <f>IFERROR(IGA_BD[[#This Row],[Breakdown Time]]*IGA_BD[[#This Row],[Plant Equivalent Weightage]],"")</f>
        <v/>
      </c>
    </row>
    <row r="164" spans="1:20">
      <c r="A164" s="28"/>
      <c r="B164" s="154"/>
      <c r="C164" s="30">
        <f>YEAR(WTG_BD[[#This Row],[Date]])+IF(MONTH(WTG_BD[[#This Row],[Date]])&gt;=4,1,0)</f>
        <v>2026</v>
      </c>
      <c r="D164" s="31">
        <f>YEAR(IGA_BD[[#This Row],[Date]])</f>
        <v>1900</v>
      </c>
      <c r="E164" s="48">
        <f t="shared" si="5"/>
        <v>1</v>
      </c>
      <c r="F164" s="32"/>
      <c r="G164" s="33"/>
      <c r="H164" s="43" t="str">
        <f>IFERROR(VLOOKUP(IGA_BD[[#This Row],[Affected Feeder ]],'Basic Data'!$A$42:$E$53,2,0),"")</f>
        <v/>
      </c>
      <c r="I164" s="43" t="str">
        <f>IFERROR(VLOOKUP(IGA_BD[[#This Row],[Affected Feeder ]],'Basic Data'!$A$42:$E$53,3,0),"")</f>
        <v/>
      </c>
      <c r="J164" s="43" t="str">
        <f>IFERROR(VLOOKUP(IGA_BD[[#This Row],[Affected Feeder ]],'Basic Data'!$A$42:$E$53,5,0),"")</f>
        <v/>
      </c>
      <c r="K164" s="164"/>
      <c r="L164" s="50"/>
      <c r="M164" s="116"/>
      <c r="N164" s="116"/>
      <c r="O164" s="57">
        <f>(IGA_BD[[#This Row],[Work Start TimeStamp]]-IGA_BD[[#This Row],[Fault Start TimeStamp]])*24</f>
        <v>0</v>
      </c>
      <c r="P164" s="44" t="str">
        <f>IF(IGA_BD[[#This Row],[Work Start TimeStamp]]="","",(IGA_BD[[#This Row],[Fault Clearance time]]-IGA_BD[[#This Row],[Work Start TimeStamp]])*24)</f>
        <v/>
      </c>
      <c r="Q164" s="57">
        <f>(IGA_BD[[#This Row],[Fault Clearance time]]-IGA_BD[[#This Row],[Fault Start TimeStamp]])*24</f>
        <v>0</v>
      </c>
      <c r="R164" s="153"/>
      <c r="S164" s="44"/>
      <c r="T164" s="45" t="str">
        <f>IFERROR(IGA_BD[[#This Row],[Breakdown Time]]*IGA_BD[[#This Row],[Plant Equivalent Weightage]],"")</f>
        <v/>
      </c>
    </row>
    <row r="165" spans="1:20">
      <c r="A165" s="28"/>
      <c r="B165" s="154"/>
      <c r="C165" s="30">
        <f>YEAR(WTG_BD[[#This Row],[Date]])+IF(MONTH(WTG_BD[[#This Row],[Date]])&gt;=4,1,0)</f>
        <v>2026</v>
      </c>
      <c r="D165" s="31">
        <f>YEAR(IGA_BD[[#This Row],[Date]])</f>
        <v>1900</v>
      </c>
      <c r="E165" s="48">
        <f t="shared" si="5"/>
        <v>1</v>
      </c>
      <c r="F165" s="32"/>
      <c r="G165" s="33"/>
      <c r="H165" s="43" t="str">
        <f>IFERROR(VLOOKUP(IGA_BD[[#This Row],[Affected Feeder ]],'Basic Data'!$A$42:$E$53,2,0),"")</f>
        <v/>
      </c>
      <c r="I165" s="43" t="str">
        <f>IFERROR(VLOOKUP(IGA_BD[[#This Row],[Affected Feeder ]],'Basic Data'!$A$42:$E$53,3,0),"")</f>
        <v/>
      </c>
      <c r="J165" s="43" t="str">
        <f>IFERROR(VLOOKUP(IGA_BD[[#This Row],[Affected Feeder ]],'Basic Data'!$A$42:$E$53,5,0),"")</f>
        <v/>
      </c>
      <c r="K165" s="164"/>
      <c r="L165" s="50"/>
      <c r="M165" s="116"/>
      <c r="N165" s="116"/>
      <c r="O165" s="57">
        <f>(IGA_BD[[#This Row],[Work Start TimeStamp]]-IGA_BD[[#This Row],[Fault Start TimeStamp]])*24</f>
        <v>0</v>
      </c>
      <c r="P165" s="44" t="str">
        <f>IF(IGA_BD[[#This Row],[Work Start TimeStamp]]="","",(IGA_BD[[#This Row],[Fault Clearance time]]-IGA_BD[[#This Row],[Work Start TimeStamp]])*24)</f>
        <v/>
      </c>
      <c r="Q165" s="57">
        <f>(IGA_BD[[#This Row],[Fault Clearance time]]-IGA_BD[[#This Row],[Fault Start TimeStamp]])*24</f>
        <v>0</v>
      </c>
      <c r="R165" s="153"/>
      <c r="S165" s="44"/>
      <c r="T165" s="45" t="str">
        <f>IFERROR(IGA_BD[[#This Row],[Breakdown Time]]*IGA_BD[[#This Row],[Plant Equivalent Weightage]],"")</f>
        <v/>
      </c>
    </row>
    <row r="166" spans="1:20">
      <c r="A166" s="28"/>
      <c r="B166" s="154"/>
      <c r="C166" s="30">
        <f>YEAR(WTG_BD[[#This Row],[Date]])+IF(MONTH(WTG_BD[[#This Row],[Date]])&gt;=4,1,0)</f>
        <v>2026</v>
      </c>
      <c r="D166" s="31">
        <f>YEAR(IGA_BD[[#This Row],[Date]])</f>
        <v>1900</v>
      </c>
      <c r="E166" s="48">
        <f t="shared" si="5"/>
        <v>1</v>
      </c>
      <c r="F166" s="32"/>
      <c r="G166" s="33"/>
      <c r="H166" s="43" t="str">
        <f>IFERROR(VLOOKUP(IGA_BD[[#This Row],[Affected Feeder ]],'Basic Data'!$A$42:$E$53,2,0),"")</f>
        <v/>
      </c>
      <c r="I166" s="43" t="str">
        <f>IFERROR(VLOOKUP(IGA_BD[[#This Row],[Affected Feeder ]],'Basic Data'!$A$42:$E$53,3,0),"")</f>
        <v/>
      </c>
      <c r="J166" s="43" t="str">
        <f>IFERROR(VLOOKUP(IGA_BD[[#This Row],[Affected Feeder ]],'Basic Data'!$A$42:$E$53,5,0),"")</f>
        <v/>
      </c>
      <c r="K166" s="164"/>
      <c r="L166" s="50"/>
      <c r="M166" s="116"/>
      <c r="N166" s="116"/>
      <c r="O166" s="57">
        <f>(IGA_BD[[#This Row],[Work Start TimeStamp]]-IGA_BD[[#This Row],[Fault Start TimeStamp]])*24</f>
        <v>0</v>
      </c>
      <c r="P166" s="44" t="str">
        <f>IF(IGA_BD[[#This Row],[Work Start TimeStamp]]="","",(IGA_BD[[#This Row],[Fault Clearance time]]-IGA_BD[[#This Row],[Work Start TimeStamp]])*24)</f>
        <v/>
      </c>
      <c r="Q166" s="57">
        <f>(IGA_BD[[#This Row],[Fault Clearance time]]-IGA_BD[[#This Row],[Fault Start TimeStamp]])*24</f>
        <v>0</v>
      </c>
      <c r="R166" s="153"/>
      <c r="S166" s="44"/>
      <c r="T166" s="45" t="str">
        <f>IFERROR(IGA_BD[[#This Row],[Breakdown Time]]*IGA_BD[[#This Row],[Plant Equivalent Weightage]],"")</f>
        <v/>
      </c>
    </row>
    <row r="167" spans="1:20">
      <c r="A167" s="28"/>
      <c r="B167" s="154"/>
      <c r="C167" s="30">
        <f>YEAR(WTG_BD[[#This Row],[Date]])+IF(MONTH(WTG_BD[[#This Row],[Date]])&gt;=4,1,0)</f>
        <v>2026</v>
      </c>
      <c r="D167" s="31">
        <f>YEAR(IGA_BD[[#This Row],[Date]])</f>
        <v>1900</v>
      </c>
      <c r="E167" s="48">
        <f t="shared" si="5"/>
        <v>1</v>
      </c>
      <c r="F167" s="32"/>
      <c r="G167" s="33"/>
      <c r="H167" s="43" t="str">
        <f>IFERROR(VLOOKUP(IGA_BD[[#This Row],[Affected Feeder ]],'Basic Data'!$A$42:$E$53,2,0),"")</f>
        <v/>
      </c>
      <c r="I167" s="43" t="str">
        <f>IFERROR(VLOOKUP(IGA_BD[[#This Row],[Affected Feeder ]],'Basic Data'!$A$42:$E$53,3,0),"")</f>
        <v/>
      </c>
      <c r="J167" s="43" t="str">
        <f>IFERROR(VLOOKUP(IGA_BD[[#This Row],[Affected Feeder ]],'Basic Data'!$A$42:$E$53,5,0),"")</f>
        <v/>
      </c>
      <c r="K167" s="164"/>
      <c r="L167" s="50"/>
      <c r="M167" s="116"/>
      <c r="N167" s="116"/>
      <c r="O167" s="57">
        <f>(IGA_BD[[#This Row],[Work Start TimeStamp]]-IGA_BD[[#This Row],[Fault Start TimeStamp]])*24</f>
        <v>0</v>
      </c>
      <c r="P167" s="44" t="str">
        <f>IF(IGA_BD[[#This Row],[Work Start TimeStamp]]="","",(IGA_BD[[#This Row],[Fault Clearance time]]-IGA_BD[[#This Row],[Work Start TimeStamp]])*24)</f>
        <v/>
      </c>
      <c r="Q167" s="57">
        <f>(IGA_BD[[#This Row],[Fault Clearance time]]-IGA_BD[[#This Row],[Fault Start TimeStamp]])*24</f>
        <v>0</v>
      </c>
      <c r="R167" s="153"/>
      <c r="S167" s="44"/>
      <c r="T167" s="45" t="str">
        <f>IFERROR(IGA_BD[[#This Row],[Breakdown Time]]*IGA_BD[[#This Row],[Plant Equivalent Weightage]],"")</f>
        <v/>
      </c>
    </row>
    <row r="168" spans="1:20">
      <c r="A168" s="28"/>
      <c r="B168" s="154"/>
      <c r="C168" s="30">
        <f>YEAR(WTG_BD[[#This Row],[Date]])+IF(MONTH(WTG_BD[[#This Row],[Date]])&gt;=4,1,0)</f>
        <v>2026</v>
      </c>
      <c r="D168" s="31">
        <f>YEAR(IGA_BD[[#This Row],[Date]])</f>
        <v>1900</v>
      </c>
      <c r="E168" s="48">
        <f t="shared" si="5"/>
        <v>1</v>
      </c>
      <c r="F168" s="32"/>
      <c r="G168" s="33"/>
      <c r="H168" s="43" t="str">
        <f>IFERROR(VLOOKUP(IGA_BD[[#This Row],[Affected Feeder ]],'Basic Data'!$A$42:$E$53,2,0),"")</f>
        <v/>
      </c>
      <c r="I168" s="43" t="str">
        <f>IFERROR(VLOOKUP(IGA_BD[[#This Row],[Affected Feeder ]],'Basic Data'!$A$42:$E$53,3,0),"")</f>
        <v/>
      </c>
      <c r="J168" s="43" t="str">
        <f>IFERROR(VLOOKUP(IGA_BD[[#This Row],[Affected Feeder ]],'Basic Data'!$A$42:$E$53,5,0),"")</f>
        <v/>
      </c>
      <c r="K168" s="164"/>
      <c r="L168" s="50"/>
      <c r="M168" s="116"/>
      <c r="N168" s="116"/>
      <c r="O168" s="57">
        <f>(IGA_BD[[#This Row],[Work Start TimeStamp]]-IGA_BD[[#This Row],[Fault Start TimeStamp]])*24</f>
        <v>0</v>
      </c>
      <c r="P168" s="44" t="str">
        <f>IF(IGA_BD[[#This Row],[Work Start TimeStamp]]="","",(IGA_BD[[#This Row],[Fault Clearance time]]-IGA_BD[[#This Row],[Work Start TimeStamp]])*24)</f>
        <v/>
      </c>
      <c r="Q168" s="57">
        <f>(IGA_BD[[#This Row],[Fault Clearance time]]-IGA_BD[[#This Row],[Fault Start TimeStamp]])*24</f>
        <v>0</v>
      </c>
      <c r="R168" s="153"/>
      <c r="S168" s="44"/>
      <c r="T168" s="45" t="str">
        <f>IFERROR(IGA_BD[[#This Row],[Breakdown Time]]*IGA_BD[[#This Row],[Plant Equivalent Weightage]],"")</f>
        <v/>
      </c>
    </row>
    <row r="169" spans="1:20">
      <c r="A169" s="28"/>
      <c r="B169" s="154"/>
      <c r="C169" s="30">
        <f>YEAR(WTG_BD[[#This Row],[Date]])+IF(MONTH(WTG_BD[[#This Row],[Date]])&gt;=4,1,0)</f>
        <v>2026</v>
      </c>
      <c r="D169" s="31">
        <f>YEAR(IGA_BD[[#This Row],[Date]])</f>
        <v>1900</v>
      </c>
      <c r="E169" s="48">
        <f t="shared" si="5"/>
        <v>1</v>
      </c>
      <c r="F169" s="32"/>
      <c r="G169" s="33"/>
      <c r="H169" s="43" t="str">
        <f>IFERROR(VLOOKUP(IGA_BD[[#This Row],[Affected Feeder ]],'Basic Data'!$A$42:$E$53,2,0),"")</f>
        <v/>
      </c>
      <c r="I169" s="43" t="str">
        <f>IFERROR(VLOOKUP(IGA_BD[[#This Row],[Affected Feeder ]],'Basic Data'!$A$42:$E$53,3,0),"")</f>
        <v/>
      </c>
      <c r="J169" s="43" t="str">
        <f>IFERROR(VLOOKUP(IGA_BD[[#This Row],[Affected Feeder ]],'Basic Data'!$A$42:$E$53,5,0),"")</f>
        <v/>
      </c>
      <c r="K169" s="164"/>
      <c r="L169" s="50"/>
      <c r="M169" s="116"/>
      <c r="N169" s="116"/>
      <c r="O169" s="57">
        <f>(IGA_BD[[#This Row],[Work Start TimeStamp]]-IGA_BD[[#This Row],[Fault Start TimeStamp]])*24</f>
        <v>0</v>
      </c>
      <c r="P169" s="44" t="str">
        <f>IF(IGA_BD[[#This Row],[Work Start TimeStamp]]="","",(IGA_BD[[#This Row],[Fault Clearance time]]-IGA_BD[[#This Row],[Work Start TimeStamp]])*24)</f>
        <v/>
      </c>
      <c r="Q169" s="57">
        <f>(IGA_BD[[#This Row],[Fault Clearance time]]-IGA_BD[[#This Row],[Fault Start TimeStamp]])*24</f>
        <v>0</v>
      </c>
      <c r="R169" s="153"/>
      <c r="S169" s="44"/>
      <c r="T169" s="45" t="str">
        <f>IFERROR(IGA_BD[[#This Row],[Breakdown Time]]*IGA_BD[[#This Row],[Plant Equivalent Weightage]],"")</f>
        <v/>
      </c>
    </row>
    <row r="170" spans="1:20">
      <c r="A170" s="28"/>
      <c r="B170" s="154"/>
      <c r="C170" s="30">
        <f>YEAR(WTG_BD[[#This Row],[Date]])+IF(MONTH(WTG_BD[[#This Row],[Date]])&gt;=4,1,0)</f>
        <v>2026</v>
      </c>
      <c r="D170" s="31">
        <f>YEAR(IGA_BD[[#This Row],[Date]])</f>
        <v>1900</v>
      </c>
      <c r="E170" s="48">
        <f t="shared" si="5"/>
        <v>1</v>
      </c>
      <c r="F170" s="32"/>
      <c r="G170" s="33"/>
      <c r="H170" s="43" t="str">
        <f>IFERROR(VLOOKUP(IGA_BD[[#This Row],[Affected Feeder ]],'Basic Data'!$A$42:$E$53,2,0),"")</f>
        <v/>
      </c>
      <c r="I170" s="43" t="str">
        <f>IFERROR(VLOOKUP(IGA_BD[[#This Row],[Affected Feeder ]],'Basic Data'!$A$42:$E$53,3,0),"")</f>
        <v/>
      </c>
      <c r="J170" s="43" t="str">
        <f>IFERROR(VLOOKUP(IGA_BD[[#This Row],[Affected Feeder ]],'Basic Data'!$A$42:$E$53,5,0),"")</f>
        <v/>
      </c>
      <c r="K170" s="164"/>
      <c r="L170" s="50"/>
      <c r="M170" s="116"/>
      <c r="N170" s="116"/>
      <c r="O170" s="57">
        <f>(IGA_BD[[#This Row],[Work Start TimeStamp]]-IGA_BD[[#This Row],[Fault Start TimeStamp]])*24</f>
        <v>0</v>
      </c>
      <c r="P170" s="44" t="str">
        <f>IF(IGA_BD[[#This Row],[Work Start TimeStamp]]="","",(IGA_BD[[#This Row],[Fault Clearance time]]-IGA_BD[[#This Row],[Work Start TimeStamp]])*24)</f>
        <v/>
      </c>
      <c r="Q170" s="57">
        <f>(IGA_BD[[#This Row],[Fault Clearance time]]-IGA_BD[[#This Row],[Fault Start TimeStamp]])*24</f>
        <v>0</v>
      </c>
      <c r="R170" s="153"/>
      <c r="S170" s="44"/>
      <c r="T170" s="45" t="str">
        <f>IFERROR(IGA_BD[[#This Row],[Breakdown Time]]*IGA_BD[[#This Row],[Plant Equivalent Weightage]],"")</f>
        <v/>
      </c>
    </row>
    <row r="171" spans="1:20">
      <c r="A171" s="28"/>
      <c r="B171" s="154"/>
      <c r="C171" s="30">
        <f>YEAR(WTG_BD[[#This Row],[Date]])+IF(MONTH(WTG_BD[[#This Row],[Date]])&gt;=4,1,0)</f>
        <v>2026</v>
      </c>
      <c r="D171" s="31">
        <f>YEAR(IGA_BD[[#This Row],[Date]])</f>
        <v>1900</v>
      </c>
      <c r="E171" s="48">
        <f t="shared" si="5"/>
        <v>1</v>
      </c>
      <c r="F171" s="32"/>
      <c r="G171" s="33"/>
      <c r="H171" s="43" t="str">
        <f>IFERROR(VLOOKUP(IGA_BD[[#This Row],[Affected Feeder ]],'Basic Data'!$A$42:$E$53,2,0),"")</f>
        <v/>
      </c>
      <c r="I171" s="43" t="str">
        <f>IFERROR(VLOOKUP(IGA_BD[[#This Row],[Affected Feeder ]],'Basic Data'!$A$42:$E$53,3,0),"")</f>
        <v/>
      </c>
      <c r="J171" s="43" t="str">
        <f>IFERROR(VLOOKUP(IGA_BD[[#This Row],[Affected Feeder ]],'Basic Data'!$A$42:$E$53,5,0),"")</f>
        <v/>
      </c>
      <c r="K171" s="164"/>
      <c r="L171" s="50"/>
      <c r="M171" s="116"/>
      <c r="N171" s="116"/>
      <c r="O171" s="57">
        <f>(IGA_BD[[#This Row],[Work Start TimeStamp]]-IGA_BD[[#This Row],[Fault Start TimeStamp]])*24</f>
        <v>0</v>
      </c>
      <c r="P171" s="44" t="str">
        <f>IF(IGA_BD[[#This Row],[Work Start TimeStamp]]="","",(IGA_BD[[#This Row],[Fault Clearance time]]-IGA_BD[[#This Row],[Work Start TimeStamp]])*24)</f>
        <v/>
      </c>
      <c r="Q171" s="57">
        <f>(IGA_BD[[#This Row],[Fault Clearance time]]-IGA_BD[[#This Row],[Fault Start TimeStamp]])*24</f>
        <v>0</v>
      </c>
      <c r="R171" s="153"/>
      <c r="S171" s="44"/>
      <c r="T171" s="45" t="str">
        <f>IFERROR(IGA_BD[[#This Row],[Breakdown Time]]*IGA_BD[[#This Row],[Plant Equivalent Weightage]],"")</f>
        <v/>
      </c>
    </row>
    <row r="172" spans="1:20">
      <c r="A172" s="28"/>
      <c r="B172" s="154"/>
      <c r="C172" s="30">
        <f>YEAR(WTG_BD[[#This Row],[Date]])+IF(MONTH(WTG_BD[[#This Row],[Date]])&gt;=4,1,0)</f>
        <v>2026</v>
      </c>
      <c r="D172" s="31">
        <f>YEAR(IGA_BD[[#This Row],[Date]])</f>
        <v>1900</v>
      </c>
      <c r="E172" s="48">
        <f t="shared" si="5"/>
        <v>1</v>
      </c>
      <c r="F172" s="32"/>
      <c r="G172" s="33"/>
      <c r="H172" s="43" t="str">
        <f>IFERROR(VLOOKUP(IGA_BD[[#This Row],[Affected Feeder ]],'Basic Data'!$A$42:$E$53,2,0),"")</f>
        <v/>
      </c>
      <c r="I172" s="43" t="str">
        <f>IFERROR(VLOOKUP(IGA_BD[[#This Row],[Affected Feeder ]],'Basic Data'!$A$42:$E$53,3,0),"")</f>
        <v/>
      </c>
      <c r="J172" s="43" t="str">
        <f>IFERROR(VLOOKUP(IGA_BD[[#This Row],[Affected Feeder ]],'Basic Data'!$A$42:$E$53,5,0),"")</f>
        <v/>
      </c>
      <c r="K172" s="164"/>
      <c r="L172" s="50"/>
      <c r="M172" s="116"/>
      <c r="N172" s="116"/>
      <c r="O172" s="57">
        <f>(IGA_BD[[#This Row],[Work Start TimeStamp]]-IGA_BD[[#This Row],[Fault Start TimeStamp]])*24</f>
        <v>0</v>
      </c>
      <c r="P172" s="44" t="str">
        <f>IF(IGA_BD[[#This Row],[Work Start TimeStamp]]="","",(IGA_BD[[#This Row],[Fault Clearance time]]-IGA_BD[[#This Row],[Work Start TimeStamp]])*24)</f>
        <v/>
      </c>
      <c r="Q172" s="57">
        <f>(IGA_BD[[#This Row],[Fault Clearance time]]-IGA_BD[[#This Row],[Fault Start TimeStamp]])*24</f>
        <v>0</v>
      </c>
      <c r="R172" s="153"/>
      <c r="S172" s="44"/>
      <c r="T172" s="45" t="str">
        <f>IFERROR(IGA_BD[[#This Row],[Breakdown Time]]*IGA_BD[[#This Row],[Plant Equivalent Weightage]],"")</f>
        <v/>
      </c>
    </row>
    <row r="173" spans="1:20">
      <c r="A173" s="28"/>
      <c r="B173" s="154"/>
      <c r="C173" s="30">
        <f>YEAR(WTG_BD[[#This Row],[Date]])+IF(MONTH(WTG_BD[[#This Row],[Date]])&gt;=4,1,0)</f>
        <v>2026</v>
      </c>
      <c r="D173" s="31">
        <f>YEAR(IGA_BD[[#This Row],[Date]])</f>
        <v>1900</v>
      </c>
      <c r="E173" s="48">
        <f t="shared" si="5"/>
        <v>1</v>
      </c>
      <c r="F173" s="32"/>
      <c r="G173" s="33"/>
      <c r="H173" s="43" t="str">
        <f>IFERROR(VLOOKUP(IGA_BD[[#This Row],[Affected Feeder ]],'Basic Data'!$A$42:$E$53,2,0),"")</f>
        <v/>
      </c>
      <c r="I173" s="43" t="str">
        <f>IFERROR(VLOOKUP(IGA_BD[[#This Row],[Affected Feeder ]],'Basic Data'!$A$42:$E$53,3,0),"")</f>
        <v/>
      </c>
      <c r="J173" s="43" t="str">
        <f>IFERROR(VLOOKUP(IGA_BD[[#This Row],[Affected Feeder ]],'Basic Data'!$A$42:$E$53,5,0),"")</f>
        <v/>
      </c>
      <c r="K173" s="164"/>
      <c r="L173" s="50"/>
      <c r="M173" s="116"/>
      <c r="N173" s="116"/>
      <c r="O173" s="57">
        <f>(IGA_BD[[#This Row],[Work Start TimeStamp]]-IGA_BD[[#This Row],[Fault Start TimeStamp]])*24</f>
        <v>0</v>
      </c>
      <c r="P173" s="44" t="str">
        <f>IF(IGA_BD[[#This Row],[Work Start TimeStamp]]="","",(IGA_BD[[#This Row],[Fault Clearance time]]-IGA_BD[[#This Row],[Work Start TimeStamp]])*24)</f>
        <v/>
      </c>
      <c r="Q173" s="57">
        <f>(IGA_BD[[#This Row],[Fault Clearance time]]-IGA_BD[[#This Row],[Fault Start TimeStamp]])*24</f>
        <v>0</v>
      </c>
      <c r="R173" s="153"/>
      <c r="S173" s="44"/>
      <c r="T173" s="45" t="str">
        <f>IFERROR(IGA_BD[[#This Row],[Breakdown Time]]*IGA_BD[[#This Row],[Plant Equivalent Weightage]],"")</f>
        <v/>
      </c>
    </row>
    <row r="174" spans="1:20">
      <c r="A174" s="28"/>
      <c r="B174" s="154"/>
      <c r="C174" s="30">
        <f>YEAR(WTG_BD[[#This Row],[Date]])+IF(MONTH(WTG_BD[[#This Row],[Date]])&gt;=4,1,0)</f>
        <v>2026</v>
      </c>
      <c r="D174" s="31">
        <f>YEAR(IGA_BD[[#This Row],[Date]])</f>
        <v>1900</v>
      </c>
      <c r="E174" s="48">
        <f t="shared" si="5"/>
        <v>1</v>
      </c>
      <c r="F174" s="32"/>
      <c r="G174" s="33"/>
      <c r="H174" s="43" t="str">
        <f>IFERROR(VLOOKUP(IGA_BD[[#This Row],[Affected Feeder ]],'Basic Data'!$A$42:$E$53,2,0),"")</f>
        <v/>
      </c>
      <c r="I174" s="43" t="str">
        <f>IFERROR(VLOOKUP(IGA_BD[[#This Row],[Affected Feeder ]],'Basic Data'!$A$42:$E$53,3,0),"")</f>
        <v/>
      </c>
      <c r="J174" s="43" t="str">
        <f>IFERROR(VLOOKUP(IGA_BD[[#This Row],[Affected Feeder ]],'Basic Data'!$A$42:$E$53,5,0),"")</f>
        <v/>
      </c>
      <c r="K174" s="164"/>
      <c r="L174" s="50"/>
      <c r="M174" s="116"/>
      <c r="N174" s="116"/>
      <c r="O174" s="57">
        <f>(IGA_BD[[#This Row],[Work Start TimeStamp]]-IGA_BD[[#This Row],[Fault Start TimeStamp]])*24</f>
        <v>0</v>
      </c>
      <c r="P174" s="44" t="str">
        <f>IF(IGA_BD[[#This Row],[Work Start TimeStamp]]="","",(IGA_BD[[#This Row],[Fault Clearance time]]-IGA_BD[[#This Row],[Work Start TimeStamp]])*24)</f>
        <v/>
      </c>
      <c r="Q174" s="57">
        <f>(IGA_BD[[#This Row],[Fault Clearance time]]-IGA_BD[[#This Row],[Fault Start TimeStamp]])*24</f>
        <v>0</v>
      </c>
      <c r="R174" s="153"/>
      <c r="S174" s="44"/>
      <c r="T174" s="45" t="str">
        <f>IFERROR(IGA_BD[[#This Row],[Breakdown Time]]*IGA_BD[[#This Row],[Plant Equivalent Weightage]],"")</f>
        <v/>
      </c>
    </row>
    <row r="175" spans="1:20">
      <c r="A175" s="28"/>
      <c r="B175" s="154"/>
      <c r="C175" s="30">
        <f>YEAR(WTG_BD[[#This Row],[Date]])+IF(MONTH(WTG_BD[[#This Row],[Date]])&gt;=4,1,0)</f>
        <v>2026</v>
      </c>
      <c r="D175" s="31">
        <f>YEAR(IGA_BD[[#This Row],[Date]])</f>
        <v>1900</v>
      </c>
      <c r="E175" s="48">
        <f t="shared" si="5"/>
        <v>1</v>
      </c>
      <c r="F175" s="32"/>
      <c r="G175" s="33"/>
      <c r="H175" s="43" t="str">
        <f>IFERROR(VLOOKUP(IGA_BD[[#This Row],[Affected Feeder ]],'Basic Data'!$A$42:$E$53,2,0),"")</f>
        <v/>
      </c>
      <c r="I175" s="43" t="str">
        <f>IFERROR(VLOOKUP(IGA_BD[[#This Row],[Affected Feeder ]],'Basic Data'!$A$42:$E$53,3,0),"")</f>
        <v/>
      </c>
      <c r="J175" s="43" t="str">
        <f>IFERROR(VLOOKUP(IGA_BD[[#This Row],[Affected Feeder ]],'Basic Data'!$A$42:$E$53,5,0),"")</f>
        <v/>
      </c>
      <c r="K175" s="164"/>
      <c r="L175" s="50"/>
      <c r="M175" s="116"/>
      <c r="N175" s="116"/>
      <c r="O175" s="57">
        <f>(IGA_BD[[#This Row],[Work Start TimeStamp]]-IGA_BD[[#This Row],[Fault Start TimeStamp]])*24</f>
        <v>0</v>
      </c>
      <c r="P175" s="44" t="str">
        <f>IF(IGA_BD[[#This Row],[Work Start TimeStamp]]="","",(IGA_BD[[#This Row],[Fault Clearance time]]-IGA_BD[[#This Row],[Work Start TimeStamp]])*24)</f>
        <v/>
      </c>
      <c r="Q175" s="57">
        <f>(IGA_BD[[#This Row],[Fault Clearance time]]-IGA_BD[[#This Row],[Fault Start TimeStamp]])*24</f>
        <v>0</v>
      </c>
      <c r="R175" s="153"/>
      <c r="S175" s="44"/>
      <c r="T175" s="45" t="str">
        <f>IFERROR(IGA_BD[[#This Row],[Breakdown Time]]*IGA_BD[[#This Row],[Plant Equivalent Weightage]],"")</f>
        <v/>
      </c>
    </row>
    <row r="176" spans="1:20">
      <c r="A176" s="28"/>
      <c r="B176" s="154"/>
      <c r="C176" s="30">
        <f>YEAR(WTG_BD[[#This Row],[Date]])+IF(MONTH(WTG_BD[[#This Row],[Date]])&gt;=4,1,0)</f>
        <v>2026</v>
      </c>
      <c r="D176" s="31">
        <f>YEAR(IGA_BD[[#This Row],[Date]])</f>
        <v>1900</v>
      </c>
      <c r="E176" s="48">
        <f t="shared" si="5"/>
        <v>1</v>
      </c>
      <c r="F176" s="32"/>
      <c r="G176" s="33"/>
      <c r="H176" s="43" t="str">
        <f>IFERROR(VLOOKUP(IGA_BD[[#This Row],[Affected Feeder ]],'Basic Data'!$A$42:$E$53,2,0),"")</f>
        <v/>
      </c>
      <c r="I176" s="43" t="str">
        <f>IFERROR(VLOOKUP(IGA_BD[[#This Row],[Affected Feeder ]],'Basic Data'!$A$42:$E$53,3,0),"")</f>
        <v/>
      </c>
      <c r="J176" s="43" t="str">
        <f>IFERROR(VLOOKUP(IGA_BD[[#This Row],[Affected Feeder ]],'Basic Data'!$A$42:$E$53,5,0),"")</f>
        <v/>
      </c>
      <c r="K176" s="164"/>
      <c r="L176" s="50"/>
      <c r="M176" s="116"/>
      <c r="N176" s="116"/>
      <c r="O176" s="57">
        <f>(IGA_BD[[#This Row],[Work Start TimeStamp]]-IGA_BD[[#This Row],[Fault Start TimeStamp]])*24</f>
        <v>0</v>
      </c>
      <c r="P176" s="44" t="str">
        <f>IF(IGA_BD[[#This Row],[Work Start TimeStamp]]="","",(IGA_BD[[#This Row],[Fault Clearance time]]-IGA_BD[[#This Row],[Work Start TimeStamp]])*24)</f>
        <v/>
      </c>
      <c r="Q176" s="57">
        <f>(IGA_BD[[#This Row],[Fault Clearance time]]-IGA_BD[[#This Row],[Fault Start TimeStamp]])*24</f>
        <v>0</v>
      </c>
      <c r="R176" s="153"/>
      <c r="S176" s="44"/>
      <c r="T176" s="45" t="str">
        <f>IFERROR(IGA_BD[[#This Row],[Breakdown Time]]*IGA_BD[[#This Row],[Plant Equivalent Weightage]],"")</f>
        <v/>
      </c>
    </row>
    <row r="177" spans="1:20">
      <c r="A177" s="28"/>
      <c r="B177" s="154"/>
      <c r="C177" s="30">
        <f>YEAR(WTG_BD[[#This Row],[Date]])+IF(MONTH(WTG_BD[[#This Row],[Date]])&gt;=4,1,0)</f>
        <v>2026</v>
      </c>
      <c r="D177" s="31">
        <f>YEAR(IGA_BD[[#This Row],[Date]])</f>
        <v>1900</v>
      </c>
      <c r="E177" s="48">
        <f t="shared" si="5"/>
        <v>1</v>
      </c>
      <c r="F177" s="32"/>
      <c r="G177" s="33"/>
      <c r="H177" s="43" t="str">
        <f>IFERROR(VLOOKUP(IGA_BD[[#This Row],[Affected Feeder ]],'Basic Data'!$A$42:$E$53,2,0),"")</f>
        <v/>
      </c>
      <c r="I177" s="43" t="str">
        <f>IFERROR(VLOOKUP(IGA_BD[[#This Row],[Affected Feeder ]],'Basic Data'!$A$42:$E$53,3,0),"")</f>
        <v/>
      </c>
      <c r="J177" s="43" t="str">
        <f>IFERROR(VLOOKUP(IGA_BD[[#This Row],[Affected Feeder ]],'Basic Data'!$A$42:$E$53,5,0),"")</f>
        <v/>
      </c>
      <c r="K177" s="164"/>
      <c r="L177" s="50"/>
      <c r="M177" s="116"/>
      <c r="N177" s="116"/>
      <c r="O177" s="57">
        <f>(IGA_BD[[#This Row],[Work Start TimeStamp]]-IGA_BD[[#This Row],[Fault Start TimeStamp]])*24</f>
        <v>0</v>
      </c>
      <c r="P177" s="44" t="str">
        <f>IF(IGA_BD[[#This Row],[Work Start TimeStamp]]="","",(IGA_BD[[#This Row],[Fault Clearance time]]-IGA_BD[[#This Row],[Work Start TimeStamp]])*24)</f>
        <v/>
      </c>
      <c r="Q177" s="57">
        <f>(IGA_BD[[#This Row],[Fault Clearance time]]-IGA_BD[[#This Row],[Fault Start TimeStamp]])*24</f>
        <v>0</v>
      </c>
      <c r="R177" s="153"/>
      <c r="S177" s="44"/>
      <c r="T177" s="45" t="str">
        <f>IFERROR(IGA_BD[[#This Row],[Breakdown Time]]*IGA_BD[[#This Row],[Plant Equivalent Weightage]],"")</f>
        <v/>
      </c>
    </row>
    <row r="178" spans="1:20">
      <c r="A178" s="28"/>
      <c r="B178" s="154"/>
      <c r="C178" s="30">
        <f>YEAR(WTG_BD[[#This Row],[Date]])+IF(MONTH(WTG_BD[[#This Row],[Date]])&gt;=4,1,0)</f>
        <v>2026</v>
      </c>
      <c r="D178" s="31">
        <f>YEAR(IGA_BD[[#This Row],[Date]])</f>
        <v>1900</v>
      </c>
      <c r="E178" s="48">
        <f t="shared" si="5"/>
        <v>1</v>
      </c>
      <c r="F178" s="32"/>
      <c r="G178" s="33"/>
      <c r="H178" s="43" t="str">
        <f>IFERROR(VLOOKUP(IGA_BD[[#This Row],[Affected Feeder ]],'Basic Data'!$A$42:$E$53,2,0),"")</f>
        <v/>
      </c>
      <c r="I178" s="43" t="str">
        <f>IFERROR(VLOOKUP(IGA_BD[[#This Row],[Affected Feeder ]],'Basic Data'!$A$42:$E$53,3,0),"")</f>
        <v/>
      </c>
      <c r="J178" s="43" t="str">
        <f>IFERROR(VLOOKUP(IGA_BD[[#This Row],[Affected Feeder ]],'Basic Data'!$A$42:$E$53,5,0),"")</f>
        <v/>
      </c>
      <c r="K178" s="164"/>
      <c r="L178" s="50"/>
      <c r="M178" s="116"/>
      <c r="N178" s="116"/>
      <c r="O178" s="57">
        <f>(IGA_BD[[#This Row],[Work Start TimeStamp]]-IGA_BD[[#This Row],[Fault Start TimeStamp]])*24</f>
        <v>0</v>
      </c>
      <c r="P178" s="44" t="str">
        <f>IF(IGA_BD[[#This Row],[Work Start TimeStamp]]="","",(IGA_BD[[#This Row],[Fault Clearance time]]-IGA_BD[[#This Row],[Work Start TimeStamp]])*24)</f>
        <v/>
      </c>
      <c r="Q178" s="57">
        <f>(IGA_BD[[#This Row],[Fault Clearance time]]-IGA_BD[[#This Row],[Fault Start TimeStamp]])*24</f>
        <v>0</v>
      </c>
      <c r="R178" s="153"/>
      <c r="S178" s="44"/>
      <c r="T178" s="45" t="str">
        <f>IFERROR(IGA_BD[[#This Row],[Breakdown Time]]*IGA_BD[[#This Row],[Plant Equivalent Weightage]],"")</f>
        <v/>
      </c>
    </row>
    <row r="179" spans="1:20">
      <c r="A179" s="28"/>
      <c r="B179" s="154"/>
      <c r="C179" s="30">
        <f>YEAR(WTG_BD[[#This Row],[Date]])+IF(MONTH(WTG_BD[[#This Row],[Date]])&gt;=4,1,0)</f>
        <v>2026</v>
      </c>
      <c r="D179" s="31">
        <f>YEAR(IGA_BD[[#This Row],[Date]])</f>
        <v>1900</v>
      </c>
      <c r="E179" s="48">
        <f t="shared" si="5"/>
        <v>1</v>
      </c>
      <c r="F179" s="32"/>
      <c r="G179" s="33"/>
      <c r="H179" s="43" t="str">
        <f>IFERROR(VLOOKUP(IGA_BD[[#This Row],[Affected Feeder ]],'Basic Data'!$A$42:$E$53,2,0),"")</f>
        <v/>
      </c>
      <c r="I179" s="43" t="str">
        <f>IFERROR(VLOOKUP(IGA_BD[[#This Row],[Affected Feeder ]],'Basic Data'!$A$42:$E$53,3,0),"")</f>
        <v/>
      </c>
      <c r="J179" s="43" t="str">
        <f>IFERROR(VLOOKUP(IGA_BD[[#This Row],[Affected Feeder ]],'Basic Data'!$A$42:$E$53,5,0),"")</f>
        <v/>
      </c>
      <c r="K179" s="164"/>
      <c r="L179" s="50"/>
      <c r="M179" s="116"/>
      <c r="N179" s="116"/>
      <c r="O179" s="57">
        <f>(IGA_BD[[#This Row],[Work Start TimeStamp]]-IGA_BD[[#This Row],[Fault Start TimeStamp]])*24</f>
        <v>0</v>
      </c>
      <c r="P179" s="44" t="str">
        <f>IF(IGA_BD[[#This Row],[Work Start TimeStamp]]="","",(IGA_BD[[#This Row],[Fault Clearance time]]-IGA_BD[[#This Row],[Work Start TimeStamp]])*24)</f>
        <v/>
      </c>
      <c r="Q179" s="57">
        <f>(IGA_BD[[#This Row],[Fault Clearance time]]-IGA_BD[[#This Row],[Fault Start TimeStamp]])*24</f>
        <v>0</v>
      </c>
      <c r="R179" s="153"/>
      <c r="S179" s="44"/>
      <c r="T179" s="45" t="str">
        <f>IFERROR(IGA_BD[[#This Row],[Breakdown Time]]*IGA_BD[[#This Row],[Plant Equivalent Weightage]],"")</f>
        <v/>
      </c>
    </row>
    <row r="180" spans="1:20">
      <c r="A180" s="28"/>
      <c r="B180" s="154"/>
      <c r="C180" s="30">
        <f>YEAR(WTG_BD[[#This Row],[Date]])+IF(MONTH(WTG_BD[[#This Row],[Date]])&gt;=4,1,0)</f>
        <v>2026</v>
      </c>
      <c r="D180" s="31">
        <f>YEAR(IGA_BD[[#This Row],[Date]])</f>
        <v>1900</v>
      </c>
      <c r="E180" s="48">
        <f t="shared" si="5"/>
        <v>1</v>
      </c>
      <c r="F180" s="32"/>
      <c r="G180" s="33"/>
      <c r="H180" s="43" t="str">
        <f>IFERROR(VLOOKUP(IGA_BD[[#This Row],[Affected Feeder ]],'Basic Data'!$A$42:$E$53,2,0),"")</f>
        <v/>
      </c>
      <c r="I180" s="43" t="str">
        <f>IFERROR(VLOOKUP(IGA_BD[[#This Row],[Affected Feeder ]],'Basic Data'!$A$42:$E$53,3,0),"")</f>
        <v/>
      </c>
      <c r="J180" s="43" t="str">
        <f>IFERROR(VLOOKUP(IGA_BD[[#This Row],[Affected Feeder ]],'Basic Data'!$A$42:$E$53,5,0),"")</f>
        <v/>
      </c>
      <c r="K180" s="164"/>
      <c r="L180" s="50"/>
      <c r="M180" s="116"/>
      <c r="N180" s="116"/>
      <c r="O180" s="57">
        <f>(IGA_BD[[#This Row],[Work Start TimeStamp]]-IGA_BD[[#This Row],[Fault Start TimeStamp]])*24</f>
        <v>0</v>
      </c>
      <c r="P180" s="44" t="str">
        <f>IF(IGA_BD[[#This Row],[Work Start TimeStamp]]="","",(IGA_BD[[#This Row],[Fault Clearance time]]-IGA_BD[[#This Row],[Work Start TimeStamp]])*24)</f>
        <v/>
      </c>
      <c r="Q180" s="57">
        <f>(IGA_BD[[#This Row],[Fault Clearance time]]-IGA_BD[[#This Row],[Fault Start TimeStamp]])*24</f>
        <v>0</v>
      </c>
      <c r="R180" s="153"/>
      <c r="S180" s="44"/>
      <c r="T180" s="45" t="str">
        <f>IFERROR(IGA_BD[[#This Row],[Breakdown Time]]*IGA_BD[[#This Row],[Plant Equivalent Weightage]],"")</f>
        <v/>
      </c>
    </row>
    <row r="181" spans="1:20">
      <c r="A181" s="28"/>
      <c r="B181" s="154"/>
      <c r="C181" s="30">
        <f>YEAR(WTG_BD[[#This Row],[Date]])+IF(MONTH(WTG_BD[[#This Row],[Date]])&gt;=4,1,0)</f>
        <v>2026</v>
      </c>
      <c r="D181" s="31">
        <f>YEAR(IGA_BD[[#This Row],[Date]])</f>
        <v>1900</v>
      </c>
      <c r="E181" s="48">
        <f t="shared" si="5"/>
        <v>1</v>
      </c>
      <c r="F181" s="32"/>
      <c r="G181" s="33"/>
      <c r="H181" s="43" t="str">
        <f>IFERROR(VLOOKUP(IGA_BD[[#This Row],[Affected Feeder ]],'Basic Data'!$A$42:$E$53,2,0),"")</f>
        <v/>
      </c>
      <c r="I181" s="43" t="str">
        <f>IFERROR(VLOOKUP(IGA_BD[[#This Row],[Affected Feeder ]],'Basic Data'!$A$42:$E$53,3,0),"")</f>
        <v/>
      </c>
      <c r="J181" s="43" t="str">
        <f>IFERROR(VLOOKUP(IGA_BD[[#This Row],[Affected Feeder ]],'Basic Data'!$A$42:$E$53,5,0),"")</f>
        <v/>
      </c>
      <c r="K181" s="164"/>
      <c r="L181" s="50"/>
      <c r="M181" s="116"/>
      <c r="N181" s="116"/>
      <c r="O181" s="57">
        <f>(IGA_BD[[#This Row],[Work Start TimeStamp]]-IGA_BD[[#This Row],[Fault Start TimeStamp]])*24</f>
        <v>0</v>
      </c>
      <c r="P181" s="44" t="str">
        <f>IF(IGA_BD[[#This Row],[Work Start TimeStamp]]="","",(IGA_BD[[#This Row],[Fault Clearance time]]-IGA_BD[[#This Row],[Work Start TimeStamp]])*24)</f>
        <v/>
      </c>
      <c r="Q181" s="57">
        <f>(IGA_BD[[#This Row],[Fault Clearance time]]-IGA_BD[[#This Row],[Fault Start TimeStamp]])*24</f>
        <v>0</v>
      </c>
      <c r="R181" s="153"/>
      <c r="S181" s="44"/>
      <c r="T181" s="45" t="str">
        <f>IFERROR(IGA_BD[[#This Row],[Breakdown Time]]*IGA_BD[[#This Row],[Plant Equivalent Weightage]],"")</f>
        <v/>
      </c>
    </row>
    <row r="182" spans="1:20">
      <c r="A182" s="28"/>
      <c r="B182" s="154"/>
      <c r="C182" s="30">
        <f>YEAR(WTG_BD[[#This Row],[Date]])+IF(MONTH(WTG_BD[[#This Row],[Date]])&gt;=4,1,0)</f>
        <v>2026</v>
      </c>
      <c r="D182" s="31">
        <f>YEAR(IGA_BD[[#This Row],[Date]])</f>
        <v>1900</v>
      </c>
      <c r="E182" s="48">
        <f t="shared" si="5"/>
        <v>1</v>
      </c>
      <c r="F182" s="32"/>
      <c r="G182" s="33"/>
      <c r="H182" s="43" t="str">
        <f>IFERROR(VLOOKUP(IGA_BD[[#This Row],[Affected Feeder ]],'Basic Data'!$A$42:$E$53,2,0),"")</f>
        <v/>
      </c>
      <c r="I182" s="43" t="str">
        <f>IFERROR(VLOOKUP(IGA_BD[[#This Row],[Affected Feeder ]],'Basic Data'!$A$42:$E$53,3,0),"")</f>
        <v/>
      </c>
      <c r="J182" s="43" t="str">
        <f>IFERROR(VLOOKUP(IGA_BD[[#This Row],[Affected Feeder ]],'Basic Data'!$A$42:$E$53,5,0),"")</f>
        <v/>
      </c>
      <c r="K182" s="164"/>
      <c r="L182" s="50"/>
      <c r="M182" s="116"/>
      <c r="N182" s="116"/>
      <c r="O182" s="57">
        <f>(IGA_BD[[#This Row],[Work Start TimeStamp]]-IGA_BD[[#This Row],[Fault Start TimeStamp]])*24</f>
        <v>0</v>
      </c>
      <c r="P182" s="44" t="str">
        <f>IF(IGA_BD[[#This Row],[Work Start TimeStamp]]="","",(IGA_BD[[#This Row],[Fault Clearance time]]-IGA_BD[[#This Row],[Work Start TimeStamp]])*24)</f>
        <v/>
      </c>
      <c r="Q182" s="57">
        <f>(IGA_BD[[#This Row],[Fault Clearance time]]-IGA_BD[[#This Row],[Fault Start TimeStamp]])*24</f>
        <v>0</v>
      </c>
      <c r="R182" s="153"/>
      <c r="S182" s="44"/>
      <c r="T182" s="45" t="str">
        <f>IFERROR(IGA_BD[[#This Row],[Breakdown Time]]*IGA_BD[[#This Row],[Plant Equivalent Weightage]],"")</f>
        <v/>
      </c>
    </row>
    <row r="183" spans="1:20">
      <c r="A183" s="28"/>
      <c r="B183" s="154"/>
      <c r="C183" s="30">
        <f>YEAR(WTG_BD[[#This Row],[Date]])+IF(MONTH(WTG_BD[[#This Row],[Date]])&gt;=4,1,0)</f>
        <v>2026</v>
      </c>
      <c r="D183" s="31">
        <f>YEAR(IGA_BD[[#This Row],[Date]])</f>
        <v>1900</v>
      </c>
      <c r="E183" s="48">
        <f t="shared" si="5"/>
        <v>1</v>
      </c>
      <c r="F183" s="32"/>
      <c r="G183" s="33"/>
      <c r="H183" s="43" t="str">
        <f>IFERROR(VLOOKUP(IGA_BD[[#This Row],[Affected Feeder ]],'Basic Data'!$A$42:$E$53,2,0),"")</f>
        <v/>
      </c>
      <c r="I183" s="43" t="str">
        <f>IFERROR(VLOOKUP(IGA_BD[[#This Row],[Affected Feeder ]],'Basic Data'!$A$42:$E$53,3,0),"")</f>
        <v/>
      </c>
      <c r="J183" s="43" t="str">
        <f>IFERROR(VLOOKUP(IGA_BD[[#This Row],[Affected Feeder ]],'Basic Data'!$A$42:$E$53,5,0),"")</f>
        <v/>
      </c>
      <c r="K183" s="164"/>
      <c r="L183" s="50"/>
      <c r="M183" s="116"/>
      <c r="N183" s="116"/>
      <c r="O183" s="57">
        <f>(IGA_BD[[#This Row],[Work Start TimeStamp]]-IGA_BD[[#This Row],[Fault Start TimeStamp]])*24</f>
        <v>0</v>
      </c>
      <c r="P183" s="44" t="str">
        <f>IF(IGA_BD[[#This Row],[Work Start TimeStamp]]="","",(IGA_BD[[#This Row],[Fault Clearance time]]-IGA_BD[[#This Row],[Work Start TimeStamp]])*24)</f>
        <v/>
      </c>
      <c r="Q183" s="57">
        <f>(IGA_BD[[#This Row],[Fault Clearance time]]-IGA_BD[[#This Row],[Fault Start TimeStamp]])*24</f>
        <v>0</v>
      </c>
      <c r="R183" s="153"/>
      <c r="S183" s="44"/>
      <c r="T183" s="45" t="str">
        <f>IFERROR(IGA_BD[[#This Row],[Breakdown Time]]*IGA_BD[[#This Row],[Plant Equivalent Weightage]],"")</f>
        <v/>
      </c>
    </row>
    <row r="184" spans="1:20">
      <c r="A184" s="28"/>
      <c r="B184" s="154"/>
      <c r="C184" s="30">
        <f>YEAR(WTG_BD[[#This Row],[Date]])+IF(MONTH(WTG_BD[[#This Row],[Date]])&gt;=4,1,0)</f>
        <v>2026</v>
      </c>
      <c r="D184" s="31">
        <f>YEAR(IGA_BD[[#This Row],[Date]])</f>
        <v>1900</v>
      </c>
      <c r="E184" s="48">
        <f t="shared" si="5"/>
        <v>1</v>
      </c>
      <c r="F184" s="32"/>
      <c r="G184" s="33"/>
      <c r="H184" s="43" t="str">
        <f>IFERROR(VLOOKUP(IGA_BD[[#This Row],[Affected Feeder ]],'Basic Data'!$A$42:$E$53,2,0),"")</f>
        <v/>
      </c>
      <c r="I184" s="43" t="str">
        <f>IFERROR(VLOOKUP(IGA_BD[[#This Row],[Affected Feeder ]],'Basic Data'!$A$42:$E$53,3,0),"")</f>
        <v/>
      </c>
      <c r="J184" s="43" t="str">
        <f>IFERROR(VLOOKUP(IGA_BD[[#This Row],[Affected Feeder ]],'Basic Data'!$A$42:$E$53,5,0),"")</f>
        <v/>
      </c>
      <c r="K184" s="164"/>
      <c r="L184" s="50"/>
      <c r="M184" s="116"/>
      <c r="N184" s="116"/>
      <c r="O184" s="57">
        <f>(IGA_BD[[#This Row],[Work Start TimeStamp]]-IGA_BD[[#This Row],[Fault Start TimeStamp]])*24</f>
        <v>0</v>
      </c>
      <c r="P184" s="44" t="str">
        <f>IF(IGA_BD[[#This Row],[Work Start TimeStamp]]="","",(IGA_BD[[#This Row],[Fault Clearance time]]-IGA_BD[[#This Row],[Work Start TimeStamp]])*24)</f>
        <v/>
      </c>
      <c r="Q184" s="57">
        <f>(IGA_BD[[#This Row],[Fault Clearance time]]-IGA_BD[[#This Row],[Fault Start TimeStamp]])*24</f>
        <v>0</v>
      </c>
      <c r="R184" s="153"/>
      <c r="S184" s="44"/>
      <c r="T184" s="45" t="str">
        <f>IFERROR(IGA_BD[[#This Row],[Breakdown Time]]*IGA_BD[[#This Row],[Plant Equivalent Weightage]],"")</f>
        <v/>
      </c>
    </row>
    <row r="185" spans="1:20">
      <c r="A185" s="28"/>
      <c r="B185" s="154"/>
      <c r="C185" s="30">
        <f>YEAR(WTG_BD[[#This Row],[Date]])+IF(MONTH(WTG_BD[[#This Row],[Date]])&gt;=4,1,0)</f>
        <v>2026</v>
      </c>
      <c r="D185" s="31">
        <f>YEAR(IGA_BD[[#This Row],[Date]])</f>
        <v>1900</v>
      </c>
      <c r="E185" s="48">
        <f t="shared" si="5"/>
        <v>1</v>
      </c>
      <c r="F185" s="32"/>
      <c r="G185" s="33"/>
      <c r="H185" s="43" t="str">
        <f>IFERROR(VLOOKUP(IGA_BD[[#This Row],[Affected Feeder ]],'Basic Data'!$A$42:$E$53,2,0),"")</f>
        <v/>
      </c>
      <c r="I185" s="43" t="str">
        <f>IFERROR(VLOOKUP(IGA_BD[[#This Row],[Affected Feeder ]],'Basic Data'!$A$42:$E$53,3,0),"")</f>
        <v/>
      </c>
      <c r="J185" s="43" t="str">
        <f>IFERROR(VLOOKUP(IGA_BD[[#This Row],[Affected Feeder ]],'Basic Data'!$A$42:$E$53,5,0),"")</f>
        <v/>
      </c>
      <c r="K185" s="164"/>
      <c r="L185" s="50"/>
      <c r="M185" s="116"/>
      <c r="N185" s="116"/>
      <c r="O185" s="57">
        <f>(IGA_BD[[#This Row],[Work Start TimeStamp]]-IGA_BD[[#This Row],[Fault Start TimeStamp]])*24</f>
        <v>0</v>
      </c>
      <c r="P185" s="44" t="str">
        <f>IF(IGA_BD[[#This Row],[Work Start TimeStamp]]="","",(IGA_BD[[#This Row],[Fault Clearance time]]-IGA_BD[[#This Row],[Work Start TimeStamp]])*24)</f>
        <v/>
      </c>
      <c r="Q185" s="57">
        <f>(IGA_BD[[#This Row],[Fault Clearance time]]-IGA_BD[[#This Row],[Fault Start TimeStamp]])*24</f>
        <v>0</v>
      </c>
      <c r="R185" s="153"/>
      <c r="S185" s="44"/>
      <c r="T185" s="45" t="str">
        <f>IFERROR(IGA_BD[[#This Row],[Breakdown Time]]*IGA_BD[[#This Row],[Plant Equivalent Weightage]],"")</f>
        <v/>
      </c>
    </row>
    <row r="186" spans="1:20">
      <c r="A186" s="28"/>
      <c r="B186" s="154"/>
      <c r="C186" s="30">
        <f>YEAR(WTG_BD[[#This Row],[Date]])+IF(MONTH(WTG_BD[[#This Row],[Date]])&gt;=4,1,0)</f>
        <v>2026</v>
      </c>
      <c r="D186" s="31">
        <f>YEAR(IGA_BD[[#This Row],[Date]])</f>
        <v>1900</v>
      </c>
      <c r="E186" s="48">
        <f t="shared" si="5"/>
        <v>1</v>
      </c>
      <c r="F186" s="32"/>
      <c r="G186" s="33"/>
      <c r="H186" s="43" t="str">
        <f>IFERROR(VLOOKUP(IGA_BD[[#This Row],[Affected Feeder ]],'Basic Data'!$A$42:$E$53,2,0),"")</f>
        <v/>
      </c>
      <c r="I186" s="43" t="str">
        <f>IFERROR(VLOOKUP(IGA_BD[[#This Row],[Affected Feeder ]],'Basic Data'!$A$42:$E$53,3,0),"")</f>
        <v/>
      </c>
      <c r="J186" s="43" t="str">
        <f>IFERROR(VLOOKUP(IGA_BD[[#This Row],[Affected Feeder ]],'Basic Data'!$A$42:$E$53,5,0),"")</f>
        <v/>
      </c>
      <c r="K186" s="164"/>
      <c r="L186" s="50"/>
      <c r="M186" s="116"/>
      <c r="N186" s="116"/>
      <c r="O186" s="57">
        <f>(IGA_BD[[#This Row],[Work Start TimeStamp]]-IGA_BD[[#This Row],[Fault Start TimeStamp]])*24</f>
        <v>0</v>
      </c>
      <c r="P186" s="44" t="str">
        <f>IF(IGA_BD[[#This Row],[Work Start TimeStamp]]="","",(IGA_BD[[#This Row],[Fault Clearance time]]-IGA_BD[[#This Row],[Work Start TimeStamp]])*24)</f>
        <v/>
      </c>
      <c r="Q186" s="57">
        <f>(IGA_BD[[#This Row],[Fault Clearance time]]-IGA_BD[[#This Row],[Fault Start TimeStamp]])*24</f>
        <v>0</v>
      </c>
      <c r="R186" s="153"/>
      <c r="S186" s="44"/>
      <c r="T186" s="45" t="str">
        <f>IFERROR(IGA_BD[[#This Row],[Breakdown Time]]*IGA_BD[[#This Row],[Plant Equivalent Weightage]],"")</f>
        <v/>
      </c>
    </row>
    <row r="187" spans="1:20">
      <c r="A187" s="28"/>
      <c r="B187" s="154"/>
      <c r="C187" s="30">
        <f>YEAR(WTG_BD[[#This Row],[Date]])+IF(MONTH(WTG_BD[[#This Row],[Date]])&gt;=4,1,0)</f>
        <v>2026</v>
      </c>
      <c r="D187" s="31">
        <f>YEAR(IGA_BD[[#This Row],[Date]])</f>
        <v>1900</v>
      </c>
      <c r="E187" s="48">
        <f t="shared" si="5"/>
        <v>1</v>
      </c>
      <c r="F187" s="32"/>
      <c r="G187" s="33"/>
      <c r="H187" s="43" t="str">
        <f>IFERROR(VLOOKUP(IGA_BD[[#This Row],[Affected Feeder ]],'Basic Data'!$A$42:$E$53,2,0),"")</f>
        <v/>
      </c>
      <c r="I187" s="43" t="str">
        <f>IFERROR(VLOOKUP(IGA_BD[[#This Row],[Affected Feeder ]],'Basic Data'!$A$42:$E$53,3,0),"")</f>
        <v/>
      </c>
      <c r="J187" s="43" t="str">
        <f>IFERROR(VLOOKUP(IGA_BD[[#This Row],[Affected Feeder ]],'Basic Data'!$A$42:$E$53,5,0),"")</f>
        <v/>
      </c>
      <c r="K187" s="164"/>
      <c r="L187" s="50"/>
      <c r="M187" s="116"/>
      <c r="N187" s="116"/>
      <c r="O187" s="57">
        <f>(IGA_BD[[#This Row],[Work Start TimeStamp]]-IGA_BD[[#This Row],[Fault Start TimeStamp]])*24</f>
        <v>0</v>
      </c>
      <c r="P187" s="44" t="str">
        <f>IF(IGA_BD[[#This Row],[Work Start TimeStamp]]="","",(IGA_BD[[#This Row],[Fault Clearance time]]-IGA_BD[[#This Row],[Work Start TimeStamp]])*24)</f>
        <v/>
      </c>
      <c r="Q187" s="57">
        <f>(IGA_BD[[#This Row],[Fault Clearance time]]-IGA_BD[[#This Row],[Fault Start TimeStamp]])*24</f>
        <v>0</v>
      </c>
      <c r="R187" s="153"/>
      <c r="S187" s="44"/>
      <c r="T187" s="45" t="str">
        <f>IFERROR(IGA_BD[[#This Row],[Breakdown Time]]*IGA_BD[[#This Row],[Plant Equivalent Weightage]],"")</f>
        <v/>
      </c>
    </row>
    <row r="188" spans="1:20">
      <c r="A188" s="28"/>
      <c r="B188" s="154"/>
      <c r="C188" s="30">
        <f>YEAR(WTG_BD[[#This Row],[Date]])+IF(MONTH(WTG_BD[[#This Row],[Date]])&gt;=4,1,0)</f>
        <v>2026</v>
      </c>
      <c r="D188" s="31">
        <f>YEAR(IGA_BD[[#This Row],[Date]])</f>
        <v>1900</v>
      </c>
      <c r="E188" s="48">
        <f t="shared" si="5"/>
        <v>1</v>
      </c>
      <c r="F188" s="32"/>
      <c r="G188" s="33"/>
      <c r="H188" s="43" t="str">
        <f>IFERROR(VLOOKUP(IGA_BD[[#This Row],[Affected Feeder ]],'Basic Data'!$A$42:$E$53,2,0),"")</f>
        <v/>
      </c>
      <c r="I188" s="43" t="str">
        <f>IFERROR(VLOOKUP(IGA_BD[[#This Row],[Affected Feeder ]],'Basic Data'!$A$42:$E$53,3,0),"")</f>
        <v/>
      </c>
      <c r="J188" s="43" t="str">
        <f>IFERROR(VLOOKUP(IGA_BD[[#This Row],[Affected Feeder ]],'Basic Data'!$A$42:$E$53,5,0),"")</f>
        <v/>
      </c>
      <c r="K188" s="164"/>
      <c r="L188" s="50"/>
      <c r="M188" s="116"/>
      <c r="N188" s="116"/>
      <c r="O188" s="57">
        <f>(IGA_BD[[#This Row],[Work Start TimeStamp]]-IGA_BD[[#This Row],[Fault Start TimeStamp]])*24</f>
        <v>0</v>
      </c>
      <c r="P188" s="44" t="str">
        <f>IF(IGA_BD[[#This Row],[Work Start TimeStamp]]="","",(IGA_BD[[#This Row],[Fault Clearance time]]-IGA_BD[[#This Row],[Work Start TimeStamp]])*24)</f>
        <v/>
      </c>
      <c r="Q188" s="57">
        <f>(IGA_BD[[#This Row],[Fault Clearance time]]-IGA_BD[[#This Row],[Fault Start TimeStamp]])*24</f>
        <v>0</v>
      </c>
      <c r="R188" s="153"/>
      <c r="S188" s="44"/>
      <c r="T188" s="45" t="str">
        <f>IFERROR(IGA_BD[[#This Row],[Breakdown Time]]*IGA_BD[[#This Row],[Plant Equivalent Weightage]],"")</f>
        <v/>
      </c>
    </row>
    <row r="189" spans="1:20">
      <c r="A189" s="28"/>
      <c r="B189" s="154"/>
      <c r="C189" s="30">
        <f>YEAR(WTG_BD[[#This Row],[Date]])+IF(MONTH(WTG_BD[[#This Row],[Date]])&gt;=4,1,0)</f>
        <v>2026</v>
      </c>
      <c r="D189" s="31">
        <f>YEAR(IGA_BD[[#This Row],[Date]])</f>
        <v>1900</v>
      </c>
      <c r="E189" s="48">
        <f t="shared" si="5"/>
        <v>1</v>
      </c>
      <c r="F189" s="32"/>
      <c r="G189" s="33"/>
      <c r="H189" s="43" t="str">
        <f>IFERROR(VLOOKUP(IGA_BD[[#This Row],[Affected Feeder ]],'Basic Data'!$A$42:$E$53,2,0),"")</f>
        <v/>
      </c>
      <c r="I189" s="43" t="str">
        <f>IFERROR(VLOOKUP(IGA_BD[[#This Row],[Affected Feeder ]],'Basic Data'!$A$42:$E$53,3,0),"")</f>
        <v/>
      </c>
      <c r="J189" s="43" t="str">
        <f>IFERROR(VLOOKUP(IGA_BD[[#This Row],[Affected Feeder ]],'Basic Data'!$A$42:$E$53,5,0),"")</f>
        <v/>
      </c>
      <c r="K189" s="164"/>
      <c r="L189" s="50"/>
      <c r="M189" s="116"/>
      <c r="N189" s="116"/>
      <c r="O189" s="57">
        <f>(IGA_BD[[#This Row],[Work Start TimeStamp]]-IGA_BD[[#This Row],[Fault Start TimeStamp]])*24</f>
        <v>0</v>
      </c>
      <c r="P189" s="44" t="str">
        <f>IF(IGA_BD[[#This Row],[Work Start TimeStamp]]="","",(IGA_BD[[#This Row],[Fault Clearance time]]-IGA_BD[[#This Row],[Work Start TimeStamp]])*24)</f>
        <v/>
      </c>
      <c r="Q189" s="57">
        <f>(IGA_BD[[#This Row],[Fault Clearance time]]-IGA_BD[[#This Row],[Fault Start TimeStamp]])*24</f>
        <v>0</v>
      </c>
      <c r="R189" s="153"/>
      <c r="S189" s="44"/>
      <c r="T189" s="45" t="str">
        <f>IFERROR(IGA_BD[[#This Row],[Breakdown Time]]*IGA_BD[[#This Row],[Plant Equivalent Weightage]],"")</f>
        <v/>
      </c>
    </row>
    <row r="190" spans="1:20">
      <c r="A190" s="28"/>
      <c r="B190" s="154"/>
      <c r="C190" s="30">
        <f>YEAR(WTG_BD[[#This Row],[Date]])+IF(MONTH(WTG_BD[[#This Row],[Date]])&gt;=4,1,0)</f>
        <v>2026</v>
      </c>
      <c r="D190" s="31">
        <f>YEAR(IGA_BD[[#This Row],[Date]])</f>
        <v>1900</v>
      </c>
      <c r="E190" s="48">
        <f t="shared" si="5"/>
        <v>1</v>
      </c>
      <c r="F190" s="32"/>
      <c r="G190" s="33"/>
      <c r="H190" s="43" t="str">
        <f>IFERROR(VLOOKUP(IGA_BD[[#This Row],[Affected Feeder ]],'Basic Data'!$A$42:$E$53,2,0),"")</f>
        <v/>
      </c>
      <c r="I190" s="43" t="str">
        <f>IFERROR(VLOOKUP(IGA_BD[[#This Row],[Affected Feeder ]],'Basic Data'!$A$42:$E$53,3,0),"")</f>
        <v/>
      </c>
      <c r="J190" s="43" t="str">
        <f>IFERROR(VLOOKUP(IGA_BD[[#This Row],[Affected Feeder ]],'Basic Data'!$A$42:$E$53,5,0),"")</f>
        <v/>
      </c>
      <c r="K190" s="164"/>
      <c r="L190" s="50"/>
      <c r="M190" s="116"/>
      <c r="N190" s="116"/>
      <c r="O190" s="57">
        <f>(IGA_BD[[#This Row],[Work Start TimeStamp]]-IGA_BD[[#This Row],[Fault Start TimeStamp]])*24</f>
        <v>0</v>
      </c>
      <c r="P190" s="44" t="str">
        <f>IF(IGA_BD[[#This Row],[Work Start TimeStamp]]="","",(IGA_BD[[#This Row],[Fault Clearance time]]-IGA_BD[[#This Row],[Work Start TimeStamp]])*24)</f>
        <v/>
      </c>
      <c r="Q190" s="57">
        <f>(IGA_BD[[#This Row],[Fault Clearance time]]-IGA_BD[[#This Row],[Fault Start TimeStamp]])*24</f>
        <v>0</v>
      </c>
      <c r="R190" s="153"/>
      <c r="S190" s="44"/>
      <c r="T190" s="45" t="str">
        <f>IFERROR(IGA_BD[[#This Row],[Breakdown Time]]*IGA_BD[[#This Row],[Plant Equivalent Weightage]],"")</f>
        <v/>
      </c>
    </row>
    <row r="191" spans="1:20">
      <c r="A191" s="28"/>
      <c r="B191" s="154"/>
      <c r="C191" s="30">
        <f>YEAR(WTG_BD[[#This Row],[Date]])+IF(MONTH(WTG_BD[[#This Row],[Date]])&gt;=4,1,0)</f>
        <v>2026</v>
      </c>
      <c r="D191" s="31">
        <f>YEAR(IGA_BD[[#This Row],[Date]])</f>
        <v>1900</v>
      </c>
      <c r="E191" s="48">
        <f t="shared" si="5"/>
        <v>1</v>
      </c>
      <c r="F191" s="32"/>
      <c r="G191" s="33"/>
      <c r="H191" s="43" t="str">
        <f>IFERROR(VLOOKUP(IGA_BD[[#This Row],[Affected Feeder ]],'Basic Data'!$A$42:$E$53,2,0),"")</f>
        <v/>
      </c>
      <c r="I191" s="43" t="str">
        <f>IFERROR(VLOOKUP(IGA_BD[[#This Row],[Affected Feeder ]],'Basic Data'!$A$42:$E$53,3,0),"")</f>
        <v/>
      </c>
      <c r="J191" s="43" t="str">
        <f>IFERROR(VLOOKUP(IGA_BD[[#This Row],[Affected Feeder ]],'Basic Data'!$A$42:$E$53,5,0),"")</f>
        <v/>
      </c>
      <c r="K191" s="164"/>
      <c r="L191" s="50"/>
      <c r="M191" s="116"/>
      <c r="N191" s="116"/>
      <c r="O191" s="57">
        <f>(IGA_BD[[#This Row],[Work Start TimeStamp]]-IGA_BD[[#This Row],[Fault Start TimeStamp]])*24</f>
        <v>0</v>
      </c>
      <c r="P191" s="44" t="str">
        <f>IF(IGA_BD[[#This Row],[Work Start TimeStamp]]="","",(IGA_BD[[#This Row],[Fault Clearance time]]-IGA_BD[[#This Row],[Work Start TimeStamp]])*24)</f>
        <v/>
      </c>
      <c r="Q191" s="57">
        <f>(IGA_BD[[#This Row],[Fault Clearance time]]-IGA_BD[[#This Row],[Fault Start TimeStamp]])*24</f>
        <v>0</v>
      </c>
      <c r="R191" s="153"/>
      <c r="S191" s="44"/>
      <c r="T191" s="45" t="str">
        <f>IFERROR(IGA_BD[[#This Row],[Breakdown Time]]*IGA_BD[[#This Row],[Plant Equivalent Weightage]],"")</f>
        <v/>
      </c>
    </row>
    <row r="192" spans="1:20">
      <c r="A192" s="28"/>
      <c r="B192" s="154"/>
      <c r="C192" s="30">
        <f>YEAR(WTG_BD[[#This Row],[Date]])+IF(MONTH(WTG_BD[[#This Row],[Date]])&gt;=4,1,0)</f>
        <v>2026</v>
      </c>
      <c r="D192" s="31">
        <f>YEAR(IGA_BD[[#This Row],[Date]])</f>
        <v>1900</v>
      </c>
      <c r="E192" s="48">
        <f t="shared" si="5"/>
        <v>1</v>
      </c>
      <c r="F192" s="32"/>
      <c r="G192" s="33"/>
      <c r="H192" s="43" t="str">
        <f>IFERROR(VLOOKUP(IGA_BD[[#This Row],[Affected Feeder ]],'Basic Data'!$A$42:$E$53,2,0),"")</f>
        <v/>
      </c>
      <c r="I192" s="43" t="str">
        <f>IFERROR(VLOOKUP(IGA_BD[[#This Row],[Affected Feeder ]],'Basic Data'!$A$42:$E$53,3,0),"")</f>
        <v/>
      </c>
      <c r="J192" s="43" t="str">
        <f>IFERROR(VLOOKUP(IGA_BD[[#This Row],[Affected Feeder ]],'Basic Data'!$A$42:$E$53,5,0),"")</f>
        <v/>
      </c>
      <c r="K192" s="164"/>
      <c r="L192" s="50"/>
      <c r="M192" s="116"/>
      <c r="N192" s="116"/>
      <c r="O192" s="57">
        <f>(IGA_BD[[#This Row],[Work Start TimeStamp]]-IGA_BD[[#This Row],[Fault Start TimeStamp]])*24</f>
        <v>0</v>
      </c>
      <c r="P192" s="44" t="str">
        <f>IF(IGA_BD[[#This Row],[Work Start TimeStamp]]="","",(IGA_BD[[#This Row],[Fault Clearance time]]-IGA_BD[[#This Row],[Work Start TimeStamp]])*24)</f>
        <v/>
      </c>
      <c r="Q192" s="57">
        <f>(IGA_BD[[#This Row],[Fault Clearance time]]-IGA_BD[[#This Row],[Fault Start TimeStamp]])*24</f>
        <v>0</v>
      </c>
      <c r="R192" s="153"/>
      <c r="S192" s="44"/>
      <c r="T192" s="45" t="str">
        <f>IFERROR(IGA_BD[[#This Row],[Breakdown Time]]*IGA_BD[[#This Row],[Plant Equivalent Weightage]],"")</f>
        <v/>
      </c>
    </row>
    <row r="193" spans="1:20">
      <c r="A193" s="28"/>
      <c r="B193" s="154"/>
      <c r="C193" s="30">
        <f>YEAR(WTG_BD[[#This Row],[Date]])+IF(MONTH(WTG_BD[[#This Row],[Date]])&gt;=4,1,0)</f>
        <v>2026</v>
      </c>
      <c r="D193" s="31">
        <f>YEAR(IGA_BD[[#This Row],[Date]])</f>
        <v>1900</v>
      </c>
      <c r="E193" s="48">
        <f t="shared" si="5"/>
        <v>1</v>
      </c>
      <c r="F193" s="32"/>
      <c r="G193" s="33"/>
      <c r="H193" s="43" t="str">
        <f>IFERROR(VLOOKUP(IGA_BD[[#This Row],[Affected Feeder ]],'Basic Data'!$A$42:$E$53,2,0),"")</f>
        <v/>
      </c>
      <c r="I193" s="43" t="str">
        <f>IFERROR(VLOOKUP(IGA_BD[[#This Row],[Affected Feeder ]],'Basic Data'!$A$42:$E$53,3,0),"")</f>
        <v/>
      </c>
      <c r="J193" s="43" t="str">
        <f>IFERROR(VLOOKUP(IGA_BD[[#This Row],[Affected Feeder ]],'Basic Data'!$A$42:$E$53,5,0),"")</f>
        <v/>
      </c>
      <c r="K193" s="164"/>
      <c r="L193" s="50"/>
      <c r="M193" s="116"/>
      <c r="N193" s="116"/>
      <c r="O193" s="57">
        <f>(IGA_BD[[#This Row],[Work Start TimeStamp]]-IGA_BD[[#This Row],[Fault Start TimeStamp]])*24</f>
        <v>0</v>
      </c>
      <c r="P193" s="44" t="str">
        <f>IF(IGA_BD[[#This Row],[Work Start TimeStamp]]="","",(IGA_BD[[#This Row],[Fault Clearance time]]-IGA_BD[[#This Row],[Work Start TimeStamp]])*24)</f>
        <v/>
      </c>
      <c r="Q193" s="57">
        <f>(IGA_BD[[#This Row],[Fault Clearance time]]-IGA_BD[[#This Row],[Fault Start TimeStamp]])*24</f>
        <v>0</v>
      </c>
      <c r="R193" s="153"/>
      <c r="S193" s="44"/>
      <c r="T193" s="45" t="str">
        <f>IFERROR(IGA_BD[[#This Row],[Breakdown Time]]*IGA_BD[[#This Row],[Plant Equivalent Weightage]],"")</f>
        <v/>
      </c>
    </row>
    <row r="194" spans="1:20">
      <c r="A194" s="28"/>
      <c r="B194" s="154"/>
      <c r="C194" s="30">
        <f>YEAR(WTG_BD[[#This Row],[Date]])+IF(MONTH(WTG_BD[[#This Row],[Date]])&gt;=4,1,0)</f>
        <v>2026</v>
      </c>
      <c r="D194" s="31">
        <f>YEAR(IGA_BD[[#This Row],[Date]])</f>
        <v>1900</v>
      </c>
      <c r="E194" s="48">
        <f t="shared" si="5"/>
        <v>1</v>
      </c>
      <c r="F194" s="32"/>
      <c r="G194" s="33"/>
      <c r="H194" s="43" t="str">
        <f>IFERROR(VLOOKUP(IGA_BD[[#This Row],[Affected Feeder ]],'Basic Data'!$A$42:$E$53,2,0),"")</f>
        <v/>
      </c>
      <c r="I194" s="43" t="str">
        <f>IFERROR(VLOOKUP(IGA_BD[[#This Row],[Affected Feeder ]],'Basic Data'!$A$42:$E$53,3,0),"")</f>
        <v/>
      </c>
      <c r="J194" s="43" t="str">
        <f>IFERROR(VLOOKUP(IGA_BD[[#This Row],[Affected Feeder ]],'Basic Data'!$A$42:$E$53,5,0),"")</f>
        <v/>
      </c>
      <c r="K194" s="164"/>
      <c r="L194" s="50"/>
      <c r="M194" s="116"/>
      <c r="N194" s="116"/>
      <c r="O194" s="57">
        <f>(IGA_BD[[#This Row],[Work Start TimeStamp]]-IGA_BD[[#This Row],[Fault Start TimeStamp]])*24</f>
        <v>0</v>
      </c>
      <c r="P194" s="44" t="str">
        <f>IF(IGA_BD[[#This Row],[Work Start TimeStamp]]="","",(IGA_BD[[#This Row],[Fault Clearance time]]-IGA_BD[[#This Row],[Work Start TimeStamp]])*24)</f>
        <v/>
      </c>
      <c r="Q194" s="57">
        <f>(IGA_BD[[#This Row],[Fault Clearance time]]-IGA_BD[[#This Row],[Fault Start TimeStamp]])*24</f>
        <v>0</v>
      </c>
      <c r="R194" s="153"/>
      <c r="S194" s="44"/>
      <c r="T194" s="45" t="str">
        <f>IFERROR(IGA_BD[[#This Row],[Breakdown Time]]*IGA_BD[[#This Row],[Plant Equivalent Weightage]],"")</f>
        <v/>
      </c>
    </row>
    <row r="195" spans="1:20">
      <c r="A195" s="28"/>
      <c r="B195" s="154"/>
      <c r="C195" s="30">
        <f>YEAR(WTG_BD[[#This Row],[Date]])+IF(MONTH(WTG_BD[[#This Row],[Date]])&gt;=4,1,0)</f>
        <v>2026</v>
      </c>
      <c r="D195" s="31">
        <f>YEAR(IGA_BD[[#This Row],[Date]])</f>
        <v>1900</v>
      </c>
      <c r="E195" s="48">
        <f t="shared" si="5"/>
        <v>1</v>
      </c>
      <c r="F195" s="32"/>
      <c r="G195" s="33"/>
      <c r="H195" s="43" t="str">
        <f>IFERROR(VLOOKUP(IGA_BD[[#This Row],[Affected Feeder ]],'Basic Data'!$A$42:$E$53,2,0),"")</f>
        <v/>
      </c>
      <c r="I195" s="43" t="str">
        <f>IFERROR(VLOOKUP(IGA_BD[[#This Row],[Affected Feeder ]],'Basic Data'!$A$42:$E$53,3,0),"")</f>
        <v/>
      </c>
      <c r="J195" s="43" t="str">
        <f>IFERROR(VLOOKUP(IGA_BD[[#This Row],[Affected Feeder ]],'Basic Data'!$A$42:$E$53,5,0),"")</f>
        <v/>
      </c>
      <c r="K195" s="164"/>
      <c r="L195" s="50"/>
      <c r="M195" s="116"/>
      <c r="N195" s="116"/>
      <c r="O195" s="57">
        <f>(IGA_BD[[#This Row],[Work Start TimeStamp]]-IGA_BD[[#This Row],[Fault Start TimeStamp]])*24</f>
        <v>0</v>
      </c>
      <c r="P195" s="44" t="str">
        <f>IF(IGA_BD[[#This Row],[Work Start TimeStamp]]="","",(IGA_BD[[#This Row],[Fault Clearance time]]-IGA_BD[[#This Row],[Work Start TimeStamp]])*24)</f>
        <v/>
      </c>
      <c r="Q195" s="57">
        <f>(IGA_BD[[#This Row],[Fault Clearance time]]-IGA_BD[[#This Row],[Fault Start TimeStamp]])*24</f>
        <v>0</v>
      </c>
      <c r="R195" s="153"/>
      <c r="S195" s="44"/>
      <c r="T195" s="45" t="str">
        <f>IFERROR(IGA_BD[[#This Row],[Breakdown Time]]*IGA_BD[[#This Row],[Plant Equivalent Weightage]],"")</f>
        <v/>
      </c>
    </row>
    <row r="196" spans="1:20">
      <c r="A196" s="28"/>
      <c r="B196" s="154"/>
      <c r="C196" s="30">
        <f>YEAR(WTG_BD[[#This Row],[Date]])+IF(MONTH(WTG_BD[[#This Row],[Date]])&gt;=4,1,0)</f>
        <v>2026</v>
      </c>
      <c r="D196" s="31">
        <f>YEAR(IGA_BD[[#This Row],[Date]])</f>
        <v>1900</v>
      </c>
      <c r="E196" s="48">
        <f t="shared" si="5"/>
        <v>1</v>
      </c>
      <c r="F196" s="32"/>
      <c r="G196" s="33"/>
      <c r="H196" s="43" t="str">
        <f>IFERROR(VLOOKUP(IGA_BD[[#This Row],[Affected Feeder ]],'Basic Data'!$A$42:$E$53,2,0),"")</f>
        <v/>
      </c>
      <c r="I196" s="43" t="str">
        <f>IFERROR(VLOOKUP(IGA_BD[[#This Row],[Affected Feeder ]],'Basic Data'!$A$42:$E$53,3,0),"")</f>
        <v/>
      </c>
      <c r="J196" s="43" t="str">
        <f>IFERROR(VLOOKUP(IGA_BD[[#This Row],[Affected Feeder ]],'Basic Data'!$A$42:$E$53,5,0),"")</f>
        <v/>
      </c>
      <c r="K196" s="164"/>
      <c r="L196" s="50"/>
      <c r="M196" s="116"/>
      <c r="N196" s="116"/>
      <c r="O196" s="57">
        <f>(IGA_BD[[#This Row],[Work Start TimeStamp]]-IGA_BD[[#This Row],[Fault Start TimeStamp]])*24</f>
        <v>0</v>
      </c>
      <c r="P196" s="44" t="str">
        <f>IF(IGA_BD[[#This Row],[Work Start TimeStamp]]="","",(IGA_BD[[#This Row],[Fault Clearance time]]-IGA_BD[[#This Row],[Work Start TimeStamp]])*24)</f>
        <v/>
      </c>
      <c r="Q196" s="57">
        <f>(IGA_BD[[#This Row],[Fault Clearance time]]-IGA_BD[[#This Row],[Fault Start TimeStamp]])*24</f>
        <v>0</v>
      </c>
      <c r="R196" s="153"/>
      <c r="S196" s="44"/>
      <c r="T196" s="45" t="str">
        <f>IFERROR(IGA_BD[[#This Row],[Breakdown Time]]*IGA_BD[[#This Row],[Plant Equivalent Weightage]],"")</f>
        <v/>
      </c>
    </row>
    <row r="197" spans="1:20">
      <c r="A197" s="28"/>
      <c r="B197" s="154"/>
      <c r="C197" s="30">
        <f>YEAR(WTG_BD[[#This Row],[Date]])+IF(MONTH(WTG_BD[[#This Row],[Date]])&gt;=4,1,0)</f>
        <v>2026</v>
      </c>
      <c r="D197" s="31">
        <f>YEAR(IGA_BD[[#This Row],[Date]])</f>
        <v>1900</v>
      </c>
      <c r="E197" s="48">
        <f t="shared" si="5"/>
        <v>1</v>
      </c>
      <c r="F197" s="32"/>
      <c r="G197" s="33"/>
      <c r="H197" s="43" t="str">
        <f>IFERROR(VLOOKUP(IGA_BD[[#This Row],[Affected Feeder ]],'Basic Data'!$A$42:$E$53,2,0),"")</f>
        <v/>
      </c>
      <c r="I197" s="43" t="str">
        <f>IFERROR(VLOOKUP(IGA_BD[[#This Row],[Affected Feeder ]],'Basic Data'!$A$42:$E$53,3,0),"")</f>
        <v/>
      </c>
      <c r="J197" s="43" t="str">
        <f>IFERROR(VLOOKUP(IGA_BD[[#This Row],[Affected Feeder ]],'Basic Data'!$A$42:$E$53,5,0),"")</f>
        <v/>
      </c>
      <c r="K197" s="164"/>
      <c r="L197" s="50"/>
      <c r="M197" s="116"/>
      <c r="N197" s="116"/>
      <c r="O197" s="57">
        <f>(IGA_BD[[#This Row],[Work Start TimeStamp]]-IGA_BD[[#This Row],[Fault Start TimeStamp]])*24</f>
        <v>0</v>
      </c>
      <c r="P197" s="44" t="str">
        <f>IF(IGA_BD[[#This Row],[Work Start TimeStamp]]="","",(IGA_BD[[#This Row],[Fault Clearance time]]-IGA_BD[[#This Row],[Work Start TimeStamp]])*24)</f>
        <v/>
      </c>
      <c r="Q197" s="57">
        <f>(IGA_BD[[#This Row],[Fault Clearance time]]-IGA_BD[[#This Row],[Fault Start TimeStamp]])*24</f>
        <v>0</v>
      </c>
      <c r="R197" s="153"/>
      <c r="S197" s="44"/>
      <c r="T197" s="45" t="str">
        <f>IFERROR(IGA_BD[[#This Row],[Breakdown Time]]*IGA_BD[[#This Row],[Plant Equivalent Weightage]],"")</f>
        <v/>
      </c>
    </row>
    <row r="198" spans="1:20">
      <c r="A198" s="28"/>
      <c r="B198" s="154"/>
      <c r="C198" s="30">
        <f>YEAR(WTG_BD[[#This Row],[Date]])+IF(MONTH(WTG_BD[[#This Row],[Date]])&gt;=4,1,0)</f>
        <v>2026</v>
      </c>
      <c r="D198" s="31">
        <f>YEAR(IGA_BD[[#This Row],[Date]])</f>
        <v>1900</v>
      </c>
      <c r="E198" s="48">
        <f t="shared" si="5"/>
        <v>1</v>
      </c>
      <c r="F198" s="32"/>
      <c r="G198" s="33"/>
      <c r="H198" s="43" t="str">
        <f>IFERROR(VLOOKUP(IGA_BD[[#This Row],[Affected Feeder ]],'Basic Data'!$A$42:$E$53,2,0),"")</f>
        <v/>
      </c>
      <c r="I198" s="43" t="str">
        <f>IFERROR(VLOOKUP(IGA_BD[[#This Row],[Affected Feeder ]],'Basic Data'!$A$42:$E$53,3,0),"")</f>
        <v/>
      </c>
      <c r="J198" s="43" t="str">
        <f>IFERROR(VLOOKUP(IGA_BD[[#This Row],[Affected Feeder ]],'Basic Data'!$A$42:$E$53,5,0),"")</f>
        <v/>
      </c>
      <c r="K198" s="164"/>
      <c r="L198" s="50"/>
      <c r="M198" s="116"/>
      <c r="N198" s="116"/>
      <c r="O198" s="57">
        <f>(IGA_BD[[#This Row],[Work Start TimeStamp]]-IGA_BD[[#This Row],[Fault Start TimeStamp]])*24</f>
        <v>0</v>
      </c>
      <c r="P198" s="44" t="str">
        <f>IF(IGA_BD[[#This Row],[Work Start TimeStamp]]="","",(IGA_BD[[#This Row],[Fault Clearance time]]-IGA_BD[[#This Row],[Work Start TimeStamp]])*24)</f>
        <v/>
      </c>
      <c r="Q198" s="57">
        <f>(IGA_BD[[#This Row],[Fault Clearance time]]-IGA_BD[[#This Row],[Fault Start TimeStamp]])*24</f>
        <v>0</v>
      </c>
      <c r="R198" s="153"/>
      <c r="S198" s="44"/>
      <c r="T198" s="45" t="str">
        <f>IFERROR(IGA_BD[[#This Row],[Breakdown Time]]*IGA_BD[[#This Row],[Plant Equivalent Weightage]],"")</f>
        <v/>
      </c>
    </row>
    <row r="199" spans="1:20">
      <c r="A199" s="28"/>
      <c r="B199" s="154"/>
      <c r="C199" s="30">
        <f>YEAR(WTG_BD[[#This Row],[Date]])+IF(MONTH(WTG_BD[[#This Row],[Date]])&gt;=4,1,0)</f>
        <v>2026</v>
      </c>
      <c r="D199" s="31">
        <f>YEAR(IGA_BD[[#This Row],[Date]])</f>
        <v>1900</v>
      </c>
      <c r="E199" s="48">
        <f t="shared" si="5"/>
        <v>1</v>
      </c>
      <c r="F199" s="32"/>
      <c r="G199" s="33"/>
      <c r="H199" s="43" t="str">
        <f>IFERROR(VLOOKUP(IGA_BD[[#This Row],[Affected Feeder ]],'Basic Data'!$A$42:$E$53,2,0),"")</f>
        <v/>
      </c>
      <c r="I199" s="43" t="str">
        <f>IFERROR(VLOOKUP(IGA_BD[[#This Row],[Affected Feeder ]],'Basic Data'!$A$42:$E$53,3,0),"")</f>
        <v/>
      </c>
      <c r="J199" s="43" t="str">
        <f>IFERROR(VLOOKUP(IGA_BD[[#This Row],[Affected Feeder ]],'Basic Data'!$A$42:$E$53,5,0),"")</f>
        <v/>
      </c>
      <c r="K199" s="164"/>
      <c r="L199" s="50"/>
      <c r="M199" s="116"/>
      <c r="N199" s="116"/>
      <c r="O199" s="57">
        <f>(IGA_BD[[#This Row],[Work Start TimeStamp]]-IGA_BD[[#This Row],[Fault Start TimeStamp]])*24</f>
        <v>0</v>
      </c>
      <c r="P199" s="44" t="str">
        <f>IF(IGA_BD[[#This Row],[Work Start TimeStamp]]="","",(IGA_BD[[#This Row],[Fault Clearance time]]-IGA_BD[[#This Row],[Work Start TimeStamp]])*24)</f>
        <v/>
      </c>
      <c r="Q199" s="57">
        <f>(IGA_BD[[#This Row],[Fault Clearance time]]-IGA_BD[[#This Row],[Fault Start TimeStamp]])*24</f>
        <v>0</v>
      </c>
      <c r="R199" s="153"/>
      <c r="S199" s="44"/>
      <c r="T199" s="45" t="str">
        <f>IFERROR(IGA_BD[[#This Row],[Breakdown Time]]*IGA_BD[[#This Row],[Plant Equivalent Weightage]],"")</f>
        <v/>
      </c>
    </row>
    <row r="200" spans="1:20">
      <c r="A200" s="28"/>
      <c r="B200" s="154"/>
      <c r="C200" s="30">
        <f>YEAR(WTG_BD[[#This Row],[Date]])+IF(MONTH(WTG_BD[[#This Row],[Date]])&gt;=4,1,0)</f>
        <v>2026</v>
      </c>
      <c r="D200" s="31">
        <f>YEAR(IGA_BD[[#This Row],[Date]])</f>
        <v>1900</v>
      </c>
      <c r="E200" s="48">
        <f t="shared" si="5"/>
        <v>1</v>
      </c>
      <c r="F200" s="32"/>
      <c r="G200" s="33"/>
      <c r="H200" s="43" t="str">
        <f>IFERROR(VLOOKUP(IGA_BD[[#This Row],[Affected Feeder ]],'Basic Data'!$A$42:$E$53,2,0),"")</f>
        <v/>
      </c>
      <c r="I200" s="43" t="str">
        <f>IFERROR(VLOOKUP(IGA_BD[[#This Row],[Affected Feeder ]],'Basic Data'!$A$42:$E$53,3,0),"")</f>
        <v/>
      </c>
      <c r="J200" s="43" t="str">
        <f>IFERROR(VLOOKUP(IGA_BD[[#This Row],[Affected Feeder ]],'Basic Data'!$A$42:$E$53,5,0),"")</f>
        <v/>
      </c>
      <c r="K200" s="164"/>
      <c r="L200" s="50"/>
      <c r="M200" s="116"/>
      <c r="N200" s="116"/>
      <c r="O200" s="57">
        <f>(IGA_BD[[#This Row],[Work Start TimeStamp]]-IGA_BD[[#This Row],[Fault Start TimeStamp]])*24</f>
        <v>0</v>
      </c>
      <c r="P200" s="44" t="str">
        <f>IF(IGA_BD[[#This Row],[Work Start TimeStamp]]="","",(IGA_BD[[#This Row],[Fault Clearance time]]-IGA_BD[[#This Row],[Work Start TimeStamp]])*24)</f>
        <v/>
      </c>
      <c r="Q200" s="57">
        <f>(IGA_BD[[#This Row],[Fault Clearance time]]-IGA_BD[[#This Row],[Fault Start TimeStamp]])*24</f>
        <v>0</v>
      </c>
      <c r="R200" s="153"/>
      <c r="S200" s="44"/>
      <c r="T200" s="45" t="str">
        <f>IFERROR(IGA_BD[[#This Row],[Breakdown Time]]*IGA_BD[[#This Row],[Plant Equivalent Weightage]],"")</f>
        <v/>
      </c>
    </row>
    <row r="201" spans="1:20">
      <c r="A201" s="28"/>
      <c r="B201" s="154"/>
      <c r="C201" s="30">
        <f>YEAR(WTG_BD[[#This Row],[Date]])+IF(MONTH(WTG_BD[[#This Row],[Date]])&gt;=4,1,0)</f>
        <v>2026</v>
      </c>
      <c r="D201" s="31">
        <f>YEAR(IGA_BD[[#This Row],[Date]])</f>
        <v>1900</v>
      </c>
      <c r="E201" s="48">
        <f t="shared" si="5"/>
        <v>1</v>
      </c>
      <c r="F201" s="32"/>
      <c r="G201" s="33"/>
      <c r="H201" s="43" t="str">
        <f>IFERROR(VLOOKUP(IGA_BD[[#This Row],[Affected Feeder ]],'Basic Data'!$A$42:$E$53,2,0),"")</f>
        <v/>
      </c>
      <c r="I201" s="43" t="str">
        <f>IFERROR(VLOOKUP(IGA_BD[[#This Row],[Affected Feeder ]],'Basic Data'!$A$42:$E$53,3,0),"")</f>
        <v/>
      </c>
      <c r="J201" s="43" t="str">
        <f>IFERROR(VLOOKUP(IGA_BD[[#This Row],[Affected Feeder ]],'Basic Data'!$A$42:$E$53,5,0),"")</f>
        <v/>
      </c>
      <c r="K201" s="164"/>
      <c r="L201" s="50"/>
      <c r="M201" s="116"/>
      <c r="N201" s="116"/>
      <c r="O201" s="57">
        <f>(IGA_BD[[#This Row],[Work Start TimeStamp]]-IGA_BD[[#This Row],[Fault Start TimeStamp]])*24</f>
        <v>0</v>
      </c>
      <c r="P201" s="44" t="str">
        <f>IF(IGA_BD[[#This Row],[Work Start TimeStamp]]="","",(IGA_BD[[#This Row],[Fault Clearance time]]-IGA_BD[[#This Row],[Work Start TimeStamp]])*24)</f>
        <v/>
      </c>
      <c r="Q201" s="57">
        <f>(IGA_BD[[#This Row],[Fault Clearance time]]-IGA_BD[[#This Row],[Fault Start TimeStamp]])*24</f>
        <v>0</v>
      </c>
      <c r="R201" s="153"/>
      <c r="S201" s="44"/>
      <c r="T201" s="45" t="str">
        <f>IFERROR(IGA_BD[[#This Row],[Breakdown Time]]*IGA_BD[[#This Row],[Plant Equivalent Weightage]],"")</f>
        <v/>
      </c>
    </row>
    <row r="202" spans="1:20">
      <c r="A202" s="28"/>
      <c r="B202" s="154"/>
      <c r="C202" s="30">
        <f>YEAR(WTG_BD[[#This Row],[Date]])+IF(MONTH(WTG_BD[[#This Row],[Date]])&gt;=4,1,0)</f>
        <v>2026</v>
      </c>
      <c r="D202" s="31">
        <f>YEAR(IGA_BD[[#This Row],[Date]])</f>
        <v>1900</v>
      </c>
      <c r="E202" s="48">
        <f t="shared" si="5"/>
        <v>1</v>
      </c>
      <c r="F202" s="32"/>
      <c r="G202" s="33"/>
      <c r="H202" s="43" t="str">
        <f>IFERROR(VLOOKUP(IGA_BD[[#This Row],[Affected Feeder ]],'Basic Data'!$A$42:$E$53,2,0),"")</f>
        <v/>
      </c>
      <c r="I202" s="43" t="str">
        <f>IFERROR(VLOOKUP(IGA_BD[[#This Row],[Affected Feeder ]],'Basic Data'!$A$42:$E$53,3,0),"")</f>
        <v/>
      </c>
      <c r="J202" s="43" t="str">
        <f>IFERROR(VLOOKUP(IGA_BD[[#This Row],[Affected Feeder ]],'Basic Data'!$A$42:$E$53,5,0),"")</f>
        <v/>
      </c>
      <c r="K202" s="164"/>
      <c r="L202" s="50"/>
      <c r="M202" s="116"/>
      <c r="N202" s="116"/>
      <c r="O202" s="57">
        <f>(IGA_BD[[#This Row],[Work Start TimeStamp]]-IGA_BD[[#This Row],[Fault Start TimeStamp]])*24</f>
        <v>0</v>
      </c>
      <c r="P202" s="44" t="str">
        <f>IF(IGA_BD[[#This Row],[Work Start TimeStamp]]="","",(IGA_BD[[#This Row],[Fault Clearance time]]-IGA_BD[[#This Row],[Work Start TimeStamp]])*24)</f>
        <v/>
      </c>
      <c r="Q202" s="57">
        <f>(IGA_BD[[#This Row],[Fault Clearance time]]-IGA_BD[[#This Row],[Fault Start TimeStamp]])*24</f>
        <v>0</v>
      </c>
      <c r="R202" s="153"/>
      <c r="S202" s="44"/>
      <c r="T202" s="45" t="str">
        <f>IFERROR(IGA_BD[[#This Row],[Breakdown Time]]*IGA_BD[[#This Row],[Plant Equivalent Weightage]],"")</f>
        <v/>
      </c>
    </row>
    <row r="203" spans="1:20">
      <c r="A203" s="28"/>
      <c r="B203" s="154"/>
      <c r="C203" s="30">
        <f>YEAR(WTG_BD[[#This Row],[Date]])+IF(MONTH(WTG_BD[[#This Row],[Date]])&gt;=4,1,0)</f>
        <v>2026</v>
      </c>
      <c r="D203" s="31">
        <f>YEAR(IGA_BD[[#This Row],[Date]])</f>
        <v>1900</v>
      </c>
      <c r="E203" s="48">
        <f t="shared" si="5"/>
        <v>1</v>
      </c>
      <c r="F203" s="32"/>
      <c r="G203" s="33"/>
      <c r="H203" s="43" t="str">
        <f>IFERROR(VLOOKUP(IGA_BD[[#This Row],[Affected Feeder ]],'Basic Data'!$A$42:$E$53,2,0),"")</f>
        <v/>
      </c>
      <c r="I203" s="43" t="str">
        <f>IFERROR(VLOOKUP(IGA_BD[[#This Row],[Affected Feeder ]],'Basic Data'!$A$42:$E$53,3,0),"")</f>
        <v/>
      </c>
      <c r="J203" s="43" t="str">
        <f>IFERROR(VLOOKUP(IGA_BD[[#This Row],[Affected Feeder ]],'Basic Data'!$A$42:$E$53,5,0),"")</f>
        <v/>
      </c>
      <c r="K203" s="164"/>
      <c r="L203" s="50"/>
      <c r="M203" s="116"/>
      <c r="N203" s="116"/>
      <c r="O203" s="57">
        <f>(IGA_BD[[#This Row],[Work Start TimeStamp]]-IGA_BD[[#This Row],[Fault Start TimeStamp]])*24</f>
        <v>0</v>
      </c>
      <c r="P203" s="44" t="str">
        <f>IF(IGA_BD[[#This Row],[Work Start TimeStamp]]="","",(IGA_BD[[#This Row],[Fault Clearance time]]-IGA_BD[[#This Row],[Work Start TimeStamp]])*24)</f>
        <v/>
      </c>
      <c r="Q203" s="57">
        <f>(IGA_BD[[#This Row],[Fault Clearance time]]-IGA_BD[[#This Row],[Fault Start TimeStamp]])*24</f>
        <v>0</v>
      </c>
      <c r="R203" s="153"/>
      <c r="S203" s="44"/>
      <c r="T203" s="45" t="str">
        <f>IFERROR(IGA_BD[[#This Row],[Breakdown Time]]*IGA_BD[[#This Row],[Plant Equivalent Weightage]],"")</f>
        <v/>
      </c>
    </row>
    <row r="204" spans="1:20">
      <c r="A204" s="28"/>
      <c r="B204" s="154"/>
      <c r="C204" s="30">
        <f>YEAR(WTG_BD[[#This Row],[Date]])+IF(MONTH(WTG_BD[[#This Row],[Date]])&gt;=4,1,0)</f>
        <v>2026</v>
      </c>
      <c r="D204" s="31">
        <f>YEAR(IGA_BD[[#This Row],[Date]])</f>
        <v>1900</v>
      </c>
      <c r="E204" s="48">
        <f t="shared" si="5"/>
        <v>1</v>
      </c>
      <c r="F204" s="32"/>
      <c r="G204" s="33"/>
      <c r="H204" s="43" t="str">
        <f>IFERROR(VLOOKUP(IGA_BD[[#This Row],[Affected Feeder ]],'Basic Data'!$A$42:$E$53,2,0),"")</f>
        <v/>
      </c>
      <c r="I204" s="43" t="str">
        <f>IFERROR(VLOOKUP(IGA_BD[[#This Row],[Affected Feeder ]],'Basic Data'!$A$42:$E$53,3,0),"")</f>
        <v/>
      </c>
      <c r="J204" s="43" t="str">
        <f>IFERROR(VLOOKUP(IGA_BD[[#This Row],[Affected Feeder ]],'Basic Data'!$A$42:$E$53,5,0),"")</f>
        <v/>
      </c>
      <c r="K204" s="164"/>
      <c r="L204" s="50"/>
      <c r="M204" s="116"/>
      <c r="N204" s="116"/>
      <c r="O204" s="57">
        <f>(IGA_BD[[#This Row],[Work Start TimeStamp]]-IGA_BD[[#This Row],[Fault Start TimeStamp]])*24</f>
        <v>0</v>
      </c>
      <c r="P204" s="44" t="str">
        <f>IF(IGA_BD[[#This Row],[Work Start TimeStamp]]="","",(IGA_BD[[#This Row],[Fault Clearance time]]-IGA_BD[[#This Row],[Work Start TimeStamp]])*24)</f>
        <v/>
      </c>
      <c r="Q204" s="57">
        <f>(IGA_BD[[#This Row],[Fault Clearance time]]-IGA_BD[[#This Row],[Fault Start TimeStamp]])*24</f>
        <v>0</v>
      </c>
      <c r="R204" s="153"/>
      <c r="S204" s="44"/>
      <c r="T204" s="45" t="str">
        <f>IFERROR(IGA_BD[[#This Row],[Breakdown Time]]*IGA_BD[[#This Row],[Plant Equivalent Weightage]],"")</f>
        <v/>
      </c>
    </row>
    <row r="205" spans="1:20">
      <c r="A205" s="28"/>
      <c r="B205" s="154"/>
      <c r="C205" s="30">
        <f>YEAR(WTG_BD[[#This Row],[Date]])+IF(MONTH(WTG_BD[[#This Row],[Date]])&gt;=4,1,0)</f>
        <v>2026</v>
      </c>
      <c r="D205" s="31">
        <f>YEAR(IGA_BD[[#This Row],[Date]])</f>
        <v>1900</v>
      </c>
      <c r="E205" s="48">
        <f t="shared" si="5"/>
        <v>1</v>
      </c>
      <c r="F205" s="32"/>
      <c r="G205" s="33"/>
      <c r="H205" s="43" t="str">
        <f>IFERROR(VLOOKUP(IGA_BD[[#This Row],[Affected Feeder ]],'Basic Data'!$A$42:$E$53,2,0),"")</f>
        <v/>
      </c>
      <c r="I205" s="43" t="str">
        <f>IFERROR(VLOOKUP(IGA_BD[[#This Row],[Affected Feeder ]],'Basic Data'!$A$42:$E$53,3,0),"")</f>
        <v/>
      </c>
      <c r="J205" s="43" t="str">
        <f>IFERROR(VLOOKUP(IGA_BD[[#This Row],[Affected Feeder ]],'Basic Data'!$A$42:$E$53,5,0),"")</f>
        <v/>
      </c>
      <c r="K205" s="164"/>
      <c r="L205" s="50"/>
      <c r="M205" s="116"/>
      <c r="N205" s="116"/>
      <c r="O205" s="57">
        <f>(IGA_BD[[#This Row],[Work Start TimeStamp]]-IGA_BD[[#This Row],[Fault Start TimeStamp]])*24</f>
        <v>0</v>
      </c>
      <c r="P205" s="44" t="str">
        <f>IF(IGA_BD[[#This Row],[Work Start TimeStamp]]="","",(IGA_BD[[#This Row],[Fault Clearance time]]-IGA_BD[[#This Row],[Work Start TimeStamp]])*24)</f>
        <v/>
      </c>
      <c r="Q205" s="57">
        <f>(IGA_BD[[#This Row],[Fault Clearance time]]-IGA_BD[[#This Row],[Fault Start TimeStamp]])*24</f>
        <v>0</v>
      </c>
      <c r="R205" s="153"/>
      <c r="S205" s="44"/>
      <c r="T205" s="45" t="str">
        <f>IFERROR(IGA_BD[[#This Row],[Breakdown Time]]*IGA_BD[[#This Row],[Plant Equivalent Weightage]],"")</f>
        <v/>
      </c>
    </row>
    <row r="206" spans="1:20">
      <c r="A206" s="28"/>
      <c r="B206" s="154"/>
      <c r="C206" s="30">
        <f>YEAR(WTG_BD[[#This Row],[Date]])+IF(MONTH(WTG_BD[[#This Row],[Date]])&gt;=4,1,0)</f>
        <v>2026</v>
      </c>
      <c r="D206" s="31">
        <f>YEAR(IGA_BD[[#This Row],[Date]])</f>
        <v>1900</v>
      </c>
      <c r="E206" s="48">
        <f t="shared" si="5"/>
        <v>1</v>
      </c>
      <c r="F206" s="32"/>
      <c r="G206" s="33"/>
      <c r="H206" s="43" t="str">
        <f>IFERROR(VLOOKUP(IGA_BD[[#This Row],[Affected Feeder ]],'Basic Data'!$A$42:$E$53,2,0),"")</f>
        <v/>
      </c>
      <c r="I206" s="43" t="str">
        <f>IFERROR(VLOOKUP(IGA_BD[[#This Row],[Affected Feeder ]],'Basic Data'!$A$42:$E$53,3,0),"")</f>
        <v/>
      </c>
      <c r="J206" s="43" t="str">
        <f>IFERROR(VLOOKUP(IGA_BD[[#This Row],[Affected Feeder ]],'Basic Data'!$A$42:$E$53,5,0),"")</f>
        <v/>
      </c>
      <c r="K206" s="164"/>
      <c r="L206" s="50"/>
      <c r="M206" s="116"/>
      <c r="N206" s="116"/>
      <c r="O206" s="57">
        <f>(IGA_BD[[#This Row],[Work Start TimeStamp]]-IGA_BD[[#This Row],[Fault Start TimeStamp]])*24</f>
        <v>0</v>
      </c>
      <c r="P206" s="44" t="str">
        <f>IF(IGA_BD[[#This Row],[Work Start TimeStamp]]="","",(IGA_BD[[#This Row],[Fault Clearance time]]-IGA_BD[[#This Row],[Work Start TimeStamp]])*24)</f>
        <v/>
      </c>
      <c r="Q206" s="57">
        <f>(IGA_BD[[#This Row],[Fault Clearance time]]-IGA_BD[[#This Row],[Fault Start TimeStamp]])*24</f>
        <v>0</v>
      </c>
      <c r="R206" s="153"/>
      <c r="S206" s="44"/>
      <c r="T206" s="45" t="str">
        <f>IFERROR(IGA_BD[[#This Row],[Breakdown Time]]*IGA_BD[[#This Row],[Plant Equivalent Weightage]],"")</f>
        <v/>
      </c>
    </row>
    <row r="207" spans="1:20">
      <c r="A207" s="28"/>
      <c r="B207" s="154"/>
      <c r="C207" s="30">
        <f>YEAR(WTG_BD[[#This Row],[Date]])+IF(MONTH(WTG_BD[[#This Row],[Date]])&gt;=4,1,0)</f>
        <v>2026</v>
      </c>
      <c r="D207" s="31">
        <f>YEAR(IGA_BD[[#This Row],[Date]])</f>
        <v>1900</v>
      </c>
      <c r="E207" s="48">
        <f t="shared" si="5"/>
        <v>1</v>
      </c>
      <c r="F207" s="32"/>
      <c r="G207" s="33"/>
      <c r="H207" s="43" t="str">
        <f>IFERROR(VLOOKUP(IGA_BD[[#This Row],[Affected Feeder ]],'Basic Data'!$A$42:$E$53,2,0),"")</f>
        <v/>
      </c>
      <c r="I207" s="43" t="str">
        <f>IFERROR(VLOOKUP(IGA_BD[[#This Row],[Affected Feeder ]],'Basic Data'!$A$42:$E$53,3,0),"")</f>
        <v/>
      </c>
      <c r="J207" s="43" t="str">
        <f>IFERROR(VLOOKUP(IGA_BD[[#This Row],[Affected Feeder ]],'Basic Data'!$A$42:$E$53,5,0),"")</f>
        <v/>
      </c>
      <c r="K207" s="164"/>
      <c r="L207" s="50"/>
      <c r="M207" s="116"/>
      <c r="N207" s="116"/>
      <c r="O207" s="57">
        <f>(IGA_BD[[#This Row],[Work Start TimeStamp]]-IGA_BD[[#This Row],[Fault Start TimeStamp]])*24</f>
        <v>0</v>
      </c>
      <c r="P207" s="44" t="str">
        <f>IF(IGA_BD[[#This Row],[Work Start TimeStamp]]="","",(IGA_BD[[#This Row],[Fault Clearance time]]-IGA_BD[[#This Row],[Work Start TimeStamp]])*24)</f>
        <v/>
      </c>
      <c r="Q207" s="57">
        <f>(IGA_BD[[#This Row],[Fault Clearance time]]-IGA_BD[[#This Row],[Fault Start TimeStamp]])*24</f>
        <v>0</v>
      </c>
      <c r="R207" s="153"/>
      <c r="S207" s="44"/>
      <c r="T207" s="45" t="str">
        <f>IFERROR(IGA_BD[[#This Row],[Breakdown Time]]*IGA_BD[[#This Row],[Plant Equivalent Weightage]],"")</f>
        <v/>
      </c>
    </row>
    <row r="208" spans="1:20">
      <c r="A208" s="28"/>
      <c r="B208" s="154"/>
      <c r="C208" s="30">
        <f>YEAR(WTG_BD[[#This Row],[Date]])+IF(MONTH(WTG_BD[[#This Row],[Date]])&gt;=4,1,0)</f>
        <v>2026</v>
      </c>
      <c r="D208" s="31">
        <f>YEAR(IGA_BD[[#This Row],[Date]])</f>
        <v>1900</v>
      </c>
      <c r="E208" s="48">
        <f t="shared" si="5"/>
        <v>1</v>
      </c>
      <c r="F208" s="32"/>
      <c r="G208" s="33"/>
      <c r="H208" s="43" t="str">
        <f>IFERROR(VLOOKUP(IGA_BD[[#This Row],[Affected Feeder ]],'Basic Data'!$A$42:$E$53,2,0),"")</f>
        <v/>
      </c>
      <c r="I208" s="43" t="str">
        <f>IFERROR(VLOOKUP(IGA_BD[[#This Row],[Affected Feeder ]],'Basic Data'!$A$42:$E$53,3,0),"")</f>
        <v/>
      </c>
      <c r="J208" s="43" t="str">
        <f>IFERROR(VLOOKUP(IGA_BD[[#This Row],[Affected Feeder ]],'Basic Data'!$A$42:$E$53,5,0),"")</f>
        <v/>
      </c>
      <c r="K208" s="164"/>
      <c r="L208" s="50"/>
      <c r="M208" s="116"/>
      <c r="N208" s="116"/>
      <c r="O208" s="57">
        <f>(IGA_BD[[#This Row],[Work Start TimeStamp]]-IGA_BD[[#This Row],[Fault Start TimeStamp]])*24</f>
        <v>0</v>
      </c>
      <c r="P208" s="44" t="str">
        <f>IF(IGA_BD[[#This Row],[Work Start TimeStamp]]="","",(IGA_BD[[#This Row],[Fault Clearance time]]-IGA_BD[[#This Row],[Work Start TimeStamp]])*24)</f>
        <v/>
      </c>
      <c r="Q208" s="57">
        <f>(IGA_BD[[#This Row],[Fault Clearance time]]-IGA_BD[[#This Row],[Fault Start TimeStamp]])*24</f>
        <v>0</v>
      </c>
      <c r="R208" s="153"/>
      <c r="S208" s="44"/>
      <c r="T208" s="45" t="str">
        <f>IFERROR(IGA_BD[[#This Row],[Breakdown Time]]*IGA_BD[[#This Row],[Plant Equivalent Weightage]],"")</f>
        <v/>
      </c>
    </row>
    <row r="209" spans="1:20">
      <c r="A209" s="28"/>
      <c r="B209" s="154"/>
      <c r="C209" s="30">
        <f>YEAR(WTG_BD[[#This Row],[Date]])+IF(MONTH(WTG_BD[[#This Row],[Date]])&gt;=4,1,0)</f>
        <v>2026</v>
      </c>
      <c r="D209" s="31">
        <f>YEAR(IGA_BD[[#This Row],[Date]])</f>
        <v>1900</v>
      </c>
      <c r="E209" s="48">
        <f t="shared" si="5"/>
        <v>1</v>
      </c>
      <c r="F209" s="32"/>
      <c r="G209" s="33"/>
      <c r="H209" s="43" t="str">
        <f>IFERROR(VLOOKUP(IGA_BD[[#This Row],[Affected Feeder ]],'Basic Data'!$A$42:$E$53,2,0),"")</f>
        <v/>
      </c>
      <c r="I209" s="43" t="str">
        <f>IFERROR(VLOOKUP(IGA_BD[[#This Row],[Affected Feeder ]],'Basic Data'!$A$42:$E$53,3,0),"")</f>
        <v/>
      </c>
      <c r="J209" s="43" t="str">
        <f>IFERROR(VLOOKUP(IGA_BD[[#This Row],[Affected Feeder ]],'Basic Data'!$A$42:$E$53,5,0),"")</f>
        <v/>
      </c>
      <c r="K209" s="164"/>
      <c r="L209" s="50"/>
      <c r="M209" s="116"/>
      <c r="N209" s="116"/>
      <c r="O209" s="57">
        <f>(IGA_BD[[#This Row],[Work Start TimeStamp]]-IGA_BD[[#This Row],[Fault Start TimeStamp]])*24</f>
        <v>0</v>
      </c>
      <c r="P209" s="44" t="str">
        <f>IF(IGA_BD[[#This Row],[Work Start TimeStamp]]="","",(IGA_BD[[#This Row],[Fault Clearance time]]-IGA_BD[[#This Row],[Work Start TimeStamp]])*24)</f>
        <v/>
      </c>
      <c r="Q209" s="57">
        <f>(IGA_BD[[#This Row],[Fault Clearance time]]-IGA_BD[[#This Row],[Fault Start TimeStamp]])*24</f>
        <v>0</v>
      </c>
      <c r="R209" s="153"/>
      <c r="S209" s="44"/>
      <c r="T209" s="45" t="str">
        <f>IFERROR(IGA_BD[[#This Row],[Breakdown Time]]*IGA_BD[[#This Row],[Plant Equivalent Weightage]],"")</f>
        <v/>
      </c>
    </row>
    <row r="210" spans="1:20">
      <c r="A210" s="28"/>
      <c r="B210" s="154"/>
      <c r="C210" s="30">
        <f>YEAR(WTG_BD[[#This Row],[Date]])+IF(MONTH(WTG_BD[[#This Row],[Date]])&gt;=4,1,0)</f>
        <v>2026</v>
      </c>
      <c r="D210" s="31">
        <f>YEAR(IGA_BD[[#This Row],[Date]])</f>
        <v>1900</v>
      </c>
      <c r="E210" s="48">
        <f t="shared" si="5"/>
        <v>1</v>
      </c>
      <c r="F210" s="32"/>
      <c r="G210" s="33"/>
      <c r="H210" s="43" t="str">
        <f>IFERROR(VLOOKUP(IGA_BD[[#This Row],[Affected Feeder ]],'Basic Data'!$A$42:$E$53,2,0),"")</f>
        <v/>
      </c>
      <c r="I210" s="43" t="str">
        <f>IFERROR(VLOOKUP(IGA_BD[[#This Row],[Affected Feeder ]],'Basic Data'!$A$42:$E$53,3,0),"")</f>
        <v/>
      </c>
      <c r="J210" s="43" t="str">
        <f>IFERROR(VLOOKUP(IGA_BD[[#This Row],[Affected Feeder ]],'Basic Data'!$A$42:$E$53,5,0),"")</f>
        <v/>
      </c>
      <c r="K210" s="164"/>
      <c r="L210" s="50"/>
      <c r="M210" s="116"/>
      <c r="N210" s="116"/>
      <c r="O210" s="57">
        <f>(IGA_BD[[#This Row],[Work Start TimeStamp]]-IGA_BD[[#This Row],[Fault Start TimeStamp]])*24</f>
        <v>0</v>
      </c>
      <c r="P210" s="44" t="str">
        <f>IF(IGA_BD[[#This Row],[Work Start TimeStamp]]="","",(IGA_BD[[#This Row],[Fault Clearance time]]-IGA_BD[[#This Row],[Work Start TimeStamp]])*24)</f>
        <v/>
      </c>
      <c r="Q210" s="57">
        <f>(IGA_BD[[#This Row],[Fault Clearance time]]-IGA_BD[[#This Row],[Fault Start TimeStamp]])*24</f>
        <v>0</v>
      </c>
      <c r="R210" s="153"/>
      <c r="S210" s="44"/>
      <c r="T210" s="45" t="str">
        <f>IFERROR(IGA_BD[[#This Row],[Breakdown Time]]*IGA_BD[[#This Row],[Plant Equivalent Weightage]],"")</f>
        <v/>
      </c>
    </row>
    <row r="211" spans="1:20">
      <c r="A211" s="28"/>
      <c r="B211" s="154"/>
      <c r="C211" s="30">
        <f>YEAR(WTG_BD[[#This Row],[Date]])+IF(MONTH(WTG_BD[[#This Row],[Date]])&gt;=4,1,0)</f>
        <v>2026</v>
      </c>
      <c r="D211" s="31">
        <f>YEAR(IGA_BD[[#This Row],[Date]])</f>
        <v>1900</v>
      </c>
      <c r="E211" s="48">
        <f t="shared" si="5"/>
        <v>1</v>
      </c>
      <c r="F211" s="32"/>
      <c r="G211" s="33"/>
      <c r="H211" s="43" t="str">
        <f>IFERROR(VLOOKUP(IGA_BD[[#This Row],[Affected Feeder ]],'Basic Data'!$A$42:$E$53,2,0),"")</f>
        <v/>
      </c>
      <c r="I211" s="43" t="str">
        <f>IFERROR(VLOOKUP(IGA_BD[[#This Row],[Affected Feeder ]],'Basic Data'!$A$42:$E$53,3,0),"")</f>
        <v/>
      </c>
      <c r="J211" s="43" t="str">
        <f>IFERROR(VLOOKUP(IGA_BD[[#This Row],[Affected Feeder ]],'Basic Data'!$A$42:$E$53,5,0),"")</f>
        <v/>
      </c>
      <c r="K211" s="164"/>
      <c r="L211" s="50"/>
      <c r="M211" s="116"/>
      <c r="N211" s="116"/>
      <c r="O211" s="57">
        <f>(IGA_BD[[#This Row],[Work Start TimeStamp]]-IGA_BD[[#This Row],[Fault Start TimeStamp]])*24</f>
        <v>0</v>
      </c>
      <c r="P211" s="44" t="str">
        <f>IF(IGA_BD[[#This Row],[Work Start TimeStamp]]="","",(IGA_BD[[#This Row],[Fault Clearance time]]-IGA_BD[[#This Row],[Work Start TimeStamp]])*24)</f>
        <v/>
      </c>
      <c r="Q211" s="57">
        <f>(IGA_BD[[#This Row],[Fault Clearance time]]-IGA_BD[[#This Row],[Fault Start TimeStamp]])*24</f>
        <v>0</v>
      </c>
      <c r="R211" s="153"/>
      <c r="S211" s="44"/>
      <c r="T211" s="45" t="str">
        <f>IFERROR(IGA_BD[[#This Row],[Breakdown Time]]*IGA_BD[[#This Row],[Plant Equivalent Weightage]],"")</f>
        <v/>
      </c>
    </row>
    <row r="212" spans="1:20">
      <c r="A212" s="28"/>
      <c r="B212" s="154"/>
      <c r="C212" s="30">
        <f>YEAR(WTG_BD[[#This Row],[Date]])+IF(MONTH(WTG_BD[[#This Row],[Date]])&gt;=4,1,0)</f>
        <v>2026</v>
      </c>
      <c r="D212" s="31">
        <f>YEAR(IGA_BD[[#This Row],[Date]])</f>
        <v>1900</v>
      </c>
      <c r="E212" s="48">
        <f t="shared" si="5"/>
        <v>1</v>
      </c>
      <c r="F212" s="32"/>
      <c r="G212" s="33"/>
      <c r="H212" s="43" t="str">
        <f>IFERROR(VLOOKUP(IGA_BD[[#This Row],[Affected Feeder ]],'Basic Data'!$A$42:$E$53,2,0),"")</f>
        <v/>
      </c>
      <c r="I212" s="43" t="str">
        <f>IFERROR(VLOOKUP(IGA_BD[[#This Row],[Affected Feeder ]],'Basic Data'!$A$42:$E$53,3,0),"")</f>
        <v/>
      </c>
      <c r="J212" s="43" t="str">
        <f>IFERROR(VLOOKUP(IGA_BD[[#This Row],[Affected Feeder ]],'Basic Data'!$A$42:$E$53,5,0),"")</f>
        <v/>
      </c>
      <c r="K212" s="164"/>
      <c r="L212" s="50"/>
      <c r="M212" s="116"/>
      <c r="N212" s="116"/>
      <c r="O212" s="57">
        <f>(IGA_BD[[#This Row],[Work Start TimeStamp]]-IGA_BD[[#This Row],[Fault Start TimeStamp]])*24</f>
        <v>0</v>
      </c>
      <c r="P212" s="44" t="str">
        <f>IF(IGA_BD[[#This Row],[Work Start TimeStamp]]="","",(IGA_BD[[#This Row],[Fault Clearance time]]-IGA_BD[[#This Row],[Work Start TimeStamp]])*24)</f>
        <v/>
      </c>
      <c r="Q212" s="57">
        <f>(IGA_BD[[#This Row],[Fault Clearance time]]-IGA_BD[[#This Row],[Fault Start TimeStamp]])*24</f>
        <v>0</v>
      </c>
      <c r="R212" s="153"/>
      <c r="S212" s="44"/>
      <c r="T212" s="45" t="str">
        <f>IFERROR(IGA_BD[[#This Row],[Breakdown Time]]*IGA_BD[[#This Row],[Plant Equivalent Weightage]],"")</f>
        <v/>
      </c>
    </row>
    <row r="213" spans="1:20">
      <c r="A213" s="28"/>
      <c r="B213" s="154"/>
      <c r="C213" s="30">
        <f>YEAR(WTG_BD[[#This Row],[Date]])+IF(MONTH(WTG_BD[[#This Row],[Date]])&gt;=4,1,0)</f>
        <v>2026</v>
      </c>
      <c r="D213" s="31">
        <f>YEAR(IGA_BD[[#This Row],[Date]])</f>
        <v>1900</v>
      </c>
      <c r="E213" s="48">
        <f t="shared" si="5"/>
        <v>1</v>
      </c>
      <c r="F213" s="32"/>
      <c r="G213" s="33"/>
      <c r="H213" s="43" t="str">
        <f>IFERROR(VLOOKUP(IGA_BD[[#This Row],[Affected Feeder ]],'Basic Data'!$A$42:$E$53,2,0),"")</f>
        <v/>
      </c>
      <c r="I213" s="43" t="str">
        <f>IFERROR(VLOOKUP(IGA_BD[[#This Row],[Affected Feeder ]],'Basic Data'!$A$42:$E$53,3,0),"")</f>
        <v/>
      </c>
      <c r="J213" s="43" t="str">
        <f>IFERROR(VLOOKUP(IGA_BD[[#This Row],[Affected Feeder ]],'Basic Data'!$A$42:$E$53,5,0),"")</f>
        <v/>
      </c>
      <c r="K213" s="164"/>
      <c r="L213" s="50"/>
      <c r="M213" s="116"/>
      <c r="N213" s="116"/>
      <c r="O213" s="57">
        <f>(IGA_BD[[#This Row],[Work Start TimeStamp]]-IGA_BD[[#This Row],[Fault Start TimeStamp]])*24</f>
        <v>0</v>
      </c>
      <c r="P213" s="44" t="str">
        <f>IF(IGA_BD[[#This Row],[Work Start TimeStamp]]="","",(IGA_BD[[#This Row],[Fault Clearance time]]-IGA_BD[[#This Row],[Work Start TimeStamp]])*24)</f>
        <v/>
      </c>
      <c r="Q213" s="57">
        <f>(IGA_BD[[#This Row],[Fault Clearance time]]-IGA_BD[[#This Row],[Fault Start TimeStamp]])*24</f>
        <v>0</v>
      </c>
      <c r="R213" s="153"/>
      <c r="S213" s="44"/>
      <c r="T213" s="45" t="str">
        <f>IFERROR(IGA_BD[[#This Row],[Breakdown Time]]*IGA_BD[[#This Row],[Plant Equivalent Weightage]],"")</f>
        <v/>
      </c>
    </row>
    <row r="214" spans="1:20">
      <c r="A214" s="28"/>
      <c r="B214" s="154"/>
      <c r="C214" s="30">
        <f>YEAR(WTG_BD[[#This Row],[Date]])+IF(MONTH(WTG_BD[[#This Row],[Date]])&gt;=4,1,0)</f>
        <v>2026</v>
      </c>
      <c r="D214" s="31">
        <f>YEAR(IGA_BD[[#This Row],[Date]])</f>
        <v>1900</v>
      </c>
      <c r="E214" s="48">
        <f t="shared" si="5"/>
        <v>1</v>
      </c>
      <c r="F214" s="32"/>
      <c r="G214" s="33"/>
      <c r="H214" s="43" t="str">
        <f>IFERROR(VLOOKUP(IGA_BD[[#This Row],[Affected Feeder ]],'Basic Data'!$A$42:$E$53,2,0),"")</f>
        <v/>
      </c>
      <c r="I214" s="43" t="str">
        <f>IFERROR(VLOOKUP(IGA_BD[[#This Row],[Affected Feeder ]],'Basic Data'!$A$42:$E$53,3,0),"")</f>
        <v/>
      </c>
      <c r="J214" s="43" t="str">
        <f>IFERROR(VLOOKUP(IGA_BD[[#This Row],[Affected Feeder ]],'Basic Data'!$A$42:$E$53,5,0),"")</f>
        <v/>
      </c>
      <c r="K214" s="164"/>
      <c r="L214" s="50"/>
      <c r="M214" s="116"/>
      <c r="N214" s="116"/>
      <c r="O214" s="57">
        <f>(IGA_BD[[#This Row],[Work Start TimeStamp]]-IGA_BD[[#This Row],[Fault Start TimeStamp]])*24</f>
        <v>0</v>
      </c>
      <c r="P214" s="44" t="str">
        <f>IF(IGA_BD[[#This Row],[Work Start TimeStamp]]="","",(IGA_BD[[#This Row],[Fault Clearance time]]-IGA_BD[[#This Row],[Work Start TimeStamp]])*24)</f>
        <v/>
      </c>
      <c r="Q214" s="57">
        <f>(IGA_BD[[#This Row],[Fault Clearance time]]-IGA_BD[[#This Row],[Fault Start TimeStamp]])*24</f>
        <v>0</v>
      </c>
      <c r="R214" s="153"/>
      <c r="S214" s="44"/>
      <c r="T214" s="45" t="str">
        <f>IFERROR(IGA_BD[[#This Row],[Breakdown Time]]*IGA_BD[[#This Row],[Plant Equivalent Weightage]],"")</f>
        <v/>
      </c>
    </row>
    <row r="215" spans="1:20">
      <c r="A215" s="28"/>
      <c r="B215" s="154"/>
      <c r="C215" s="30">
        <f>YEAR(WTG_BD[[#This Row],[Date]])+IF(MONTH(WTG_BD[[#This Row],[Date]])&gt;=4,1,0)</f>
        <v>2026</v>
      </c>
      <c r="D215" s="31">
        <f>YEAR(IGA_BD[[#This Row],[Date]])</f>
        <v>1900</v>
      </c>
      <c r="E215" s="48">
        <f t="shared" si="5"/>
        <v>1</v>
      </c>
      <c r="F215" s="32"/>
      <c r="G215" s="33"/>
      <c r="H215" s="43" t="str">
        <f>IFERROR(VLOOKUP(IGA_BD[[#This Row],[Affected Feeder ]],'Basic Data'!$A$42:$E$53,2,0),"")</f>
        <v/>
      </c>
      <c r="I215" s="43" t="str">
        <f>IFERROR(VLOOKUP(IGA_BD[[#This Row],[Affected Feeder ]],'Basic Data'!$A$42:$E$53,3,0),"")</f>
        <v/>
      </c>
      <c r="J215" s="43" t="str">
        <f>IFERROR(VLOOKUP(IGA_BD[[#This Row],[Affected Feeder ]],'Basic Data'!$A$42:$E$53,5,0),"")</f>
        <v/>
      </c>
      <c r="K215" s="164"/>
      <c r="L215" s="50"/>
      <c r="M215" s="116"/>
      <c r="N215" s="116"/>
      <c r="O215" s="57">
        <f>(IGA_BD[[#This Row],[Work Start TimeStamp]]-IGA_BD[[#This Row],[Fault Start TimeStamp]])*24</f>
        <v>0</v>
      </c>
      <c r="P215" s="44" t="str">
        <f>IF(IGA_BD[[#This Row],[Work Start TimeStamp]]="","",(IGA_BD[[#This Row],[Fault Clearance time]]-IGA_BD[[#This Row],[Work Start TimeStamp]])*24)</f>
        <v/>
      </c>
      <c r="Q215" s="57">
        <f>(IGA_BD[[#This Row],[Fault Clearance time]]-IGA_BD[[#This Row],[Fault Start TimeStamp]])*24</f>
        <v>0</v>
      </c>
      <c r="R215" s="153"/>
      <c r="S215" s="44"/>
      <c r="T215" s="45" t="str">
        <f>IFERROR(IGA_BD[[#This Row],[Breakdown Time]]*IGA_BD[[#This Row],[Plant Equivalent Weightage]],"")</f>
        <v/>
      </c>
    </row>
    <row r="216" spans="1:20">
      <c r="A216" s="28"/>
      <c r="B216" s="154"/>
      <c r="C216" s="30">
        <f>YEAR(WTG_BD[[#This Row],[Date]])+IF(MONTH(WTG_BD[[#This Row],[Date]])&gt;=4,1,0)</f>
        <v>2026</v>
      </c>
      <c r="D216" s="31">
        <f>YEAR(IGA_BD[[#This Row],[Date]])</f>
        <v>1900</v>
      </c>
      <c r="E216" s="48">
        <f t="shared" si="5"/>
        <v>1</v>
      </c>
      <c r="F216" s="32"/>
      <c r="G216" s="33"/>
      <c r="H216" s="43" t="str">
        <f>IFERROR(VLOOKUP(IGA_BD[[#This Row],[Affected Feeder ]],'Basic Data'!$A$42:$E$53,2,0),"")</f>
        <v/>
      </c>
      <c r="I216" s="43" t="str">
        <f>IFERROR(VLOOKUP(IGA_BD[[#This Row],[Affected Feeder ]],'Basic Data'!$A$42:$E$53,3,0),"")</f>
        <v/>
      </c>
      <c r="J216" s="43" t="str">
        <f>IFERROR(VLOOKUP(IGA_BD[[#This Row],[Affected Feeder ]],'Basic Data'!$A$42:$E$53,5,0),"")</f>
        <v/>
      </c>
      <c r="K216" s="164"/>
      <c r="L216" s="50"/>
      <c r="M216" s="116"/>
      <c r="N216" s="116"/>
      <c r="O216" s="57">
        <f>(IGA_BD[[#This Row],[Work Start TimeStamp]]-IGA_BD[[#This Row],[Fault Start TimeStamp]])*24</f>
        <v>0</v>
      </c>
      <c r="P216" s="44" t="str">
        <f>IF(IGA_BD[[#This Row],[Work Start TimeStamp]]="","",(IGA_BD[[#This Row],[Fault Clearance time]]-IGA_BD[[#This Row],[Work Start TimeStamp]])*24)</f>
        <v/>
      </c>
      <c r="Q216" s="57">
        <f>(IGA_BD[[#This Row],[Fault Clearance time]]-IGA_BD[[#This Row],[Fault Start TimeStamp]])*24</f>
        <v>0</v>
      </c>
      <c r="R216" s="153"/>
      <c r="S216" s="44"/>
      <c r="T216" s="45" t="str">
        <f>IFERROR(IGA_BD[[#This Row],[Breakdown Time]]*IGA_BD[[#This Row],[Plant Equivalent Weightage]],"")</f>
        <v/>
      </c>
    </row>
    <row r="217" spans="1:20">
      <c r="A217" s="28"/>
      <c r="B217" s="154"/>
      <c r="C217" s="30">
        <f>YEAR(WTG_BD[[#This Row],[Date]])+IF(MONTH(WTG_BD[[#This Row],[Date]])&gt;=4,1,0)</f>
        <v>2026</v>
      </c>
      <c r="D217" s="31">
        <f>YEAR(IGA_BD[[#This Row],[Date]])</f>
        <v>1900</v>
      </c>
      <c r="E217" s="48">
        <f t="shared" si="5"/>
        <v>1</v>
      </c>
      <c r="F217" s="32"/>
      <c r="G217" s="33"/>
      <c r="H217" s="43" t="str">
        <f>IFERROR(VLOOKUP(IGA_BD[[#This Row],[Affected Feeder ]],'Basic Data'!$A$42:$E$53,2,0),"")</f>
        <v/>
      </c>
      <c r="I217" s="43" t="str">
        <f>IFERROR(VLOOKUP(IGA_BD[[#This Row],[Affected Feeder ]],'Basic Data'!$A$42:$E$53,3,0),"")</f>
        <v/>
      </c>
      <c r="J217" s="43" t="str">
        <f>IFERROR(VLOOKUP(IGA_BD[[#This Row],[Affected Feeder ]],'Basic Data'!$A$42:$E$53,5,0),"")</f>
        <v/>
      </c>
      <c r="K217" s="164"/>
      <c r="L217" s="50"/>
      <c r="M217" s="116"/>
      <c r="N217" s="116"/>
      <c r="O217" s="57">
        <f>(IGA_BD[[#This Row],[Work Start TimeStamp]]-IGA_BD[[#This Row],[Fault Start TimeStamp]])*24</f>
        <v>0</v>
      </c>
      <c r="P217" s="44" t="str">
        <f>IF(IGA_BD[[#This Row],[Work Start TimeStamp]]="","",(IGA_BD[[#This Row],[Fault Clearance time]]-IGA_BD[[#This Row],[Work Start TimeStamp]])*24)</f>
        <v/>
      </c>
      <c r="Q217" s="57">
        <f>(IGA_BD[[#This Row],[Fault Clearance time]]-IGA_BD[[#This Row],[Fault Start TimeStamp]])*24</f>
        <v>0</v>
      </c>
      <c r="R217" s="153"/>
      <c r="S217" s="44"/>
      <c r="T217" s="45" t="str">
        <f>IFERROR(IGA_BD[[#This Row],[Breakdown Time]]*IGA_BD[[#This Row],[Plant Equivalent Weightage]],"")</f>
        <v/>
      </c>
    </row>
    <row r="218" spans="1:20">
      <c r="A218" s="28"/>
      <c r="B218" s="154"/>
      <c r="C218" s="30">
        <f>YEAR(WTG_BD[[#This Row],[Date]])+IF(MONTH(WTG_BD[[#This Row],[Date]])&gt;=4,1,0)</f>
        <v>2026</v>
      </c>
      <c r="D218" s="31">
        <f>YEAR(IGA_BD[[#This Row],[Date]])</f>
        <v>1900</v>
      </c>
      <c r="E218" s="48">
        <f t="shared" si="5"/>
        <v>1</v>
      </c>
      <c r="F218" s="32"/>
      <c r="G218" s="33"/>
      <c r="H218" s="43" t="str">
        <f>IFERROR(VLOOKUP(IGA_BD[[#This Row],[Affected Feeder ]],'Basic Data'!$A$42:$E$53,2,0),"")</f>
        <v/>
      </c>
      <c r="I218" s="43" t="str">
        <f>IFERROR(VLOOKUP(IGA_BD[[#This Row],[Affected Feeder ]],'Basic Data'!$A$42:$E$53,3,0),"")</f>
        <v/>
      </c>
      <c r="J218" s="43" t="str">
        <f>IFERROR(VLOOKUP(IGA_BD[[#This Row],[Affected Feeder ]],'Basic Data'!$A$42:$E$53,5,0),"")</f>
        <v/>
      </c>
      <c r="K218" s="164"/>
      <c r="L218" s="50"/>
      <c r="M218" s="116"/>
      <c r="N218" s="116"/>
      <c r="O218" s="57">
        <f>(IGA_BD[[#This Row],[Work Start TimeStamp]]-IGA_BD[[#This Row],[Fault Start TimeStamp]])*24</f>
        <v>0</v>
      </c>
      <c r="P218" s="44" t="str">
        <f>IF(IGA_BD[[#This Row],[Work Start TimeStamp]]="","",(IGA_BD[[#This Row],[Fault Clearance time]]-IGA_BD[[#This Row],[Work Start TimeStamp]])*24)</f>
        <v/>
      </c>
      <c r="Q218" s="57">
        <f>(IGA_BD[[#This Row],[Fault Clearance time]]-IGA_BD[[#This Row],[Fault Start TimeStamp]])*24</f>
        <v>0</v>
      </c>
      <c r="R218" s="153"/>
      <c r="S218" s="44"/>
      <c r="T218" s="45" t="str">
        <f>IFERROR(IGA_BD[[#This Row],[Breakdown Time]]*IGA_BD[[#This Row],[Plant Equivalent Weightage]],"")</f>
        <v/>
      </c>
    </row>
    <row r="219" spans="1:20">
      <c r="A219" s="28"/>
      <c r="B219" s="154"/>
      <c r="C219" s="30">
        <f>YEAR(WTG_BD[[#This Row],[Date]])+IF(MONTH(WTG_BD[[#This Row],[Date]])&gt;=4,1,0)</f>
        <v>2026</v>
      </c>
      <c r="D219" s="31">
        <f>YEAR(IGA_BD[[#This Row],[Date]])</f>
        <v>1900</v>
      </c>
      <c r="E219" s="48">
        <f t="shared" si="5"/>
        <v>1</v>
      </c>
      <c r="F219" s="32"/>
      <c r="G219" s="33"/>
      <c r="H219" s="43" t="str">
        <f>IFERROR(VLOOKUP(IGA_BD[[#This Row],[Affected Feeder ]],'Basic Data'!$A$42:$E$53,2,0),"")</f>
        <v/>
      </c>
      <c r="I219" s="43" t="str">
        <f>IFERROR(VLOOKUP(IGA_BD[[#This Row],[Affected Feeder ]],'Basic Data'!$A$42:$E$53,3,0),"")</f>
        <v/>
      </c>
      <c r="J219" s="43" t="str">
        <f>IFERROR(VLOOKUP(IGA_BD[[#This Row],[Affected Feeder ]],'Basic Data'!$A$42:$E$53,5,0),"")</f>
        <v/>
      </c>
      <c r="K219" s="164"/>
      <c r="L219" s="50"/>
      <c r="M219" s="116"/>
      <c r="N219" s="116"/>
      <c r="O219" s="57">
        <f>(IGA_BD[[#This Row],[Work Start TimeStamp]]-IGA_BD[[#This Row],[Fault Start TimeStamp]])*24</f>
        <v>0</v>
      </c>
      <c r="P219" s="44" t="str">
        <f>IF(IGA_BD[[#This Row],[Work Start TimeStamp]]="","",(IGA_BD[[#This Row],[Fault Clearance time]]-IGA_BD[[#This Row],[Work Start TimeStamp]])*24)</f>
        <v/>
      </c>
      <c r="Q219" s="57">
        <f>(IGA_BD[[#This Row],[Fault Clearance time]]-IGA_BD[[#This Row],[Fault Start TimeStamp]])*24</f>
        <v>0</v>
      </c>
      <c r="R219" s="153"/>
      <c r="S219" s="44"/>
      <c r="T219" s="45" t="str">
        <f>IFERROR(IGA_BD[[#This Row],[Breakdown Time]]*IGA_BD[[#This Row],[Plant Equivalent Weightage]],"")</f>
        <v/>
      </c>
    </row>
    <row r="220" spans="1:20">
      <c r="A220" s="28"/>
      <c r="B220" s="154"/>
      <c r="C220" s="30">
        <f>YEAR(WTG_BD[[#This Row],[Date]])+IF(MONTH(WTG_BD[[#This Row],[Date]])&gt;=4,1,0)</f>
        <v>2026</v>
      </c>
      <c r="D220" s="31">
        <f>YEAR(IGA_BD[[#This Row],[Date]])</f>
        <v>1900</v>
      </c>
      <c r="E220" s="48">
        <f t="shared" ref="E220:E283" si="6">B220-DAY(B220)+1</f>
        <v>1</v>
      </c>
      <c r="F220" s="32"/>
      <c r="G220" s="33"/>
      <c r="H220" s="43" t="str">
        <f>IFERROR(VLOOKUP(IGA_BD[[#This Row],[Affected Feeder ]],'Basic Data'!$A$42:$E$53,2,0),"")</f>
        <v/>
      </c>
      <c r="I220" s="43" t="str">
        <f>IFERROR(VLOOKUP(IGA_BD[[#This Row],[Affected Feeder ]],'Basic Data'!$A$42:$E$53,3,0),"")</f>
        <v/>
      </c>
      <c r="J220" s="43" t="str">
        <f>IFERROR(VLOOKUP(IGA_BD[[#This Row],[Affected Feeder ]],'Basic Data'!$A$42:$E$53,5,0),"")</f>
        <v/>
      </c>
      <c r="K220" s="164"/>
      <c r="L220" s="50"/>
      <c r="M220" s="116"/>
      <c r="N220" s="116"/>
      <c r="O220" s="57">
        <f>(IGA_BD[[#This Row],[Work Start TimeStamp]]-IGA_BD[[#This Row],[Fault Start TimeStamp]])*24</f>
        <v>0</v>
      </c>
      <c r="P220" s="44" t="str">
        <f>IF(IGA_BD[[#This Row],[Work Start TimeStamp]]="","",(IGA_BD[[#This Row],[Fault Clearance time]]-IGA_BD[[#This Row],[Work Start TimeStamp]])*24)</f>
        <v/>
      </c>
      <c r="Q220" s="57">
        <f>(IGA_BD[[#This Row],[Fault Clearance time]]-IGA_BD[[#This Row],[Fault Start TimeStamp]])*24</f>
        <v>0</v>
      </c>
      <c r="R220" s="153"/>
      <c r="S220" s="44"/>
      <c r="T220" s="45" t="str">
        <f>IFERROR(IGA_BD[[#This Row],[Breakdown Time]]*IGA_BD[[#This Row],[Plant Equivalent Weightage]],"")</f>
        <v/>
      </c>
    </row>
    <row r="221" spans="1:20">
      <c r="A221" s="28"/>
      <c r="B221" s="154"/>
      <c r="C221" s="30">
        <f>YEAR(WTG_BD[[#This Row],[Date]])+IF(MONTH(WTG_BD[[#This Row],[Date]])&gt;=4,1,0)</f>
        <v>2026</v>
      </c>
      <c r="D221" s="31">
        <f>YEAR(IGA_BD[[#This Row],[Date]])</f>
        <v>1900</v>
      </c>
      <c r="E221" s="48">
        <f t="shared" si="6"/>
        <v>1</v>
      </c>
      <c r="F221" s="32"/>
      <c r="G221" s="33"/>
      <c r="H221" s="43" t="str">
        <f>IFERROR(VLOOKUP(IGA_BD[[#This Row],[Affected Feeder ]],'Basic Data'!$A$42:$E$53,2,0),"")</f>
        <v/>
      </c>
      <c r="I221" s="43" t="str">
        <f>IFERROR(VLOOKUP(IGA_BD[[#This Row],[Affected Feeder ]],'Basic Data'!$A$42:$E$53,3,0),"")</f>
        <v/>
      </c>
      <c r="J221" s="43" t="str">
        <f>IFERROR(VLOOKUP(IGA_BD[[#This Row],[Affected Feeder ]],'Basic Data'!$A$42:$E$53,5,0),"")</f>
        <v/>
      </c>
      <c r="K221" s="164"/>
      <c r="L221" s="50"/>
      <c r="M221" s="116"/>
      <c r="N221" s="116"/>
      <c r="O221" s="57">
        <f>(IGA_BD[[#This Row],[Work Start TimeStamp]]-IGA_BD[[#This Row],[Fault Start TimeStamp]])*24</f>
        <v>0</v>
      </c>
      <c r="P221" s="44" t="str">
        <f>IF(IGA_BD[[#This Row],[Work Start TimeStamp]]="","",(IGA_BD[[#This Row],[Fault Clearance time]]-IGA_BD[[#This Row],[Work Start TimeStamp]])*24)</f>
        <v/>
      </c>
      <c r="Q221" s="57">
        <f>(IGA_BD[[#This Row],[Fault Clearance time]]-IGA_BD[[#This Row],[Fault Start TimeStamp]])*24</f>
        <v>0</v>
      </c>
      <c r="R221" s="153"/>
      <c r="S221" s="44"/>
      <c r="T221" s="45" t="str">
        <f>IFERROR(IGA_BD[[#This Row],[Breakdown Time]]*IGA_BD[[#This Row],[Plant Equivalent Weightage]],"")</f>
        <v/>
      </c>
    </row>
    <row r="222" spans="1:20">
      <c r="A222" s="28"/>
      <c r="B222" s="154"/>
      <c r="C222" s="30">
        <f>YEAR(WTG_BD[[#This Row],[Date]])+IF(MONTH(WTG_BD[[#This Row],[Date]])&gt;=4,1,0)</f>
        <v>2026</v>
      </c>
      <c r="D222" s="31">
        <f>YEAR(IGA_BD[[#This Row],[Date]])</f>
        <v>1900</v>
      </c>
      <c r="E222" s="48">
        <f t="shared" si="6"/>
        <v>1</v>
      </c>
      <c r="F222" s="32"/>
      <c r="G222" s="33"/>
      <c r="H222" s="43" t="str">
        <f>IFERROR(VLOOKUP(IGA_BD[[#This Row],[Affected Feeder ]],'Basic Data'!$A$42:$E$53,2,0),"")</f>
        <v/>
      </c>
      <c r="I222" s="43" t="str">
        <f>IFERROR(VLOOKUP(IGA_BD[[#This Row],[Affected Feeder ]],'Basic Data'!$A$42:$E$53,3,0),"")</f>
        <v/>
      </c>
      <c r="J222" s="43" t="str">
        <f>IFERROR(VLOOKUP(IGA_BD[[#This Row],[Affected Feeder ]],'Basic Data'!$A$42:$E$53,5,0),"")</f>
        <v/>
      </c>
      <c r="K222" s="164"/>
      <c r="L222" s="50"/>
      <c r="M222" s="116"/>
      <c r="N222" s="116"/>
      <c r="O222" s="57">
        <f>(IGA_BD[[#This Row],[Work Start TimeStamp]]-IGA_BD[[#This Row],[Fault Start TimeStamp]])*24</f>
        <v>0</v>
      </c>
      <c r="P222" s="44" t="str">
        <f>IF(IGA_BD[[#This Row],[Work Start TimeStamp]]="","",(IGA_BD[[#This Row],[Fault Clearance time]]-IGA_BD[[#This Row],[Work Start TimeStamp]])*24)</f>
        <v/>
      </c>
      <c r="Q222" s="57">
        <f>(IGA_BD[[#This Row],[Fault Clearance time]]-IGA_BD[[#This Row],[Fault Start TimeStamp]])*24</f>
        <v>0</v>
      </c>
      <c r="R222" s="153"/>
      <c r="S222" s="44"/>
      <c r="T222" s="45" t="str">
        <f>IFERROR(IGA_BD[[#This Row],[Breakdown Time]]*IGA_BD[[#This Row],[Plant Equivalent Weightage]],"")</f>
        <v/>
      </c>
    </row>
    <row r="223" spans="1:20">
      <c r="A223" s="28"/>
      <c r="B223" s="154"/>
      <c r="C223" s="30">
        <f>YEAR(WTG_BD[[#This Row],[Date]])+IF(MONTH(WTG_BD[[#This Row],[Date]])&gt;=4,1,0)</f>
        <v>2026</v>
      </c>
      <c r="D223" s="31">
        <f>YEAR(IGA_BD[[#This Row],[Date]])</f>
        <v>1900</v>
      </c>
      <c r="E223" s="48">
        <f t="shared" si="6"/>
        <v>1</v>
      </c>
      <c r="F223" s="32"/>
      <c r="G223" s="33"/>
      <c r="H223" s="43" t="str">
        <f>IFERROR(VLOOKUP(IGA_BD[[#This Row],[Affected Feeder ]],'Basic Data'!$A$42:$E$53,2,0),"")</f>
        <v/>
      </c>
      <c r="I223" s="43" t="str">
        <f>IFERROR(VLOOKUP(IGA_BD[[#This Row],[Affected Feeder ]],'Basic Data'!$A$42:$E$53,3,0),"")</f>
        <v/>
      </c>
      <c r="J223" s="43" t="str">
        <f>IFERROR(VLOOKUP(IGA_BD[[#This Row],[Affected Feeder ]],'Basic Data'!$A$42:$E$53,5,0),"")</f>
        <v/>
      </c>
      <c r="K223" s="164"/>
      <c r="L223" s="50"/>
      <c r="M223" s="116"/>
      <c r="N223" s="116"/>
      <c r="O223" s="57">
        <f>(IGA_BD[[#This Row],[Work Start TimeStamp]]-IGA_BD[[#This Row],[Fault Start TimeStamp]])*24</f>
        <v>0</v>
      </c>
      <c r="P223" s="44" t="str">
        <f>IF(IGA_BD[[#This Row],[Work Start TimeStamp]]="","",(IGA_BD[[#This Row],[Fault Clearance time]]-IGA_BD[[#This Row],[Work Start TimeStamp]])*24)</f>
        <v/>
      </c>
      <c r="Q223" s="57">
        <f>(IGA_BD[[#This Row],[Fault Clearance time]]-IGA_BD[[#This Row],[Fault Start TimeStamp]])*24</f>
        <v>0</v>
      </c>
      <c r="R223" s="153"/>
      <c r="S223" s="44"/>
      <c r="T223" s="45" t="str">
        <f>IFERROR(IGA_BD[[#This Row],[Breakdown Time]]*IGA_BD[[#This Row],[Plant Equivalent Weightage]],"")</f>
        <v/>
      </c>
    </row>
    <row r="224" spans="1:20">
      <c r="A224" s="28"/>
      <c r="B224" s="154"/>
      <c r="C224" s="30">
        <f>YEAR(WTG_BD[[#This Row],[Date]])+IF(MONTH(WTG_BD[[#This Row],[Date]])&gt;=4,1,0)</f>
        <v>2026</v>
      </c>
      <c r="D224" s="31">
        <f>YEAR(IGA_BD[[#This Row],[Date]])</f>
        <v>1900</v>
      </c>
      <c r="E224" s="48">
        <f t="shared" si="6"/>
        <v>1</v>
      </c>
      <c r="F224" s="32"/>
      <c r="G224" s="33"/>
      <c r="H224" s="43" t="str">
        <f>IFERROR(VLOOKUP(IGA_BD[[#This Row],[Affected Feeder ]],'Basic Data'!$A$42:$E$53,2,0),"")</f>
        <v/>
      </c>
      <c r="I224" s="43" t="str">
        <f>IFERROR(VLOOKUP(IGA_BD[[#This Row],[Affected Feeder ]],'Basic Data'!$A$42:$E$53,3,0),"")</f>
        <v/>
      </c>
      <c r="J224" s="43" t="str">
        <f>IFERROR(VLOOKUP(IGA_BD[[#This Row],[Affected Feeder ]],'Basic Data'!$A$42:$E$53,5,0),"")</f>
        <v/>
      </c>
      <c r="K224" s="164"/>
      <c r="L224" s="50"/>
      <c r="M224" s="116"/>
      <c r="N224" s="116"/>
      <c r="O224" s="57">
        <f>(IGA_BD[[#This Row],[Work Start TimeStamp]]-IGA_BD[[#This Row],[Fault Start TimeStamp]])*24</f>
        <v>0</v>
      </c>
      <c r="P224" s="44" t="str">
        <f>IF(IGA_BD[[#This Row],[Work Start TimeStamp]]="","",(IGA_BD[[#This Row],[Fault Clearance time]]-IGA_BD[[#This Row],[Work Start TimeStamp]])*24)</f>
        <v/>
      </c>
      <c r="Q224" s="57">
        <f>(IGA_BD[[#This Row],[Fault Clearance time]]-IGA_BD[[#This Row],[Fault Start TimeStamp]])*24</f>
        <v>0</v>
      </c>
      <c r="R224" s="153"/>
      <c r="S224" s="44"/>
      <c r="T224" s="45" t="str">
        <f>IFERROR(IGA_BD[[#This Row],[Breakdown Time]]*IGA_BD[[#This Row],[Plant Equivalent Weightage]],"")</f>
        <v/>
      </c>
    </row>
    <row r="225" spans="1:20">
      <c r="A225" s="28"/>
      <c r="B225" s="154"/>
      <c r="C225" s="30">
        <f>YEAR(WTG_BD[[#This Row],[Date]])+IF(MONTH(WTG_BD[[#This Row],[Date]])&gt;=4,1,0)</f>
        <v>2026</v>
      </c>
      <c r="D225" s="31">
        <f>YEAR(IGA_BD[[#This Row],[Date]])</f>
        <v>1900</v>
      </c>
      <c r="E225" s="48">
        <f t="shared" si="6"/>
        <v>1</v>
      </c>
      <c r="F225" s="32"/>
      <c r="G225" s="33"/>
      <c r="H225" s="43" t="str">
        <f>IFERROR(VLOOKUP(IGA_BD[[#This Row],[Affected Feeder ]],'Basic Data'!$A$42:$E$53,2,0),"")</f>
        <v/>
      </c>
      <c r="I225" s="43" t="str">
        <f>IFERROR(VLOOKUP(IGA_BD[[#This Row],[Affected Feeder ]],'Basic Data'!$A$42:$E$53,3,0),"")</f>
        <v/>
      </c>
      <c r="J225" s="43" t="str">
        <f>IFERROR(VLOOKUP(IGA_BD[[#This Row],[Affected Feeder ]],'Basic Data'!$A$42:$E$53,5,0),"")</f>
        <v/>
      </c>
      <c r="K225" s="164"/>
      <c r="L225" s="50"/>
      <c r="M225" s="116"/>
      <c r="N225" s="116"/>
      <c r="O225" s="57">
        <f>(IGA_BD[[#This Row],[Work Start TimeStamp]]-IGA_BD[[#This Row],[Fault Start TimeStamp]])*24</f>
        <v>0</v>
      </c>
      <c r="P225" s="44" t="str">
        <f>IF(IGA_BD[[#This Row],[Work Start TimeStamp]]="","",(IGA_BD[[#This Row],[Fault Clearance time]]-IGA_BD[[#This Row],[Work Start TimeStamp]])*24)</f>
        <v/>
      </c>
      <c r="Q225" s="57">
        <f>(IGA_BD[[#This Row],[Fault Clearance time]]-IGA_BD[[#This Row],[Fault Start TimeStamp]])*24</f>
        <v>0</v>
      </c>
      <c r="R225" s="153"/>
      <c r="S225" s="44"/>
      <c r="T225" s="45" t="str">
        <f>IFERROR(IGA_BD[[#This Row],[Breakdown Time]]*IGA_BD[[#This Row],[Plant Equivalent Weightage]],"")</f>
        <v/>
      </c>
    </row>
    <row r="226" spans="1:20">
      <c r="A226" s="28"/>
      <c r="B226" s="154"/>
      <c r="C226" s="30">
        <f>YEAR(WTG_BD[[#This Row],[Date]])+IF(MONTH(WTG_BD[[#This Row],[Date]])&gt;=4,1,0)</f>
        <v>2026</v>
      </c>
      <c r="D226" s="31">
        <f>YEAR(IGA_BD[[#This Row],[Date]])</f>
        <v>1900</v>
      </c>
      <c r="E226" s="48">
        <f t="shared" si="6"/>
        <v>1</v>
      </c>
      <c r="F226" s="32"/>
      <c r="G226" s="33"/>
      <c r="H226" s="43" t="str">
        <f>IFERROR(VLOOKUP(IGA_BD[[#This Row],[Affected Feeder ]],'Basic Data'!$A$42:$E$53,2,0),"")</f>
        <v/>
      </c>
      <c r="I226" s="43" t="str">
        <f>IFERROR(VLOOKUP(IGA_BD[[#This Row],[Affected Feeder ]],'Basic Data'!$A$42:$E$53,3,0),"")</f>
        <v/>
      </c>
      <c r="J226" s="43" t="str">
        <f>IFERROR(VLOOKUP(IGA_BD[[#This Row],[Affected Feeder ]],'Basic Data'!$A$42:$E$53,5,0),"")</f>
        <v/>
      </c>
      <c r="K226" s="164"/>
      <c r="L226" s="50"/>
      <c r="M226" s="116"/>
      <c r="N226" s="116"/>
      <c r="O226" s="57">
        <f>(IGA_BD[[#This Row],[Work Start TimeStamp]]-IGA_BD[[#This Row],[Fault Start TimeStamp]])*24</f>
        <v>0</v>
      </c>
      <c r="P226" s="44" t="str">
        <f>IF(IGA_BD[[#This Row],[Work Start TimeStamp]]="","",(IGA_BD[[#This Row],[Fault Clearance time]]-IGA_BD[[#This Row],[Work Start TimeStamp]])*24)</f>
        <v/>
      </c>
      <c r="Q226" s="57">
        <f>(IGA_BD[[#This Row],[Fault Clearance time]]-IGA_BD[[#This Row],[Fault Start TimeStamp]])*24</f>
        <v>0</v>
      </c>
      <c r="R226" s="153"/>
      <c r="S226" s="44"/>
      <c r="T226" s="45" t="str">
        <f>IFERROR(IGA_BD[[#This Row],[Breakdown Time]]*IGA_BD[[#This Row],[Plant Equivalent Weightage]],"")</f>
        <v/>
      </c>
    </row>
    <row r="227" spans="1:20">
      <c r="A227" s="28"/>
      <c r="B227" s="154"/>
      <c r="C227" s="30">
        <f>YEAR(WTG_BD[[#This Row],[Date]])+IF(MONTH(WTG_BD[[#This Row],[Date]])&gt;=4,1,0)</f>
        <v>2026</v>
      </c>
      <c r="D227" s="31">
        <f>YEAR(IGA_BD[[#This Row],[Date]])</f>
        <v>1900</v>
      </c>
      <c r="E227" s="48">
        <f t="shared" si="6"/>
        <v>1</v>
      </c>
      <c r="F227" s="32"/>
      <c r="G227" s="33"/>
      <c r="H227" s="43" t="str">
        <f>IFERROR(VLOOKUP(IGA_BD[[#This Row],[Affected Feeder ]],'Basic Data'!$A$42:$E$53,2,0),"")</f>
        <v/>
      </c>
      <c r="I227" s="43" t="str">
        <f>IFERROR(VLOOKUP(IGA_BD[[#This Row],[Affected Feeder ]],'Basic Data'!$A$42:$E$53,3,0),"")</f>
        <v/>
      </c>
      <c r="J227" s="43" t="str">
        <f>IFERROR(VLOOKUP(IGA_BD[[#This Row],[Affected Feeder ]],'Basic Data'!$A$42:$E$53,5,0),"")</f>
        <v/>
      </c>
      <c r="K227" s="164"/>
      <c r="L227" s="50"/>
      <c r="M227" s="116"/>
      <c r="N227" s="116"/>
      <c r="O227" s="57">
        <f>(IGA_BD[[#This Row],[Work Start TimeStamp]]-IGA_BD[[#This Row],[Fault Start TimeStamp]])*24</f>
        <v>0</v>
      </c>
      <c r="P227" s="44" t="str">
        <f>IF(IGA_BD[[#This Row],[Work Start TimeStamp]]="","",(IGA_BD[[#This Row],[Fault Clearance time]]-IGA_BD[[#This Row],[Work Start TimeStamp]])*24)</f>
        <v/>
      </c>
      <c r="Q227" s="57">
        <f>(IGA_BD[[#This Row],[Fault Clearance time]]-IGA_BD[[#This Row],[Fault Start TimeStamp]])*24</f>
        <v>0</v>
      </c>
      <c r="R227" s="153"/>
      <c r="S227" s="44"/>
      <c r="T227" s="45" t="str">
        <f>IFERROR(IGA_BD[[#This Row],[Breakdown Time]]*IGA_BD[[#This Row],[Plant Equivalent Weightage]],"")</f>
        <v/>
      </c>
    </row>
    <row r="228" spans="1:20">
      <c r="A228" s="28"/>
      <c r="B228" s="154"/>
      <c r="C228" s="30">
        <f>YEAR(WTG_BD[[#This Row],[Date]])+IF(MONTH(WTG_BD[[#This Row],[Date]])&gt;=4,1,0)</f>
        <v>2026</v>
      </c>
      <c r="D228" s="31">
        <f>YEAR(IGA_BD[[#This Row],[Date]])</f>
        <v>1900</v>
      </c>
      <c r="E228" s="48">
        <f t="shared" si="6"/>
        <v>1</v>
      </c>
      <c r="F228" s="32"/>
      <c r="G228" s="33"/>
      <c r="H228" s="43" t="str">
        <f>IFERROR(VLOOKUP(IGA_BD[[#This Row],[Affected Feeder ]],'Basic Data'!$A$42:$E$53,2,0),"")</f>
        <v/>
      </c>
      <c r="I228" s="43" t="str">
        <f>IFERROR(VLOOKUP(IGA_BD[[#This Row],[Affected Feeder ]],'Basic Data'!$A$42:$E$53,3,0),"")</f>
        <v/>
      </c>
      <c r="J228" s="43" t="str">
        <f>IFERROR(VLOOKUP(IGA_BD[[#This Row],[Affected Feeder ]],'Basic Data'!$A$42:$E$53,5,0),"")</f>
        <v/>
      </c>
      <c r="K228" s="164"/>
      <c r="L228" s="50"/>
      <c r="M228" s="116"/>
      <c r="N228" s="116"/>
      <c r="O228" s="57">
        <f>(IGA_BD[[#This Row],[Work Start TimeStamp]]-IGA_BD[[#This Row],[Fault Start TimeStamp]])*24</f>
        <v>0</v>
      </c>
      <c r="P228" s="44" t="str">
        <f>IF(IGA_BD[[#This Row],[Work Start TimeStamp]]="","",(IGA_BD[[#This Row],[Fault Clearance time]]-IGA_BD[[#This Row],[Work Start TimeStamp]])*24)</f>
        <v/>
      </c>
      <c r="Q228" s="57">
        <f>(IGA_BD[[#This Row],[Fault Clearance time]]-IGA_BD[[#This Row],[Fault Start TimeStamp]])*24</f>
        <v>0</v>
      </c>
      <c r="R228" s="153"/>
      <c r="S228" s="44"/>
      <c r="T228" s="45" t="str">
        <f>IFERROR(IGA_BD[[#This Row],[Breakdown Time]]*IGA_BD[[#This Row],[Plant Equivalent Weightage]],"")</f>
        <v/>
      </c>
    </row>
    <row r="229" spans="1:20">
      <c r="A229" s="28"/>
      <c r="B229" s="154"/>
      <c r="C229" s="30">
        <f>YEAR(WTG_BD[[#This Row],[Date]])+IF(MONTH(WTG_BD[[#This Row],[Date]])&gt;=4,1,0)</f>
        <v>2026</v>
      </c>
      <c r="D229" s="31">
        <f>YEAR(IGA_BD[[#This Row],[Date]])</f>
        <v>1900</v>
      </c>
      <c r="E229" s="48">
        <f t="shared" si="6"/>
        <v>1</v>
      </c>
      <c r="F229" s="32"/>
      <c r="G229" s="33"/>
      <c r="H229" s="43" t="str">
        <f>IFERROR(VLOOKUP(IGA_BD[[#This Row],[Affected Feeder ]],'Basic Data'!$A$42:$E$53,2,0),"")</f>
        <v/>
      </c>
      <c r="I229" s="43" t="str">
        <f>IFERROR(VLOOKUP(IGA_BD[[#This Row],[Affected Feeder ]],'Basic Data'!$A$42:$E$53,3,0),"")</f>
        <v/>
      </c>
      <c r="J229" s="43" t="str">
        <f>IFERROR(VLOOKUP(IGA_BD[[#This Row],[Affected Feeder ]],'Basic Data'!$A$42:$E$53,5,0),"")</f>
        <v/>
      </c>
      <c r="K229" s="164"/>
      <c r="L229" s="50"/>
      <c r="M229" s="116"/>
      <c r="N229" s="116"/>
      <c r="O229" s="57">
        <f>(IGA_BD[[#This Row],[Work Start TimeStamp]]-IGA_BD[[#This Row],[Fault Start TimeStamp]])*24</f>
        <v>0</v>
      </c>
      <c r="P229" s="44" t="str">
        <f>IF(IGA_BD[[#This Row],[Work Start TimeStamp]]="","",(IGA_BD[[#This Row],[Fault Clearance time]]-IGA_BD[[#This Row],[Work Start TimeStamp]])*24)</f>
        <v/>
      </c>
      <c r="Q229" s="57">
        <f>(IGA_BD[[#This Row],[Fault Clearance time]]-IGA_BD[[#This Row],[Fault Start TimeStamp]])*24</f>
        <v>0</v>
      </c>
      <c r="R229" s="153"/>
      <c r="S229" s="44"/>
      <c r="T229" s="45" t="str">
        <f>IFERROR(IGA_BD[[#This Row],[Breakdown Time]]*IGA_BD[[#This Row],[Plant Equivalent Weightage]],"")</f>
        <v/>
      </c>
    </row>
    <row r="230" spans="1:20">
      <c r="A230" s="28"/>
      <c r="B230" s="154"/>
      <c r="C230" s="30">
        <f>YEAR(WTG_BD[[#This Row],[Date]])+IF(MONTH(WTG_BD[[#This Row],[Date]])&gt;=4,1,0)</f>
        <v>2026</v>
      </c>
      <c r="D230" s="31">
        <f>YEAR(IGA_BD[[#This Row],[Date]])</f>
        <v>1900</v>
      </c>
      <c r="E230" s="48">
        <f t="shared" si="6"/>
        <v>1</v>
      </c>
      <c r="F230" s="32"/>
      <c r="G230" s="33"/>
      <c r="H230" s="43" t="str">
        <f>IFERROR(VLOOKUP(IGA_BD[[#This Row],[Affected Feeder ]],'Basic Data'!$A$42:$E$53,2,0),"")</f>
        <v/>
      </c>
      <c r="I230" s="43" t="str">
        <f>IFERROR(VLOOKUP(IGA_BD[[#This Row],[Affected Feeder ]],'Basic Data'!$A$42:$E$53,3,0),"")</f>
        <v/>
      </c>
      <c r="J230" s="43" t="str">
        <f>IFERROR(VLOOKUP(IGA_BD[[#This Row],[Affected Feeder ]],'Basic Data'!$A$42:$E$53,5,0),"")</f>
        <v/>
      </c>
      <c r="K230" s="164"/>
      <c r="L230" s="50"/>
      <c r="M230" s="116"/>
      <c r="N230" s="116"/>
      <c r="O230" s="57">
        <f>(IGA_BD[[#This Row],[Work Start TimeStamp]]-IGA_BD[[#This Row],[Fault Start TimeStamp]])*24</f>
        <v>0</v>
      </c>
      <c r="P230" s="44" t="str">
        <f>IF(IGA_BD[[#This Row],[Work Start TimeStamp]]="","",(IGA_BD[[#This Row],[Fault Clearance time]]-IGA_BD[[#This Row],[Work Start TimeStamp]])*24)</f>
        <v/>
      </c>
      <c r="Q230" s="57">
        <f>(IGA_BD[[#This Row],[Fault Clearance time]]-IGA_BD[[#This Row],[Fault Start TimeStamp]])*24</f>
        <v>0</v>
      </c>
      <c r="R230" s="153"/>
      <c r="S230" s="44"/>
      <c r="T230" s="45" t="str">
        <f>IFERROR(IGA_BD[[#This Row],[Breakdown Time]]*IGA_BD[[#This Row],[Plant Equivalent Weightage]],"")</f>
        <v/>
      </c>
    </row>
    <row r="231" spans="1:20">
      <c r="A231" s="28"/>
      <c r="B231" s="154"/>
      <c r="C231" s="30">
        <f>YEAR(WTG_BD[[#This Row],[Date]])+IF(MONTH(WTG_BD[[#This Row],[Date]])&gt;=4,1,0)</f>
        <v>2026</v>
      </c>
      <c r="D231" s="31">
        <f>YEAR(IGA_BD[[#This Row],[Date]])</f>
        <v>1900</v>
      </c>
      <c r="E231" s="48">
        <f t="shared" si="6"/>
        <v>1</v>
      </c>
      <c r="F231" s="32"/>
      <c r="G231" s="33"/>
      <c r="H231" s="43" t="str">
        <f>IFERROR(VLOOKUP(IGA_BD[[#This Row],[Affected Feeder ]],'Basic Data'!$A$42:$E$53,2,0),"")</f>
        <v/>
      </c>
      <c r="I231" s="43" t="str">
        <f>IFERROR(VLOOKUP(IGA_BD[[#This Row],[Affected Feeder ]],'Basic Data'!$A$42:$E$53,3,0),"")</f>
        <v/>
      </c>
      <c r="J231" s="43" t="str">
        <f>IFERROR(VLOOKUP(IGA_BD[[#This Row],[Affected Feeder ]],'Basic Data'!$A$42:$E$53,5,0),"")</f>
        <v/>
      </c>
      <c r="K231" s="164"/>
      <c r="L231" s="50"/>
      <c r="M231" s="116"/>
      <c r="N231" s="116"/>
      <c r="O231" s="57">
        <f>(IGA_BD[[#This Row],[Work Start TimeStamp]]-IGA_BD[[#This Row],[Fault Start TimeStamp]])*24</f>
        <v>0</v>
      </c>
      <c r="P231" s="44" t="str">
        <f>IF(IGA_BD[[#This Row],[Work Start TimeStamp]]="","",(IGA_BD[[#This Row],[Fault Clearance time]]-IGA_BD[[#This Row],[Work Start TimeStamp]])*24)</f>
        <v/>
      </c>
      <c r="Q231" s="57">
        <f>(IGA_BD[[#This Row],[Fault Clearance time]]-IGA_BD[[#This Row],[Fault Start TimeStamp]])*24</f>
        <v>0</v>
      </c>
      <c r="R231" s="153"/>
      <c r="S231" s="44"/>
      <c r="T231" s="45" t="str">
        <f>IFERROR(IGA_BD[[#This Row],[Breakdown Time]]*IGA_BD[[#This Row],[Plant Equivalent Weightage]],"")</f>
        <v/>
      </c>
    </row>
    <row r="232" spans="1:20">
      <c r="A232" s="28"/>
      <c r="B232" s="154"/>
      <c r="C232" s="30">
        <f>YEAR(WTG_BD[[#This Row],[Date]])+IF(MONTH(WTG_BD[[#This Row],[Date]])&gt;=4,1,0)</f>
        <v>2026</v>
      </c>
      <c r="D232" s="31">
        <f>YEAR(IGA_BD[[#This Row],[Date]])</f>
        <v>1900</v>
      </c>
      <c r="E232" s="48">
        <f t="shared" si="6"/>
        <v>1</v>
      </c>
      <c r="F232" s="32"/>
      <c r="G232" s="33"/>
      <c r="H232" s="43" t="str">
        <f>IFERROR(VLOOKUP(IGA_BD[[#This Row],[Affected Feeder ]],'Basic Data'!$A$42:$E$53,2,0),"")</f>
        <v/>
      </c>
      <c r="I232" s="43" t="str">
        <f>IFERROR(VLOOKUP(IGA_BD[[#This Row],[Affected Feeder ]],'Basic Data'!$A$42:$E$53,3,0),"")</f>
        <v/>
      </c>
      <c r="J232" s="43" t="str">
        <f>IFERROR(VLOOKUP(IGA_BD[[#This Row],[Affected Feeder ]],'Basic Data'!$A$42:$E$53,5,0),"")</f>
        <v/>
      </c>
      <c r="K232" s="164"/>
      <c r="L232" s="50"/>
      <c r="M232" s="116"/>
      <c r="N232" s="116"/>
      <c r="O232" s="57">
        <f>(IGA_BD[[#This Row],[Work Start TimeStamp]]-IGA_BD[[#This Row],[Fault Start TimeStamp]])*24</f>
        <v>0</v>
      </c>
      <c r="P232" s="44" t="str">
        <f>IF(IGA_BD[[#This Row],[Work Start TimeStamp]]="","",(IGA_BD[[#This Row],[Fault Clearance time]]-IGA_BD[[#This Row],[Work Start TimeStamp]])*24)</f>
        <v/>
      </c>
      <c r="Q232" s="57">
        <f>(IGA_BD[[#This Row],[Fault Clearance time]]-IGA_BD[[#This Row],[Fault Start TimeStamp]])*24</f>
        <v>0</v>
      </c>
      <c r="R232" s="153"/>
      <c r="S232" s="44"/>
      <c r="T232" s="45" t="str">
        <f>IFERROR(IGA_BD[[#This Row],[Breakdown Time]]*IGA_BD[[#This Row],[Plant Equivalent Weightage]],"")</f>
        <v/>
      </c>
    </row>
    <row r="233" spans="1:20">
      <c r="A233" s="28"/>
      <c r="B233" s="154"/>
      <c r="C233" s="30">
        <f>YEAR(WTG_BD[[#This Row],[Date]])+IF(MONTH(WTG_BD[[#This Row],[Date]])&gt;=4,1,0)</f>
        <v>2026</v>
      </c>
      <c r="D233" s="31">
        <f>YEAR(IGA_BD[[#This Row],[Date]])</f>
        <v>1900</v>
      </c>
      <c r="E233" s="48">
        <f t="shared" si="6"/>
        <v>1</v>
      </c>
      <c r="F233" s="32"/>
      <c r="G233" s="33"/>
      <c r="H233" s="43" t="str">
        <f>IFERROR(VLOOKUP(IGA_BD[[#This Row],[Affected Feeder ]],'Basic Data'!$A$42:$E$53,2,0),"")</f>
        <v/>
      </c>
      <c r="I233" s="43" t="str">
        <f>IFERROR(VLOOKUP(IGA_BD[[#This Row],[Affected Feeder ]],'Basic Data'!$A$42:$E$53,3,0),"")</f>
        <v/>
      </c>
      <c r="J233" s="43" t="str">
        <f>IFERROR(VLOOKUP(IGA_BD[[#This Row],[Affected Feeder ]],'Basic Data'!$A$42:$E$53,5,0),"")</f>
        <v/>
      </c>
      <c r="K233" s="164"/>
      <c r="L233" s="50"/>
      <c r="M233" s="116"/>
      <c r="N233" s="116"/>
      <c r="O233" s="57">
        <f>(IGA_BD[[#This Row],[Work Start TimeStamp]]-IGA_BD[[#This Row],[Fault Start TimeStamp]])*24</f>
        <v>0</v>
      </c>
      <c r="P233" s="44" t="str">
        <f>IF(IGA_BD[[#This Row],[Work Start TimeStamp]]="","",(IGA_BD[[#This Row],[Fault Clearance time]]-IGA_BD[[#This Row],[Work Start TimeStamp]])*24)</f>
        <v/>
      </c>
      <c r="Q233" s="57">
        <f>(IGA_BD[[#This Row],[Fault Clearance time]]-IGA_BD[[#This Row],[Fault Start TimeStamp]])*24</f>
        <v>0</v>
      </c>
      <c r="R233" s="153"/>
      <c r="S233" s="44"/>
      <c r="T233" s="45" t="str">
        <f>IFERROR(IGA_BD[[#This Row],[Breakdown Time]]*IGA_BD[[#This Row],[Plant Equivalent Weightage]],"")</f>
        <v/>
      </c>
    </row>
    <row r="234" spans="1:20">
      <c r="A234" s="28"/>
      <c r="B234" s="154"/>
      <c r="C234" s="30">
        <f>YEAR(WTG_BD[[#This Row],[Date]])+IF(MONTH(WTG_BD[[#This Row],[Date]])&gt;=4,1,0)</f>
        <v>2026</v>
      </c>
      <c r="D234" s="31">
        <f>YEAR(IGA_BD[[#This Row],[Date]])</f>
        <v>1900</v>
      </c>
      <c r="E234" s="48">
        <f t="shared" si="6"/>
        <v>1</v>
      </c>
      <c r="F234" s="32"/>
      <c r="G234" s="33"/>
      <c r="H234" s="43" t="str">
        <f>IFERROR(VLOOKUP(IGA_BD[[#This Row],[Affected Feeder ]],'Basic Data'!$A$42:$E$53,2,0),"")</f>
        <v/>
      </c>
      <c r="I234" s="43" t="str">
        <f>IFERROR(VLOOKUP(IGA_BD[[#This Row],[Affected Feeder ]],'Basic Data'!$A$42:$E$53,3,0),"")</f>
        <v/>
      </c>
      <c r="J234" s="43" t="str">
        <f>IFERROR(VLOOKUP(IGA_BD[[#This Row],[Affected Feeder ]],'Basic Data'!$A$42:$E$53,5,0),"")</f>
        <v/>
      </c>
      <c r="K234" s="164"/>
      <c r="L234" s="50"/>
      <c r="M234" s="116"/>
      <c r="N234" s="116"/>
      <c r="O234" s="57">
        <f>(IGA_BD[[#This Row],[Work Start TimeStamp]]-IGA_BD[[#This Row],[Fault Start TimeStamp]])*24</f>
        <v>0</v>
      </c>
      <c r="P234" s="44" t="str">
        <f>IF(IGA_BD[[#This Row],[Work Start TimeStamp]]="","",(IGA_BD[[#This Row],[Fault Clearance time]]-IGA_BD[[#This Row],[Work Start TimeStamp]])*24)</f>
        <v/>
      </c>
      <c r="Q234" s="57">
        <f>(IGA_BD[[#This Row],[Fault Clearance time]]-IGA_BD[[#This Row],[Fault Start TimeStamp]])*24</f>
        <v>0</v>
      </c>
      <c r="R234" s="153"/>
      <c r="S234" s="44"/>
      <c r="T234" s="45" t="str">
        <f>IFERROR(IGA_BD[[#This Row],[Breakdown Time]]*IGA_BD[[#This Row],[Plant Equivalent Weightage]],"")</f>
        <v/>
      </c>
    </row>
    <row r="235" spans="1:20">
      <c r="A235" s="28"/>
      <c r="B235" s="154"/>
      <c r="C235" s="30">
        <f>YEAR(WTG_BD[[#This Row],[Date]])+IF(MONTH(WTG_BD[[#This Row],[Date]])&gt;=4,1,0)</f>
        <v>2026</v>
      </c>
      <c r="D235" s="31">
        <f>YEAR(IGA_BD[[#This Row],[Date]])</f>
        <v>1900</v>
      </c>
      <c r="E235" s="48">
        <f t="shared" si="6"/>
        <v>1</v>
      </c>
      <c r="F235" s="32"/>
      <c r="G235" s="33"/>
      <c r="H235" s="43" t="str">
        <f>IFERROR(VLOOKUP(IGA_BD[[#This Row],[Affected Feeder ]],'Basic Data'!$A$42:$E$53,2,0),"")</f>
        <v/>
      </c>
      <c r="I235" s="43" t="str">
        <f>IFERROR(VLOOKUP(IGA_BD[[#This Row],[Affected Feeder ]],'Basic Data'!$A$42:$E$53,3,0),"")</f>
        <v/>
      </c>
      <c r="J235" s="43" t="str">
        <f>IFERROR(VLOOKUP(IGA_BD[[#This Row],[Affected Feeder ]],'Basic Data'!$A$42:$E$53,5,0),"")</f>
        <v/>
      </c>
      <c r="K235" s="164"/>
      <c r="L235" s="50"/>
      <c r="M235" s="116"/>
      <c r="N235" s="116"/>
      <c r="O235" s="57">
        <f>(IGA_BD[[#This Row],[Work Start TimeStamp]]-IGA_BD[[#This Row],[Fault Start TimeStamp]])*24</f>
        <v>0</v>
      </c>
      <c r="P235" s="44" t="str">
        <f>IF(IGA_BD[[#This Row],[Work Start TimeStamp]]="","",(IGA_BD[[#This Row],[Fault Clearance time]]-IGA_BD[[#This Row],[Work Start TimeStamp]])*24)</f>
        <v/>
      </c>
      <c r="Q235" s="57">
        <f>(IGA_BD[[#This Row],[Fault Clearance time]]-IGA_BD[[#This Row],[Fault Start TimeStamp]])*24</f>
        <v>0</v>
      </c>
      <c r="R235" s="153"/>
      <c r="S235" s="44"/>
      <c r="T235" s="45" t="str">
        <f>IFERROR(IGA_BD[[#This Row],[Breakdown Time]]*IGA_BD[[#This Row],[Plant Equivalent Weightage]],"")</f>
        <v/>
      </c>
    </row>
    <row r="236" spans="1:20">
      <c r="A236" s="28"/>
      <c r="B236" s="154"/>
      <c r="C236" s="30">
        <f>YEAR(WTG_BD[[#This Row],[Date]])+IF(MONTH(WTG_BD[[#This Row],[Date]])&gt;=4,1,0)</f>
        <v>2026</v>
      </c>
      <c r="D236" s="31">
        <f>YEAR(IGA_BD[[#This Row],[Date]])</f>
        <v>1900</v>
      </c>
      <c r="E236" s="48">
        <f t="shared" si="6"/>
        <v>1</v>
      </c>
      <c r="F236" s="32"/>
      <c r="G236" s="33"/>
      <c r="H236" s="43" t="str">
        <f>IFERROR(VLOOKUP(IGA_BD[[#This Row],[Affected Feeder ]],'Basic Data'!$A$42:$E$53,2,0),"")</f>
        <v/>
      </c>
      <c r="I236" s="43" t="str">
        <f>IFERROR(VLOOKUP(IGA_BD[[#This Row],[Affected Feeder ]],'Basic Data'!$A$42:$E$53,3,0),"")</f>
        <v/>
      </c>
      <c r="J236" s="43" t="str">
        <f>IFERROR(VLOOKUP(IGA_BD[[#This Row],[Affected Feeder ]],'Basic Data'!$A$42:$E$53,5,0),"")</f>
        <v/>
      </c>
      <c r="K236" s="164"/>
      <c r="L236" s="50"/>
      <c r="M236" s="116"/>
      <c r="N236" s="116"/>
      <c r="O236" s="57">
        <f>(IGA_BD[[#This Row],[Work Start TimeStamp]]-IGA_BD[[#This Row],[Fault Start TimeStamp]])*24</f>
        <v>0</v>
      </c>
      <c r="P236" s="44" t="str">
        <f>IF(IGA_BD[[#This Row],[Work Start TimeStamp]]="","",(IGA_BD[[#This Row],[Fault Clearance time]]-IGA_BD[[#This Row],[Work Start TimeStamp]])*24)</f>
        <v/>
      </c>
      <c r="Q236" s="57">
        <f>(IGA_BD[[#This Row],[Fault Clearance time]]-IGA_BD[[#This Row],[Fault Start TimeStamp]])*24</f>
        <v>0</v>
      </c>
      <c r="R236" s="153"/>
      <c r="S236" s="44"/>
      <c r="T236" s="45" t="str">
        <f>IFERROR(IGA_BD[[#This Row],[Breakdown Time]]*IGA_BD[[#This Row],[Plant Equivalent Weightage]],"")</f>
        <v/>
      </c>
    </row>
    <row r="237" spans="1:20">
      <c r="A237" s="28"/>
      <c r="B237" s="154"/>
      <c r="C237" s="30">
        <f>YEAR(WTG_BD[[#This Row],[Date]])+IF(MONTH(WTG_BD[[#This Row],[Date]])&gt;=4,1,0)</f>
        <v>2026</v>
      </c>
      <c r="D237" s="31">
        <f>YEAR(IGA_BD[[#This Row],[Date]])</f>
        <v>1900</v>
      </c>
      <c r="E237" s="48">
        <f t="shared" si="6"/>
        <v>1</v>
      </c>
      <c r="F237" s="32"/>
      <c r="G237" s="33"/>
      <c r="H237" s="43" t="str">
        <f>IFERROR(VLOOKUP(IGA_BD[[#This Row],[Affected Feeder ]],'Basic Data'!$A$42:$E$53,2,0),"")</f>
        <v/>
      </c>
      <c r="I237" s="43" t="str">
        <f>IFERROR(VLOOKUP(IGA_BD[[#This Row],[Affected Feeder ]],'Basic Data'!$A$42:$E$53,3,0),"")</f>
        <v/>
      </c>
      <c r="J237" s="43" t="str">
        <f>IFERROR(VLOOKUP(IGA_BD[[#This Row],[Affected Feeder ]],'Basic Data'!$A$42:$E$53,5,0),"")</f>
        <v/>
      </c>
      <c r="K237" s="164"/>
      <c r="L237" s="50"/>
      <c r="M237" s="116"/>
      <c r="N237" s="116"/>
      <c r="O237" s="57">
        <f>(IGA_BD[[#This Row],[Work Start TimeStamp]]-IGA_BD[[#This Row],[Fault Start TimeStamp]])*24</f>
        <v>0</v>
      </c>
      <c r="P237" s="44" t="str">
        <f>IF(IGA_BD[[#This Row],[Work Start TimeStamp]]="","",(IGA_BD[[#This Row],[Fault Clearance time]]-IGA_BD[[#This Row],[Work Start TimeStamp]])*24)</f>
        <v/>
      </c>
      <c r="Q237" s="57">
        <f>(IGA_BD[[#This Row],[Fault Clearance time]]-IGA_BD[[#This Row],[Fault Start TimeStamp]])*24</f>
        <v>0</v>
      </c>
      <c r="R237" s="153"/>
      <c r="S237" s="44"/>
      <c r="T237" s="45" t="str">
        <f>IFERROR(IGA_BD[[#This Row],[Breakdown Time]]*IGA_BD[[#This Row],[Plant Equivalent Weightage]],"")</f>
        <v/>
      </c>
    </row>
    <row r="238" spans="1:20">
      <c r="A238" s="28"/>
      <c r="B238" s="154"/>
      <c r="C238" s="30">
        <f>YEAR(WTG_BD[[#This Row],[Date]])+IF(MONTH(WTG_BD[[#This Row],[Date]])&gt;=4,1,0)</f>
        <v>2026</v>
      </c>
      <c r="D238" s="31">
        <f>YEAR(IGA_BD[[#This Row],[Date]])</f>
        <v>1900</v>
      </c>
      <c r="E238" s="48">
        <f t="shared" si="6"/>
        <v>1</v>
      </c>
      <c r="F238" s="32"/>
      <c r="G238" s="33"/>
      <c r="H238" s="43" t="str">
        <f>IFERROR(VLOOKUP(IGA_BD[[#This Row],[Affected Feeder ]],'Basic Data'!$A$42:$E$53,2,0),"")</f>
        <v/>
      </c>
      <c r="I238" s="43" t="str">
        <f>IFERROR(VLOOKUP(IGA_BD[[#This Row],[Affected Feeder ]],'Basic Data'!$A$42:$E$53,3,0),"")</f>
        <v/>
      </c>
      <c r="J238" s="43" t="str">
        <f>IFERROR(VLOOKUP(IGA_BD[[#This Row],[Affected Feeder ]],'Basic Data'!$A$42:$E$53,5,0),"")</f>
        <v/>
      </c>
      <c r="K238" s="164"/>
      <c r="L238" s="50"/>
      <c r="M238" s="116"/>
      <c r="N238" s="116"/>
      <c r="O238" s="57">
        <f>(IGA_BD[[#This Row],[Work Start TimeStamp]]-IGA_BD[[#This Row],[Fault Start TimeStamp]])*24</f>
        <v>0</v>
      </c>
      <c r="P238" s="44" t="str">
        <f>IF(IGA_BD[[#This Row],[Work Start TimeStamp]]="","",(IGA_BD[[#This Row],[Fault Clearance time]]-IGA_BD[[#This Row],[Work Start TimeStamp]])*24)</f>
        <v/>
      </c>
      <c r="Q238" s="57">
        <f>(IGA_BD[[#This Row],[Fault Clearance time]]-IGA_BD[[#This Row],[Fault Start TimeStamp]])*24</f>
        <v>0</v>
      </c>
      <c r="R238" s="153"/>
      <c r="S238" s="44"/>
      <c r="T238" s="45" t="str">
        <f>IFERROR(IGA_BD[[#This Row],[Breakdown Time]]*IGA_BD[[#This Row],[Plant Equivalent Weightage]],"")</f>
        <v/>
      </c>
    </row>
    <row r="239" spans="1:20">
      <c r="A239" s="28"/>
      <c r="B239" s="154"/>
      <c r="C239" s="30">
        <f>YEAR(WTG_BD[[#This Row],[Date]])+IF(MONTH(WTG_BD[[#This Row],[Date]])&gt;=4,1,0)</f>
        <v>2026</v>
      </c>
      <c r="D239" s="31">
        <f>YEAR(IGA_BD[[#This Row],[Date]])</f>
        <v>1900</v>
      </c>
      <c r="E239" s="48">
        <f t="shared" si="6"/>
        <v>1</v>
      </c>
      <c r="F239" s="32"/>
      <c r="G239" s="33"/>
      <c r="H239" s="43" t="str">
        <f>IFERROR(VLOOKUP(IGA_BD[[#This Row],[Affected Feeder ]],'Basic Data'!$A$42:$E$53,2,0),"")</f>
        <v/>
      </c>
      <c r="I239" s="43" t="str">
        <f>IFERROR(VLOOKUP(IGA_BD[[#This Row],[Affected Feeder ]],'Basic Data'!$A$42:$E$53,3,0),"")</f>
        <v/>
      </c>
      <c r="J239" s="43" t="str">
        <f>IFERROR(VLOOKUP(IGA_BD[[#This Row],[Affected Feeder ]],'Basic Data'!$A$42:$E$53,5,0),"")</f>
        <v/>
      </c>
      <c r="K239" s="164"/>
      <c r="L239" s="50"/>
      <c r="M239" s="116"/>
      <c r="N239" s="116"/>
      <c r="O239" s="57">
        <f>(IGA_BD[[#This Row],[Work Start TimeStamp]]-IGA_BD[[#This Row],[Fault Start TimeStamp]])*24</f>
        <v>0</v>
      </c>
      <c r="P239" s="44" t="str">
        <f>IF(IGA_BD[[#This Row],[Work Start TimeStamp]]="","",(IGA_BD[[#This Row],[Fault Clearance time]]-IGA_BD[[#This Row],[Work Start TimeStamp]])*24)</f>
        <v/>
      </c>
      <c r="Q239" s="57">
        <f>(IGA_BD[[#This Row],[Fault Clearance time]]-IGA_BD[[#This Row],[Fault Start TimeStamp]])*24</f>
        <v>0</v>
      </c>
      <c r="R239" s="153"/>
      <c r="S239" s="44"/>
      <c r="T239" s="45" t="str">
        <f>IFERROR(IGA_BD[[#This Row],[Breakdown Time]]*IGA_BD[[#This Row],[Plant Equivalent Weightage]],"")</f>
        <v/>
      </c>
    </row>
    <row r="240" spans="1:20">
      <c r="A240" s="28"/>
      <c r="B240" s="154"/>
      <c r="C240" s="30">
        <f>YEAR(WTG_BD[[#This Row],[Date]])+IF(MONTH(WTG_BD[[#This Row],[Date]])&gt;=4,1,0)</f>
        <v>2026</v>
      </c>
      <c r="D240" s="31">
        <f>YEAR(IGA_BD[[#This Row],[Date]])</f>
        <v>1900</v>
      </c>
      <c r="E240" s="48">
        <f t="shared" si="6"/>
        <v>1</v>
      </c>
      <c r="F240" s="32"/>
      <c r="G240" s="33"/>
      <c r="H240" s="43" t="str">
        <f>IFERROR(VLOOKUP(IGA_BD[[#This Row],[Affected Feeder ]],'Basic Data'!$A$42:$E$53,2,0),"")</f>
        <v/>
      </c>
      <c r="I240" s="43" t="str">
        <f>IFERROR(VLOOKUP(IGA_BD[[#This Row],[Affected Feeder ]],'Basic Data'!$A$42:$E$53,3,0),"")</f>
        <v/>
      </c>
      <c r="J240" s="43" t="str">
        <f>IFERROR(VLOOKUP(IGA_BD[[#This Row],[Affected Feeder ]],'Basic Data'!$A$42:$E$53,5,0),"")</f>
        <v/>
      </c>
      <c r="K240" s="164"/>
      <c r="L240" s="50"/>
      <c r="M240" s="116"/>
      <c r="N240" s="116"/>
      <c r="O240" s="57">
        <f>(IGA_BD[[#This Row],[Work Start TimeStamp]]-IGA_BD[[#This Row],[Fault Start TimeStamp]])*24</f>
        <v>0</v>
      </c>
      <c r="P240" s="44" t="str">
        <f>IF(IGA_BD[[#This Row],[Work Start TimeStamp]]="","",(IGA_BD[[#This Row],[Fault Clearance time]]-IGA_BD[[#This Row],[Work Start TimeStamp]])*24)</f>
        <v/>
      </c>
      <c r="Q240" s="57">
        <f>(IGA_BD[[#This Row],[Fault Clearance time]]-IGA_BD[[#This Row],[Fault Start TimeStamp]])*24</f>
        <v>0</v>
      </c>
      <c r="R240" s="153"/>
      <c r="S240" s="44"/>
      <c r="T240" s="45" t="str">
        <f>IFERROR(IGA_BD[[#This Row],[Breakdown Time]]*IGA_BD[[#This Row],[Plant Equivalent Weightage]],"")</f>
        <v/>
      </c>
    </row>
    <row r="241" spans="1:20">
      <c r="A241" s="28"/>
      <c r="B241" s="154"/>
      <c r="C241" s="30">
        <f>YEAR(WTG_BD[[#This Row],[Date]])+IF(MONTH(WTG_BD[[#This Row],[Date]])&gt;=4,1,0)</f>
        <v>2026</v>
      </c>
      <c r="D241" s="31">
        <f>YEAR(IGA_BD[[#This Row],[Date]])</f>
        <v>1900</v>
      </c>
      <c r="E241" s="48">
        <f t="shared" si="6"/>
        <v>1</v>
      </c>
      <c r="F241" s="32"/>
      <c r="G241" s="33"/>
      <c r="H241" s="43" t="str">
        <f>IFERROR(VLOOKUP(IGA_BD[[#This Row],[Affected Feeder ]],'Basic Data'!$A$42:$E$53,2,0),"")</f>
        <v/>
      </c>
      <c r="I241" s="43" t="str">
        <f>IFERROR(VLOOKUP(IGA_BD[[#This Row],[Affected Feeder ]],'Basic Data'!$A$42:$E$53,3,0),"")</f>
        <v/>
      </c>
      <c r="J241" s="43" t="str">
        <f>IFERROR(VLOOKUP(IGA_BD[[#This Row],[Affected Feeder ]],'Basic Data'!$A$42:$E$53,5,0),"")</f>
        <v/>
      </c>
      <c r="K241" s="164"/>
      <c r="L241" s="50"/>
      <c r="M241" s="116"/>
      <c r="N241" s="116"/>
      <c r="O241" s="57">
        <f>(IGA_BD[[#This Row],[Work Start TimeStamp]]-IGA_BD[[#This Row],[Fault Start TimeStamp]])*24</f>
        <v>0</v>
      </c>
      <c r="P241" s="44" t="str">
        <f>IF(IGA_BD[[#This Row],[Work Start TimeStamp]]="","",(IGA_BD[[#This Row],[Fault Clearance time]]-IGA_BD[[#This Row],[Work Start TimeStamp]])*24)</f>
        <v/>
      </c>
      <c r="Q241" s="57">
        <f>(IGA_BD[[#This Row],[Fault Clearance time]]-IGA_BD[[#This Row],[Fault Start TimeStamp]])*24</f>
        <v>0</v>
      </c>
      <c r="R241" s="153"/>
      <c r="S241" s="44"/>
      <c r="T241" s="45" t="str">
        <f>IFERROR(IGA_BD[[#This Row],[Breakdown Time]]*IGA_BD[[#This Row],[Plant Equivalent Weightage]],"")</f>
        <v/>
      </c>
    </row>
    <row r="242" spans="1:20">
      <c r="A242" s="28"/>
      <c r="B242" s="154"/>
      <c r="C242" s="30">
        <f>YEAR(WTG_BD[[#This Row],[Date]])+IF(MONTH(WTG_BD[[#This Row],[Date]])&gt;=4,1,0)</f>
        <v>2026</v>
      </c>
      <c r="D242" s="31">
        <f>YEAR(IGA_BD[[#This Row],[Date]])</f>
        <v>1900</v>
      </c>
      <c r="E242" s="48">
        <f t="shared" si="6"/>
        <v>1</v>
      </c>
      <c r="F242" s="32"/>
      <c r="G242" s="33"/>
      <c r="H242" s="43" t="str">
        <f>IFERROR(VLOOKUP(IGA_BD[[#This Row],[Affected Feeder ]],'Basic Data'!$A$42:$E$53,2,0),"")</f>
        <v/>
      </c>
      <c r="I242" s="43" t="str">
        <f>IFERROR(VLOOKUP(IGA_BD[[#This Row],[Affected Feeder ]],'Basic Data'!$A$42:$E$53,3,0),"")</f>
        <v/>
      </c>
      <c r="J242" s="43" t="str">
        <f>IFERROR(VLOOKUP(IGA_BD[[#This Row],[Affected Feeder ]],'Basic Data'!$A$42:$E$53,5,0),"")</f>
        <v/>
      </c>
      <c r="K242" s="164"/>
      <c r="L242" s="50"/>
      <c r="M242" s="116"/>
      <c r="N242" s="116"/>
      <c r="O242" s="57">
        <f>(IGA_BD[[#This Row],[Work Start TimeStamp]]-IGA_BD[[#This Row],[Fault Start TimeStamp]])*24</f>
        <v>0</v>
      </c>
      <c r="P242" s="44" t="str">
        <f>IF(IGA_BD[[#This Row],[Work Start TimeStamp]]="","",(IGA_BD[[#This Row],[Fault Clearance time]]-IGA_BD[[#This Row],[Work Start TimeStamp]])*24)</f>
        <v/>
      </c>
      <c r="Q242" s="57">
        <f>(IGA_BD[[#This Row],[Fault Clearance time]]-IGA_BD[[#This Row],[Fault Start TimeStamp]])*24</f>
        <v>0</v>
      </c>
      <c r="R242" s="153"/>
      <c r="S242" s="44"/>
      <c r="T242" s="45" t="str">
        <f>IFERROR(IGA_BD[[#This Row],[Breakdown Time]]*IGA_BD[[#This Row],[Plant Equivalent Weightage]],"")</f>
        <v/>
      </c>
    </row>
    <row r="243" spans="1:20">
      <c r="A243" s="28"/>
      <c r="B243" s="154"/>
      <c r="C243" s="30">
        <f>YEAR(WTG_BD[[#This Row],[Date]])+IF(MONTH(WTG_BD[[#This Row],[Date]])&gt;=4,1,0)</f>
        <v>2026</v>
      </c>
      <c r="D243" s="31">
        <f>YEAR(IGA_BD[[#This Row],[Date]])</f>
        <v>1900</v>
      </c>
      <c r="E243" s="48">
        <f t="shared" si="6"/>
        <v>1</v>
      </c>
      <c r="F243" s="32"/>
      <c r="G243" s="33"/>
      <c r="H243" s="43" t="str">
        <f>IFERROR(VLOOKUP(IGA_BD[[#This Row],[Affected Feeder ]],'Basic Data'!$A$42:$E$53,2,0),"")</f>
        <v/>
      </c>
      <c r="I243" s="43" t="str">
        <f>IFERROR(VLOOKUP(IGA_BD[[#This Row],[Affected Feeder ]],'Basic Data'!$A$42:$E$53,3,0),"")</f>
        <v/>
      </c>
      <c r="J243" s="43" t="str">
        <f>IFERROR(VLOOKUP(IGA_BD[[#This Row],[Affected Feeder ]],'Basic Data'!$A$42:$E$53,5,0),"")</f>
        <v/>
      </c>
      <c r="K243" s="164"/>
      <c r="L243" s="50"/>
      <c r="M243" s="116"/>
      <c r="N243" s="116"/>
      <c r="O243" s="57">
        <f>(IGA_BD[[#This Row],[Work Start TimeStamp]]-IGA_BD[[#This Row],[Fault Start TimeStamp]])*24</f>
        <v>0</v>
      </c>
      <c r="P243" s="44" t="str">
        <f>IF(IGA_BD[[#This Row],[Work Start TimeStamp]]="","",(IGA_BD[[#This Row],[Fault Clearance time]]-IGA_BD[[#This Row],[Work Start TimeStamp]])*24)</f>
        <v/>
      </c>
      <c r="Q243" s="57">
        <f>(IGA_BD[[#This Row],[Fault Clearance time]]-IGA_BD[[#This Row],[Fault Start TimeStamp]])*24</f>
        <v>0</v>
      </c>
      <c r="R243" s="153"/>
      <c r="S243" s="44"/>
      <c r="T243" s="45" t="str">
        <f>IFERROR(IGA_BD[[#This Row],[Breakdown Time]]*IGA_BD[[#This Row],[Plant Equivalent Weightage]],"")</f>
        <v/>
      </c>
    </row>
    <row r="244" spans="1:20">
      <c r="A244" s="28"/>
      <c r="B244" s="154"/>
      <c r="C244" s="30">
        <f>YEAR(WTG_BD[[#This Row],[Date]])+IF(MONTH(WTG_BD[[#This Row],[Date]])&gt;=4,1,0)</f>
        <v>2026</v>
      </c>
      <c r="D244" s="31">
        <f>YEAR(IGA_BD[[#This Row],[Date]])</f>
        <v>1900</v>
      </c>
      <c r="E244" s="48">
        <f t="shared" si="6"/>
        <v>1</v>
      </c>
      <c r="F244" s="32"/>
      <c r="G244" s="33"/>
      <c r="H244" s="43" t="str">
        <f>IFERROR(VLOOKUP(IGA_BD[[#This Row],[Affected Feeder ]],'Basic Data'!$A$42:$E$53,2,0),"")</f>
        <v/>
      </c>
      <c r="I244" s="43" t="str">
        <f>IFERROR(VLOOKUP(IGA_BD[[#This Row],[Affected Feeder ]],'Basic Data'!$A$42:$E$53,3,0),"")</f>
        <v/>
      </c>
      <c r="J244" s="43" t="str">
        <f>IFERROR(VLOOKUP(IGA_BD[[#This Row],[Affected Feeder ]],'Basic Data'!$A$42:$E$53,5,0),"")</f>
        <v/>
      </c>
      <c r="K244" s="164"/>
      <c r="L244" s="50"/>
      <c r="M244" s="116"/>
      <c r="N244" s="116"/>
      <c r="O244" s="57">
        <f>(IGA_BD[[#This Row],[Work Start TimeStamp]]-IGA_BD[[#This Row],[Fault Start TimeStamp]])*24</f>
        <v>0</v>
      </c>
      <c r="P244" s="44" t="str">
        <f>IF(IGA_BD[[#This Row],[Work Start TimeStamp]]="","",(IGA_BD[[#This Row],[Fault Clearance time]]-IGA_BD[[#This Row],[Work Start TimeStamp]])*24)</f>
        <v/>
      </c>
      <c r="Q244" s="57">
        <f>(IGA_BD[[#This Row],[Fault Clearance time]]-IGA_BD[[#This Row],[Fault Start TimeStamp]])*24</f>
        <v>0</v>
      </c>
      <c r="R244" s="153"/>
      <c r="S244" s="44"/>
      <c r="T244" s="45" t="str">
        <f>IFERROR(IGA_BD[[#This Row],[Breakdown Time]]*IGA_BD[[#This Row],[Plant Equivalent Weightage]],"")</f>
        <v/>
      </c>
    </row>
    <row r="245" spans="1:20">
      <c r="A245" s="28"/>
      <c r="B245" s="154"/>
      <c r="C245" s="30">
        <f>YEAR(WTG_BD[[#This Row],[Date]])+IF(MONTH(WTG_BD[[#This Row],[Date]])&gt;=4,1,0)</f>
        <v>2026</v>
      </c>
      <c r="D245" s="31">
        <f>YEAR(IGA_BD[[#This Row],[Date]])</f>
        <v>1900</v>
      </c>
      <c r="E245" s="48">
        <f t="shared" si="6"/>
        <v>1</v>
      </c>
      <c r="F245" s="32"/>
      <c r="G245" s="33"/>
      <c r="H245" s="43" t="str">
        <f>IFERROR(VLOOKUP(IGA_BD[[#This Row],[Affected Feeder ]],'Basic Data'!$A$42:$E$53,2,0),"")</f>
        <v/>
      </c>
      <c r="I245" s="43" t="str">
        <f>IFERROR(VLOOKUP(IGA_BD[[#This Row],[Affected Feeder ]],'Basic Data'!$A$42:$E$53,3,0),"")</f>
        <v/>
      </c>
      <c r="J245" s="43" t="str">
        <f>IFERROR(VLOOKUP(IGA_BD[[#This Row],[Affected Feeder ]],'Basic Data'!$A$42:$E$53,5,0),"")</f>
        <v/>
      </c>
      <c r="K245" s="164"/>
      <c r="L245" s="50"/>
      <c r="M245" s="116"/>
      <c r="N245" s="116"/>
      <c r="O245" s="57">
        <f>(IGA_BD[[#This Row],[Work Start TimeStamp]]-IGA_BD[[#This Row],[Fault Start TimeStamp]])*24</f>
        <v>0</v>
      </c>
      <c r="P245" s="44" t="str">
        <f>IF(IGA_BD[[#This Row],[Work Start TimeStamp]]="","",(IGA_BD[[#This Row],[Fault Clearance time]]-IGA_BD[[#This Row],[Work Start TimeStamp]])*24)</f>
        <v/>
      </c>
      <c r="Q245" s="57">
        <f>(IGA_BD[[#This Row],[Fault Clearance time]]-IGA_BD[[#This Row],[Fault Start TimeStamp]])*24</f>
        <v>0</v>
      </c>
      <c r="R245" s="153"/>
      <c r="S245" s="44"/>
      <c r="T245" s="45" t="str">
        <f>IFERROR(IGA_BD[[#This Row],[Breakdown Time]]*IGA_BD[[#This Row],[Plant Equivalent Weightage]],"")</f>
        <v/>
      </c>
    </row>
    <row r="246" spans="1:20">
      <c r="A246" s="28"/>
      <c r="B246" s="154"/>
      <c r="C246" s="30">
        <f>YEAR(WTG_BD[[#This Row],[Date]])+IF(MONTH(WTG_BD[[#This Row],[Date]])&gt;=4,1,0)</f>
        <v>2026</v>
      </c>
      <c r="D246" s="31">
        <f>YEAR(IGA_BD[[#This Row],[Date]])</f>
        <v>1900</v>
      </c>
      <c r="E246" s="48">
        <f t="shared" si="6"/>
        <v>1</v>
      </c>
      <c r="F246" s="32"/>
      <c r="G246" s="33"/>
      <c r="H246" s="43" t="str">
        <f>IFERROR(VLOOKUP(IGA_BD[[#This Row],[Affected Feeder ]],'Basic Data'!$A$42:$E$53,2,0),"")</f>
        <v/>
      </c>
      <c r="I246" s="43" t="str">
        <f>IFERROR(VLOOKUP(IGA_BD[[#This Row],[Affected Feeder ]],'Basic Data'!$A$42:$E$53,3,0),"")</f>
        <v/>
      </c>
      <c r="J246" s="43" t="str">
        <f>IFERROR(VLOOKUP(IGA_BD[[#This Row],[Affected Feeder ]],'Basic Data'!$A$42:$E$53,5,0),"")</f>
        <v/>
      </c>
      <c r="K246" s="164"/>
      <c r="L246" s="50"/>
      <c r="M246" s="116"/>
      <c r="N246" s="116"/>
      <c r="O246" s="57">
        <f>(IGA_BD[[#This Row],[Work Start TimeStamp]]-IGA_BD[[#This Row],[Fault Start TimeStamp]])*24</f>
        <v>0</v>
      </c>
      <c r="P246" s="44" t="str">
        <f>IF(IGA_BD[[#This Row],[Work Start TimeStamp]]="","",(IGA_BD[[#This Row],[Fault Clearance time]]-IGA_BD[[#This Row],[Work Start TimeStamp]])*24)</f>
        <v/>
      </c>
      <c r="Q246" s="57">
        <f>(IGA_BD[[#This Row],[Fault Clearance time]]-IGA_BD[[#This Row],[Fault Start TimeStamp]])*24</f>
        <v>0</v>
      </c>
      <c r="R246" s="153"/>
      <c r="S246" s="44"/>
      <c r="T246" s="45" t="str">
        <f>IFERROR(IGA_BD[[#This Row],[Breakdown Time]]*IGA_BD[[#This Row],[Plant Equivalent Weightage]],"")</f>
        <v/>
      </c>
    </row>
    <row r="247" spans="1:20">
      <c r="A247" s="28"/>
      <c r="B247" s="154"/>
      <c r="C247" s="30">
        <f>YEAR(WTG_BD[[#This Row],[Date]])+IF(MONTH(WTG_BD[[#This Row],[Date]])&gt;=4,1,0)</f>
        <v>2026</v>
      </c>
      <c r="D247" s="31">
        <f>YEAR(IGA_BD[[#This Row],[Date]])</f>
        <v>1900</v>
      </c>
      <c r="E247" s="48">
        <f t="shared" si="6"/>
        <v>1</v>
      </c>
      <c r="F247" s="32"/>
      <c r="G247" s="33"/>
      <c r="H247" s="43" t="str">
        <f>IFERROR(VLOOKUP(IGA_BD[[#This Row],[Affected Feeder ]],'Basic Data'!$A$42:$E$53,2,0),"")</f>
        <v/>
      </c>
      <c r="I247" s="43" t="str">
        <f>IFERROR(VLOOKUP(IGA_BD[[#This Row],[Affected Feeder ]],'Basic Data'!$A$42:$E$53,3,0),"")</f>
        <v/>
      </c>
      <c r="J247" s="43" t="str">
        <f>IFERROR(VLOOKUP(IGA_BD[[#This Row],[Affected Feeder ]],'Basic Data'!$A$42:$E$53,5,0),"")</f>
        <v/>
      </c>
      <c r="K247" s="164"/>
      <c r="L247" s="50"/>
      <c r="M247" s="116"/>
      <c r="N247" s="116"/>
      <c r="O247" s="57">
        <f>(IGA_BD[[#This Row],[Work Start TimeStamp]]-IGA_BD[[#This Row],[Fault Start TimeStamp]])*24</f>
        <v>0</v>
      </c>
      <c r="P247" s="44" t="str">
        <f>IF(IGA_BD[[#This Row],[Work Start TimeStamp]]="","",(IGA_BD[[#This Row],[Fault Clearance time]]-IGA_BD[[#This Row],[Work Start TimeStamp]])*24)</f>
        <v/>
      </c>
      <c r="Q247" s="57">
        <f>(IGA_BD[[#This Row],[Fault Clearance time]]-IGA_BD[[#This Row],[Fault Start TimeStamp]])*24</f>
        <v>0</v>
      </c>
      <c r="R247" s="153"/>
      <c r="S247" s="44"/>
      <c r="T247" s="45" t="str">
        <f>IFERROR(IGA_BD[[#This Row],[Breakdown Time]]*IGA_BD[[#This Row],[Plant Equivalent Weightage]],"")</f>
        <v/>
      </c>
    </row>
    <row r="248" spans="1:20">
      <c r="A248" s="28"/>
      <c r="B248" s="154"/>
      <c r="C248" s="30">
        <f>YEAR(WTG_BD[[#This Row],[Date]])+IF(MONTH(WTG_BD[[#This Row],[Date]])&gt;=4,1,0)</f>
        <v>2026</v>
      </c>
      <c r="D248" s="31">
        <f>YEAR(IGA_BD[[#This Row],[Date]])</f>
        <v>1900</v>
      </c>
      <c r="E248" s="48">
        <f t="shared" si="6"/>
        <v>1</v>
      </c>
      <c r="F248" s="32"/>
      <c r="G248" s="33"/>
      <c r="H248" s="43" t="str">
        <f>IFERROR(VLOOKUP(IGA_BD[[#This Row],[Affected Feeder ]],'Basic Data'!$A$42:$E$53,2,0),"")</f>
        <v/>
      </c>
      <c r="I248" s="43" t="str">
        <f>IFERROR(VLOOKUP(IGA_BD[[#This Row],[Affected Feeder ]],'Basic Data'!$A$42:$E$53,3,0),"")</f>
        <v/>
      </c>
      <c r="J248" s="43" t="str">
        <f>IFERROR(VLOOKUP(IGA_BD[[#This Row],[Affected Feeder ]],'Basic Data'!$A$42:$E$53,5,0),"")</f>
        <v/>
      </c>
      <c r="K248" s="164"/>
      <c r="L248" s="50"/>
      <c r="M248" s="116"/>
      <c r="N248" s="116"/>
      <c r="O248" s="57">
        <f>(IGA_BD[[#This Row],[Work Start TimeStamp]]-IGA_BD[[#This Row],[Fault Start TimeStamp]])*24</f>
        <v>0</v>
      </c>
      <c r="P248" s="44" t="str">
        <f>IF(IGA_BD[[#This Row],[Work Start TimeStamp]]="","",(IGA_BD[[#This Row],[Fault Clearance time]]-IGA_BD[[#This Row],[Work Start TimeStamp]])*24)</f>
        <v/>
      </c>
      <c r="Q248" s="57">
        <f>(IGA_BD[[#This Row],[Fault Clearance time]]-IGA_BD[[#This Row],[Fault Start TimeStamp]])*24</f>
        <v>0</v>
      </c>
      <c r="R248" s="153"/>
      <c r="S248" s="44"/>
      <c r="T248" s="45" t="str">
        <f>IFERROR(IGA_BD[[#This Row],[Breakdown Time]]*IGA_BD[[#This Row],[Plant Equivalent Weightage]],"")</f>
        <v/>
      </c>
    </row>
    <row r="249" spans="1:20">
      <c r="A249" s="28"/>
      <c r="B249" s="154"/>
      <c r="C249" s="30">
        <f>YEAR(WTG_BD[[#This Row],[Date]])+IF(MONTH(WTG_BD[[#This Row],[Date]])&gt;=4,1,0)</f>
        <v>2026</v>
      </c>
      <c r="D249" s="31">
        <f>YEAR(IGA_BD[[#This Row],[Date]])</f>
        <v>1900</v>
      </c>
      <c r="E249" s="48">
        <f t="shared" si="6"/>
        <v>1</v>
      </c>
      <c r="F249" s="32"/>
      <c r="G249" s="33"/>
      <c r="H249" s="43" t="str">
        <f>IFERROR(VLOOKUP(IGA_BD[[#This Row],[Affected Feeder ]],'Basic Data'!$A$42:$E$53,2,0),"")</f>
        <v/>
      </c>
      <c r="I249" s="43" t="str">
        <f>IFERROR(VLOOKUP(IGA_BD[[#This Row],[Affected Feeder ]],'Basic Data'!$A$42:$E$53,3,0),"")</f>
        <v/>
      </c>
      <c r="J249" s="43" t="str">
        <f>IFERROR(VLOOKUP(IGA_BD[[#This Row],[Affected Feeder ]],'Basic Data'!$A$42:$E$53,5,0),"")</f>
        <v/>
      </c>
      <c r="K249" s="164"/>
      <c r="L249" s="50"/>
      <c r="M249" s="116"/>
      <c r="N249" s="116"/>
      <c r="O249" s="57">
        <f>(IGA_BD[[#This Row],[Work Start TimeStamp]]-IGA_BD[[#This Row],[Fault Start TimeStamp]])*24</f>
        <v>0</v>
      </c>
      <c r="P249" s="44" t="str">
        <f>IF(IGA_BD[[#This Row],[Work Start TimeStamp]]="","",(IGA_BD[[#This Row],[Fault Clearance time]]-IGA_BD[[#This Row],[Work Start TimeStamp]])*24)</f>
        <v/>
      </c>
      <c r="Q249" s="57">
        <f>(IGA_BD[[#This Row],[Fault Clearance time]]-IGA_BD[[#This Row],[Fault Start TimeStamp]])*24</f>
        <v>0</v>
      </c>
      <c r="R249" s="153"/>
      <c r="S249" s="44"/>
      <c r="T249" s="45" t="str">
        <f>IFERROR(IGA_BD[[#This Row],[Breakdown Time]]*IGA_BD[[#This Row],[Plant Equivalent Weightage]],"")</f>
        <v/>
      </c>
    </row>
    <row r="250" spans="1:20">
      <c r="A250" s="28"/>
      <c r="B250" s="154"/>
      <c r="C250" s="30">
        <f>YEAR(WTG_BD[[#This Row],[Date]])+IF(MONTH(WTG_BD[[#This Row],[Date]])&gt;=4,1,0)</f>
        <v>2026</v>
      </c>
      <c r="D250" s="31">
        <f>YEAR(IGA_BD[[#This Row],[Date]])</f>
        <v>1900</v>
      </c>
      <c r="E250" s="48">
        <f t="shared" si="6"/>
        <v>1</v>
      </c>
      <c r="F250" s="32"/>
      <c r="G250" s="33"/>
      <c r="H250" s="43" t="str">
        <f>IFERROR(VLOOKUP(IGA_BD[[#This Row],[Affected Feeder ]],'Basic Data'!$A$42:$E$53,2,0),"")</f>
        <v/>
      </c>
      <c r="I250" s="43" t="str">
        <f>IFERROR(VLOOKUP(IGA_BD[[#This Row],[Affected Feeder ]],'Basic Data'!$A$42:$E$53,3,0),"")</f>
        <v/>
      </c>
      <c r="J250" s="43" t="str">
        <f>IFERROR(VLOOKUP(IGA_BD[[#This Row],[Affected Feeder ]],'Basic Data'!$A$42:$E$53,5,0),"")</f>
        <v/>
      </c>
      <c r="K250" s="164"/>
      <c r="L250" s="50"/>
      <c r="M250" s="116"/>
      <c r="N250" s="116"/>
      <c r="O250" s="57">
        <f>(IGA_BD[[#This Row],[Work Start TimeStamp]]-IGA_BD[[#This Row],[Fault Start TimeStamp]])*24</f>
        <v>0</v>
      </c>
      <c r="P250" s="44" t="str">
        <f>IF(IGA_BD[[#This Row],[Work Start TimeStamp]]="","",(IGA_BD[[#This Row],[Fault Clearance time]]-IGA_BD[[#This Row],[Work Start TimeStamp]])*24)</f>
        <v/>
      </c>
      <c r="Q250" s="57">
        <f>(IGA_BD[[#This Row],[Fault Clearance time]]-IGA_BD[[#This Row],[Fault Start TimeStamp]])*24</f>
        <v>0</v>
      </c>
      <c r="R250" s="153"/>
      <c r="S250" s="44"/>
      <c r="T250" s="45" t="str">
        <f>IFERROR(IGA_BD[[#This Row],[Breakdown Time]]*IGA_BD[[#This Row],[Plant Equivalent Weightage]],"")</f>
        <v/>
      </c>
    </row>
    <row r="251" spans="1:20">
      <c r="A251" s="28"/>
      <c r="B251" s="154"/>
      <c r="C251" s="30">
        <f>YEAR(WTG_BD[[#This Row],[Date]])+IF(MONTH(WTG_BD[[#This Row],[Date]])&gt;=4,1,0)</f>
        <v>2026</v>
      </c>
      <c r="D251" s="31">
        <f>YEAR(IGA_BD[[#This Row],[Date]])</f>
        <v>1900</v>
      </c>
      <c r="E251" s="48">
        <f t="shared" si="6"/>
        <v>1</v>
      </c>
      <c r="F251" s="32"/>
      <c r="G251" s="33"/>
      <c r="H251" s="43" t="str">
        <f>IFERROR(VLOOKUP(IGA_BD[[#This Row],[Affected Feeder ]],'Basic Data'!$A$42:$E$53,2,0),"")</f>
        <v/>
      </c>
      <c r="I251" s="43" t="str">
        <f>IFERROR(VLOOKUP(IGA_BD[[#This Row],[Affected Feeder ]],'Basic Data'!$A$42:$E$53,3,0),"")</f>
        <v/>
      </c>
      <c r="J251" s="43" t="str">
        <f>IFERROR(VLOOKUP(IGA_BD[[#This Row],[Affected Feeder ]],'Basic Data'!$A$42:$E$53,5,0),"")</f>
        <v/>
      </c>
      <c r="K251" s="164"/>
      <c r="L251" s="50"/>
      <c r="M251" s="116"/>
      <c r="N251" s="116"/>
      <c r="O251" s="57">
        <f>(IGA_BD[[#This Row],[Work Start TimeStamp]]-IGA_BD[[#This Row],[Fault Start TimeStamp]])*24</f>
        <v>0</v>
      </c>
      <c r="P251" s="44" t="str">
        <f>IF(IGA_BD[[#This Row],[Work Start TimeStamp]]="","",(IGA_BD[[#This Row],[Fault Clearance time]]-IGA_BD[[#This Row],[Work Start TimeStamp]])*24)</f>
        <v/>
      </c>
      <c r="Q251" s="57">
        <f>(IGA_BD[[#This Row],[Fault Clearance time]]-IGA_BD[[#This Row],[Fault Start TimeStamp]])*24</f>
        <v>0</v>
      </c>
      <c r="R251" s="153"/>
      <c r="S251" s="44"/>
      <c r="T251" s="45" t="str">
        <f>IFERROR(IGA_BD[[#This Row],[Breakdown Time]]*IGA_BD[[#This Row],[Plant Equivalent Weightage]],"")</f>
        <v/>
      </c>
    </row>
    <row r="252" spans="1:20">
      <c r="A252" s="28"/>
      <c r="B252" s="154"/>
      <c r="C252" s="30">
        <f>YEAR(WTG_BD[[#This Row],[Date]])+IF(MONTH(WTG_BD[[#This Row],[Date]])&gt;=4,1,0)</f>
        <v>2026</v>
      </c>
      <c r="D252" s="31">
        <f>YEAR(IGA_BD[[#This Row],[Date]])</f>
        <v>1900</v>
      </c>
      <c r="E252" s="48">
        <f t="shared" si="6"/>
        <v>1</v>
      </c>
      <c r="F252" s="32"/>
      <c r="G252" s="33"/>
      <c r="H252" s="43" t="str">
        <f>IFERROR(VLOOKUP(IGA_BD[[#This Row],[Affected Feeder ]],'Basic Data'!$A$42:$E$53,2,0),"")</f>
        <v/>
      </c>
      <c r="I252" s="43" t="str">
        <f>IFERROR(VLOOKUP(IGA_BD[[#This Row],[Affected Feeder ]],'Basic Data'!$A$42:$E$53,3,0),"")</f>
        <v/>
      </c>
      <c r="J252" s="43" t="str">
        <f>IFERROR(VLOOKUP(IGA_BD[[#This Row],[Affected Feeder ]],'Basic Data'!$A$42:$E$53,5,0),"")</f>
        <v/>
      </c>
      <c r="K252" s="164"/>
      <c r="L252" s="50"/>
      <c r="M252" s="116"/>
      <c r="N252" s="116"/>
      <c r="O252" s="57">
        <f>(IGA_BD[[#This Row],[Work Start TimeStamp]]-IGA_BD[[#This Row],[Fault Start TimeStamp]])*24</f>
        <v>0</v>
      </c>
      <c r="P252" s="44" t="str">
        <f>IF(IGA_BD[[#This Row],[Work Start TimeStamp]]="","",(IGA_BD[[#This Row],[Fault Clearance time]]-IGA_BD[[#This Row],[Work Start TimeStamp]])*24)</f>
        <v/>
      </c>
      <c r="Q252" s="57">
        <f>(IGA_BD[[#This Row],[Fault Clearance time]]-IGA_BD[[#This Row],[Fault Start TimeStamp]])*24</f>
        <v>0</v>
      </c>
      <c r="R252" s="153"/>
      <c r="S252" s="44"/>
      <c r="T252" s="45" t="str">
        <f>IFERROR(IGA_BD[[#This Row],[Breakdown Time]]*IGA_BD[[#This Row],[Plant Equivalent Weightage]],"")</f>
        <v/>
      </c>
    </row>
    <row r="253" spans="1:20">
      <c r="A253" s="28"/>
      <c r="B253" s="154"/>
      <c r="C253" s="30">
        <f>YEAR(WTG_BD[[#This Row],[Date]])+IF(MONTH(WTG_BD[[#This Row],[Date]])&gt;=4,1,0)</f>
        <v>2026</v>
      </c>
      <c r="D253" s="31">
        <f>YEAR(IGA_BD[[#This Row],[Date]])</f>
        <v>1900</v>
      </c>
      <c r="E253" s="48">
        <f t="shared" si="6"/>
        <v>1</v>
      </c>
      <c r="F253" s="32"/>
      <c r="G253" s="33"/>
      <c r="H253" s="43" t="str">
        <f>IFERROR(VLOOKUP(IGA_BD[[#This Row],[Affected Feeder ]],'Basic Data'!$A$42:$E$53,2,0),"")</f>
        <v/>
      </c>
      <c r="I253" s="43" t="str">
        <f>IFERROR(VLOOKUP(IGA_BD[[#This Row],[Affected Feeder ]],'Basic Data'!$A$42:$E$53,3,0),"")</f>
        <v/>
      </c>
      <c r="J253" s="43" t="str">
        <f>IFERROR(VLOOKUP(IGA_BD[[#This Row],[Affected Feeder ]],'Basic Data'!$A$42:$E$53,5,0),"")</f>
        <v/>
      </c>
      <c r="K253" s="164"/>
      <c r="L253" s="50"/>
      <c r="M253" s="116"/>
      <c r="N253" s="116"/>
      <c r="O253" s="57">
        <f>(IGA_BD[[#This Row],[Work Start TimeStamp]]-IGA_BD[[#This Row],[Fault Start TimeStamp]])*24</f>
        <v>0</v>
      </c>
      <c r="P253" s="44" t="str">
        <f>IF(IGA_BD[[#This Row],[Work Start TimeStamp]]="","",(IGA_BD[[#This Row],[Fault Clearance time]]-IGA_BD[[#This Row],[Work Start TimeStamp]])*24)</f>
        <v/>
      </c>
      <c r="Q253" s="57">
        <f>(IGA_BD[[#This Row],[Fault Clearance time]]-IGA_BD[[#This Row],[Fault Start TimeStamp]])*24</f>
        <v>0</v>
      </c>
      <c r="R253" s="153"/>
      <c r="S253" s="44"/>
      <c r="T253" s="45" t="str">
        <f>IFERROR(IGA_BD[[#This Row],[Breakdown Time]]*IGA_BD[[#This Row],[Plant Equivalent Weightage]],"")</f>
        <v/>
      </c>
    </row>
    <row r="254" spans="1:20">
      <c r="A254" s="28"/>
      <c r="B254" s="154"/>
      <c r="C254" s="30">
        <f>YEAR(WTG_BD[[#This Row],[Date]])+IF(MONTH(WTG_BD[[#This Row],[Date]])&gt;=4,1,0)</f>
        <v>2026</v>
      </c>
      <c r="D254" s="31">
        <f>YEAR(IGA_BD[[#This Row],[Date]])</f>
        <v>1900</v>
      </c>
      <c r="E254" s="48">
        <f t="shared" si="6"/>
        <v>1</v>
      </c>
      <c r="F254" s="32"/>
      <c r="G254" s="33"/>
      <c r="H254" s="43" t="str">
        <f>IFERROR(VLOOKUP(IGA_BD[[#This Row],[Affected Feeder ]],'Basic Data'!$A$42:$E$53,2,0),"")</f>
        <v/>
      </c>
      <c r="I254" s="43" t="str">
        <f>IFERROR(VLOOKUP(IGA_BD[[#This Row],[Affected Feeder ]],'Basic Data'!$A$42:$E$53,3,0),"")</f>
        <v/>
      </c>
      <c r="J254" s="43" t="str">
        <f>IFERROR(VLOOKUP(IGA_BD[[#This Row],[Affected Feeder ]],'Basic Data'!$A$42:$E$53,5,0),"")</f>
        <v/>
      </c>
      <c r="K254" s="164"/>
      <c r="L254" s="50"/>
      <c r="M254" s="116"/>
      <c r="N254" s="116"/>
      <c r="O254" s="57">
        <f>(IGA_BD[[#This Row],[Work Start TimeStamp]]-IGA_BD[[#This Row],[Fault Start TimeStamp]])*24</f>
        <v>0</v>
      </c>
      <c r="P254" s="44" t="str">
        <f>IF(IGA_BD[[#This Row],[Work Start TimeStamp]]="","",(IGA_BD[[#This Row],[Fault Clearance time]]-IGA_BD[[#This Row],[Work Start TimeStamp]])*24)</f>
        <v/>
      </c>
      <c r="Q254" s="57">
        <f>(IGA_BD[[#This Row],[Fault Clearance time]]-IGA_BD[[#This Row],[Fault Start TimeStamp]])*24</f>
        <v>0</v>
      </c>
      <c r="R254" s="153"/>
      <c r="S254" s="44"/>
      <c r="T254" s="45" t="str">
        <f>IFERROR(IGA_BD[[#This Row],[Breakdown Time]]*IGA_BD[[#This Row],[Plant Equivalent Weightage]],"")</f>
        <v/>
      </c>
    </row>
    <row r="255" spans="1:20">
      <c r="A255" s="28"/>
      <c r="B255" s="154"/>
      <c r="C255" s="30">
        <f>YEAR(WTG_BD[[#This Row],[Date]])+IF(MONTH(WTG_BD[[#This Row],[Date]])&gt;=4,1,0)</f>
        <v>2026</v>
      </c>
      <c r="D255" s="31">
        <f>YEAR(IGA_BD[[#This Row],[Date]])</f>
        <v>1900</v>
      </c>
      <c r="E255" s="48">
        <f t="shared" si="6"/>
        <v>1</v>
      </c>
      <c r="F255" s="32"/>
      <c r="G255" s="33"/>
      <c r="H255" s="43" t="str">
        <f>IFERROR(VLOOKUP(IGA_BD[[#This Row],[Affected Feeder ]],'Basic Data'!$A$42:$E$53,2,0),"")</f>
        <v/>
      </c>
      <c r="I255" s="43" t="str">
        <f>IFERROR(VLOOKUP(IGA_BD[[#This Row],[Affected Feeder ]],'Basic Data'!$A$42:$E$53,3,0),"")</f>
        <v/>
      </c>
      <c r="J255" s="43" t="str">
        <f>IFERROR(VLOOKUP(IGA_BD[[#This Row],[Affected Feeder ]],'Basic Data'!$A$42:$E$53,5,0),"")</f>
        <v/>
      </c>
      <c r="K255" s="164"/>
      <c r="L255" s="50"/>
      <c r="M255" s="116"/>
      <c r="N255" s="116"/>
      <c r="O255" s="57">
        <f>(IGA_BD[[#This Row],[Work Start TimeStamp]]-IGA_BD[[#This Row],[Fault Start TimeStamp]])*24</f>
        <v>0</v>
      </c>
      <c r="P255" s="44" t="str">
        <f>IF(IGA_BD[[#This Row],[Work Start TimeStamp]]="","",(IGA_BD[[#This Row],[Fault Clearance time]]-IGA_BD[[#This Row],[Work Start TimeStamp]])*24)</f>
        <v/>
      </c>
      <c r="Q255" s="57">
        <f>(IGA_BD[[#This Row],[Fault Clearance time]]-IGA_BD[[#This Row],[Fault Start TimeStamp]])*24</f>
        <v>0</v>
      </c>
      <c r="R255" s="153"/>
      <c r="S255" s="44"/>
      <c r="T255" s="45" t="str">
        <f>IFERROR(IGA_BD[[#This Row],[Breakdown Time]]*IGA_BD[[#This Row],[Plant Equivalent Weightage]],"")</f>
        <v/>
      </c>
    </row>
    <row r="256" spans="1:20">
      <c r="A256" s="28"/>
      <c r="B256" s="154"/>
      <c r="C256" s="30">
        <f>YEAR(WTG_BD[[#This Row],[Date]])+IF(MONTH(WTG_BD[[#This Row],[Date]])&gt;=4,1,0)</f>
        <v>2026</v>
      </c>
      <c r="D256" s="31">
        <f>YEAR(IGA_BD[[#This Row],[Date]])</f>
        <v>1900</v>
      </c>
      <c r="E256" s="48">
        <f t="shared" si="6"/>
        <v>1</v>
      </c>
      <c r="F256" s="32"/>
      <c r="G256" s="33"/>
      <c r="H256" s="43" t="str">
        <f>IFERROR(VLOOKUP(IGA_BD[[#This Row],[Affected Feeder ]],'Basic Data'!$A$42:$E$53,2,0),"")</f>
        <v/>
      </c>
      <c r="I256" s="43" t="str">
        <f>IFERROR(VLOOKUP(IGA_BD[[#This Row],[Affected Feeder ]],'Basic Data'!$A$42:$E$53,3,0),"")</f>
        <v/>
      </c>
      <c r="J256" s="43" t="str">
        <f>IFERROR(VLOOKUP(IGA_BD[[#This Row],[Affected Feeder ]],'Basic Data'!$A$42:$E$53,5,0),"")</f>
        <v/>
      </c>
      <c r="K256" s="164"/>
      <c r="L256" s="50"/>
      <c r="M256" s="116"/>
      <c r="N256" s="116"/>
      <c r="O256" s="57">
        <f>(IGA_BD[[#This Row],[Work Start TimeStamp]]-IGA_BD[[#This Row],[Fault Start TimeStamp]])*24</f>
        <v>0</v>
      </c>
      <c r="P256" s="44" t="str">
        <f>IF(IGA_BD[[#This Row],[Work Start TimeStamp]]="","",(IGA_BD[[#This Row],[Fault Clearance time]]-IGA_BD[[#This Row],[Work Start TimeStamp]])*24)</f>
        <v/>
      </c>
      <c r="Q256" s="57">
        <f>(IGA_BD[[#This Row],[Fault Clearance time]]-IGA_BD[[#This Row],[Fault Start TimeStamp]])*24</f>
        <v>0</v>
      </c>
      <c r="R256" s="153"/>
      <c r="S256" s="44"/>
      <c r="T256" s="45" t="str">
        <f>IFERROR(IGA_BD[[#This Row],[Breakdown Time]]*IGA_BD[[#This Row],[Plant Equivalent Weightage]],"")</f>
        <v/>
      </c>
    </row>
    <row r="257" spans="1:20">
      <c r="A257" s="28"/>
      <c r="B257" s="154"/>
      <c r="C257" s="30">
        <f>YEAR(WTG_BD[[#This Row],[Date]])+IF(MONTH(WTG_BD[[#This Row],[Date]])&gt;=4,1,0)</f>
        <v>2026</v>
      </c>
      <c r="D257" s="31">
        <f>YEAR(IGA_BD[[#This Row],[Date]])</f>
        <v>1900</v>
      </c>
      <c r="E257" s="48">
        <f t="shared" si="6"/>
        <v>1</v>
      </c>
      <c r="F257" s="32"/>
      <c r="G257" s="33"/>
      <c r="H257" s="43" t="str">
        <f>IFERROR(VLOOKUP(IGA_BD[[#This Row],[Affected Feeder ]],'Basic Data'!$A$42:$E$53,2,0),"")</f>
        <v/>
      </c>
      <c r="I257" s="43" t="str">
        <f>IFERROR(VLOOKUP(IGA_BD[[#This Row],[Affected Feeder ]],'Basic Data'!$A$42:$E$53,3,0),"")</f>
        <v/>
      </c>
      <c r="J257" s="43" t="str">
        <f>IFERROR(VLOOKUP(IGA_BD[[#This Row],[Affected Feeder ]],'Basic Data'!$A$42:$E$53,5,0),"")</f>
        <v/>
      </c>
      <c r="K257" s="164"/>
      <c r="L257" s="50"/>
      <c r="M257" s="116"/>
      <c r="N257" s="116"/>
      <c r="O257" s="57">
        <f>(IGA_BD[[#This Row],[Work Start TimeStamp]]-IGA_BD[[#This Row],[Fault Start TimeStamp]])*24</f>
        <v>0</v>
      </c>
      <c r="P257" s="44" t="str">
        <f>IF(IGA_BD[[#This Row],[Work Start TimeStamp]]="","",(IGA_BD[[#This Row],[Fault Clearance time]]-IGA_BD[[#This Row],[Work Start TimeStamp]])*24)</f>
        <v/>
      </c>
      <c r="Q257" s="57">
        <f>(IGA_BD[[#This Row],[Fault Clearance time]]-IGA_BD[[#This Row],[Fault Start TimeStamp]])*24</f>
        <v>0</v>
      </c>
      <c r="R257" s="153"/>
      <c r="S257" s="44"/>
      <c r="T257" s="45" t="str">
        <f>IFERROR(IGA_BD[[#This Row],[Breakdown Time]]*IGA_BD[[#This Row],[Plant Equivalent Weightage]],"")</f>
        <v/>
      </c>
    </row>
    <row r="258" spans="1:20">
      <c r="A258" s="28"/>
      <c r="B258" s="154"/>
      <c r="C258" s="30">
        <f>YEAR(WTG_BD[[#This Row],[Date]])+IF(MONTH(WTG_BD[[#This Row],[Date]])&gt;=4,1,0)</f>
        <v>2026</v>
      </c>
      <c r="D258" s="31">
        <f>YEAR(IGA_BD[[#This Row],[Date]])</f>
        <v>1900</v>
      </c>
      <c r="E258" s="48">
        <f t="shared" si="6"/>
        <v>1</v>
      </c>
      <c r="F258" s="32"/>
      <c r="G258" s="33"/>
      <c r="H258" s="43" t="str">
        <f>IFERROR(VLOOKUP(IGA_BD[[#This Row],[Affected Feeder ]],'Basic Data'!$A$42:$E$53,2,0),"")</f>
        <v/>
      </c>
      <c r="I258" s="43" t="str">
        <f>IFERROR(VLOOKUP(IGA_BD[[#This Row],[Affected Feeder ]],'Basic Data'!$A$42:$E$53,3,0),"")</f>
        <v/>
      </c>
      <c r="J258" s="43" t="str">
        <f>IFERROR(VLOOKUP(IGA_BD[[#This Row],[Affected Feeder ]],'Basic Data'!$A$42:$E$53,5,0),"")</f>
        <v/>
      </c>
      <c r="K258" s="164"/>
      <c r="L258" s="50"/>
      <c r="M258" s="116"/>
      <c r="N258" s="116"/>
      <c r="O258" s="57">
        <f>(IGA_BD[[#This Row],[Work Start TimeStamp]]-IGA_BD[[#This Row],[Fault Start TimeStamp]])*24</f>
        <v>0</v>
      </c>
      <c r="P258" s="44" t="str">
        <f>IF(IGA_BD[[#This Row],[Work Start TimeStamp]]="","",(IGA_BD[[#This Row],[Fault Clearance time]]-IGA_BD[[#This Row],[Work Start TimeStamp]])*24)</f>
        <v/>
      </c>
      <c r="Q258" s="57">
        <f>(IGA_BD[[#This Row],[Fault Clearance time]]-IGA_BD[[#This Row],[Fault Start TimeStamp]])*24</f>
        <v>0</v>
      </c>
      <c r="R258" s="153"/>
      <c r="S258" s="44"/>
      <c r="T258" s="45" t="str">
        <f>IFERROR(IGA_BD[[#This Row],[Breakdown Time]]*IGA_BD[[#This Row],[Plant Equivalent Weightage]],"")</f>
        <v/>
      </c>
    </row>
    <row r="259" spans="1:20">
      <c r="A259" s="28"/>
      <c r="B259" s="154"/>
      <c r="C259" s="30">
        <f>YEAR(WTG_BD[[#This Row],[Date]])+IF(MONTH(WTG_BD[[#This Row],[Date]])&gt;=4,1,0)</f>
        <v>2026</v>
      </c>
      <c r="D259" s="31">
        <f>YEAR(IGA_BD[[#This Row],[Date]])</f>
        <v>1900</v>
      </c>
      <c r="E259" s="48">
        <f t="shared" si="6"/>
        <v>1</v>
      </c>
      <c r="F259" s="32"/>
      <c r="G259" s="33"/>
      <c r="H259" s="43" t="str">
        <f>IFERROR(VLOOKUP(IGA_BD[[#This Row],[Affected Feeder ]],'Basic Data'!$A$42:$E$53,2,0),"")</f>
        <v/>
      </c>
      <c r="I259" s="43" t="str">
        <f>IFERROR(VLOOKUP(IGA_BD[[#This Row],[Affected Feeder ]],'Basic Data'!$A$42:$E$53,3,0),"")</f>
        <v/>
      </c>
      <c r="J259" s="43" t="str">
        <f>IFERROR(VLOOKUP(IGA_BD[[#This Row],[Affected Feeder ]],'Basic Data'!$A$42:$E$53,5,0),"")</f>
        <v/>
      </c>
      <c r="K259" s="164"/>
      <c r="L259" s="50"/>
      <c r="M259" s="116"/>
      <c r="N259" s="116"/>
      <c r="O259" s="57">
        <f>(IGA_BD[[#This Row],[Work Start TimeStamp]]-IGA_BD[[#This Row],[Fault Start TimeStamp]])*24</f>
        <v>0</v>
      </c>
      <c r="P259" s="44" t="str">
        <f>IF(IGA_BD[[#This Row],[Work Start TimeStamp]]="","",(IGA_BD[[#This Row],[Fault Clearance time]]-IGA_BD[[#This Row],[Work Start TimeStamp]])*24)</f>
        <v/>
      </c>
      <c r="Q259" s="57">
        <f>(IGA_BD[[#This Row],[Fault Clearance time]]-IGA_BD[[#This Row],[Fault Start TimeStamp]])*24</f>
        <v>0</v>
      </c>
      <c r="R259" s="153"/>
      <c r="S259" s="44"/>
      <c r="T259" s="45" t="str">
        <f>IFERROR(IGA_BD[[#This Row],[Breakdown Time]]*IGA_BD[[#This Row],[Plant Equivalent Weightage]],"")</f>
        <v/>
      </c>
    </row>
    <row r="260" spans="1:20">
      <c r="A260" s="28"/>
      <c r="B260" s="154"/>
      <c r="C260" s="30">
        <f>YEAR(WTG_BD[[#This Row],[Date]])+IF(MONTH(WTG_BD[[#This Row],[Date]])&gt;=4,1,0)</f>
        <v>2026</v>
      </c>
      <c r="D260" s="31">
        <f>YEAR(IGA_BD[[#This Row],[Date]])</f>
        <v>1900</v>
      </c>
      <c r="E260" s="48">
        <f t="shared" si="6"/>
        <v>1</v>
      </c>
      <c r="F260" s="32"/>
      <c r="G260" s="33"/>
      <c r="H260" s="43" t="str">
        <f>IFERROR(VLOOKUP(IGA_BD[[#This Row],[Affected Feeder ]],'Basic Data'!$A$42:$E$53,2,0),"")</f>
        <v/>
      </c>
      <c r="I260" s="43" t="str">
        <f>IFERROR(VLOOKUP(IGA_BD[[#This Row],[Affected Feeder ]],'Basic Data'!$A$42:$E$53,3,0),"")</f>
        <v/>
      </c>
      <c r="J260" s="43" t="str">
        <f>IFERROR(VLOOKUP(IGA_BD[[#This Row],[Affected Feeder ]],'Basic Data'!$A$42:$E$53,5,0),"")</f>
        <v/>
      </c>
      <c r="K260" s="164"/>
      <c r="L260" s="50"/>
      <c r="M260" s="116"/>
      <c r="N260" s="116"/>
      <c r="O260" s="57">
        <f>(IGA_BD[[#This Row],[Work Start TimeStamp]]-IGA_BD[[#This Row],[Fault Start TimeStamp]])*24</f>
        <v>0</v>
      </c>
      <c r="P260" s="44" t="str">
        <f>IF(IGA_BD[[#This Row],[Work Start TimeStamp]]="","",(IGA_BD[[#This Row],[Fault Clearance time]]-IGA_BD[[#This Row],[Work Start TimeStamp]])*24)</f>
        <v/>
      </c>
      <c r="Q260" s="57">
        <f>(IGA_BD[[#This Row],[Fault Clearance time]]-IGA_BD[[#This Row],[Fault Start TimeStamp]])*24</f>
        <v>0</v>
      </c>
      <c r="R260" s="153"/>
      <c r="S260" s="44"/>
      <c r="T260" s="45" t="str">
        <f>IFERROR(IGA_BD[[#This Row],[Breakdown Time]]*IGA_BD[[#This Row],[Plant Equivalent Weightage]],"")</f>
        <v/>
      </c>
    </row>
    <row r="261" spans="1:20">
      <c r="A261" s="28"/>
      <c r="B261" s="154"/>
      <c r="C261" s="30">
        <f>YEAR(WTG_BD[[#This Row],[Date]])+IF(MONTH(WTG_BD[[#This Row],[Date]])&gt;=4,1,0)</f>
        <v>2026</v>
      </c>
      <c r="D261" s="31">
        <f>YEAR(IGA_BD[[#This Row],[Date]])</f>
        <v>1900</v>
      </c>
      <c r="E261" s="48">
        <f t="shared" si="6"/>
        <v>1</v>
      </c>
      <c r="F261" s="32"/>
      <c r="G261" s="33"/>
      <c r="H261" s="43" t="str">
        <f>IFERROR(VLOOKUP(IGA_BD[[#This Row],[Affected Feeder ]],'Basic Data'!$A$42:$E$53,2,0),"")</f>
        <v/>
      </c>
      <c r="I261" s="43" t="str">
        <f>IFERROR(VLOOKUP(IGA_BD[[#This Row],[Affected Feeder ]],'Basic Data'!$A$42:$E$53,3,0),"")</f>
        <v/>
      </c>
      <c r="J261" s="43" t="str">
        <f>IFERROR(VLOOKUP(IGA_BD[[#This Row],[Affected Feeder ]],'Basic Data'!$A$42:$E$53,5,0),"")</f>
        <v/>
      </c>
      <c r="K261" s="164"/>
      <c r="L261" s="50"/>
      <c r="M261" s="116"/>
      <c r="N261" s="116"/>
      <c r="O261" s="57">
        <f>(IGA_BD[[#This Row],[Work Start TimeStamp]]-IGA_BD[[#This Row],[Fault Start TimeStamp]])*24</f>
        <v>0</v>
      </c>
      <c r="P261" s="44" t="str">
        <f>IF(IGA_BD[[#This Row],[Work Start TimeStamp]]="","",(IGA_BD[[#This Row],[Fault Clearance time]]-IGA_BD[[#This Row],[Work Start TimeStamp]])*24)</f>
        <v/>
      </c>
      <c r="Q261" s="57">
        <f>(IGA_BD[[#This Row],[Fault Clearance time]]-IGA_BD[[#This Row],[Fault Start TimeStamp]])*24</f>
        <v>0</v>
      </c>
      <c r="R261" s="153"/>
      <c r="S261" s="44"/>
      <c r="T261" s="45" t="str">
        <f>IFERROR(IGA_BD[[#This Row],[Breakdown Time]]*IGA_BD[[#This Row],[Plant Equivalent Weightage]],"")</f>
        <v/>
      </c>
    </row>
    <row r="262" spans="1:20">
      <c r="A262" s="28"/>
      <c r="B262" s="154"/>
      <c r="C262" s="30">
        <f>YEAR(WTG_BD[[#This Row],[Date]])+IF(MONTH(WTG_BD[[#This Row],[Date]])&gt;=4,1,0)</f>
        <v>2026</v>
      </c>
      <c r="D262" s="31">
        <f>YEAR(IGA_BD[[#This Row],[Date]])</f>
        <v>1900</v>
      </c>
      <c r="E262" s="48">
        <f t="shared" si="6"/>
        <v>1</v>
      </c>
      <c r="F262" s="32"/>
      <c r="G262" s="33"/>
      <c r="H262" s="43" t="str">
        <f>IFERROR(VLOOKUP(IGA_BD[[#This Row],[Affected Feeder ]],'Basic Data'!$A$42:$E$53,2,0),"")</f>
        <v/>
      </c>
      <c r="I262" s="43" t="str">
        <f>IFERROR(VLOOKUP(IGA_BD[[#This Row],[Affected Feeder ]],'Basic Data'!$A$42:$E$53,3,0),"")</f>
        <v/>
      </c>
      <c r="J262" s="43" t="str">
        <f>IFERROR(VLOOKUP(IGA_BD[[#This Row],[Affected Feeder ]],'Basic Data'!$A$42:$E$53,5,0),"")</f>
        <v/>
      </c>
      <c r="K262" s="164"/>
      <c r="L262" s="50"/>
      <c r="M262" s="116"/>
      <c r="N262" s="116"/>
      <c r="O262" s="57">
        <f>(IGA_BD[[#This Row],[Work Start TimeStamp]]-IGA_BD[[#This Row],[Fault Start TimeStamp]])*24</f>
        <v>0</v>
      </c>
      <c r="P262" s="44" t="str">
        <f>IF(IGA_BD[[#This Row],[Work Start TimeStamp]]="","",(IGA_BD[[#This Row],[Fault Clearance time]]-IGA_BD[[#This Row],[Work Start TimeStamp]])*24)</f>
        <v/>
      </c>
      <c r="Q262" s="57">
        <f>(IGA_BD[[#This Row],[Fault Clearance time]]-IGA_BD[[#This Row],[Fault Start TimeStamp]])*24</f>
        <v>0</v>
      </c>
      <c r="R262" s="153"/>
      <c r="S262" s="44"/>
      <c r="T262" s="45" t="str">
        <f>IFERROR(IGA_BD[[#This Row],[Breakdown Time]]*IGA_BD[[#This Row],[Plant Equivalent Weightage]],"")</f>
        <v/>
      </c>
    </row>
    <row r="263" spans="1:20">
      <c r="A263" s="28"/>
      <c r="B263" s="154"/>
      <c r="C263" s="30">
        <f>YEAR(WTG_BD[[#This Row],[Date]])+IF(MONTH(WTG_BD[[#This Row],[Date]])&gt;=4,1,0)</f>
        <v>2026</v>
      </c>
      <c r="D263" s="31">
        <f>YEAR(IGA_BD[[#This Row],[Date]])</f>
        <v>1900</v>
      </c>
      <c r="E263" s="48">
        <f t="shared" si="6"/>
        <v>1</v>
      </c>
      <c r="F263" s="32"/>
      <c r="G263" s="33"/>
      <c r="H263" s="43" t="str">
        <f>IFERROR(VLOOKUP(IGA_BD[[#This Row],[Affected Feeder ]],'Basic Data'!$A$42:$E$53,2,0),"")</f>
        <v/>
      </c>
      <c r="I263" s="43" t="str">
        <f>IFERROR(VLOOKUP(IGA_BD[[#This Row],[Affected Feeder ]],'Basic Data'!$A$42:$E$53,3,0),"")</f>
        <v/>
      </c>
      <c r="J263" s="43" t="str">
        <f>IFERROR(VLOOKUP(IGA_BD[[#This Row],[Affected Feeder ]],'Basic Data'!$A$42:$E$53,5,0),"")</f>
        <v/>
      </c>
      <c r="K263" s="164"/>
      <c r="L263" s="50"/>
      <c r="M263" s="116"/>
      <c r="N263" s="116"/>
      <c r="O263" s="57">
        <f>(IGA_BD[[#This Row],[Work Start TimeStamp]]-IGA_BD[[#This Row],[Fault Start TimeStamp]])*24</f>
        <v>0</v>
      </c>
      <c r="P263" s="44" t="str">
        <f>IF(IGA_BD[[#This Row],[Work Start TimeStamp]]="","",(IGA_BD[[#This Row],[Fault Clearance time]]-IGA_BD[[#This Row],[Work Start TimeStamp]])*24)</f>
        <v/>
      </c>
      <c r="Q263" s="57">
        <f>(IGA_BD[[#This Row],[Fault Clearance time]]-IGA_BD[[#This Row],[Fault Start TimeStamp]])*24</f>
        <v>0</v>
      </c>
      <c r="R263" s="153"/>
      <c r="S263" s="44"/>
      <c r="T263" s="45" t="str">
        <f>IFERROR(IGA_BD[[#This Row],[Breakdown Time]]*IGA_BD[[#This Row],[Plant Equivalent Weightage]],"")</f>
        <v/>
      </c>
    </row>
    <row r="264" spans="1:20">
      <c r="A264" s="28"/>
      <c r="B264" s="154"/>
      <c r="C264" s="30">
        <f>YEAR(WTG_BD[[#This Row],[Date]])+IF(MONTH(WTG_BD[[#This Row],[Date]])&gt;=4,1,0)</f>
        <v>2026</v>
      </c>
      <c r="D264" s="31">
        <f>YEAR(IGA_BD[[#This Row],[Date]])</f>
        <v>1900</v>
      </c>
      <c r="E264" s="48">
        <f t="shared" si="6"/>
        <v>1</v>
      </c>
      <c r="F264" s="32"/>
      <c r="G264" s="33"/>
      <c r="H264" s="43" t="str">
        <f>IFERROR(VLOOKUP(IGA_BD[[#This Row],[Affected Feeder ]],'Basic Data'!$A$42:$E$53,2,0),"")</f>
        <v/>
      </c>
      <c r="I264" s="43" t="str">
        <f>IFERROR(VLOOKUP(IGA_BD[[#This Row],[Affected Feeder ]],'Basic Data'!$A$42:$E$53,3,0),"")</f>
        <v/>
      </c>
      <c r="J264" s="43" t="str">
        <f>IFERROR(VLOOKUP(IGA_BD[[#This Row],[Affected Feeder ]],'Basic Data'!$A$42:$E$53,5,0),"")</f>
        <v/>
      </c>
      <c r="K264" s="164"/>
      <c r="L264" s="50"/>
      <c r="M264" s="116"/>
      <c r="N264" s="116"/>
      <c r="O264" s="57">
        <f>(IGA_BD[[#This Row],[Work Start TimeStamp]]-IGA_BD[[#This Row],[Fault Start TimeStamp]])*24</f>
        <v>0</v>
      </c>
      <c r="P264" s="44" t="str">
        <f>IF(IGA_BD[[#This Row],[Work Start TimeStamp]]="","",(IGA_BD[[#This Row],[Fault Clearance time]]-IGA_BD[[#This Row],[Work Start TimeStamp]])*24)</f>
        <v/>
      </c>
      <c r="Q264" s="57">
        <f>(IGA_BD[[#This Row],[Fault Clearance time]]-IGA_BD[[#This Row],[Fault Start TimeStamp]])*24</f>
        <v>0</v>
      </c>
      <c r="R264" s="153"/>
      <c r="S264" s="44"/>
      <c r="T264" s="45" t="str">
        <f>IFERROR(IGA_BD[[#This Row],[Breakdown Time]]*IGA_BD[[#This Row],[Plant Equivalent Weightage]],"")</f>
        <v/>
      </c>
    </row>
    <row r="265" spans="1:20">
      <c r="A265" s="28"/>
      <c r="B265" s="154"/>
      <c r="C265" s="30">
        <f>YEAR(WTG_BD[[#This Row],[Date]])+IF(MONTH(WTG_BD[[#This Row],[Date]])&gt;=4,1,0)</f>
        <v>2026</v>
      </c>
      <c r="D265" s="31">
        <f>YEAR(IGA_BD[[#This Row],[Date]])</f>
        <v>1900</v>
      </c>
      <c r="E265" s="48">
        <f t="shared" si="6"/>
        <v>1</v>
      </c>
      <c r="F265" s="32"/>
      <c r="G265" s="33"/>
      <c r="H265" s="43" t="str">
        <f>IFERROR(VLOOKUP(IGA_BD[[#This Row],[Affected Feeder ]],'Basic Data'!$A$42:$E$53,2,0),"")</f>
        <v/>
      </c>
      <c r="I265" s="43" t="str">
        <f>IFERROR(VLOOKUP(IGA_BD[[#This Row],[Affected Feeder ]],'Basic Data'!$A$42:$E$53,3,0),"")</f>
        <v/>
      </c>
      <c r="J265" s="43" t="str">
        <f>IFERROR(VLOOKUP(IGA_BD[[#This Row],[Affected Feeder ]],'Basic Data'!$A$42:$E$53,5,0),"")</f>
        <v/>
      </c>
      <c r="K265" s="164"/>
      <c r="L265" s="50"/>
      <c r="M265" s="116"/>
      <c r="N265" s="116"/>
      <c r="O265" s="57">
        <f>(IGA_BD[[#This Row],[Work Start TimeStamp]]-IGA_BD[[#This Row],[Fault Start TimeStamp]])*24</f>
        <v>0</v>
      </c>
      <c r="P265" s="44" t="str">
        <f>IF(IGA_BD[[#This Row],[Work Start TimeStamp]]="","",(IGA_BD[[#This Row],[Fault Clearance time]]-IGA_BD[[#This Row],[Work Start TimeStamp]])*24)</f>
        <v/>
      </c>
      <c r="Q265" s="57">
        <f>(IGA_BD[[#This Row],[Fault Clearance time]]-IGA_BD[[#This Row],[Fault Start TimeStamp]])*24</f>
        <v>0</v>
      </c>
      <c r="R265" s="153"/>
      <c r="S265" s="44"/>
      <c r="T265" s="45" t="str">
        <f>IFERROR(IGA_BD[[#This Row],[Breakdown Time]]*IGA_BD[[#This Row],[Plant Equivalent Weightage]],"")</f>
        <v/>
      </c>
    </row>
    <row r="266" spans="1:20">
      <c r="A266" s="28"/>
      <c r="B266" s="154"/>
      <c r="C266" s="30">
        <f>YEAR(WTG_BD[[#This Row],[Date]])+IF(MONTH(WTG_BD[[#This Row],[Date]])&gt;=4,1,0)</f>
        <v>2026</v>
      </c>
      <c r="D266" s="31">
        <f>YEAR(IGA_BD[[#This Row],[Date]])</f>
        <v>1900</v>
      </c>
      <c r="E266" s="48">
        <f t="shared" si="6"/>
        <v>1</v>
      </c>
      <c r="F266" s="32"/>
      <c r="G266" s="33"/>
      <c r="H266" s="43" t="str">
        <f>IFERROR(VLOOKUP(IGA_BD[[#This Row],[Affected Feeder ]],'Basic Data'!$A$42:$E$53,2,0),"")</f>
        <v/>
      </c>
      <c r="I266" s="43" t="str">
        <f>IFERROR(VLOOKUP(IGA_BD[[#This Row],[Affected Feeder ]],'Basic Data'!$A$42:$E$53,3,0),"")</f>
        <v/>
      </c>
      <c r="J266" s="43" t="str">
        <f>IFERROR(VLOOKUP(IGA_BD[[#This Row],[Affected Feeder ]],'Basic Data'!$A$42:$E$53,5,0),"")</f>
        <v/>
      </c>
      <c r="K266" s="164"/>
      <c r="L266" s="50"/>
      <c r="M266" s="116"/>
      <c r="N266" s="116"/>
      <c r="O266" s="57">
        <f>(IGA_BD[[#This Row],[Work Start TimeStamp]]-IGA_BD[[#This Row],[Fault Start TimeStamp]])*24</f>
        <v>0</v>
      </c>
      <c r="P266" s="44" t="str">
        <f>IF(IGA_BD[[#This Row],[Work Start TimeStamp]]="","",(IGA_BD[[#This Row],[Fault Clearance time]]-IGA_BD[[#This Row],[Work Start TimeStamp]])*24)</f>
        <v/>
      </c>
      <c r="Q266" s="57">
        <f>(IGA_BD[[#This Row],[Fault Clearance time]]-IGA_BD[[#This Row],[Fault Start TimeStamp]])*24</f>
        <v>0</v>
      </c>
      <c r="R266" s="153"/>
      <c r="S266" s="44"/>
      <c r="T266" s="45" t="str">
        <f>IFERROR(IGA_BD[[#This Row],[Breakdown Time]]*IGA_BD[[#This Row],[Plant Equivalent Weightage]],"")</f>
        <v/>
      </c>
    </row>
    <row r="267" spans="1:20">
      <c r="A267" s="28"/>
      <c r="B267" s="154"/>
      <c r="C267" s="30">
        <f>YEAR(WTG_BD[[#This Row],[Date]])+IF(MONTH(WTG_BD[[#This Row],[Date]])&gt;=4,1,0)</f>
        <v>2026</v>
      </c>
      <c r="D267" s="31">
        <f>YEAR(IGA_BD[[#This Row],[Date]])</f>
        <v>1900</v>
      </c>
      <c r="E267" s="48">
        <f t="shared" si="6"/>
        <v>1</v>
      </c>
      <c r="F267" s="32"/>
      <c r="G267" s="33"/>
      <c r="H267" s="43" t="str">
        <f>IFERROR(VLOOKUP(IGA_BD[[#This Row],[Affected Feeder ]],'Basic Data'!$A$42:$E$53,2,0),"")</f>
        <v/>
      </c>
      <c r="I267" s="43" t="str">
        <f>IFERROR(VLOOKUP(IGA_BD[[#This Row],[Affected Feeder ]],'Basic Data'!$A$42:$E$53,3,0),"")</f>
        <v/>
      </c>
      <c r="J267" s="43" t="str">
        <f>IFERROR(VLOOKUP(IGA_BD[[#This Row],[Affected Feeder ]],'Basic Data'!$A$42:$E$53,5,0),"")</f>
        <v/>
      </c>
      <c r="K267" s="164"/>
      <c r="L267" s="50"/>
      <c r="M267" s="116"/>
      <c r="N267" s="116"/>
      <c r="O267" s="57">
        <f>(IGA_BD[[#This Row],[Work Start TimeStamp]]-IGA_BD[[#This Row],[Fault Start TimeStamp]])*24</f>
        <v>0</v>
      </c>
      <c r="P267" s="44" t="str">
        <f>IF(IGA_BD[[#This Row],[Work Start TimeStamp]]="","",(IGA_BD[[#This Row],[Fault Clearance time]]-IGA_BD[[#This Row],[Work Start TimeStamp]])*24)</f>
        <v/>
      </c>
      <c r="Q267" s="57">
        <f>(IGA_BD[[#This Row],[Fault Clearance time]]-IGA_BD[[#This Row],[Fault Start TimeStamp]])*24</f>
        <v>0</v>
      </c>
      <c r="R267" s="153"/>
      <c r="S267" s="44"/>
      <c r="T267" s="45" t="str">
        <f>IFERROR(IGA_BD[[#This Row],[Breakdown Time]]*IGA_BD[[#This Row],[Plant Equivalent Weightage]],"")</f>
        <v/>
      </c>
    </row>
    <row r="268" spans="1:20">
      <c r="A268" s="28"/>
      <c r="B268" s="154"/>
      <c r="C268" s="30">
        <f>YEAR(WTG_BD[[#This Row],[Date]])+IF(MONTH(WTG_BD[[#This Row],[Date]])&gt;=4,1,0)</f>
        <v>2026</v>
      </c>
      <c r="D268" s="31">
        <f>YEAR(IGA_BD[[#This Row],[Date]])</f>
        <v>1900</v>
      </c>
      <c r="E268" s="48">
        <f t="shared" si="6"/>
        <v>1</v>
      </c>
      <c r="F268" s="32"/>
      <c r="G268" s="33"/>
      <c r="H268" s="43" t="str">
        <f>IFERROR(VLOOKUP(IGA_BD[[#This Row],[Affected Feeder ]],'Basic Data'!$A$42:$E$53,2,0),"")</f>
        <v/>
      </c>
      <c r="I268" s="43" t="str">
        <f>IFERROR(VLOOKUP(IGA_BD[[#This Row],[Affected Feeder ]],'Basic Data'!$A$42:$E$53,3,0),"")</f>
        <v/>
      </c>
      <c r="J268" s="43" t="str">
        <f>IFERROR(VLOOKUP(IGA_BD[[#This Row],[Affected Feeder ]],'Basic Data'!$A$42:$E$53,5,0),"")</f>
        <v/>
      </c>
      <c r="K268" s="164"/>
      <c r="L268" s="50"/>
      <c r="M268" s="116"/>
      <c r="N268" s="116"/>
      <c r="O268" s="57">
        <f>(IGA_BD[[#This Row],[Work Start TimeStamp]]-IGA_BD[[#This Row],[Fault Start TimeStamp]])*24</f>
        <v>0</v>
      </c>
      <c r="P268" s="44" t="str">
        <f>IF(IGA_BD[[#This Row],[Work Start TimeStamp]]="","",(IGA_BD[[#This Row],[Fault Clearance time]]-IGA_BD[[#This Row],[Work Start TimeStamp]])*24)</f>
        <v/>
      </c>
      <c r="Q268" s="57">
        <f>(IGA_BD[[#This Row],[Fault Clearance time]]-IGA_BD[[#This Row],[Fault Start TimeStamp]])*24</f>
        <v>0</v>
      </c>
      <c r="R268" s="153"/>
      <c r="S268" s="44"/>
      <c r="T268" s="45" t="str">
        <f>IFERROR(IGA_BD[[#This Row],[Breakdown Time]]*IGA_BD[[#This Row],[Plant Equivalent Weightage]],"")</f>
        <v/>
      </c>
    </row>
    <row r="269" spans="1:20">
      <c r="A269" s="28"/>
      <c r="B269" s="154"/>
      <c r="C269" s="30">
        <f>YEAR(WTG_BD[[#This Row],[Date]])+IF(MONTH(WTG_BD[[#This Row],[Date]])&gt;=4,1,0)</f>
        <v>2026</v>
      </c>
      <c r="D269" s="31">
        <f>YEAR(IGA_BD[[#This Row],[Date]])</f>
        <v>1900</v>
      </c>
      <c r="E269" s="48">
        <f t="shared" si="6"/>
        <v>1</v>
      </c>
      <c r="F269" s="32"/>
      <c r="G269" s="33"/>
      <c r="H269" s="43" t="str">
        <f>IFERROR(VLOOKUP(IGA_BD[[#This Row],[Affected Feeder ]],'Basic Data'!$A$42:$E$53,2,0),"")</f>
        <v/>
      </c>
      <c r="I269" s="43" t="str">
        <f>IFERROR(VLOOKUP(IGA_BD[[#This Row],[Affected Feeder ]],'Basic Data'!$A$42:$E$53,3,0),"")</f>
        <v/>
      </c>
      <c r="J269" s="43" t="str">
        <f>IFERROR(VLOOKUP(IGA_BD[[#This Row],[Affected Feeder ]],'Basic Data'!$A$42:$E$53,5,0),"")</f>
        <v/>
      </c>
      <c r="K269" s="164"/>
      <c r="L269" s="50"/>
      <c r="M269" s="116"/>
      <c r="N269" s="116"/>
      <c r="O269" s="57">
        <f>(IGA_BD[[#This Row],[Work Start TimeStamp]]-IGA_BD[[#This Row],[Fault Start TimeStamp]])*24</f>
        <v>0</v>
      </c>
      <c r="P269" s="44" t="str">
        <f>IF(IGA_BD[[#This Row],[Work Start TimeStamp]]="","",(IGA_BD[[#This Row],[Fault Clearance time]]-IGA_BD[[#This Row],[Work Start TimeStamp]])*24)</f>
        <v/>
      </c>
      <c r="Q269" s="57">
        <f>(IGA_BD[[#This Row],[Fault Clearance time]]-IGA_BD[[#This Row],[Fault Start TimeStamp]])*24</f>
        <v>0</v>
      </c>
      <c r="R269" s="153"/>
      <c r="S269" s="44"/>
      <c r="T269" s="45" t="str">
        <f>IFERROR(IGA_BD[[#This Row],[Breakdown Time]]*IGA_BD[[#This Row],[Plant Equivalent Weightage]],"")</f>
        <v/>
      </c>
    </row>
    <row r="270" spans="1:20">
      <c r="A270" s="28"/>
      <c r="B270" s="154"/>
      <c r="C270" s="30">
        <f>YEAR(WTG_BD[[#This Row],[Date]])+IF(MONTH(WTG_BD[[#This Row],[Date]])&gt;=4,1,0)</f>
        <v>2026</v>
      </c>
      <c r="D270" s="31">
        <f>YEAR(IGA_BD[[#This Row],[Date]])</f>
        <v>1900</v>
      </c>
      <c r="E270" s="48">
        <f t="shared" si="6"/>
        <v>1</v>
      </c>
      <c r="F270" s="32"/>
      <c r="G270" s="33"/>
      <c r="H270" s="43" t="str">
        <f>IFERROR(VLOOKUP(IGA_BD[[#This Row],[Affected Feeder ]],'Basic Data'!$A$42:$E$53,2,0),"")</f>
        <v/>
      </c>
      <c r="I270" s="43" t="str">
        <f>IFERROR(VLOOKUP(IGA_BD[[#This Row],[Affected Feeder ]],'Basic Data'!$A$42:$E$53,3,0),"")</f>
        <v/>
      </c>
      <c r="J270" s="43" t="str">
        <f>IFERROR(VLOOKUP(IGA_BD[[#This Row],[Affected Feeder ]],'Basic Data'!$A$42:$E$53,5,0),"")</f>
        <v/>
      </c>
      <c r="K270" s="164"/>
      <c r="L270" s="50"/>
      <c r="M270" s="116"/>
      <c r="N270" s="116"/>
      <c r="O270" s="57">
        <f>(IGA_BD[[#This Row],[Work Start TimeStamp]]-IGA_BD[[#This Row],[Fault Start TimeStamp]])*24</f>
        <v>0</v>
      </c>
      <c r="P270" s="44" t="str">
        <f>IF(IGA_BD[[#This Row],[Work Start TimeStamp]]="","",(IGA_BD[[#This Row],[Fault Clearance time]]-IGA_BD[[#This Row],[Work Start TimeStamp]])*24)</f>
        <v/>
      </c>
      <c r="Q270" s="57">
        <f>(IGA_BD[[#This Row],[Fault Clearance time]]-IGA_BD[[#This Row],[Fault Start TimeStamp]])*24</f>
        <v>0</v>
      </c>
      <c r="R270" s="153"/>
      <c r="S270" s="44"/>
      <c r="T270" s="45" t="str">
        <f>IFERROR(IGA_BD[[#This Row],[Breakdown Time]]*IGA_BD[[#This Row],[Plant Equivalent Weightage]],"")</f>
        <v/>
      </c>
    </row>
    <row r="271" spans="1:20">
      <c r="A271" s="28"/>
      <c r="B271" s="154"/>
      <c r="C271" s="30">
        <f>YEAR(WTG_BD[[#This Row],[Date]])+IF(MONTH(WTG_BD[[#This Row],[Date]])&gt;=4,1,0)</f>
        <v>2026</v>
      </c>
      <c r="D271" s="31">
        <f>YEAR(IGA_BD[[#This Row],[Date]])</f>
        <v>1900</v>
      </c>
      <c r="E271" s="48">
        <f t="shared" si="6"/>
        <v>1</v>
      </c>
      <c r="F271" s="32"/>
      <c r="G271" s="33"/>
      <c r="H271" s="43" t="str">
        <f>IFERROR(VLOOKUP(IGA_BD[[#This Row],[Affected Feeder ]],'Basic Data'!$A$42:$E$53,2,0),"")</f>
        <v/>
      </c>
      <c r="I271" s="43" t="str">
        <f>IFERROR(VLOOKUP(IGA_BD[[#This Row],[Affected Feeder ]],'Basic Data'!$A$42:$E$53,3,0),"")</f>
        <v/>
      </c>
      <c r="J271" s="43" t="str">
        <f>IFERROR(VLOOKUP(IGA_BD[[#This Row],[Affected Feeder ]],'Basic Data'!$A$42:$E$53,5,0),"")</f>
        <v/>
      </c>
      <c r="K271" s="164"/>
      <c r="L271" s="50"/>
      <c r="M271" s="116"/>
      <c r="N271" s="116"/>
      <c r="O271" s="57">
        <f>(IGA_BD[[#This Row],[Work Start TimeStamp]]-IGA_BD[[#This Row],[Fault Start TimeStamp]])*24</f>
        <v>0</v>
      </c>
      <c r="P271" s="44" t="str">
        <f>IF(IGA_BD[[#This Row],[Work Start TimeStamp]]="","",(IGA_BD[[#This Row],[Fault Clearance time]]-IGA_BD[[#This Row],[Work Start TimeStamp]])*24)</f>
        <v/>
      </c>
      <c r="Q271" s="57">
        <f>(IGA_BD[[#This Row],[Fault Clearance time]]-IGA_BD[[#This Row],[Fault Start TimeStamp]])*24</f>
        <v>0</v>
      </c>
      <c r="R271" s="153"/>
      <c r="S271" s="44"/>
      <c r="T271" s="45" t="str">
        <f>IFERROR(IGA_BD[[#This Row],[Breakdown Time]]*IGA_BD[[#This Row],[Plant Equivalent Weightage]],"")</f>
        <v/>
      </c>
    </row>
    <row r="272" spans="1:20">
      <c r="A272" s="28"/>
      <c r="B272" s="154"/>
      <c r="C272" s="30">
        <f>YEAR(WTG_BD[[#This Row],[Date]])+IF(MONTH(WTG_BD[[#This Row],[Date]])&gt;=4,1,0)</f>
        <v>2026</v>
      </c>
      <c r="D272" s="31">
        <f>YEAR(IGA_BD[[#This Row],[Date]])</f>
        <v>1900</v>
      </c>
      <c r="E272" s="48">
        <f t="shared" si="6"/>
        <v>1</v>
      </c>
      <c r="F272" s="32"/>
      <c r="G272" s="33"/>
      <c r="H272" s="43" t="str">
        <f>IFERROR(VLOOKUP(IGA_BD[[#This Row],[Affected Feeder ]],'Basic Data'!$A$42:$E$53,2,0),"")</f>
        <v/>
      </c>
      <c r="I272" s="43" t="str">
        <f>IFERROR(VLOOKUP(IGA_BD[[#This Row],[Affected Feeder ]],'Basic Data'!$A$42:$E$53,3,0),"")</f>
        <v/>
      </c>
      <c r="J272" s="43" t="str">
        <f>IFERROR(VLOOKUP(IGA_BD[[#This Row],[Affected Feeder ]],'Basic Data'!$A$42:$E$53,5,0),"")</f>
        <v/>
      </c>
      <c r="K272" s="164"/>
      <c r="L272" s="50"/>
      <c r="M272" s="116"/>
      <c r="N272" s="116"/>
      <c r="O272" s="57">
        <f>(IGA_BD[[#This Row],[Work Start TimeStamp]]-IGA_BD[[#This Row],[Fault Start TimeStamp]])*24</f>
        <v>0</v>
      </c>
      <c r="P272" s="44" t="str">
        <f>IF(IGA_BD[[#This Row],[Work Start TimeStamp]]="","",(IGA_BD[[#This Row],[Fault Clearance time]]-IGA_BD[[#This Row],[Work Start TimeStamp]])*24)</f>
        <v/>
      </c>
      <c r="Q272" s="57">
        <f>(IGA_BD[[#This Row],[Fault Clearance time]]-IGA_BD[[#This Row],[Fault Start TimeStamp]])*24</f>
        <v>0</v>
      </c>
      <c r="R272" s="153"/>
      <c r="S272" s="44"/>
      <c r="T272" s="45" t="str">
        <f>IFERROR(IGA_BD[[#This Row],[Breakdown Time]]*IGA_BD[[#This Row],[Plant Equivalent Weightage]],"")</f>
        <v/>
      </c>
    </row>
    <row r="273" spans="1:20">
      <c r="A273" s="28"/>
      <c r="B273" s="154"/>
      <c r="C273" s="30">
        <f>YEAR(WTG_BD[[#This Row],[Date]])+IF(MONTH(WTG_BD[[#This Row],[Date]])&gt;=4,1,0)</f>
        <v>2026</v>
      </c>
      <c r="D273" s="31">
        <f>YEAR(IGA_BD[[#This Row],[Date]])</f>
        <v>1900</v>
      </c>
      <c r="E273" s="48">
        <f t="shared" si="6"/>
        <v>1</v>
      </c>
      <c r="F273" s="32"/>
      <c r="G273" s="33"/>
      <c r="H273" s="43" t="str">
        <f>IFERROR(VLOOKUP(IGA_BD[[#This Row],[Affected Feeder ]],'Basic Data'!$A$42:$E$53,2,0),"")</f>
        <v/>
      </c>
      <c r="I273" s="43" t="str">
        <f>IFERROR(VLOOKUP(IGA_BD[[#This Row],[Affected Feeder ]],'Basic Data'!$A$42:$E$53,3,0),"")</f>
        <v/>
      </c>
      <c r="J273" s="43" t="str">
        <f>IFERROR(VLOOKUP(IGA_BD[[#This Row],[Affected Feeder ]],'Basic Data'!$A$42:$E$53,5,0),"")</f>
        <v/>
      </c>
      <c r="K273" s="164"/>
      <c r="L273" s="50"/>
      <c r="M273" s="116"/>
      <c r="N273" s="116"/>
      <c r="O273" s="57">
        <f>(IGA_BD[[#This Row],[Work Start TimeStamp]]-IGA_BD[[#This Row],[Fault Start TimeStamp]])*24</f>
        <v>0</v>
      </c>
      <c r="P273" s="44" t="str">
        <f>IF(IGA_BD[[#This Row],[Work Start TimeStamp]]="","",(IGA_BD[[#This Row],[Fault Clearance time]]-IGA_BD[[#This Row],[Work Start TimeStamp]])*24)</f>
        <v/>
      </c>
      <c r="Q273" s="57">
        <f>(IGA_BD[[#This Row],[Fault Clearance time]]-IGA_BD[[#This Row],[Fault Start TimeStamp]])*24</f>
        <v>0</v>
      </c>
      <c r="R273" s="153"/>
      <c r="S273" s="44"/>
      <c r="T273" s="45" t="str">
        <f>IFERROR(IGA_BD[[#This Row],[Breakdown Time]]*IGA_BD[[#This Row],[Plant Equivalent Weightage]],"")</f>
        <v/>
      </c>
    </row>
    <row r="274" spans="1:20">
      <c r="A274" s="28"/>
      <c r="B274" s="154"/>
      <c r="C274" s="30">
        <f>YEAR(WTG_BD[[#This Row],[Date]])+IF(MONTH(WTG_BD[[#This Row],[Date]])&gt;=4,1,0)</f>
        <v>2026</v>
      </c>
      <c r="D274" s="31">
        <f>YEAR(IGA_BD[[#This Row],[Date]])</f>
        <v>1900</v>
      </c>
      <c r="E274" s="48">
        <f t="shared" si="6"/>
        <v>1</v>
      </c>
      <c r="F274" s="32"/>
      <c r="G274" s="33"/>
      <c r="H274" s="43" t="str">
        <f>IFERROR(VLOOKUP(IGA_BD[[#This Row],[Affected Feeder ]],'Basic Data'!$A$42:$E$53,2,0),"")</f>
        <v/>
      </c>
      <c r="I274" s="43" t="str">
        <f>IFERROR(VLOOKUP(IGA_BD[[#This Row],[Affected Feeder ]],'Basic Data'!$A$42:$E$53,3,0),"")</f>
        <v/>
      </c>
      <c r="J274" s="43" t="str">
        <f>IFERROR(VLOOKUP(IGA_BD[[#This Row],[Affected Feeder ]],'Basic Data'!$A$42:$E$53,5,0),"")</f>
        <v/>
      </c>
      <c r="K274" s="164"/>
      <c r="L274" s="50"/>
      <c r="M274" s="116"/>
      <c r="N274" s="116"/>
      <c r="O274" s="57">
        <f>(IGA_BD[[#This Row],[Work Start TimeStamp]]-IGA_BD[[#This Row],[Fault Start TimeStamp]])*24</f>
        <v>0</v>
      </c>
      <c r="P274" s="44" t="str">
        <f>IF(IGA_BD[[#This Row],[Work Start TimeStamp]]="","",(IGA_BD[[#This Row],[Fault Clearance time]]-IGA_BD[[#This Row],[Work Start TimeStamp]])*24)</f>
        <v/>
      </c>
      <c r="Q274" s="57">
        <f>(IGA_BD[[#This Row],[Fault Clearance time]]-IGA_BD[[#This Row],[Fault Start TimeStamp]])*24</f>
        <v>0</v>
      </c>
      <c r="R274" s="153"/>
      <c r="S274" s="44"/>
      <c r="T274" s="45" t="str">
        <f>IFERROR(IGA_BD[[#This Row],[Breakdown Time]]*IGA_BD[[#This Row],[Plant Equivalent Weightage]],"")</f>
        <v/>
      </c>
    </row>
    <row r="275" spans="1:20">
      <c r="A275" s="28"/>
      <c r="B275" s="154"/>
      <c r="C275" s="30">
        <f>YEAR(WTG_BD[[#This Row],[Date]])+IF(MONTH(WTG_BD[[#This Row],[Date]])&gt;=4,1,0)</f>
        <v>2026</v>
      </c>
      <c r="D275" s="31">
        <f>YEAR(IGA_BD[[#This Row],[Date]])</f>
        <v>1900</v>
      </c>
      <c r="E275" s="48">
        <f t="shared" si="6"/>
        <v>1</v>
      </c>
      <c r="F275" s="32"/>
      <c r="G275" s="33"/>
      <c r="H275" s="43" t="str">
        <f>IFERROR(VLOOKUP(IGA_BD[[#This Row],[Affected Feeder ]],'Basic Data'!$A$42:$E$53,2,0),"")</f>
        <v/>
      </c>
      <c r="I275" s="43" t="str">
        <f>IFERROR(VLOOKUP(IGA_BD[[#This Row],[Affected Feeder ]],'Basic Data'!$A$42:$E$53,3,0),"")</f>
        <v/>
      </c>
      <c r="J275" s="43" t="str">
        <f>IFERROR(VLOOKUP(IGA_BD[[#This Row],[Affected Feeder ]],'Basic Data'!$A$42:$E$53,5,0),"")</f>
        <v/>
      </c>
      <c r="K275" s="164"/>
      <c r="L275" s="50"/>
      <c r="M275" s="116"/>
      <c r="N275" s="116"/>
      <c r="O275" s="57">
        <f>(IGA_BD[[#This Row],[Work Start TimeStamp]]-IGA_BD[[#This Row],[Fault Start TimeStamp]])*24</f>
        <v>0</v>
      </c>
      <c r="P275" s="44" t="str">
        <f>IF(IGA_BD[[#This Row],[Work Start TimeStamp]]="","",(IGA_BD[[#This Row],[Fault Clearance time]]-IGA_BD[[#This Row],[Work Start TimeStamp]])*24)</f>
        <v/>
      </c>
      <c r="Q275" s="57">
        <f>(IGA_BD[[#This Row],[Fault Clearance time]]-IGA_BD[[#This Row],[Fault Start TimeStamp]])*24</f>
        <v>0</v>
      </c>
      <c r="R275" s="153"/>
      <c r="S275" s="44"/>
      <c r="T275" s="45" t="str">
        <f>IFERROR(IGA_BD[[#This Row],[Breakdown Time]]*IGA_BD[[#This Row],[Plant Equivalent Weightage]],"")</f>
        <v/>
      </c>
    </row>
    <row r="276" spans="1:20">
      <c r="A276" s="28"/>
      <c r="B276" s="154"/>
      <c r="C276" s="30">
        <f>YEAR(WTG_BD[[#This Row],[Date]])+IF(MONTH(WTG_BD[[#This Row],[Date]])&gt;=4,1,0)</f>
        <v>2026</v>
      </c>
      <c r="D276" s="31">
        <f>YEAR(IGA_BD[[#This Row],[Date]])</f>
        <v>1900</v>
      </c>
      <c r="E276" s="48">
        <f t="shared" si="6"/>
        <v>1</v>
      </c>
      <c r="F276" s="32"/>
      <c r="G276" s="33"/>
      <c r="H276" s="43" t="str">
        <f>IFERROR(VLOOKUP(IGA_BD[[#This Row],[Affected Feeder ]],'Basic Data'!$A$42:$E$53,2,0),"")</f>
        <v/>
      </c>
      <c r="I276" s="43" t="str">
        <f>IFERROR(VLOOKUP(IGA_BD[[#This Row],[Affected Feeder ]],'Basic Data'!$A$42:$E$53,3,0),"")</f>
        <v/>
      </c>
      <c r="J276" s="43" t="str">
        <f>IFERROR(VLOOKUP(IGA_BD[[#This Row],[Affected Feeder ]],'Basic Data'!$A$42:$E$53,5,0),"")</f>
        <v/>
      </c>
      <c r="K276" s="164"/>
      <c r="L276" s="50"/>
      <c r="M276" s="116"/>
      <c r="N276" s="116"/>
      <c r="O276" s="57">
        <f>(IGA_BD[[#This Row],[Work Start TimeStamp]]-IGA_BD[[#This Row],[Fault Start TimeStamp]])*24</f>
        <v>0</v>
      </c>
      <c r="P276" s="44" t="str">
        <f>IF(IGA_BD[[#This Row],[Work Start TimeStamp]]="","",(IGA_BD[[#This Row],[Fault Clearance time]]-IGA_BD[[#This Row],[Work Start TimeStamp]])*24)</f>
        <v/>
      </c>
      <c r="Q276" s="57">
        <f>(IGA_BD[[#This Row],[Fault Clearance time]]-IGA_BD[[#This Row],[Fault Start TimeStamp]])*24</f>
        <v>0</v>
      </c>
      <c r="R276" s="153"/>
      <c r="S276" s="44"/>
      <c r="T276" s="45" t="str">
        <f>IFERROR(IGA_BD[[#This Row],[Breakdown Time]]*IGA_BD[[#This Row],[Plant Equivalent Weightage]],"")</f>
        <v/>
      </c>
    </row>
    <row r="277" spans="1:20">
      <c r="A277" s="28"/>
      <c r="B277" s="154"/>
      <c r="C277" s="30">
        <f>YEAR(WTG_BD[[#This Row],[Date]])+IF(MONTH(WTG_BD[[#This Row],[Date]])&gt;=4,1,0)</f>
        <v>2026</v>
      </c>
      <c r="D277" s="31">
        <f>YEAR(IGA_BD[[#This Row],[Date]])</f>
        <v>1900</v>
      </c>
      <c r="E277" s="48">
        <f t="shared" si="6"/>
        <v>1</v>
      </c>
      <c r="F277" s="32"/>
      <c r="G277" s="33"/>
      <c r="H277" s="43" t="str">
        <f>IFERROR(VLOOKUP(IGA_BD[[#This Row],[Affected Feeder ]],'Basic Data'!$A$42:$E$53,2,0),"")</f>
        <v/>
      </c>
      <c r="I277" s="43" t="str">
        <f>IFERROR(VLOOKUP(IGA_BD[[#This Row],[Affected Feeder ]],'Basic Data'!$A$42:$E$53,3,0),"")</f>
        <v/>
      </c>
      <c r="J277" s="43" t="str">
        <f>IFERROR(VLOOKUP(IGA_BD[[#This Row],[Affected Feeder ]],'Basic Data'!$A$42:$E$53,5,0),"")</f>
        <v/>
      </c>
      <c r="K277" s="164"/>
      <c r="L277" s="50"/>
      <c r="M277" s="116"/>
      <c r="N277" s="116"/>
      <c r="O277" s="57">
        <f>(IGA_BD[[#This Row],[Work Start TimeStamp]]-IGA_BD[[#This Row],[Fault Start TimeStamp]])*24</f>
        <v>0</v>
      </c>
      <c r="P277" s="44" t="str">
        <f>IF(IGA_BD[[#This Row],[Work Start TimeStamp]]="","",(IGA_BD[[#This Row],[Fault Clearance time]]-IGA_BD[[#This Row],[Work Start TimeStamp]])*24)</f>
        <v/>
      </c>
      <c r="Q277" s="57">
        <f>(IGA_BD[[#This Row],[Fault Clearance time]]-IGA_BD[[#This Row],[Fault Start TimeStamp]])*24</f>
        <v>0</v>
      </c>
      <c r="R277" s="153"/>
      <c r="S277" s="44"/>
      <c r="T277" s="45" t="str">
        <f>IFERROR(IGA_BD[[#This Row],[Breakdown Time]]*IGA_BD[[#This Row],[Plant Equivalent Weightage]],"")</f>
        <v/>
      </c>
    </row>
    <row r="278" spans="1:20">
      <c r="A278" s="28"/>
      <c r="B278" s="154"/>
      <c r="C278" s="30">
        <f>YEAR(WTG_BD[[#This Row],[Date]])+IF(MONTH(WTG_BD[[#This Row],[Date]])&gt;=4,1,0)</f>
        <v>2026</v>
      </c>
      <c r="D278" s="31">
        <f>YEAR(IGA_BD[[#This Row],[Date]])</f>
        <v>1900</v>
      </c>
      <c r="E278" s="48">
        <f t="shared" si="6"/>
        <v>1</v>
      </c>
      <c r="F278" s="32"/>
      <c r="G278" s="33"/>
      <c r="H278" s="43" t="str">
        <f>IFERROR(VLOOKUP(IGA_BD[[#This Row],[Affected Feeder ]],'Basic Data'!$A$42:$E$53,2,0),"")</f>
        <v/>
      </c>
      <c r="I278" s="43" t="str">
        <f>IFERROR(VLOOKUP(IGA_BD[[#This Row],[Affected Feeder ]],'Basic Data'!$A$42:$E$53,3,0),"")</f>
        <v/>
      </c>
      <c r="J278" s="43" t="str">
        <f>IFERROR(VLOOKUP(IGA_BD[[#This Row],[Affected Feeder ]],'Basic Data'!$A$42:$E$53,5,0),"")</f>
        <v/>
      </c>
      <c r="K278" s="164"/>
      <c r="L278" s="50"/>
      <c r="M278" s="116"/>
      <c r="N278" s="116"/>
      <c r="O278" s="57">
        <f>(IGA_BD[[#This Row],[Work Start TimeStamp]]-IGA_BD[[#This Row],[Fault Start TimeStamp]])*24</f>
        <v>0</v>
      </c>
      <c r="P278" s="44" t="str">
        <f>IF(IGA_BD[[#This Row],[Work Start TimeStamp]]="","",(IGA_BD[[#This Row],[Fault Clearance time]]-IGA_BD[[#This Row],[Work Start TimeStamp]])*24)</f>
        <v/>
      </c>
      <c r="Q278" s="57">
        <f>(IGA_BD[[#This Row],[Fault Clearance time]]-IGA_BD[[#This Row],[Fault Start TimeStamp]])*24</f>
        <v>0</v>
      </c>
      <c r="R278" s="153"/>
      <c r="S278" s="44"/>
      <c r="T278" s="45" t="str">
        <f>IFERROR(IGA_BD[[#This Row],[Breakdown Time]]*IGA_BD[[#This Row],[Plant Equivalent Weightage]],"")</f>
        <v/>
      </c>
    </row>
    <row r="279" spans="1:20">
      <c r="A279" s="28"/>
      <c r="B279" s="154"/>
      <c r="C279" s="30">
        <f>YEAR(WTG_BD[[#This Row],[Date]])+IF(MONTH(WTG_BD[[#This Row],[Date]])&gt;=4,1,0)</f>
        <v>2026</v>
      </c>
      <c r="D279" s="31">
        <f>YEAR(IGA_BD[[#This Row],[Date]])</f>
        <v>1900</v>
      </c>
      <c r="E279" s="48">
        <f t="shared" si="6"/>
        <v>1</v>
      </c>
      <c r="F279" s="32"/>
      <c r="G279" s="33"/>
      <c r="H279" s="43" t="str">
        <f>IFERROR(VLOOKUP(IGA_BD[[#This Row],[Affected Feeder ]],'Basic Data'!$A$42:$E$53,2,0),"")</f>
        <v/>
      </c>
      <c r="I279" s="43" t="str">
        <f>IFERROR(VLOOKUP(IGA_BD[[#This Row],[Affected Feeder ]],'Basic Data'!$A$42:$E$53,3,0),"")</f>
        <v/>
      </c>
      <c r="J279" s="43" t="str">
        <f>IFERROR(VLOOKUP(IGA_BD[[#This Row],[Affected Feeder ]],'Basic Data'!$A$42:$E$53,5,0),"")</f>
        <v/>
      </c>
      <c r="K279" s="164"/>
      <c r="L279" s="50"/>
      <c r="M279" s="116"/>
      <c r="N279" s="116"/>
      <c r="O279" s="57">
        <f>(IGA_BD[[#This Row],[Work Start TimeStamp]]-IGA_BD[[#This Row],[Fault Start TimeStamp]])*24</f>
        <v>0</v>
      </c>
      <c r="P279" s="44" t="str">
        <f>IF(IGA_BD[[#This Row],[Work Start TimeStamp]]="","",(IGA_BD[[#This Row],[Fault Clearance time]]-IGA_BD[[#This Row],[Work Start TimeStamp]])*24)</f>
        <v/>
      </c>
      <c r="Q279" s="57">
        <f>(IGA_BD[[#This Row],[Fault Clearance time]]-IGA_BD[[#This Row],[Fault Start TimeStamp]])*24</f>
        <v>0</v>
      </c>
      <c r="R279" s="153"/>
      <c r="S279" s="44"/>
      <c r="T279" s="45" t="str">
        <f>IFERROR(IGA_BD[[#This Row],[Breakdown Time]]*IGA_BD[[#This Row],[Plant Equivalent Weightage]],"")</f>
        <v/>
      </c>
    </row>
    <row r="280" spans="1:20">
      <c r="A280" s="28"/>
      <c r="B280" s="154"/>
      <c r="C280" s="30">
        <f>YEAR(WTG_BD[[#This Row],[Date]])+IF(MONTH(WTG_BD[[#This Row],[Date]])&gt;=4,1,0)</f>
        <v>2026</v>
      </c>
      <c r="D280" s="31">
        <f>YEAR(IGA_BD[[#This Row],[Date]])</f>
        <v>1900</v>
      </c>
      <c r="E280" s="48">
        <f t="shared" si="6"/>
        <v>1</v>
      </c>
      <c r="F280" s="32"/>
      <c r="G280" s="33"/>
      <c r="H280" s="43" t="str">
        <f>IFERROR(VLOOKUP(IGA_BD[[#This Row],[Affected Feeder ]],'Basic Data'!$A$42:$E$53,2,0),"")</f>
        <v/>
      </c>
      <c r="I280" s="43" t="str">
        <f>IFERROR(VLOOKUP(IGA_BD[[#This Row],[Affected Feeder ]],'Basic Data'!$A$42:$E$53,3,0),"")</f>
        <v/>
      </c>
      <c r="J280" s="43" t="str">
        <f>IFERROR(VLOOKUP(IGA_BD[[#This Row],[Affected Feeder ]],'Basic Data'!$A$42:$E$53,5,0),"")</f>
        <v/>
      </c>
      <c r="K280" s="164"/>
      <c r="L280" s="50"/>
      <c r="M280" s="116"/>
      <c r="N280" s="116"/>
      <c r="O280" s="57">
        <f>(IGA_BD[[#This Row],[Work Start TimeStamp]]-IGA_BD[[#This Row],[Fault Start TimeStamp]])*24</f>
        <v>0</v>
      </c>
      <c r="P280" s="44" t="str">
        <f>IF(IGA_BD[[#This Row],[Work Start TimeStamp]]="","",(IGA_BD[[#This Row],[Fault Clearance time]]-IGA_BD[[#This Row],[Work Start TimeStamp]])*24)</f>
        <v/>
      </c>
      <c r="Q280" s="57">
        <f>(IGA_BD[[#This Row],[Fault Clearance time]]-IGA_BD[[#This Row],[Fault Start TimeStamp]])*24</f>
        <v>0</v>
      </c>
      <c r="R280" s="153"/>
      <c r="S280" s="44"/>
      <c r="T280" s="45" t="str">
        <f>IFERROR(IGA_BD[[#This Row],[Breakdown Time]]*IGA_BD[[#This Row],[Plant Equivalent Weightage]],"")</f>
        <v/>
      </c>
    </row>
    <row r="281" spans="1:20">
      <c r="A281" s="28"/>
      <c r="B281" s="154"/>
      <c r="C281" s="30">
        <f>YEAR(WTG_BD[[#This Row],[Date]])+IF(MONTH(WTG_BD[[#This Row],[Date]])&gt;=4,1,0)</f>
        <v>2026</v>
      </c>
      <c r="D281" s="31">
        <f>YEAR(IGA_BD[[#This Row],[Date]])</f>
        <v>1900</v>
      </c>
      <c r="E281" s="48">
        <f t="shared" si="6"/>
        <v>1</v>
      </c>
      <c r="F281" s="32"/>
      <c r="G281" s="33"/>
      <c r="H281" s="43" t="str">
        <f>IFERROR(VLOOKUP(IGA_BD[[#This Row],[Affected Feeder ]],'Basic Data'!$A$42:$E$53,2,0),"")</f>
        <v/>
      </c>
      <c r="I281" s="43" t="str">
        <f>IFERROR(VLOOKUP(IGA_BD[[#This Row],[Affected Feeder ]],'Basic Data'!$A$42:$E$53,3,0),"")</f>
        <v/>
      </c>
      <c r="J281" s="43" t="str">
        <f>IFERROR(VLOOKUP(IGA_BD[[#This Row],[Affected Feeder ]],'Basic Data'!$A$42:$E$53,5,0),"")</f>
        <v/>
      </c>
      <c r="K281" s="164"/>
      <c r="L281" s="50"/>
      <c r="M281" s="116"/>
      <c r="N281" s="116"/>
      <c r="O281" s="57">
        <f>(IGA_BD[[#This Row],[Work Start TimeStamp]]-IGA_BD[[#This Row],[Fault Start TimeStamp]])*24</f>
        <v>0</v>
      </c>
      <c r="P281" s="44" t="str">
        <f>IF(IGA_BD[[#This Row],[Work Start TimeStamp]]="","",(IGA_BD[[#This Row],[Fault Clearance time]]-IGA_BD[[#This Row],[Work Start TimeStamp]])*24)</f>
        <v/>
      </c>
      <c r="Q281" s="57">
        <f>(IGA_BD[[#This Row],[Fault Clearance time]]-IGA_BD[[#This Row],[Fault Start TimeStamp]])*24</f>
        <v>0</v>
      </c>
      <c r="R281" s="153"/>
      <c r="S281" s="44"/>
      <c r="T281" s="45" t="str">
        <f>IFERROR(IGA_BD[[#This Row],[Breakdown Time]]*IGA_BD[[#This Row],[Plant Equivalent Weightage]],"")</f>
        <v/>
      </c>
    </row>
    <row r="282" spans="1:20">
      <c r="A282" s="28"/>
      <c r="B282" s="154"/>
      <c r="C282" s="30">
        <f>YEAR(WTG_BD[[#This Row],[Date]])+IF(MONTH(WTG_BD[[#This Row],[Date]])&gt;=4,1,0)</f>
        <v>2026</v>
      </c>
      <c r="D282" s="31">
        <f>YEAR(IGA_BD[[#This Row],[Date]])</f>
        <v>1900</v>
      </c>
      <c r="E282" s="48">
        <f t="shared" si="6"/>
        <v>1</v>
      </c>
      <c r="F282" s="32"/>
      <c r="G282" s="33"/>
      <c r="H282" s="43" t="str">
        <f>IFERROR(VLOOKUP(IGA_BD[[#This Row],[Affected Feeder ]],'Basic Data'!$A$42:$E$53,2,0),"")</f>
        <v/>
      </c>
      <c r="I282" s="43" t="str">
        <f>IFERROR(VLOOKUP(IGA_BD[[#This Row],[Affected Feeder ]],'Basic Data'!$A$42:$E$53,3,0),"")</f>
        <v/>
      </c>
      <c r="J282" s="43" t="str">
        <f>IFERROR(VLOOKUP(IGA_BD[[#This Row],[Affected Feeder ]],'Basic Data'!$A$42:$E$53,5,0),"")</f>
        <v/>
      </c>
      <c r="K282" s="164"/>
      <c r="L282" s="50"/>
      <c r="M282" s="116"/>
      <c r="N282" s="116"/>
      <c r="O282" s="57">
        <f>(IGA_BD[[#This Row],[Work Start TimeStamp]]-IGA_BD[[#This Row],[Fault Start TimeStamp]])*24</f>
        <v>0</v>
      </c>
      <c r="P282" s="44" t="str">
        <f>IF(IGA_BD[[#This Row],[Work Start TimeStamp]]="","",(IGA_BD[[#This Row],[Fault Clearance time]]-IGA_BD[[#This Row],[Work Start TimeStamp]])*24)</f>
        <v/>
      </c>
      <c r="Q282" s="57">
        <f>(IGA_BD[[#This Row],[Fault Clearance time]]-IGA_BD[[#This Row],[Fault Start TimeStamp]])*24</f>
        <v>0</v>
      </c>
      <c r="R282" s="153"/>
      <c r="S282" s="44"/>
      <c r="T282" s="45" t="str">
        <f>IFERROR(IGA_BD[[#This Row],[Breakdown Time]]*IGA_BD[[#This Row],[Plant Equivalent Weightage]],"")</f>
        <v/>
      </c>
    </row>
    <row r="283" spans="1:20">
      <c r="A283" s="28"/>
      <c r="B283" s="154"/>
      <c r="C283" s="30">
        <f>YEAR(WTG_BD[[#This Row],[Date]])+IF(MONTH(WTG_BD[[#This Row],[Date]])&gt;=4,1,0)</f>
        <v>2026</v>
      </c>
      <c r="D283" s="31">
        <f>YEAR(IGA_BD[[#This Row],[Date]])</f>
        <v>1900</v>
      </c>
      <c r="E283" s="48">
        <f t="shared" si="6"/>
        <v>1</v>
      </c>
      <c r="F283" s="32"/>
      <c r="G283" s="33"/>
      <c r="H283" s="43" t="str">
        <f>IFERROR(VLOOKUP(IGA_BD[[#This Row],[Affected Feeder ]],'Basic Data'!$A$42:$E$53,2,0),"")</f>
        <v/>
      </c>
      <c r="I283" s="43" t="str">
        <f>IFERROR(VLOOKUP(IGA_BD[[#This Row],[Affected Feeder ]],'Basic Data'!$A$42:$E$53,3,0),"")</f>
        <v/>
      </c>
      <c r="J283" s="43" t="str">
        <f>IFERROR(VLOOKUP(IGA_BD[[#This Row],[Affected Feeder ]],'Basic Data'!$A$42:$E$53,5,0),"")</f>
        <v/>
      </c>
      <c r="K283" s="164"/>
      <c r="L283" s="50"/>
      <c r="M283" s="116"/>
      <c r="N283" s="116"/>
      <c r="O283" s="57">
        <f>(IGA_BD[[#This Row],[Work Start TimeStamp]]-IGA_BD[[#This Row],[Fault Start TimeStamp]])*24</f>
        <v>0</v>
      </c>
      <c r="P283" s="44" t="str">
        <f>IF(IGA_BD[[#This Row],[Work Start TimeStamp]]="","",(IGA_BD[[#This Row],[Fault Clearance time]]-IGA_BD[[#This Row],[Work Start TimeStamp]])*24)</f>
        <v/>
      </c>
      <c r="Q283" s="57">
        <f>(IGA_BD[[#This Row],[Fault Clearance time]]-IGA_BD[[#This Row],[Fault Start TimeStamp]])*24</f>
        <v>0</v>
      </c>
      <c r="R283" s="153"/>
      <c r="S283" s="44"/>
      <c r="T283" s="45" t="str">
        <f>IFERROR(IGA_BD[[#This Row],[Breakdown Time]]*IGA_BD[[#This Row],[Plant Equivalent Weightage]],"")</f>
        <v/>
      </c>
    </row>
    <row r="284" spans="1:20">
      <c r="A284" s="28"/>
      <c r="B284" s="154"/>
      <c r="C284" s="30">
        <f>YEAR(WTG_BD[[#This Row],[Date]])+IF(MONTH(WTG_BD[[#This Row],[Date]])&gt;=4,1,0)</f>
        <v>2026</v>
      </c>
      <c r="D284" s="31">
        <f>YEAR(IGA_BD[[#This Row],[Date]])</f>
        <v>1900</v>
      </c>
      <c r="E284" s="48">
        <f t="shared" ref="E284:E347" si="7">B284-DAY(B284)+1</f>
        <v>1</v>
      </c>
      <c r="F284" s="32"/>
      <c r="G284" s="33"/>
      <c r="H284" s="43" t="str">
        <f>IFERROR(VLOOKUP(IGA_BD[[#This Row],[Affected Feeder ]],'Basic Data'!$A$42:$E$53,2,0),"")</f>
        <v/>
      </c>
      <c r="I284" s="43" t="str">
        <f>IFERROR(VLOOKUP(IGA_BD[[#This Row],[Affected Feeder ]],'Basic Data'!$A$42:$E$53,3,0),"")</f>
        <v/>
      </c>
      <c r="J284" s="43" t="str">
        <f>IFERROR(VLOOKUP(IGA_BD[[#This Row],[Affected Feeder ]],'Basic Data'!$A$42:$E$53,5,0),"")</f>
        <v/>
      </c>
      <c r="K284" s="164"/>
      <c r="L284" s="50"/>
      <c r="M284" s="116"/>
      <c r="N284" s="116"/>
      <c r="O284" s="57">
        <f>(IGA_BD[[#This Row],[Work Start TimeStamp]]-IGA_BD[[#This Row],[Fault Start TimeStamp]])*24</f>
        <v>0</v>
      </c>
      <c r="P284" s="44" t="str">
        <f>IF(IGA_BD[[#This Row],[Work Start TimeStamp]]="","",(IGA_BD[[#This Row],[Fault Clearance time]]-IGA_BD[[#This Row],[Work Start TimeStamp]])*24)</f>
        <v/>
      </c>
      <c r="Q284" s="57">
        <f>(IGA_BD[[#This Row],[Fault Clearance time]]-IGA_BD[[#This Row],[Fault Start TimeStamp]])*24</f>
        <v>0</v>
      </c>
      <c r="R284" s="153"/>
      <c r="S284" s="44"/>
      <c r="T284" s="45" t="str">
        <f>IFERROR(IGA_BD[[#This Row],[Breakdown Time]]*IGA_BD[[#This Row],[Plant Equivalent Weightage]],"")</f>
        <v/>
      </c>
    </row>
    <row r="285" spans="1:20">
      <c r="A285" s="28"/>
      <c r="B285" s="154"/>
      <c r="C285" s="30">
        <f>YEAR(WTG_BD[[#This Row],[Date]])+IF(MONTH(WTG_BD[[#This Row],[Date]])&gt;=4,1,0)</f>
        <v>2026</v>
      </c>
      <c r="D285" s="31">
        <f>YEAR(IGA_BD[[#This Row],[Date]])</f>
        <v>1900</v>
      </c>
      <c r="E285" s="48">
        <f t="shared" si="7"/>
        <v>1</v>
      </c>
      <c r="F285" s="32"/>
      <c r="G285" s="33"/>
      <c r="H285" s="43" t="str">
        <f>IFERROR(VLOOKUP(IGA_BD[[#This Row],[Affected Feeder ]],'Basic Data'!$A$42:$E$53,2,0),"")</f>
        <v/>
      </c>
      <c r="I285" s="43" t="str">
        <f>IFERROR(VLOOKUP(IGA_BD[[#This Row],[Affected Feeder ]],'Basic Data'!$A$42:$E$53,3,0),"")</f>
        <v/>
      </c>
      <c r="J285" s="43" t="str">
        <f>IFERROR(VLOOKUP(IGA_BD[[#This Row],[Affected Feeder ]],'Basic Data'!$A$42:$E$53,5,0),"")</f>
        <v/>
      </c>
      <c r="K285" s="164"/>
      <c r="L285" s="50"/>
      <c r="M285" s="116"/>
      <c r="N285" s="116"/>
      <c r="O285" s="57">
        <f>(IGA_BD[[#This Row],[Work Start TimeStamp]]-IGA_BD[[#This Row],[Fault Start TimeStamp]])*24</f>
        <v>0</v>
      </c>
      <c r="P285" s="44" t="str">
        <f>IF(IGA_BD[[#This Row],[Work Start TimeStamp]]="","",(IGA_BD[[#This Row],[Fault Clearance time]]-IGA_BD[[#This Row],[Work Start TimeStamp]])*24)</f>
        <v/>
      </c>
      <c r="Q285" s="57">
        <f>(IGA_BD[[#This Row],[Fault Clearance time]]-IGA_BD[[#This Row],[Fault Start TimeStamp]])*24</f>
        <v>0</v>
      </c>
      <c r="R285" s="153"/>
      <c r="S285" s="44"/>
      <c r="T285" s="45" t="str">
        <f>IFERROR(IGA_BD[[#This Row],[Breakdown Time]]*IGA_BD[[#This Row],[Plant Equivalent Weightage]],"")</f>
        <v/>
      </c>
    </row>
    <row r="286" spans="1:20">
      <c r="A286" s="28"/>
      <c r="B286" s="154"/>
      <c r="C286" s="30">
        <f>YEAR(WTG_BD[[#This Row],[Date]])+IF(MONTH(WTG_BD[[#This Row],[Date]])&gt;=4,1,0)</f>
        <v>2026</v>
      </c>
      <c r="D286" s="31">
        <f>YEAR(IGA_BD[[#This Row],[Date]])</f>
        <v>1900</v>
      </c>
      <c r="E286" s="48">
        <f t="shared" si="7"/>
        <v>1</v>
      </c>
      <c r="F286" s="32"/>
      <c r="G286" s="33"/>
      <c r="H286" s="43" t="str">
        <f>IFERROR(VLOOKUP(IGA_BD[[#This Row],[Affected Feeder ]],'Basic Data'!$A$42:$E$53,2,0),"")</f>
        <v/>
      </c>
      <c r="I286" s="43" t="str">
        <f>IFERROR(VLOOKUP(IGA_BD[[#This Row],[Affected Feeder ]],'Basic Data'!$A$42:$E$53,3,0),"")</f>
        <v/>
      </c>
      <c r="J286" s="43" t="str">
        <f>IFERROR(VLOOKUP(IGA_BD[[#This Row],[Affected Feeder ]],'Basic Data'!$A$42:$E$53,5,0),"")</f>
        <v/>
      </c>
      <c r="K286" s="164"/>
      <c r="L286" s="50"/>
      <c r="M286" s="116"/>
      <c r="N286" s="116"/>
      <c r="O286" s="57">
        <f>(IGA_BD[[#This Row],[Work Start TimeStamp]]-IGA_BD[[#This Row],[Fault Start TimeStamp]])*24</f>
        <v>0</v>
      </c>
      <c r="P286" s="44" t="str">
        <f>IF(IGA_BD[[#This Row],[Work Start TimeStamp]]="","",(IGA_BD[[#This Row],[Fault Clearance time]]-IGA_BD[[#This Row],[Work Start TimeStamp]])*24)</f>
        <v/>
      </c>
      <c r="Q286" s="57">
        <f>(IGA_BD[[#This Row],[Fault Clearance time]]-IGA_BD[[#This Row],[Fault Start TimeStamp]])*24</f>
        <v>0</v>
      </c>
      <c r="R286" s="153"/>
      <c r="S286" s="44"/>
      <c r="T286" s="45" t="str">
        <f>IFERROR(IGA_BD[[#This Row],[Breakdown Time]]*IGA_BD[[#This Row],[Plant Equivalent Weightage]],"")</f>
        <v/>
      </c>
    </row>
    <row r="287" spans="1:20">
      <c r="A287" s="28"/>
      <c r="B287" s="154"/>
      <c r="C287" s="30">
        <f>YEAR(WTG_BD[[#This Row],[Date]])+IF(MONTH(WTG_BD[[#This Row],[Date]])&gt;=4,1,0)</f>
        <v>2026</v>
      </c>
      <c r="D287" s="31">
        <f>YEAR(IGA_BD[[#This Row],[Date]])</f>
        <v>1900</v>
      </c>
      <c r="E287" s="48">
        <f t="shared" si="7"/>
        <v>1</v>
      </c>
      <c r="F287" s="32"/>
      <c r="G287" s="33"/>
      <c r="H287" s="43" t="str">
        <f>IFERROR(VLOOKUP(IGA_BD[[#This Row],[Affected Feeder ]],'Basic Data'!$A$42:$E$53,2,0),"")</f>
        <v/>
      </c>
      <c r="I287" s="43" t="str">
        <f>IFERROR(VLOOKUP(IGA_BD[[#This Row],[Affected Feeder ]],'Basic Data'!$A$42:$E$53,3,0),"")</f>
        <v/>
      </c>
      <c r="J287" s="43" t="str">
        <f>IFERROR(VLOOKUP(IGA_BD[[#This Row],[Affected Feeder ]],'Basic Data'!$A$42:$E$53,5,0),"")</f>
        <v/>
      </c>
      <c r="K287" s="164"/>
      <c r="L287" s="50"/>
      <c r="M287" s="116"/>
      <c r="N287" s="116"/>
      <c r="O287" s="57">
        <f>(IGA_BD[[#This Row],[Work Start TimeStamp]]-IGA_BD[[#This Row],[Fault Start TimeStamp]])*24</f>
        <v>0</v>
      </c>
      <c r="P287" s="44" t="str">
        <f>IF(IGA_BD[[#This Row],[Work Start TimeStamp]]="","",(IGA_BD[[#This Row],[Fault Clearance time]]-IGA_BD[[#This Row],[Work Start TimeStamp]])*24)</f>
        <v/>
      </c>
      <c r="Q287" s="57">
        <f>(IGA_BD[[#This Row],[Fault Clearance time]]-IGA_BD[[#This Row],[Fault Start TimeStamp]])*24</f>
        <v>0</v>
      </c>
      <c r="R287" s="153"/>
      <c r="S287" s="44"/>
      <c r="T287" s="45" t="str">
        <f>IFERROR(IGA_BD[[#This Row],[Breakdown Time]]*IGA_BD[[#This Row],[Plant Equivalent Weightage]],"")</f>
        <v/>
      </c>
    </row>
    <row r="288" spans="1:20">
      <c r="A288" s="28"/>
      <c r="B288" s="154"/>
      <c r="C288" s="30">
        <f>YEAR(WTG_BD[[#This Row],[Date]])+IF(MONTH(WTG_BD[[#This Row],[Date]])&gt;=4,1,0)</f>
        <v>2026</v>
      </c>
      <c r="D288" s="31">
        <f>YEAR(IGA_BD[[#This Row],[Date]])</f>
        <v>1900</v>
      </c>
      <c r="E288" s="48">
        <f t="shared" si="7"/>
        <v>1</v>
      </c>
      <c r="F288" s="32"/>
      <c r="G288" s="33"/>
      <c r="H288" s="43" t="str">
        <f>IFERROR(VLOOKUP(IGA_BD[[#This Row],[Affected Feeder ]],'Basic Data'!$A$42:$E$53,2,0),"")</f>
        <v/>
      </c>
      <c r="I288" s="43" t="str">
        <f>IFERROR(VLOOKUP(IGA_BD[[#This Row],[Affected Feeder ]],'Basic Data'!$A$42:$E$53,3,0),"")</f>
        <v/>
      </c>
      <c r="J288" s="43" t="str">
        <f>IFERROR(VLOOKUP(IGA_BD[[#This Row],[Affected Feeder ]],'Basic Data'!$A$42:$E$53,5,0),"")</f>
        <v/>
      </c>
      <c r="K288" s="164"/>
      <c r="L288" s="50"/>
      <c r="M288" s="116"/>
      <c r="N288" s="116"/>
      <c r="O288" s="57">
        <f>(IGA_BD[[#This Row],[Work Start TimeStamp]]-IGA_BD[[#This Row],[Fault Start TimeStamp]])*24</f>
        <v>0</v>
      </c>
      <c r="P288" s="44" t="str">
        <f>IF(IGA_BD[[#This Row],[Work Start TimeStamp]]="","",(IGA_BD[[#This Row],[Fault Clearance time]]-IGA_BD[[#This Row],[Work Start TimeStamp]])*24)</f>
        <v/>
      </c>
      <c r="Q288" s="57">
        <f>(IGA_BD[[#This Row],[Fault Clearance time]]-IGA_BD[[#This Row],[Fault Start TimeStamp]])*24</f>
        <v>0</v>
      </c>
      <c r="R288" s="153"/>
      <c r="S288" s="44"/>
      <c r="T288" s="45" t="str">
        <f>IFERROR(IGA_BD[[#This Row],[Breakdown Time]]*IGA_BD[[#This Row],[Plant Equivalent Weightage]],"")</f>
        <v/>
      </c>
    </row>
    <row r="289" spans="1:20">
      <c r="A289" s="28"/>
      <c r="B289" s="154"/>
      <c r="C289" s="30">
        <f>YEAR(WTG_BD[[#This Row],[Date]])+IF(MONTH(WTG_BD[[#This Row],[Date]])&gt;=4,1,0)</f>
        <v>2026</v>
      </c>
      <c r="D289" s="31">
        <f>YEAR(IGA_BD[[#This Row],[Date]])</f>
        <v>1900</v>
      </c>
      <c r="E289" s="48">
        <f t="shared" si="7"/>
        <v>1</v>
      </c>
      <c r="F289" s="32"/>
      <c r="G289" s="33"/>
      <c r="H289" s="43" t="str">
        <f>IFERROR(VLOOKUP(IGA_BD[[#This Row],[Affected Feeder ]],'Basic Data'!$A$42:$E$53,2,0),"")</f>
        <v/>
      </c>
      <c r="I289" s="43" t="str">
        <f>IFERROR(VLOOKUP(IGA_BD[[#This Row],[Affected Feeder ]],'Basic Data'!$A$42:$E$53,3,0),"")</f>
        <v/>
      </c>
      <c r="J289" s="43" t="str">
        <f>IFERROR(VLOOKUP(IGA_BD[[#This Row],[Affected Feeder ]],'Basic Data'!$A$42:$E$53,5,0),"")</f>
        <v/>
      </c>
      <c r="K289" s="164"/>
      <c r="L289" s="50"/>
      <c r="M289" s="116"/>
      <c r="N289" s="116"/>
      <c r="O289" s="57">
        <f>(IGA_BD[[#This Row],[Work Start TimeStamp]]-IGA_BD[[#This Row],[Fault Start TimeStamp]])*24</f>
        <v>0</v>
      </c>
      <c r="P289" s="44" t="str">
        <f>IF(IGA_BD[[#This Row],[Work Start TimeStamp]]="","",(IGA_BD[[#This Row],[Fault Clearance time]]-IGA_BD[[#This Row],[Work Start TimeStamp]])*24)</f>
        <v/>
      </c>
      <c r="Q289" s="57">
        <f>(IGA_BD[[#This Row],[Fault Clearance time]]-IGA_BD[[#This Row],[Fault Start TimeStamp]])*24</f>
        <v>0</v>
      </c>
      <c r="R289" s="153"/>
      <c r="S289" s="44"/>
      <c r="T289" s="45" t="str">
        <f>IFERROR(IGA_BD[[#This Row],[Breakdown Time]]*IGA_BD[[#This Row],[Plant Equivalent Weightage]],"")</f>
        <v/>
      </c>
    </row>
    <row r="290" spans="1:20">
      <c r="A290" s="28"/>
      <c r="B290" s="154"/>
      <c r="C290" s="30">
        <f>YEAR(WTG_BD[[#This Row],[Date]])+IF(MONTH(WTG_BD[[#This Row],[Date]])&gt;=4,1,0)</f>
        <v>2026</v>
      </c>
      <c r="D290" s="31">
        <f>YEAR(IGA_BD[[#This Row],[Date]])</f>
        <v>1900</v>
      </c>
      <c r="E290" s="48">
        <f t="shared" si="7"/>
        <v>1</v>
      </c>
      <c r="F290" s="32"/>
      <c r="G290" s="33"/>
      <c r="H290" s="43" t="str">
        <f>IFERROR(VLOOKUP(IGA_BD[[#This Row],[Affected Feeder ]],'Basic Data'!$A$42:$E$53,2,0),"")</f>
        <v/>
      </c>
      <c r="I290" s="43" t="str">
        <f>IFERROR(VLOOKUP(IGA_BD[[#This Row],[Affected Feeder ]],'Basic Data'!$A$42:$E$53,3,0),"")</f>
        <v/>
      </c>
      <c r="J290" s="43" t="str">
        <f>IFERROR(VLOOKUP(IGA_BD[[#This Row],[Affected Feeder ]],'Basic Data'!$A$42:$E$53,5,0),"")</f>
        <v/>
      </c>
      <c r="K290" s="164"/>
      <c r="L290" s="50"/>
      <c r="M290" s="116"/>
      <c r="N290" s="116"/>
      <c r="O290" s="57">
        <f>(IGA_BD[[#This Row],[Work Start TimeStamp]]-IGA_BD[[#This Row],[Fault Start TimeStamp]])*24</f>
        <v>0</v>
      </c>
      <c r="P290" s="44" t="str">
        <f>IF(IGA_BD[[#This Row],[Work Start TimeStamp]]="","",(IGA_BD[[#This Row],[Fault Clearance time]]-IGA_BD[[#This Row],[Work Start TimeStamp]])*24)</f>
        <v/>
      </c>
      <c r="Q290" s="57">
        <f>(IGA_BD[[#This Row],[Fault Clearance time]]-IGA_BD[[#This Row],[Fault Start TimeStamp]])*24</f>
        <v>0</v>
      </c>
      <c r="R290" s="153"/>
      <c r="S290" s="44"/>
      <c r="T290" s="45" t="str">
        <f>IFERROR(IGA_BD[[#This Row],[Breakdown Time]]*IGA_BD[[#This Row],[Plant Equivalent Weightage]],"")</f>
        <v/>
      </c>
    </row>
    <row r="291" spans="1:20">
      <c r="A291" s="28"/>
      <c r="B291" s="154"/>
      <c r="C291" s="30">
        <f>YEAR(WTG_BD[[#This Row],[Date]])+IF(MONTH(WTG_BD[[#This Row],[Date]])&gt;=4,1,0)</f>
        <v>2026</v>
      </c>
      <c r="D291" s="31">
        <f>YEAR(IGA_BD[[#This Row],[Date]])</f>
        <v>1900</v>
      </c>
      <c r="E291" s="48">
        <f t="shared" si="7"/>
        <v>1</v>
      </c>
      <c r="F291" s="32"/>
      <c r="G291" s="33"/>
      <c r="H291" s="43" t="str">
        <f>IFERROR(VLOOKUP(IGA_BD[[#This Row],[Affected Feeder ]],'Basic Data'!$A$42:$E$53,2,0),"")</f>
        <v/>
      </c>
      <c r="I291" s="43" t="str">
        <f>IFERROR(VLOOKUP(IGA_BD[[#This Row],[Affected Feeder ]],'Basic Data'!$A$42:$E$53,3,0),"")</f>
        <v/>
      </c>
      <c r="J291" s="43" t="str">
        <f>IFERROR(VLOOKUP(IGA_BD[[#This Row],[Affected Feeder ]],'Basic Data'!$A$42:$E$53,5,0),"")</f>
        <v/>
      </c>
      <c r="K291" s="164"/>
      <c r="L291" s="50"/>
      <c r="M291" s="116"/>
      <c r="N291" s="116"/>
      <c r="O291" s="57">
        <f>(IGA_BD[[#This Row],[Work Start TimeStamp]]-IGA_BD[[#This Row],[Fault Start TimeStamp]])*24</f>
        <v>0</v>
      </c>
      <c r="P291" s="44" t="str">
        <f>IF(IGA_BD[[#This Row],[Work Start TimeStamp]]="","",(IGA_BD[[#This Row],[Fault Clearance time]]-IGA_BD[[#This Row],[Work Start TimeStamp]])*24)</f>
        <v/>
      </c>
      <c r="Q291" s="57">
        <f>(IGA_BD[[#This Row],[Fault Clearance time]]-IGA_BD[[#This Row],[Fault Start TimeStamp]])*24</f>
        <v>0</v>
      </c>
      <c r="R291" s="153"/>
      <c r="S291" s="44"/>
      <c r="T291" s="45" t="str">
        <f>IFERROR(IGA_BD[[#This Row],[Breakdown Time]]*IGA_BD[[#This Row],[Plant Equivalent Weightage]],"")</f>
        <v/>
      </c>
    </row>
    <row r="292" spans="1:20">
      <c r="A292" s="28"/>
      <c r="B292" s="154"/>
      <c r="C292" s="30">
        <f>YEAR(WTG_BD[[#This Row],[Date]])+IF(MONTH(WTG_BD[[#This Row],[Date]])&gt;=4,1,0)</f>
        <v>2026</v>
      </c>
      <c r="D292" s="31">
        <f>YEAR(IGA_BD[[#This Row],[Date]])</f>
        <v>1900</v>
      </c>
      <c r="E292" s="48">
        <f t="shared" si="7"/>
        <v>1</v>
      </c>
      <c r="F292" s="32"/>
      <c r="G292" s="33"/>
      <c r="H292" s="43" t="str">
        <f>IFERROR(VLOOKUP(IGA_BD[[#This Row],[Affected Feeder ]],'Basic Data'!$A$42:$E$53,2,0),"")</f>
        <v/>
      </c>
      <c r="I292" s="43" t="str">
        <f>IFERROR(VLOOKUP(IGA_BD[[#This Row],[Affected Feeder ]],'Basic Data'!$A$42:$E$53,3,0),"")</f>
        <v/>
      </c>
      <c r="J292" s="43" t="str">
        <f>IFERROR(VLOOKUP(IGA_BD[[#This Row],[Affected Feeder ]],'Basic Data'!$A$42:$E$53,5,0),"")</f>
        <v/>
      </c>
      <c r="K292" s="164"/>
      <c r="L292" s="50"/>
      <c r="M292" s="116"/>
      <c r="N292" s="116"/>
      <c r="O292" s="57">
        <f>(IGA_BD[[#This Row],[Work Start TimeStamp]]-IGA_BD[[#This Row],[Fault Start TimeStamp]])*24</f>
        <v>0</v>
      </c>
      <c r="P292" s="44" t="str">
        <f>IF(IGA_BD[[#This Row],[Work Start TimeStamp]]="","",(IGA_BD[[#This Row],[Fault Clearance time]]-IGA_BD[[#This Row],[Work Start TimeStamp]])*24)</f>
        <v/>
      </c>
      <c r="Q292" s="57">
        <f>(IGA_BD[[#This Row],[Fault Clearance time]]-IGA_BD[[#This Row],[Fault Start TimeStamp]])*24</f>
        <v>0</v>
      </c>
      <c r="R292" s="153"/>
      <c r="S292" s="44"/>
      <c r="T292" s="45" t="str">
        <f>IFERROR(IGA_BD[[#This Row],[Breakdown Time]]*IGA_BD[[#This Row],[Plant Equivalent Weightage]],"")</f>
        <v/>
      </c>
    </row>
    <row r="293" spans="1:20">
      <c r="A293" s="28"/>
      <c r="B293" s="154"/>
      <c r="C293" s="30">
        <f>YEAR(WTG_BD[[#This Row],[Date]])+IF(MONTH(WTG_BD[[#This Row],[Date]])&gt;=4,1,0)</f>
        <v>2026</v>
      </c>
      <c r="D293" s="31">
        <f>YEAR(IGA_BD[[#This Row],[Date]])</f>
        <v>1900</v>
      </c>
      <c r="E293" s="48">
        <f t="shared" si="7"/>
        <v>1</v>
      </c>
      <c r="F293" s="32"/>
      <c r="G293" s="33"/>
      <c r="H293" s="43" t="str">
        <f>IFERROR(VLOOKUP(IGA_BD[[#This Row],[Affected Feeder ]],'Basic Data'!$A$42:$E$53,2,0),"")</f>
        <v/>
      </c>
      <c r="I293" s="43" t="str">
        <f>IFERROR(VLOOKUP(IGA_BD[[#This Row],[Affected Feeder ]],'Basic Data'!$A$42:$E$53,3,0),"")</f>
        <v/>
      </c>
      <c r="J293" s="43" t="str">
        <f>IFERROR(VLOOKUP(IGA_BD[[#This Row],[Affected Feeder ]],'Basic Data'!$A$42:$E$53,5,0),"")</f>
        <v/>
      </c>
      <c r="K293" s="164"/>
      <c r="L293" s="50"/>
      <c r="M293" s="116"/>
      <c r="N293" s="116"/>
      <c r="O293" s="57">
        <f>(IGA_BD[[#This Row],[Work Start TimeStamp]]-IGA_BD[[#This Row],[Fault Start TimeStamp]])*24</f>
        <v>0</v>
      </c>
      <c r="P293" s="44" t="str">
        <f>IF(IGA_BD[[#This Row],[Work Start TimeStamp]]="","",(IGA_BD[[#This Row],[Fault Clearance time]]-IGA_BD[[#This Row],[Work Start TimeStamp]])*24)</f>
        <v/>
      </c>
      <c r="Q293" s="57">
        <f>(IGA_BD[[#This Row],[Fault Clearance time]]-IGA_BD[[#This Row],[Fault Start TimeStamp]])*24</f>
        <v>0</v>
      </c>
      <c r="R293" s="153"/>
      <c r="S293" s="44"/>
      <c r="T293" s="45" t="str">
        <f>IFERROR(IGA_BD[[#This Row],[Breakdown Time]]*IGA_BD[[#This Row],[Plant Equivalent Weightage]],"")</f>
        <v/>
      </c>
    </row>
    <row r="294" spans="1:20">
      <c r="A294" s="28"/>
      <c r="B294" s="154"/>
      <c r="C294" s="30">
        <f>YEAR(WTG_BD[[#This Row],[Date]])+IF(MONTH(WTG_BD[[#This Row],[Date]])&gt;=4,1,0)</f>
        <v>2026</v>
      </c>
      <c r="D294" s="31">
        <f>YEAR(IGA_BD[[#This Row],[Date]])</f>
        <v>1900</v>
      </c>
      <c r="E294" s="48">
        <f t="shared" si="7"/>
        <v>1</v>
      </c>
      <c r="F294" s="32"/>
      <c r="G294" s="33"/>
      <c r="H294" s="43" t="str">
        <f>IFERROR(VLOOKUP(IGA_BD[[#This Row],[Affected Feeder ]],'Basic Data'!$A$42:$E$53,2,0),"")</f>
        <v/>
      </c>
      <c r="I294" s="43" t="str">
        <f>IFERROR(VLOOKUP(IGA_BD[[#This Row],[Affected Feeder ]],'Basic Data'!$A$42:$E$53,3,0),"")</f>
        <v/>
      </c>
      <c r="J294" s="43" t="str">
        <f>IFERROR(VLOOKUP(IGA_BD[[#This Row],[Affected Feeder ]],'Basic Data'!$A$42:$E$53,5,0),"")</f>
        <v/>
      </c>
      <c r="K294" s="164"/>
      <c r="L294" s="50"/>
      <c r="M294" s="116"/>
      <c r="N294" s="116"/>
      <c r="O294" s="57">
        <f>(IGA_BD[[#This Row],[Work Start TimeStamp]]-IGA_BD[[#This Row],[Fault Start TimeStamp]])*24</f>
        <v>0</v>
      </c>
      <c r="P294" s="44" t="str">
        <f>IF(IGA_BD[[#This Row],[Work Start TimeStamp]]="","",(IGA_BD[[#This Row],[Fault Clearance time]]-IGA_BD[[#This Row],[Work Start TimeStamp]])*24)</f>
        <v/>
      </c>
      <c r="Q294" s="57">
        <f>(IGA_BD[[#This Row],[Fault Clearance time]]-IGA_BD[[#This Row],[Fault Start TimeStamp]])*24</f>
        <v>0</v>
      </c>
      <c r="R294" s="153"/>
      <c r="S294" s="44"/>
      <c r="T294" s="45" t="str">
        <f>IFERROR(IGA_BD[[#This Row],[Breakdown Time]]*IGA_BD[[#This Row],[Plant Equivalent Weightage]],"")</f>
        <v/>
      </c>
    </row>
    <row r="295" spans="1:20">
      <c r="A295" s="28"/>
      <c r="B295" s="154"/>
      <c r="C295" s="30">
        <f>YEAR(WTG_BD[[#This Row],[Date]])+IF(MONTH(WTG_BD[[#This Row],[Date]])&gt;=4,1,0)</f>
        <v>2026</v>
      </c>
      <c r="D295" s="31">
        <f>YEAR(IGA_BD[[#This Row],[Date]])</f>
        <v>1900</v>
      </c>
      <c r="E295" s="48">
        <f t="shared" si="7"/>
        <v>1</v>
      </c>
      <c r="F295" s="32"/>
      <c r="G295" s="33"/>
      <c r="H295" s="43" t="str">
        <f>IFERROR(VLOOKUP(IGA_BD[[#This Row],[Affected Feeder ]],'Basic Data'!$A$42:$E$53,2,0),"")</f>
        <v/>
      </c>
      <c r="I295" s="43" t="str">
        <f>IFERROR(VLOOKUP(IGA_BD[[#This Row],[Affected Feeder ]],'Basic Data'!$A$42:$E$53,3,0),"")</f>
        <v/>
      </c>
      <c r="J295" s="43" t="str">
        <f>IFERROR(VLOOKUP(IGA_BD[[#This Row],[Affected Feeder ]],'Basic Data'!$A$42:$E$53,5,0),"")</f>
        <v/>
      </c>
      <c r="K295" s="164"/>
      <c r="L295" s="50"/>
      <c r="M295" s="116"/>
      <c r="N295" s="116"/>
      <c r="O295" s="57">
        <f>(IGA_BD[[#This Row],[Work Start TimeStamp]]-IGA_BD[[#This Row],[Fault Start TimeStamp]])*24</f>
        <v>0</v>
      </c>
      <c r="P295" s="44" t="str">
        <f>IF(IGA_BD[[#This Row],[Work Start TimeStamp]]="","",(IGA_BD[[#This Row],[Fault Clearance time]]-IGA_BD[[#This Row],[Work Start TimeStamp]])*24)</f>
        <v/>
      </c>
      <c r="Q295" s="57">
        <f>(IGA_BD[[#This Row],[Fault Clearance time]]-IGA_BD[[#This Row],[Fault Start TimeStamp]])*24</f>
        <v>0</v>
      </c>
      <c r="R295" s="153"/>
      <c r="S295" s="44"/>
      <c r="T295" s="45" t="str">
        <f>IFERROR(IGA_BD[[#This Row],[Breakdown Time]]*IGA_BD[[#This Row],[Plant Equivalent Weightage]],"")</f>
        <v/>
      </c>
    </row>
    <row r="296" spans="1:20">
      <c r="A296" s="28"/>
      <c r="B296" s="154"/>
      <c r="C296" s="30">
        <f>YEAR(WTG_BD[[#This Row],[Date]])+IF(MONTH(WTG_BD[[#This Row],[Date]])&gt;=4,1,0)</f>
        <v>2026</v>
      </c>
      <c r="D296" s="31">
        <f>YEAR(IGA_BD[[#This Row],[Date]])</f>
        <v>1900</v>
      </c>
      <c r="E296" s="48">
        <f t="shared" si="7"/>
        <v>1</v>
      </c>
      <c r="F296" s="32"/>
      <c r="G296" s="33"/>
      <c r="H296" s="43" t="str">
        <f>IFERROR(VLOOKUP(IGA_BD[[#This Row],[Affected Feeder ]],'Basic Data'!$A$42:$E$53,2,0),"")</f>
        <v/>
      </c>
      <c r="I296" s="43" t="str">
        <f>IFERROR(VLOOKUP(IGA_BD[[#This Row],[Affected Feeder ]],'Basic Data'!$A$42:$E$53,3,0),"")</f>
        <v/>
      </c>
      <c r="J296" s="43" t="str">
        <f>IFERROR(VLOOKUP(IGA_BD[[#This Row],[Affected Feeder ]],'Basic Data'!$A$42:$E$53,5,0),"")</f>
        <v/>
      </c>
      <c r="K296" s="164"/>
      <c r="L296" s="50"/>
      <c r="M296" s="116"/>
      <c r="N296" s="116"/>
      <c r="O296" s="57">
        <f>(IGA_BD[[#This Row],[Work Start TimeStamp]]-IGA_BD[[#This Row],[Fault Start TimeStamp]])*24</f>
        <v>0</v>
      </c>
      <c r="P296" s="44" t="str">
        <f>IF(IGA_BD[[#This Row],[Work Start TimeStamp]]="","",(IGA_BD[[#This Row],[Fault Clearance time]]-IGA_BD[[#This Row],[Work Start TimeStamp]])*24)</f>
        <v/>
      </c>
      <c r="Q296" s="57">
        <f>(IGA_BD[[#This Row],[Fault Clearance time]]-IGA_BD[[#This Row],[Fault Start TimeStamp]])*24</f>
        <v>0</v>
      </c>
      <c r="R296" s="153"/>
      <c r="S296" s="44"/>
      <c r="T296" s="45" t="str">
        <f>IFERROR(IGA_BD[[#This Row],[Breakdown Time]]*IGA_BD[[#This Row],[Plant Equivalent Weightage]],"")</f>
        <v/>
      </c>
    </row>
    <row r="297" spans="1:20">
      <c r="A297" s="28"/>
      <c r="B297" s="154"/>
      <c r="C297" s="30">
        <f>YEAR(WTG_BD[[#This Row],[Date]])+IF(MONTH(WTG_BD[[#This Row],[Date]])&gt;=4,1,0)</f>
        <v>2026</v>
      </c>
      <c r="D297" s="31">
        <f>YEAR(IGA_BD[[#This Row],[Date]])</f>
        <v>1900</v>
      </c>
      <c r="E297" s="48">
        <f t="shared" si="7"/>
        <v>1</v>
      </c>
      <c r="F297" s="32"/>
      <c r="G297" s="33"/>
      <c r="H297" s="43" t="str">
        <f>IFERROR(VLOOKUP(IGA_BD[[#This Row],[Affected Feeder ]],'Basic Data'!$A$42:$E$53,2,0),"")</f>
        <v/>
      </c>
      <c r="I297" s="43" t="str">
        <f>IFERROR(VLOOKUP(IGA_BD[[#This Row],[Affected Feeder ]],'Basic Data'!$A$42:$E$53,3,0),"")</f>
        <v/>
      </c>
      <c r="J297" s="43" t="str">
        <f>IFERROR(VLOOKUP(IGA_BD[[#This Row],[Affected Feeder ]],'Basic Data'!$A$42:$E$53,5,0),"")</f>
        <v/>
      </c>
      <c r="K297" s="164"/>
      <c r="L297" s="50"/>
      <c r="M297" s="116"/>
      <c r="N297" s="116"/>
      <c r="O297" s="57">
        <f>(IGA_BD[[#This Row],[Work Start TimeStamp]]-IGA_BD[[#This Row],[Fault Start TimeStamp]])*24</f>
        <v>0</v>
      </c>
      <c r="P297" s="44" t="str">
        <f>IF(IGA_BD[[#This Row],[Work Start TimeStamp]]="","",(IGA_BD[[#This Row],[Fault Clearance time]]-IGA_BD[[#This Row],[Work Start TimeStamp]])*24)</f>
        <v/>
      </c>
      <c r="Q297" s="57">
        <f>(IGA_BD[[#This Row],[Fault Clearance time]]-IGA_BD[[#This Row],[Fault Start TimeStamp]])*24</f>
        <v>0</v>
      </c>
      <c r="R297" s="153"/>
      <c r="S297" s="44"/>
      <c r="T297" s="45" t="str">
        <f>IFERROR(IGA_BD[[#This Row],[Breakdown Time]]*IGA_BD[[#This Row],[Plant Equivalent Weightage]],"")</f>
        <v/>
      </c>
    </row>
    <row r="298" spans="1:20">
      <c r="A298" s="28"/>
      <c r="B298" s="154"/>
      <c r="C298" s="30">
        <f>YEAR(WTG_BD[[#This Row],[Date]])+IF(MONTH(WTG_BD[[#This Row],[Date]])&gt;=4,1,0)</f>
        <v>2026</v>
      </c>
      <c r="D298" s="31">
        <f>YEAR(IGA_BD[[#This Row],[Date]])</f>
        <v>1900</v>
      </c>
      <c r="E298" s="48">
        <f t="shared" si="7"/>
        <v>1</v>
      </c>
      <c r="F298" s="32"/>
      <c r="G298" s="33"/>
      <c r="H298" s="43" t="str">
        <f>IFERROR(VLOOKUP(IGA_BD[[#This Row],[Affected Feeder ]],'Basic Data'!$A$42:$E$53,2,0),"")</f>
        <v/>
      </c>
      <c r="I298" s="43" t="str">
        <f>IFERROR(VLOOKUP(IGA_BD[[#This Row],[Affected Feeder ]],'Basic Data'!$A$42:$E$53,3,0),"")</f>
        <v/>
      </c>
      <c r="J298" s="43" t="str">
        <f>IFERROR(VLOOKUP(IGA_BD[[#This Row],[Affected Feeder ]],'Basic Data'!$A$42:$E$53,5,0),"")</f>
        <v/>
      </c>
      <c r="K298" s="164"/>
      <c r="L298" s="50"/>
      <c r="M298" s="116"/>
      <c r="N298" s="116"/>
      <c r="O298" s="57">
        <f>(IGA_BD[[#This Row],[Work Start TimeStamp]]-IGA_BD[[#This Row],[Fault Start TimeStamp]])*24</f>
        <v>0</v>
      </c>
      <c r="P298" s="44" t="str">
        <f>IF(IGA_BD[[#This Row],[Work Start TimeStamp]]="","",(IGA_BD[[#This Row],[Fault Clearance time]]-IGA_BD[[#This Row],[Work Start TimeStamp]])*24)</f>
        <v/>
      </c>
      <c r="Q298" s="57">
        <f>(IGA_BD[[#This Row],[Fault Clearance time]]-IGA_BD[[#This Row],[Fault Start TimeStamp]])*24</f>
        <v>0</v>
      </c>
      <c r="R298" s="153"/>
      <c r="S298" s="44"/>
      <c r="T298" s="45" t="str">
        <f>IFERROR(IGA_BD[[#This Row],[Breakdown Time]]*IGA_BD[[#This Row],[Plant Equivalent Weightage]],"")</f>
        <v/>
      </c>
    </row>
    <row r="299" spans="1:20">
      <c r="A299" s="28"/>
      <c r="B299" s="154"/>
      <c r="C299" s="30">
        <f>YEAR(WTG_BD[[#This Row],[Date]])+IF(MONTH(WTG_BD[[#This Row],[Date]])&gt;=4,1,0)</f>
        <v>2026</v>
      </c>
      <c r="D299" s="31">
        <f>YEAR(IGA_BD[[#This Row],[Date]])</f>
        <v>1900</v>
      </c>
      <c r="E299" s="48">
        <f t="shared" si="7"/>
        <v>1</v>
      </c>
      <c r="F299" s="32"/>
      <c r="G299" s="33"/>
      <c r="H299" s="43" t="str">
        <f>IFERROR(VLOOKUP(IGA_BD[[#This Row],[Affected Feeder ]],'Basic Data'!$A$42:$E$53,2,0),"")</f>
        <v/>
      </c>
      <c r="I299" s="43" t="str">
        <f>IFERROR(VLOOKUP(IGA_BD[[#This Row],[Affected Feeder ]],'Basic Data'!$A$42:$E$53,3,0),"")</f>
        <v/>
      </c>
      <c r="J299" s="43" t="str">
        <f>IFERROR(VLOOKUP(IGA_BD[[#This Row],[Affected Feeder ]],'Basic Data'!$A$42:$E$53,5,0),"")</f>
        <v/>
      </c>
      <c r="K299" s="164"/>
      <c r="L299" s="50"/>
      <c r="M299" s="116"/>
      <c r="N299" s="116"/>
      <c r="O299" s="57">
        <f>(IGA_BD[[#This Row],[Work Start TimeStamp]]-IGA_BD[[#This Row],[Fault Start TimeStamp]])*24</f>
        <v>0</v>
      </c>
      <c r="P299" s="44" t="str">
        <f>IF(IGA_BD[[#This Row],[Work Start TimeStamp]]="","",(IGA_BD[[#This Row],[Fault Clearance time]]-IGA_BD[[#This Row],[Work Start TimeStamp]])*24)</f>
        <v/>
      </c>
      <c r="Q299" s="57">
        <f>(IGA_BD[[#This Row],[Fault Clearance time]]-IGA_BD[[#This Row],[Fault Start TimeStamp]])*24</f>
        <v>0</v>
      </c>
      <c r="R299" s="153"/>
      <c r="S299" s="44"/>
      <c r="T299" s="45" t="str">
        <f>IFERROR(IGA_BD[[#This Row],[Breakdown Time]]*IGA_BD[[#This Row],[Plant Equivalent Weightage]],"")</f>
        <v/>
      </c>
    </row>
    <row r="300" spans="1:20">
      <c r="A300" s="28"/>
      <c r="B300" s="154"/>
      <c r="C300" s="30">
        <f>YEAR(WTG_BD[[#This Row],[Date]])+IF(MONTH(WTG_BD[[#This Row],[Date]])&gt;=4,1,0)</f>
        <v>2026</v>
      </c>
      <c r="D300" s="31">
        <f>YEAR(IGA_BD[[#This Row],[Date]])</f>
        <v>1900</v>
      </c>
      <c r="E300" s="48">
        <f t="shared" si="7"/>
        <v>1</v>
      </c>
      <c r="F300" s="32"/>
      <c r="G300" s="33"/>
      <c r="H300" s="43" t="str">
        <f>IFERROR(VLOOKUP(IGA_BD[[#This Row],[Affected Feeder ]],'Basic Data'!$A$42:$E$53,2,0),"")</f>
        <v/>
      </c>
      <c r="I300" s="43" t="str">
        <f>IFERROR(VLOOKUP(IGA_BD[[#This Row],[Affected Feeder ]],'Basic Data'!$A$42:$E$53,3,0),"")</f>
        <v/>
      </c>
      <c r="J300" s="43" t="str">
        <f>IFERROR(VLOOKUP(IGA_BD[[#This Row],[Affected Feeder ]],'Basic Data'!$A$42:$E$53,5,0),"")</f>
        <v/>
      </c>
      <c r="K300" s="164"/>
      <c r="L300" s="50"/>
      <c r="M300" s="116"/>
      <c r="N300" s="116"/>
      <c r="O300" s="57">
        <f>(IGA_BD[[#This Row],[Work Start TimeStamp]]-IGA_BD[[#This Row],[Fault Start TimeStamp]])*24</f>
        <v>0</v>
      </c>
      <c r="P300" s="44" t="str">
        <f>IF(IGA_BD[[#This Row],[Work Start TimeStamp]]="","",(IGA_BD[[#This Row],[Fault Clearance time]]-IGA_BD[[#This Row],[Work Start TimeStamp]])*24)</f>
        <v/>
      </c>
      <c r="Q300" s="57">
        <f>(IGA_BD[[#This Row],[Fault Clearance time]]-IGA_BD[[#This Row],[Fault Start TimeStamp]])*24</f>
        <v>0</v>
      </c>
      <c r="R300" s="153"/>
      <c r="S300" s="44"/>
      <c r="T300" s="45" t="str">
        <f>IFERROR(IGA_BD[[#This Row],[Breakdown Time]]*IGA_BD[[#This Row],[Plant Equivalent Weightage]],"")</f>
        <v/>
      </c>
    </row>
    <row r="301" spans="1:20">
      <c r="A301" s="28"/>
      <c r="B301" s="154"/>
      <c r="C301" s="30">
        <f>YEAR(WTG_BD[[#This Row],[Date]])+IF(MONTH(WTG_BD[[#This Row],[Date]])&gt;=4,1,0)</f>
        <v>2026</v>
      </c>
      <c r="D301" s="31">
        <f>YEAR(IGA_BD[[#This Row],[Date]])</f>
        <v>1900</v>
      </c>
      <c r="E301" s="48">
        <f t="shared" si="7"/>
        <v>1</v>
      </c>
      <c r="F301" s="32"/>
      <c r="G301" s="33"/>
      <c r="H301" s="43" t="str">
        <f>IFERROR(VLOOKUP(IGA_BD[[#This Row],[Affected Feeder ]],'Basic Data'!$A$42:$E$53,2,0),"")</f>
        <v/>
      </c>
      <c r="I301" s="43" t="str">
        <f>IFERROR(VLOOKUP(IGA_BD[[#This Row],[Affected Feeder ]],'Basic Data'!$A$42:$E$53,3,0),"")</f>
        <v/>
      </c>
      <c r="J301" s="43" t="str">
        <f>IFERROR(VLOOKUP(IGA_BD[[#This Row],[Affected Feeder ]],'Basic Data'!$A$42:$E$53,5,0),"")</f>
        <v/>
      </c>
      <c r="K301" s="164"/>
      <c r="L301" s="50"/>
      <c r="M301" s="116"/>
      <c r="N301" s="116"/>
      <c r="O301" s="57">
        <f>(IGA_BD[[#This Row],[Work Start TimeStamp]]-IGA_BD[[#This Row],[Fault Start TimeStamp]])*24</f>
        <v>0</v>
      </c>
      <c r="P301" s="44" t="str">
        <f>IF(IGA_BD[[#This Row],[Work Start TimeStamp]]="","",(IGA_BD[[#This Row],[Fault Clearance time]]-IGA_BD[[#This Row],[Work Start TimeStamp]])*24)</f>
        <v/>
      </c>
      <c r="Q301" s="57">
        <f>(IGA_BD[[#This Row],[Fault Clearance time]]-IGA_BD[[#This Row],[Fault Start TimeStamp]])*24</f>
        <v>0</v>
      </c>
      <c r="R301" s="153"/>
      <c r="S301" s="44"/>
      <c r="T301" s="45" t="str">
        <f>IFERROR(IGA_BD[[#This Row],[Breakdown Time]]*IGA_BD[[#This Row],[Plant Equivalent Weightage]],"")</f>
        <v/>
      </c>
    </row>
    <row r="302" spans="1:20">
      <c r="A302" s="28"/>
      <c r="B302" s="154"/>
      <c r="C302" s="30">
        <f>YEAR(WTG_BD[[#This Row],[Date]])+IF(MONTH(WTG_BD[[#This Row],[Date]])&gt;=4,1,0)</f>
        <v>2026</v>
      </c>
      <c r="D302" s="31">
        <f>YEAR(IGA_BD[[#This Row],[Date]])</f>
        <v>1900</v>
      </c>
      <c r="E302" s="48">
        <f t="shared" si="7"/>
        <v>1</v>
      </c>
      <c r="F302" s="32"/>
      <c r="G302" s="33"/>
      <c r="H302" s="43" t="str">
        <f>IFERROR(VLOOKUP(IGA_BD[[#This Row],[Affected Feeder ]],'Basic Data'!$A$42:$E$53,2,0),"")</f>
        <v/>
      </c>
      <c r="I302" s="43" t="str">
        <f>IFERROR(VLOOKUP(IGA_BD[[#This Row],[Affected Feeder ]],'Basic Data'!$A$42:$E$53,3,0),"")</f>
        <v/>
      </c>
      <c r="J302" s="43" t="str">
        <f>IFERROR(VLOOKUP(IGA_BD[[#This Row],[Affected Feeder ]],'Basic Data'!$A$42:$E$53,5,0),"")</f>
        <v/>
      </c>
      <c r="K302" s="164"/>
      <c r="L302" s="50"/>
      <c r="M302" s="116"/>
      <c r="N302" s="116"/>
      <c r="O302" s="57">
        <f>(IGA_BD[[#This Row],[Work Start TimeStamp]]-IGA_BD[[#This Row],[Fault Start TimeStamp]])*24</f>
        <v>0</v>
      </c>
      <c r="P302" s="44" t="str">
        <f>IF(IGA_BD[[#This Row],[Work Start TimeStamp]]="","",(IGA_BD[[#This Row],[Fault Clearance time]]-IGA_BD[[#This Row],[Work Start TimeStamp]])*24)</f>
        <v/>
      </c>
      <c r="Q302" s="57">
        <f>(IGA_BD[[#This Row],[Fault Clearance time]]-IGA_BD[[#This Row],[Fault Start TimeStamp]])*24</f>
        <v>0</v>
      </c>
      <c r="R302" s="153"/>
      <c r="S302" s="44"/>
      <c r="T302" s="45" t="str">
        <f>IFERROR(IGA_BD[[#This Row],[Breakdown Time]]*IGA_BD[[#This Row],[Plant Equivalent Weightage]],"")</f>
        <v/>
      </c>
    </row>
    <row r="303" spans="1:20">
      <c r="A303" s="28"/>
      <c r="B303" s="154"/>
      <c r="C303" s="30">
        <f>YEAR(WTG_BD[[#This Row],[Date]])+IF(MONTH(WTG_BD[[#This Row],[Date]])&gt;=4,1,0)</f>
        <v>2026</v>
      </c>
      <c r="D303" s="31">
        <f>YEAR(IGA_BD[[#This Row],[Date]])</f>
        <v>1900</v>
      </c>
      <c r="E303" s="48">
        <f t="shared" si="7"/>
        <v>1</v>
      </c>
      <c r="F303" s="32"/>
      <c r="G303" s="33"/>
      <c r="H303" s="43" t="str">
        <f>IFERROR(VLOOKUP(IGA_BD[[#This Row],[Affected Feeder ]],'Basic Data'!$A$42:$E$53,2,0),"")</f>
        <v/>
      </c>
      <c r="I303" s="43" t="str">
        <f>IFERROR(VLOOKUP(IGA_BD[[#This Row],[Affected Feeder ]],'Basic Data'!$A$42:$E$53,3,0),"")</f>
        <v/>
      </c>
      <c r="J303" s="43" t="str">
        <f>IFERROR(VLOOKUP(IGA_BD[[#This Row],[Affected Feeder ]],'Basic Data'!$A$42:$E$53,5,0),"")</f>
        <v/>
      </c>
      <c r="K303" s="164"/>
      <c r="L303" s="50"/>
      <c r="M303" s="116"/>
      <c r="N303" s="116"/>
      <c r="O303" s="57">
        <f>(IGA_BD[[#This Row],[Work Start TimeStamp]]-IGA_BD[[#This Row],[Fault Start TimeStamp]])*24</f>
        <v>0</v>
      </c>
      <c r="P303" s="44" t="str">
        <f>IF(IGA_BD[[#This Row],[Work Start TimeStamp]]="","",(IGA_BD[[#This Row],[Fault Clearance time]]-IGA_BD[[#This Row],[Work Start TimeStamp]])*24)</f>
        <v/>
      </c>
      <c r="Q303" s="57">
        <f>(IGA_BD[[#This Row],[Fault Clearance time]]-IGA_BD[[#This Row],[Fault Start TimeStamp]])*24</f>
        <v>0</v>
      </c>
      <c r="R303" s="153"/>
      <c r="S303" s="44"/>
      <c r="T303" s="45" t="str">
        <f>IFERROR(IGA_BD[[#This Row],[Breakdown Time]]*IGA_BD[[#This Row],[Plant Equivalent Weightage]],"")</f>
        <v/>
      </c>
    </row>
    <row r="304" spans="1:20">
      <c r="A304" s="28"/>
      <c r="B304" s="154"/>
      <c r="C304" s="30">
        <f>YEAR(WTG_BD[[#This Row],[Date]])+IF(MONTH(WTG_BD[[#This Row],[Date]])&gt;=4,1,0)</f>
        <v>2026</v>
      </c>
      <c r="D304" s="31">
        <f>YEAR(IGA_BD[[#This Row],[Date]])</f>
        <v>1900</v>
      </c>
      <c r="E304" s="48">
        <f t="shared" si="7"/>
        <v>1</v>
      </c>
      <c r="F304" s="32"/>
      <c r="G304" s="33"/>
      <c r="H304" s="43" t="str">
        <f>IFERROR(VLOOKUP(IGA_BD[[#This Row],[Affected Feeder ]],'Basic Data'!$A$42:$E$53,2,0),"")</f>
        <v/>
      </c>
      <c r="I304" s="43" t="str">
        <f>IFERROR(VLOOKUP(IGA_BD[[#This Row],[Affected Feeder ]],'Basic Data'!$A$42:$E$53,3,0),"")</f>
        <v/>
      </c>
      <c r="J304" s="43" t="str">
        <f>IFERROR(VLOOKUP(IGA_BD[[#This Row],[Affected Feeder ]],'Basic Data'!$A$42:$E$53,5,0),"")</f>
        <v/>
      </c>
      <c r="K304" s="164"/>
      <c r="L304" s="50"/>
      <c r="M304" s="116"/>
      <c r="N304" s="116"/>
      <c r="O304" s="57">
        <f>(IGA_BD[[#This Row],[Work Start TimeStamp]]-IGA_BD[[#This Row],[Fault Start TimeStamp]])*24</f>
        <v>0</v>
      </c>
      <c r="P304" s="44" t="str">
        <f>IF(IGA_BD[[#This Row],[Work Start TimeStamp]]="","",(IGA_BD[[#This Row],[Fault Clearance time]]-IGA_BD[[#This Row],[Work Start TimeStamp]])*24)</f>
        <v/>
      </c>
      <c r="Q304" s="57">
        <f>(IGA_BD[[#This Row],[Fault Clearance time]]-IGA_BD[[#This Row],[Fault Start TimeStamp]])*24</f>
        <v>0</v>
      </c>
      <c r="R304" s="153"/>
      <c r="S304" s="44"/>
      <c r="T304" s="45" t="str">
        <f>IFERROR(IGA_BD[[#This Row],[Breakdown Time]]*IGA_BD[[#This Row],[Plant Equivalent Weightage]],"")</f>
        <v/>
      </c>
    </row>
    <row r="305" spans="1:20">
      <c r="A305" s="28"/>
      <c r="B305" s="154"/>
      <c r="C305" s="30">
        <f>YEAR(WTG_BD[[#This Row],[Date]])+IF(MONTH(WTG_BD[[#This Row],[Date]])&gt;=4,1,0)</f>
        <v>2026</v>
      </c>
      <c r="D305" s="31">
        <f>YEAR(IGA_BD[[#This Row],[Date]])</f>
        <v>1900</v>
      </c>
      <c r="E305" s="48">
        <f t="shared" si="7"/>
        <v>1</v>
      </c>
      <c r="F305" s="32"/>
      <c r="G305" s="33"/>
      <c r="H305" s="43" t="str">
        <f>IFERROR(VLOOKUP(IGA_BD[[#This Row],[Affected Feeder ]],'Basic Data'!$A$42:$E$53,2,0),"")</f>
        <v/>
      </c>
      <c r="I305" s="43" t="str">
        <f>IFERROR(VLOOKUP(IGA_BD[[#This Row],[Affected Feeder ]],'Basic Data'!$A$42:$E$53,3,0),"")</f>
        <v/>
      </c>
      <c r="J305" s="43" t="str">
        <f>IFERROR(VLOOKUP(IGA_BD[[#This Row],[Affected Feeder ]],'Basic Data'!$A$42:$E$53,5,0),"")</f>
        <v/>
      </c>
      <c r="K305" s="164"/>
      <c r="L305" s="50"/>
      <c r="M305" s="116"/>
      <c r="N305" s="116"/>
      <c r="O305" s="57">
        <f>(IGA_BD[[#This Row],[Work Start TimeStamp]]-IGA_BD[[#This Row],[Fault Start TimeStamp]])*24</f>
        <v>0</v>
      </c>
      <c r="P305" s="44" t="str">
        <f>IF(IGA_BD[[#This Row],[Work Start TimeStamp]]="","",(IGA_BD[[#This Row],[Fault Clearance time]]-IGA_BD[[#This Row],[Work Start TimeStamp]])*24)</f>
        <v/>
      </c>
      <c r="Q305" s="57">
        <f>(IGA_BD[[#This Row],[Fault Clearance time]]-IGA_BD[[#This Row],[Fault Start TimeStamp]])*24</f>
        <v>0</v>
      </c>
      <c r="R305" s="153"/>
      <c r="S305" s="44"/>
      <c r="T305" s="45" t="str">
        <f>IFERROR(IGA_BD[[#This Row],[Breakdown Time]]*IGA_BD[[#This Row],[Plant Equivalent Weightage]],"")</f>
        <v/>
      </c>
    </row>
    <row r="306" spans="1:20">
      <c r="A306" s="28"/>
      <c r="B306" s="154"/>
      <c r="C306" s="30">
        <f>YEAR(WTG_BD[[#This Row],[Date]])+IF(MONTH(WTG_BD[[#This Row],[Date]])&gt;=4,1,0)</f>
        <v>2026</v>
      </c>
      <c r="D306" s="31">
        <f>YEAR(IGA_BD[[#This Row],[Date]])</f>
        <v>1900</v>
      </c>
      <c r="E306" s="48">
        <f t="shared" si="7"/>
        <v>1</v>
      </c>
      <c r="F306" s="32"/>
      <c r="G306" s="33"/>
      <c r="H306" s="43" t="str">
        <f>IFERROR(VLOOKUP(IGA_BD[[#This Row],[Affected Feeder ]],'Basic Data'!$A$42:$E$53,2,0),"")</f>
        <v/>
      </c>
      <c r="I306" s="43" t="str">
        <f>IFERROR(VLOOKUP(IGA_BD[[#This Row],[Affected Feeder ]],'Basic Data'!$A$42:$E$53,3,0),"")</f>
        <v/>
      </c>
      <c r="J306" s="43" t="str">
        <f>IFERROR(VLOOKUP(IGA_BD[[#This Row],[Affected Feeder ]],'Basic Data'!$A$42:$E$53,5,0),"")</f>
        <v/>
      </c>
      <c r="K306" s="164"/>
      <c r="L306" s="50"/>
      <c r="M306" s="116"/>
      <c r="N306" s="116"/>
      <c r="O306" s="57">
        <f>(IGA_BD[[#This Row],[Work Start TimeStamp]]-IGA_BD[[#This Row],[Fault Start TimeStamp]])*24</f>
        <v>0</v>
      </c>
      <c r="P306" s="44" t="str">
        <f>IF(IGA_BD[[#This Row],[Work Start TimeStamp]]="","",(IGA_BD[[#This Row],[Fault Clearance time]]-IGA_BD[[#This Row],[Work Start TimeStamp]])*24)</f>
        <v/>
      </c>
      <c r="Q306" s="57">
        <f>(IGA_BD[[#This Row],[Fault Clearance time]]-IGA_BD[[#This Row],[Fault Start TimeStamp]])*24</f>
        <v>0</v>
      </c>
      <c r="R306" s="153"/>
      <c r="S306" s="44"/>
      <c r="T306" s="45" t="str">
        <f>IFERROR(IGA_BD[[#This Row],[Breakdown Time]]*IGA_BD[[#This Row],[Plant Equivalent Weightage]],"")</f>
        <v/>
      </c>
    </row>
    <row r="307" spans="1:20">
      <c r="A307" s="28"/>
      <c r="B307" s="154"/>
      <c r="C307" s="30">
        <f>YEAR(WTG_BD[[#This Row],[Date]])+IF(MONTH(WTG_BD[[#This Row],[Date]])&gt;=4,1,0)</f>
        <v>2026</v>
      </c>
      <c r="D307" s="31">
        <f>YEAR(IGA_BD[[#This Row],[Date]])</f>
        <v>1900</v>
      </c>
      <c r="E307" s="48">
        <f t="shared" si="7"/>
        <v>1</v>
      </c>
      <c r="F307" s="32"/>
      <c r="G307" s="33"/>
      <c r="H307" s="43" t="str">
        <f>IFERROR(VLOOKUP(IGA_BD[[#This Row],[Affected Feeder ]],'Basic Data'!$A$42:$E$53,2,0),"")</f>
        <v/>
      </c>
      <c r="I307" s="43" t="str">
        <f>IFERROR(VLOOKUP(IGA_BD[[#This Row],[Affected Feeder ]],'Basic Data'!$A$42:$E$53,3,0),"")</f>
        <v/>
      </c>
      <c r="J307" s="43" t="str">
        <f>IFERROR(VLOOKUP(IGA_BD[[#This Row],[Affected Feeder ]],'Basic Data'!$A$42:$E$53,5,0),"")</f>
        <v/>
      </c>
      <c r="K307" s="164"/>
      <c r="L307" s="50"/>
      <c r="M307" s="116"/>
      <c r="N307" s="116"/>
      <c r="O307" s="57">
        <f>(IGA_BD[[#This Row],[Work Start TimeStamp]]-IGA_BD[[#This Row],[Fault Start TimeStamp]])*24</f>
        <v>0</v>
      </c>
      <c r="P307" s="44" t="str">
        <f>IF(IGA_BD[[#This Row],[Work Start TimeStamp]]="","",(IGA_BD[[#This Row],[Fault Clearance time]]-IGA_BD[[#This Row],[Work Start TimeStamp]])*24)</f>
        <v/>
      </c>
      <c r="Q307" s="57">
        <f>(IGA_BD[[#This Row],[Fault Clearance time]]-IGA_BD[[#This Row],[Fault Start TimeStamp]])*24</f>
        <v>0</v>
      </c>
      <c r="R307" s="153"/>
      <c r="S307" s="44"/>
      <c r="T307" s="45" t="str">
        <f>IFERROR(IGA_BD[[#This Row],[Breakdown Time]]*IGA_BD[[#This Row],[Plant Equivalent Weightage]],"")</f>
        <v/>
      </c>
    </row>
    <row r="308" spans="1:20">
      <c r="A308" s="28"/>
      <c r="B308" s="154"/>
      <c r="C308" s="30">
        <f>YEAR(WTG_BD[[#This Row],[Date]])+IF(MONTH(WTG_BD[[#This Row],[Date]])&gt;=4,1,0)</f>
        <v>2026</v>
      </c>
      <c r="D308" s="31">
        <f>YEAR(IGA_BD[[#This Row],[Date]])</f>
        <v>1900</v>
      </c>
      <c r="E308" s="48">
        <f t="shared" si="7"/>
        <v>1</v>
      </c>
      <c r="F308" s="32"/>
      <c r="G308" s="33"/>
      <c r="H308" s="43" t="str">
        <f>IFERROR(VLOOKUP(IGA_BD[[#This Row],[Affected Feeder ]],'Basic Data'!$A$42:$E$53,2,0),"")</f>
        <v/>
      </c>
      <c r="I308" s="43" t="str">
        <f>IFERROR(VLOOKUP(IGA_BD[[#This Row],[Affected Feeder ]],'Basic Data'!$A$42:$E$53,3,0),"")</f>
        <v/>
      </c>
      <c r="J308" s="43" t="str">
        <f>IFERROR(VLOOKUP(IGA_BD[[#This Row],[Affected Feeder ]],'Basic Data'!$A$42:$E$53,5,0),"")</f>
        <v/>
      </c>
      <c r="K308" s="164"/>
      <c r="L308" s="50"/>
      <c r="M308" s="116"/>
      <c r="N308" s="116"/>
      <c r="O308" s="57">
        <f>(IGA_BD[[#This Row],[Work Start TimeStamp]]-IGA_BD[[#This Row],[Fault Start TimeStamp]])*24</f>
        <v>0</v>
      </c>
      <c r="P308" s="44" t="str">
        <f>IF(IGA_BD[[#This Row],[Work Start TimeStamp]]="","",(IGA_BD[[#This Row],[Fault Clearance time]]-IGA_BD[[#This Row],[Work Start TimeStamp]])*24)</f>
        <v/>
      </c>
      <c r="Q308" s="57">
        <f>(IGA_BD[[#This Row],[Fault Clearance time]]-IGA_BD[[#This Row],[Fault Start TimeStamp]])*24</f>
        <v>0</v>
      </c>
      <c r="R308" s="153"/>
      <c r="S308" s="44"/>
      <c r="T308" s="45" t="str">
        <f>IFERROR(IGA_BD[[#This Row],[Breakdown Time]]*IGA_BD[[#This Row],[Plant Equivalent Weightage]],"")</f>
        <v/>
      </c>
    </row>
    <row r="309" spans="1:20">
      <c r="A309" s="28"/>
      <c r="B309" s="154"/>
      <c r="C309" s="30">
        <f>YEAR(WTG_BD[[#This Row],[Date]])+IF(MONTH(WTG_BD[[#This Row],[Date]])&gt;=4,1,0)</f>
        <v>2026</v>
      </c>
      <c r="D309" s="31">
        <f>YEAR(IGA_BD[[#This Row],[Date]])</f>
        <v>1900</v>
      </c>
      <c r="E309" s="48">
        <f t="shared" si="7"/>
        <v>1</v>
      </c>
      <c r="F309" s="32"/>
      <c r="G309" s="33"/>
      <c r="H309" s="43" t="str">
        <f>IFERROR(VLOOKUP(IGA_BD[[#This Row],[Affected Feeder ]],'Basic Data'!$A$42:$E$53,2,0),"")</f>
        <v/>
      </c>
      <c r="I309" s="43" t="str">
        <f>IFERROR(VLOOKUP(IGA_BD[[#This Row],[Affected Feeder ]],'Basic Data'!$A$42:$E$53,3,0),"")</f>
        <v/>
      </c>
      <c r="J309" s="43" t="str">
        <f>IFERROR(VLOOKUP(IGA_BD[[#This Row],[Affected Feeder ]],'Basic Data'!$A$42:$E$53,5,0),"")</f>
        <v/>
      </c>
      <c r="K309" s="164"/>
      <c r="L309" s="50"/>
      <c r="M309" s="116"/>
      <c r="N309" s="116"/>
      <c r="O309" s="57">
        <f>(IGA_BD[[#This Row],[Work Start TimeStamp]]-IGA_BD[[#This Row],[Fault Start TimeStamp]])*24</f>
        <v>0</v>
      </c>
      <c r="P309" s="44" t="str">
        <f>IF(IGA_BD[[#This Row],[Work Start TimeStamp]]="","",(IGA_BD[[#This Row],[Fault Clearance time]]-IGA_BD[[#This Row],[Work Start TimeStamp]])*24)</f>
        <v/>
      </c>
      <c r="Q309" s="57">
        <f>(IGA_BD[[#This Row],[Fault Clearance time]]-IGA_BD[[#This Row],[Fault Start TimeStamp]])*24</f>
        <v>0</v>
      </c>
      <c r="R309" s="153"/>
      <c r="S309" s="44"/>
      <c r="T309" s="45" t="str">
        <f>IFERROR(IGA_BD[[#This Row],[Breakdown Time]]*IGA_BD[[#This Row],[Plant Equivalent Weightage]],"")</f>
        <v/>
      </c>
    </row>
    <row r="310" spans="1:20">
      <c r="A310" s="28"/>
      <c r="B310" s="154"/>
      <c r="C310" s="30">
        <f>YEAR(WTG_BD[[#This Row],[Date]])+IF(MONTH(WTG_BD[[#This Row],[Date]])&gt;=4,1,0)</f>
        <v>2026</v>
      </c>
      <c r="D310" s="31">
        <f>YEAR(IGA_BD[[#This Row],[Date]])</f>
        <v>1900</v>
      </c>
      <c r="E310" s="48">
        <f t="shared" si="7"/>
        <v>1</v>
      </c>
      <c r="F310" s="32"/>
      <c r="G310" s="33"/>
      <c r="H310" s="43" t="str">
        <f>IFERROR(VLOOKUP(IGA_BD[[#This Row],[Affected Feeder ]],'Basic Data'!$A$42:$E$53,2,0),"")</f>
        <v/>
      </c>
      <c r="I310" s="43" t="str">
        <f>IFERROR(VLOOKUP(IGA_BD[[#This Row],[Affected Feeder ]],'Basic Data'!$A$42:$E$53,3,0),"")</f>
        <v/>
      </c>
      <c r="J310" s="43" t="str">
        <f>IFERROR(VLOOKUP(IGA_BD[[#This Row],[Affected Feeder ]],'Basic Data'!$A$42:$E$53,5,0),"")</f>
        <v/>
      </c>
      <c r="K310" s="164"/>
      <c r="L310" s="50"/>
      <c r="M310" s="116"/>
      <c r="N310" s="116"/>
      <c r="O310" s="57">
        <f>(IGA_BD[[#This Row],[Work Start TimeStamp]]-IGA_BD[[#This Row],[Fault Start TimeStamp]])*24</f>
        <v>0</v>
      </c>
      <c r="P310" s="44" t="str">
        <f>IF(IGA_BD[[#This Row],[Work Start TimeStamp]]="","",(IGA_BD[[#This Row],[Fault Clearance time]]-IGA_BD[[#This Row],[Work Start TimeStamp]])*24)</f>
        <v/>
      </c>
      <c r="Q310" s="57">
        <f>(IGA_BD[[#This Row],[Fault Clearance time]]-IGA_BD[[#This Row],[Fault Start TimeStamp]])*24</f>
        <v>0</v>
      </c>
      <c r="R310" s="153"/>
      <c r="S310" s="44"/>
      <c r="T310" s="45" t="str">
        <f>IFERROR(IGA_BD[[#This Row],[Breakdown Time]]*IGA_BD[[#This Row],[Plant Equivalent Weightage]],"")</f>
        <v/>
      </c>
    </row>
    <row r="311" spans="1:20">
      <c r="A311" s="28"/>
      <c r="B311" s="154"/>
      <c r="C311" s="30">
        <f>YEAR(WTG_BD[[#This Row],[Date]])+IF(MONTH(WTG_BD[[#This Row],[Date]])&gt;=4,1,0)</f>
        <v>2026</v>
      </c>
      <c r="D311" s="31">
        <f>YEAR(IGA_BD[[#This Row],[Date]])</f>
        <v>1900</v>
      </c>
      <c r="E311" s="48">
        <f t="shared" si="7"/>
        <v>1</v>
      </c>
      <c r="F311" s="32"/>
      <c r="G311" s="33"/>
      <c r="H311" s="43" t="str">
        <f>IFERROR(VLOOKUP(IGA_BD[[#This Row],[Affected Feeder ]],'Basic Data'!$A$42:$E$53,2,0),"")</f>
        <v/>
      </c>
      <c r="I311" s="43" t="str">
        <f>IFERROR(VLOOKUP(IGA_BD[[#This Row],[Affected Feeder ]],'Basic Data'!$A$42:$E$53,3,0),"")</f>
        <v/>
      </c>
      <c r="J311" s="43" t="str">
        <f>IFERROR(VLOOKUP(IGA_BD[[#This Row],[Affected Feeder ]],'Basic Data'!$A$42:$E$53,5,0),"")</f>
        <v/>
      </c>
      <c r="K311" s="164"/>
      <c r="L311" s="50"/>
      <c r="M311" s="116"/>
      <c r="N311" s="116"/>
      <c r="O311" s="57">
        <f>(IGA_BD[[#This Row],[Work Start TimeStamp]]-IGA_BD[[#This Row],[Fault Start TimeStamp]])*24</f>
        <v>0</v>
      </c>
      <c r="P311" s="44" t="str">
        <f>IF(IGA_BD[[#This Row],[Work Start TimeStamp]]="","",(IGA_BD[[#This Row],[Fault Clearance time]]-IGA_BD[[#This Row],[Work Start TimeStamp]])*24)</f>
        <v/>
      </c>
      <c r="Q311" s="57">
        <f>(IGA_BD[[#This Row],[Fault Clearance time]]-IGA_BD[[#This Row],[Fault Start TimeStamp]])*24</f>
        <v>0</v>
      </c>
      <c r="R311" s="153"/>
      <c r="S311" s="44"/>
      <c r="T311" s="45" t="str">
        <f>IFERROR(IGA_BD[[#This Row],[Breakdown Time]]*IGA_BD[[#This Row],[Plant Equivalent Weightage]],"")</f>
        <v/>
      </c>
    </row>
    <row r="312" spans="1:20">
      <c r="A312" s="28"/>
      <c r="B312" s="154"/>
      <c r="C312" s="30">
        <f>YEAR(WTG_BD[[#This Row],[Date]])+IF(MONTH(WTG_BD[[#This Row],[Date]])&gt;=4,1,0)</f>
        <v>2026</v>
      </c>
      <c r="D312" s="31">
        <f>YEAR(IGA_BD[[#This Row],[Date]])</f>
        <v>1900</v>
      </c>
      <c r="E312" s="48">
        <f t="shared" si="7"/>
        <v>1</v>
      </c>
      <c r="F312" s="32"/>
      <c r="G312" s="33"/>
      <c r="H312" s="43" t="str">
        <f>IFERROR(VLOOKUP(IGA_BD[[#This Row],[Affected Feeder ]],'Basic Data'!$A$42:$E$53,2,0),"")</f>
        <v/>
      </c>
      <c r="I312" s="43" t="str">
        <f>IFERROR(VLOOKUP(IGA_BD[[#This Row],[Affected Feeder ]],'Basic Data'!$A$42:$E$53,3,0),"")</f>
        <v/>
      </c>
      <c r="J312" s="43" t="str">
        <f>IFERROR(VLOOKUP(IGA_BD[[#This Row],[Affected Feeder ]],'Basic Data'!$A$42:$E$53,5,0),"")</f>
        <v/>
      </c>
      <c r="K312" s="164"/>
      <c r="L312" s="50"/>
      <c r="M312" s="116"/>
      <c r="N312" s="116"/>
      <c r="O312" s="57">
        <f>(IGA_BD[[#This Row],[Work Start TimeStamp]]-IGA_BD[[#This Row],[Fault Start TimeStamp]])*24</f>
        <v>0</v>
      </c>
      <c r="P312" s="44" t="str">
        <f>IF(IGA_BD[[#This Row],[Work Start TimeStamp]]="","",(IGA_BD[[#This Row],[Fault Clearance time]]-IGA_BD[[#This Row],[Work Start TimeStamp]])*24)</f>
        <v/>
      </c>
      <c r="Q312" s="57">
        <f>(IGA_BD[[#This Row],[Fault Clearance time]]-IGA_BD[[#This Row],[Fault Start TimeStamp]])*24</f>
        <v>0</v>
      </c>
      <c r="R312" s="153"/>
      <c r="S312" s="44"/>
      <c r="T312" s="45" t="str">
        <f>IFERROR(IGA_BD[[#This Row],[Breakdown Time]]*IGA_BD[[#This Row],[Plant Equivalent Weightage]],"")</f>
        <v/>
      </c>
    </row>
    <row r="313" spans="1:20">
      <c r="A313" s="28"/>
      <c r="B313" s="154"/>
      <c r="C313" s="30">
        <f>YEAR(WTG_BD[[#This Row],[Date]])+IF(MONTH(WTG_BD[[#This Row],[Date]])&gt;=4,1,0)</f>
        <v>2026</v>
      </c>
      <c r="D313" s="31">
        <f>YEAR(IGA_BD[[#This Row],[Date]])</f>
        <v>1900</v>
      </c>
      <c r="E313" s="48">
        <f t="shared" si="7"/>
        <v>1</v>
      </c>
      <c r="F313" s="32"/>
      <c r="G313" s="33"/>
      <c r="H313" s="43" t="str">
        <f>IFERROR(VLOOKUP(IGA_BD[[#This Row],[Affected Feeder ]],'Basic Data'!$A$42:$E$53,2,0),"")</f>
        <v/>
      </c>
      <c r="I313" s="43" t="str">
        <f>IFERROR(VLOOKUP(IGA_BD[[#This Row],[Affected Feeder ]],'Basic Data'!$A$42:$E$53,3,0),"")</f>
        <v/>
      </c>
      <c r="J313" s="43" t="str">
        <f>IFERROR(VLOOKUP(IGA_BD[[#This Row],[Affected Feeder ]],'Basic Data'!$A$42:$E$53,5,0),"")</f>
        <v/>
      </c>
      <c r="K313" s="164"/>
      <c r="L313" s="50"/>
      <c r="M313" s="116"/>
      <c r="N313" s="116"/>
      <c r="O313" s="57">
        <f>(IGA_BD[[#This Row],[Work Start TimeStamp]]-IGA_BD[[#This Row],[Fault Start TimeStamp]])*24</f>
        <v>0</v>
      </c>
      <c r="P313" s="44" t="str">
        <f>IF(IGA_BD[[#This Row],[Work Start TimeStamp]]="","",(IGA_BD[[#This Row],[Fault Clearance time]]-IGA_BD[[#This Row],[Work Start TimeStamp]])*24)</f>
        <v/>
      </c>
      <c r="Q313" s="57">
        <f>(IGA_BD[[#This Row],[Fault Clearance time]]-IGA_BD[[#This Row],[Fault Start TimeStamp]])*24</f>
        <v>0</v>
      </c>
      <c r="R313" s="153"/>
      <c r="S313" s="44"/>
      <c r="T313" s="45" t="str">
        <f>IFERROR(IGA_BD[[#This Row],[Breakdown Time]]*IGA_BD[[#This Row],[Plant Equivalent Weightage]],"")</f>
        <v/>
      </c>
    </row>
    <row r="314" spans="1:20">
      <c r="A314" s="28"/>
      <c r="B314" s="154"/>
      <c r="C314" s="30">
        <f>YEAR(WTG_BD[[#This Row],[Date]])+IF(MONTH(WTG_BD[[#This Row],[Date]])&gt;=4,1,0)</f>
        <v>2026</v>
      </c>
      <c r="D314" s="31">
        <f>YEAR(IGA_BD[[#This Row],[Date]])</f>
        <v>1900</v>
      </c>
      <c r="E314" s="48">
        <f t="shared" si="7"/>
        <v>1</v>
      </c>
      <c r="F314" s="32"/>
      <c r="G314" s="33"/>
      <c r="H314" s="43" t="str">
        <f>IFERROR(VLOOKUP(IGA_BD[[#This Row],[Affected Feeder ]],'Basic Data'!$A$42:$E$53,2,0),"")</f>
        <v/>
      </c>
      <c r="I314" s="43" t="str">
        <f>IFERROR(VLOOKUP(IGA_BD[[#This Row],[Affected Feeder ]],'Basic Data'!$A$42:$E$53,3,0),"")</f>
        <v/>
      </c>
      <c r="J314" s="43" t="str">
        <f>IFERROR(VLOOKUP(IGA_BD[[#This Row],[Affected Feeder ]],'Basic Data'!$A$42:$E$53,5,0),"")</f>
        <v/>
      </c>
      <c r="K314" s="164"/>
      <c r="L314" s="50"/>
      <c r="M314" s="116"/>
      <c r="N314" s="116"/>
      <c r="O314" s="57">
        <f>(IGA_BD[[#This Row],[Work Start TimeStamp]]-IGA_BD[[#This Row],[Fault Start TimeStamp]])*24</f>
        <v>0</v>
      </c>
      <c r="P314" s="44" t="str">
        <f>IF(IGA_BD[[#This Row],[Work Start TimeStamp]]="","",(IGA_BD[[#This Row],[Fault Clearance time]]-IGA_BD[[#This Row],[Work Start TimeStamp]])*24)</f>
        <v/>
      </c>
      <c r="Q314" s="57">
        <f>(IGA_BD[[#This Row],[Fault Clearance time]]-IGA_BD[[#This Row],[Fault Start TimeStamp]])*24</f>
        <v>0</v>
      </c>
      <c r="R314" s="153"/>
      <c r="S314" s="44"/>
      <c r="T314" s="45" t="str">
        <f>IFERROR(IGA_BD[[#This Row],[Breakdown Time]]*IGA_BD[[#This Row],[Plant Equivalent Weightage]],"")</f>
        <v/>
      </c>
    </row>
    <row r="315" spans="1:20">
      <c r="A315" s="28"/>
      <c r="B315" s="154"/>
      <c r="C315" s="30">
        <f>YEAR(WTG_BD[[#This Row],[Date]])+IF(MONTH(WTG_BD[[#This Row],[Date]])&gt;=4,1,0)</f>
        <v>2026</v>
      </c>
      <c r="D315" s="31">
        <f>YEAR(IGA_BD[[#This Row],[Date]])</f>
        <v>1900</v>
      </c>
      <c r="E315" s="48">
        <f t="shared" si="7"/>
        <v>1</v>
      </c>
      <c r="F315" s="32"/>
      <c r="G315" s="33"/>
      <c r="H315" s="43" t="str">
        <f>IFERROR(VLOOKUP(IGA_BD[[#This Row],[Affected Feeder ]],'Basic Data'!$A$42:$E$53,2,0),"")</f>
        <v/>
      </c>
      <c r="I315" s="43" t="str">
        <f>IFERROR(VLOOKUP(IGA_BD[[#This Row],[Affected Feeder ]],'Basic Data'!$A$42:$E$53,3,0),"")</f>
        <v/>
      </c>
      <c r="J315" s="43" t="str">
        <f>IFERROR(VLOOKUP(IGA_BD[[#This Row],[Affected Feeder ]],'Basic Data'!$A$42:$E$53,5,0),"")</f>
        <v/>
      </c>
      <c r="K315" s="164"/>
      <c r="L315" s="50"/>
      <c r="M315" s="116"/>
      <c r="N315" s="116"/>
      <c r="O315" s="57">
        <f>(IGA_BD[[#This Row],[Work Start TimeStamp]]-IGA_BD[[#This Row],[Fault Start TimeStamp]])*24</f>
        <v>0</v>
      </c>
      <c r="P315" s="44" t="str">
        <f>IF(IGA_BD[[#This Row],[Work Start TimeStamp]]="","",(IGA_BD[[#This Row],[Fault Clearance time]]-IGA_BD[[#This Row],[Work Start TimeStamp]])*24)</f>
        <v/>
      </c>
      <c r="Q315" s="57">
        <f>(IGA_BD[[#This Row],[Fault Clearance time]]-IGA_BD[[#This Row],[Fault Start TimeStamp]])*24</f>
        <v>0</v>
      </c>
      <c r="R315" s="153"/>
      <c r="S315" s="44"/>
      <c r="T315" s="45" t="str">
        <f>IFERROR(IGA_BD[[#This Row],[Breakdown Time]]*IGA_BD[[#This Row],[Plant Equivalent Weightage]],"")</f>
        <v/>
      </c>
    </row>
    <row r="316" spans="1:20">
      <c r="A316" s="28"/>
      <c r="B316" s="154"/>
      <c r="C316" s="30">
        <f>YEAR(WTG_BD[[#This Row],[Date]])+IF(MONTH(WTG_BD[[#This Row],[Date]])&gt;=4,1,0)</f>
        <v>2026</v>
      </c>
      <c r="D316" s="31">
        <f>YEAR(IGA_BD[[#This Row],[Date]])</f>
        <v>1900</v>
      </c>
      <c r="E316" s="48">
        <f t="shared" si="7"/>
        <v>1</v>
      </c>
      <c r="F316" s="32"/>
      <c r="G316" s="33"/>
      <c r="H316" s="43" t="str">
        <f>IFERROR(VLOOKUP(IGA_BD[[#This Row],[Affected Feeder ]],'Basic Data'!$A$42:$E$53,2,0),"")</f>
        <v/>
      </c>
      <c r="I316" s="43" t="str">
        <f>IFERROR(VLOOKUP(IGA_BD[[#This Row],[Affected Feeder ]],'Basic Data'!$A$42:$E$53,3,0),"")</f>
        <v/>
      </c>
      <c r="J316" s="43" t="str">
        <f>IFERROR(VLOOKUP(IGA_BD[[#This Row],[Affected Feeder ]],'Basic Data'!$A$42:$E$53,5,0),"")</f>
        <v/>
      </c>
      <c r="K316" s="164"/>
      <c r="L316" s="50"/>
      <c r="M316" s="116"/>
      <c r="N316" s="116"/>
      <c r="O316" s="57">
        <f>(IGA_BD[[#This Row],[Work Start TimeStamp]]-IGA_BD[[#This Row],[Fault Start TimeStamp]])*24</f>
        <v>0</v>
      </c>
      <c r="P316" s="44" t="str">
        <f>IF(IGA_BD[[#This Row],[Work Start TimeStamp]]="","",(IGA_BD[[#This Row],[Fault Clearance time]]-IGA_BD[[#This Row],[Work Start TimeStamp]])*24)</f>
        <v/>
      </c>
      <c r="Q316" s="57">
        <f>(IGA_BD[[#This Row],[Fault Clearance time]]-IGA_BD[[#This Row],[Fault Start TimeStamp]])*24</f>
        <v>0</v>
      </c>
      <c r="R316" s="153"/>
      <c r="S316" s="44"/>
      <c r="T316" s="45" t="str">
        <f>IFERROR(IGA_BD[[#This Row],[Breakdown Time]]*IGA_BD[[#This Row],[Plant Equivalent Weightage]],"")</f>
        <v/>
      </c>
    </row>
    <row r="317" spans="1:20">
      <c r="A317" s="28"/>
      <c r="B317" s="154"/>
      <c r="C317" s="30">
        <f>YEAR(WTG_BD[[#This Row],[Date]])+IF(MONTH(WTG_BD[[#This Row],[Date]])&gt;=4,1,0)</f>
        <v>2026</v>
      </c>
      <c r="D317" s="31">
        <f>YEAR(IGA_BD[[#This Row],[Date]])</f>
        <v>1900</v>
      </c>
      <c r="E317" s="48">
        <f t="shared" si="7"/>
        <v>1</v>
      </c>
      <c r="F317" s="32"/>
      <c r="G317" s="33"/>
      <c r="H317" s="43" t="str">
        <f>IFERROR(VLOOKUP(IGA_BD[[#This Row],[Affected Feeder ]],'Basic Data'!$A$42:$E$53,2,0),"")</f>
        <v/>
      </c>
      <c r="I317" s="43" t="str">
        <f>IFERROR(VLOOKUP(IGA_BD[[#This Row],[Affected Feeder ]],'Basic Data'!$A$42:$E$53,3,0),"")</f>
        <v/>
      </c>
      <c r="J317" s="43" t="str">
        <f>IFERROR(VLOOKUP(IGA_BD[[#This Row],[Affected Feeder ]],'Basic Data'!$A$42:$E$53,5,0),"")</f>
        <v/>
      </c>
      <c r="K317" s="164"/>
      <c r="L317" s="50"/>
      <c r="M317" s="116"/>
      <c r="N317" s="116"/>
      <c r="O317" s="57">
        <f>(IGA_BD[[#This Row],[Work Start TimeStamp]]-IGA_BD[[#This Row],[Fault Start TimeStamp]])*24</f>
        <v>0</v>
      </c>
      <c r="P317" s="44" t="str">
        <f>IF(IGA_BD[[#This Row],[Work Start TimeStamp]]="","",(IGA_BD[[#This Row],[Fault Clearance time]]-IGA_BD[[#This Row],[Work Start TimeStamp]])*24)</f>
        <v/>
      </c>
      <c r="Q317" s="57">
        <f>(IGA_BD[[#This Row],[Fault Clearance time]]-IGA_BD[[#This Row],[Fault Start TimeStamp]])*24</f>
        <v>0</v>
      </c>
      <c r="R317" s="153"/>
      <c r="S317" s="44"/>
      <c r="T317" s="45" t="str">
        <f>IFERROR(IGA_BD[[#This Row],[Breakdown Time]]*IGA_BD[[#This Row],[Plant Equivalent Weightage]],"")</f>
        <v/>
      </c>
    </row>
    <row r="318" spans="1:20">
      <c r="A318" s="28"/>
      <c r="B318" s="154"/>
      <c r="C318" s="30">
        <f>YEAR(WTG_BD[[#This Row],[Date]])+IF(MONTH(WTG_BD[[#This Row],[Date]])&gt;=4,1,0)</f>
        <v>2026</v>
      </c>
      <c r="D318" s="31">
        <f>YEAR(IGA_BD[[#This Row],[Date]])</f>
        <v>1900</v>
      </c>
      <c r="E318" s="48">
        <f t="shared" si="7"/>
        <v>1</v>
      </c>
      <c r="F318" s="32"/>
      <c r="G318" s="33"/>
      <c r="H318" s="43" t="str">
        <f>IFERROR(VLOOKUP(IGA_BD[[#This Row],[Affected Feeder ]],'Basic Data'!$A$42:$E$53,2,0),"")</f>
        <v/>
      </c>
      <c r="I318" s="43" t="str">
        <f>IFERROR(VLOOKUP(IGA_BD[[#This Row],[Affected Feeder ]],'Basic Data'!$A$42:$E$53,3,0),"")</f>
        <v/>
      </c>
      <c r="J318" s="43" t="str">
        <f>IFERROR(VLOOKUP(IGA_BD[[#This Row],[Affected Feeder ]],'Basic Data'!$A$42:$E$53,5,0),"")</f>
        <v/>
      </c>
      <c r="K318" s="164"/>
      <c r="L318" s="50"/>
      <c r="M318" s="116"/>
      <c r="N318" s="116"/>
      <c r="O318" s="57">
        <f>(IGA_BD[[#This Row],[Work Start TimeStamp]]-IGA_BD[[#This Row],[Fault Start TimeStamp]])*24</f>
        <v>0</v>
      </c>
      <c r="P318" s="44" t="str">
        <f>IF(IGA_BD[[#This Row],[Work Start TimeStamp]]="","",(IGA_BD[[#This Row],[Fault Clearance time]]-IGA_BD[[#This Row],[Work Start TimeStamp]])*24)</f>
        <v/>
      </c>
      <c r="Q318" s="57">
        <f>(IGA_BD[[#This Row],[Fault Clearance time]]-IGA_BD[[#This Row],[Fault Start TimeStamp]])*24</f>
        <v>0</v>
      </c>
      <c r="R318" s="153"/>
      <c r="S318" s="44"/>
      <c r="T318" s="45" t="str">
        <f>IFERROR(IGA_BD[[#This Row],[Breakdown Time]]*IGA_BD[[#This Row],[Plant Equivalent Weightage]],"")</f>
        <v/>
      </c>
    </row>
    <row r="319" spans="1:20">
      <c r="A319" s="28"/>
      <c r="B319" s="154"/>
      <c r="C319" s="30">
        <f>YEAR(WTG_BD[[#This Row],[Date]])+IF(MONTH(WTG_BD[[#This Row],[Date]])&gt;=4,1,0)</f>
        <v>2026</v>
      </c>
      <c r="D319" s="31">
        <f>YEAR(IGA_BD[[#This Row],[Date]])</f>
        <v>1900</v>
      </c>
      <c r="E319" s="48">
        <f t="shared" si="7"/>
        <v>1</v>
      </c>
      <c r="F319" s="32"/>
      <c r="G319" s="33"/>
      <c r="H319" s="43" t="str">
        <f>IFERROR(VLOOKUP(IGA_BD[[#This Row],[Affected Feeder ]],'Basic Data'!$A$42:$E$53,2,0),"")</f>
        <v/>
      </c>
      <c r="I319" s="43" t="str">
        <f>IFERROR(VLOOKUP(IGA_BD[[#This Row],[Affected Feeder ]],'Basic Data'!$A$42:$E$53,3,0),"")</f>
        <v/>
      </c>
      <c r="J319" s="43" t="str">
        <f>IFERROR(VLOOKUP(IGA_BD[[#This Row],[Affected Feeder ]],'Basic Data'!$A$42:$E$53,5,0),"")</f>
        <v/>
      </c>
      <c r="K319" s="164"/>
      <c r="L319" s="50"/>
      <c r="M319" s="116"/>
      <c r="N319" s="116"/>
      <c r="O319" s="57">
        <f>(IGA_BD[[#This Row],[Work Start TimeStamp]]-IGA_BD[[#This Row],[Fault Start TimeStamp]])*24</f>
        <v>0</v>
      </c>
      <c r="P319" s="44" t="str">
        <f>IF(IGA_BD[[#This Row],[Work Start TimeStamp]]="","",(IGA_BD[[#This Row],[Fault Clearance time]]-IGA_BD[[#This Row],[Work Start TimeStamp]])*24)</f>
        <v/>
      </c>
      <c r="Q319" s="57">
        <f>(IGA_BD[[#This Row],[Fault Clearance time]]-IGA_BD[[#This Row],[Fault Start TimeStamp]])*24</f>
        <v>0</v>
      </c>
      <c r="R319" s="153"/>
      <c r="S319" s="44"/>
      <c r="T319" s="45" t="str">
        <f>IFERROR(IGA_BD[[#This Row],[Breakdown Time]]*IGA_BD[[#This Row],[Plant Equivalent Weightage]],"")</f>
        <v/>
      </c>
    </row>
    <row r="320" spans="1:20">
      <c r="A320" s="28"/>
      <c r="B320" s="154"/>
      <c r="C320" s="30">
        <f>YEAR(WTG_BD[[#This Row],[Date]])+IF(MONTH(WTG_BD[[#This Row],[Date]])&gt;=4,1,0)</f>
        <v>2026</v>
      </c>
      <c r="D320" s="31">
        <f>YEAR(IGA_BD[[#This Row],[Date]])</f>
        <v>1900</v>
      </c>
      <c r="E320" s="48">
        <f t="shared" si="7"/>
        <v>1</v>
      </c>
      <c r="F320" s="32"/>
      <c r="G320" s="33"/>
      <c r="H320" s="43" t="str">
        <f>IFERROR(VLOOKUP(IGA_BD[[#This Row],[Affected Feeder ]],'Basic Data'!$A$42:$E$53,2,0),"")</f>
        <v/>
      </c>
      <c r="I320" s="43" t="str">
        <f>IFERROR(VLOOKUP(IGA_BD[[#This Row],[Affected Feeder ]],'Basic Data'!$A$42:$E$53,3,0),"")</f>
        <v/>
      </c>
      <c r="J320" s="43" t="str">
        <f>IFERROR(VLOOKUP(IGA_BD[[#This Row],[Affected Feeder ]],'Basic Data'!$A$42:$E$53,5,0),"")</f>
        <v/>
      </c>
      <c r="K320" s="164"/>
      <c r="L320" s="50"/>
      <c r="M320" s="116"/>
      <c r="N320" s="116"/>
      <c r="O320" s="57">
        <f>(IGA_BD[[#This Row],[Work Start TimeStamp]]-IGA_BD[[#This Row],[Fault Start TimeStamp]])*24</f>
        <v>0</v>
      </c>
      <c r="P320" s="44" t="str">
        <f>IF(IGA_BD[[#This Row],[Work Start TimeStamp]]="","",(IGA_BD[[#This Row],[Fault Clearance time]]-IGA_BD[[#This Row],[Work Start TimeStamp]])*24)</f>
        <v/>
      </c>
      <c r="Q320" s="57">
        <f>(IGA_BD[[#This Row],[Fault Clearance time]]-IGA_BD[[#This Row],[Fault Start TimeStamp]])*24</f>
        <v>0</v>
      </c>
      <c r="R320" s="153"/>
      <c r="S320" s="44"/>
      <c r="T320" s="45" t="str">
        <f>IFERROR(IGA_BD[[#This Row],[Breakdown Time]]*IGA_BD[[#This Row],[Plant Equivalent Weightage]],"")</f>
        <v/>
      </c>
    </row>
    <row r="321" spans="1:20">
      <c r="A321" s="28"/>
      <c r="B321" s="154"/>
      <c r="C321" s="30">
        <f>YEAR(WTG_BD[[#This Row],[Date]])+IF(MONTH(WTG_BD[[#This Row],[Date]])&gt;=4,1,0)</f>
        <v>2026</v>
      </c>
      <c r="D321" s="31">
        <f>YEAR(IGA_BD[[#This Row],[Date]])</f>
        <v>1900</v>
      </c>
      <c r="E321" s="48">
        <f t="shared" si="7"/>
        <v>1</v>
      </c>
      <c r="F321" s="32"/>
      <c r="G321" s="33"/>
      <c r="H321" s="43" t="str">
        <f>IFERROR(VLOOKUP(IGA_BD[[#This Row],[Affected Feeder ]],'Basic Data'!$A$42:$E$53,2,0),"")</f>
        <v/>
      </c>
      <c r="I321" s="43" t="str">
        <f>IFERROR(VLOOKUP(IGA_BD[[#This Row],[Affected Feeder ]],'Basic Data'!$A$42:$E$53,3,0),"")</f>
        <v/>
      </c>
      <c r="J321" s="43" t="str">
        <f>IFERROR(VLOOKUP(IGA_BD[[#This Row],[Affected Feeder ]],'Basic Data'!$A$42:$E$53,5,0),"")</f>
        <v/>
      </c>
      <c r="K321" s="164"/>
      <c r="L321" s="50"/>
      <c r="M321" s="116"/>
      <c r="N321" s="116"/>
      <c r="O321" s="57">
        <f>(IGA_BD[[#This Row],[Work Start TimeStamp]]-IGA_BD[[#This Row],[Fault Start TimeStamp]])*24</f>
        <v>0</v>
      </c>
      <c r="P321" s="44" t="str">
        <f>IF(IGA_BD[[#This Row],[Work Start TimeStamp]]="","",(IGA_BD[[#This Row],[Fault Clearance time]]-IGA_BD[[#This Row],[Work Start TimeStamp]])*24)</f>
        <v/>
      </c>
      <c r="Q321" s="57">
        <f>(IGA_BD[[#This Row],[Fault Clearance time]]-IGA_BD[[#This Row],[Fault Start TimeStamp]])*24</f>
        <v>0</v>
      </c>
      <c r="R321" s="153"/>
      <c r="S321" s="44"/>
      <c r="T321" s="45" t="str">
        <f>IFERROR(IGA_BD[[#This Row],[Breakdown Time]]*IGA_BD[[#This Row],[Plant Equivalent Weightage]],"")</f>
        <v/>
      </c>
    </row>
    <row r="322" spans="1:20">
      <c r="A322" s="28"/>
      <c r="B322" s="154"/>
      <c r="C322" s="30">
        <f>YEAR(WTG_BD[[#This Row],[Date]])+IF(MONTH(WTG_BD[[#This Row],[Date]])&gt;=4,1,0)</f>
        <v>2026</v>
      </c>
      <c r="D322" s="31">
        <f>YEAR(IGA_BD[[#This Row],[Date]])</f>
        <v>1900</v>
      </c>
      <c r="E322" s="48">
        <f t="shared" si="7"/>
        <v>1</v>
      </c>
      <c r="F322" s="32"/>
      <c r="G322" s="33"/>
      <c r="H322" s="43" t="str">
        <f>IFERROR(VLOOKUP(IGA_BD[[#This Row],[Affected Feeder ]],'Basic Data'!$A$42:$E$53,2,0),"")</f>
        <v/>
      </c>
      <c r="I322" s="43" t="str">
        <f>IFERROR(VLOOKUP(IGA_BD[[#This Row],[Affected Feeder ]],'Basic Data'!$A$42:$E$53,3,0),"")</f>
        <v/>
      </c>
      <c r="J322" s="43" t="str">
        <f>IFERROR(VLOOKUP(IGA_BD[[#This Row],[Affected Feeder ]],'Basic Data'!$A$42:$E$53,5,0),"")</f>
        <v/>
      </c>
      <c r="K322" s="164"/>
      <c r="L322" s="50"/>
      <c r="M322" s="116"/>
      <c r="N322" s="116"/>
      <c r="O322" s="57">
        <f>(IGA_BD[[#This Row],[Work Start TimeStamp]]-IGA_BD[[#This Row],[Fault Start TimeStamp]])*24</f>
        <v>0</v>
      </c>
      <c r="P322" s="44" t="str">
        <f>IF(IGA_BD[[#This Row],[Work Start TimeStamp]]="","",(IGA_BD[[#This Row],[Fault Clearance time]]-IGA_BD[[#This Row],[Work Start TimeStamp]])*24)</f>
        <v/>
      </c>
      <c r="Q322" s="57">
        <f>(IGA_BD[[#This Row],[Fault Clearance time]]-IGA_BD[[#This Row],[Fault Start TimeStamp]])*24</f>
        <v>0</v>
      </c>
      <c r="R322" s="153"/>
      <c r="S322" s="44"/>
      <c r="T322" s="45" t="str">
        <f>IFERROR(IGA_BD[[#This Row],[Breakdown Time]]*IGA_BD[[#This Row],[Plant Equivalent Weightage]],"")</f>
        <v/>
      </c>
    </row>
    <row r="323" spans="1:20">
      <c r="A323" s="28"/>
      <c r="B323" s="154"/>
      <c r="C323" s="30">
        <f>YEAR(WTG_BD[[#This Row],[Date]])+IF(MONTH(WTG_BD[[#This Row],[Date]])&gt;=4,1,0)</f>
        <v>2026</v>
      </c>
      <c r="D323" s="31">
        <f>YEAR(IGA_BD[[#This Row],[Date]])</f>
        <v>1900</v>
      </c>
      <c r="E323" s="48">
        <f t="shared" si="7"/>
        <v>1</v>
      </c>
      <c r="F323" s="32"/>
      <c r="G323" s="33"/>
      <c r="H323" s="43" t="str">
        <f>IFERROR(VLOOKUP(IGA_BD[[#This Row],[Affected Feeder ]],'Basic Data'!$A$42:$E$53,2,0),"")</f>
        <v/>
      </c>
      <c r="I323" s="43" t="str">
        <f>IFERROR(VLOOKUP(IGA_BD[[#This Row],[Affected Feeder ]],'Basic Data'!$A$42:$E$53,3,0),"")</f>
        <v/>
      </c>
      <c r="J323" s="43" t="str">
        <f>IFERROR(VLOOKUP(IGA_BD[[#This Row],[Affected Feeder ]],'Basic Data'!$A$42:$E$53,5,0),"")</f>
        <v/>
      </c>
      <c r="K323" s="164"/>
      <c r="L323" s="50"/>
      <c r="M323" s="116"/>
      <c r="N323" s="116"/>
      <c r="O323" s="57">
        <f>(IGA_BD[[#This Row],[Work Start TimeStamp]]-IGA_BD[[#This Row],[Fault Start TimeStamp]])*24</f>
        <v>0</v>
      </c>
      <c r="P323" s="44" t="str">
        <f>IF(IGA_BD[[#This Row],[Work Start TimeStamp]]="","",(IGA_BD[[#This Row],[Fault Clearance time]]-IGA_BD[[#This Row],[Work Start TimeStamp]])*24)</f>
        <v/>
      </c>
      <c r="Q323" s="57">
        <f>(IGA_BD[[#This Row],[Fault Clearance time]]-IGA_BD[[#This Row],[Fault Start TimeStamp]])*24</f>
        <v>0</v>
      </c>
      <c r="R323" s="153"/>
      <c r="S323" s="44"/>
      <c r="T323" s="45" t="str">
        <f>IFERROR(IGA_BD[[#This Row],[Breakdown Time]]*IGA_BD[[#This Row],[Plant Equivalent Weightage]],"")</f>
        <v/>
      </c>
    </row>
    <row r="324" spans="1:20">
      <c r="A324" s="28"/>
      <c r="B324" s="154"/>
      <c r="C324" s="30">
        <f>YEAR(WTG_BD[[#This Row],[Date]])+IF(MONTH(WTG_BD[[#This Row],[Date]])&gt;=4,1,0)</f>
        <v>2026</v>
      </c>
      <c r="D324" s="31">
        <f>YEAR(IGA_BD[[#This Row],[Date]])</f>
        <v>1900</v>
      </c>
      <c r="E324" s="48">
        <f t="shared" si="7"/>
        <v>1</v>
      </c>
      <c r="F324" s="32"/>
      <c r="G324" s="33"/>
      <c r="H324" s="43" t="str">
        <f>IFERROR(VLOOKUP(IGA_BD[[#This Row],[Affected Feeder ]],'Basic Data'!$A$42:$E$53,2,0),"")</f>
        <v/>
      </c>
      <c r="I324" s="43" t="str">
        <f>IFERROR(VLOOKUP(IGA_BD[[#This Row],[Affected Feeder ]],'Basic Data'!$A$42:$E$53,3,0),"")</f>
        <v/>
      </c>
      <c r="J324" s="43" t="str">
        <f>IFERROR(VLOOKUP(IGA_BD[[#This Row],[Affected Feeder ]],'Basic Data'!$A$42:$E$53,5,0),"")</f>
        <v/>
      </c>
      <c r="K324" s="164"/>
      <c r="L324" s="50"/>
      <c r="M324" s="116"/>
      <c r="N324" s="116"/>
      <c r="O324" s="57">
        <f>(IGA_BD[[#This Row],[Work Start TimeStamp]]-IGA_BD[[#This Row],[Fault Start TimeStamp]])*24</f>
        <v>0</v>
      </c>
      <c r="P324" s="44" t="str">
        <f>IF(IGA_BD[[#This Row],[Work Start TimeStamp]]="","",(IGA_BD[[#This Row],[Fault Clearance time]]-IGA_BD[[#This Row],[Work Start TimeStamp]])*24)</f>
        <v/>
      </c>
      <c r="Q324" s="57">
        <f>(IGA_BD[[#This Row],[Fault Clearance time]]-IGA_BD[[#This Row],[Fault Start TimeStamp]])*24</f>
        <v>0</v>
      </c>
      <c r="R324" s="153"/>
      <c r="S324" s="44"/>
      <c r="T324" s="45" t="str">
        <f>IFERROR(IGA_BD[[#This Row],[Breakdown Time]]*IGA_BD[[#This Row],[Plant Equivalent Weightage]],"")</f>
        <v/>
      </c>
    </row>
    <row r="325" spans="1:20">
      <c r="A325" s="28"/>
      <c r="B325" s="154"/>
      <c r="C325" s="30">
        <f>YEAR(WTG_BD[[#This Row],[Date]])+IF(MONTH(WTG_BD[[#This Row],[Date]])&gt;=4,1,0)</f>
        <v>2026</v>
      </c>
      <c r="D325" s="31">
        <f>YEAR(IGA_BD[[#This Row],[Date]])</f>
        <v>1900</v>
      </c>
      <c r="E325" s="48">
        <f t="shared" si="7"/>
        <v>1</v>
      </c>
      <c r="F325" s="32"/>
      <c r="G325" s="33"/>
      <c r="H325" s="43" t="str">
        <f>IFERROR(VLOOKUP(IGA_BD[[#This Row],[Affected Feeder ]],'Basic Data'!$A$42:$E$53,2,0),"")</f>
        <v/>
      </c>
      <c r="I325" s="43" t="str">
        <f>IFERROR(VLOOKUP(IGA_BD[[#This Row],[Affected Feeder ]],'Basic Data'!$A$42:$E$53,3,0),"")</f>
        <v/>
      </c>
      <c r="J325" s="43" t="str">
        <f>IFERROR(VLOOKUP(IGA_BD[[#This Row],[Affected Feeder ]],'Basic Data'!$A$42:$E$53,5,0),"")</f>
        <v/>
      </c>
      <c r="K325" s="164"/>
      <c r="L325" s="50"/>
      <c r="M325" s="116"/>
      <c r="N325" s="116"/>
      <c r="O325" s="57">
        <f>(IGA_BD[[#This Row],[Work Start TimeStamp]]-IGA_BD[[#This Row],[Fault Start TimeStamp]])*24</f>
        <v>0</v>
      </c>
      <c r="P325" s="44" t="str">
        <f>IF(IGA_BD[[#This Row],[Work Start TimeStamp]]="","",(IGA_BD[[#This Row],[Fault Clearance time]]-IGA_BD[[#This Row],[Work Start TimeStamp]])*24)</f>
        <v/>
      </c>
      <c r="Q325" s="57">
        <f>(IGA_BD[[#This Row],[Fault Clearance time]]-IGA_BD[[#This Row],[Fault Start TimeStamp]])*24</f>
        <v>0</v>
      </c>
      <c r="R325" s="153"/>
      <c r="S325" s="44"/>
      <c r="T325" s="45" t="str">
        <f>IFERROR(IGA_BD[[#This Row],[Breakdown Time]]*IGA_BD[[#This Row],[Plant Equivalent Weightage]],"")</f>
        <v/>
      </c>
    </row>
    <row r="326" spans="1:20">
      <c r="A326" s="28"/>
      <c r="B326" s="154"/>
      <c r="C326" s="30">
        <f>YEAR(WTG_BD[[#This Row],[Date]])+IF(MONTH(WTG_BD[[#This Row],[Date]])&gt;=4,1,0)</f>
        <v>2026</v>
      </c>
      <c r="D326" s="31">
        <f>YEAR(IGA_BD[[#This Row],[Date]])</f>
        <v>1900</v>
      </c>
      <c r="E326" s="48">
        <f t="shared" si="7"/>
        <v>1</v>
      </c>
      <c r="F326" s="32"/>
      <c r="G326" s="33"/>
      <c r="H326" s="43" t="str">
        <f>IFERROR(VLOOKUP(IGA_BD[[#This Row],[Affected Feeder ]],'Basic Data'!$A$42:$E$53,2,0),"")</f>
        <v/>
      </c>
      <c r="I326" s="43" t="str">
        <f>IFERROR(VLOOKUP(IGA_BD[[#This Row],[Affected Feeder ]],'Basic Data'!$A$42:$E$53,3,0),"")</f>
        <v/>
      </c>
      <c r="J326" s="43" t="str">
        <f>IFERROR(VLOOKUP(IGA_BD[[#This Row],[Affected Feeder ]],'Basic Data'!$A$42:$E$53,5,0),"")</f>
        <v/>
      </c>
      <c r="K326" s="164"/>
      <c r="L326" s="50"/>
      <c r="M326" s="116"/>
      <c r="N326" s="116"/>
      <c r="O326" s="57">
        <f>(IGA_BD[[#This Row],[Work Start TimeStamp]]-IGA_BD[[#This Row],[Fault Start TimeStamp]])*24</f>
        <v>0</v>
      </c>
      <c r="P326" s="44" t="str">
        <f>IF(IGA_BD[[#This Row],[Work Start TimeStamp]]="","",(IGA_BD[[#This Row],[Fault Clearance time]]-IGA_BD[[#This Row],[Work Start TimeStamp]])*24)</f>
        <v/>
      </c>
      <c r="Q326" s="57">
        <f>(IGA_BD[[#This Row],[Fault Clearance time]]-IGA_BD[[#This Row],[Fault Start TimeStamp]])*24</f>
        <v>0</v>
      </c>
      <c r="R326" s="153"/>
      <c r="S326" s="44"/>
      <c r="T326" s="45" t="str">
        <f>IFERROR(IGA_BD[[#This Row],[Breakdown Time]]*IGA_BD[[#This Row],[Plant Equivalent Weightage]],"")</f>
        <v/>
      </c>
    </row>
    <row r="327" spans="1:20">
      <c r="A327" s="28"/>
      <c r="B327" s="154"/>
      <c r="C327" s="30">
        <f>YEAR(WTG_BD[[#This Row],[Date]])+IF(MONTH(WTG_BD[[#This Row],[Date]])&gt;=4,1,0)</f>
        <v>2026</v>
      </c>
      <c r="D327" s="31">
        <f>YEAR(IGA_BD[[#This Row],[Date]])</f>
        <v>1900</v>
      </c>
      <c r="E327" s="48">
        <f t="shared" si="7"/>
        <v>1</v>
      </c>
      <c r="F327" s="32"/>
      <c r="G327" s="33"/>
      <c r="H327" s="43" t="str">
        <f>IFERROR(VLOOKUP(IGA_BD[[#This Row],[Affected Feeder ]],'Basic Data'!$A$42:$E$53,2,0),"")</f>
        <v/>
      </c>
      <c r="I327" s="43" t="str">
        <f>IFERROR(VLOOKUP(IGA_BD[[#This Row],[Affected Feeder ]],'Basic Data'!$A$42:$E$53,3,0),"")</f>
        <v/>
      </c>
      <c r="J327" s="43" t="str">
        <f>IFERROR(VLOOKUP(IGA_BD[[#This Row],[Affected Feeder ]],'Basic Data'!$A$42:$E$53,5,0),"")</f>
        <v/>
      </c>
      <c r="K327" s="164"/>
      <c r="L327" s="50"/>
      <c r="M327" s="116"/>
      <c r="N327" s="116"/>
      <c r="O327" s="57">
        <f>(IGA_BD[[#This Row],[Work Start TimeStamp]]-IGA_BD[[#This Row],[Fault Start TimeStamp]])*24</f>
        <v>0</v>
      </c>
      <c r="P327" s="44" t="str">
        <f>IF(IGA_BD[[#This Row],[Work Start TimeStamp]]="","",(IGA_BD[[#This Row],[Fault Clearance time]]-IGA_BD[[#This Row],[Work Start TimeStamp]])*24)</f>
        <v/>
      </c>
      <c r="Q327" s="57">
        <f>(IGA_BD[[#This Row],[Fault Clearance time]]-IGA_BD[[#This Row],[Fault Start TimeStamp]])*24</f>
        <v>0</v>
      </c>
      <c r="R327" s="153"/>
      <c r="S327" s="44"/>
      <c r="T327" s="45" t="str">
        <f>IFERROR(IGA_BD[[#This Row],[Breakdown Time]]*IGA_BD[[#This Row],[Plant Equivalent Weightage]],"")</f>
        <v/>
      </c>
    </row>
    <row r="328" spans="1:20">
      <c r="A328" s="28"/>
      <c r="B328" s="154"/>
      <c r="C328" s="30">
        <f>YEAR(WTG_BD[[#This Row],[Date]])+IF(MONTH(WTG_BD[[#This Row],[Date]])&gt;=4,1,0)</f>
        <v>2026</v>
      </c>
      <c r="D328" s="31">
        <f>YEAR(IGA_BD[[#This Row],[Date]])</f>
        <v>1900</v>
      </c>
      <c r="E328" s="48">
        <f t="shared" si="7"/>
        <v>1</v>
      </c>
      <c r="F328" s="32"/>
      <c r="G328" s="33"/>
      <c r="H328" s="43" t="str">
        <f>IFERROR(VLOOKUP(IGA_BD[[#This Row],[Affected Feeder ]],'Basic Data'!$A$42:$E$53,2,0),"")</f>
        <v/>
      </c>
      <c r="I328" s="43" t="str">
        <f>IFERROR(VLOOKUP(IGA_BD[[#This Row],[Affected Feeder ]],'Basic Data'!$A$42:$E$53,3,0),"")</f>
        <v/>
      </c>
      <c r="J328" s="43" t="str">
        <f>IFERROR(VLOOKUP(IGA_BD[[#This Row],[Affected Feeder ]],'Basic Data'!$A$42:$E$53,5,0),"")</f>
        <v/>
      </c>
      <c r="K328" s="164"/>
      <c r="L328" s="50"/>
      <c r="M328" s="116"/>
      <c r="N328" s="116"/>
      <c r="O328" s="57">
        <f>(IGA_BD[[#This Row],[Work Start TimeStamp]]-IGA_BD[[#This Row],[Fault Start TimeStamp]])*24</f>
        <v>0</v>
      </c>
      <c r="P328" s="44" t="str">
        <f>IF(IGA_BD[[#This Row],[Work Start TimeStamp]]="","",(IGA_BD[[#This Row],[Fault Clearance time]]-IGA_BD[[#This Row],[Work Start TimeStamp]])*24)</f>
        <v/>
      </c>
      <c r="Q328" s="57">
        <f>(IGA_BD[[#This Row],[Fault Clearance time]]-IGA_BD[[#This Row],[Fault Start TimeStamp]])*24</f>
        <v>0</v>
      </c>
      <c r="R328" s="153"/>
      <c r="S328" s="44"/>
      <c r="T328" s="45" t="str">
        <f>IFERROR(IGA_BD[[#This Row],[Breakdown Time]]*IGA_BD[[#This Row],[Plant Equivalent Weightage]],"")</f>
        <v/>
      </c>
    </row>
    <row r="329" spans="1:20">
      <c r="A329" s="28"/>
      <c r="B329" s="154"/>
      <c r="C329" s="30">
        <f>YEAR(WTG_BD[[#This Row],[Date]])+IF(MONTH(WTG_BD[[#This Row],[Date]])&gt;=4,1,0)</f>
        <v>2026</v>
      </c>
      <c r="D329" s="31">
        <f>YEAR(IGA_BD[[#This Row],[Date]])</f>
        <v>1900</v>
      </c>
      <c r="E329" s="48">
        <f t="shared" si="7"/>
        <v>1</v>
      </c>
      <c r="F329" s="32"/>
      <c r="G329" s="33"/>
      <c r="H329" s="43" t="str">
        <f>IFERROR(VLOOKUP(IGA_BD[[#This Row],[Affected Feeder ]],'Basic Data'!$A$42:$E$53,2,0),"")</f>
        <v/>
      </c>
      <c r="I329" s="43" t="str">
        <f>IFERROR(VLOOKUP(IGA_BD[[#This Row],[Affected Feeder ]],'Basic Data'!$A$42:$E$53,3,0),"")</f>
        <v/>
      </c>
      <c r="J329" s="43" t="str">
        <f>IFERROR(VLOOKUP(IGA_BD[[#This Row],[Affected Feeder ]],'Basic Data'!$A$42:$E$53,5,0),"")</f>
        <v/>
      </c>
      <c r="K329" s="164"/>
      <c r="L329" s="50"/>
      <c r="M329" s="116"/>
      <c r="N329" s="116"/>
      <c r="O329" s="57">
        <f>(IGA_BD[[#This Row],[Work Start TimeStamp]]-IGA_BD[[#This Row],[Fault Start TimeStamp]])*24</f>
        <v>0</v>
      </c>
      <c r="P329" s="44" t="str">
        <f>IF(IGA_BD[[#This Row],[Work Start TimeStamp]]="","",(IGA_BD[[#This Row],[Fault Clearance time]]-IGA_BD[[#This Row],[Work Start TimeStamp]])*24)</f>
        <v/>
      </c>
      <c r="Q329" s="57">
        <f>(IGA_BD[[#This Row],[Fault Clearance time]]-IGA_BD[[#This Row],[Fault Start TimeStamp]])*24</f>
        <v>0</v>
      </c>
      <c r="R329" s="153"/>
      <c r="S329" s="44"/>
      <c r="T329" s="45" t="str">
        <f>IFERROR(IGA_BD[[#This Row],[Breakdown Time]]*IGA_BD[[#This Row],[Plant Equivalent Weightage]],"")</f>
        <v/>
      </c>
    </row>
    <row r="330" spans="1:20">
      <c r="A330" s="28"/>
      <c r="B330" s="154"/>
      <c r="C330" s="30">
        <f>YEAR(WTG_BD[[#This Row],[Date]])+IF(MONTH(WTG_BD[[#This Row],[Date]])&gt;=4,1,0)</f>
        <v>2026</v>
      </c>
      <c r="D330" s="31">
        <f>YEAR(IGA_BD[[#This Row],[Date]])</f>
        <v>1900</v>
      </c>
      <c r="E330" s="48">
        <f t="shared" si="7"/>
        <v>1</v>
      </c>
      <c r="F330" s="32"/>
      <c r="G330" s="33"/>
      <c r="H330" s="43" t="str">
        <f>IFERROR(VLOOKUP(IGA_BD[[#This Row],[Affected Feeder ]],'Basic Data'!$A$42:$E$53,2,0),"")</f>
        <v/>
      </c>
      <c r="I330" s="43" t="str">
        <f>IFERROR(VLOOKUP(IGA_BD[[#This Row],[Affected Feeder ]],'Basic Data'!$A$42:$E$53,3,0),"")</f>
        <v/>
      </c>
      <c r="J330" s="43" t="str">
        <f>IFERROR(VLOOKUP(IGA_BD[[#This Row],[Affected Feeder ]],'Basic Data'!$A$42:$E$53,5,0),"")</f>
        <v/>
      </c>
      <c r="K330" s="164"/>
      <c r="L330" s="50"/>
      <c r="M330" s="116"/>
      <c r="N330" s="116"/>
      <c r="O330" s="57">
        <f>(IGA_BD[[#This Row],[Work Start TimeStamp]]-IGA_BD[[#This Row],[Fault Start TimeStamp]])*24</f>
        <v>0</v>
      </c>
      <c r="P330" s="44" t="str">
        <f>IF(IGA_BD[[#This Row],[Work Start TimeStamp]]="","",(IGA_BD[[#This Row],[Fault Clearance time]]-IGA_BD[[#This Row],[Work Start TimeStamp]])*24)</f>
        <v/>
      </c>
      <c r="Q330" s="57">
        <f>(IGA_BD[[#This Row],[Fault Clearance time]]-IGA_BD[[#This Row],[Fault Start TimeStamp]])*24</f>
        <v>0</v>
      </c>
      <c r="R330" s="153"/>
      <c r="S330" s="44"/>
      <c r="T330" s="45" t="str">
        <f>IFERROR(IGA_BD[[#This Row],[Breakdown Time]]*IGA_BD[[#This Row],[Plant Equivalent Weightage]],"")</f>
        <v/>
      </c>
    </row>
    <row r="331" spans="1:20">
      <c r="A331" s="28"/>
      <c r="B331" s="154"/>
      <c r="C331" s="30">
        <f>YEAR(WTG_BD[[#This Row],[Date]])+IF(MONTH(WTG_BD[[#This Row],[Date]])&gt;=4,1,0)</f>
        <v>2026</v>
      </c>
      <c r="D331" s="31">
        <f>YEAR(IGA_BD[[#This Row],[Date]])</f>
        <v>1900</v>
      </c>
      <c r="E331" s="48">
        <f t="shared" si="7"/>
        <v>1</v>
      </c>
      <c r="F331" s="32"/>
      <c r="G331" s="33"/>
      <c r="H331" s="43" t="str">
        <f>IFERROR(VLOOKUP(IGA_BD[[#This Row],[Affected Feeder ]],'Basic Data'!$A$42:$E$53,2,0),"")</f>
        <v/>
      </c>
      <c r="I331" s="43" t="str">
        <f>IFERROR(VLOOKUP(IGA_BD[[#This Row],[Affected Feeder ]],'Basic Data'!$A$42:$E$53,3,0),"")</f>
        <v/>
      </c>
      <c r="J331" s="43" t="str">
        <f>IFERROR(VLOOKUP(IGA_BD[[#This Row],[Affected Feeder ]],'Basic Data'!$A$42:$E$53,5,0),"")</f>
        <v/>
      </c>
      <c r="K331" s="164"/>
      <c r="L331" s="50"/>
      <c r="M331" s="116"/>
      <c r="N331" s="116"/>
      <c r="O331" s="57">
        <f>(IGA_BD[[#This Row],[Work Start TimeStamp]]-IGA_BD[[#This Row],[Fault Start TimeStamp]])*24</f>
        <v>0</v>
      </c>
      <c r="P331" s="44" t="str">
        <f>IF(IGA_BD[[#This Row],[Work Start TimeStamp]]="","",(IGA_BD[[#This Row],[Fault Clearance time]]-IGA_BD[[#This Row],[Work Start TimeStamp]])*24)</f>
        <v/>
      </c>
      <c r="Q331" s="57">
        <f>(IGA_BD[[#This Row],[Fault Clearance time]]-IGA_BD[[#This Row],[Fault Start TimeStamp]])*24</f>
        <v>0</v>
      </c>
      <c r="R331" s="153"/>
      <c r="S331" s="44"/>
      <c r="T331" s="45" t="str">
        <f>IFERROR(IGA_BD[[#This Row],[Breakdown Time]]*IGA_BD[[#This Row],[Plant Equivalent Weightage]],"")</f>
        <v/>
      </c>
    </row>
    <row r="332" spans="1:20">
      <c r="A332" s="28"/>
      <c r="B332" s="154"/>
      <c r="C332" s="30">
        <f>YEAR(WTG_BD[[#This Row],[Date]])+IF(MONTH(WTG_BD[[#This Row],[Date]])&gt;=4,1,0)</f>
        <v>2026</v>
      </c>
      <c r="D332" s="31">
        <f>YEAR(IGA_BD[[#This Row],[Date]])</f>
        <v>1900</v>
      </c>
      <c r="E332" s="48">
        <f t="shared" si="7"/>
        <v>1</v>
      </c>
      <c r="F332" s="32"/>
      <c r="G332" s="33"/>
      <c r="H332" s="43" t="str">
        <f>IFERROR(VLOOKUP(IGA_BD[[#This Row],[Affected Feeder ]],'Basic Data'!$A$42:$E$53,2,0),"")</f>
        <v/>
      </c>
      <c r="I332" s="43" t="str">
        <f>IFERROR(VLOOKUP(IGA_BD[[#This Row],[Affected Feeder ]],'Basic Data'!$A$42:$E$53,3,0),"")</f>
        <v/>
      </c>
      <c r="J332" s="43" t="str">
        <f>IFERROR(VLOOKUP(IGA_BD[[#This Row],[Affected Feeder ]],'Basic Data'!$A$42:$E$53,5,0),"")</f>
        <v/>
      </c>
      <c r="K332" s="164"/>
      <c r="L332" s="50"/>
      <c r="M332" s="116"/>
      <c r="N332" s="116"/>
      <c r="O332" s="57">
        <f>(IGA_BD[[#This Row],[Work Start TimeStamp]]-IGA_BD[[#This Row],[Fault Start TimeStamp]])*24</f>
        <v>0</v>
      </c>
      <c r="P332" s="44" t="str">
        <f>IF(IGA_BD[[#This Row],[Work Start TimeStamp]]="","",(IGA_BD[[#This Row],[Fault Clearance time]]-IGA_BD[[#This Row],[Work Start TimeStamp]])*24)</f>
        <v/>
      </c>
      <c r="Q332" s="57">
        <f>(IGA_BD[[#This Row],[Fault Clearance time]]-IGA_BD[[#This Row],[Fault Start TimeStamp]])*24</f>
        <v>0</v>
      </c>
      <c r="R332" s="153"/>
      <c r="S332" s="44"/>
      <c r="T332" s="45" t="str">
        <f>IFERROR(IGA_BD[[#This Row],[Breakdown Time]]*IGA_BD[[#This Row],[Plant Equivalent Weightage]],"")</f>
        <v/>
      </c>
    </row>
    <row r="333" spans="1:20">
      <c r="A333" s="28"/>
      <c r="B333" s="154"/>
      <c r="C333" s="30">
        <f>YEAR(WTG_BD[[#This Row],[Date]])+IF(MONTH(WTG_BD[[#This Row],[Date]])&gt;=4,1,0)</f>
        <v>2026</v>
      </c>
      <c r="D333" s="31">
        <f>YEAR(IGA_BD[[#This Row],[Date]])</f>
        <v>1900</v>
      </c>
      <c r="E333" s="48">
        <f t="shared" si="7"/>
        <v>1</v>
      </c>
      <c r="F333" s="32"/>
      <c r="G333" s="33"/>
      <c r="H333" s="43" t="str">
        <f>IFERROR(VLOOKUP(IGA_BD[[#This Row],[Affected Feeder ]],'Basic Data'!$A$42:$E$53,2,0),"")</f>
        <v/>
      </c>
      <c r="I333" s="43" t="str">
        <f>IFERROR(VLOOKUP(IGA_BD[[#This Row],[Affected Feeder ]],'Basic Data'!$A$42:$E$53,3,0),"")</f>
        <v/>
      </c>
      <c r="J333" s="43" t="str">
        <f>IFERROR(VLOOKUP(IGA_BD[[#This Row],[Affected Feeder ]],'Basic Data'!$A$42:$E$53,5,0),"")</f>
        <v/>
      </c>
      <c r="K333" s="164"/>
      <c r="L333" s="50"/>
      <c r="M333" s="116"/>
      <c r="N333" s="116"/>
      <c r="O333" s="57">
        <f>(IGA_BD[[#This Row],[Work Start TimeStamp]]-IGA_BD[[#This Row],[Fault Start TimeStamp]])*24</f>
        <v>0</v>
      </c>
      <c r="P333" s="44" t="str">
        <f>IF(IGA_BD[[#This Row],[Work Start TimeStamp]]="","",(IGA_BD[[#This Row],[Fault Clearance time]]-IGA_BD[[#This Row],[Work Start TimeStamp]])*24)</f>
        <v/>
      </c>
      <c r="Q333" s="57">
        <f>(IGA_BD[[#This Row],[Fault Clearance time]]-IGA_BD[[#This Row],[Fault Start TimeStamp]])*24</f>
        <v>0</v>
      </c>
      <c r="R333" s="153"/>
      <c r="S333" s="44"/>
      <c r="T333" s="45" t="str">
        <f>IFERROR(IGA_BD[[#This Row],[Breakdown Time]]*IGA_BD[[#This Row],[Plant Equivalent Weightage]],"")</f>
        <v/>
      </c>
    </row>
    <row r="334" spans="1:20">
      <c r="A334" s="28"/>
      <c r="B334" s="154"/>
      <c r="C334" s="30">
        <f>YEAR(WTG_BD[[#This Row],[Date]])+IF(MONTH(WTG_BD[[#This Row],[Date]])&gt;=4,1,0)</f>
        <v>2026</v>
      </c>
      <c r="D334" s="31">
        <f>YEAR(IGA_BD[[#This Row],[Date]])</f>
        <v>1900</v>
      </c>
      <c r="E334" s="48">
        <f t="shared" si="7"/>
        <v>1</v>
      </c>
      <c r="F334" s="32"/>
      <c r="G334" s="33"/>
      <c r="H334" s="43" t="str">
        <f>IFERROR(VLOOKUP(IGA_BD[[#This Row],[Affected Feeder ]],'Basic Data'!$A$42:$E$53,2,0),"")</f>
        <v/>
      </c>
      <c r="I334" s="43" t="str">
        <f>IFERROR(VLOOKUP(IGA_BD[[#This Row],[Affected Feeder ]],'Basic Data'!$A$42:$E$53,3,0),"")</f>
        <v/>
      </c>
      <c r="J334" s="43" t="str">
        <f>IFERROR(VLOOKUP(IGA_BD[[#This Row],[Affected Feeder ]],'Basic Data'!$A$42:$E$53,5,0),"")</f>
        <v/>
      </c>
      <c r="K334" s="164"/>
      <c r="L334" s="50"/>
      <c r="M334" s="116"/>
      <c r="N334" s="116"/>
      <c r="O334" s="57">
        <f>(IGA_BD[[#This Row],[Work Start TimeStamp]]-IGA_BD[[#This Row],[Fault Start TimeStamp]])*24</f>
        <v>0</v>
      </c>
      <c r="P334" s="44" t="str">
        <f>IF(IGA_BD[[#This Row],[Work Start TimeStamp]]="","",(IGA_BD[[#This Row],[Fault Clearance time]]-IGA_BD[[#This Row],[Work Start TimeStamp]])*24)</f>
        <v/>
      </c>
      <c r="Q334" s="57">
        <f>(IGA_BD[[#This Row],[Fault Clearance time]]-IGA_BD[[#This Row],[Fault Start TimeStamp]])*24</f>
        <v>0</v>
      </c>
      <c r="R334" s="153"/>
      <c r="S334" s="44"/>
      <c r="T334" s="45" t="str">
        <f>IFERROR(IGA_BD[[#This Row],[Breakdown Time]]*IGA_BD[[#This Row],[Plant Equivalent Weightage]],"")</f>
        <v/>
      </c>
    </row>
    <row r="335" spans="1:20">
      <c r="A335" s="28"/>
      <c r="B335" s="154"/>
      <c r="C335" s="30">
        <f>YEAR(WTG_BD[[#This Row],[Date]])+IF(MONTH(WTG_BD[[#This Row],[Date]])&gt;=4,1,0)</f>
        <v>2026</v>
      </c>
      <c r="D335" s="31">
        <f>YEAR(IGA_BD[[#This Row],[Date]])</f>
        <v>1900</v>
      </c>
      <c r="E335" s="48">
        <f t="shared" si="7"/>
        <v>1</v>
      </c>
      <c r="F335" s="32"/>
      <c r="G335" s="33"/>
      <c r="H335" s="43" t="str">
        <f>IFERROR(VLOOKUP(IGA_BD[[#This Row],[Affected Feeder ]],'Basic Data'!$A$42:$E$53,2,0),"")</f>
        <v/>
      </c>
      <c r="I335" s="43" t="str">
        <f>IFERROR(VLOOKUP(IGA_BD[[#This Row],[Affected Feeder ]],'Basic Data'!$A$42:$E$53,3,0),"")</f>
        <v/>
      </c>
      <c r="J335" s="43" t="str">
        <f>IFERROR(VLOOKUP(IGA_BD[[#This Row],[Affected Feeder ]],'Basic Data'!$A$42:$E$53,5,0),"")</f>
        <v/>
      </c>
      <c r="K335" s="164"/>
      <c r="L335" s="50"/>
      <c r="M335" s="116"/>
      <c r="N335" s="116"/>
      <c r="O335" s="57">
        <f>(IGA_BD[[#This Row],[Work Start TimeStamp]]-IGA_BD[[#This Row],[Fault Start TimeStamp]])*24</f>
        <v>0</v>
      </c>
      <c r="P335" s="44" t="str">
        <f>IF(IGA_BD[[#This Row],[Work Start TimeStamp]]="","",(IGA_BD[[#This Row],[Fault Clearance time]]-IGA_BD[[#This Row],[Work Start TimeStamp]])*24)</f>
        <v/>
      </c>
      <c r="Q335" s="57">
        <f>(IGA_BD[[#This Row],[Fault Clearance time]]-IGA_BD[[#This Row],[Fault Start TimeStamp]])*24</f>
        <v>0</v>
      </c>
      <c r="R335" s="153"/>
      <c r="S335" s="44"/>
      <c r="T335" s="45" t="str">
        <f>IFERROR(IGA_BD[[#This Row],[Breakdown Time]]*IGA_BD[[#This Row],[Plant Equivalent Weightage]],"")</f>
        <v/>
      </c>
    </row>
    <row r="336" spans="1:20">
      <c r="A336" s="28"/>
      <c r="B336" s="154"/>
      <c r="C336" s="30">
        <f>YEAR(WTG_BD[[#This Row],[Date]])+IF(MONTH(WTG_BD[[#This Row],[Date]])&gt;=4,1,0)</f>
        <v>2026</v>
      </c>
      <c r="D336" s="31">
        <f>YEAR(IGA_BD[[#This Row],[Date]])</f>
        <v>1900</v>
      </c>
      <c r="E336" s="48">
        <f t="shared" si="7"/>
        <v>1</v>
      </c>
      <c r="F336" s="32"/>
      <c r="G336" s="33"/>
      <c r="H336" s="43" t="str">
        <f>IFERROR(VLOOKUP(IGA_BD[[#This Row],[Affected Feeder ]],'Basic Data'!$A$42:$E$53,2,0),"")</f>
        <v/>
      </c>
      <c r="I336" s="43" t="str">
        <f>IFERROR(VLOOKUP(IGA_BD[[#This Row],[Affected Feeder ]],'Basic Data'!$A$42:$E$53,3,0),"")</f>
        <v/>
      </c>
      <c r="J336" s="43" t="str">
        <f>IFERROR(VLOOKUP(IGA_BD[[#This Row],[Affected Feeder ]],'Basic Data'!$A$42:$E$53,5,0),"")</f>
        <v/>
      </c>
      <c r="K336" s="164"/>
      <c r="L336" s="50"/>
      <c r="M336" s="116"/>
      <c r="N336" s="116"/>
      <c r="O336" s="57">
        <f>(IGA_BD[[#This Row],[Work Start TimeStamp]]-IGA_BD[[#This Row],[Fault Start TimeStamp]])*24</f>
        <v>0</v>
      </c>
      <c r="P336" s="44" t="str">
        <f>IF(IGA_BD[[#This Row],[Work Start TimeStamp]]="","",(IGA_BD[[#This Row],[Fault Clearance time]]-IGA_BD[[#This Row],[Work Start TimeStamp]])*24)</f>
        <v/>
      </c>
      <c r="Q336" s="57">
        <f>(IGA_BD[[#This Row],[Fault Clearance time]]-IGA_BD[[#This Row],[Fault Start TimeStamp]])*24</f>
        <v>0</v>
      </c>
      <c r="R336" s="153"/>
      <c r="S336" s="44"/>
      <c r="T336" s="45" t="str">
        <f>IFERROR(IGA_BD[[#This Row],[Breakdown Time]]*IGA_BD[[#This Row],[Plant Equivalent Weightage]],"")</f>
        <v/>
      </c>
    </row>
    <row r="337" spans="1:20">
      <c r="A337" s="28"/>
      <c r="B337" s="154"/>
      <c r="C337" s="30">
        <f>YEAR(WTG_BD[[#This Row],[Date]])+IF(MONTH(WTG_BD[[#This Row],[Date]])&gt;=4,1,0)</f>
        <v>2026</v>
      </c>
      <c r="D337" s="31">
        <f>YEAR(IGA_BD[[#This Row],[Date]])</f>
        <v>1900</v>
      </c>
      <c r="E337" s="48">
        <f t="shared" si="7"/>
        <v>1</v>
      </c>
      <c r="F337" s="32"/>
      <c r="G337" s="33"/>
      <c r="H337" s="43" t="str">
        <f>IFERROR(VLOOKUP(IGA_BD[[#This Row],[Affected Feeder ]],'Basic Data'!$A$42:$E$53,2,0),"")</f>
        <v/>
      </c>
      <c r="I337" s="43" t="str">
        <f>IFERROR(VLOOKUP(IGA_BD[[#This Row],[Affected Feeder ]],'Basic Data'!$A$42:$E$53,3,0),"")</f>
        <v/>
      </c>
      <c r="J337" s="43" t="str">
        <f>IFERROR(VLOOKUP(IGA_BD[[#This Row],[Affected Feeder ]],'Basic Data'!$A$42:$E$53,5,0),"")</f>
        <v/>
      </c>
      <c r="K337" s="164"/>
      <c r="L337" s="50"/>
      <c r="M337" s="116"/>
      <c r="N337" s="116"/>
      <c r="O337" s="57">
        <f>(IGA_BD[[#This Row],[Work Start TimeStamp]]-IGA_BD[[#This Row],[Fault Start TimeStamp]])*24</f>
        <v>0</v>
      </c>
      <c r="P337" s="44" t="str">
        <f>IF(IGA_BD[[#This Row],[Work Start TimeStamp]]="","",(IGA_BD[[#This Row],[Fault Clearance time]]-IGA_BD[[#This Row],[Work Start TimeStamp]])*24)</f>
        <v/>
      </c>
      <c r="Q337" s="57">
        <f>(IGA_BD[[#This Row],[Fault Clearance time]]-IGA_BD[[#This Row],[Fault Start TimeStamp]])*24</f>
        <v>0</v>
      </c>
      <c r="R337" s="153"/>
      <c r="S337" s="44"/>
      <c r="T337" s="45" t="str">
        <f>IFERROR(IGA_BD[[#This Row],[Breakdown Time]]*IGA_BD[[#This Row],[Plant Equivalent Weightage]],"")</f>
        <v/>
      </c>
    </row>
    <row r="338" spans="1:20">
      <c r="A338" s="28"/>
      <c r="B338" s="154"/>
      <c r="C338" s="30">
        <f>YEAR(WTG_BD[[#This Row],[Date]])+IF(MONTH(WTG_BD[[#This Row],[Date]])&gt;=4,1,0)</f>
        <v>2026</v>
      </c>
      <c r="D338" s="31">
        <f>YEAR(IGA_BD[[#This Row],[Date]])</f>
        <v>1900</v>
      </c>
      <c r="E338" s="48">
        <f t="shared" si="7"/>
        <v>1</v>
      </c>
      <c r="F338" s="32"/>
      <c r="G338" s="33"/>
      <c r="H338" s="43" t="str">
        <f>IFERROR(VLOOKUP(IGA_BD[[#This Row],[Affected Feeder ]],'Basic Data'!$A$42:$E$53,2,0),"")</f>
        <v/>
      </c>
      <c r="I338" s="43" t="str">
        <f>IFERROR(VLOOKUP(IGA_BD[[#This Row],[Affected Feeder ]],'Basic Data'!$A$42:$E$53,3,0),"")</f>
        <v/>
      </c>
      <c r="J338" s="43" t="str">
        <f>IFERROR(VLOOKUP(IGA_BD[[#This Row],[Affected Feeder ]],'Basic Data'!$A$42:$E$53,5,0),"")</f>
        <v/>
      </c>
      <c r="K338" s="164"/>
      <c r="L338" s="50"/>
      <c r="M338" s="116"/>
      <c r="N338" s="116"/>
      <c r="O338" s="57">
        <f>(IGA_BD[[#This Row],[Work Start TimeStamp]]-IGA_BD[[#This Row],[Fault Start TimeStamp]])*24</f>
        <v>0</v>
      </c>
      <c r="P338" s="44" t="str">
        <f>IF(IGA_BD[[#This Row],[Work Start TimeStamp]]="","",(IGA_BD[[#This Row],[Fault Clearance time]]-IGA_BD[[#This Row],[Work Start TimeStamp]])*24)</f>
        <v/>
      </c>
      <c r="Q338" s="57">
        <f>(IGA_BD[[#This Row],[Fault Clearance time]]-IGA_BD[[#This Row],[Fault Start TimeStamp]])*24</f>
        <v>0</v>
      </c>
      <c r="R338" s="153"/>
      <c r="S338" s="44"/>
      <c r="T338" s="45" t="str">
        <f>IFERROR(IGA_BD[[#This Row],[Breakdown Time]]*IGA_BD[[#This Row],[Plant Equivalent Weightage]],"")</f>
        <v/>
      </c>
    </row>
    <row r="339" spans="1:20">
      <c r="A339" s="28"/>
      <c r="B339" s="154"/>
      <c r="C339" s="30">
        <f>YEAR(WTG_BD[[#This Row],[Date]])+IF(MONTH(WTG_BD[[#This Row],[Date]])&gt;=4,1,0)</f>
        <v>2026</v>
      </c>
      <c r="D339" s="31">
        <f>YEAR(IGA_BD[[#This Row],[Date]])</f>
        <v>1900</v>
      </c>
      <c r="E339" s="48">
        <f t="shared" si="7"/>
        <v>1</v>
      </c>
      <c r="F339" s="32"/>
      <c r="G339" s="33"/>
      <c r="H339" s="43" t="str">
        <f>IFERROR(VLOOKUP(IGA_BD[[#This Row],[Affected Feeder ]],'Basic Data'!$A$42:$E$53,2,0),"")</f>
        <v/>
      </c>
      <c r="I339" s="43" t="str">
        <f>IFERROR(VLOOKUP(IGA_BD[[#This Row],[Affected Feeder ]],'Basic Data'!$A$42:$E$53,3,0),"")</f>
        <v/>
      </c>
      <c r="J339" s="43" t="str">
        <f>IFERROR(VLOOKUP(IGA_BD[[#This Row],[Affected Feeder ]],'Basic Data'!$A$42:$E$53,5,0),"")</f>
        <v/>
      </c>
      <c r="K339" s="164"/>
      <c r="L339" s="50"/>
      <c r="M339" s="116"/>
      <c r="N339" s="116"/>
      <c r="O339" s="57">
        <f>(IGA_BD[[#This Row],[Work Start TimeStamp]]-IGA_BD[[#This Row],[Fault Start TimeStamp]])*24</f>
        <v>0</v>
      </c>
      <c r="P339" s="44" t="str">
        <f>IF(IGA_BD[[#This Row],[Work Start TimeStamp]]="","",(IGA_BD[[#This Row],[Fault Clearance time]]-IGA_BD[[#This Row],[Work Start TimeStamp]])*24)</f>
        <v/>
      </c>
      <c r="Q339" s="57">
        <f>(IGA_BD[[#This Row],[Fault Clearance time]]-IGA_BD[[#This Row],[Fault Start TimeStamp]])*24</f>
        <v>0</v>
      </c>
      <c r="R339" s="153"/>
      <c r="S339" s="44"/>
      <c r="T339" s="45" t="str">
        <f>IFERROR(IGA_BD[[#This Row],[Breakdown Time]]*IGA_BD[[#This Row],[Plant Equivalent Weightage]],"")</f>
        <v/>
      </c>
    </row>
    <row r="340" spans="1:20">
      <c r="A340" s="28"/>
      <c r="B340" s="154"/>
      <c r="C340" s="30">
        <f>YEAR(WTG_BD[[#This Row],[Date]])+IF(MONTH(WTG_BD[[#This Row],[Date]])&gt;=4,1,0)</f>
        <v>2026</v>
      </c>
      <c r="D340" s="31">
        <f>YEAR(IGA_BD[[#This Row],[Date]])</f>
        <v>1900</v>
      </c>
      <c r="E340" s="48">
        <f t="shared" si="7"/>
        <v>1</v>
      </c>
      <c r="F340" s="32"/>
      <c r="G340" s="33"/>
      <c r="H340" s="43" t="str">
        <f>IFERROR(VLOOKUP(IGA_BD[[#This Row],[Affected Feeder ]],'Basic Data'!$A$42:$E$53,2,0),"")</f>
        <v/>
      </c>
      <c r="I340" s="43" t="str">
        <f>IFERROR(VLOOKUP(IGA_BD[[#This Row],[Affected Feeder ]],'Basic Data'!$A$42:$E$53,3,0),"")</f>
        <v/>
      </c>
      <c r="J340" s="43" t="str">
        <f>IFERROR(VLOOKUP(IGA_BD[[#This Row],[Affected Feeder ]],'Basic Data'!$A$42:$E$53,5,0),"")</f>
        <v/>
      </c>
      <c r="K340" s="164"/>
      <c r="L340" s="50"/>
      <c r="M340" s="116"/>
      <c r="N340" s="116"/>
      <c r="O340" s="57">
        <f>(IGA_BD[[#This Row],[Work Start TimeStamp]]-IGA_BD[[#This Row],[Fault Start TimeStamp]])*24</f>
        <v>0</v>
      </c>
      <c r="P340" s="44" t="str">
        <f>IF(IGA_BD[[#This Row],[Work Start TimeStamp]]="","",(IGA_BD[[#This Row],[Fault Clearance time]]-IGA_BD[[#This Row],[Work Start TimeStamp]])*24)</f>
        <v/>
      </c>
      <c r="Q340" s="57">
        <f>(IGA_BD[[#This Row],[Fault Clearance time]]-IGA_BD[[#This Row],[Fault Start TimeStamp]])*24</f>
        <v>0</v>
      </c>
      <c r="R340" s="153"/>
      <c r="S340" s="44"/>
      <c r="T340" s="45" t="str">
        <f>IFERROR(IGA_BD[[#This Row],[Breakdown Time]]*IGA_BD[[#This Row],[Plant Equivalent Weightage]],"")</f>
        <v/>
      </c>
    </row>
    <row r="341" spans="1:20">
      <c r="A341" s="28"/>
      <c r="B341" s="154"/>
      <c r="C341" s="30">
        <f>YEAR(WTG_BD[[#This Row],[Date]])+IF(MONTH(WTG_BD[[#This Row],[Date]])&gt;=4,1,0)</f>
        <v>2026</v>
      </c>
      <c r="D341" s="31">
        <f>YEAR(IGA_BD[[#This Row],[Date]])</f>
        <v>1900</v>
      </c>
      <c r="E341" s="48">
        <f t="shared" si="7"/>
        <v>1</v>
      </c>
      <c r="F341" s="32"/>
      <c r="G341" s="33"/>
      <c r="H341" s="43" t="str">
        <f>IFERROR(VLOOKUP(IGA_BD[[#This Row],[Affected Feeder ]],'Basic Data'!$A$42:$E$53,2,0),"")</f>
        <v/>
      </c>
      <c r="I341" s="43" t="str">
        <f>IFERROR(VLOOKUP(IGA_BD[[#This Row],[Affected Feeder ]],'Basic Data'!$A$42:$E$53,3,0),"")</f>
        <v/>
      </c>
      <c r="J341" s="43" t="str">
        <f>IFERROR(VLOOKUP(IGA_BD[[#This Row],[Affected Feeder ]],'Basic Data'!$A$42:$E$53,5,0),"")</f>
        <v/>
      </c>
      <c r="K341" s="164"/>
      <c r="L341" s="50"/>
      <c r="M341" s="116"/>
      <c r="N341" s="116"/>
      <c r="O341" s="57">
        <f>(IGA_BD[[#This Row],[Work Start TimeStamp]]-IGA_BD[[#This Row],[Fault Start TimeStamp]])*24</f>
        <v>0</v>
      </c>
      <c r="P341" s="44" t="str">
        <f>IF(IGA_BD[[#This Row],[Work Start TimeStamp]]="","",(IGA_BD[[#This Row],[Fault Clearance time]]-IGA_BD[[#This Row],[Work Start TimeStamp]])*24)</f>
        <v/>
      </c>
      <c r="Q341" s="57">
        <f>(IGA_BD[[#This Row],[Fault Clearance time]]-IGA_BD[[#This Row],[Fault Start TimeStamp]])*24</f>
        <v>0</v>
      </c>
      <c r="R341" s="153"/>
      <c r="S341" s="44"/>
      <c r="T341" s="45" t="str">
        <f>IFERROR(IGA_BD[[#This Row],[Breakdown Time]]*IGA_BD[[#This Row],[Plant Equivalent Weightage]],"")</f>
        <v/>
      </c>
    </row>
    <row r="342" spans="1:20">
      <c r="A342" s="28"/>
      <c r="B342" s="154"/>
      <c r="C342" s="30">
        <f>YEAR(WTG_BD[[#This Row],[Date]])+IF(MONTH(WTG_BD[[#This Row],[Date]])&gt;=4,1,0)</f>
        <v>2026</v>
      </c>
      <c r="D342" s="31">
        <f>YEAR(IGA_BD[[#This Row],[Date]])</f>
        <v>1900</v>
      </c>
      <c r="E342" s="48">
        <f t="shared" si="7"/>
        <v>1</v>
      </c>
      <c r="F342" s="32"/>
      <c r="G342" s="33"/>
      <c r="H342" s="43" t="str">
        <f>IFERROR(VLOOKUP(IGA_BD[[#This Row],[Affected Feeder ]],'Basic Data'!$A$42:$E$53,2,0),"")</f>
        <v/>
      </c>
      <c r="I342" s="43" t="str">
        <f>IFERROR(VLOOKUP(IGA_BD[[#This Row],[Affected Feeder ]],'Basic Data'!$A$42:$E$53,3,0),"")</f>
        <v/>
      </c>
      <c r="J342" s="43" t="str">
        <f>IFERROR(VLOOKUP(IGA_BD[[#This Row],[Affected Feeder ]],'Basic Data'!$A$42:$E$53,5,0),"")</f>
        <v/>
      </c>
      <c r="K342" s="164"/>
      <c r="L342" s="50"/>
      <c r="M342" s="116"/>
      <c r="N342" s="116"/>
      <c r="O342" s="57">
        <f>(IGA_BD[[#This Row],[Work Start TimeStamp]]-IGA_BD[[#This Row],[Fault Start TimeStamp]])*24</f>
        <v>0</v>
      </c>
      <c r="P342" s="44" t="str">
        <f>IF(IGA_BD[[#This Row],[Work Start TimeStamp]]="","",(IGA_BD[[#This Row],[Fault Clearance time]]-IGA_BD[[#This Row],[Work Start TimeStamp]])*24)</f>
        <v/>
      </c>
      <c r="Q342" s="57">
        <f>(IGA_BD[[#This Row],[Fault Clearance time]]-IGA_BD[[#This Row],[Fault Start TimeStamp]])*24</f>
        <v>0</v>
      </c>
      <c r="R342" s="153"/>
      <c r="S342" s="44"/>
      <c r="T342" s="45" t="str">
        <f>IFERROR(IGA_BD[[#This Row],[Breakdown Time]]*IGA_BD[[#This Row],[Plant Equivalent Weightage]],"")</f>
        <v/>
      </c>
    </row>
    <row r="343" spans="1:20">
      <c r="A343" s="28"/>
      <c r="B343" s="154"/>
      <c r="C343" s="30">
        <f>YEAR(WTG_BD[[#This Row],[Date]])+IF(MONTH(WTG_BD[[#This Row],[Date]])&gt;=4,1,0)</f>
        <v>2026</v>
      </c>
      <c r="D343" s="31">
        <f>YEAR(IGA_BD[[#This Row],[Date]])</f>
        <v>1900</v>
      </c>
      <c r="E343" s="48">
        <f t="shared" si="7"/>
        <v>1</v>
      </c>
      <c r="F343" s="32"/>
      <c r="G343" s="33"/>
      <c r="H343" s="43" t="str">
        <f>IFERROR(VLOOKUP(IGA_BD[[#This Row],[Affected Feeder ]],'Basic Data'!$A$42:$E$53,2,0),"")</f>
        <v/>
      </c>
      <c r="I343" s="43" t="str">
        <f>IFERROR(VLOOKUP(IGA_BD[[#This Row],[Affected Feeder ]],'Basic Data'!$A$42:$E$53,3,0),"")</f>
        <v/>
      </c>
      <c r="J343" s="43" t="str">
        <f>IFERROR(VLOOKUP(IGA_BD[[#This Row],[Affected Feeder ]],'Basic Data'!$A$42:$E$53,5,0),"")</f>
        <v/>
      </c>
      <c r="K343" s="164"/>
      <c r="L343" s="50"/>
      <c r="M343" s="116"/>
      <c r="N343" s="116"/>
      <c r="O343" s="57">
        <f>(IGA_BD[[#This Row],[Work Start TimeStamp]]-IGA_BD[[#This Row],[Fault Start TimeStamp]])*24</f>
        <v>0</v>
      </c>
      <c r="P343" s="44" t="str">
        <f>IF(IGA_BD[[#This Row],[Work Start TimeStamp]]="","",(IGA_BD[[#This Row],[Fault Clearance time]]-IGA_BD[[#This Row],[Work Start TimeStamp]])*24)</f>
        <v/>
      </c>
      <c r="Q343" s="57">
        <f>(IGA_BD[[#This Row],[Fault Clearance time]]-IGA_BD[[#This Row],[Fault Start TimeStamp]])*24</f>
        <v>0</v>
      </c>
      <c r="R343" s="153"/>
      <c r="S343" s="44"/>
      <c r="T343" s="45" t="str">
        <f>IFERROR(IGA_BD[[#This Row],[Breakdown Time]]*IGA_BD[[#This Row],[Plant Equivalent Weightage]],"")</f>
        <v/>
      </c>
    </row>
    <row r="344" spans="1:20">
      <c r="A344" s="28"/>
      <c r="B344" s="154"/>
      <c r="C344" s="30">
        <f>YEAR(WTG_BD[[#This Row],[Date]])+IF(MONTH(WTG_BD[[#This Row],[Date]])&gt;=4,1,0)</f>
        <v>2026</v>
      </c>
      <c r="D344" s="31">
        <f>YEAR(IGA_BD[[#This Row],[Date]])</f>
        <v>1900</v>
      </c>
      <c r="E344" s="48">
        <f t="shared" si="7"/>
        <v>1</v>
      </c>
      <c r="F344" s="32"/>
      <c r="G344" s="33"/>
      <c r="H344" s="43" t="str">
        <f>IFERROR(VLOOKUP(IGA_BD[[#This Row],[Affected Feeder ]],'Basic Data'!$A$42:$E$53,2,0),"")</f>
        <v/>
      </c>
      <c r="I344" s="43" t="str">
        <f>IFERROR(VLOOKUP(IGA_BD[[#This Row],[Affected Feeder ]],'Basic Data'!$A$42:$E$53,3,0),"")</f>
        <v/>
      </c>
      <c r="J344" s="43" t="str">
        <f>IFERROR(VLOOKUP(IGA_BD[[#This Row],[Affected Feeder ]],'Basic Data'!$A$42:$E$53,5,0),"")</f>
        <v/>
      </c>
      <c r="K344" s="164"/>
      <c r="L344" s="50"/>
      <c r="M344" s="116"/>
      <c r="N344" s="116"/>
      <c r="O344" s="57">
        <f>(IGA_BD[[#This Row],[Work Start TimeStamp]]-IGA_BD[[#This Row],[Fault Start TimeStamp]])*24</f>
        <v>0</v>
      </c>
      <c r="P344" s="44" t="str">
        <f>IF(IGA_BD[[#This Row],[Work Start TimeStamp]]="","",(IGA_BD[[#This Row],[Fault Clearance time]]-IGA_BD[[#This Row],[Work Start TimeStamp]])*24)</f>
        <v/>
      </c>
      <c r="Q344" s="57">
        <f>(IGA_BD[[#This Row],[Fault Clearance time]]-IGA_BD[[#This Row],[Fault Start TimeStamp]])*24</f>
        <v>0</v>
      </c>
      <c r="R344" s="153"/>
      <c r="S344" s="44"/>
      <c r="T344" s="45" t="str">
        <f>IFERROR(IGA_BD[[#This Row],[Breakdown Time]]*IGA_BD[[#This Row],[Plant Equivalent Weightage]],"")</f>
        <v/>
      </c>
    </row>
    <row r="345" spans="1:20">
      <c r="A345" s="28"/>
      <c r="B345" s="154"/>
      <c r="C345" s="30">
        <f>YEAR(WTG_BD[[#This Row],[Date]])+IF(MONTH(WTG_BD[[#This Row],[Date]])&gt;=4,1,0)</f>
        <v>2026</v>
      </c>
      <c r="D345" s="31">
        <f>YEAR(IGA_BD[[#This Row],[Date]])</f>
        <v>1900</v>
      </c>
      <c r="E345" s="48">
        <f t="shared" si="7"/>
        <v>1</v>
      </c>
      <c r="F345" s="32"/>
      <c r="G345" s="33"/>
      <c r="H345" s="43" t="str">
        <f>IFERROR(VLOOKUP(IGA_BD[[#This Row],[Affected Feeder ]],'Basic Data'!$A$42:$E$53,2,0),"")</f>
        <v/>
      </c>
      <c r="I345" s="43" t="str">
        <f>IFERROR(VLOOKUP(IGA_BD[[#This Row],[Affected Feeder ]],'Basic Data'!$A$42:$E$53,3,0),"")</f>
        <v/>
      </c>
      <c r="J345" s="43" t="str">
        <f>IFERROR(VLOOKUP(IGA_BD[[#This Row],[Affected Feeder ]],'Basic Data'!$A$42:$E$53,5,0),"")</f>
        <v/>
      </c>
      <c r="K345" s="164"/>
      <c r="L345" s="50"/>
      <c r="M345" s="116"/>
      <c r="N345" s="116"/>
      <c r="O345" s="57">
        <f>(IGA_BD[[#This Row],[Work Start TimeStamp]]-IGA_BD[[#This Row],[Fault Start TimeStamp]])*24</f>
        <v>0</v>
      </c>
      <c r="P345" s="44" t="str">
        <f>IF(IGA_BD[[#This Row],[Work Start TimeStamp]]="","",(IGA_BD[[#This Row],[Fault Clearance time]]-IGA_BD[[#This Row],[Work Start TimeStamp]])*24)</f>
        <v/>
      </c>
      <c r="Q345" s="57">
        <f>(IGA_BD[[#This Row],[Fault Clearance time]]-IGA_BD[[#This Row],[Fault Start TimeStamp]])*24</f>
        <v>0</v>
      </c>
      <c r="R345" s="153"/>
      <c r="S345" s="44"/>
      <c r="T345" s="45" t="str">
        <f>IFERROR(IGA_BD[[#This Row],[Breakdown Time]]*IGA_BD[[#This Row],[Plant Equivalent Weightage]],"")</f>
        <v/>
      </c>
    </row>
    <row r="346" spans="1:20">
      <c r="A346" s="28"/>
      <c r="B346" s="154"/>
      <c r="C346" s="30">
        <f>YEAR(WTG_BD[[#This Row],[Date]])+IF(MONTH(WTG_BD[[#This Row],[Date]])&gt;=4,1,0)</f>
        <v>2026</v>
      </c>
      <c r="D346" s="31">
        <f>YEAR(IGA_BD[[#This Row],[Date]])</f>
        <v>1900</v>
      </c>
      <c r="E346" s="48">
        <f t="shared" si="7"/>
        <v>1</v>
      </c>
      <c r="F346" s="32"/>
      <c r="G346" s="33"/>
      <c r="H346" s="43" t="str">
        <f>IFERROR(VLOOKUP(IGA_BD[[#This Row],[Affected Feeder ]],'Basic Data'!$A$42:$E$53,2,0),"")</f>
        <v/>
      </c>
      <c r="I346" s="43" t="str">
        <f>IFERROR(VLOOKUP(IGA_BD[[#This Row],[Affected Feeder ]],'Basic Data'!$A$42:$E$53,3,0),"")</f>
        <v/>
      </c>
      <c r="J346" s="43" t="str">
        <f>IFERROR(VLOOKUP(IGA_BD[[#This Row],[Affected Feeder ]],'Basic Data'!$A$42:$E$53,5,0),"")</f>
        <v/>
      </c>
      <c r="K346" s="164"/>
      <c r="L346" s="50"/>
      <c r="M346" s="116"/>
      <c r="N346" s="116"/>
      <c r="O346" s="57">
        <f>(IGA_BD[[#This Row],[Work Start TimeStamp]]-IGA_BD[[#This Row],[Fault Start TimeStamp]])*24</f>
        <v>0</v>
      </c>
      <c r="P346" s="44" t="str">
        <f>IF(IGA_BD[[#This Row],[Work Start TimeStamp]]="","",(IGA_BD[[#This Row],[Fault Clearance time]]-IGA_BD[[#This Row],[Work Start TimeStamp]])*24)</f>
        <v/>
      </c>
      <c r="Q346" s="57">
        <f>(IGA_BD[[#This Row],[Fault Clearance time]]-IGA_BD[[#This Row],[Fault Start TimeStamp]])*24</f>
        <v>0</v>
      </c>
      <c r="R346" s="153"/>
      <c r="S346" s="44"/>
      <c r="T346" s="45" t="str">
        <f>IFERROR(IGA_BD[[#This Row],[Breakdown Time]]*IGA_BD[[#This Row],[Plant Equivalent Weightage]],"")</f>
        <v/>
      </c>
    </row>
    <row r="347" spans="1:20">
      <c r="A347" s="28"/>
      <c r="B347" s="154"/>
      <c r="C347" s="30">
        <f>YEAR(WTG_BD[[#This Row],[Date]])+IF(MONTH(WTG_BD[[#This Row],[Date]])&gt;=4,1,0)</f>
        <v>2026</v>
      </c>
      <c r="D347" s="31">
        <f>YEAR(IGA_BD[[#This Row],[Date]])</f>
        <v>1900</v>
      </c>
      <c r="E347" s="48">
        <f t="shared" si="7"/>
        <v>1</v>
      </c>
      <c r="F347" s="32"/>
      <c r="G347" s="33"/>
      <c r="H347" s="43" t="str">
        <f>IFERROR(VLOOKUP(IGA_BD[[#This Row],[Affected Feeder ]],'Basic Data'!$A$42:$E$53,2,0),"")</f>
        <v/>
      </c>
      <c r="I347" s="43" t="str">
        <f>IFERROR(VLOOKUP(IGA_BD[[#This Row],[Affected Feeder ]],'Basic Data'!$A$42:$E$53,3,0),"")</f>
        <v/>
      </c>
      <c r="J347" s="43" t="str">
        <f>IFERROR(VLOOKUP(IGA_BD[[#This Row],[Affected Feeder ]],'Basic Data'!$A$42:$E$53,5,0),"")</f>
        <v/>
      </c>
      <c r="K347" s="164"/>
      <c r="L347" s="50"/>
      <c r="M347" s="116"/>
      <c r="N347" s="116"/>
      <c r="O347" s="57">
        <f>(IGA_BD[[#This Row],[Work Start TimeStamp]]-IGA_BD[[#This Row],[Fault Start TimeStamp]])*24</f>
        <v>0</v>
      </c>
      <c r="P347" s="44" t="str">
        <f>IF(IGA_BD[[#This Row],[Work Start TimeStamp]]="","",(IGA_BD[[#This Row],[Fault Clearance time]]-IGA_BD[[#This Row],[Work Start TimeStamp]])*24)</f>
        <v/>
      </c>
      <c r="Q347" s="57">
        <f>(IGA_BD[[#This Row],[Fault Clearance time]]-IGA_BD[[#This Row],[Fault Start TimeStamp]])*24</f>
        <v>0</v>
      </c>
      <c r="R347" s="153"/>
      <c r="S347" s="44"/>
      <c r="T347" s="45" t="str">
        <f>IFERROR(IGA_BD[[#This Row],[Breakdown Time]]*IGA_BD[[#This Row],[Plant Equivalent Weightage]],"")</f>
        <v/>
      </c>
    </row>
    <row r="348" spans="1:20">
      <c r="A348" s="28"/>
      <c r="B348" s="154"/>
      <c r="C348" s="30">
        <f>YEAR(WTG_BD[[#This Row],[Date]])+IF(MONTH(WTG_BD[[#This Row],[Date]])&gt;=4,1,0)</f>
        <v>2026</v>
      </c>
      <c r="D348" s="31">
        <f>YEAR(IGA_BD[[#This Row],[Date]])</f>
        <v>1900</v>
      </c>
      <c r="E348" s="48">
        <f t="shared" ref="E348:E411" si="8">B348-DAY(B348)+1</f>
        <v>1</v>
      </c>
      <c r="F348" s="32"/>
      <c r="G348" s="33"/>
      <c r="H348" s="43" t="str">
        <f>IFERROR(VLOOKUP(IGA_BD[[#This Row],[Affected Feeder ]],'Basic Data'!$A$42:$E$53,2,0),"")</f>
        <v/>
      </c>
      <c r="I348" s="43" t="str">
        <f>IFERROR(VLOOKUP(IGA_BD[[#This Row],[Affected Feeder ]],'Basic Data'!$A$42:$E$53,3,0),"")</f>
        <v/>
      </c>
      <c r="J348" s="43" t="str">
        <f>IFERROR(VLOOKUP(IGA_BD[[#This Row],[Affected Feeder ]],'Basic Data'!$A$42:$E$53,5,0),"")</f>
        <v/>
      </c>
      <c r="K348" s="164"/>
      <c r="L348" s="50"/>
      <c r="M348" s="116"/>
      <c r="N348" s="116"/>
      <c r="O348" s="57">
        <f>(IGA_BD[[#This Row],[Work Start TimeStamp]]-IGA_BD[[#This Row],[Fault Start TimeStamp]])*24</f>
        <v>0</v>
      </c>
      <c r="P348" s="44" t="str">
        <f>IF(IGA_BD[[#This Row],[Work Start TimeStamp]]="","",(IGA_BD[[#This Row],[Fault Clearance time]]-IGA_BD[[#This Row],[Work Start TimeStamp]])*24)</f>
        <v/>
      </c>
      <c r="Q348" s="57">
        <f>(IGA_BD[[#This Row],[Fault Clearance time]]-IGA_BD[[#This Row],[Fault Start TimeStamp]])*24</f>
        <v>0</v>
      </c>
      <c r="R348" s="153"/>
      <c r="S348" s="44"/>
      <c r="T348" s="45" t="str">
        <f>IFERROR(IGA_BD[[#This Row],[Breakdown Time]]*IGA_BD[[#This Row],[Plant Equivalent Weightage]],"")</f>
        <v/>
      </c>
    </row>
    <row r="349" spans="1:20">
      <c r="A349" s="28"/>
      <c r="B349" s="154"/>
      <c r="C349" s="30">
        <f>YEAR(WTG_BD[[#This Row],[Date]])+IF(MONTH(WTG_BD[[#This Row],[Date]])&gt;=4,1,0)</f>
        <v>2026</v>
      </c>
      <c r="D349" s="31">
        <f>YEAR(IGA_BD[[#This Row],[Date]])</f>
        <v>1900</v>
      </c>
      <c r="E349" s="48">
        <f t="shared" si="8"/>
        <v>1</v>
      </c>
      <c r="F349" s="32"/>
      <c r="G349" s="33"/>
      <c r="H349" s="43" t="str">
        <f>IFERROR(VLOOKUP(IGA_BD[[#This Row],[Affected Feeder ]],'Basic Data'!$A$42:$E$53,2,0),"")</f>
        <v/>
      </c>
      <c r="I349" s="43" t="str">
        <f>IFERROR(VLOOKUP(IGA_BD[[#This Row],[Affected Feeder ]],'Basic Data'!$A$42:$E$53,3,0),"")</f>
        <v/>
      </c>
      <c r="J349" s="43" t="str">
        <f>IFERROR(VLOOKUP(IGA_BD[[#This Row],[Affected Feeder ]],'Basic Data'!$A$42:$E$53,5,0),"")</f>
        <v/>
      </c>
      <c r="K349" s="164"/>
      <c r="L349" s="50"/>
      <c r="M349" s="116"/>
      <c r="N349" s="116"/>
      <c r="O349" s="57">
        <f>(IGA_BD[[#This Row],[Work Start TimeStamp]]-IGA_BD[[#This Row],[Fault Start TimeStamp]])*24</f>
        <v>0</v>
      </c>
      <c r="P349" s="44" t="str">
        <f>IF(IGA_BD[[#This Row],[Work Start TimeStamp]]="","",(IGA_BD[[#This Row],[Fault Clearance time]]-IGA_BD[[#This Row],[Work Start TimeStamp]])*24)</f>
        <v/>
      </c>
      <c r="Q349" s="57">
        <f>(IGA_BD[[#This Row],[Fault Clearance time]]-IGA_BD[[#This Row],[Fault Start TimeStamp]])*24</f>
        <v>0</v>
      </c>
      <c r="R349" s="153"/>
      <c r="S349" s="44"/>
      <c r="T349" s="45" t="str">
        <f>IFERROR(IGA_BD[[#This Row],[Breakdown Time]]*IGA_BD[[#This Row],[Plant Equivalent Weightage]],"")</f>
        <v/>
      </c>
    </row>
    <row r="350" spans="1:20">
      <c r="A350" s="28"/>
      <c r="B350" s="154"/>
      <c r="C350" s="30">
        <f>YEAR(WTG_BD[[#This Row],[Date]])+IF(MONTH(WTG_BD[[#This Row],[Date]])&gt;=4,1,0)</f>
        <v>2026</v>
      </c>
      <c r="D350" s="31">
        <f>YEAR(IGA_BD[[#This Row],[Date]])</f>
        <v>1900</v>
      </c>
      <c r="E350" s="48">
        <f t="shared" si="8"/>
        <v>1</v>
      </c>
      <c r="F350" s="32"/>
      <c r="G350" s="33"/>
      <c r="H350" s="43" t="str">
        <f>IFERROR(VLOOKUP(IGA_BD[[#This Row],[Affected Feeder ]],'Basic Data'!$A$42:$E$53,2,0),"")</f>
        <v/>
      </c>
      <c r="I350" s="43" t="str">
        <f>IFERROR(VLOOKUP(IGA_BD[[#This Row],[Affected Feeder ]],'Basic Data'!$A$42:$E$53,3,0),"")</f>
        <v/>
      </c>
      <c r="J350" s="43" t="str">
        <f>IFERROR(VLOOKUP(IGA_BD[[#This Row],[Affected Feeder ]],'Basic Data'!$A$42:$E$53,5,0),"")</f>
        <v/>
      </c>
      <c r="K350" s="164"/>
      <c r="L350" s="50"/>
      <c r="M350" s="116"/>
      <c r="N350" s="116"/>
      <c r="O350" s="57">
        <f>(IGA_BD[[#This Row],[Work Start TimeStamp]]-IGA_BD[[#This Row],[Fault Start TimeStamp]])*24</f>
        <v>0</v>
      </c>
      <c r="P350" s="44" t="str">
        <f>IF(IGA_BD[[#This Row],[Work Start TimeStamp]]="","",(IGA_BD[[#This Row],[Fault Clearance time]]-IGA_BD[[#This Row],[Work Start TimeStamp]])*24)</f>
        <v/>
      </c>
      <c r="Q350" s="57">
        <f>(IGA_BD[[#This Row],[Fault Clearance time]]-IGA_BD[[#This Row],[Fault Start TimeStamp]])*24</f>
        <v>0</v>
      </c>
      <c r="R350" s="153"/>
      <c r="S350" s="44"/>
      <c r="T350" s="45" t="str">
        <f>IFERROR(IGA_BD[[#This Row],[Breakdown Time]]*IGA_BD[[#This Row],[Plant Equivalent Weightage]],"")</f>
        <v/>
      </c>
    </row>
    <row r="351" spans="1:20">
      <c r="A351" s="28"/>
      <c r="B351" s="154"/>
      <c r="C351" s="30">
        <f>YEAR(WTG_BD[[#This Row],[Date]])+IF(MONTH(WTG_BD[[#This Row],[Date]])&gt;=4,1,0)</f>
        <v>2026</v>
      </c>
      <c r="D351" s="31">
        <f>YEAR(IGA_BD[[#This Row],[Date]])</f>
        <v>1900</v>
      </c>
      <c r="E351" s="48">
        <f t="shared" si="8"/>
        <v>1</v>
      </c>
      <c r="F351" s="32"/>
      <c r="G351" s="33"/>
      <c r="H351" s="43" t="str">
        <f>IFERROR(VLOOKUP(IGA_BD[[#This Row],[Affected Feeder ]],'Basic Data'!$A$42:$E$53,2,0),"")</f>
        <v/>
      </c>
      <c r="I351" s="43" t="str">
        <f>IFERROR(VLOOKUP(IGA_BD[[#This Row],[Affected Feeder ]],'Basic Data'!$A$42:$E$53,3,0),"")</f>
        <v/>
      </c>
      <c r="J351" s="43" t="str">
        <f>IFERROR(VLOOKUP(IGA_BD[[#This Row],[Affected Feeder ]],'Basic Data'!$A$42:$E$53,5,0),"")</f>
        <v/>
      </c>
      <c r="K351" s="164"/>
      <c r="L351" s="50"/>
      <c r="M351" s="116"/>
      <c r="N351" s="116"/>
      <c r="O351" s="57">
        <f>(IGA_BD[[#This Row],[Work Start TimeStamp]]-IGA_BD[[#This Row],[Fault Start TimeStamp]])*24</f>
        <v>0</v>
      </c>
      <c r="P351" s="44" t="str">
        <f>IF(IGA_BD[[#This Row],[Work Start TimeStamp]]="","",(IGA_BD[[#This Row],[Fault Clearance time]]-IGA_BD[[#This Row],[Work Start TimeStamp]])*24)</f>
        <v/>
      </c>
      <c r="Q351" s="57">
        <f>(IGA_BD[[#This Row],[Fault Clearance time]]-IGA_BD[[#This Row],[Fault Start TimeStamp]])*24</f>
        <v>0</v>
      </c>
      <c r="R351" s="153"/>
      <c r="S351" s="44"/>
      <c r="T351" s="45" t="str">
        <f>IFERROR(IGA_BD[[#This Row],[Breakdown Time]]*IGA_BD[[#This Row],[Plant Equivalent Weightage]],"")</f>
        <v/>
      </c>
    </row>
    <row r="352" spans="1:20">
      <c r="A352" s="28"/>
      <c r="B352" s="154"/>
      <c r="C352" s="30">
        <f>YEAR(WTG_BD[[#This Row],[Date]])+IF(MONTH(WTG_BD[[#This Row],[Date]])&gt;=4,1,0)</f>
        <v>2026</v>
      </c>
      <c r="D352" s="31">
        <f>YEAR(IGA_BD[[#This Row],[Date]])</f>
        <v>1900</v>
      </c>
      <c r="E352" s="48">
        <f t="shared" si="8"/>
        <v>1</v>
      </c>
      <c r="F352" s="32"/>
      <c r="G352" s="33"/>
      <c r="H352" s="43" t="str">
        <f>IFERROR(VLOOKUP(IGA_BD[[#This Row],[Affected Feeder ]],'Basic Data'!$A$42:$E$53,2,0),"")</f>
        <v/>
      </c>
      <c r="I352" s="43" t="str">
        <f>IFERROR(VLOOKUP(IGA_BD[[#This Row],[Affected Feeder ]],'Basic Data'!$A$42:$E$53,3,0),"")</f>
        <v/>
      </c>
      <c r="J352" s="43" t="str">
        <f>IFERROR(VLOOKUP(IGA_BD[[#This Row],[Affected Feeder ]],'Basic Data'!$A$42:$E$53,5,0),"")</f>
        <v/>
      </c>
      <c r="K352" s="164"/>
      <c r="L352" s="50"/>
      <c r="M352" s="116"/>
      <c r="N352" s="116"/>
      <c r="O352" s="57">
        <f>(IGA_BD[[#This Row],[Work Start TimeStamp]]-IGA_BD[[#This Row],[Fault Start TimeStamp]])*24</f>
        <v>0</v>
      </c>
      <c r="P352" s="44" t="str">
        <f>IF(IGA_BD[[#This Row],[Work Start TimeStamp]]="","",(IGA_BD[[#This Row],[Fault Clearance time]]-IGA_BD[[#This Row],[Work Start TimeStamp]])*24)</f>
        <v/>
      </c>
      <c r="Q352" s="57">
        <f>(IGA_BD[[#This Row],[Fault Clearance time]]-IGA_BD[[#This Row],[Fault Start TimeStamp]])*24</f>
        <v>0</v>
      </c>
      <c r="R352" s="153"/>
      <c r="S352" s="44"/>
      <c r="T352" s="45" t="str">
        <f>IFERROR(IGA_BD[[#This Row],[Breakdown Time]]*IGA_BD[[#This Row],[Plant Equivalent Weightage]],"")</f>
        <v/>
      </c>
    </row>
    <row r="353" spans="1:20">
      <c r="A353" s="28"/>
      <c r="B353" s="154"/>
      <c r="C353" s="30">
        <f>YEAR(WTG_BD[[#This Row],[Date]])+IF(MONTH(WTG_BD[[#This Row],[Date]])&gt;=4,1,0)</f>
        <v>2026</v>
      </c>
      <c r="D353" s="31">
        <f>YEAR(IGA_BD[[#This Row],[Date]])</f>
        <v>1900</v>
      </c>
      <c r="E353" s="48">
        <f t="shared" si="8"/>
        <v>1</v>
      </c>
      <c r="F353" s="32"/>
      <c r="G353" s="33"/>
      <c r="H353" s="43" t="str">
        <f>IFERROR(VLOOKUP(IGA_BD[[#This Row],[Affected Feeder ]],'Basic Data'!$A$42:$E$53,2,0),"")</f>
        <v/>
      </c>
      <c r="I353" s="43" t="str">
        <f>IFERROR(VLOOKUP(IGA_BD[[#This Row],[Affected Feeder ]],'Basic Data'!$A$42:$E$53,3,0),"")</f>
        <v/>
      </c>
      <c r="J353" s="43" t="str">
        <f>IFERROR(VLOOKUP(IGA_BD[[#This Row],[Affected Feeder ]],'Basic Data'!$A$42:$E$53,5,0),"")</f>
        <v/>
      </c>
      <c r="K353" s="164"/>
      <c r="L353" s="50"/>
      <c r="M353" s="116"/>
      <c r="N353" s="116"/>
      <c r="O353" s="57">
        <f>(IGA_BD[[#This Row],[Work Start TimeStamp]]-IGA_BD[[#This Row],[Fault Start TimeStamp]])*24</f>
        <v>0</v>
      </c>
      <c r="P353" s="44" t="str">
        <f>IF(IGA_BD[[#This Row],[Work Start TimeStamp]]="","",(IGA_BD[[#This Row],[Fault Clearance time]]-IGA_BD[[#This Row],[Work Start TimeStamp]])*24)</f>
        <v/>
      </c>
      <c r="Q353" s="57">
        <f>(IGA_BD[[#This Row],[Fault Clearance time]]-IGA_BD[[#This Row],[Fault Start TimeStamp]])*24</f>
        <v>0</v>
      </c>
      <c r="R353" s="153"/>
      <c r="S353" s="44"/>
      <c r="T353" s="45" t="str">
        <f>IFERROR(IGA_BD[[#This Row],[Breakdown Time]]*IGA_BD[[#This Row],[Plant Equivalent Weightage]],"")</f>
        <v/>
      </c>
    </row>
    <row r="354" spans="1:20">
      <c r="A354" s="28"/>
      <c r="B354" s="154"/>
      <c r="C354" s="30">
        <f>YEAR(WTG_BD[[#This Row],[Date]])+IF(MONTH(WTG_BD[[#This Row],[Date]])&gt;=4,1,0)</f>
        <v>2026</v>
      </c>
      <c r="D354" s="31">
        <f>YEAR(IGA_BD[[#This Row],[Date]])</f>
        <v>1900</v>
      </c>
      <c r="E354" s="48">
        <f t="shared" si="8"/>
        <v>1</v>
      </c>
      <c r="F354" s="32"/>
      <c r="G354" s="33"/>
      <c r="H354" s="43" t="str">
        <f>IFERROR(VLOOKUP(IGA_BD[[#This Row],[Affected Feeder ]],'Basic Data'!$A$42:$E$53,2,0),"")</f>
        <v/>
      </c>
      <c r="I354" s="43" t="str">
        <f>IFERROR(VLOOKUP(IGA_BD[[#This Row],[Affected Feeder ]],'Basic Data'!$A$42:$E$53,3,0),"")</f>
        <v/>
      </c>
      <c r="J354" s="43" t="str">
        <f>IFERROR(VLOOKUP(IGA_BD[[#This Row],[Affected Feeder ]],'Basic Data'!$A$42:$E$53,5,0),"")</f>
        <v/>
      </c>
      <c r="K354" s="164"/>
      <c r="L354" s="50"/>
      <c r="M354" s="116"/>
      <c r="N354" s="116"/>
      <c r="O354" s="57">
        <f>(IGA_BD[[#This Row],[Work Start TimeStamp]]-IGA_BD[[#This Row],[Fault Start TimeStamp]])*24</f>
        <v>0</v>
      </c>
      <c r="P354" s="44" t="str">
        <f>IF(IGA_BD[[#This Row],[Work Start TimeStamp]]="","",(IGA_BD[[#This Row],[Fault Clearance time]]-IGA_BD[[#This Row],[Work Start TimeStamp]])*24)</f>
        <v/>
      </c>
      <c r="Q354" s="57">
        <f>(IGA_BD[[#This Row],[Fault Clearance time]]-IGA_BD[[#This Row],[Fault Start TimeStamp]])*24</f>
        <v>0</v>
      </c>
      <c r="R354" s="153"/>
      <c r="S354" s="44"/>
      <c r="T354" s="45" t="str">
        <f>IFERROR(IGA_BD[[#This Row],[Breakdown Time]]*IGA_BD[[#This Row],[Plant Equivalent Weightage]],"")</f>
        <v/>
      </c>
    </row>
    <row r="355" spans="1:20">
      <c r="A355" s="28"/>
      <c r="B355" s="154"/>
      <c r="C355" s="30">
        <f>YEAR(WTG_BD[[#This Row],[Date]])+IF(MONTH(WTG_BD[[#This Row],[Date]])&gt;=4,1,0)</f>
        <v>2026</v>
      </c>
      <c r="D355" s="31">
        <f>YEAR(IGA_BD[[#This Row],[Date]])</f>
        <v>1900</v>
      </c>
      <c r="E355" s="48">
        <f t="shared" si="8"/>
        <v>1</v>
      </c>
      <c r="F355" s="32"/>
      <c r="G355" s="33"/>
      <c r="H355" s="43" t="str">
        <f>IFERROR(VLOOKUP(IGA_BD[[#This Row],[Affected Feeder ]],'Basic Data'!$A$42:$E$53,2,0),"")</f>
        <v/>
      </c>
      <c r="I355" s="43" t="str">
        <f>IFERROR(VLOOKUP(IGA_BD[[#This Row],[Affected Feeder ]],'Basic Data'!$A$42:$E$53,3,0),"")</f>
        <v/>
      </c>
      <c r="J355" s="43" t="str">
        <f>IFERROR(VLOOKUP(IGA_BD[[#This Row],[Affected Feeder ]],'Basic Data'!$A$42:$E$53,5,0),"")</f>
        <v/>
      </c>
      <c r="K355" s="164"/>
      <c r="L355" s="50"/>
      <c r="M355" s="116"/>
      <c r="N355" s="116"/>
      <c r="O355" s="57">
        <f>(IGA_BD[[#This Row],[Work Start TimeStamp]]-IGA_BD[[#This Row],[Fault Start TimeStamp]])*24</f>
        <v>0</v>
      </c>
      <c r="P355" s="44" t="str">
        <f>IF(IGA_BD[[#This Row],[Work Start TimeStamp]]="","",(IGA_BD[[#This Row],[Fault Clearance time]]-IGA_BD[[#This Row],[Work Start TimeStamp]])*24)</f>
        <v/>
      </c>
      <c r="Q355" s="57">
        <f>(IGA_BD[[#This Row],[Fault Clearance time]]-IGA_BD[[#This Row],[Fault Start TimeStamp]])*24</f>
        <v>0</v>
      </c>
      <c r="R355" s="153"/>
      <c r="S355" s="44"/>
      <c r="T355" s="45" t="str">
        <f>IFERROR(IGA_BD[[#This Row],[Breakdown Time]]*IGA_BD[[#This Row],[Plant Equivalent Weightage]],"")</f>
        <v/>
      </c>
    </row>
    <row r="356" spans="1:20">
      <c r="A356" s="28"/>
      <c r="B356" s="154"/>
      <c r="C356" s="30">
        <f>YEAR(WTG_BD[[#This Row],[Date]])+IF(MONTH(WTG_BD[[#This Row],[Date]])&gt;=4,1,0)</f>
        <v>2026</v>
      </c>
      <c r="D356" s="31">
        <f>YEAR(IGA_BD[[#This Row],[Date]])</f>
        <v>1900</v>
      </c>
      <c r="E356" s="48">
        <f t="shared" si="8"/>
        <v>1</v>
      </c>
      <c r="F356" s="32"/>
      <c r="G356" s="33"/>
      <c r="H356" s="43" t="str">
        <f>IFERROR(VLOOKUP(IGA_BD[[#This Row],[Affected Feeder ]],'Basic Data'!$A$42:$E$53,2,0),"")</f>
        <v/>
      </c>
      <c r="I356" s="43" t="str">
        <f>IFERROR(VLOOKUP(IGA_BD[[#This Row],[Affected Feeder ]],'Basic Data'!$A$42:$E$53,3,0),"")</f>
        <v/>
      </c>
      <c r="J356" s="43" t="str">
        <f>IFERROR(VLOOKUP(IGA_BD[[#This Row],[Affected Feeder ]],'Basic Data'!$A$42:$E$53,5,0),"")</f>
        <v/>
      </c>
      <c r="K356" s="164"/>
      <c r="L356" s="50"/>
      <c r="M356" s="116"/>
      <c r="N356" s="116"/>
      <c r="O356" s="57">
        <f>(IGA_BD[[#This Row],[Work Start TimeStamp]]-IGA_BD[[#This Row],[Fault Start TimeStamp]])*24</f>
        <v>0</v>
      </c>
      <c r="P356" s="44" t="str">
        <f>IF(IGA_BD[[#This Row],[Work Start TimeStamp]]="","",(IGA_BD[[#This Row],[Fault Clearance time]]-IGA_BD[[#This Row],[Work Start TimeStamp]])*24)</f>
        <v/>
      </c>
      <c r="Q356" s="57">
        <f>(IGA_BD[[#This Row],[Fault Clearance time]]-IGA_BD[[#This Row],[Fault Start TimeStamp]])*24</f>
        <v>0</v>
      </c>
      <c r="R356" s="153"/>
      <c r="S356" s="44"/>
      <c r="T356" s="45" t="str">
        <f>IFERROR(IGA_BD[[#This Row],[Breakdown Time]]*IGA_BD[[#This Row],[Plant Equivalent Weightage]],"")</f>
        <v/>
      </c>
    </row>
    <row r="357" spans="1:20">
      <c r="A357" s="28"/>
      <c r="B357" s="154"/>
      <c r="C357" s="30">
        <f>YEAR(WTG_BD[[#This Row],[Date]])+IF(MONTH(WTG_BD[[#This Row],[Date]])&gt;=4,1,0)</f>
        <v>2026</v>
      </c>
      <c r="D357" s="31">
        <f>YEAR(IGA_BD[[#This Row],[Date]])</f>
        <v>1900</v>
      </c>
      <c r="E357" s="48">
        <f t="shared" si="8"/>
        <v>1</v>
      </c>
      <c r="F357" s="32"/>
      <c r="G357" s="33"/>
      <c r="H357" s="43" t="str">
        <f>IFERROR(VLOOKUP(IGA_BD[[#This Row],[Affected Feeder ]],'Basic Data'!$A$42:$E$53,2,0),"")</f>
        <v/>
      </c>
      <c r="I357" s="43" t="str">
        <f>IFERROR(VLOOKUP(IGA_BD[[#This Row],[Affected Feeder ]],'Basic Data'!$A$42:$E$53,3,0),"")</f>
        <v/>
      </c>
      <c r="J357" s="43" t="str">
        <f>IFERROR(VLOOKUP(IGA_BD[[#This Row],[Affected Feeder ]],'Basic Data'!$A$42:$E$53,5,0),"")</f>
        <v/>
      </c>
      <c r="K357" s="164"/>
      <c r="L357" s="50"/>
      <c r="M357" s="116"/>
      <c r="N357" s="116"/>
      <c r="O357" s="57">
        <f>(IGA_BD[[#This Row],[Work Start TimeStamp]]-IGA_BD[[#This Row],[Fault Start TimeStamp]])*24</f>
        <v>0</v>
      </c>
      <c r="P357" s="44" t="str">
        <f>IF(IGA_BD[[#This Row],[Work Start TimeStamp]]="","",(IGA_BD[[#This Row],[Fault Clearance time]]-IGA_BD[[#This Row],[Work Start TimeStamp]])*24)</f>
        <v/>
      </c>
      <c r="Q357" s="57">
        <f>(IGA_BD[[#This Row],[Fault Clearance time]]-IGA_BD[[#This Row],[Fault Start TimeStamp]])*24</f>
        <v>0</v>
      </c>
      <c r="R357" s="153"/>
      <c r="S357" s="44"/>
      <c r="T357" s="45" t="str">
        <f>IFERROR(IGA_BD[[#This Row],[Breakdown Time]]*IGA_BD[[#This Row],[Plant Equivalent Weightage]],"")</f>
        <v/>
      </c>
    </row>
    <row r="358" spans="1:20">
      <c r="A358" s="28"/>
      <c r="B358" s="154"/>
      <c r="C358" s="30">
        <f>YEAR(WTG_BD[[#This Row],[Date]])+IF(MONTH(WTG_BD[[#This Row],[Date]])&gt;=4,1,0)</f>
        <v>2026</v>
      </c>
      <c r="D358" s="31">
        <f>YEAR(IGA_BD[[#This Row],[Date]])</f>
        <v>1900</v>
      </c>
      <c r="E358" s="48">
        <f t="shared" si="8"/>
        <v>1</v>
      </c>
      <c r="F358" s="32"/>
      <c r="G358" s="33"/>
      <c r="H358" s="43" t="str">
        <f>IFERROR(VLOOKUP(IGA_BD[[#This Row],[Affected Feeder ]],'Basic Data'!$A$42:$E$53,2,0),"")</f>
        <v/>
      </c>
      <c r="I358" s="43" t="str">
        <f>IFERROR(VLOOKUP(IGA_BD[[#This Row],[Affected Feeder ]],'Basic Data'!$A$42:$E$53,3,0),"")</f>
        <v/>
      </c>
      <c r="J358" s="43" t="str">
        <f>IFERROR(VLOOKUP(IGA_BD[[#This Row],[Affected Feeder ]],'Basic Data'!$A$42:$E$53,5,0),"")</f>
        <v/>
      </c>
      <c r="K358" s="164"/>
      <c r="L358" s="50"/>
      <c r="M358" s="116"/>
      <c r="N358" s="116"/>
      <c r="O358" s="57">
        <f>(IGA_BD[[#This Row],[Work Start TimeStamp]]-IGA_BD[[#This Row],[Fault Start TimeStamp]])*24</f>
        <v>0</v>
      </c>
      <c r="P358" s="44" t="str">
        <f>IF(IGA_BD[[#This Row],[Work Start TimeStamp]]="","",(IGA_BD[[#This Row],[Fault Clearance time]]-IGA_BD[[#This Row],[Work Start TimeStamp]])*24)</f>
        <v/>
      </c>
      <c r="Q358" s="57">
        <f>(IGA_BD[[#This Row],[Fault Clearance time]]-IGA_BD[[#This Row],[Fault Start TimeStamp]])*24</f>
        <v>0</v>
      </c>
      <c r="R358" s="153"/>
      <c r="S358" s="44"/>
      <c r="T358" s="45" t="str">
        <f>IFERROR(IGA_BD[[#This Row],[Breakdown Time]]*IGA_BD[[#This Row],[Plant Equivalent Weightage]],"")</f>
        <v/>
      </c>
    </row>
    <row r="359" spans="1:20">
      <c r="A359" s="28"/>
      <c r="B359" s="154"/>
      <c r="C359" s="30">
        <f>YEAR(WTG_BD[[#This Row],[Date]])+IF(MONTH(WTG_BD[[#This Row],[Date]])&gt;=4,1,0)</f>
        <v>2026</v>
      </c>
      <c r="D359" s="31">
        <f>YEAR(IGA_BD[[#This Row],[Date]])</f>
        <v>1900</v>
      </c>
      <c r="E359" s="48">
        <f t="shared" si="8"/>
        <v>1</v>
      </c>
      <c r="F359" s="32"/>
      <c r="G359" s="33"/>
      <c r="H359" s="43" t="str">
        <f>IFERROR(VLOOKUP(IGA_BD[[#This Row],[Affected Feeder ]],'Basic Data'!$A$42:$E$53,2,0),"")</f>
        <v/>
      </c>
      <c r="I359" s="43" t="str">
        <f>IFERROR(VLOOKUP(IGA_BD[[#This Row],[Affected Feeder ]],'Basic Data'!$A$42:$E$53,3,0),"")</f>
        <v/>
      </c>
      <c r="J359" s="43" t="str">
        <f>IFERROR(VLOOKUP(IGA_BD[[#This Row],[Affected Feeder ]],'Basic Data'!$A$42:$E$53,5,0),"")</f>
        <v/>
      </c>
      <c r="K359" s="164"/>
      <c r="L359" s="50"/>
      <c r="M359" s="116"/>
      <c r="N359" s="116"/>
      <c r="O359" s="57">
        <f>(IGA_BD[[#This Row],[Work Start TimeStamp]]-IGA_BD[[#This Row],[Fault Start TimeStamp]])*24</f>
        <v>0</v>
      </c>
      <c r="P359" s="44" t="str">
        <f>IF(IGA_BD[[#This Row],[Work Start TimeStamp]]="","",(IGA_BD[[#This Row],[Fault Clearance time]]-IGA_BD[[#This Row],[Work Start TimeStamp]])*24)</f>
        <v/>
      </c>
      <c r="Q359" s="57">
        <f>(IGA_BD[[#This Row],[Fault Clearance time]]-IGA_BD[[#This Row],[Fault Start TimeStamp]])*24</f>
        <v>0</v>
      </c>
      <c r="R359" s="153"/>
      <c r="S359" s="44"/>
      <c r="T359" s="45" t="str">
        <f>IFERROR(IGA_BD[[#This Row],[Breakdown Time]]*IGA_BD[[#This Row],[Plant Equivalent Weightage]],"")</f>
        <v/>
      </c>
    </row>
    <row r="360" spans="1:20">
      <c r="A360" s="28"/>
      <c r="B360" s="154"/>
      <c r="C360" s="30">
        <f>YEAR(WTG_BD[[#This Row],[Date]])+IF(MONTH(WTG_BD[[#This Row],[Date]])&gt;=4,1,0)</f>
        <v>2026</v>
      </c>
      <c r="D360" s="31">
        <f>YEAR(IGA_BD[[#This Row],[Date]])</f>
        <v>1900</v>
      </c>
      <c r="E360" s="48">
        <f t="shared" si="8"/>
        <v>1</v>
      </c>
      <c r="F360" s="32"/>
      <c r="G360" s="33"/>
      <c r="H360" s="43" t="str">
        <f>IFERROR(VLOOKUP(IGA_BD[[#This Row],[Affected Feeder ]],'Basic Data'!$A$42:$E$53,2,0),"")</f>
        <v/>
      </c>
      <c r="I360" s="43" t="str">
        <f>IFERROR(VLOOKUP(IGA_BD[[#This Row],[Affected Feeder ]],'Basic Data'!$A$42:$E$53,3,0),"")</f>
        <v/>
      </c>
      <c r="J360" s="43" t="str">
        <f>IFERROR(VLOOKUP(IGA_BD[[#This Row],[Affected Feeder ]],'Basic Data'!$A$42:$E$53,5,0),"")</f>
        <v/>
      </c>
      <c r="K360" s="164"/>
      <c r="L360" s="50"/>
      <c r="M360" s="116"/>
      <c r="N360" s="116"/>
      <c r="O360" s="57">
        <f>(IGA_BD[[#This Row],[Work Start TimeStamp]]-IGA_BD[[#This Row],[Fault Start TimeStamp]])*24</f>
        <v>0</v>
      </c>
      <c r="P360" s="44" t="str">
        <f>IF(IGA_BD[[#This Row],[Work Start TimeStamp]]="","",(IGA_BD[[#This Row],[Fault Clearance time]]-IGA_BD[[#This Row],[Work Start TimeStamp]])*24)</f>
        <v/>
      </c>
      <c r="Q360" s="57">
        <f>(IGA_BD[[#This Row],[Fault Clearance time]]-IGA_BD[[#This Row],[Fault Start TimeStamp]])*24</f>
        <v>0</v>
      </c>
      <c r="R360" s="153"/>
      <c r="S360" s="44"/>
      <c r="T360" s="45" t="str">
        <f>IFERROR(IGA_BD[[#This Row],[Breakdown Time]]*IGA_BD[[#This Row],[Plant Equivalent Weightage]],"")</f>
        <v/>
      </c>
    </row>
    <row r="361" spans="1:20">
      <c r="A361" s="28"/>
      <c r="B361" s="154"/>
      <c r="C361" s="30">
        <f>YEAR(WTG_BD[[#This Row],[Date]])+IF(MONTH(WTG_BD[[#This Row],[Date]])&gt;=4,1,0)</f>
        <v>2026</v>
      </c>
      <c r="D361" s="31">
        <f>YEAR(IGA_BD[[#This Row],[Date]])</f>
        <v>1900</v>
      </c>
      <c r="E361" s="48">
        <f t="shared" si="8"/>
        <v>1</v>
      </c>
      <c r="F361" s="32"/>
      <c r="G361" s="33"/>
      <c r="H361" s="43" t="str">
        <f>IFERROR(VLOOKUP(IGA_BD[[#This Row],[Affected Feeder ]],'Basic Data'!$A$42:$E$53,2,0),"")</f>
        <v/>
      </c>
      <c r="I361" s="43" t="str">
        <f>IFERROR(VLOOKUP(IGA_BD[[#This Row],[Affected Feeder ]],'Basic Data'!$A$42:$E$53,3,0),"")</f>
        <v/>
      </c>
      <c r="J361" s="43" t="str">
        <f>IFERROR(VLOOKUP(IGA_BD[[#This Row],[Affected Feeder ]],'Basic Data'!$A$42:$E$53,5,0),"")</f>
        <v/>
      </c>
      <c r="K361" s="164"/>
      <c r="L361" s="50"/>
      <c r="M361" s="116"/>
      <c r="N361" s="116"/>
      <c r="O361" s="57">
        <f>(IGA_BD[[#This Row],[Work Start TimeStamp]]-IGA_BD[[#This Row],[Fault Start TimeStamp]])*24</f>
        <v>0</v>
      </c>
      <c r="P361" s="44" t="str">
        <f>IF(IGA_BD[[#This Row],[Work Start TimeStamp]]="","",(IGA_BD[[#This Row],[Fault Clearance time]]-IGA_BD[[#This Row],[Work Start TimeStamp]])*24)</f>
        <v/>
      </c>
      <c r="Q361" s="57">
        <f>(IGA_BD[[#This Row],[Fault Clearance time]]-IGA_BD[[#This Row],[Fault Start TimeStamp]])*24</f>
        <v>0</v>
      </c>
      <c r="R361" s="153"/>
      <c r="S361" s="44"/>
      <c r="T361" s="45" t="str">
        <f>IFERROR(IGA_BD[[#This Row],[Breakdown Time]]*IGA_BD[[#This Row],[Plant Equivalent Weightage]],"")</f>
        <v/>
      </c>
    </row>
    <row r="362" spans="1:20">
      <c r="A362" s="28"/>
      <c r="B362" s="154"/>
      <c r="C362" s="30">
        <f>YEAR(WTG_BD[[#This Row],[Date]])+IF(MONTH(WTG_BD[[#This Row],[Date]])&gt;=4,1,0)</f>
        <v>2026</v>
      </c>
      <c r="D362" s="31">
        <f>YEAR(IGA_BD[[#This Row],[Date]])</f>
        <v>1900</v>
      </c>
      <c r="E362" s="48">
        <f t="shared" si="8"/>
        <v>1</v>
      </c>
      <c r="F362" s="32"/>
      <c r="G362" s="33"/>
      <c r="H362" s="43" t="str">
        <f>IFERROR(VLOOKUP(IGA_BD[[#This Row],[Affected Feeder ]],'Basic Data'!$A$42:$E$53,2,0),"")</f>
        <v/>
      </c>
      <c r="I362" s="43" t="str">
        <f>IFERROR(VLOOKUP(IGA_BD[[#This Row],[Affected Feeder ]],'Basic Data'!$A$42:$E$53,3,0),"")</f>
        <v/>
      </c>
      <c r="J362" s="43" t="str">
        <f>IFERROR(VLOOKUP(IGA_BD[[#This Row],[Affected Feeder ]],'Basic Data'!$A$42:$E$53,5,0),"")</f>
        <v/>
      </c>
      <c r="K362" s="164"/>
      <c r="L362" s="50"/>
      <c r="M362" s="116"/>
      <c r="N362" s="116"/>
      <c r="O362" s="57">
        <f>(IGA_BD[[#This Row],[Work Start TimeStamp]]-IGA_BD[[#This Row],[Fault Start TimeStamp]])*24</f>
        <v>0</v>
      </c>
      <c r="P362" s="44" t="str">
        <f>IF(IGA_BD[[#This Row],[Work Start TimeStamp]]="","",(IGA_BD[[#This Row],[Fault Clearance time]]-IGA_BD[[#This Row],[Work Start TimeStamp]])*24)</f>
        <v/>
      </c>
      <c r="Q362" s="57">
        <f>(IGA_BD[[#This Row],[Fault Clearance time]]-IGA_BD[[#This Row],[Fault Start TimeStamp]])*24</f>
        <v>0</v>
      </c>
      <c r="R362" s="153"/>
      <c r="S362" s="44"/>
      <c r="T362" s="45" t="str">
        <f>IFERROR(IGA_BD[[#This Row],[Breakdown Time]]*IGA_BD[[#This Row],[Plant Equivalent Weightage]],"")</f>
        <v/>
      </c>
    </row>
    <row r="363" spans="1:20">
      <c r="A363" s="28"/>
      <c r="B363" s="154"/>
      <c r="C363" s="30">
        <f>YEAR(WTG_BD[[#This Row],[Date]])+IF(MONTH(WTG_BD[[#This Row],[Date]])&gt;=4,1,0)</f>
        <v>2026</v>
      </c>
      <c r="D363" s="31">
        <f>YEAR(IGA_BD[[#This Row],[Date]])</f>
        <v>1900</v>
      </c>
      <c r="E363" s="48">
        <f t="shared" si="8"/>
        <v>1</v>
      </c>
      <c r="F363" s="32"/>
      <c r="G363" s="33"/>
      <c r="H363" s="43" t="str">
        <f>IFERROR(VLOOKUP(IGA_BD[[#This Row],[Affected Feeder ]],'Basic Data'!$A$42:$E$53,2,0),"")</f>
        <v/>
      </c>
      <c r="I363" s="43" t="str">
        <f>IFERROR(VLOOKUP(IGA_BD[[#This Row],[Affected Feeder ]],'Basic Data'!$A$42:$E$53,3,0),"")</f>
        <v/>
      </c>
      <c r="J363" s="43" t="str">
        <f>IFERROR(VLOOKUP(IGA_BD[[#This Row],[Affected Feeder ]],'Basic Data'!$A$42:$E$53,5,0),"")</f>
        <v/>
      </c>
      <c r="K363" s="164"/>
      <c r="L363" s="50"/>
      <c r="M363" s="116"/>
      <c r="N363" s="116"/>
      <c r="O363" s="57">
        <f>(IGA_BD[[#This Row],[Work Start TimeStamp]]-IGA_BD[[#This Row],[Fault Start TimeStamp]])*24</f>
        <v>0</v>
      </c>
      <c r="P363" s="44" t="str">
        <f>IF(IGA_BD[[#This Row],[Work Start TimeStamp]]="","",(IGA_BD[[#This Row],[Fault Clearance time]]-IGA_BD[[#This Row],[Work Start TimeStamp]])*24)</f>
        <v/>
      </c>
      <c r="Q363" s="57">
        <f>(IGA_BD[[#This Row],[Fault Clearance time]]-IGA_BD[[#This Row],[Fault Start TimeStamp]])*24</f>
        <v>0</v>
      </c>
      <c r="R363" s="153"/>
      <c r="S363" s="44"/>
      <c r="T363" s="45" t="str">
        <f>IFERROR(IGA_BD[[#This Row],[Breakdown Time]]*IGA_BD[[#This Row],[Plant Equivalent Weightage]],"")</f>
        <v/>
      </c>
    </row>
    <row r="364" spans="1:20">
      <c r="A364" s="28"/>
      <c r="B364" s="154"/>
      <c r="C364" s="30">
        <f>YEAR(WTG_BD[[#This Row],[Date]])+IF(MONTH(WTG_BD[[#This Row],[Date]])&gt;=4,1,0)</f>
        <v>2026</v>
      </c>
      <c r="D364" s="31">
        <f>YEAR(IGA_BD[[#This Row],[Date]])</f>
        <v>1900</v>
      </c>
      <c r="E364" s="48">
        <f t="shared" si="8"/>
        <v>1</v>
      </c>
      <c r="F364" s="32"/>
      <c r="G364" s="33"/>
      <c r="H364" s="43" t="str">
        <f>IFERROR(VLOOKUP(IGA_BD[[#This Row],[Affected Feeder ]],'Basic Data'!$A$42:$E$53,2,0),"")</f>
        <v/>
      </c>
      <c r="I364" s="43" t="str">
        <f>IFERROR(VLOOKUP(IGA_BD[[#This Row],[Affected Feeder ]],'Basic Data'!$A$42:$E$53,3,0),"")</f>
        <v/>
      </c>
      <c r="J364" s="43" t="str">
        <f>IFERROR(VLOOKUP(IGA_BD[[#This Row],[Affected Feeder ]],'Basic Data'!$A$42:$E$53,5,0),"")</f>
        <v/>
      </c>
      <c r="K364" s="164"/>
      <c r="L364" s="50"/>
      <c r="M364" s="116"/>
      <c r="N364" s="116"/>
      <c r="O364" s="57">
        <f>(IGA_BD[[#This Row],[Work Start TimeStamp]]-IGA_BD[[#This Row],[Fault Start TimeStamp]])*24</f>
        <v>0</v>
      </c>
      <c r="P364" s="44" t="str">
        <f>IF(IGA_BD[[#This Row],[Work Start TimeStamp]]="","",(IGA_BD[[#This Row],[Fault Clearance time]]-IGA_BD[[#This Row],[Work Start TimeStamp]])*24)</f>
        <v/>
      </c>
      <c r="Q364" s="57">
        <f>(IGA_BD[[#This Row],[Fault Clearance time]]-IGA_BD[[#This Row],[Fault Start TimeStamp]])*24</f>
        <v>0</v>
      </c>
      <c r="R364" s="153"/>
      <c r="S364" s="44"/>
      <c r="T364" s="45" t="str">
        <f>IFERROR(IGA_BD[[#This Row],[Breakdown Time]]*IGA_BD[[#This Row],[Plant Equivalent Weightage]],"")</f>
        <v/>
      </c>
    </row>
    <row r="365" spans="1:20">
      <c r="A365" s="28"/>
      <c r="B365" s="154"/>
      <c r="C365" s="30">
        <f>YEAR(WTG_BD[[#This Row],[Date]])+IF(MONTH(WTG_BD[[#This Row],[Date]])&gt;=4,1,0)</f>
        <v>2026</v>
      </c>
      <c r="D365" s="31">
        <f>YEAR(IGA_BD[[#This Row],[Date]])</f>
        <v>1900</v>
      </c>
      <c r="E365" s="48">
        <f t="shared" si="8"/>
        <v>1</v>
      </c>
      <c r="F365" s="32"/>
      <c r="G365" s="33"/>
      <c r="H365" s="43" t="str">
        <f>IFERROR(VLOOKUP(IGA_BD[[#This Row],[Affected Feeder ]],'Basic Data'!$A$42:$E$53,2,0),"")</f>
        <v/>
      </c>
      <c r="I365" s="43" t="str">
        <f>IFERROR(VLOOKUP(IGA_BD[[#This Row],[Affected Feeder ]],'Basic Data'!$A$42:$E$53,3,0),"")</f>
        <v/>
      </c>
      <c r="J365" s="43" t="str">
        <f>IFERROR(VLOOKUP(IGA_BD[[#This Row],[Affected Feeder ]],'Basic Data'!$A$42:$E$53,5,0),"")</f>
        <v/>
      </c>
      <c r="K365" s="164"/>
      <c r="L365" s="50"/>
      <c r="M365" s="116"/>
      <c r="N365" s="116"/>
      <c r="O365" s="57">
        <f>(IGA_BD[[#This Row],[Work Start TimeStamp]]-IGA_BD[[#This Row],[Fault Start TimeStamp]])*24</f>
        <v>0</v>
      </c>
      <c r="P365" s="44" t="str">
        <f>IF(IGA_BD[[#This Row],[Work Start TimeStamp]]="","",(IGA_BD[[#This Row],[Fault Clearance time]]-IGA_BD[[#This Row],[Work Start TimeStamp]])*24)</f>
        <v/>
      </c>
      <c r="Q365" s="57">
        <f>(IGA_BD[[#This Row],[Fault Clearance time]]-IGA_BD[[#This Row],[Fault Start TimeStamp]])*24</f>
        <v>0</v>
      </c>
      <c r="R365" s="153"/>
      <c r="S365" s="44"/>
      <c r="T365" s="45" t="str">
        <f>IFERROR(IGA_BD[[#This Row],[Breakdown Time]]*IGA_BD[[#This Row],[Plant Equivalent Weightage]],"")</f>
        <v/>
      </c>
    </row>
    <row r="366" spans="1:20">
      <c r="A366" s="28"/>
      <c r="B366" s="154"/>
      <c r="C366" s="30">
        <f>YEAR(WTG_BD[[#This Row],[Date]])+IF(MONTH(WTG_BD[[#This Row],[Date]])&gt;=4,1,0)</f>
        <v>2026</v>
      </c>
      <c r="D366" s="31">
        <f>YEAR(IGA_BD[[#This Row],[Date]])</f>
        <v>1900</v>
      </c>
      <c r="E366" s="48">
        <f t="shared" si="8"/>
        <v>1</v>
      </c>
      <c r="F366" s="32"/>
      <c r="G366" s="33"/>
      <c r="H366" s="43" t="str">
        <f>IFERROR(VLOOKUP(IGA_BD[[#This Row],[Affected Feeder ]],'Basic Data'!$A$42:$E$53,2,0),"")</f>
        <v/>
      </c>
      <c r="I366" s="43" t="str">
        <f>IFERROR(VLOOKUP(IGA_BD[[#This Row],[Affected Feeder ]],'Basic Data'!$A$42:$E$53,3,0),"")</f>
        <v/>
      </c>
      <c r="J366" s="43" t="str">
        <f>IFERROR(VLOOKUP(IGA_BD[[#This Row],[Affected Feeder ]],'Basic Data'!$A$42:$E$53,5,0),"")</f>
        <v/>
      </c>
      <c r="K366" s="164"/>
      <c r="L366" s="50"/>
      <c r="M366" s="116"/>
      <c r="N366" s="116"/>
      <c r="O366" s="57">
        <f>(IGA_BD[[#This Row],[Work Start TimeStamp]]-IGA_BD[[#This Row],[Fault Start TimeStamp]])*24</f>
        <v>0</v>
      </c>
      <c r="P366" s="44" t="str">
        <f>IF(IGA_BD[[#This Row],[Work Start TimeStamp]]="","",(IGA_BD[[#This Row],[Fault Clearance time]]-IGA_BD[[#This Row],[Work Start TimeStamp]])*24)</f>
        <v/>
      </c>
      <c r="Q366" s="57">
        <f>(IGA_BD[[#This Row],[Fault Clearance time]]-IGA_BD[[#This Row],[Fault Start TimeStamp]])*24</f>
        <v>0</v>
      </c>
      <c r="R366" s="153"/>
      <c r="S366" s="44"/>
      <c r="T366" s="45" t="str">
        <f>IFERROR(IGA_BD[[#This Row],[Breakdown Time]]*IGA_BD[[#This Row],[Plant Equivalent Weightage]],"")</f>
        <v/>
      </c>
    </row>
    <row r="367" spans="1:20">
      <c r="A367" s="28"/>
      <c r="B367" s="154"/>
      <c r="C367" s="30">
        <f>YEAR(WTG_BD[[#This Row],[Date]])+IF(MONTH(WTG_BD[[#This Row],[Date]])&gt;=4,1,0)</f>
        <v>2026</v>
      </c>
      <c r="D367" s="31">
        <f>YEAR(IGA_BD[[#This Row],[Date]])</f>
        <v>1900</v>
      </c>
      <c r="E367" s="48">
        <f t="shared" si="8"/>
        <v>1</v>
      </c>
      <c r="F367" s="32"/>
      <c r="G367" s="33"/>
      <c r="H367" s="43" t="str">
        <f>IFERROR(VLOOKUP(IGA_BD[[#This Row],[Affected Feeder ]],'Basic Data'!$A$42:$E$53,2,0),"")</f>
        <v/>
      </c>
      <c r="I367" s="43" t="str">
        <f>IFERROR(VLOOKUP(IGA_BD[[#This Row],[Affected Feeder ]],'Basic Data'!$A$42:$E$53,3,0),"")</f>
        <v/>
      </c>
      <c r="J367" s="43" t="str">
        <f>IFERROR(VLOOKUP(IGA_BD[[#This Row],[Affected Feeder ]],'Basic Data'!$A$42:$E$53,5,0),"")</f>
        <v/>
      </c>
      <c r="K367" s="164"/>
      <c r="L367" s="50"/>
      <c r="M367" s="116"/>
      <c r="N367" s="116"/>
      <c r="O367" s="57">
        <f>(IGA_BD[[#This Row],[Work Start TimeStamp]]-IGA_BD[[#This Row],[Fault Start TimeStamp]])*24</f>
        <v>0</v>
      </c>
      <c r="P367" s="44" t="str">
        <f>IF(IGA_BD[[#This Row],[Work Start TimeStamp]]="","",(IGA_BD[[#This Row],[Fault Clearance time]]-IGA_BD[[#This Row],[Work Start TimeStamp]])*24)</f>
        <v/>
      </c>
      <c r="Q367" s="57">
        <f>(IGA_BD[[#This Row],[Fault Clearance time]]-IGA_BD[[#This Row],[Fault Start TimeStamp]])*24</f>
        <v>0</v>
      </c>
      <c r="R367" s="153"/>
      <c r="S367" s="44"/>
      <c r="T367" s="45" t="str">
        <f>IFERROR(IGA_BD[[#This Row],[Breakdown Time]]*IGA_BD[[#This Row],[Plant Equivalent Weightage]],"")</f>
        <v/>
      </c>
    </row>
    <row r="368" spans="1:20">
      <c r="A368" s="28"/>
      <c r="B368" s="154"/>
      <c r="C368" s="30">
        <f>YEAR(WTG_BD[[#This Row],[Date]])+IF(MONTH(WTG_BD[[#This Row],[Date]])&gt;=4,1,0)</f>
        <v>2026</v>
      </c>
      <c r="D368" s="31">
        <f>YEAR(IGA_BD[[#This Row],[Date]])</f>
        <v>1900</v>
      </c>
      <c r="E368" s="48">
        <f t="shared" si="8"/>
        <v>1</v>
      </c>
      <c r="F368" s="32"/>
      <c r="G368" s="33"/>
      <c r="H368" s="43" t="str">
        <f>IFERROR(VLOOKUP(IGA_BD[[#This Row],[Affected Feeder ]],'Basic Data'!$A$42:$E$53,2,0),"")</f>
        <v/>
      </c>
      <c r="I368" s="43" t="str">
        <f>IFERROR(VLOOKUP(IGA_BD[[#This Row],[Affected Feeder ]],'Basic Data'!$A$42:$E$53,3,0),"")</f>
        <v/>
      </c>
      <c r="J368" s="43" t="str">
        <f>IFERROR(VLOOKUP(IGA_BD[[#This Row],[Affected Feeder ]],'Basic Data'!$A$42:$E$53,5,0),"")</f>
        <v/>
      </c>
      <c r="K368" s="164"/>
      <c r="L368" s="50"/>
      <c r="M368" s="116"/>
      <c r="N368" s="116"/>
      <c r="O368" s="57">
        <f>(IGA_BD[[#This Row],[Work Start TimeStamp]]-IGA_BD[[#This Row],[Fault Start TimeStamp]])*24</f>
        <v>0</v>
      </c>
      <c r="P368" s="44" t="str">
        <f>IF(IGA_BD[[#This Row],[Work Start TimeStamp]]="","",(IGA_BD[[#This Row],[Fault Clearance time]]-IGA_BD[[#This Row],[Work Start TimeStamp]])*24)</f>
        <v/>
      </c>
      <c r="Q368" s="57">
        <f>(IGA_BD[[#This Row],[Fault Clearance time]]-IGA_BD[[#This Row],[Fault Start TimeStamp]])*24</f>
        <v>0</v>
      </c>
      <c r="R368" s="153"/>
      <c r="S368" s="44"/>
      <c r="T368" s="45" t="str">
        <f>IFERROR(IGA_BD[[#This Row],[Breakdown Time]]*IGA_BD[[#This Row],[Plant Equivalent Weightage]],"")</f>
        <v/>
      </c>
    </row>
    <row r="369" spans="1:20">
      <c r="A369" s="28"/>
      <c r="B369" s="154"/>
      <c r="C369" s="30">
        <f>YEAR(WTG_BD[[#This Row],[Date]])+IF(MONTH(WTG_BD[[#This Row],[Date]])&gt;=4,1,0)</f>
        <v>2026</v>
      </c>
      <c r="D369" s="31">
        <f>YEAR(IGA_BD[[#This Row],[Date]])</f>
        <v>1900</v>
      </c>
      <c r="E369" s="48">
        <f t="shared" si="8"/>
        <v>1</v>
      </c>
      <c r="F369" s="32"/>
      <c r="G369" s="33"/>
      <c r="H369" s="43" t="str">
        <f>IFERROR(VLOOKUP(IGA_BD[[#This Row],[Affected Feeder ]],'Basic Data'!$A$42:$E$53,2,0),"")</f>
        <v/>
      </c>
      <c r="I369" s="43" t="str">
        <f>IFERROR(VLOOKUP(IGA_BD[[#This Row],[Affected Feeder ]],'Basic Data'!$A$42:$E$53,3,0),"")</f>
        <v/>
      </c>
      <c r="J369" s="43" t="str">
        <f>IFERROR(VLOOKUP(IGA_BD[[#This Row],[Affected Feeder ]],'Basic Data'!$A$42:$E$53,5,0),"")</f>
        <v/>
      </c>
      <c r="K369" s="164"/>
      <c r="L369" s="50"/>
      <c r="M369" s="116"/>
      <c r="N369" s="116"/>
      <c r="O369" s="57">
        <f>(IGA_BD[[#This Row],[Work Start TimeStamp]]-IGA_BD[[#This Row],[Fault Start TimeStamp]])*24</f>
        <v>0</v>
      </c>
      <c r="P369" s="44" t="str">
        <f>IF(IGA_BD[[#This Row],[Work Start TimeStamp]]="","",(IGA_BD[[#This Row],[Fault Clearance time]]-IGA_BD[[#This Row],[Work Start TimeStamp]])*24)</f>
        <v/>
      </c>
      <c r="Q369" s="57">
        <f>(IGA_BD[[#This Row],[Fault Clearance time]]-IGA_BD[[#This Row],[Fault Start TimeStamp]])*24</f>
        <v>0</v>
      </c>
      <c r="R369" s="153"/>
      <c r="S369" s="44"/>
      <c r="T369" s="45" t="str">
        <f>IFERROR(IGA_BD[[#This Row],[Breakdown Time]]*IGA_BD[[#This Row],[Plant Equivalent Weightage]],"")</f>
        <v/>
      </c>
    </row>
    <row r="370" spans="1:20">
      <c r="A370" s="28"/>
      <c r="B370" s="154"/>
      <c r="C370" s="30">
        <f>YEAR(WTG_BD[[#This Row],[Date]])+IF(MONTH(WTG_BD[[#This Row],[Date]])&gt;=4,1,0)</f>
        <v>2026</v>
      </c>
      <c r="D370" s="31">
        <f>YEAR(IGA_BD[[#This Row],[Date]])</f>
        <v>1900</v>
      </c>
      <c r="E370" s="48">
        <f t="shared" si="8"/>
        <v>1</v>
      </c>
      <c r="F370" s="32"/>
      <c r="G370" s="33"/>
      <c r="H370" s="43" t="str">
        <f>IFERROR(VLOOKUP(IGA_BD[[#This Row],[Affected Feeder ]],'Basic Data'!$A$42:$E$53,2,0),"")</f>
        <v/>
      </c>
      <c r="I370" s="43" t="str">
        <f>IFERROR(VLOOKUP(IGA_BD[[#This Row],[Affected Feeder ]],'Basic Data'!$A$42:$E$53,3,0),"")</f>
        <v/>
      </c>
      <c r="J370" s="43" t="str">
        <f>IFERROR(VLOOKUP(IGA_BD[[#This Row],[Affected Feeder ]],'Basic Data'!$A$42:$E$53,5,0),"")</f>
        <v/>
      </c>
      <c r="K370" s="164"/>
      <c r="L370" s="50"/>
      <c r="M370" s="116"/>
      <c r="N370" s="116"/>
      <c r="O370" s="57">
        <f>(IGA_BD[[#This Row],[Work Start TimeStamp]]-IGA_BD[[#This Row],[Fault Start TimeStamp]])*24</f>
        <v>0</v>
      </c>
      <c r="P370" s="44" t="str">
        <f>IF(IGA_BD[[#This Row],[Work Start TimeStamp]]="","",(IGA_BD[[#This Row],[Fault Clearance time]]-IGA_BD[[#This Row],[Work Start TimeStamp]])*24)</f>
        <v/>
      </c>
      <c r="Q370" s="57">
        <f>(IGA_BD[[#This Row],[Fault Clearance time]]-IGA_BD[[#This Row],[Fault Start TimeStamp]])*24</f>
        <v>0</v>
      </c>
      <c r="R370" s="153"/>
      <c r="S370" s="44"/>
      <c r="T370" s="45" t="str">
        <f>IFERROR(IGA_BD[[#This Row],[Breakdown Time]]*IGA_BD[[#This Row],[Plant Equivalent Weightage]],"")</f>
        <v/>
      </c>
    </row>
    <row r="371" spans="1:20">
      <c r="A371" s="28"/>
      <c r="B371" s="154"/>
      <c r="C371" s="30">
        <f>YEAR(WTG_BD[[#This Row],[Date]])+IF(MONTH(WTG_BD[[#This Row],[Date]])&gt;=4,1,0)</f>
        <v>2026</v>
      </c>
      <c r="D371" s="31">
        <f>YEAR(IGA_BD[[#This Row],[Date]])</f>
        <v>1900</v>
      </c>
      <c r="E371" s="48">
        <f t="shared" si="8"/>
        <v>1</v>
      </c>
      <c r="F371" s="32"/>
      <c r="G371" s="33"/>
      <c r="H371" s="43" t="str">
        <f>IFERROR(VLOOKUP(IGA_BD[[#This Row],[Affected Feeder ]],'Basic Data'!$A$42:$E$53,2,0),"")</f>
        <v/>
      </c>
      <c r="I371" s="43" t="str">
        <f>IFERROR(VLOOKUP(IGA_BD[[#This Row],[Affected Feeder ]],'Basic Data'!$A$42:$E$53,3,0),"")</f>
        <v/>
      </c>
      <c r="J371" s="43" t="str">
        <f>IFERROR(VLOOKUP(IGA_BD[[#This Row],[Affected Feeder ]],'Basic Data'!$A$42:$E$53,5,0),"")</f>
        <v/>
      </c>
      <c r="K371" s="164"/>
      <c r="L371" s="50"/>
      <c r="M371" s="116"/>
      <c r="N371" s="116"/>
      <c r="O371" s="57">
        <f>(IGA_BD[[#This Row],[Work Start TimeStamp]]-IGA_BD[[#This Row],[Fault Start TimeStamp]])*24</f>
        <v>0</v>
      </c>
      <c r="P371" s="44" t="str">
        <f>IF(IGA_BD[[#This Row],[Work Start TimeStamp]]="","",(IGA_BD[[#This Row],[Fault Clearance time]]-IGA_BD[[#This Row],[Work Start TimeStamp]])*24)</f>
        <v/>
      </c>
      <c r="Q371" s="57">
        <f>(IGA_BD[[#This Row],[Fault Clearance time]]-IGA_BD[[#This Row],[Fault Start TimeStamp]])*24</f>
        <v>0</v>
      </c>
      <c r="R371" s="153"/>
      <c r="S371" s="44"/>
      <c r="T371" s="45" t="str">
        <f>IFERROR(IGA_BD[[#This Row],[Breakdown Time]]*IGA_BD[[#This Row],[Plant Equivalent Weightage]],"")</f>
        <v/>
      </c>
    </row>
    <row r="372" spans="1:20">
      <c r="A372" s="28"/>
      <c r="B372" s="154"/>
      <c r="C372" s="30">
        <f>YEAR(WTG_BD[[#This Row],[Date]])+IF(MONTH(WTG_BD[[#This Row],[Date]])&gt;=4,1,0)</f>
        <v>2026</v>
      </c>
      <c r="D372" s="31">
        <f>YEAR(IGA_BD[[#This Row],[Date]])</f>
        <v>1900</v>
      </c>
      <c r="E372" s="48">
        <f t="shared" si="8"/>
        <v>1</v>
      </c>
      <c r="F372" s="32"/>
      <c r="G372" s="33"/>
      <c r="H372" s="43" t="str">
        <f>IFERROR(VLOOKUP(IGA_BD[[#This Row],[Affected Feeder ]],'Basic Data'!$A$42:$E$53,2,0),"")</f>
        <v/>
      </c>
      <c r="I372" s="43" t="str">
        <f>IFERROR(VLOOKUP(IGA_BD[[#This Row],[Affected Feeder ]],'Basic Data'!$A$42:$E$53,3,0),"")</f>
        <v/>
      </c>
      <c r="J372" s="43" t="str">
        <f>IFERROR(VLOOKUP(IGA_BD[[#This Row],[Affected Feeder ]],'Basic Data'!$A$42:$E$53,5,0),"")</f>
        <v/>
      </c>
      <c r="K372" s="164"/>
      <c r="L372" s="50"/>
      <c r="M372" s="116"/>
      <c r="N372" s="116"/>
      <c r="O372" s="57">
        <f>(IGA_BD[[#This Row],[Work Start TimeStamp]]-IGA_BD[[#This Row],[Fault Start TimeStamp]])*24</f>
        <v>0</v>
      </c>
      <c r="P372" s="44" t="str">
        <f>IF(IGA_BD[[#This Row],[Work Start TimeStamp]]="","",(IGA_BD[[#This Row],[Fault Clearance time]]-IGA_BD[[#This Row],[Work Start TimeStamp]])*24)</f>
        <v/>
      </c>
      <c r="Q372" s="57">
        <f>(IGA_BD[[#This Row],[Fault Clearance time]]-IGA_BD[[#This Row],[Fault Start TimeStamp]])*24</f>
        <v>0</v>
      </c>
      <c r="R372" s="153"/>
      <c r="S372" s="44"/>
      <c r="T372" s="45" t="str">
        <f>IFERROR(IGA_BD[[#This Row],[Breakdown Time]]*IGA_BD[[#This Row],[Plant Equivalent Weightage]],"")</f>
        <v/>
      </c>
    </row>
    <row r="373" spans="1:20">
      <c r="A373" s="28"/>
      <c r="B373" s="154"/>
      <c r="C373" s="30">
        <f>YEAR(WTG_BD[[#This Row],[Date]])+IF(MONTH(WTG_BD[[#This Row],[Date]])&gt;=4,1,0)</f>
        <v>2026</v>
      </c>
      <c r="D373" s="31">
        <f>YEAR(IGA_BD[[#This Row],[Date]])</f>
        <v>1900</v>
      </c>
      <c r="E373" s="48">
        <f t="shared" si="8"/>
        <v>1</v>
      </c>
      <c r="F373" s="32"/>
      <c r="G373" s="33"/>
      <c r="H373" s="43" t="str">
        <f>IFERROR(VLOOKUP(IGA_BD[[#This Row],[Affected Feeder ]],'Basic Data'!$A$42:$E$53,2,0),"")</f>
        <v/>
      </c>
      <c r="I373" s="43" t="str">
        <f>IFERROR(VLOOKUP(IGA_BD[[#This Row],[Affected Feeder ]],'Basic Data'!$A$42:$E$53,3,0),"")</f>
        <v/>
      </c>
      <c r="J373" s="43" t="str">
        <f>IFERROR(VLOOKUP(IGA_BD[[#This Row],[Affected Feeder ]],'Basic Data'!$A$42:$E$53,5,0),"")</f>
        <v/>
      </c>
      <c r="K373" s="164"/>
      <c r="L373" s="50"/>
      <c r="M373" s="116"/>
      <c r="N373" s="116"/>
      <c r="O373" s="57">
        <f>(IGA_BD[[#This Row],[Work Start TimeStamp]]-IGA_BD[[#This Row],[Fault Start TimeStamp]])*24</f>
        <v>0</v>
      </c>
      <c r="P373" s="44" t="str">
        <f>IF(IGA_BD[[#This Row],[Work Start TimeStamp]]="","",(IGA_BD[[#This Row],[Fault Clearance time]]-IGA_BD[[#This Row],[Work Start TimeStamp]])*24)</f>
        <v/>
      </c>
      <c r="Q373" s="57">
        <f>(IGA_BD[[#This Row],[Fault Clearance time]]-IGA_BD[[#This Row],[Fault Start TimeStamp]])*24</f>
        <v>0</v>
      </c>
      <c r="R373" s="153"/>
      <c r="S373" s="44"/>
      <c r="T373" s="45" t="str">
        <f>IFERROR(IGA_BD[[#This Row],[Breakdown Time]]*IGA_BD[[#This Row],[Plant Equivalent Weightage]],"")</f>
        <v/>
      </c>
    </row>
    <row r="374" spans="1:20">
      <c r="A374" s="28"/>
      <c r="B374" s="154"/>
      <c r="C374" s="30">
        <f>YEAR(WTG_BD[[#This Row],[Date]])+IF(MONTH(WTG_BD[[#This Row],[Date]])&gt;=4,1,0)</f>
        <v>2026</v>
      </c>
      <c r="D374" s="31">
        <f>YEAR(IGA_BD[[#This Row],[Date]])</f>
        <v>1900</v>
      </c>
      <c r="E374" s="48">
        <f t="shared" si="8"/>
        <v>1</v>
      </c>
      <c r="F374" s="32"/>
      <c r="G374" s="33"/>
      <c r="H374" s="43" t="str">
        <f>IFERROR(VLOOKUP(IGA_BD[[#This Row],[Affected Feeder ]],'Basic Data'!$A$42:$E$53,2,0),"")</f>
        <v/>
      </c>
      <c r="I374" s="43" t="str">
        <f>IFERROR(VLOOKUP(IGA_BD[[#This Row],[Affected Feeder ]],'Basic Data'!$A$42:$E$53,3,0),"")</f>
        <v/>
      </c>
      <c r="J374" s="43" t="str">
        <f>IFERROR(VLOOKUP(IGA_BD[[#This Row],[Affected Feeder ]],'Basic Data'!$A$42:$E$53,5,0),"")</f>
        <v/>
      </c>
      <c r="K374" s="164"/>
      <c r="L374" s="50"/>
      <c r="M374" s="116"/>
      <c r="N374" s="116"/>
      <c r="O374" s="57">
        <f>(IGA_BD[[#This Row],[Work Start TimeStamp]]-IGA_BD[[#This Row],[Fault Start TimeStamp]])*24</f>
        <v>0</v>
      </c>
      <c r="P374" s="44" t="str">
        <f>IF(IGA_BD[[#This Row],[Work Start TimeStamp]]="","",(IGA_BD[[#This Row],[Fault Clearance time]]-IGA_BD[[#This Row],[Work Start TimeStamp]])*24)</f>
        <v/>
      </c>
      <c r="Q374" s="57">
        <f>(IGA_BD[[#This Row],[Fault Clearance time]]-IGA_BD[[#This Row],[Fault Start TimeStamp]])*24</f>
        <v>0</v>
      </c>
      <c r="R374" s="153"/>
      <c r="S374" s="44"/>
      <c r="T374" s="45" t="str">
        <f>IFERROR(IGA_BD[[#This Row],[Breakdown Time]]*IGA_BD[[#This Row],[Plant Equivalent Weightage]],"")</f>
        <v/>
      </c>
    </row>
    <row r="375" spans="1:20">
      <c r="A375" s="28"/>
      <c r="B375" s="154"/>
      <c r="C375" s="30">
        <f>YEAR(WTG_BD[[#This Row],[Date]])+IF(MONTH(WTG_BD[[#This Row],[Date]])&gt;=4,1,0)</f>
        <v>2026</v>
      </c>
      <c r="D375" s="31">
        <f>YEAR(IGA_BD[[#This Row],[Date]])</f>
        <v>1900</v>
      </c>
      <c r="E375" s="48">
        <f t="shared" si="8"/>
        <v>1</v>
      </c>
      <c r="F375" s="32"/>
      <c r="G375" s="33"/>
      <c r="H375" s="43" t="str">
        <f>IFERROR(VLOOKUP(IGA_BD[[#This Row],[Affected Feeder ]],'Basic Data'!$A$42:$E$53,2,0),"")</f>
        <v/>
      </c>
      <c r="I375" s="43" t="str">
        <f>IFERROR(VLOOKUP(IGA_BD[[#This Row],[Affected Feeder ]],'Basic Data'!$A$42:$E$53,3,0),"")</f>
        <v/>
      </c>
      <c r="J375" s="43" t="str">
        <f>IFERROR(VLOOKUP(IGA_BD[[#This Row],[Affected Feeder ]],'Basic Data'!$A$42:$E$53,5,0),"")</f>
        <v/>
      </c>
      <c r="K375" s="164"/>
      <c r="L375" s="50"/>
      <c r="M375" s="116"/>
      <c r="N375" s="116"/>
      <c r="O375" s="57">
        <f>(IGA_BD[[#This Row],[Work Start TimeStamp]]-IGA_BD[[#This Row],[Fault Start TimeStamp]])*24</f>
        <v>0</v>
      </c>
      <c r="P375" s="44" t="str">
        <f>IF(IGA_BD[[#This Row],[Work Start TimeStamp]]="","",(IGA_BD[[#This Row],[Fault Clearance time]]-IGA_BD[[#This Row],[Work Start TimeStamp]])*24)</f>
        <v/>
      </c>
      <c r="Q375" s="57">
        <f>(IGA_BD[[#This Row],[Fault Clearance time]]-IGA_BD[[#This Row],[Fault Start TimeStamp]])*24</f>
        <v>0</v>
      </c>
      <c r="R375" s="153"/>
      <c r="S375" s="44"/>
      <c r="T375" s="45" t="str">
        <f>IFERROR(IGA_BD[[#This Row],[Breakdown Time]]*IGA_BD[[#This Row],[Plant Equivalent Weightage]],"")</f>
        <v/>
      </c>
    </row>
    <row r="376" spans="1:20">
      <c r="A376" s="28"/>
      <c r="B376" s="154"/>
      <c r="C376" s="30">
        <f>YEAR(WTG_BD[[#This Row],[Date]])+IF(MONTH(WTG_BD[[#This Row],[Date]])&gt;=4,1,0)</f>
        <v>2026</v>
      </c>
      <c r="D376" s="31">
        <f>YEAR(IGA_BD[[#This Row],[Date]])</f>
        <v>1900</v>
      </c>
      <c r="E376" s="48">
        <f t="shared" si="8"/>
        <v>1</v>
      </c>
      <c r="F376" s="32"/>
      <c r="G376" s="33"/>
      <c r="H376" s="43" t="str">
        <f>IFERROR(VLOOKUP(IGA_BD[[#This Row],[Affected Feeder ]],'Basic Data'!$A$42:$E$53,2,0),"")</f>
        <v/>
      </c>
      <c r="I376" s="43" t="str">
        <f>IFERROR(VLOOKUP(IGA_BD[[#This Row],[Affected Feeder ]],'Basic Data'!$A$42:$E$53,3,0),"")</f>
        <v/>
      </c>
      <c r="J376" s="43" t="str">
        <f>IFERROR(VLOOKUP(IGA_BD[[#This Row],[Affected Feeder ]],'Basic Data'!$A$42:$E$53,5,0),"")</f>
        <v/>
      </c>
      <c r="K376" s="164"/>
      <c r="L376" s="50"/>
      <c r="M376" s="116"/>
      <c r="N376" s="116"/>
      <c r="O376" s="57">
        <f>(IGA_BD[[#This Row],[Work Start TimeStamp]]-IGA_BD[[#This Row],[Fault Start TimeStamp]])*24</f>
        <v>0</v>
      </c>
      <c r="P376" s="44" t="str">
        <f>IF(IGA_BD[[#This Row],[Work Start TimeStamp]]="","",(IGA_BD[[#This Row],[Fault Clearance time]]-IGA_BD[[#This Row],[Work Start TimeStamp]])*24)</f>
        <v/>
      </c>
      <c r="Q376" s="57">
        <f>(IGA_BD[[#This Row],[Fault Clearance time]]-IGA_BD[[#This Row],[Fault Start TimeStamp]])*24</f>
        <v>0</v>
      </c>
      <c r="R376" s="153"/>
      <c r="S376" s="44"/>
      <c r="T376" s="45" t="str">
        <f>IFERROR(IGA_BD[[#This Row],[Breakdown Time]]*IGA_BD[[#This Row],[Plant Equivalent Weightage]],"")</f>
        <v/>
      </c>
    </row>
    <row r="377" spans="1:20">
      <c r="A377" s="28"/>
      <c r="B377" s="154"/>
      <c r="C377" s="30">
        <f>YEAR(WTG_BD[[#This Row],[Date]])+IF(MONTH(WTG_BD[[#This Row],[Date]])&gt;=4,1,0)</f>
        <v>2026</v>
      </c>
      <c r="D377" s="31">
        <f>YEAR(IGA_BD[[#This Row],[Date]])</f>
        <v>1900</v>
      </c>
      <c r="E377" s="48">
        <f t="shared" si="8"/>
        <v>1</v>
      </c>
      <c r="F377" s="32"/>
      <c r="G377" s="33"/>
      <c r="H377" s="43" t="str">
        <f>IFERROR(VLOOKUP(IGA_BD[[#This Row],[Affected Feeder ]],'Basic Data'!$A$42:$E$53,2,0),"")</f>
        <v/>
      </c>
      <c r="I377" s="43" t="str">
        <f>IFERROR(VLOOKUP(IGA_BD[[#This Row],[Affected Feeder ]],'Basic Data'!$A$42:$E$53,3,0),"")</f>
        <v/>
      </c>
      <c r="J377" s="43" t="str">
        <f>IFERROR(VLOOKUP(IGA_BD[[#This Row],[Affected Feeder ]],'Basic Data'!$A$42:$E$53,5,0),"")</f>
        <v/>
      </c>
      <c r="K377" s="164"/>
      <c r="L377" s="50"/>
      <c r="M377" s="116"/>
      <c r="N377" s="116"/>
      <c r="O377" s="57">
        <f>(IGA_BD[[#This Row],[Work Start TimeStamp]]-IGA_BD[[#This Row],[Fault Start TimeStamp]])*24</f>
        <v>0</v>
      </c>
      <c r="P377" s="44" t="str">
        <f>IF(IGA_BD[[#This Row],[Work Start TimeStamp]]="","",(IGA_BD[[#This Row],[Fault Clearance time]]-IGA_BD[[#This Row],[Work Start TimeStamp]])*24)</f>
        <v/>
      </c>
      <c r="Q377" s="57">
        <f>(IGA_BD[[#This Row],[Fault Clearance time]]-IGA_BD[[#This Row],[Fault Start TimeStamp]])*24</f>
        <v>0</v>
      </c>
      <c r="R377" s="153"/>
      <c r="S377" s="44"/>
      <c r="T377" s="45" t="str">
        <f>IFERROR(IGA_BD[[#This Row],[Breakdown Time]]*IGA_BD[[#This Row],[Plant Equivalent Weightage]],"")</f>
        <v/>
      </c>
    </row>
    <row r="378" spans="1:20">
      <c r="A378" s="28"/>
      <c r="B378" s="154"/>
      <c r="C378" s="30">
        <f>YEAR(WTG_BD[[#This Row],[Date]])+IF(MONTH(WTG_BD[[#This Row],[Date]])&gt;=4,1,0)</f>
        <v>2026</v>
      </c>
      <c r="D378" s="31">
        <f>YEAR(IGA_BD[[#This Row],[Date]])</f>
        <v>1900</v>
      </c>
      <c r="E378" s="48">
        <f t="shared" si="8"/>
        <v>1</v>
      </c>
      <c r="F378" s="32"/>
      <c r="G378" s="33"/>
      <c r="H378" s="43" t="str">
        <f>IFERROR(VLOOKUP(IGA_BD[[#This Row],[Affected Feeder ]],'Basic Data'!$A$42:$E$53,2,0),"")</f>
        <v/>
      </c>
      <c r="I378" s="43" t="str">
        <f>IFERROR(VLOOKUP(IGA_BD[[#This Row],[Affected Feeder ]],'Basic Data'!$A$42:$E$53,3,0),"")</f>
        <v/>
      </c>
      <c r="J378" s="43" t="str">
        <f>IFERROR(VLOOKUP(IGA_BD[[#This Row],[Affected Feeder ]],'Basic Data'!$A$42:$E$53,5,0),"")</f>
        <v/>
      </c>
      <c r="K378" s="164"/>
      <c r="L378" s="50"/>
      <c r="M378" s="116"/>
      <c r="N378" s="116"/>
      <c r="O378" s="57">
        <f>(IGA_BD[[#This Row],[Work Start TimeStamp]]-IGA_BD[[#This Row],[Fault Start TimeStamp]])*24</f>
        <v>0</v>
      </c>
      <c r="P378" s="44" t="str">
        <f>IF(IGA_BD[[#This Row],[Work Start TimeStamp]]="","",(IGA_BD[[#This Row],[Fault Clearance time]]-IGA_BD[[#This Row],[Work Start TimeStamp]])*24)</f>
        <v/>
      </c>
      <c r="Q378" s="57">
        <f>(IGA_BD[[#This Row],[Fault Clearance time]]-IGA_BD[[#This Row],[Fault Start TimeStamp]])*24</f>
        <v>0</v>
      </c>
      <c r="R378" s="153"/>
      <c r="S378" s="44"/>
      <c r="T378" s="45" t="str">
        <f>IFERROR(IGA_BD[[#This Row],[Breakdown Time]]*IGA_BD[[#This Row],[Plant Equivalent Weightage]],"")</f>
        <v/>
      </c>
    </row>
    <row r="379" spans="1:20">
      <c r="A379" s="28"/>
      <c r="B379" s="154"/>
      <c r="C379" s="30">
        <f>YEAR(WTG_BD[[#This Row],[Date]])+IF(MONTH(WTG_BD[[#This Row],[Date]])&gt;=4,1,0)</f>
        <v>2026</v>
      </c>
      <c r="D379" s="31">
        <f>YEAR(IGA_BD[[#This Row],[Date]])</f>
        <v>1900</v>
      </c>
      <c r="E379" s="48">
        <f t="shared" si="8"/>
        <v>1</v>
      </c>
      <c r="F379" s="32"/>
      <c r="G379" s="33"/>
      <c r="H379" s="43" t="str">
        <f>IFERROR(VLOOKUP(IGA_BD[[#This Row],[Affected Feeder ]],'Basic Data'!$A$42:$E$53,2,0),"")</f>
        <v/>
      </c>
      <c r="I379" s="43" t="str">
        <f>IFERROR(VLOOKUP(IGA_BD[[#This Row],[Affected Feeder ]],'Basic Data'!$A$42:$E$53,3,0),"")</f>
        <v/>
      </c>
      <c r="J379" s="43" t="str">
        <f>IFERROR(VLOOKUP(IGA_BD[[#This Row],[Affected Feeder ]],'Basic Data'!$A$42:$E$53,5,0),"")</f>
        <v/>
      </c>
      <c r="K379" s="164"/>
      <c r="L379" s="50"/>
      <c r="M379" s="116"/>
      <c r="N379" s="116"/>
      <c r="O379" s="57">
        <f>(IGA_BD[[#This Row],[Work Start TimeStamp]]-IGA_BD[[#This Row],[Fault Start TimeStamp]])*24</f>
        <v>0</v>
      </c>
      <c r="P379" s="44" t="str">
        <f>IF(IGA_BD[[#This Row],[Work Start TimeStamp]]="","",(IGA_BD[[#This Row],[Fault Clearance time]]-IGA_BD[[#This Row],[Work Start TimeStamp]])*24)</f>
        <v/>
      </c>
      <c r="Q379" s="57">
        <f>(IGA_BD[[#This Row],[Fault Clearance time]]-IGA_BD[[#This Row],[Fault Start TimeStamp]])*24</f>
        <v>0</v>
      </c>
      <c r="R379" s="153"/>
      <c r="S379" s="44"/>
      <c r="T379" s="45" t="str">
        <f>IFERROR(IGA_BD[[#This Row],[Breakdown Time]]*IGA_BD[[#This Row],[Plant Equivalent Weightage]],"")</f>
        <v/>
      </c>
    </row>
    <row r="380" spans="1:20">
      <c r="A380" s="28"/>
      <c r="B380" s="154"/>
      <c r="C380" s="30">
        <f>YEAR(WTG_BD[[#This Row],[Date]])+IF(MONTH(WTG_BD[[#This Row],[Date]])&gt;=4,1,0)</f>
        <v>2026</v>
      </c>
      <c r="D380" s="31">
        <f>YEAR(IGA_BD[[#This Row],[Date]])</f>
        <v>1900</v>
      </c>
      <c r="E380" s="48">
        <f t="shared" si="8"/>
        <v>1</v>
      </c>
      <c r="F380" s="32"/>
      <c r="G380" s="33"/>
      <c r="H380" s="43" t="str">
        <f>IFERROR(VLOOKUP(IGA_BD[[#This Row],[Affected Feeder ]],'Basic Data'!$A$42:$E$53,2,0),"")</f>
        <v/>
      </c>
      <c r="I380" s="43" t="str">
        <f>IFERROR(VLOOKUP(IGA_BD[[#This Row],[Affected Feeder ]],'Basic Data'!$A$42:$E$53,3,0),"")</f>
        <v/>
      </c>
      <c r="J380" s="43" t="str">
        <f>IFERROR(VLOOKUP(IGA_BD[[#This Row],[Affected Feeder ]],'Basic Data'!$A$42:$E$53,5,0),"")</f>
        <v/>
      </c>
      <c r="K380" s="164"/>
      <c r="L380" s="50"/>
      <c r="M380" s="116"/>
      <c r="N380" s="116"/>
      <c r="O380" s="57">
        <f>(IGA_BD[[#This Row],[Work Start TimeStamp]]-IGA_BD[[#This Row],[Fault Start TimeStamp]])*24</f>
        <v>0</v>
      </c>
      <c r="P380" s="44" t="str">
        <f>IF(IGA_BD[[#This Row],[Work Start TimeStamp]]="","",(IGA_BD[[#This Row],[Fault Clearance time]]-IGA_BD[[#This Row],[Work Start TimeStamp]])*24)</f>
        <v/>
      </c>
      <c r="Q380" s="57">
        <f>(IGA_BD[[#This Row],[Fault Clearance time]]-IGA_BD[[#This Row],[Fault Start TimeStamp]])*24</f>
        <v>0</v>
      </c>
      <c r="R380" s="153"/>
      <c r="S380" s="44"/>
      <c r="T380" s="45" t="str">
        <f>IFERROR(IGA_BD[[#This Row],[Breakdown Time]]*IGA_BD[[#This Row],[Plant Equivalent Weightage]],"")</f>
        <v/>
      </c>
    </row>
    <row r="381" spans="1:20">
      <c r="A381" s="28"/>
      <c r="B381" s="154"/>
      <c r="C381" s="30">
        <f>YEAR(WTG_BD[[#This Row],[Date]])+IF(MONTH(WTG_BD[[#This Row],[Date]])&gt;=4,1,0)</f>
        <v>2026</v>
      </c>
      <c r="D381" s="31">
        <f>YEAR(IGA_BD[[#This Row],[Date]])</f>
        <v>1900</v>
      </c>
      <c r="E381" s="48">
        <f t="shared" si="8"/>
        <v>1</v>
      </c>
      <c r="F381" s="32"/>
      <c r="G381" s="33"/>
      <c r="H381" s="43" t="str">
        <f>IFERROR(VLOOKUP(IGA_BD[[#This Row],[Affected Feeder ]],'Basic Data'!$A$42:$E$53,2,0),"")</f>
        <v/>
      </c>
      <c r="I381" s="43" t="str">
        <f>IFERROR(VLOOKUP(IGA_BD[[#This Row],[Affected Feeder ]],'Basic Data'!$A$42:$E$53,3,0),"")</f>
        <v/>
      </c>
      <c r="J381" s="43" t="str">
        <f>IFERROR(VLOOKUP(IGA_BD[[#This Row],[Affected Feeder ]],'Basic Data'!$A$42:$E$53,5,0),"")</f>
        <v/>
      </c>
      <c r="K381" s="164"/>
      <c r="L381" s="50"/>
      <c r="M381" s="116"/>
      <c r="N381" s="116"/>
      <c r="O381" s="57">
        <f>(IGA_BD[[#This Row],[Work Start TimeStamp]]-IGA_BD[[#This Row],[Fault Start TimeStamp]])*24</f>
        <v>0</v>
      </c>
      <c r="P381" s="44" t="str">
        <f>IF(IGA_BD[[#This Row],[Work Start TimeStamp]]="","",(IGA_BD[[#This Row],[Fault Clearance time]]-IGA_BD[[#This Row],[Work Start TimeStamp]])*24)</f>
        <v/>
      </c>
      <c r="Q381" s="57">
        <f>(IGA_BD[[#This Row],[Fault Clearance time]]-IGA_BD[[#This Row],[Fault Start TimeStamp]])*24</f>
        <v>0</v>
      </c>
      <c r="R381" s="153"/>
      <c r="S381" s="44"/>
      <c r="T381" s="45" t="str">
        <f>IFERROR(IGA_BD[[#This Row],[Breakdown Time]]*IGA_BD[[#This Row],[Plant Equivalent Weightage]],"")</f>
        <v/>
      </c>
    </row>
    <row r="382" spans="1:20">
      <c r="A382" s="28"/>
      <c r="B382" s="154"/>
      <c r="C382" s="30">
        <f>YEAR(WTG_BD[[#This Row],[Date]])+IF(MONTH(WTG_BD[[#This Row],[Date]])&gt;=4,1,0)</f>
        <v>2026</v>
      </c>
      <c r="D382" s="31">
        <f>YEAR(IGA_BD[[#This Row],[Date]])</f>
        <v>1900</v>
      </c>
      <c r="E382" s="48">
        <f t="shared" si="8"/>
        <v>1</v>
      </c>
      <c r="F382" s="32"/>
      <c r="G382" s="33"/>
      <c r="H382" s="43" t="str">
        <f>IFERROR(VLOOKUP(IGA_BD[[#This Row],[Affected Feeder ]],'Basic Data'!$A$42:$E$53,2,0),"")</f>
        <v/>
      </c>
      <c r="I382" s="43" t="str">
        <f>IFERROR(VLOOKUP(IGA_BD[[#This Row],[Affected Feeder ]],'Basic Data'!$A$42:$E$53,3,0),"")</f>
        <v/>
      </c>
      <c r="J382" s="43" t="str">
        <f>IFERROR(VLOOKUP(IGA_BD[[#This Row],[Affected Feeder ]],'Basic Data'!$A$42:$E$53,5,0),"")</f>
        <v/>
      </c>
      <c r="K382" s="164"/>
      <c r="L382" s="50"/>
      <c r="M382" s="116"/>
      <c r="N382" s="116"/>
      <c r="O382" s="57">
        <f>(IGA_BD[[#This Row],[Work Start TimeStamp]]-IGA_BD[[#This Row],[Fault Start TimeStamp]])*24</f>
        <v>0</v>
      </c>
      <c r="P382" s="44" t="str">
        <f>IF(IGA_BD[[#This Row],[Work Start TimeStamp]]="","",(IGA_BD[[#This Row],[Fault Clearance time]]-IGA_BD[[#This Row],[Work Start TimeStamp]])*24)</f>
        <v/>
      </c>
      <c r="Q382" s="57">
        <f>(IGA_BD[[#This Row],[Fault Clearance time]]-IGA_BD[[#This Row],[Fault Start TimeStamp]])*24</f>
        <v>0</v>
      </c>
      <c r="R382" s="153"/>
      <c r="S382" s="44"/>
      <c r="T382" s="45" t="str">
        <f>IFERROR(IGA_BD[[#This Row],[Breakdown Time]]*IGA_BD[[#This Row],[Plant Equivalent Weightage]],"")</f>
        <v/>
      </c>
    </row>
    <row r="383" spans="1:20">
      <c r="A383" s="28"/>
      <c r="B383" s="154"/>
      <c r="C383" s="30">
        <f>YEAR(WTG_BD[[#This Row],[Date]])+IF(MONTH(WTG_BD[[#This Row],[Date]])&gt;=4,1,0)</f>
        <v>2026</v>
      </c>
      <c r="D383" s="31">
        <f>YEAR(IGA_BD[[#This Row],[Date]])</f>
        <v>1900</v>
      </c>
      <c r="E383" s="48">
        <f t="shared" si="8"/>
        <v>1</v>
      </c>
      <c r="F383" s="32"/>
      <c r="G383" s="33"/>
      <c r="H383" s="43" t="str">
        <f>IFERROR(VLOOKUP(IGA_BD[[#This Row],[Affected Feeder ]],'Basic Data'!$A$42:$E$53,2,0),"")</f>
        <v/>
      </c>
      <c r="I383" s="43" t="str">
        <f>IFERROR(VLOOKUP(IGA_BD[[#This Row],[Affected Feeder ]],'Basic Data'!$A$42:$E$53,3,0),"")</f>
        <v/>
      </c>
      <c r="J383" s="43" t="str">
        <f>IFERROR(VLOOKUP(IGA_BD[[#This Row],[Affected Feeder ]],'Basic Data'!$A$42:$E$53,5,0),"")</f>
        <v/>
      </c>
      <c r="K383" s="164"/>
      <c r="L383" s="50"/>
      <c r="M383" s="116"/>
      <c r="N383" s="116"/>
      <c r="O383" s="57">
        <f>(IGA_BD[[#This Row],[Work Start TimeStamp]]-IGA_BD[[#This Row],[Fault Start TimeStamp]])*24</f>
        <v>0</v>
      </c>
      <c r="P383" s="44" t="str">
        <f>IF(IGA_BD[[#This Row],[Work Start TimeStamp]]="","",(IGA_BD[[#This Row],[Fault Clearance time]]-IGA_BD[[#This Row],[Work Start TimeStamp]])*24)</f>
        <v/>
      </c>
      <c r="Q383" s="57">
        <f>(IGA_BD[[#This Row],[Fault Clearance time]]-IGA_BD[[#This Row],[Fault Start TimeStamp]])*24</f>
        <v>0</v>
      </c>
      <c r="R383" s="153"/>
      <c r="S383" s="44"/>
      <c r="T383" s="45" t="str">
        <f>IFERROR(IGA_BD[[#This Row],[Breakdown Time]]*IGA_BD[[#This Row],[Plant Equivalent Weightage]],"")</f>
        <v/>
      </c>
    </row>
    <row r="384" spans="1:20">
      <c r="A384" s="28"/>
      <c r="B384" s="154"/>
      <c r="C384" s="30">
        <f>YEAR(WTG_BD[[#This Row],[Date]])+IF(MONTH(WTG_BD[[#This Row],[Date]])&gt;=4,1,0)</f>
        <v>2026</v>
      </c>
      <c r="D384" s="31">
        <f>YEAR(IGA_BD[[#This Row],[Date]])</f>
        <v>1900</v>
      </c>
      <c r="E384" s="48">
        <f t="shared" si="8"/>
        <v>1</v>
      </c>
      <c r="F384" s="32"/>
      <c r="G384" s="33"/>
      <c r="H384" s="43" t="str">
        <f>IFERROR(VLOOKUP(IGA_BD[[#This Row],[Affected Feeder ]],'Basic Data'!$A$42:$E$53,2,0),"")</f>
        <v/>
      </c>
      <c r="I384" s="43" t="str">
        <f>IFERROR(VLOOKUP(IGA_BD[[#This Row],[Affected Feeder ]],'Basic Data'!$A$42:$E$53,3,0),"")</f>
        <v/>
      </c>
      <c r="J384" s="43" t="str">
        <f>IFERROR(VLOOKUP(IGA_BD[[#This Row],[Affected Feeder ]],'Basic Data'!$A$42:$E$53,5,0),"")</f>
        <v/>
      </c>
      <c r="K384" s="164"/>
      <c r="L384" s="50"/>
      <c r="M384" s="116"/>
      <c r="N384" s="116"/>
      <c r="O384" s="57">
        <f>(IGA_BD[[#This Row],[Work Start TimeStamp]]-IGA_BD[[#This Row],[Fault Start TimeStamp]])*24</f>
        <v>0</v>
      </c>
      <c r="P384" s="44" t="str">
        <f>IF(IGA_BD[[#This Row],[Work Start TimeStamp]]="","",(IGA_BD[[#This Row],[Fault Clearance time]]-IGA_BD[[#This Row],[Work Start TimeStamp]])*24)</f>
        <v/>
      </c>
      <c r="Q384" s="57">
        <f>(IGA_BD[[#This Row],[Fault Clearance time]]-IGA_BD[[#This Row],[Fault Start TimeStamp]])*24</f>
        <v>0</v>
      </c>
      <c r="R384" s="153"/>
      <c r="S384" s="44"/>
      <c r="T384" s="45" t="str">
        <f>IFERROR(IGA_BD[[#This Row],[Breakdown Time]]*IGA_BD[[#This Row],[Plant Equivalent Weightage]],"")</f>
        <v/>
      </c>
    </row>
    <row r="385" spans="1:20">
      <c r="A385" s="28"/>
      <c r="B385" s="154"/>
      <c r="C385" s="30">
        <f>YEAR(WTG_BD[[#This Row],[Date]])+IF(MONTH(WTG_BD[[#This Row],[Date]])&gt;=4,1,0)</f>
        <v>2026</v>
      </c>
      <c r="D385" s="31">
        <f>YEAR(IGA_BD[[#This Row],[Date]])</f>
        <v>1900</v>
      </c>
      <c r="E385" s="48">
        <f t="shared" si="8"/>
        <v>1</v>
      </c>
      <c r="F385" s="32"/>
      <c r="G385" s="33"/>
      <c r="H385" s="43" t="str">
        <f>IFERROR(VLOOKUP(IGA_BD[[#This Row],[Affected Feeder ]],'Basic Data'!$A$42:$E$53,2,0),"")</f>
        <v/>
      </c>
      <c r="I385" s="43" t="str">
        <f>IFERROR(VLOOKUP(IGA_BD[[#This Row],[Affected Feeder ]],'Basic Data'!$A$42:$E$53,3,0),"")</f>
        <v/>
      </c>
      <c r="J385" s="43" t="str">
        <f>IFERROR(VLOOKUP(IGA_BD[[#This Row],[Affected Feeder ]],'Basic Data'!$A$42:$E$53,5,0),"")</f>
        <v/>
      </c>
      <c r="K385" s="164"/>
      <c r="L385" s="50"/>
      <c r="M385" s="116"/>
      <c r="N385" s="116"/>
      <c r="O385" s="57">
        <f>(IGA_BD[[#This Row],[Work Start TimeStamp]]-IGA_BD[[#This Row],[Fault Start TimeStamp]])*24</f>
        <v>0</v>
      </c>
      <c r="P385" s="44" t="str">
        <f>IF(IGA_BD[[#This Row],[Work Start TimeStamp]]="","",(IGA_BD[[#This Row],[Fault Clearance time]]-IGA_BD[[#This Row],[Work Start TimeStamp]])*24)</f>
        <v/>
      </c>
      <c r="Q385" s="57">
        <f>(IGA_BD[[#This Row],[Fault Clearance time]]-IGA_BD[[#This Row],[Fault Start TimeStamp]])*24</f>
        <v>0</v>
      </c>
      <c r="R385" s="153"/>
      <c r="S385" s="44"/>
      <c r="T385" s="45" t="str">
        <f>IFERROR(IGA_BD[[#This Row],[Breakdown Time]]*IGA_BD[[#This Row],[Plant Equivalent Weightage]],"")</f>
        <v/>
      </c>
    </row>
    <row r="386" spans="1:20">
      <c r="A386" s="28"/>
      <c r="B386" s="154"/>
      <c r="C386" s="30">
        <f>YEAR(WTG_BD[[#This Row],[Date]])+IF(MONTH(WTG_BD[[#This Row],[Date]])&gt;=4,1,0)</f>
        <v>2026</v>
      </c>
      <c r="D386" s="31">
        <f>YEAR(IGA_BD[[#This Row],[Date]])</f>
        <v>1900</v>
      </c>
      <c r="E386" s="48">
        <f t="shared" si="8"/>
        <v>1</v>
      </c>
      <c r="F386" s="32"/>
      <c r="G386" s="33"/>
      <c r="H386" s="43" t="str">
        <f>IFERROR(VLOOKUP(IGA_BD[[#This Row],[Affected Feeder ]],'Basic Data'!$A$42:$E$53,2,0),"")</f>
        <v/>
      </c>
      <c r="I386" s="43" t="str">
        <f>IFERROR(VLOOKUP(IGA_BD[[#This Row],[Affected Feeder ]],'Basic Data'!$A$42:$E$53,3,0),"")</f>
        <v/>
      </c>
      <c r="J386" s="43" t="str">
        <f>IFERROR(VLOOKUP(IGA_BD[[#This Row],[Affected Feeder ]],'Basic Data'!$A$42:$E$53,5,0),"")</f>
        <v/>
      </c>
      <c r="K386" s="164"/>
      <c r="L386" s="50"/>
      <c r="M386" s="116"/>
      <c r="N386" s="116"/>
      <c r="O386" s="57">
        <f>(IGA_BD[[#This Row],[Work Start TimeStamp]]-IGA_BD[[#This Row],[Fault Start TimeStamp]])*24</f>
        <v>0</v>
      </c>
      <c r="P386" s="44" t="str">
        <f>IF(IGA_BD[[#This Row],[Work Start TimeStamp]]="","",(IGA_BD[[#This Row],[Fault Clearance time]]-IGA_BD[[#This Row],[Work Start TimeStamp]])*24)</f>
        <v/>
      </c>
      <c r="Q386" s="57">
        <f>(IGA_BD[[#This Row],[Fault Clearance time]]-IGA_BD[[#This Row],[Fault Start TimeStamp]])*24</f>
        <v>0</v>
      </c>
      <c r="R386" s="153"/>
      <c r="S386" s="44"/>
      <c r="T386" s="45" t="str">
        <f>IFERROR(IGA_BD[[#This Row],[Breakdown Time]]*IGA_BD[[#This Row],[Plant Equivalent Weightage]],"")</f>
        <v/>
      </c>
    </row>
    <row r="387" spans="1:20">
      <c r="A387" s="28"/>
      <c r="B387" s="154"/>
      <c r="C387" s="30">
        <f>YEAR(WTG_BD[[#This Row],[Date]])+IF(MONTH(WTG_BD[[#This Row],[Date]])&gt;=4,1,0)</f>
        <v>2026</v>
      </c>
      <c r="D387" s="31">
        <f>YEAR(IGA_BD[[#This Row],[Date]])</f>
        <v>1900</v>
      </c>
      <c r="E387" s="48">
        <f t="shared" si="8"/>
        <v>1</v>
      </c>
      <c r="F387" s="32"/>
      <c r="G387" s="33"/>
      <c r="H387" s="43" t="str">
        <f>IFERROR(VLOOKUP(IGA_BD[[#This Row],[Affected Feeder ]],'Basic Data'!$A$42:$E$53,2,0),"")</f>
        <v/>
      </c>
      <c r="I387" s="43" t="str">
        <f>IFERROR(VLOOKUP(IGA_BD[[#This Row],[Affected Feeder ]],'Basic Data'!$A$42:$E$53,3,0),"")</f>
        <v/>
      </c>
      <c r="J387" s="43" t="str">
        <f>IFERROR(VLOOKUP(IGA_BD[[#This Row],[Affected Feeder ]],'Basic Data'!$A$42:$E$53,5,0),"")</f>
        <v/>
      </c>
      <c r="K387" s="164"/>
      <c r="L387" s="50"/>
      <c r="M387" s="116"/>
      <c r="N387" s="116"/>
      <c r="O387" s="57">
        <f>(IGA_BD[[#This Row],[Work Start TimeStamp]]-IGA_BD[[#This Row],[Fault Start TimeStamp]])*24</f>
        <v>0</v>
      </c>
      <c r="P387" s="44" t="str">
        <f>IF(IGA_BD[[#This Row],[Work Start TimeStamp]]="","",(IGA_BD[[#This Row],[Fault Clearance time]]-IGA_BD[[#This Row],[Work Start TimeStamp]])*24)</f>
        <v/>
      </c>
      <c r="Q387" s="57">
        <f>(IGA_BD[[#This Row],[Fault Clearance time]]-IGA_BD[[#This Row],[Fault Start TimeStamp]])*24</f>
        <v>0</v>
      </c>
      <c r="R387" s="153"/>
      <c r="S387" s="44"/>
      <c r="T387" s="45" t="str">
        <f>IFERROR(IGA_BD[[#This Row],[Breakdown Time]]*IGA_BD[[#This Row],[Plant Equivalent Weightage]],"")</f>
        <v/>
      </c>
    </row>
    <row r="388" spans="1:20">
      <c r="A388" s="28"/>
      <c r="B388" s="154"/>
      <c r="C388" s="30">
        <f>YEAR(WTG_BD[[#This Row],[Date]])+IF(MONTH(WTG_BD[[#This Row],[Date]])&gt;=4,1,0)</f>
        <v>2026</v>
      </c>
      <c r="D388" s="31">
        <f>YEAR(IGA_BD[[#This Row],[Date]])</f>
        <v>1900</v>
      </c>
      <c r="E388" s="48">
        <f t="shared" si="8"/>
        <v>1</v>
      </c>
      <c r="F388" s="32"/>
      <c r="G388" s="33"/>
      <c r="H388" s="43" t="str">
        <f>IFERROR(VLOOKUP(IGA_BD[[#This Row],[Affected Feeder ]],'Basic Data'!$A$42:$E$53,2,0),"")</f>
        <v/>
      </c>
      <c r="I388" s="43" t="str">
        <f>IFERROR(VLOOKUP(IGA_BD[[#This Row],[Affected Feeder ]],'Basic Data'!$A$42:$E$53,3,0),"")</f>
        <v/>
      </c>
      <c r="J388" s="43" t="str">
        <f>IFERROR(VLOOKUP(IGA_BD[[#This Row],[Affected Feeder ]],'Basic Data'!$A$42:$E$53,5,0),"")</f>
        <v/>
      </c>
      <c r="K388" s="164"/>
      <c r="L388" s="50"/>
      <c r="M388" s="116"/>
      <c r="N388" s="116"/>
      <c r="O388" s="57">
        <f>(IGA_BD[[#This Row],[Work Start TimeStamp]]-IGA_BD[[#This Row],[Fault Start TimeStamp]])*24</f>
        <v>0</v>
      </c>
      <c r="P388" s="44" t="str">
        <f>IF(IGA_BD[[#This Row],[Work Start TimeStamp]]="","",(IGA_BD[[#This Row],[Fault Clearance time]]-IGA_BD[[#This Row],[Work Start TimeStamp]])*24)</f>
        <v/>
      </c>
      <c r="Q388" s="57">
        <f>(IGA_BD[[#This Row],[Fault Clearance time]]-IGA_BD[[#This Row],[Fault Start TimeStamp]])*24</f>
        <v>0</v>
      </c>
      <c r="R388" s="153"/>
      <c r="S388" s="44"/>
      <c r="T388" s="45" t="str">
        <f>IFERROR(IGA_BD[[#This Row],[Breakdown Time]]*IGA_BD[[#This Row],[Plant Equivalent Weightage]],"")</f>
        <v/>
      </c>
    </row>
    <row r="389" spans="1:20">
      <c r="A389" s="28"/>
      <c r="B389" s="154"/>
      <c r="C389" s="30">
        <f>YEAR(WTG_BD[[#This Row],[Date]])+IF(MONTH(WTG_BD[[#This Row],[Date]])&gt;=4,1,0)</f>
        <v>2026</v>
      </c>
      <c r="D389" s="31">
        <f>YEAR(IGA_BD[[#This Row],[Date]])</f>
        <v>1900</v>
      </c>
      <c r="E389" s="48">
        <f t="shared" si="8"/>
        <v>1</v>
      </c>
      <c r="F389" s="32"/>
      <c r="G389" s="33"/>
      <c r="H389" s="43" t="str">
        <f>IFERROR(VLOOKUP(IGA_BD[[#This Row],[Affected Feeder ]],'Basic Data'!$A$42:$E$53,2,0),"")</f>
        <v/>
      </c>
      <c r="I389" s="43" t="str">
        <f>IFERROR(VLOOKUP(IGA_BD[[#This Row],[Affected Feeder ]],'Basic Data'!$A$42:$E$53,3,0),"")</f>
        <v/>
      </c>
      <c r="J389" s="43" t="str">
        <f>IFERROR(VLOOKUP(IGA_BD[[#This Row],[Affected Feeder ]],'Basic Data'!$A$42:$E$53,5,0),"")</f>
        <v/>
      </c>
      <c r="K389" s="164"/>
      <c r="L389" s="50"/>
      <c r="M389" s="116"/>
      <c r="N389" s="116"/>
      <c r="O389" s="57">
        <f>(IGA_BD[[#This Row],[Work Start TimeStamp]]-IGA_BD[[#This Row],[Fault Start TimeStamp]])*24</f>
        <v>0</v>
      </c>
      <c r="P389" s="44" t="str">
        <f>IF(IGA_BD[[#This Row],[Work Start TimeStamp]]="","",(IGA_BD[[#This Row],[Fault Clearance time]]-IGA_BD[[#This Row],[Work Start TimeStamp]])*24)</f>
        <v/>
      </c>
      <c r="Q389" s="57">
        <f>(IGA_BD[[#This Row],[Fault Clearance time]]-IGA_BD[[#This Row],[Fault Start TimeStamp]])*24</f>
        <v>0</v>
      </c>
      <c r="R389" s="153"/>
      <c r="S389" s="44"/>
      <c r="T389" s="45" t="str">
        <f>IFERROR(IGA_BD[[#This Row],[Breakdown Time]]*IGA_BD[[#This Row],[Plant Equivalent Weightage]],"")</f>
        <v/>
      </c>
    </row>
    <row r="390" spans="1:20">
      <c r="A390" s="28"/>
      <c r="B390" s="154"/>
      <c r="C390" s="30">
        <f>YEAR(WTG_BD[[#This Row],[Date]])+IF(MONTH(WTG_BD[[#This Row],[Date]])&gt;=4,1,0)</f>
        <v>2026</v>
      </c>
      <c r="D390" s="31">
        <f>YEAR(IGA_BD[[#This Row],[Date]])</f>
        <v>1900</v>
      </c>
      <c r="E390" s="48">
        <f t="shared" si="8"/>
        <v>1</v>
      </c>
      <c r="F390" s="32"/>
      <c r="G390" s="33"/>
      <c r="H390" s="43" t="str">
        <f>IFERROR(VLOOKUP(IGA_BD[[#This Row],[Affected Feeder ]],'Basic Data'!$A$42:$E$53,2,0),"")</f>
        <v/>
      </c>
      <c r="I390" s="43" t="str">
        <f>IFERROR(VLOOKUP(IGA_BD[[#This Row],[Affected Feeder ]],'Basic Data'!$A$42:$E$53,3,0),"")</f>
        <v/>
      </c>
      <c r="J390" s="43" t="str">
        <f>IFERROR(VLOOKUP(IGA_BD[[#This Row],[Affected Feeder ]],'Basic Data'!$A$42:$E$53,5,0),"")</f>
        <v/>
      </c>
      <c r="K390" s="164"/>
      <c r="L390" s="50"/>
      <c r="M390" s="116"/>
      <c r="N390" s="116"/>
      <c r="O390" s="57">
        <f>(IGA_BD[[#This Row],[Work Start TimeStamp]]-IGA_BD[[#This Row],[Fault Start TimeStamp]])*24</f>
        <v>0</v>
      </c>
      <c r="P390" s="44" t="str">
        <f>IF(IGA_BD[[#This Row],[Work Start TimeStamp]]="","",(IGA_BD[[#This Row],[Fault Clearance time]]-IGA_BD[[#This Row],[Work Start TimeStamp]])*24)</f>
        <v/>
      </c>
      <c r="Q390" s="57">
        <f>(IGA_BD[[#This Row],[Fault Clearance time]]-IGA_BD[[#This Row],[Fault Start TimeStamp]])*24</f>
        <v>0</v>
      </c>
      <c r="R390" s="153"/>
      <c r="S390" s="44"/>
      <c r="T390" s="45" t="str">
        <f>IFERROR(IGA_BD[[#This Row],[Breakdown Time]]*IGA_BD[[#This Row],[Plant Equivalent Weightage]],"")</f>
        <v/>
      </c>
    </row>
    <row r="391" spans="1:20">
      <c r="A391" s="28"/>
      <c r="B391" s="154"/>
      <c r="C391" s="30">
        <f>YEAR(WTG_BD[[#This Row],[Date]])+IF(MONTH(WTG_BD[[#This Row],[Date]])&gt;=4,1,0)</f>
        <v>2026</v>
      </c>
      <c r="D391" s="31">
        <f>YEAR(IGA_BD[[#This Row],[Date]])</f>
        <v>1900</v>
      </c>
      <c r="E391" s="48">
        <f t="shared" si="8"/>
        <v>1</v>
      </c>
      <c r="F391" s="32"/>
      <c r="G391" s="33"/>
      <c r="H391" s="43" t="str">
        <f>IFERROR(VLOOKUP(IGA_BD[[#This Row],[Affected Feeder ]],'Basic Data'!$A$42:$E$53,2,0),"")</f>
        <v/>
      </c>
      <c r="I391" s="43" t="str">
        <f>IFERROR(VLOOKUP(IGA_BD[[#This Row],[Affected Feeder ]],'Basic Data'!$A$42:$E$53,3,0),"")</f>
        <v/>
      </c>
      <c r="J391" s="43" t="str">
        <f>IFERROR(VLOOKUP(IGA_BD[[#This Row],[Affected Feeder ]],'Basic Data'!$A$42:$E$53,5,0),"")</f>
        <v/>
      </c>
      <c r="K391" s="164"/>
      <c r="L391" s="50"/>
      <c r="M391" s="116"/>
      <c r="N391" s="116"/>
      <c r="O391" s="57">
        <f>(IGA_BD[[#This Row],[Work Start TimeStamp]]-IGA_BD[[#This Row],[Fault Start TimeStamp]])*24</f>
        <v>0</v>
      </c>
      <c r="P391" s="44" t="str">
        <f>IF(IGA_BD[[#This Row],[Work Start TimeStamp]]="","",(IGA_BD[[#This Row],[Fault Clearance time]]-IGA_BD[[#This Row],[Work Start TimeStamp]])*24)</f>
        <v/>
      </c>
      <c r="Q391" s="57">
        <f>(IGA_BD[[#This Row],[Fault Clearance time]]-IGA_BD[[#This Row],[Fault Start TimeStamp]])*24</f>
        <v>0</v>
      </c>
      <c r="R391" s="153"/>
      <c r="S391" s="44"/>
      <c r="T391" s="45" t="str">
        <f>IFERROR(IGA_BD[[#This Row],[Breakdown Time]]*IGA_BD[[#This Row],[Plant Equivalent Weightage]],"")</f>
        <v/>
      </c>
    </row>
    <row r="392" spans="1:20">
      <c r="A392" s="28"/>
      <c r="B392" s="154"/>
      <c r="C392" s="30">
        <f>YEAR(WTG_BD[[#This Row],[Date]])+IF(MONTH(WTG_BD[[#This Row],[Date]])&gt;=4,1,0)</f>
        <v>2026</v>
      </c>
      <c r="D392" s="31">
        <f>YEAR(IGA_BD[[#This Row],[Date]])</f>
        <v>1900</v>
      </c>
      <c r="E392" s="48">
        <f t="shared" si="8"/>
        <v>1</v>
      </c>
      <c r="F392" s="32"/>
      <c r="G392" s="33"/>
      <c r="H392" s="43" t="str">
        <f>IFERROR(VLOOKUP(IGA_BD[[#This Row],[Affected Feeder ]],'Basic Data'!$A$42:$E$53,2,0),"")</f>
        <v/>
      </c>
      <c r="I392" s="43" t="str">
        <f>IFERROR(VLOOKUP(IGA_BD[[#This Row],[Affected Feeder ]],'Basic Data'!$A$42:$E$53,3,0),"")</f>
        <v/>
      </c>
      <c r="J392" s="43" t="str">
        <f>IFERROR(VLOOKUP(IGA_BD[[#This Row],[Affected Feeder ]],'Basic Data'!$A$42:$E$53,5,0),"")</f>
        <v/>
      </c>
      <c r="K392" s="164"/>
      <c r="L392" s="50"/>
      <c r="M392" s="116"/>
      <c r="N392" s="116"/>
      <c r="O392" s="57">
        <f>(IGA_BD[[#This Row],[Work Start TimeStamp]]-IGA_BD[[#This Row],[Fault Start TimeStamp]])*24</f>
        <v>0</v>
      </c>
      <c r="P392" s="44" t="str">
        <f>IF(IGA_BD[[#This Row],[Work Start TimeStamp]]="","",(IGA_BD[[#This Row],[Fault Clearance time]]-IGA_BD[[#This Row],[Work Start TimeStamp]])*24)</f>
        <v/>
      </c>
      <c r="Q392" s="57">
        <f>(IGA_BD[[#This Row],[Fault Clearance time]]-IGA_BD[[#This Row],[Fault Start TimeStamp]])*24</f>
        <v>0</v>
      </c>
      <c r="R392" s="153"/>
      <c r="S392" s="44"/>
      <c r="T392" s="45" t="str">
        <f>IFERROR(IGA_BD[[#This Row],[Breakdown Time]]*IGA_BD[[#This Row],[Plant Equivalent Weightage]],"")</f>
        <v/>
      </c>
    </row>
    <row r="393" spans="1:20">
      <c r="A393" s="28"/>
      <c r="B393" s="154"/>
      <c r="C393" s="30">
        <f>YEAR(WTG_BD[[#This Row],[Date]])+IF(MONTH(WTG_BD[[#This Row],[Date]])&gt;=4,1,0)</f>
        <v>2026</v>
      </c>
      <c r="D393" s="31">
        <f>YEAR(IGA_BD[[#This Row],[Date]])</f>
        <v>1900</v>
      </c>
      <c r="E393" s="48">
        <f t="shared" si="8"/>
        <v>1</v>
      </c>
      <c r="F393" s="32"/>
      <c r="G393" s="33"/>
      <c r="H393" s="43" t="str">
        <f>IFERROR(VLOOKUP(IGA_BD[[#This Row],[Affected Feeder ]],'Basic Data'!$A$42:$E$53,2,0),"")</f>
        <v/>
      </c>
      <c r="I393" s="43" t="str">
        <f>IFERROR(VLOOKUP(IGA_BD[[#This Row],[Affected Feeder ]],'Basic Data'!$A$42:$E$53,3,0),"")</f>
        <v/>
      </c>
      <c r="J393" s="43" t="str">
        <f>IFERROR(VLOOKUP(IGA_BD[[#This Row],[Affected Feeder ]],'Basic Data'!$A$42:$E$53,5,0),"")</f>
        <v/>
      </c>
      <c r="K393" s="164"/>
      <c r="L393" s="50"/>
      <c r="M393" s="116"/>
      <c r="N393" s="116"/>
      <c r="O393" s="57">
        <f>(IGA_BD[[#This Row],[Work Start TimeStamp]]-IGA_BD[[#This Row],[Fault Start TimeStamp]])*24</f>
        <v>0</v>
      </c>
      <c r="P393" s="44" t="str">
        <f>IF(IGA_BD[[#This Row],[Work Start TimeStamp]]="","",(IGA_BD[[#This Row],[Fault Clearance time]]-IGA_BD[[#This Row],[Work Start TimeStamp]])*24)</f>
        <v/>
      </c>
      <c r="Q393" s="57">
        <f>(IGA_BD[[#This Row],[Fault Clearance time]]-IGA_BD[[#This Row],[Fault Start TimeStamp]])*24</f>
        <v>0</v>
      </c>
      <c r="R393" s="153"/>
      <c r="S393" s="44"/>
      <c r="T393" s="45" t="str">
        <f>IFERROR(IGA_BD[[#This Row],[Breakdown Time]]*IGA_BD[[#This Row],[Plant Equivalent Weightage]],"")</f>
        <v/>
      </c>
    </row>
    <row r="394" spans="1:20">
      <c r="A394" s="28"/>
      <c r="B394" s="154"/>
      <c r="C394" s="30">
        <f>YEAR(WTG_BD[[#This Row],[Date]])+IF(MONTH(WTG_BD[[#This Row],[Date]])&gt;=4,1,0)</f>
        <v>2026</v>
      </c>
      <c r="D394" s="31">
        <f>YEAR(IGA_BD[[#This Row],[Date]])</f>
        <v>1900</v>
      </c>
      <c r="E394" s="48">
        <f t="shared" si="8"/>
        <v>1</v>
      </c>
      <c r="F394" s="32"/>
      <c r="G394" s="33"/>
      <c r="H394" s="43" t="str">
        <f>IFERROR(VLOOKUP(IGA_BD[[#This Row],[Affected Feeder ]],'Basic Data'!$A$42:$E$53,2,0),"")</f>
        <v/>
      </c>
      <c r="I394" s="43" t="str">
        <f>IFERROR(VLOOKUP(IGA_BD[[#This Row],[Affected Feeder ]],'Basic Data'!$A$42:$E$53,3,0),"")</f>
        <v/>
      </c>
      <c r="J394" s="43" t="str">
        <f>IFERROR(VLOOKUP(IGA_BD[[#This Row],[Affected Feeder ]],'Basic Data'!$A$42:$E$53,5,0),"")</f>
        <v/>
      </c>
      <c r="K394" s="164"/>
      <c r="L394" s="50"/>
      <c r="M394" s="116"/>
      <c r="N394" s="116"/>
      <c r="O394" s="57">
        <f>(IGA_BD[[#This Row],[Work Start TimeStamp]]-IGA_BD[[#This Row],[Fault Start TimeStamp]])*24</f>
        <v>0</v>
      </c>
      <c r="P394" s="44" t="str">
        <f>IF(IGA_BD[[#This Row],[Work Start TimeStamp]]="","",(IGA_BD[[#This Row],[Fault Clearance time]]-IGA_BD[[#This Row],[Work Start TimeStamp]])*24)</f>
        <v/>
      </c>
      <c r="Q394" s="57">
        <f>(IGA_BD[[#This Row],[Fault Clearance time]]-IGA_BD[[#This Row],[Fault Start TimeStamp]])*24</f>
        <v>0</v>
      </c>
      <c r="R394" s="153"/>
      <c r="S394" s="44"/>
      <c r="T394" s="45" t="str">
        <f>IFERROR(IGA_BD[[#This Row],[Breakdown Time]]*IGA_BD[[#This Row],[Plant Equivalent Weightage]],"")</f>
        <v/>
      </c>
    </row>
    <row r="395" spans="1:20">
      <c r="A395" s="28"/>
      <c r="B395" s="154"/>
      <c r="C395" s="30">
        <f>YEAR(WTG_BD[[#This Row],[Date]])+IF(MONTH(WTG_BD[[#This Row],[Date]])&gt;=4,1,0)</f>
        <v>2026</v>
      </c>
      <c r="D395" s="31">
        <f>YEAR(IGA_BD[[#This Row],[Date]])</f>
        <v>1900</v>
      </c>
      <c r="E395" s="48">
        <f t="shared" si="8"/>
        <v>1</v>
      </c>
      <c r="F395" s="32"/>
      <c r="G395" s="33"/>
      <c r="H395" s="43" t="str">
        <f>IFERROR(VLOOKUP(IGA_BD[[#This Row],[Affected Feeder ]],'Basic Data'!$A$42:$E$53,2,0),"")</f>
        <v/>
      </c>
      <c r="I395" s="43" t="str">
        <f>IFERROR(VLOOKUP(IGA_BD[[#This Row],[Affected Feeder ]],'Basic Data'!$A$42:$E$53,3,0),"")</f>
        <v/>
      </c>
      <c r="J395" s="43" t="str">
        <f>IFERROR(VLOOKUP(IGA_BD[[#This Row],[Affected Feeder ]],'Basic Data'!$A$42:$E$53,5,0),"")</f>
        <v/>
      </c>
      <c r="K395" s="164"/>
      <c r="L395" s="50"/>
      <c r="M395" s="116"/>
      <c r="N395" s="116"/>
      <c r="O395" s="57">
        <f>(IGA_BD[[#This Row],[Work Start TimeStamp]]-IGA_BD[[#This Row],[Fault Start TimeStamp]])*24</f>
        <v>0</v>
      </c>
      <c r="P395" s="44" t="str">
        <f>IF(IGA_BD[[#This Row],[Work Start TimeStamp]]="","",(IGA_BD[[#This Row],[Fault Clearance time]]-IGA_BD[[#This Row],[Work Start TimeStamp]])*24)</f>
        <v/>
      </c>
      <c r="Q395" s="57">
        <f>(IGA_BD[[#This Row],[Fault Clearance time]]-IGA_BD[[#This Row],[Fault Start TimeStamp]])*24</f>
        <v>0</v>
      </c>
      <c r="R395" s="153"/>
      <c r="S395" s="44"/>
      <c r="T395" s="45" t="str">
        <f>IFERROR(IGA_BD[[#This Row],[Breakdown Time]]*IGA_BD[[#This Row],[Plant Equivalent Weightage]],"")</f>
        <v/>
      </c>
    </row>
    <row r="396" spans="1:20">
      <c r="A396" s="28"/>
      <c r="B396" s="154"/>
      <c r="C396" s="30">
        <f>YEAR(WTG_BD[[#This Row],[Date]])+IF(MONTH(WTG_BD[[#This Row],[Date]])&gt;=4,1,0)</f>
        <v>2026</v>
      </c>
      <c r="D396" s="31">
        <f>YEAR(IGA_BD[[#This Row],[Date]])</f>
        <v>1900</v>
      </c>
      <c r="E396" s="48">
        <f t="shared" si="8"/>
        <v>1</v>
      </c>
      <c r="F396" s="32"/>
      <c r="G396" s="33"/>
      <c r="H396" s="43" t="str">
        <f>IFERROR(VLOOKUP(IGA_BD[[#This Row],[Affected Feeder ]],'Basic Data'!$A$42:$E$53,2,0),"")</f>
        <v/>
      </c>
      <c r="I396" s="43" t="str">
        <f>IFERROR(VLOOKUP(IGA_BD[[#This Row],[Affected Feeder ]],'Basic Data'!$A$42:$E$53,3,0),"")</f>
        <v/>
      </c>
      <c r="J396" s="43" t="str">
        <f>IFERROR(VLOOKUP(IGA_BD[[#This Row],[Affected Feeder ]],'Basic Data'!$A$42:$E$53,5,0),"")</f>
        <v/>
      </c>
      <c r="K396" s="164"/>
      <c r="L396" s="50"/>
      <c r="M396" s="116"/>
      <c r="N396" s="116"/>
      <c r="O396" s="57">
        <f>(IGA_BD[[#This Row],[Work Start TimeStamp]]-IGA_BD[[#This Row],[Fault Start TimeStamp]])*24</f>
        <v>0</v>
      </c>
      <c r="P396" s="44" t="str">
        <f>IF(IGA_BD[[#This Row],[Work Start TimeStamp]]="","",(IGA_BD[[#This Row],[Fault Clearance time]]-IGA_BD[[#This Row],[Work Start TimeStamp]])*24)</f>
        <v/>
      </c>
      <c r="Q396" s="57">
        <f>(IGA_BD[[#This Row],[Fault Clearance time]]-IGA_BD[[#This Row],[Fault Start TimeStamp]])*24</f>
        <v>0</v>
      </c>
      <c r="R396" s="153"/>
      <c r="S396" s="44"/>
      <c r="T396" s="45" t="str">
        <f>IFERROR(IGA_BD[[#This Row],[Breakdown Time]]*IGA_BD[[#This Row],[Plant Equivalent Weightage]],"")</f>
        <v/>
      </c>
    </row>
    <row r="397" spans="1:20">
      <c r="A397" s="28"/>
      <c r="B397" s="154"/>
      <c r="C397" s="30">
        <f>YEAR(WTG_BD[[#This Row],[Date]])+IF(MONTH(WTG_BD[[#This Row],[Date]])&gt;=4,1,0)</f>
        <v>2026</v>
      </c>
      <c r="D397" s="31">
        <f>YEAR(IGA_BD[[#This Row],[Date]])</f>
        <v>1900</v>
      </c>
      <c r="E397" s="48">
        <f t="shared" si="8"/>
        <v>1</v>
      </c>
      <c r="F397" s="32"/>
      <c r="G397" s="33"/>
      <c r="H397" s="43" t="str">
        <f>IFERROR(VLOOKUP(IGA_BD[[#This Row],[Affected Feeder ]],'Basic Data'!$A$42:$E$53,2,0),"")</f>
        <v/>
      </c>
      <c r="I397" s="43" t="str">
        <f>IFERROR(VLOOKUP(IGA_BD[[#This Row],[Affected Feeder ]],'Basic Data'!$A$42:$E$53,3,0),"")</f>
        <v/>
      </c>
      <c r="J397" s="43" t="str">
        <f>IFERROR(VLOOKUP(IGA_BD[[#This Row],[Affected Feeder ]],'Basic Data'!$A$42:$E$53,5,0),"")</f>
        <v/>
      </c>
      <c r="K397" s="164"/>
      <c r="L397" s="50"/>
      <c r="M397" s="116"/>
      <c r="N397" s="116"/>
      <c r="O397" s="57">
        <f>(IGA_BD[[#This Row],[Work Start TimeStamp]]-IGA_BD[[#This Row],[Fault Start TimeStamp]])*24</f>
        <v>0</v>
      </c>
      <c r="P397" s="44" t="str">
        <f>IF(IGA_BD[[#This Row],[Work Start TimeStamp]]="","",(IGA_BD[[#This Row],[Fault Clearance time]]-IGA_BD[[#This Row],[Work Start TimeStamp]])*24)</f>
        <v/>
      </c>
      <c r="Q397" s="57">
        <f>(IGA_BD[[#This Row],[Fault Clearance time]]-IGA_BD[[#This Row],[Fault Start TimeStamp]])*24</f>
        <v>0</v>
      </c>
      <c r="R397" s="153"/>
      <c r="S397" s="44"/>
      <c r="T397" s="45" t="str">
        <f>IFERROR(IGA_BD[[#This Row],[Breakdown Time]]*IGA_BD[[#This Row],[Plant Equivalent Weightage]],"")</f>
        <v/>
      </c>
    </row>
    <row r="398" spans="1:20">
      <c r="A398" s="28"/>
      <c r="B398" s="154"/>
      <c r="C398" s="30">
        <f>YEAR(WTG_BD[[#This Row],[Date]])+IF(MONTH(WTG_BD[[#This Row],[Date]])&gt;=4,1,0)</f>
        <v>2026</v>
      </c>
      <c r="D398" s="31">
        <f>YEAR(IGA_BD[[#This Row],[Date]])</f>
        <v>1900</v>
      </c>
      <c r="E398" s="48">
        <f t="shared" si="8"/>
        <v>1</v>
      </c>
      <c r="F398" s="32"/>
      <c r="G398" s="33"/>
      <c r="H398" s="43" t="str">
        <f>IFERROR(VLOOKUP(IGA_BD[[#This Row],[Affected Feeder ]],'Basic Data'!$A$42:$E$53,2,0),"")</f>
        <v/>
      </c>
      <c r="I398" s="43" t="str">
        <f>IFERROR(VLOOKUP(IGA_BD[[#This Row],[Affected Feeder ]],'Basic Data'!$A$42:$E$53,3,0),"")</f>
        <v/>
      </c>
      <c r="J398" s="43" t="str">
        <f>IFERROR(VLOOKUP(IGA_BD[[#This Row],[Affected Feeder ]],'Basic Data'!$A$42:$E$53,5,0),"")</f>
        <v/>
      </c>
      <c r="K398" s="164"/>
      <c r="L398" s="50"/>
      <c r="M398" s="116"/>
      <c r="N398" s="116"/>
      <c r="O398" s="57">
        <f>(IGA_BD[[#This Row],[Work Start TimeStamp]]-IGA_BD[[#This Row],[Fault Start TimeStamp]])*24</f>
        <v>0</v>
      </c>
      <c r="P398" s="44" t="str">
        <f>IF(IGA_BD[[#This Row],[Work Start TimeStamp]]="","",(IGA_BD[[#This Row],[Fault Clearance time]]-IGA_BD[[#This Row],[Work Start TimeStamp]])*24)</f>
        <v/>
      </c>
      <c r="Q398" s="57">
        <f>(IGA_BD[[#This Row],[Fault Clearance time]]-IGA_BD[[#This Row],[Fault Start TimeStamp]])*24</f>
        <v>0</v>
      </c>
      <c r="R398" s="153"/>
      <c r="S398" s="44"/>
      <c r="T398" s="45" t="str">
        <f>IFERROR(IGA_BD[[#This Row],[Breakdown Time]]*IGA_BD[[#This Row],[Plant Equivalent Weightage]],"")</f>
        <v/>
      </c>
    </row>
    <row r="399" spans="1:20">
      <c r="A399" s="28"/>
      <c r="B399" s="154"/>
      <c r="C399" s="30">
        <f>YEAR(WTG_BD[[#This Row],[Date]])+IF(MONTH(WTG_BD[[#This Row],[Date]])&gt;=4,1,0)</f>
        <v>2026</v>
      </c>
      <c r="D399" s="31">
        <f>YEAR(IGA_BD[[#This Row],[Date]])</f>
        <v>1900</v>
      </c>
      <c r="E399" s="48">
        <f t="shared" si="8"/>
        <v>1</v>
      </c>
      <c r="F399" s="32"/>
      <c r="G399" s="33"/>
      <c r="H399" s="43" t="str">
        <f>IFERROR(VLOOKUP(IGA_BD[[#This Row],[Affected Feeder ]],'Basic Data'!$A$42:$E$53,2,0),"")</f>
        <v/>
      </c>
      <c r="I399" s="43" t="str">
        <f>IFERROR(VLOOKUP(IGA_BD[[#This Row],[Affected Feeder ]],'Basic Data'!$A$42:$E$53,3,0),"")</f>
        <v/>
      </c>
      <c r="J399" s="43" t="str">
        <f>IFERROR(VLOOKUP(IGA_BD[[#This Row],[Affected Feeder ]],'Basic Data'!$A$42:$E$53,5,0),"")</f>
        <v/>
      </c>
      <c r="K399" s="164"/>
      <c r="L399" s="50"/>
      <c r="M399" s="116"/>
      <c r="N399" s="116"/>
      <c r="O399" s="57">
        <f>(IGA_BD[[#This Row],[Work Start TimeStamp]]-IGA_BD[[#This Row],[Fault Start TimeStamp]])*24</f>
        <v>0</v>
      </c>
      <c r="P399" s="44" t="str">
        <f>IF(IGA_BD[[#This Row],[Work Start TimeStamp]]="","",(IGA_BD[[#This Row],[Fault Clearance time]]-IGA_BD[[#This Row],[Work Start TimeStamp]])*24)</f>
        <v/>
      </c>
      <c r="Q399" s="57">
        <f>(IGA_BD[[#This Row],[Fault Clearance time]]-IGA_BD[[#This Row],[Fault Start TimeStamp]])*24</f>
        <v>0</v>
      </c>
      <c r="R399" s="153"/>
      <c r="S399" s="44"/>
      <c r="T399" s="45" t="str">
        <f>IFERROR(IGA_BD[[#This Row],[Breakdown Time]]*IGA_BD[[#This Row],[Plant Equivalent Weightage]],"")</f>
        <v/>
      </c>
    </row>
    <row r="400" spans="1:20">
      <c r="A400" s="28"/>
      <c r="B400" s="154"/>
      <c r="C400" s="30">
        <f>YEAR(WTG_BD[[#This Row],[Date]])+IF(MONTH(WTG_BD[[#This Row],[Date]])&gt;=4,1,0)</f>
        <v>2026</v>
      </c>
      <c r="D400" s="31">
        <f>YEAR(IGA_BD[[#This Row],[Date]])</f>
        <v>1900</v>
      </c>
      <c r="E400" s="48">
        <f t="shared" si="8"/>
        <v>1</v>
      </c>
      <c r="F400" s="32"/>
      <c r="G400" s="33"/>
      <c r="H400" s="43" t="str">
        <f>IFERROR(VLOOKUP(IGA_BD[[#This Row],[Affected Feeder ]],'Basic Data'!$A$42:$E$53,2,0),"")</f>
        <v/>
      </c>
      <c r="I400" s="43" t="str">
        <f>IFERROR(VLOOKUP(IGA_BD[[#This Row],[Affected Feeder ]],'Basic Data'!$A$42:$E$53,3,0),"")</f>
        <v/>
      </c>
      <c r="J400" s="43" t="str">
        <f>IFERROR(VLOOKUP(IGA_BD[[#This Row],[Affected Feeder ]],'Basic Data'!$A$42:$E$53,5,0),"")</f>
        <v/>
      </c>
      <c r="K400" s="164"/>
      <c r="L400" s="50"/>
      <c r="M400" s="116"/>
      <c r="N400" s="116"/>
      <c r="O400" s="57">
        <f>(IGA_BD[[#This Row],[Work Start TimeStamp]]-IGA_BD[[#This Row],[Fault Start TimeStamp]])*24</f>
        <v>0</v>
      </c>
      <c r="P400" s="44" t="str">
        <f>IF(IGA_BD[[#This Row],[Work Start TimeStamp]]="","",(IGA_BD[[#This Row],[Fault Clearance time]]-IGA_BD[[#This Row],[Work Start TimeStamp]])*24)</f>
        <v/>
      </c>
      <c r="Q400" s="57">
        <f>(IGA_BD[[#This Row],[Fault Clearance time]]-IGA_BD[[#This Row],[Fault Start TimeStamp]])*24</f>
        <v>0</v>
      </c>
      <c r="R400" s="153"/>
      <c r="S400" s="44"/>
      <c r="T400" s="45" t="str">
        <f>IFERROR(IGA_BD[[#This Row],[Breakdown Time]]*IGA_BD[[#This Row],[Plant Equivalent Weightage]],"")</f>
        <v/>
      </c>
    </row>
    <row r="401" spans="1:20">
      <c r="A401" s="28"/>
      <c r="B401" s="154"/>
      <c r="C401" s="30">
        <f>YEAR(WTG_BD[[#This Row],[Date]])+IF(MONTH(WTG_BD[[#This Row],[Date]])&gt;=4,1,0)</f>
        <v>2026</v>
      </c>
      <c r="D401" s="31">
        <f>YEAR(IGA_BD[[#This Row],[Date]])</f>
        <v>1900</v>
      </c>
      <c r="E401" s="48">
        <f t="shared" si="8"/>
        <v>1</v>
      </c>
      <c r="F401" s="32"/>
      <c r="G401" s="33"/>
      <c r="H401" s="43" t="str">
        <f>IFERROR(VLOOKUP(IGA_BD[[#This Row],[Affected Feeder ]],'Basic Data'!$A$42:$E$53,2,0),"")</f>
        <v/>
      </c>
      <c r="I401" s="43" t="str">
        <f>IFERROR(VLOOKUP(IGA_BD[[#This Row],[Affected Feeder ]],'Basic Data'!$A$42:$E$53,3,0),"")</f>
        <v/>
      </c>
      <c r="J401" s="43" t="str">
        <f>IFERROR(VLOOKUP(IGA_BD[[#This Row],[Affected Feeder ]],'Basic Data'!$A$42:$E$53,5,0),"")</f>
        <v/>
      </c>
      <c r="K401" s="164"/>
      <c r="L401" s="50"/>
      <c r="M401" s="116"/>
      <c r="N401" s="116"/>
      <c r="O401" s="57">
        <f>(IGA_BD[[#This Row],[Work Start TimeStamp]]-IGA_BD[[#This Row],[Fault Start TimeStamp]])*24</f>
        <v>0</v>
      </c>
      <c r="P401" s="44" t="str">
        <f>IF(IGA_BD[[#This Row],[Work Start TimeStamp]]="","",(IGA_BD[[#This Row],[Fault Clearance time]]-IGA_BD[[#This Row],[Work Start TimeStamp]])*24)</f>
        <v/>
      </c>
      <c r="Q401" s="57">
        <f>(IGA_BD[[#This Row],[Fault Clearance time]]-IGA_BD[[#This Row],[Fault Start TimeStamp]])*24</f>
        <v>0</v>
      </c>
      <c r="R401" s="153"/>
      <c r="S401" s="44"/>
      <c r="T401" s="45" t="str">
        <f>IFERROR(IGA_BD[[#This Row],[Breakdown Time]]*IGA_BD[[#This Row],[Plant Equivalent Weightage]],"")</f>
        <v/>
      </c>
    </row>
    <row r="402" spans="1:20">
      <c r="A402" s="28"/>
      <c r="B402" s="154"/>
      <c r="C402" s="30">
        <f>YEAR(WTG_BD[[#This Row],[Date]])+IF(MONTH(WTG_BD[[#This Row],[Date]])&gt;=4,1,0)</f>
        <v>2026</v>
      </c>
      <c r="D402" s="31">
        <f>YEAR(IGA_BD[[#This Row],[Date]])</f>
        <v>1900</v>
      </c>
      <c r="E402" s="48">
        <f t="shared" si="8"/>
        <v>1</v>
      </c>
      <c r="F402" s="32"/>
      <c r="G402" s="33"/>
      <c r="H402" s="43" t="str">
        <f>IFERROR(VLOOKUP(IGA_BD[[#This Row],[Affected Feeder ]],'Basic Data'!$A$42:$E$53,2,0),"")</f>
        <v/>
      </c>
      <c r="I402" s="43" t="str">
        <f>IFERROR(VLOOKUP(IGA_BD[[#This Row],[Affected Feeder ]],'Basic Data'!$A$42:$E$53,3,0),"")</f>
        <v/>
      </c>
      <c r="J402" s="43" t="str">
        <f>IFERROR(VLOOKUP(IGA_BD[[#This Row],[Affected Feeder ]],'Basic Data'!$A$42:$E$53,5,0),"")</f>
        <v/>
      </c>
      <c r="K402" s="164"/>
      <c r="L402" s="50"/>
      <c r="M402" s="116"/>
      <c r="N402" s="116"/>
      <c r="O402" s="57">
        <f>(IGA_BD[[#This Row],[Work Start TimeStamp]]-IGA_BD[[#This Row],[Fault Start TimeStamp]])*24</f>
        <v>0</v>
      </c>
      <c r="P402" s="44" t="str">
        <f>IF(IGA_BD[[#This Row],[Work Start TimeStamp]]="","",(IGA_BD[[#This Row],[Fault Clearance time]]-IGA_BD[[#This Row],[Work Start TimeStamp]])*24)</f>
        <v/>
      </c>
      <c r="Q402" s="57">
        <f>(IGA_BD[[#This Row],[Fault Clearance time]]-IGA_BD[[#This Row],[Fault Start TimeStamp]])*24</f>
        <v>0</v>
      </c>
      <c r="R402" s="153"/>
      <c r="S402" s="44"/>
      <c r="T402" s="45" t="str">
        <f>IFERROR(IGA_BD[[#This Row],[Breakdown Time]]*IGA_BD[[#This Row],[Plant Equivalent Weightage]],"")</f>
        <v/>
      </c>
    </row>
    <row r="403" spans="1:20">
      <c r="A403" s="28"/>
      <c r="B403" s="154"/>
      <c r="C403" s="30">
        <f>YEAR(WTG_BD[[#This Row],[Date]])+IF(MONTH(WTG_BD[[#This Row],[Date]])&gt;=4,1,0)</f>
        <v>2026</v>
      </c>
      <c r="D403" s="31">
        <f>YEAR(IGA_BD[[#This Row],[Date]])</f>
        <v>1900</v>
      </c>
      <c r="E403" s="48">
        <f t="shared" si="8"/>
        <v>1</v>
      </c>
      <c r="F403" s="32"/>
      <c r="G403" s="33"/>
      <c r="H403" s="43" t="str">
        <f>IFERROR(VLOOKUP(IGA_BD[[#This Row],[Affected Feeder ]],'Basic Data'!$A$42:$E$53,2,0),"")</f>
        <v/>
      </c>
      <c r="I403" s="43" t="str">
        <f>IFERROR(VLOOKUP(IGA_BD[[#This Row],[Affected Feeder ]],'Basic Data'!$A$42:$E$53,3,0),"")</f>
        <v/>
      </c>
      <c r="J403" s="43" t="str">
        <f>IFERROR(VLOOKUP(IGA_BD[[#This Row],[Affected Feeder ]],'Basic Data'!$A$42:$E$53,5,0),"")</f>
        <v/>
      </c>
      <c r="K403" s="164"/>
      <c r="L403" s="50"/>
      <c r="M403" s="116"/>
      <c r="N403" s="116"/>
      <c r="O403" s="57">
        <f>(IGA_BD[[#This Row],[Work Start TimeStamp]]-IGA_BD[[#This Row],[Fault Start TimeStamp]])*24</f>
        <v>0</v>
      </c>
      <c r="P403" s="44" t="str">
        <f>IF(IGA_BD[[#This Row],[Work Start TimeStamp]]="","",(IGA_BD[[#This Row],[Fault Clearance time]]-IGA_BD[[#This Row],[Work Start TimeStamp]])*24)</f>
        <v/>
      </c>
      <c r="Q403" s="57">
        <f>(IGA_BD[[#This Row],[Fault Clearance time]]-IGA_BD[[#This Row],[Fault Start TimeStamp]])*24</f>
        <v>0</v>
      </c>
      <c r="R403" s="153"/>
      <c r="S403" s="44"/>
      <c r="T403" s="45" t="str">
        <f>IFERROR(IGA_BD[[#This Row],[Breakdown Time]]*IGA_BD[[#This Row],[Plant Equivalent Weightage]],"")</f>
        <v/>
      </c>
    </row>
    <row r="404" spans="1:20">
      <c r="A404" s="28"/>
      <c r="B404" s="154"/>
      <c r="C404" s="30">
        <f>YEAR(WTG_BD[[#This Row],[Date]])+IF(MONTH(WTG_BD[[#This Row],[Date]])&gt;=4,1,0)</f>
        <v>2026</v>
      </c>
      <c r="D404" s="31">
        <f>YEAR(IGA_BD[[#This Row],[Date]])</f>
        <v>1900</v>
      </c>
      <c r="E404" s="48">
        <f t="shared" si="8"/>
        <v>1</v>
      </c>
      <c r="F404" s="32"/>
      <c r="G404" s="33"/>
      <c r="H404" s="43" t="str">
        <f>IFERROR(VLOOKUP(IGA_BD[[#This Row],[Affected Feeder ]],'Basic Data'!$A$42:$E$53,2,0),"")</f>
        <v/>
      </c>
      <c r="I404" s="43" t="str">
        <f>IFERROR(VLOOKUP(IGA_BD[[#This Row],[Affected Feeder ]],'Basic Data'!$A$42:$E$53,3,0),"")</f>
        <v/>
      </c>
      <c r="J404" s="43" t="str">
        <f>IFERROR(VLOOKUP(IGA_BD[[#This Row],[Affected Feeder ]],'Basic Data'!$A$42:$E$53,5,0),"")</f>
        <v/>
      </c>
      <c r="K404" s="164"/>
      <c r="L404" s="50"/>
      <c r="M404" s="116"/>
      <c r="N404" s="116"/>
      <c r="O404" s="57">
        <f>(IGA_BD[[#This Row],[Work Start TimeStamp]]-IGA_BD[[#This Row],[Fault Start TimeStamp]])*24</f>
        <v>0</v>
      </c>
      <c r="P404" s="44" t="str">
        <f>IF(IGA_BD[[#This Row],[Work Start TimeStamp]]="","",(IGA_BD[[#This Row],[Fault Clearance time]]-IGA_BD[[#This Row],[Work Start TimeStamp]])*24)</f>
        <v/>
      </c>
      <c r="Q404" s="57">
        <f>(IGA_BD[[#This Row],[Fault Clearance time]]-IGA_BD[[#This Row],[Fault Start TimeStamp]])*24</f>
        <v>0</v>
      </c>
      <c r="R404" s="153"/>
      <c r="S404" s="44"/>
      <c r="T404" s="45" t="str">
        <f>IFERROR(IGA_BD[[#This Row],[Breakdown Time]]*IGA_BD[[#This Row],[Plant Equivalent Weightage]],"")</f>
        <v/>
      </c>
    </row>
    <row r="405" spans="1:20">
      <c r="A405" s="28"/>
      <c r="B405" s="154"/>
      <c r="C405" s="30">
        <f>YEAR(WTG_BD[[#This Row],[Date]])+IF(MONTH(WTG_BD[[#This Row],[Date]])&gt;=4,1,0)</f>
        <v>2026</v>
      </c>
      <c r="D405" s="31">
        <f>YEAR(IGA_BD[[#This Row],[Date]])</f>
        <v>1900</v>
      </c>
      <c r="E405" s="48">
        <f t="shared" si="8"/>
        <v>1</v>
      </c>
      <c r="F405" s="32"/>
      <c r="G405" s="33"/>
      <c r="H405" s="43" t="str">
        <f>IFERROR(VLOOKUP(IGA_BD[[#This Row],[Affected Feeder ]],'Basic Data'!$A$42:$E$53,2,0),"")</f>
        <v/>
      </c>
      <c r="I405" s="43" t="str">
        <f>IFERROR(VLOOKUP(IGA_BD[[#This Row],[Affected Feeder ]],'Basic Data'!$A$42:$E$53,3,0),"")</f>
        <v/>
      </c>
      <c r="J405" s="43" t="str">
        <f>IFERROR(VLOOKUP(IGA_BD[[#This Row],[Affected Feeder ]],'Basic Data'!$A$42:$E$53,5,0),"")</f>
        <v/>
      </c>
      <c r="K405" s="164"/>
      <c r="L405" s="50"/>
      <c r="M405" s="116"/>
      <c r="N405" s="116"/>
      <c r="O405" s="57">
        <f>(IGA_BD[[#This Row],[Work Start TimeStamp]]-IGA_BD[[#This Row],[Fault Start TimeStamp]])*24</f>
        <v>0</v>
      </c>
      <c r="P405" s="44" t="str">
        <f>IF(IGA_BD[[#This Row],[Work Start TimeStamp]]="","",(IGA_BD[[#This Row],[Fault Clearance time]]-IGA_BD[[#This Row],[Work Start TimeStamp]])*24)</f>
        <v/>
      </c>
      <c r="Q405" s="57">
        <f>(IGA_BD[[#This Row],[Fault Clearance time]]-IGA_BD[[#This Row],[Fault Start TimeStamp]])*24</f>
        <v>0</v>
      </c>
      <c r="R405" s="153"/>
      <c r="S405" s="44"/>
      <c r="T405" s="45" t="str">
        <f>IFERROR(IGA_BD[[#This Row],[Breakdown Time]]*IGA_BD[[#This Row],[Plant Equivalent Weightage]],"")</f>
        <v/>
      </c>
    </row>
    <row r="406" spans="1:20">
      <c r="A406" s="28"/>
      <c r="B406" s="154"/>
      <c r="C406" s="30">
        <f>YEAR(WTG_BD[[#This Row],[Date]])+IF(MONTH(WTG_BD[[#This Row],[Date]])&gt;=4,1,0)</f>
        <v>2026</v>
      </c>
      <c r="D406" s="31">
        <f>YEAR(IGA_BD[[#This Row],[Date]])</f>
        <v>1900</v>
      </c>
      <c r="E406" s="48">
        <f t="shared" si="8"/>
        <v>1</v>
      </c>
      <c r="F406" s="32"/>
      <c r="G406" s="33"/>
      <c r="H406" s="43" t="str">
        <f>IFERROR(VLOOKUP(IGA_BD[[#This Row],[Affected Feeder ]],'Basic Data'!$A$42:$E$53,2,0),"")</f>
        <v/>
      </c>
      <c r="I406" s="43" t="str">
        <f>IFERROR(VLOOKUP(IGA_BD[[#This Row],[Affected Feeder ]],'Basic Data'!$A$42:$E$53,3,0),"")</f>
        <v/>
      </c>
      <c r="J406" s="43" t="str">
        <f>IFERROR(VLOOKUP(IGA_BD[[#This Row],[Affected Feeder ]],'Basic Data'!$A$42:$E$53,5,0),"")</f>
        <v/>
      </c>
      <c r="K406" s="164"/>
      <c r="L406" s="50"/>
      <c r="M406" s="116"/>
      <c r="N406" s="116"/>
      <c r="O406" s="57">
        <f>(IGA_BD[[#This Row],[Work Start TimeStamp]]-IGA_BD[[#This Row],[Fault Start TimeStamp]])*24</f>
        <v>0</v>
      </c>
      <c r="P406" s="44" t="str">
        <f>IF(IGA_BD[[#This Row],[Work Start TimeStamp]]="","",(IGA_BD[[#This Row],[Fault Clearance time]]-IGA_BD[[#This Row],[Work Start TimeStamp]])*24)</f>
        <v/>
      </c>
      <c r="Q406" s="57">
        <f>(IGA_BD[[#This Row],[Fault Clearance time]]-IGA_BD[[#This Row],[Fault Start TimeStamp]])*24</f>
        <v>0</v>
      </c>
      <c r="R406" s="153"/>
      <c r="S406" s="44"/>
      <c r="T406" s="45" t="str">
        <f>IFERROR(IGA_BD[[#This Row],[Breakdown Time]]*IGA_BD[[#This Row],[Plant Equivalent Weightage]],"")</f>
        <v/>
      </c>
    </row>
    <row r="407" spans="1:20">
      <c r="A407" s="28"/>
      <c r="B407" s="154"/>
      <c r="C407" s="30">
        <f>YEAR(WTG_BD[[#This Row],[Date]])+IF(MONTH(WTG_BD[[#This Row],[Date]])&gt;=4,1,0)</f>
        <v>2026</v>
      </c>
      <c r="D407" s="31">
        <f>YEAR(IGA_BD[[#This Row],[Date]])</f>
        <v>1900</v>
      </c>
      <c r="E407" s="48">
        <f t="shared" si="8"/>
        <v>1</v>
      </c>
      <c r="F407" s="32"/>
      <c r="G407" s="33"/>
      <c r="H407" s="43" t="str">
        <f>IFERROR(VLOOKUP(IGA_BD[[#This Row],[Affected Feeder ]],'Basic Data'!$A$42:$E$53,2,0),"")</f>
        <v/>
      </c>
      <c r="I407" s="43" t="str">
        <f>IFERROR(VLOOKUP(IGA_BD[[#This Row],[Affected Feeder ]],'Basic Data'!$A$42:$E$53,3,0),"")</f>
        <v/>
      </c>
      <c r="J407" s="43" t="str">
        <f>IFERROR(VLOOKUP(IGA_BD[[#This Row],[Affected Feeder ]],'Basic Data'!$A$42:$E$53,5,0),"")</f>
        <v/>
      </c>
      <c r="K407" s="164"/>
      <c r="L407" s="50"/>
      <c r="M407" s="116"/>
      <c r="N407" s="116"/>
      <c r="O407" s="57">
        <f>(IGA_BD[[#This Row],[Work Start TimeStamp]]-IGA_BD[[#This Row],[Fault Start TimeStamp]])*24</f>
        <v>0</v>
      </c>
      <c r="P407" s="44" t="str">
        <f>IF(IGA_BD[[#This Row],[Work Start TimeStamp]]="","",(IGA_BD[[#This Row],[Fault Clearance time]]-IGA_BD[[#This Row],[Work Start TimeStamp]])*24)</f>
        <v/>
      </c>
      <c r="Q407" s="57">
        <f>(IGA_BD[[#This Row],[Fault Clearance time]]-IGA_BD[[#This Row],[Fault Start TimeStamp]])*24</f>
        <v>0</v>
      </c>
      <c r="R407" s="153"/>
      <c r="S407" s="44"/>
      <c r="T407" s="45" t="str">
        <f>IFERROR(IGA_BD[[#This Row],[Breakdown Time]]*IGA_BD[[#This Row],[Plant Equivalent Weightage]],"")</f>
        <v/>
      </c>
    </row>
    <row r="408" spans="1:20">
      <c r="A408" s="28"/>
      <c r="B408" s="154"/>
      <c r="C408" s="30">
        <f>YEAR(WTG_BD[[#This Row],[Date]])+IF(MONTH(WTG_BD[[#This Row],[Date]])&gt;=4,1,0)</f>
        <v>2026</v>
      </c>
      <c r="D408" s="31">
        <f>YEAR(IGA_BD[[#This Row],[Date]])</f>
        <v>1900</v>
      </c>
      <c r="E408" s="48">
        <f t="shared" si="8"/>
        <v>1</v>
      </c>
      <c r="F408" s="32"/>
      <c r="G408" s="33"/>
      <c r="H408" s="43" t="str">
        <f>IFERROR(VLOOKUP(IGA_BD[[#This Row],[Affected Feeder ]],'Basic Data'!$A$42:$E$53,2,0),"")</f>
        <v/>
      </c>
      <c r="I408" s="43" t="str">
        <f>IFERROR(VLOOKUP(IGA_BD[[#This Row],[Affected Feeder ]],'Basic Data'!$A$42:$E$53,3,0),"")</f>
        <v/>
      </c>
      <c r="J408" s="43" t="str">
        <f>IFERROR(VLOOKUP(IGA_BD[[#This Row],[Affected Feeder ]],'Basic Data'!$A$42:$E$53,5,0),"")</f>
        <v/>
      </c>
      <c r="K408" s="164"/>
      <c r="L408" s="50"/>
      <c r="M408" s="116"/>
      <c r="N408" s="116"/>
      <c r="O408" s="57">
        <f>(IGA_BD[[#This Row],[Work Start TimeStamp]]-IGA_BD[[#This Row],[Fault Start TimeStamp]])*24</f>
        <v>0</v>
      </c>
      <c r="P408" s="44" t="str">
        <f>IF(IGA_BD[[#This Row],[Work Start TimeStamp]]="","",(IGA_BD[[#This Row],[Fault Clearance time]]-IGA_BD[[#This Row],[Work Start TimeStamp]])*24)</f>
        <v/>
      </c>
      <c r="Q408" s="57">
        <f>(IGA_BD[[#This Row],[Fault Clearance time]]-IGA_BD[[#This Row],[Fault Start TimeStamp]])*24</f>
        <v>0</v>
      </c>
      <c r="R408" s="153"/>
      <c r="S408" s="44"/>
      <c r="T408" s="45" t="str">
        <f>IFERROR(IGA_BD[[#This Row],[Breakdown Time]]*IGA_BD[[#This Row],[Plant Equivalent Weightage]],"")</f>
        <v/>
      </c>
    </row>
    <row r="409" spans="1:20">
      <c r="A409" s="28"/>
      <c r="B409" s="154"/>
      <c r="C409" s="30">
        <f>YEAR(WTG_BD[[#This Row],[Date]])+IF(MONTH(WTG_BD[[#This Row],[Date]])&gt;=4,1,0)</f>
        <v>2026</v>
      </c>
      <c r="D409" s="31">
        <f>YEAR(IGA_BD[[#This Row],[Date]])</f>
        <v>1900</v>
      </c>
      <c r="E409" s="48">
        <f t="shared" si="8"/>
        <v>1</v>
      </c>
      <c r="F409" s="32"/>
      <c r="G409" s="33"/>
      <c r="H409" s="43" t="str">
        <f>IFERROR(VLOOKUP(IGA_BD[[#This Row],[Affected Feeder ]],'Basic Data'!$A$42:$E$53,2,0),"")</f>
        <v/>
      </c>
      <c r="I409" s="43" t="str">
        <f>IFERROR(VLOOKUP(IGA_BD[[#This Row],[Affected Feeder ]],'Basic Data'!$A$42:$E$53,3,0),"")</f>
        <v/>
      </c>
      <c r="J409" s="43" t="str">
        <f>IFERROR(VLOOKUP(IGA_BD[[#This Row],[Affected Feeder ]],'Basic Data'!$A$42:$E$53,5,0),"")</f>
        <v/>
      </c>
      <c r="K409" s="164"/>
      <c r="L409" s="50"/>
      <c r="M409" s="116"/>
      <c r="N409" s="116"/>
      <c r="O409" s="57">
        <f>(IGA_BD[[#This Row],[Work Start TimeStamp]]-IGA_BD[[#This Row],[Fault Start TimeStamp]])*24</f>
        <v>0</v>
      </c>
      <c r="P409" s="44" t="str">
        <f>IF(IGA_BD[[#This Row],[Work Start TimeStamp]]="","",(IGA_BD[[#This Row],[Fault Clearance time]]-IGA_BD[[#This Row],[Work Start TimeStamp]])*24)</f>
        <v/>
      </c>
      <c r="Q409" s="57">
        <f>(IGA_BD[[#This Row],[Fault Clearance time]]-IGA_BD[[#This Row],[Fault Start TimeStamp]])*24</f>
        <v>0</v>
      </c>
      <c r="R409" s="153"/>
      <c r="S409" s="44"/>
      <c r="T409" s="45" t="str">
        <f>IFERROR(IGA_BD[[#This Row],[Breakdown Time]]*IGA_BD[[#This Row],[Plant Equivalent Weightage]],"")</f>
        <v/>
      </c>
    </row>
    <row r="410" spans="1:20">
      <c r="A410" s="28"/>
      <c r="B410" s="154"/>
      <c r="C410" s="30">
        <f>YEAR(WTG_BD[[#This Row],[Date]])+IF(MONTH(WTG_BD[[#This Row],[Date]])&gt;=4,1,0)</f>
        <v>2026</v>
      </c>
      <c r="D410" s="31">
        <f>YEAR(IGA_BD[[#This Row],[Date]])</f>
        <v>1900</v>
      </c>
      <c r="E410" s="48">
        <f t="shared" si="8"/>
        <v>1</v>
      </c>
      <c r="F410" s="32"/>
      <c r="G410" s="33"/>
      <c r="H410" s="43" t="str">
        <f>IFERROR(VLOOKUP(IGA_BD[[#This Row],[Affected Feeder ]],'Basic Data'!$A$42:$E$53,2,0),"")</f>
        <v/>
      </c>
      <c r="I410" s="43" t="str">
        <f>IFERROR(VLOOKUP(IGA_BD[[#This Row],[Affected Feeder ]],'Basic Data'!$A$42:$E$53,3,0),"")</f>
        <v/>
      </c>
      <c r="J410" s="43" t="str">
        <f>IFERROR(VLOOKUP(IGA_BD[[#This Row],[Affected Feeder ]],'Basic Data'!$A$42:$E$53,5,0),"")</f>
        <v/>
      </c>
      <c r="K410" s="164"/>
      <c r="L410" s="50"/>
      <c r="M410" s="116"/>
      <c r="N410" s="116"/>
      <c r="O410" s="57">
        <f>(IGA_BD[[#This Row],[Work Start TimeStamp]]-IGA_BD[[#This Row],[Fault Start TimeStamp]])*24</f>
        <v>0</v>
      </c>
      <c r="P410" s="44" t="str">
        <f>IF(IGA_BD[[#This Row],[Work Start TimeStamp]]="","",(IGA_BD[[#This Row],[Fault Clearance time]]-IGA_BD[[#This Row],[Work Start TimeStamp]])*24)</f>
        <v/>
      </c>
      <c r="Q410" s="57">
        <f>(IGA_BD[[#This Row],[Fault Clearance time]]-IGA_BD[[#This Row],[Fault Start TimeStamp]])*24</f>
        <v>0</v>
      </c>
      <c r="R410" s="153"/>
      <c r="S410" s="44"/>
      <c r="T410" s="45" t="str">
        <f>IFERROR(IGA_BD[[#This Row],[Breakdown Time]]*IGA_BD[[#This Row],[Plant Equivalent Weightage]],"")</f>
        <v/>
      </c>
    </row>
    <row r="411" spans="1:20">
      <c r="A411" s="28"/>
      <c r="B411" s="154"/>
      <c r="C411" s="30">
        <f>YEAR(WTG_BD[[#This Row],[Date]])+IF(MONTH(WTG_BD[[#This Row],[Date]])&gt;=4,1,0)</f>
        <v>2026</v>
      </c>
      <c r="D411" s="31">
        <f>YEAR(IGA_BD[[#This Row],[Date]])</f>
        <v>1900</v>
      </c>
      <c r="E411" s="48">
        <f t="shared" si="8"/>
        <v>1</v>
      </c>
      <c r="F411" s="32"/>
      <c r="G411" s="33"/>
      <c r="H411" s="43" t="str">
        <f>IFERROR(VLOOKUP(IGA_BD[[#This Row],[Affected Feeder ]],'Basic Data'!$A$42:$E$53,2,0),"")</f>
        <v/>
      </c>
      <c r="I411" s="43" t="str">
        <f>IFERROR(VLOOKUP(IGA_BD[[#This Row],[Affected Feeder ]],'Basic Data'!$A$42:$E$53,3,0),"")</f>
        <v/>
      </c>
      <c r="J411" s="43" t="str">
        <f>IFERROR(VLOOKUP(IGA_BD[[#This Row],[Affected Feeder ]],'Basic Data'!$A$42:$E$53,5,0),"")</f>
        <v/>
      </c>
      <c r="K411" s="164"/>
      <c r="L411" s="50"/>
      <c r="M411" s="116"/>
      <c r="N411" s="116"/>
      <c r="O411" s="57">
        <f>(IGA_BD[[#This Row],[Work Start TimeStamp]]-IGA_BD[[#This Row],[Fault Start TimeStamp]])*24</f>
        <v>0</v>
      </c>
      <c r="P411" s="44" t="str">
        <f>IF(IGA_BD[[#This Row],[Work Start TimeStamp]]="","",(IGA_BD[[#This Row],[Fault Clearance time]]-IGA_BD[[#This Row],[Work Start TimeStamp]])*24)</f>
        <v/>
      </c>
      <c r="Q411" s="57">
        <f>(IGA_BD[[#This Row],[Fault Clearance time]]-IGA_BD[[#This Row],[Fault Start TimeStamp]])*24</f>
        <v>0</v>
      </c>
      <c r="R411" s="153"/>
      <c r="S411" s="44"/>
      <c r="T411" s="45" t="str">
        <f>IFERROR(IGA_BD[[#This Row],[Breakdown Time]]*IGA_BD[[#This Row],[Plant Equivalent Weightage]],"")</f>
        <v/>
      </c>
    </row>
    <row r="412" spans="1:20">
      <c r="A412" s="28"/>
      <c r="B412" s="154"/>
      <c r="C412" s="30">
        <f>YEAR(WTG_BD[[#This Row],[Date]])+IF(MONTH(WTG_BD[[#This Row],[Date]])&gt;=4,1,0)</f>
        <v>2026</v>
      </c>
      <c r="D412" s="31">
        <f>YEAR(IGA_BD[[#This Row],[Date]])</f>
        <v>1900</v>
      </c>
      <c r="E412" s="48">
        <f t="shared" ref="E412:E475" si="9">B412-DAY(B412)+1</f>
        <v>1</v>
      </c>
      <c r="F412" s="32"/>
      <c r="G412" s="33"/>
      <c r="H412" s="43" t="str">
        <f>IFERROR(VLOOKUP(IGA_BD[[#This Row],[Affected Feeder ]],'Basic Data'!$A$42:$E$53,2,0),"")</f>
        <v/>
      </c>
      <c r="I412" s="43" t="str">
        <f>IFERROR(VLOOKUP(IGA_BD[[#This Row],[Affected Feeder ]],'Basic Data'!$A$42:$E$53,3,0),"")</f>
        <v/>
      </c>
      <c r="J412" s="43" t="str">
        <f>IFERROR(VLOOKUP(IGA_BD[[#This Row],[Affected Feeder ]],'Basic Data'!$A$42:$E$53,5,0),"")</f>
        <v/>
      </c>
      <c r="K412" s="164"/>
      <c r="L412" s="50"/>
      <c r="M412" s="116"/>
      <c r="N412" s="116"/>
      <c r="O412" s="57">
        <f>(IGA_BD[[#This Row],[Work Start TimeStamp]]-IGA_BD[[#This Row],[Fault Start TimeStamp]])*24</f>
        <v>0</v>
      </c>
      <c r="P412" s="44" t="str">
        <f>IF(IGA_BD[[#This Row],[Work Start TimeStamp]]="","",(IGA_BD[[#This Row],[Fault Clearance time]]-IGA_BD[[#This Row],[Work Start TimeStamp]])*24)</f>
        <v/>
      </c>
      <c r="Q412" s="57">
        <f>(IGA_BD[[#This Row],[Fault Clearance time]]-IGA_BD[[#This Row],[Fault Start TimeStamp]])*24</f>
        <v>0</v>
      </c>
      <c r="R412" s="153"/>
      <c r="S412" s="44"/>
      <c r="T412" s="45" t="str">
        <f>IFERROR(IGA_BD[[#This Row],[Breakdown Time]]*IGA_BD[[#This Row],[Plant Equivalent Weightage]],"")</f>
        <v/>
      </c>
    </row>
    <row r="413" spans="1:20">
      <c r="A413" s="28"/>
      <c r="B413" s="154"/>
      <c r="C413" s="30">
        <f>YEAR(WTG_BD[[#This Row],[Date]])+IF(MONTH(WTG_BD[[#This Row],[Date]])&gt;=4,1,0)</f>
        <v>2026</v>
      </c>
      <c r="D413" s="31">
        <f>YEAR(IGA_BD[[#This Row],[Date]])</f>
        <v>1900</v>
      </c>
      <c r="E413" s="48">
        <f t="shared" si="9"/>
        <v>1</v>
      </c>
      <c r="F413" s="32"/>
      <c r="G413" s="33"/>
      <c r="H413" s="43" t="str">
        <f>IFERROR(VLOOKUP(IGA_BD[[#This Row],[Affected Feeder ]],'Basic Data'!$A$42:$E$53,2,0),"")</f>
        <v/>
      </c>
      <c r="I413" s="43" t="str">
        <f>IFERROR(VLOOKUP(IGA_BD[[#This Row],[Affected Feeder ]],'Basic Data'!$A$42:$E$53,3,0),"")</f>
        <v/>
      </c>
      <c r="J413" s="43" t="str">
        <f>IFERROR(VLOOKUP(IGA_BD[[#This Row],[Affected Feeder ]],'Basic Data'!$A$42:$E$53,5,0),"")</f>
        <v/>
      </c>
      <c r="K413" s="164"/>
      <c r="L413" s="50"/>
      <c r="M413" s="116"/>
      <c r="N413" s="116"/>
      <c r="O413" s="57">
        <f>(IGA_BD[[#This Row],[Work Start TimeStamp]]-IGA_BD[[#This Row],[Fault Start TimeStamp]])*24</f>
        <v>0</v>
      </c>
      <c r="P413" s="44" t="str">
        <f>IF(IGA_BD[[#This Row],[Work Start TimeStamp]]="","",(IGA_BD[[#This Row],[Fault Clearance time]]-IGA_BD[[#This Row],[Work Start TimeStamp]])*24)</f>
        <v/>
      </c>
      <c r="Q413" s="57">
        <f>(IGA_BD[[#This Row],[Fault Clearance time]]-IGA_BD[[#This Row],[Fault Start TimeStamp]])*24</f>
        <v>0</v>
      </c>
      <c r="R413" s="153"/>
      <c r="S413" s="44"/>
      <c r="T413" s="45" t="str">
        <f>IFERROR(IGA_BD[[#This Row],[Breakdown Time]]*IGA_BD[[#This Row],[Plant Equivalent Weightage]],"")</f>
        <v/>
      </c>
    </row>
    <row r="414" spans="1:20">
      <c r="A414" s="28"/>
      <c r="B414" s="154"/>
      <c r="C414" s="30">
        <f>YEAR(WTG_BD[[#This Row],[Date]])+IF(MONTH(WTG_BD[[#This Row],[Date]])&gt;=4,1,0)</f>
        <v>2026</v>
      </c>
      <c r="D414" s="31">
        <f>YEAR(IGA_BD[[#This Row],[Date]])</f>
        <v>1900</v>
      </c>
      <c r="E414" s="48">
        <f t="shared" si="9"/>
        <v>1</v>
      </c>
      <c r="F414" s="32"/>
      <c r="G414" s="33"/>
      <c r="H414" s="43" t="str">
        <f>IFERROR(VLOOKUP(IGA_BD[[#This Row],[Affected Feeder ]],'Basic Data'!$A$42:$E$53,2,0),"")</f>
        <v/>
      </c>
      <c r="I414" s="43" t="str">
        <f>IFERROR(VLOOKUP(IGA_BD[[#This Row],[Affected Feeder ]],'Basic Data'!$A$42:$E$53,3,0),"")</f>
        <v/>
      </c>
      <c r="J414" s="43" t="str">
        <f>IFERROR(VLOOKUP(IGA_BD[[#This Row],[Affected Feeder ]],'Basic Data'!$A$42:$E$53,5,0),"")</f>
        <v/>
      </c>
      <c r="K414" s="164"/>
      <c r="L414" s="50"/>
      <c r="M414" s="116"/>
      <c r="N414" s="116"/>
      <c r="O414" s="57">
        <f>(IGA_BD[[#This Row],[Work Start TimeStamp]]-IGA_BD[[#This Row],[Fault Start TimeStamp]])*24</f>
        <v>0</v>
      </c>
      <c r="P414" s="44" t="str">
        <f>IF(IGA_BD[[#This Row],[Work Start TimeStamp]]="","",(IGA_BD[[#This Row],[Fault Clearance time]]-IGA_BD[[#This Row],[Work Start TimeStamp]])*24)</f>
        <v/>
      </c>
      <c r="Q414" s="57">
        <f>(IGA_BD[[#This Row],[Fault Clearance time]]-IGA_BD[[#This Row],[Fault Start TimeStamp]])*24</f>
        <v>0</v>
      </c>
      <c r="R414" s="153"/>
      <c r="S414" s="44"/>
      <c r="T414" s="45" t="str">
        <f>IFERROR(IGA_BD[[#This Row],[Breakdown Time]]*IGA_BD[[#This Row],[Plant Equivalent Weightage]],"")</f>
        <v/>
      </c>
    </row>
    <row r="415" spans="1:20">
      <c r="A415" s="28"/>
      <c r="B415" s="154"/>
      <c r="C415" s="30">
        <f>YEAR(WTG_BD[[#This Row],[Date]])+IF(MONTH(WTG_BD[[#This Row],[Date]])&gt;=4,1,0)</f>
        <v>2026</v>
      </c>
      <c r="D415" s="31">
        <f>YEAR(IGA_BD[[#This Row],[Date]])</f>
        <v>1900</v>
      </c>
      <c r="E415" s="48">
        <f t="shared" si="9"/>
        <v>1</v>
      </c>
      <c r="F415" s="32"/>
      <c r="G415" s="33"/>
      <c r="H415" s="43" t="str">
        <f>IFERROR(VLOOKUP(IGA_BD[[#This Row],[Affected Feeder ]],'Basic Data'!$A$42:$E$53,2,0),"")</f>
        <v/>
      </c>
      <c r="I415" s="43" t="str">
        <f>IFERROR(VLOOKUP(IGA_BD[[#This Row],[Affected Feeder ]],'Basic Data'!$A$42:$E$53,3,0),"")</f>
        <v/>
      </c>
      <c r="J415" s="43" t="str">
        <f>IFERROR(VLOOKUP(IGA_BD[[#This Row],[Affected Feeder ]],'Basic Data'!$A$42:$E$53,5,0),"")</f>
        <v/>
      </c>
      <c r="K415" s="164"/>
      <c r="L415" s="50"/>
      <c r="M415" s="116"/>
      <c r="N415" s="116"/>
      <c r="O415" s="57">
        <f>(IGA_BD[[#This Row],[Work Start TimeStamp]]-IGA_BD[[#This Row],[Fault Start TimeStamp]])*24</f>
        <v>0</v>
      </c>
      <c r="P415" s="44" t="str">
        <f>IF(IGA_BD[[#This Row],[Work Start TimeStamp]]="","",(IGA_BD[[#This Row],[Fault Clearance time]]-IGA_BD[[#This Row],[Work Start TimeStamp]])*24)</f>
        <v/>
      </c>
      <c r="Q415" s="57">
        <f>(IGA_BD[[#This Row],[Fault Clearance time]]-IGA_BD[[#This Row],[Fault Start TimeStamp]])*24</f>
        <v>0</v>
      </c>
      <c r="R415" s="153"/>
      <c r="S415" s="44"/>
      <c r="T415" s="45" t="str">
        <f>IFERROR(IGA_BD[[#This Row],[Breakdown Time]]*IGA_BD[[#This Row],[Plant Equivalent Weightage]],"")</f>
        <v/>
      </c>
    </row>
    <row r="416" spans="1:20">
      <c r="A416" s="28"/>
      <c r="B416" s="154"/>
      <c r="C416" s="30">
        <f>YEAR(WTG_BD[[#This Row],[Date]])+IF(MONTH(WTG_BD[[#This Row],[Date]])&gt;=4,1,0)</f>
        <v>2026</v>
      </c>
      <c r="D416" s="31">
        <f>YEAR(IGA_BD[[#This Row],[Date]])</f>
        <v>1900</v>
      </c>
      <c r="E416" s="48">
        <f t="shared" si="9"/>
        <v>1</v>
      </c>
      <c r="F416" s="32"/>
      <c r="G416" s="33"/>
      <c r="H416" s="43" t="str">
        <f>IFERROR(VLOOKUP(IGA_BD[[#This Row],[Affected Feeder ]],'Basic Data'!$A$42:$E$53,2,0),"")</f>
        <v/>
      </c>
      <c r="I416" s="43" t="str">
        <f>IFERROR(VLOOKUP(IGA_BD[[#This Row],[Affected Feeder ]],'Basic Data'!$A$42:$E$53,3,0),"")</f>
        <v/>
      </c>
      <c r="J416" s="43" t="str">
        <f>IFERROR(VLOOKUP(IGA_BD[[#This Row],[Affected Feeder ]],'Basic Data'!$A$42:$E$53,5,0),"")</f>
        <v/>
      </c>
      <c r="K416" s="164"/>
      <c r="L416" s="50"/>
      <c r="M416" s="116"/>
      <c r="N416" s="116"/>
      <c r="O416" s="57">
        <f>(IGA_BD[[#This Row],[Work Start TimeStamp]]-IGA_BD[[#This Row],[Fault Start TimeStamp]])*24</f>
        <v>0</v>
      </c>
      <c r="P416" s="44" t="str">
        <f>IF(IGA_BD[[#This Row],[Work Start TimeStamp]]="","",(IGA_BD[[#This Row],[Fault Clearance time]]-IGA_BD[[#This Row],[Work Start TimeStamp]])*24)</f>
        <v/>
      </c>
      <c r="Q416" s="57">
        <f>(IGA_BD[[#This Row],[Fault Clearance time]]-IGA_BD[[#This Row],[Fault Start TimeStamp]])*24</f>
        <v>0</v>
      </c>
      <c r="R416" s="153"/>
      <c r="S416" s="44"/>
      <c r="T416" s="45" t="str">
        <f>IFERROR(IGA_BD[[#This Row],[Breakdown Time]]*IGA_BD[[#This Row],[Plant Equivalent Weightage]],"")</f>
        <v/>
      </c>
    </row>
    <row r="417" spans="1:20">
      <c r="A417" s="28"/>
      <c r="B417" s="154"/>
      <c r="C417" s="30">
        <f>YEAR(WTG_BD[[#This Row],[Date]])+IF(MONTH(WTG_BD[[#This Row],[Date]])&gt;=4,1,0)</f>
        <v>2026</v>
      </c>
      <c r="D417" s="31">
        <f>YEAR(IGA_BD[[#This Row],[Date]])</f>
        <v>1900</v>
      </c>
      <c r="E417" s="48">
        <f t="shared" si="9"/>
        <v>1</v>
      </c>
      <c r="F417" s="32"/>
      <c r="G417" s="33"/>
      <c r="H417" s="43" t="str">
        <f>IFERROR(VLOOKUP(IGA_BD[[#This Row],[Affected Feeder ]],'Basic Data'!$A$42:$E$53,2,0),"")</f>
        <v/>
      </c>
      <c r="I417" s="43" t="str">
        <f>IFERROR(VLOOKUP(IGA_BD[[#This Row],[Affected Feeder ]],'Basic Data'!$A$42:$E$53,3,0),"")</f>
        <v/>
      </c>
      <c r="J417" s="43" t="str">
        <f>IFERROR(VLOOKUP(IGA_BD[[#This Row],[Affected Feeder ]],'Basic Data'!$A$42:$E$53,5,0),"")</f>
        <v/>
      </c>
      <c r="K417" s="164"/>
      <c r="L417" s="50"/>
      <c r="M417" s="116"/>
      <c r="N417" s="116"/>
      <c r="O417" s="57">
        <f>(IGA_BD[[#This Row],[Work Start TimeStamp]]-IGA_BD[[#This Row],[Fault Start TimeStamp]])*24</f>
        <v>0</v>
      </c>
      <c r="P417" s="44" t="str">
        <f>IF(IGA_BD[[#This Row],[Work Start TimeStamp]]="","",(IGA_BD[[#This Row],[Fault Clearance time]]-IGA_BD[[#This Row],[Work Start TimeStamp]])*24)</f>
        <v/>
      </c>
      <c r="Q417" s="57">
        <f>(IGA_BD[[#This Row],[Fault Clearance time]]-IGA_BD[[#This Row],[Fault Start TimeStamp]])*24</f>
        <v>0</v>
      </c>
      <c r="R417" s="153"/>
      <c r="S417" s="44"/>
      <c r="T417" s="45" t="str">
        <f>IFERROR(IGA_BD[[#This Row],[Breakdown Time]]*IGA_BD[[#This Row],[Plant Equivalent Weightage]],"")</f>
        <v/>
      </c>
    </row>
    <row r="418" spans="1:20">
      <c r="A418" s="28"/>
      <c r="B418" s="154"/>
      <c r="C418" s="30">
        <f>YEAR(WTG_BD[[#This Row],[Date]])+IF(MONTH(WTG_BD[[#This Row],[Date]])&gt;=4,1,0)</f>
        <v>2026</v>
      </c>
      <c r="D418" s="31">
        <f>YEAR(IGA_BD[[#This Row],[Date]])</f>
        <v>1900</v>
      </c>
      <c r="E418" s="48">
        <f t="shared" si="9"/>
        <v>1</v>
      </c>
      <c r="F418" s="32"/>
      <c r="G418" s="33"/>
      <c r="H418" s="43" t="str">
        <f>IFERROR(VLOOKUP(IGA_BD[[#This Row],[Affected Feeder ]],'Basic Data'!$A$42:$E$53,2,0),"")</f>
        <v/>
      </c>
      <c r="I418" s="43" t="str">
        <f>IFERROR(VLOOKUP(IGA_BD[[#This Row],[Affected Feeder ]],'Basic Data'!$A$42:$E$53,3,0),"")</f>
        <v/>
      </c>
      <c r="J418" s="43" t="str">
        <f>IFERROR(VLOOKUP(IGA_BD[[#This Row],[Affected Feeder ]],'Basic Data'!$A$42:$E$53,5,0),"")</f>
        <v/>
      </c>
      <c r="K418" s="164"/>
      <c r="L418" s="50"/>
      <c r="M418" s="116"/>
      <c r="N418" s="116"/>
      <c r="O418" s="57">
        <f>(IGA_BD[[#This Row],[Work Start TimeStamp]]-IGA_BD[[#This Row],[Fault Start TimeStamp]])*24</f>
        <v>0</v>
      </c>
      <c r="P418" s="44" t="str">
        <f>IF(IGA_BD[[#This Row],[Work Start TimeStamp]]="","",(IGA_BD[[#This Row],[Fault Clearance time]]-IGA_BD[[#This Row],[Work Start TimeStamp]])*24)</f>
        <v/>
      </c>
      <c r="Q418" s="57">
        <f>(IGA_BD[[#This Row],[Fault Clearance time]]-IGA_BD[[#This Row],[Fault Start TimeStamp]])*24</f>
        <v>0</v>
      </c>
      <c r="R418" s="153"/>
      <c r="S418" s="44"/>
      <c r="T418" s="45" t="str">
        <f>IFERROR(IGA_BD[[#This Row],[Breakdown Time]]*IGA_BD[[#This Row],[Plant Equivalent Weightage]],"")</f>
        <v/>
      </c>
    </row>
    <row r="419" spans="1:20">
      <c r="A419" s="28"/>
      <c r="B419" s="154"/>
      <c r="C419" s="30">
        <f>YEAR(WTG_BD[[#This Row],[Date]])+IF(MONTH(WTG_BD[[#This Row],[Date]])&gt;=4,1,0)</f>
        <v>2026</v>
      </c>
      <c r="D419" s="31">
        <f>YEAR(IGA_BD[[#This Row],[Date]])</f>
        <v>1900</v>
      </c>
      <c r="E419" s="48">
        <f t="shared" si="9"/>
        <v>1</v>
      </c>
      <c r="F419" s="32"/>
      <c r="G419" s="33"/>
      <c r="H419" s="43" t="str">
        <f>IFERROR(VLOOKUP(IGA_BD[[#This Row],[Affected Feeder ]],'Basic Data'!$A$42:$E$53,2,0),"")</f>
        <v/>
      </c>
      <c r="I419" s="43" t="str">
        <f>IFERROR(VLOOKUP(IGA_BD[[#This Row],[Affected Feeder ]],'Basic Data'!$A$42:$E$53,3,0),"")</f>
        <v/>
      </c>
      <c r="J419" s="43" t="str">
        <f>IFERROR(VLOOKUP(IGA_BD[[#This Row],[Affected Feeder ]],'Basic Data'!$A$42:$E$53,5,0),"")</f>
        <v/>
      </c>
      <c r="K419" s="164"/>
      <c r="L419" s="50"/>
      <c r="M419" s="116"/>
      <c r="N419" s="116"/>
      <c r="O419" s="57">
        <f>(IGA_BD[[#This Row],[Work Start TimeStamp]]-IGA_BD[[#This Row],[Fault Start TimeStamp]])*24</f>
        <v>0</v>
      </c>
      <c r="P419" s="44" t="str">
        <f>IF(IGA_BD[[#This Row],[Work Start TimeStamp]]="","",(IGA_BD[[#This Row],[Fault Clearance time]]-IGA_BD[[#This Row],[Work Start TimeStamp]])*24)</f>
        <v/>
      </c>
      <c r="Q419" s="57">
        <f>(IGA_BD[[#This Row],[Fault Clearance time]]-IGA_BD[[#This Row],[Fault Start TimeStamp]])*24</f>
        <v>0</v>
      </c>
      <c r="R419" s="153"/>
      <c r="S419" s="44"/>
      <c r="T419" s="45" t="str">
        <f>IFERROR(IGA_BD[[#This Row],[Breakdown Time]]*IGA_BD[[#This Row],[Plant Equivalent Weightage]],"")</f>
        <v/>
      </c>
    </row>
    <row r="420" spans="1:20">
      <c r="A420" s="28"/>
      <c r="B420" s="154"/>
      <c r="C420" s="30">
        <f>YEAR(WTG_BD[[#This Row],[Date]])+IF(MONTH(WTG_BD[[#This Row],[Date]])&gt;=4,1,0)</f>
        <v>2026</v>
      </c>
      <c r="D420" s="31">
        <f>YEAR(IGA_BD[[#This Row],[Date]])</f>
        <v>1900</v>
      </c>
      <c r="E420" s="48">
        <f t="shared" si="9"/>
        <v>1</v>
      </c>
      <c r="F420" s="32"/>
      <c r="G420" s="33"/>
      <c r="H420" s="43" t="str">
        <f>IFERROR(VLOOKUP(IGA_BD[[#This Row],[Affected Feeder ]],'Basic Data'!$A$42:$E$53,2,0),"")</f>
        <v/>
      </c>
      <c r="I420" s="43" t="str">
        <f>IFERROR(VLOOKUP(IGA_BD[[#This Row],[Affected Feeder ]],'Basic Data'!$A$42:$E$53,3,0),"")</f>
        <v/>
      </c>
      <c r="J420" s="43" t="str">
        <f>IFERROR(VLOOKUP(IGA_BD[[#This Row],[Affected Feeder ]],'Basic Data'!$A$42:$E$53,5,0),"")</f>
        <v/>
      </c>
      <c r="K420" s="164"/>
      <c r="L420" s="50"/>
      <c r="M420" s="116"/>
      <c r="N420" s="116"/>
      <c r="O420" s="57">
        <f>(IGA_BD[[#This Row],[Work Start TimeStamp]]-IGA_BD[[#This Row],[Fault Start TimeStamp]])*24</f>
        <v>0</v>
      </c>
      <c r="P420" s="44" t="str">
        <f>IF(IGA_BD[[#This Row],[Work Start TimeStamp]]="","",(IGA_BD[[#This Row],[Fault Clearance time]]-IGA_BD[[#This Row],[Work Start TimeStamp]])*24)</f>
        <v/>
      </c>
      <c r="Q420" s="57">
        <f>(IGA_BD[[#This Row],[Fault Clearance time]]-IGA_BD[[#This Row],[Fault Start TimeStamp]])*24</f>
        <v>0</v>
      </c>
      <c r="R420" s="153"/>
      <c r="S420" s="44"/>
      <c r="T420" s="45" t="str">
        <f>IFERROR(IGA_BD[[#This Row],[Breakdown Time]]*IGA_BD[[#This Row],[Plant Equivalent Weightage]],"")</f>
        <v/>
      </c>
    </row>
    <row r="421" spans="1:20">
      <c r="A421" s="28"/>
      <c r="B421" s="154"/>
      <c r="C421" s="30">
        <f>YEAR(WTG_BD[[#This Row],[Date]])+IF(MONTH(WTG_BD[[#This Row],[Date]])&gt;=4,1,0)</f>
        <v>2026</v>
      </c>
      <c r="D421" s="31">
        <f>YEAR(IGA_BD[[#This Row],[Date]])</f>
        <v>1900</v>
      </c>
      <c r="E421" s="48">
        <f t="shared" si="9"/>
        <v>1</v>
      </c>
      <c r="F421" s="32"/>
      <c r="G421" s="33"/>
      <c r="H421" s="43" t="str">
        <f>IFERROR(VLOOKUP(IGA_BD[[#This Row],[Affected Feeder ]],'Basic Data'!$A$42:$E$53,2,0),"")</f>
        <v/>
      </c>
      <c r="I421" s="43" t="str">
        <f>IFERROR(VLOOKUP(IGA_BD[[#This Row],[Affected Feeder ]],'Basic Data'!$A$42:$E$53,3,0),"")</f>
        <v/>
      </c>
      <c r="J421" s="43" t="str">
        <f>IFERROR(VLOOKUP(IGA_BD[[#This Row],[Affected Feeder ]],'Basic Data'!$A$42:$E$53,5,0),"")</f>
        <v/>
      </c>
      <c r="K421" s="164"/>
      <c r="L421" s="50"/>
      <c r="M421" s="116"/>
      <c r="N421" s="116"/>
      <c r="O421" s="57">
        <f>(IGA_BD[[#This Row],[Work Start TimeStamp]]-IGA_BD[[#This Row],[Fault Start TimeStamp]])*24</f>
        <v>0</v>
      </c>
      <c r="P421" s="44" t="str">
        <f>IF(IGA_BD[[#This Row],[Work Start TimeStamp]]="","",(IGA_BD[[#This Row],[Fault Clearance time]]-IGA_BD[[#This Row],[Work Start TimeStamp]])*24)</f>
        <v/>
      </c>
      <c r="Q421" s="57">
        <f>(IGA_BD[[#This Row],[Fault Clearance time]]-IGA_BD[[#This Row],[Fault Start TimeStamp]])*24</f>
        <v>0</v>
      </c>
      <c r="R421" s="153"/>
      <c r="S421" s="44"/>
      <c r="T421" s="45" t="str">
        <f>IFERROR(IGA_BD[[#This Row],[Breakdown Time]]*IGA_BD[[#This Row],[Plant Equivalent Weightage]],"")</f>
        <v/>
      </c>
    </row>
    <row r="422" spans="1:20">
      <c r="A422" s="28"/>
      <c r="B422" s="154"/>
      <c r="C422" s="30">
        <f>YEAR(WTG_BD[[#This Row],[Date]])+IF(MONTH(WTG_BD[[#This Row],[Date]])&gt;=4,1,0)</f>
        <v>2026</v>
      </c>
      <c r="D422" s="31">
        <f>YEAR(IGA_BD[[#This Row],[Date]])</f>
        <v>1900</v>
      </c>
      <c r="E422" s="48">
        <f t="shared" si="9"/>
        <v>1</v>
      </c>
      <c r="F422" s="32"/>
      <c r="G422" s="33"/>
      <c r="H422" s="43" t="str">
        <f>IFERROR(VLOOKUP(IGA_BD[[#This Row],[Affected Feeder ]],'Basic Data'!$A$42:$E$53,2,0),"")</f>
        <v/>
      </c>
      <c r="I422" s="43" t="str">
        <f>IFERROR(VLOOKUP(IGA_BD[[#This Row],[Affected Feeder ]],'Basic Data'!$A$42:$E$53,3,0),"")</f>
        <v/>
      </c>
      <c r="J422" s="43" t="str">
        <f>IFERROR(VLOOKUP(IGA_BD[[#This Row],[Affected Feeder ]],'Basic Data'!$A$42:$E$53,5,0),"")</f>
        <v/>
      </c>
      <c r="K422" s="164"/>
      <c r="L422" s="50"/>
      <c r="M422" s="116"/>
      <c r="N422" s="116"/>
      <c r="O422" s="57">
        <f>(IGA_BD[[#This Row],[Work Start TimeStamp]]-IGA_BD[[#This Row],[Fault Start TimeStamp]])*24</f>
        <v>0</v>
      </c>
      <c r="P422" s="44" t="str">
        <f>IF(IGA_BD[[#This Row],[Work Start TimeStamp]]="","",(IGA_BD[[#This Row],[Fault Clearance time]]-IGA_BD[[#This Row],[Work Start TimeStamp]])*24)</f>
        <v/>
      </c>
      <c r="Q422" s="57">
        <f>(IGA_BD[[#This Row],[Fault Clearance time]]-IGA_BD[[#This Row],[Fault Start TimeStamp]])*24</f>
        <v>0</v>
      </c>
      <c r="R422" s="153"/>
      <c r="S422" s="44"/>
      <c r="T422" s="45" t="str">
        <f>IFERROR(IGA_BD[[#This Row],[Breakdown Time]]*IGA_BD[[#This Row],[Plant Equivalent Weightage]],"")</f>
        <v/>
      </c>
    </row>
    <row r="423" spans="1:20">
      <c r="A423" s="28"/>
      <c r="B423" s="154"/>
      <c r="C423" s="30">
        <f>YEAR(WTG_BD[[#This Row],[Date]])+IF(MONTH(WTG_BD[[#This Row],[Date]])&gt;=4,1,0)</f>
        <v>2026</v>
      </c>
      <c r="D423" s="31">
        <f>YEAR(IGA_BD[[#This Row],[Date]])</f>
        <v>1900</v>
      </c>
      <c r="E423" s="48">
        <f t="shared" si="9"/>
        <v>1</v>
      </c>
      <c r="F423" s="32"/>
      <c r="G423" s="33"/>
      <c r="H423" s="43" t="str">
        <f>IFERROR(VLOOKUP(IGA_BD[[#This Row],[Affected Feeder ]],'Basic Data'!$A$42:$E$53,2,0),"")</f>
        <v/>
      </c>
      <c r="I423" s="43" t="str">
        <f>IFERROR(VLOOKUP(IGA_BD[[#This Row],[Affected Feeder ]],'Basic Data'!$A$42:$E$53,3,0),"")</f>
        <v/>
      </c>
      <c r="J423" s="43" t="str">
        <f>IFERROR(VLOOKUP(IGA_BD[[#This Row],[Affected Feeder ]],'Basic Data'!$A$42:$E$53,5,0),"")</f>
        <v/>
      </c>
      <c r="K423" s="164"/>
      <c r="L423" s="50"/>
      <c r="M423" s="116"/>
      <c r="N423" s="116"/>
      <c r="O423" s="57">
        <f>(IGA_BD[[#This Row],[Work Start TimeStamp]]-IGA_BD[[#This Row],[Fault Start TimeStamp]])*24</f>
        <v>0</v>
      </c>
      <c r="P423" s="44" t="str">
        <f>IF(IGA_BD[[#This Row],[Work Start TimeStamp]]="","",(IGA_BD[[#This Row],[Fault Clearance time]]-IGA_BD[[#This Row],[Work Start TimeStamp]])*24)</f>
        <v/>
      </c>
      <c r="Q423" s="57">
        <f>(IGA_BD[[#This Row],[Fault Clearance time]]-IGA_BD[[#This Row],[Fault Start TimeStamp]])*24</f>
        <v>0</v>
      </c>
      <c r="R423" s="153"/>
      <c r="S423" s="44"/>
      <c r="T423" s="45" t="str">
        <f>IFERROR(IGA_BD[[#This Row],[Breakdown Time]]*IGA_BD[[#This Row],[Plant Equivalent Weightage]],"")</f>
        <v/>
      </c>
    </row>
    <row r="424" spans="1:20">
      <c r="A424" s="28"/>
      <c r="B424" s="154"/>
      <c r="C424" s="30">
        <f>YEAR(WTG_BD[[#This Row],[Date]])+IF(MONTH(WTG_BD[[#This Row],[Date]])&gt;=4,1,0)</f>
        <v>2026</v>
      </c>
      <c r="D424" s="31">
        <f>YEAR(IGA_BD[[#This Row],[Date]])</f>
        <v>1900</v>
      </c>
      <c r="E424" s="48">
        <f t="shared" si="9"/>
        <v>1</v>
      </c>
      <c r="F424" s="32"/>
      <c r="G424" s="33"/>
      <c r="H424" s="43" t="str">
        <f>IFERROR(VLOOKUP(IGA_BD[[#This Row],[Affected Feeder ]],'Basic Data'!$A$42:$E$53,2,0),"")</f>
        <v/>
      </c>
      <c r="I424" s="43" t="str">
        <f>IFERROR(VLOOKUP(IGA_BD[[#This Row],[Affected Feeder ]],'Basic Data'!$A$42:$E$53,3,0),"")</f>
        <v/>
      </c>
      <c r="J424" s="43" t="str">
        <f>IFERROR(VLOOKUP(IGA_BD[[#This Row],[Affected Feeder ]],'Basic Data'!$A$42:$E$53,5,0),"")</f>
        <v/>
      </c>
      <c r="K424" s="164"/>
      <c r="L424" s="50"/>
      <c r="M424" s="116"/>
      <c r="N424" s="116"/>
      <c r="O424" s="57">
        <f>(IGA_BD[[#This Row],[Work Start TimeStamp]]-IGA_BD[[#This Row],[Fault Start TimeStamp]])*24</f>
        <v>0</v>
      </c>
      <c r="P424" s="44" t="str">
        <f>IF(IGA_BD[[#This Row],[Work Start TimeStamp]]="","",(IGA_BD[[#This Row],[Fault Clearance time]]-IGA_BD[[#This Row],[Work Start TimeStamp]])*24)</f>
        <v/>
      </c>
      <c r="Q424" s="57">
        <f>(IGA_BD[[#This Row],[Fault Clearance time]]-IGA_BD[[#This Row],[Fault Start TimeStamp]])*24</f>
        <v>0</v>
      </c>
      <c r="R424" s="153"/>
      <c r="S424" s="44"/>
      <c r="T424" s="45" t="str">
        <f>IFERROR(IGA_BD[[#This Row],[Breakdown Time]]*IGA_BD[[#This Row],[Plant Equivalent Weightage]],"")</f>
        <v/>
      </c>
    </row>
    <row r="425" spans="1:20">
      <c r="A425" s="28"/>
      <c r="B425" s="154"/>
      <c r="C425" s="30">
        <f>YEAR(WTG_BD[[#This Row],[Date]])+IF(MONTH(WTG_BD[[#This Row],[Date]])&gt;=4,1,0)</f>
        <v>2026</v>
      </c>
      <c r="D425" s="31">
        <f>YEAR(IGA_BD[[#This Row],[Date]])</f>
        <v>1900</v>
      </c>
      <c r="E425" s="48">
        <f t="shared" si="9"/>
        <v>1</v>
      </c>
      <c r="F425" s="32"/>
      <c r="G425" s="33"/>
      <c r="H425" s="43" t="str">
        <f>IFERROR(VLOOKUP(IGA_BD[[#This Row],[Affected Feeder ]],'Basic Data'!$A$42:$E$53,2,0),"")</f>
        <v/>
      </c>
      <c r="I425" s="43" t="str">
        <f>IFERROR(VLOOKUP(IGA_BD[[#This Row],[Affected Feeder ]],'Basic Data'!$A$42:$E$53,3,0),"")</f>
        <v/>
      </c>
      <c r="J425" s="43" t="str">
        <f>IFERROR(VLOOKUP(IGA_BD[[#This Row],[Affected Feeder ]],'Basic Data'!$A$42:$E$53,5,0),"")</f>
        <v/>
      </c>
      <c r="K425" s="164"/>
      <c r="L425" s="50"/>
      <c r="M425" s="116"/>
      <c r="N425" s="116"/>
      <c r="O425" s="57">
        <f>(IGA_BD[[#This Row],[Work Start TimeStamp]]-IGA_BD[[#This Row],[Fault Start TimeStamp]])*24</f>
        <v>0</v>
      </c>
      <c r="P425" s="44" t="str">
        <f>IF(IGA_BD[[#This Row],[Work Start TimeStamp]]="","",(IGA_BD[[#This Row],[Fault Clearance time]]-IGA_BD[[#This Row],[Work Start TimeStamp]])*24)</f>
        <v/>
      </c>
      <c r="Q425" s="57">
        <f>(IGA_BD[[#This Row],[Fault Clearance time]]-IGA_BD[[#This Row],[Fault Start TimeStamp]])*24</f>
        <v>0</v>
      </c>
      <c r="R425" s="153"/>
      <c r="S425" s="44"/>
      <c r="T425" s="45" t="str">
        <f>IFERROR(IGA_BD[[#This Row],[Breakdown Time]]*IGA_BD[[#This Row],[Plant Equivalent Weightage]],"")</f>
        <v/>
      </c>
    </row>
    <row r="426" spans="1:20">
      <c r="A426" s="28"/>
      <c r="B426" s="154"/>
      <c r="C426" s="30">
        <f>YEAR(WTG_BD[[#This Row],[Date]])+IF(MONTH(WTG_BD[[#This Row],[Date]])&gt;=4,1,0)</f>
        <v>2026</v>
      </c>
      <c r="D426" s="31">
        <f>YEAR(IGA_BD[[#This Row],[Date]])</f>
        <v>1900</v>
      </c>
      <c r="E426" s="48">
        <f t="shared" si="9"/>
        <v>1</v>
      </c>
      <c r="F426" s="32"/>
      <c r="G426" s="33"/>
      <c r="H426" s="43" t="str">
        <f>IFERROR(VLOOKUP(IGA_BD[[#This Row],[Affected Feeder ]],'Basic Data'!$A$42:$E$53,2,0),"")</f>
        <v/>
      </c>
      <c r="I426" s="43" t="str">
        <f>IFERROR(VLOOKUP(IGA_BD[[#This Row],[Affected Feeder ]],'Basic Data'!$A$42:$E$53,3,0),"")</f>
        <v/>
      </c>
      <c r="J426" s="43" t="str">
        <f>IFERROR(VLOOKUP(IGA_BD[[#This Row],[Affected Feeder ]],'Basic Data'!$A$42:$E$53,5,0),"")</f>
        <v/>
      </c>
      <c r="K426" s="164"/>
      <c r="L426" s="50"/>
      <c r="M426" s="116"/>
      <c r="N426" s="116"/>
      <c r="O426" s="57">
        <f>(IGA_BD[[#This Row],[Work Start TimeStamp]]-IGA_BD[[#This Row],[Fault Start TimeStamp]])*24</f>
        <v>0</v>
      </c>
      <c r="P426" s="44" t="str">
        <f>IF(IGA_BD[[#This Row],[Work Start TimeStamp]]="","",(IGA_BD[[#This Row],[Fault Clearance time]]-IGA_BD[[#This Row],[Work Start TimeStamp]])*24)</f>
        <v/>
      </c>
      <c r="Q426" s="57">
        <f>(IGA_BD[[#This Row],[Fault Clearance time]]-IGA_BD[[#This Row],[Fault Start TimeStamp]])*24</f>
        <v>0</v>
      </c>
      <c r="R426" s="153"/>
      <c r="S426" s="44"/>
      <c r="T426" s="45" t="str">
        <f>IFERROR(IGA_BD[[#This Row],[Breakdown Time]]*IGA_BD[[#This Row],[Plant Equivalent Weightage]],"")</f>
        <v/>
      </c>
    </row>
    <row r="427" spans="1:20">
      <c r="A427" s="28"/>
      <c r="B427" s="154"/>
      <c r="C427" s="30">
        <f>YEAR(WTG_BD[[#This Row],[Date]])+IF(MONTH(WTG_BD[[#This Row],[Date]])&gt;=4,1,0)</f>
        <v>2026</v>
      </c>
      <c r="D427" s="31">
        <f>YEAR(IGA_BD[[#This Row],[Date]])</f>
        <v>1900</v>
      </c>
      <c r="E427" s="48">
        <f t="shared" si="9"/>
        <v>1</v>
      </c>
      <c r="F427" s="32"/>
      <c r="G427" s="33"/>
      <c r="H427" s="43" t="str">
        <f>IFERROR(VLOOKUP(IGA_BD[[#This Row],[Affected Feeder ]],'Basic Data'!$A$42:$E$53,2,0),"")</f>
        <v/>
      </c>
      <c r="I427" s="43" t="str">
        <f>IFERROR(VLOOKUP(IGA_BD[[#This Row],[Affected Feeder ]],'Basic Data'!$A$42:$E$53,3,0),"")</f>
        <v/>
      </c>
      <c r="J427" s="43" t="str">
        <f>IFERROR(VLOOKUP(IGA_BD[[#This Row],[Affected Feeder ]],'Basic Data'!$A$42:$E$53,5,0),"")</f>
        <v/>
      </c>
      <c r="K427" s="164"/>
      <c r="L427" s="50"/>
      <c r="M427" s="116"/>
      <c r="N427" s="116"/>
      <c r="O427" s="57">
        <f>(IGA_BD[[#This Row],[Work Start TimeStamp]]-IGA_BD[[#This Row],[Fault Start TimeStamp]])*24</f>
        <v>0</v>
      </c>
      <c r="P427" s="44" t="str">
        <f>IF(IGA_BD[[#This Row],[Work Start TimeStamp]]="","",(IGA_BD[[#This Row],[Fault Clearance time]]-IGA_BD[[#This Row],[Work Start TimeStamp]])*24)</f>
        <v/>
      </c>
      <c r="Q427" s="57">
        <f>(IGA_BD[[#This Row],[Fault Clearance time]]-IGA_BD[[#This Row],[Fault Start TimeStamp]])*24</f>
        <v>0</v>
      </c>
      <c r="R427" s="153"/>
      <c r="S427" s="44"/>
      <c r="T427" s="45" t="str">
        <f>IFERROR(IGA_BD[[#This Row],[Breakdown Time]]*IGA_BD[[#This Row],[Plant Equivalent Weightage]],"")</f>
        <v/>
      </c>
    </row>
    <row r="428" spans="1:20">
      <c r="A428" s="28"/>
      <c r="B428" s="154"/>
      <c r="C428" s="30">
        <f>YEAR(WTG_BD[[#This Row],[Date]])+IF(MONTH(WTG_BD[[#This Row],[Date]])&gt;=4,1,0)</f>
        <v>2026</v>
      </c>
      <c r="D428" s="31">
        <f>YEAR(IGA_BD[[#This Row],[Date]])</f>
        <v>1900</v>
      </c>
      <c r="E428" s="48">
        <f t="shared" si="9"/>
        <v>1</v>
      </c>
      <c r="F428" s="32"/>
      <c r="G428" s="33"/>
      <c r="H428" s="43" t="str">
        <f>IFERROR(VLOOKUP(IGA_BD[[#This Row],[Affected Feeder ]],'Basic Data'!$A$42:$E$53,2,0),"")</f>
        <v/>
      </c>
      <c r="I428" s="43" t="str">
        <f>IFERROR(VLOOKUP(IGA_BD[[#This Row],[Affected Feeder ]],'Basic Data'!$A$42:$E$53,3,0),"")</f>
        <v/>
      </c>
      <c r="J428" s="43" t="str">
        <f>IFERROR(VLOOKUP(IGA_BD[[#This Row],[Affected Feeder ]],'Basic Data'!$A$42:$E$53,5,0),"")</f>
        <v/>
      </c>
      <c r="K428" s="164"/>
      <c r="L428" s="50"/>
      <c r="M428" s="116"/>
      <c r="N428" s="116"/>
      <c r="O428" s="57">
        <f>(IGA_BD[[#This Row],[Work Start TimeStamp]]-IGA_BD[[#This Row],[Fault Start TimeStamp]])*24</f>
        <v>0</v>
      </c>
      <c r="P428" s="44" t="str">
        <f>IF(IGA_BD[[#This Row],[Work Start TimeStamp]]="","",(IGA_BD[[#This Row],[Fault Clearance time]]-IGA_BD[[#This Row],[Work Start TimeStamp]])*24)</f>
        <v/>
      </c>
      <c r="Q428" s="57">
        <f>(IGA_BD[[#This Row],[Fault Clearance time]]-IGA_BD[[#This Row],[Fault Start TimeStamp]])*24</f>
        <v>0</v>
      </c>
      <c r="R428" s="153"/>
      <c r="S428" s="44"/>
      <c r="T428" s="45" t="str">
        <f>IFERROR(IGA_BD[[#This Row],[Breakdown Time]]*IGA_BD[[#This Row],[Plant Equivalent Weightage]],"")</f>
        <v/>
      </c>
    </row>
    <row r="429" spans="1:20">
      <c r="A429" s="28"/>
      <c r="B429" s="154"/>
      <c r="C429" s="30">
        <f>YEAR(WTG_BD[[#This Row],[Date]])+IF(MONTH(WTG_BD[[#This Row],[Date]])&gt;=4,1,0)</f>
        <v>2026</v>
      </c>
      <c r="D429" s="31">
        <f>YEAR(IGA_BD[[#This Row],[Date]])</f>
        <v>1900</v>
      </c>
      <c r="E429" s="48">
        <f t="shared" si="9"/>
        <v>1</v>
      </c>
      <c r="F429" s="32"/>
      <c r="G429" s="33"/>
      <c r="H429" s="43" t="str">
        <f>IFERROR(VLOOKUP(IGA_BD[[#This Row],[Affected Feeder ]],'Basic Data'!$A$42:$E$53,2,0),"")</f>
        <v/>
      </c>
      <c r="I429" s="43" t="str">
        <f>IFERROR(VLOOKUP(IGA_BD[[#This Row],[Affected Feeder ]],'Basic Data'!$A$42:$E$53,3,0),"")</f>
        <v/>
      </c>
      <c r="J429" s="43" t="str">
        <f>IFERROR(VLOOKUP(IGA_BD[[#This Row],[Affected Feeder ]],'Basic Data'!$A$42:$E$53,5,0),"")</f>
        <v/>
      </c>
      <c r="K429" s="164"/>
      <c r="L429" s="50"/>
      <c r="M429" s="116"/>
      <c r="N429" s="116"/>
      <c r="O429" s="57">
        <f>(IGA_BD[[#This Row],[Work Start TimeStamp]]-IGA_BD[[#This Row],[Fault Start TimeStamp]])*24</f>
        <v>0</v>
      </c>
      <c r="P429" s="44" t="str">
        <f>IF(IGA_BD[[#This Row],[Work Start TimeStamp]]="","",(IGA_BD[[#This Row],[Fault Clearance time]]-IGA_BD[[#This Row],[Work Start TimeStamp]])*24)</f>
        <v/>
      </c>
      <c r="Q429" s="57">
        <f>(IGA_BD[[#This Row],[Fault Clearance time]]-IGA_BD[[#This Row],[Fault Start TimeStamp]])*24</f>
        <v>0</v>
      </c>
      <c r="R429" s="153"/>
      <c r="S429" s="44"/>
      <c r="T429" s="45" t="str">
        <f>IFERROR(IGA_BD[[#This Row],[Breakdown Time]]*IGA_BD[[#This Row],[Plant Equivalent Weightage]],"")</f>
        <v/>
      </c>
    </row>
    <row r="430" spans="1:20">
      <c r="A430" s="28"/>
      <c r="B430" s="154"/>
      <c r="C430" s="30">
        <f>YEAR(WTG_BD[[#This Row],[Date]])+IF(MONTH(WTG_BD[[#This Row],[Date]])&gt;=4,1,0)</f>
        <v>2026</v>
      </c>
      <c r="D430" s="31">
        <f>YEAR(IGA_BD[[#This Row],[Date]])</f>
        <v>1900</v>
      </c>
      <c r="E430" s="48">
        <f t="shared" si="9"/>
        <v>1</v>
      </c>
      <c r="F430" s="32"/>
      <c r="G430" s="33"/>
      <c r="H430" s="43" t="str">
        <f>IFERROR(VLOOKUP(IGA_BD[[#This Row],[Affected Feeder ]],'Basic Data'!$A$42:$E$53,2,0),"")</f>
        <v/>
      </c>
      <c r="I430" s="43" t="str">
        <f>IFERROR(VLOOKUP(IGA_BD[[#This Row],[Affected Feeder ]],'Basic Data'!$A$42:$E$53,3,0),"")</f>
        <v/>
      </c>
      <c r="J430" s="43" t="str">
        <f>IFERROR(VLOOKUP(IGA_BD[[#This Row],[Affected Feeder ]],'Basic Data'!$A$42:$E$53,5,0),"")</f>
        <v/>
      </c>
      <c r="K430" s="164"/>
      <c r="L430" s="50"/>
      <c r="M430" s="116"/>
      <c r="N430" s="116"/>
      <c r="O430" s="57">
        <f>(IGA_BD[[#This Row],[Work Start TimeStamp]]-IGA_BD[[#This Row],[Fault Start TimeStamp]])*24</f>
        <v>0</v>
      </c>
      <c r="P430" s="44" t="str">
        <f>IF(IGA_BD[[#This Row],[Work Start TimeStamp]]="","",(IGA_BD[[#This Row],[Fault Clearance time]]-IGA_BD[[#This Row],[Work Start TimeStamp]])*24)</f>
        <v/>
      </c>
      <c r="Q430" s="57">
        <f>(IGA_BD[[#This Row],[Fault Clearance time]]-IGA_BD[[#This Row],[Fault Start TimeStamp]])*24</f>
        <v>0</v>
      </c>
      <c r="R430" s="153"/>
      <c r="S430" s="44"/>
      <c r="T430" s="45" t="str">
        <f>IFERROR(IGA_BD[[#This Row],[Breakdown Time]]*IGA_BD[[#This Row],[Plant Equivalent Weightage]],"")</f>
        <v/>
      </c>
    </row>
    <row r="431" spans="1:20">
      <c r="A431" s="28"/>
      <c r="B431" s="154"/>
      <c r="C431" s="30">
        <f>YEAR(WTG_BD[[#This Row],[Date]])+IF(MONTH(WTG_BD[[#This Row],[Date]])&gt;=4,1,0)</f>
        <v>2026</v>
      </c>
      <c r="D431" s="31">
        <f>YEAR(IGA_BD[[#This Row],[Date]])</f>
        <v>1900</v>
      </c>
      <c r="E431" s="48">
        <f t="shared" si="9"/>
        <v>1</v>
      </c>
      <c r="F431" s="32"/>
      <c r="G431" s="33"/>
      <c r="H431" s="43" t="str">
        <f>IFERROR(VLOOKUP(IGA_BD[[#This Row],[Affected Feeder ]],'Basic Data'!$A$42:$E$53,2,0),"")</f>
        <v/>
      </c>
      <c r="I431" s="43" t="str">
        <f>IFERROR(VLOOKUP(IGA_BD[[#This Row],[Affected Feeder ]],'Basic Data'!$A$42:$E$53,3,0),"")</f>
        <v/>
      </c>
      <c r="J431" s="43" t="str">
        <f>IFERROR(VLOOKUP(IGA_BD[[#This Row],[Affected Feeder ]],'Basic Data'!$A$42:$E$53,5,0),"")</f>
        <v/>
      </c>
      <c r="K431" s="164"/>
      <c r="L431" s="50"/>
      <c r="M431" s="116"/>
      <c r="N431" s="116"/>
      <c r="O431" s="57">
        <f>(IGA_BD[[#This Row],[Work Start TimeStamp]]-IGA_BD[[#This Row],[Fault Start TimeStamp]])*24</f>
        <v>0</v>
      </c>
      <c r="P431" s="44" t="str">
        <f>IF(IGA_BD[[#This Row],[Work Start TimeStamp]]="","",(IGA_BD[[#This Row],[Fault Clearance time]]-IGA_BD[[#This Row],[Work Start TimeStamp]])*24)</f>
        <v/>
      </c>
      <c r="Q431" s="57">
        <f>(IGA_BD[[#This Row],[Fault Clearance time]]-IGA_BD[[#This Row],[Fault Start TimeStamp]])*24</f>
        <v>0</v>
      </c>
      <c r="R431" s="153"/>
      <c r="S431" s="44"/>
      <c r="T431" s="45" t="str">
        <f>IFERROR(IGA_BD[[#This Row],[Breakdown Time]]*IGA_BD[[#This Row],[Plant Equivalent Weightage]],"")</f>
        <v/>
      </c>
    </row>
    <row r="432" spans="1:20">
      <c r="A432" s="28"/>
      <c r="B432" s="154"/>
      <c r="C432" s="30">
        <f>YEAR(WTG_BD[[#This Row],[Date]])+IF(MONTH(WTG_BD[[#This Row],[Date]])&gt;=4,1,0)</f>
        <v>2026</v>
      </c>
      <c r="D432" s="31">
        <f>YEAR(IGA_BD[[#This Row],[Date]])</f>
        <v>1900</v>
      </c>
      <c r="E432" s="48">
        <f t="shared" si="9"/>
        <v>1</v>
      </c>
      <c r="F432" s="32"/>
      <c r="G432" s="33"/>
      <c r="H432" s="43" t="str">
        <f>IFERROR(VLOOKUP(IGA_BD[[#This Row],[Affected Feeder ]],'Basic Data'!$A$42:$E$53,2,0),"")</f>
        <v/>
      </c>
      <c r="I432" s="43" t="str">
        <f>IFERROR(VLOOKUP(IGA_BD[[#This Row],[Affected Feeder ]],'Basic Data'!$A$42:$E$53,3,0),"")</f>
        <v/>
      </c>
      <c r="J432" s="43" t="str">
        <f>IFERROR(VLOOKUP(IGA_BD[[#This Row],[Affected Feeder ]],'Basic Data'!$A$42:$E$53,5,0),"")</f>
        <v/>
      </c>
      <c r="K432" s="164"/>
      <c r="L432" s="50"/>
      <c r="M432" s="116"/>
      <c r="N432" s="116"/>
      <c r="O432" s="57">
        <f>(IGA_BD[[#This Row],[Work Start TimeStamp]]-IGA_BD[[#This Row],[Fault Start TimeStamp]])*24</f>
        <v>0</v>
      </c>
      <c r="P432" s="44" t="str">
        <f>IF(IGA_BD[[#This Row],[Work Start TimeStamp]]="","",(IGA_BD[[#This Row],[Fault Clearance time]]-IGA_BD[[#This Row],[Work Start TimeStamp]])*24)</f>
        <v/>
      </c>
      <c r="Q432" s="57">
        <f>(IGA_BD[[#This Row],[Fault Clearance time]]-IGA_BD[[#This Row],[Fault Start TimeStamp]])*24</f>
        <v>0</v>
      </c>
      <c r="R432" s="153"/>
      <c r="S432" s="44"/>
      <c r="T432" s="45" t="str">
        <f>IFERROR(IGA_BD[[#This Row],[Breakdown Time]]*IGA_BD[[#This Row],[Plant Equivalent Weightage]],"")</f>
        <v/>
      </c>
    </row>
    <row r="433" spans="1:20">
      <c r="A433" s="28"/>
      <c r="B433" s="154"/>
      <c r="C433" s="30">
        <f>YEAR(WTG_BD[[#This Row],[Date]])+IF(MONTH(WTG_BD[[#This Row],[Date]])&gt;=4,1,0)</f>
        <v>2026</v>
      </c>
      <c r="D433" s="31">
        <f>YEAR(IGA_BD[[#This Row],[Date]])</f>
        <v>1900</v>
      </c>
      <c r="E433" s="48">
        <f t="shared" si="9"/>
        <v>1</v>
      </c>
      <c r="F433" s="32"/>
      <c r="G433" s="33"/>
      <c r="H433" s="43" t="str">
        <f>IFERROR(VLOOKUP(IGA_BD[[#This Row],[Affected Feeder ]],'Basic Data'!$A$42:$E$53,2,0),"")</f>
        <v/>
      </c>
      <c r="I433" s="43" t="str">
        <f>IFERROR(VLOOKUP(IGA_BD[[#This Row],[Affected Feeder ]],'Basic Data'!$A$42:$E$53,3,0),"")</f>
        <v/>
      </c>
      <c r="J433" s="43" t="str">
        <f>IFERROR(VLOOKUP(IGA_BD[[#This Row],[Affected Feeder ]],'Basic Data'!$A$42:$E$53,5,0),"")</f>
        <v/>
      </c>
      <c r="K433" s="164"/>
      <c r="L433" s="50"/>
      <c r="M433" s="116"/>
      <c r="N433" s="116"/>
      <c r="O433" s="57">
        <f>(IGA_BD[[#This Row],[Work Start TimeStamp]]-IGA_BD[[#This Row],[Fault Start TimeStamp]])*24</f>
        <v>0</v>
      </c>
      <c r="P433" s="44" t="str">
        <f>IF(IGA_BD[[#This Row],[Work Start TimeStamp]]="","",(IGA_BD[[#This Row],[Fault Clearance time]]-IGA_BD[[#This Row],[Work Start TimeStamp]])*24)</f>
        <v/>
      </c>
      <c r="Q433" s="57">
        <f>(IGA_BD[[#This Row],[Fault Clearance time]]-IGA_BD[[#This Row],[Fault Start TimeStamp]])*24</f>
        <v>0</v>
      </c>
      <c r="R433" s="153"/>
      <c r="S433" s="44"/>
      <c r="T433" s="45" t="str">
        <f>IFERROR(IGA_BD[[#This Row],[Breakdown Time]]*IGA_BD[[#This Row],[Plant Equivalent Weightage]],"")</f>
        <v/>
      </c>
    </row>
    <row r="434" spans="1:20">
      <c r="A434" s="28"/>
      <c r="B434" s="154"/>
      <c r="C434" s="30">
        <f>YEAR(WTG_BD[[#This Row],[Date]])+IF(MONTH(WTG_BD[[#This Row],[Date]])&gt;=4,1,0)</f>
        <v>2026</v>
      </c>
      <c r="D434" s="31">
        <f>YEAR(IGA_BD[[#This Row],[Date]])</f>
        <v>1900</v>
      </c>
      <c r="E434" s="48">
        <f t="shared" si="9"/>
        <v>1</v>
      </c>
      <c r="F434" s="32"/>
      <c r="G434" s="33"/>
      <c r="H434" s="43" t="str">
        <f>IFERROR(VLOOKUP(IGA_BD[[#This Row],[Affected Feeder ]],'Basic Data'!$A$42:$E$53,2,0),"")</f>
        <v/>
      </c>
      <c r="I434" s="43" t="str">
        <f>IFERROR(VLOOKUP(IGA_BD[[#This Row],[Affected Feeder ]],'Basic Data'!$A$42:$E$53,3,0),"")</f>
        <v/>
      </c>
      <c r="J434" s="43" t="str">
        <f>IFERROR(VLOOKUP(IGA_BD[[#This Row],[Affected Feeder ]],'Basic Data'!$A$42:$E$53,5,0),"")</f>
        <v/>
      </c>
      <c r="K434" s="164"/>
      <c r="L434" s="50"/>
      <c r="M434" s="116"/>
      <c r="N434" s="116"/>
      <c r="O434" s="57">
        <f>(IGA_BD[[#This Row],[Work Start TimeStamp]]-IGA_BD[[#This Row],[Fault Start TimeStamp]])*24</f>
        <v>0</v>
      </c>
      <c r="P434" s="44" t="str">
        <f>IF(IGA_BD[[#This Row],[Work Start TimeStamp]]="","",(IGA_BD[[#This Row],[Fault Clearance time]]-IGA_BD[[#This Row],[Work Start TimeStamp]])*24)</f>
        <v/>
      </c>
      <c r="Q434" s="57">
        <f>(IGA_BD[[#This Row],[Fault Clearance time]]-IGA_BD[[#This Row],[Fault Start TimeStamp]])*24</f>
        <v>0</v>
      </c>
      <c r="R434" s="153"/>
      <c r="S434" s="44"/>
      <c r="T434" s="45" t="str">
        <f>IFERROR(IGA_BD[[#This Row],[Breakdown Time]]*IGA_BD[[#This Row],[Plant Equivalent Weightage]],"")</f>
        <v/>
      </c>
    </row>
    <row r="435" spans="1:20">
      <c r="A435" s="28"/>
      <c r="B435" s="154"/>
      <c r="C435" s="30">
        <f>YEAR(WTG_BD[[#This Row],[Date]])+IF(MONTH(WTG_BD[[#This Row],[Date]])&gt;=4,1,0)</f>
        <v>2026</v>
      </c>
      <c r="D435" s="31">
        <f>YEAR(IGA_BD[[#This Row],[Date]])</f>
        <v>1900</v>
      </c>
      <c r="E435" s="48">
        <f t="shared" si="9"/>
        <v>1</v>
      </c>
      <c r="F435" s="32"/>
      <c r="G435" s="33"/>
      <c r="H435" s="43" t="str">
        <f>IFERROR(VLOOKUP(IGA_BD[[#This Row],[Affected Feeder ]],'Basic Data'!$A$42:$E$53,2,0),"")</f>
        <v/>
      </c>
      <c r="I435" s="43" t="str">
        <f>IFERROR(VLOOKUP(IGA_BD[[#This Row],[Affected Feeder ]],'Basic Data'!$A$42:$E$53,3,0),"")</f>
        <v/>
      </c>
      <c r="J435" s="43" t="str">
        <f>IFERROR(VLOOKUP(IGA_BD[[#This Row],[Affected Feeder ]],'Basic Data'!$A$42:$E$53,5,0),"")</f>
        <v/>
      </c>
      <c r="K435" s="164"/>
      <c r="L435" s="50"/>
      <c r="M435" s="116"/>
      <c r="N435" s="116"/>
      <c r="O435" s="57">
        <f>(IGA_BD[[#This Row],[Work Start TimeStamp]]-IGA_BD[[#This Row],[Fault Start TimeStamp]])*24</f>
        <v>0</v>
      </c>
      <c r="P435" s="44" t="str">
        <f>IF(IGA_BD[[#This Row],[Work Start TimeStamp]]="","",(IGA_BD[[#This Row],[Fault Clearance time]]-IGA_BD[[#This Row],[Work Start TimeStamp]])*24)</f>
        <v/>
      </c>
      <c r="Q435" s="57">
        <f>(IGA_BD[[#This Row],[Fault Clearance time]]-IGA_BD[[#This Row],[Fault Start TimeStamp]])*24</f>
        <v>0</v>
      </c>
      <c r="R435" s="153"/>
      <c r="S435" s="44"/>
      <c r="T435" s="45" t="str">
        <f>IFERROR(IGA_BD[[#This Row],[Breakdown Time]]*IGA_BD[[#This Row],[Plant Equivalent Weightage]],"")</f>
        <v/>
      </c>
    </row>
    <row r="436" spans="1:20">
      <c r="A436" s="28"/>
      <c r="B436" s="154"/>
      <c r="C436" s="30">
        <f>YEAR(WTG_BD[[#This Row],[Date]])+IF(MONTH(WTG_BD[[#This Row],[Date]])&gt;=4,1,0)</f>
        <v>2026</v>
      </c>
      <c r="D436" s="31">
        <f>YEAR(IGA_BD[[#This Row],[Date]])</f>
        <v>1900</v>
      </c>
      <c r="E436" s="48">
        <f t="shared" si="9"/>
        <v>1</v>
      </c>
      <c r="F436" s="32"/>
      <c r="G436" s="33"/>
      <c r="H436" s="43" t="str">
        <f>IFERROR(VLOOKUP(IGA_BD[[#This Row],[Affected Feeder ]],'Basic Data'!$A$42:$E$53,2,0),"")</f>
        <v/>
      </c>
      <c r="I436" s="43" t="str">
        <f>IFERROR(VLOOKUP(IGA_BD[[#This Row],[Affected Feeder ]],'Basic Data'!$A$42:$E$53,3,0),"")</f>
        <v/>
      </c>
      <c r="J436" s="43" t="str">
        <f>IFERROR(VLOOKUP(IGA_BD[[#This Row],[Affected Feeder ]],'Basic Data'!$A$42:$E$53,5,0),"")</f>
        <v/>
      </c>
      <c r="K436" s="164"/>
      <c r="L436" s="50"/>
      <c r="M436" s="116"/>
      <c r="N436" s="116"/>
      <c r="O436" s="57">
        <f>(IGA_BD[[#This Row],[Work Start TimeStamp]]-IGA_BD[[#This Row],[Fault Start TimeStamp]])*24</f>
        <v>0</v>
      </c>
      <c r="P436" s="44" t="str">
        <f>IF(IGA_BD[[#This Row],[Work Start TimeStamp]]="","",(IGA_BD[[#This Row],[Fault Clearance time]]-IGA_BD[[#This Row],[Work Start TimeStamp]])*24)</f>
        <v/>
      </c>
      <c r="Q436" s="57">
        <f>(IGA_BD[[#This Row],[Fault Clearance time]]-IGA_BD[[#This Row],[Fault Start TimeStamp]])*24</f>
        <v>0</v>
      </c>
      <c r="R436" s="153"/>
      <c r="S436" s="44"/>
      <c r="T436" s="45" t="str">
        <f>IFERROR(IGA_BD[[#This Row],[Breakdown Time]]*IGA_BD[[#This Row],[Plant Equivalent Weightage]],"")</f>
        <v/>
      </c>
    </row>
    <row r="437" spans="1:20">
      <c r="A437" s="28"/>
      <c r="B437" s="154"/>
      <c r="C437" s="30">
        <f>YEAR(WTG_BD[[#This Row],[Date]])+IF(MONTH(WTG_BD[[#This Row],[Date]])&gt;=4,1,0)</f>
        <v>2026</v>
      </c>
      <c r="D437" s="31">
        <f>YEAR(IGA_BD[[#This Row],[Date]])</f>
        <v>1900</v>
      </c>
      <c r="E437" s="48">
        <f t="shared" si="9"/>
        <v>1</v>
      </c>
      <c r="F437" s="32"/>
      <c r="G437" s="33"/>
      <c r="H437" s="43" t="str">
        <f>IFERROR(VLOOKUP(IGA_BD[[#This Row],[Affected Feeder ]],'Basic Data'!$A$42:$E$53,2,0),"")</f>
        <v/>
      </c>
      <c r="I437" s="43" t="str">
        <f>IFERROR(VLOOKUP(IGA_BD[[#This Row],[Affected Feeder ]],'Basic Data'!$A$42:$E$53,3,0),"")</f>
        <v/>
      </c>
      <c r="J437" s="43" t="str">
        <f>IFERROR(VLOOKUP(IGA_BD[[#This Row],[Affected Feeder ]],'Basic Data'!$A$42:$E$53,5,0),"")</f>
        <v/>
      </c>
      <c r="K437" s="164"/>
      <c r="L437" s="50"/>
      <c r="M437" s="116"/>
      <c r="N437" s="116"/>
      <c r="O437" s="57">
        <f>(IGA_BD[[#This Row],[Work Start TimeStamp]]-IGA_BD[[#This Row],[Fault Start TimeStamp]])*24</f>
        <v>0</v>
      </c>
      <c r="P437" s="44" t="str">
        <f>IF(IGA_BD[[#This Row],[Work Start TimeStamp]]="","",(IGA_BD[[#This Row],[Fault Clearance time]]-IGA_BD[[#This Row],[Work Start TimeStamp]])*24)</f>
        <v/>
      </c>
      <c r="Q437" s="57">
        <f>(IGA_BD[[#This Row],[Fault Clearance time]]-IGA_BD[[#This Row],[Fault Start TimeStamp]])*24</f>
        <v>0</v>
      </c>
      <c r="R437" s="153"/>
      <c r="S437" s="44"/>
      <c r="T437" s="45" t="str">
        <f>IFERROR(IGA_BD[[#This Row],[Breakdown Time]]*IGA_BD[[#This Row],[Plant Equivalent Weightage]],"")</f>
        <v/>
      </c>
    </row>
    <row r="438" spans="1:20">
      <c r="A438" s="28"/>
      <c r="B438" s="154"/>
      <c r="C438" s="30">
        <f>YEAR(WTG_BD[[#This Row],[Date]])+IF(MONTH(WTG_BD[[#This Row],[Date]])&gt;=4,1,0)</f>
        <v>2026</v>
      </c>
      <c r="D438" s="31">
        <f>YEAR(IGA_BD[[#This Row],[Date]])</f>
        <v>1900</v>
      </c>
      <c r="E438" s="48">
        <f t="shared" si="9"/>
        <v>1</v>
      </c>
      <c r="F438" s="32"/>
      <c r="G438" s="33"/>
      <c r="H438" s="43" t="str">
        <f>IFERROR(VLOOKUP(IGA_BD[[#This Row],[Affected Feeder ]],'Basic Data'!$A$42:$E$53,2,0),"")</f>
        <v/>
      </c>
      <c r="I438" s="43" t="str">
        <f>IFERROR(VLOOKUP(IGA_BD[[#This Row],[Affected Feeder ]],'Basic Data'!$A$42:$E$53,3,0),"")</f>
        <v/>
      </c>
      <c r="J438" s="43" t="str">
        <f>IFERROR(VLOOKUP(IGA_BD[[#This Row],[Affected Feeder ]],'Basic Data'!$A$42:$E$53,5,0),"")</f>
        <v/>
      </c>
      <c r="K438" s="164"/>
      <c r="L438" s="50"/>
      <c r="M438" s="116"/>
      <c r="N438" s="116"/>
      <c r="O438" s="57">
        <f>(IGA_BD[[#This Row],[Work Start TimeStamp]]-IGA_BD[[#This Row],[Fault Start TimeStamp]])*24</f>
        <v>0</v>
      </c>
      <c r="P438" s="44" t="str">
        <f>IF(IGA_BD[[#This Row],[Work Start TimeStamp]]="","",(IGA_BD[[#This Row],[Fault Clearance time]]-IGA_BD[[#This Row],[Work Start TimeStamp]])*24)</f>
        <v/>
      </c>
      <c r="Q438" s="57">
        <f>(IGA_BD[[#This Row],[Fault Clearance time]]-IGA_BD[[#This Row],[Fault Start TimeStamp]])*24</f>
        <v>0</v>
      </c>
      <c r="R438" s="153"/>
      <c r="S438" s="44"/>
      <c r="T438" s="45" t="str">
        <f>IFERROR(IGA_BD[[#This Row],[Breakdown Time]]*IGA_BD[[#This Row],[Plant Equivalent Weightage]],"")</f>
        <v/>
      </c>
    </row>
    <row r="439" spans="1:20">
      <c r="A439" s="28"/>
      <c r="B439" s="154"/>
      <c r="C439" s="30">
        <f>YEAR(WTG_BD[[#This Row],[Date]])+IF(MONTH(WTG_BD[[#This Row],[Date]])&gt;=4,1,0)</f>
        <v>2026</v>
      </c>
      <c r="D439" s="31">
        <f>YEAR(IGA_BD[[#This Row],[Date]])</f>
        <v>1900</v>
      </c>
      <c r="E439" s="48">
        <f t="shared" si="9"/>
        <v>1</v>
      </c>
      <c r="F439" s="32"/>
      <c r="G439" s="33"/>
      <c r="H439" s="43" t="str">
        <f>IFERROR(VLOOKUP(IGA_BD[[#This Row],[Affected Feeder ]],'Basic Data'!$A$42:$E$53,2,0),"")</f>
        <v/>
      </c>
      <c r="I439" s="43" t="str">
        <f>IFERROR(VLOOKUP(IGA_BD[[#This Row],[Affected Feeder ]],'Basic Data'!$A$42:$E$53,3,0),"")</f>
        <v/>
      </c>
      <c r="J439" s="43" t="str">
        <f>IFERROR(VLOOKUP(IGA_BD[[#This Row],[Affected Feeder ]],'Basic Data'!$A$42:$E$53,5,0),"")</f>
        <v/>
      </c>
      <c r="K439" s="164"/>
      <c r="L439" s="50"/>
      <c r="M439" s="116"/>
      <c r="N439" s="116"/>
      <c r="O439" s="57">
        <f>(IGA_BD[[#This Row],[Work Start TimeStamp]]-IGA_BD[[#This Row],[Fault Start TimeStamp]])*24</f>
        <v>0</v>
      </c>
      <c r="P439" s="44" t="str">
        <f>IF(IGA_BD[[#This Row],[Work Start TimeStamp]]="","",(IGA_BD[[#This Row],[Fault Clearance time]]-IGA_BD[[#This Row],[Work Start TimeStamp]])*24)</f>
        <v/>
      </c>
      <c r="Q439" s="57">
        <f>(IGA_BD[[#This Row],[Fault Clearance time]]-IGA_BD[[#This Row],[Fault Start TimeStamp]])*24</f>
        <v>0</v>
      </c>
      <c r="R439" s="153"/>
      <c r="S439" s="44"/>
      <c r="T439" s="45" t="str">
        <f>IFERROR(IGA_BD[[#This Row],[Breakdown Time]]*IGA_BD[[#This Row],[Plant Equivalent Weightage]],"")</f>
        <v/>
      </c>
    </row>
    <row r="440" spans="1:20">
      <c r="A440" s="28"/>
      <c r="B440" s="154"/>
      <c r="C440" s="30">
        <f>YEAR(WTG_BD[[#This Row],[Date]])+IF(MONTH(WTG_BD[[#This Row],[Date]])&gt;=4,1,0)</f>
        <v>2026</v>
      </c>
      <c r="D440" s="31">
        <f>YEAR(IGA_BD[[#This Row],[Date]])</f>
        <v>1900</v>
      </c>
      <c r="E440" s="48">
        <f t="shared" si="9"/>
        <v>1</v>
      </c>
      <c r="F440" s="32"/>
      <c r="G440" s="33"/>
      <c r="H440" s="43" t="str">
        <f>IFERROR(VLOOKUP(IGA_BD[[#This Row],[Affected Feeder ]],'Basic Data'!$A$42:$E$53,2,0),"")</f>
        <v/>
      </c>
      <c r="I440" s="43" t="str">
        <f>IFERROR(VLOOKUP(IGA_BD[[#This Row],[Affected Feeder ]],'Basic Data'!$A$42:$E$53,3,0),"")</f>
        <v/>
      </c>
      <c r="J440" s="43" t="str">
        <f>IFERROR(VLOOKUP(IGA_BD[[#This Row],[Affected Feeder ]],'Basic Data'!$A$42:$E$53,5,0),"")</f>
        <v/>
      </c>
      <c r="K440" s="164"/>
      <c r="L440" s="50"/>
      <c r="M440" s="116"/>
      <c r="N440" s="116"/>
      <c r="O440" s="57">
        <f>(IGA_BD[[#This Row],[Work Start TimeStamp]]-IGA_BD[[#This Row],[Fault Start TimeStamp]])*24</f>
        <v>0</v>
      </c>
      <c r="P440" s="44" t="str">
        <f>IF(IGA_BD[[#This Row],[Work Start TimeStamp]]="","",(IGA_BD[[#This Row],[Fault Clearance time]]-IGA_BD[[#This Row],[Work Start TimeStamp]])*24)</f>
        <v/>
      </c>
      <c r="Q440" s="57">
        <f>(IGA_BD[[#This Row],[Fault Clearance time]]-IGA_BD[[#This Row],[Fault Start TimeStamp]])*24</f>
        <v>0</v>
      </c>
      <c r="R440" s="153"/>
      <c r="S440" s="44"/>
      <c r="T440" s="45" t="str">
        <f>IFERROR(IGA_BD[[#This Row],[Breakdown Time]]*IGA_BD[[#This Row],[Plant Equivalent Weightage]],"")</f>
        <v/>
      </c>
    </row>
    <row r="441" spans="1:20">
      <c r="A441" s="28"/>
      <c r="B441" s="154"/>
      <c r="C441" s="30">
        <f>YEAR(WTG_BD[[#This Row],[Date]])+IF(MONTH(WTG_BD[[#This Row],[Date]])&gt;=4,1,0)</f>
        <v>2026</v>
      </c>
      <c r="D441" s="31">
        <f>YEAR(IGA_BD[[#This Row],[Date]])</f>
        <v>1900</v>
      </c>
      <c r="E441" s="48">
        <f t="shared" si="9"/>
        <v>1</v>
      </c>
      <c r="F441" s="32"/>
      <c r="G441" s="33"/>
      <c r="H441" s="43" t="str">
        <f>IFERROR(VLOOKUP(IGA_BD[[#This Row],[Affected Feeder ]],'Basic Data'!$A$42:$E$53,2,0),"")</f>
        <v/>
      </c>
      <c r="I441" s="43" t="str">
        <f>IFERROR(VLOOKUP(IGA_BD[[#This Row],[Affected Feeder ]],'Basic Data'!$A$42:$E$53,3,0),"")</f>
        <v/>
      </c>
      <c r="J441" s="43" t="str">
        <f>IFERROR(VLOOKUP(IGA_BD[[#This Row],[Affected Feeder ]],'Basic Data'!$A$42:$E$53,5,0),"")</f>
        <v/>
      </c>
      <c r="K441" s="164"/>
      <c r="L441" s="50"/>
      <c r="M441" s="116"/>
      <c r="N441" s="116"/>
      <c r="O441" s="57">
        <f>(IGA_BD[[#This Row],[Work Start TimeStamp]]-IGA_BD[[#This Row],[Fault Start TimeStamp]])*24</f>
        <v>0</v>
      </c>
      <c r="P441" s="44" t="str">
        <f>IF(IGA_BD[[#This Row],[Work Start TimeStamp]]="","",(IGA_BD[[#This Row],[Fault Clearance time]]-IGA_BD[[#This Row],[Work Start TimeStamp]])*24)</f>
        <v/>
      </c>
      <c r="Q441" s="57">
        <f>(IGA_BD[[#This Row],[Fault Clearance time]]-IGA_BD[[#This Row],[Fault Start TimeStamp]])*24</f>
        <v>0</v>
      </c>
      <c r="R441" s="153"/>
      <c r="S441" s="44"/>
      <c r="T441" s="45" t="str">
        <f>IFERROR(IGA_BD[[#This Row],[Breakdown Time]]*IGA_BD[[#This Row],[Plant Equivalent Weightage]],"")</f>
        <v/>
      </c>
    </row>
    <row r="442" spans="1:20">
      <c r="A442" s="28"/>
      <c r="B442" s="154"/>
      <c r="C442" s="30">
        <f>YEAR(WTG_BD[[#This Row],[Date]])+IF(MONTH(WTG_BD[[#This Row],[Date]])&gt;=4,1,0)</f>
        <v>2026</v>
      </c>
      <c r="D442" s="31">
        <f>YEAR(IGA_BD[[#This Row],[Date]])</f>
        <v>1900</v>
      </c>
      <c r="E442" s="48">
        <f t="shared" si="9"/>
        <v>1</v>
      </c>
      <c r="F442" s="32"/>
      <c r="G442" s="33"/>
      <c r="H442" s="43" t="str">
        <f>IFERROR(VLOOKUP(IGA_BD[[#This Row],[Affected Feeder ]],'Basic Data'!$A$42:$E$53,2,0),"")</f>
        <v/>
      </c>
      <c r="I442" s="43" t="str">
        <f>IFERROR(VLOOKUP(IGA_BD[[#This Row],[Affected Feeder ]],'Basic Data'!$A$42:$E$53,3,0),"")</f>
        <v/>
      </c>
      <c r="J442" s="43" t="str">
        <f>IFERROR(VLOOKUP(IGA_BD[[#This Row],[Affected Feeder ]],'Basic Data'!$A$42:$E$53,5,0),"")</f>
        <v/>
      </c>
      <c r="K442" s="164"/>
      <c r="L442" s="50"/>
      <c r="M442" s="116"/>
      <c r="N442" s="116"/>
      <c r="O442" s="57">
        <f>(IGA_BD[[#This Row],[Work Start TimeStamp]]-IGA_BD[[#This Row],[Fault Start TimeStamp]])*24</f>
        <v>0</v>
      </c>
      <c r="P442" s="44" t="str">
        <f>IF(IGA_BD[[#This Row],[Work Start TimeStamp]]="","",(IGA_BD[[#This Row],[Fault Clearance time]]-IGA_BD[[#This Row],[Work Start TimeStamp]])*24)</f>
        <v/>
      </c>
      <c r="Q442" s="57">
        <f>(IGA_BD[[#This Row],[Fault Clearance time]]-IGA_BD[[#This Row],[Fault Start TimeStamp]])*24</f>
        <v>0</v>
      </c>
      <c r="R442" s="153"/>
      <c r="S442" s="44"/>
      <c r="T442" s="45" t="str">
        <f>IFERROR(IGA_BD[[#This Row],[Breakdown Time]]*IGA_BD[[#This Row],[Plant Equivalent Weightage]],"")</f>
        <v/>
      </c>
    </row>
    <row r="443" spans="1:20">
      <c r="A443" s="28"/>
      <c r="B443" s="154"/>
      <c r="C443" s="30">
        <f>YEAR(WTG_BD[[#This Row],[Date]])+IF(MONTH(WTG_BD[[#This Row],[Date]])&gt;=4,1,0)</f>
        <v>2026</v>
      </c>
      <c r="D443" s="31">
        <f>YEAR(IGA_BD[[#This Row],[Date]])</f>
        <v>1900</v>
      </c>
      <c r="E443" s="48">
        <f t="shared" si="9"/>
        <v>1</v>
      </c>
      <c r="F443" s="32"/>
      <c r="G443" s="33"/>
      <c r="H443" s="43" t="str">
        <f>IFERROR(VLOOKUP(IGA_BD[[#This Row],[Affected Feeder ]],'Basic Data'!$A$42:$E$53,2,0),"")</f>
        <v/>
      </c>
      <c r="I443" s="43" t="str">
        <f>IFERROR(VLOOKUP(IGA_BD[[#This Row],[Affected Feeder ]],'Basic Data'!$A$42:$E$53,3,0),"")</f>
        <v/>
      </c>
      <c r="J443" s="43" t="str">
        <f>IFERROR(VLOOKUP(IGA_BD[[#This Row],[Affected Feeder ]],'Basic Data'!$A$42:$E$53,5,0),"")</f>
        <v/>
      </c>
      <c r="K443" s="164"/>
      <c r="L443" s="50"/>
      <c r="M443" s="116"/>
      <c r="N443" s="116"/>
      <c r="O443" s="57">
        <f>(IGA_BD[[#This Row],[Work Start TimeStamp]]-IGA_BD[[#This Row],[Fault Start TimeStamp]])*24</f>
        <v>0</v>
      </c>
      <c r="P443" s="44" t="str">
        <f>IF(IGA_BD[[#This Row],[Work Start TimeStamp]]="","",(IGA_BD[[#This Row],[Fault Clearance time]]-IGA_BD[[#This Row],[Work Start TimeStamp]])*24)</f>
        <v/>
      </c>
      <c r="Q443" s="57">
        <f>(IGA_BD[[#This Row],[Fault Clearance time]]-IGA_BD[[#This Row],[Fault Start TimeStamp]])*24</f>
        <v>0</v>
      </c>
      <c r="R443" s="153"/>
      <c r="S443" s="44"/>
      <c r="T443" s="45" t="str">
        <f>IFERROR(IGA_BD[[#This Row],[Breakdown Time]]*IGA_BD[[#This Row],[Plant Equivalent Weightage]],"")</f>
        <v/>
      </c>
    </row>
    <row r="444" spans="1:20">
      <c r="A444" s="28"/>
      <c r="B444" s="154"/>
      <c r="C444" s="30">
        <f>YEAR(WTG_BD[[#This Row],[Date]])+IF(MONTH(WTG_BD[[#This Row],[Date]])&gt;=4,1,0)</f>
        <v>2026</v>
      </c>
      <c r="D444" s="31">
        <f>YEAR(IGA_BD[[#This Row],[Date]])</f>
        <v>1900</v>
      </c>
      <c r="E444" s="48">
        <f t="shared" si="9"/>
        <v>1</v>
      </c>
      <c r="F444" s="32"/>
      <c r="G444" s="33"/>
      <c r="H444" s="43" t="str">
        <f>IFERROR(VLOOKUP(IGA_BD[[#This Row],[Affected Feeder ]],'Basic Data'!$A$42:$E$53,2,0),"")</f>
        <v/>
      </c>
      <c r="I444" s="43" t="str">
        <f>IFERROR(VLOOKUP(IGA_BD[[#This Row],[Affected Feeder ]],'Basic Data'!$A$42:$E$53,3,0),"")</f>
        <v/>
      </c>
      <c r="J444" s="43" t="str">
        <f>IFERROR(VLOOKUP(IGA_BD[[#This Row],[Affected Feeder ]],'Basic Data'!$A$42:$E$53,5,0),"")</f>
        <v/>
      </c>
      <c r="K444" s="164"/>
      <c r="L444" s="50"/>
      <c r="M444" s="116"/>
      <c r="N444" s="116"/>
      <c r="O444" s="57">
        <f>(IGA_BD[[#This Row],[Work Start TimeStamp]]-IGA_BD[[#This Row],[Fault Start TimeStamp]])*24</f>
        <v>0</v>
      </c>
      <c r="P444" s="44" t="str">
        <f>IF(IGA_BD[[#This Row],[Work Start TimeStamp]]="","",(IGA_BD[[#This Row],[Fault Clearance time]]-IGA_BD[[#This Row],[Work Start TimeStamp]])*24)</f>
        <v/>
      </c>
      <c r="Q444" s="57">
        <f>(IGA_BD[[#This Row],[Fault Clearance time]]-IGA_BD[[#This Row],[Fault Start TimeStamp]])*24</f>
        <v>0</v>
      </c>
      <c r="R444" s="153"/>
      <c r="S444" s="44"/>
      <c r="T444" s="45" t="str">
        <f>IFERROR(IGA_BD[[#This Row],[Breakdown Time]]*IGA_BD[[#This Row],[Plant Equivalent Weightage]],"")</f>
        <v/>
      </c>
    </row>
    <row r="445" spans="1:20">
      <c r="A445" s="28"/>
      <c r="B445" s="154"/>
      <c r="C445" s="30">
        <f>YEAR(WTG_BD[[#This Row],[Date]])+IF(MONTH(WTG_BD[[#This Row],[Date]])&gt;=4,1,0)</f>
        <v>2026</v>
      </c>
      <c r="D445" s="31">
        <f>YEAR(IGA_BD[[#This Row],[Date]])</f>
        <v>1900</v>
      </c>
      <c r="E445" s="48">
        <f t="shared" si="9"/>
        <v>1</v>
      </c>
      <c r="F445" s="32"/>
      <c r="G445" s="33"/>
      <c r="H445" s="43" t="str">
        <f>IFERROR(VLOOKUP(IGA_BD[[#This Row],[Affected Feeder ]],'Basic Data'!$A$42:$E$53,2,0),"")</f>
        <v/>
      </c>
      <c r="I445" s="43" t="str">
        <f>IFERROR(VLOOKUP(IGA_BD[[#This Row],[Affected Feeder ]],'Basic Data'!$A$42:$E$53,3,0),"")</f>
        <v/>
      </c>
      <c r="J445" s="43" t="str">
        <f>IFERROR(VLOOKUP(IGA_BD[[#This Row],[Affected Feeder ]],'Basic Data'!$A$42:$E$53,5,0),"")</f>
        <v/>
      </c>
      <c r="K445" s="164"/>
      <c r="L445" s="50"/>
      <c r="M445" s="116"/>
      <c r="N445" s="116"/>
      <c r="O445" s="57">
        <f>(IGA_BD[[#This Row],[Work Start TimeStamp]]-IGA_BD[[#This Row],[Fault Start TimeStamp]])*24</f>
        <v>0</v>
      </c>
      <c r="P445" s="44" t="str">
        <f>IF(IGA_BD[[#This Row],[Work Start TimeStamp]]="","",(IGA_BD[[#This Row],[Fault Clearance time]]-IGA_BD[[#This Row],[Work Start TimeStamp]])*24)</f>
        <v/>
      </c>
      <c r="Q445" s="57">
        <f>(IGA_BD[[#This Row],[Fault Clearance time]]-IGA_BD[[#This Row],[Fault Start TimeStamp]])*24</f>
        <v>0</v>
      </c>
      <c r="R445" s="153"/>
      <c r="S445" s="44"/>
      <c r="T445" s="45" t="str">
        <f>IFERROR(IGA_BD[[#This Row],[Breakdown Time]]*IGA_BD[[#This Row],[Plant Equivalent Weightage]],"")</f>
        <v/>
      </c>
    </row>
    <row r="446" spans="1:20">
      <c r="A446" s="28"/>
      <c r="B446" s="154"/>
      <c r="C446" s="30">
        <f>YEAR(WTG_BD[[#This Row],[Date]])+IF(MONTH(WTG_BD[[#This Row],[Date]])&gt;=4,1,0)</f>
        <v>2026</v>
      </c>
      <c r="D446" s="31">
        <f>YEAR(IGA_BD[[#This Row],[Date]])</f>
        <v>1900</v>
      </c>
      <c r="E446" s="48">
        <f t="shared" si="9"/>
        <v>1</v>
      </c>
      <c r="F446" s="32"/>
      <c r="G446" s="33"/>
      <c r="H446" s="43" t="str">
        <f>IFERROR(VLOOKUP(IGA_BD[[#This Row],[Affected Feeder ]],'Basic Data'!$A$42:$E$53,2,0),"")</f>
        <v/>
      </c>
      <c r="I446" s="43" t="str">
        <f>IFERROR(VLOOKUP(IGA_BD[[#This Row],[Affected Feeder ]],'Basic Data'!$A$42:$E$53,3,0),"")</f>
        <v/>
      </c>
      <c r="J446" s="43" t="str">
        <f>IFERROR(VLOOKUP(IGA_BD[[#This Row],[Affected Feeder ]],'Basic Data'!$A$42:$E$53,5,0),"")</f>
        <v/>
      </c>
      <c r="K446" s="164"/>
      <c r="L446" s="50"/>
      <c r="M446" s="116"/>
      <c r="N446" s="116"/>
      <c r="O446" s="57">
        <f>(IGA_BD[[#This Row],[Work Start TimeStamp]]-IGA_BD[[#This Row],[Fault Start TimeStamp]])*24</f>
        <v>0</v>
      </c>
      <c r="P446" s="44" t="str">
        <f>IF(IGA_BD[[#This Row],[Work Start TimeStamp]]="","",(IGA_BD[[#This Row],[Fault Clearance time]]-IGA_BD[[#This Row],[Work Start TimeStamp]])*24)</f>
        <v/>
      </c>
      <c r="Q446" s="57">
        <f>(IGA_BD[[#This Row],[Fault Clearance time]]-IGA_BD[[#This Row],[Fault Start TimeStamp]])*24</f>
        <v>0</v>
      </c>
      <c r="R446" s="153"/>
      <c r="S446" s="44"/>
      <c r="T446" s="45" t="str">
        <f>IFERROR(IGA_BD[[#This Row],[Breakdown Time]]*IGA_BD[[#This Row],[Plant Equivalent Weightage]],"")</f>
        <v/>
      </c>
    </row>
    <row r="447" spans="1:20">
      <c r="A447" s="28"/>
      <c r="B447" s="154"/>
      <c r="C447" s="30">
        <f>YEAR(WTG_BD[[#This Row],[Date]])+IF(MONTH(WTG_BD[[#This Row],[Date]])&gt;=4,1,0)</f>
        <v>2026</v>
      </c>
      <c r="D447" s="31">
        <f>YEAR(IGA_BD[[#This Row],[Date]])</f>
        <v>1900</v>
      </c>
      <c r="E447" s="48">
        <f t="shared" si="9"/>
        <v>1</v>
      </c>
      <c r="F447" s="32"/>
      <c r="G447" s="33"/>
      <c r="H447" s="43" t="str">
        <f>IFERROR(VLOOKUP(IGA_BD[[#This Row],[Affected Feeder ]],'Basic Data'!$A$42:$E$53,2,0),"")</f>
        <v/>
      </c>
      <c r="I447" s="43" t="str">
        <f>IFERROR(VLOOKUP(IGA_BD[[#This Row],[Affected Feeder ]],'Basic Data'!$A$42:$E$53,3,0),"")</f>
        <v/>
      </c>
      <c r="J447" s="43" t="str">
        <f>IFERROR(VLOOKUP(IGA_BD[[#This Row],[Affected Feeder ]],'Basic Data'!$A$42:$E$53,5,0),"")</f>
        <v/>
      </c>
      <c r="K447" s="164"/>
      <c r="L447" s="50"/>
      <c r="M447" s="116"/>
      <c r="N447" s="116"/>
      <c r="O447" s="57">
        <f>(IGA_BD[[#This Row],[Work Start TimeStamp]]-IGA_BD[[#This Row],[Fault Start TimeStamp]])*24</f>
        <v>0</v>
      </c>
      <c r="P447" s="44" t="str">
        <f>IF(IGA_BD[[#This Row],[Work Start TimeStamp]]="","",(IGA_BD[[#This Row],[Fault Clearance time]]-IGA_BD[[#This Row],[Work Start TimeStamp]])*24)</f>
        <v/>
      </c>
      <c r="Q447" s="57">
        <f>(IGA_BD[[#This Row],[Fault Clearance time]]-IGA_BD[[#This Row],[Fault Start TimeStamp]])*24</f>
        <v>0</v>
      </c>
      <c r="R447" s="153"/>
      <c r="S447" s="44"/>
      <c r="T447" s="45" t="str">
        <f>IFERROR(IGA_BD[[#This Row],[Breakdown Time]]*IGA_BD[[#This Row],[Plant Equivalent Weightage]],"")</f>
        <v/>
      </c>
    </row>
    <row r="448" spans="1:20">
      <c r="A448" s="28"/>
      <c r="B448" s="154"/>
      <c r="C448" s="30">
        <f>YEAR(WTG_BD[[#This Row],[Date]])+IF(MONTH(WTG_BD[[#This Row],[Date]])&gt;=4,1,0)</f>
        <v>2026</v>
      </c>
      <c r="D448" s="31">
        <f>YEAR(IGA_BD[[#This Row],[Date]])</f>
        <v>1900</v>
      </c>
      <c r="E448" s="48">
        <f t="shared" si="9"/>
        <v>1</v>
      </c>
      <c r="F448" s="32"/>
      <c r="G448" s="33"/>
      <c r="H448" s="43" t="str">
        <f>IFERROR(VLOOKUP(IGA_BD[[#This Row],[Affected Feeder ]],'Basic Data'!$A$42:$E$53,2,0),"")</f>
        <v/>
      </c>
      <c r="I448" s="43" t="str">
        <f>IFERROR(VLOOKUP(IGA_BD[[#This Row],[Affected Feeder ]],'Basic Data'!$A$42:$E$53,3,0),"")</f>
        <v/>
      </c>
      <c r="J448" s="43" t="str">
        <f>IFERROR(VLOOKUP(IGA_BD[[#This Row],[Affected Feeder ]],'Basic Data'!$A$42:$E$53,5,0),"")</f>
        <v/>
      </c>
      <c r="K448" s="164"/>
      <c r="L448" s="50"/>
      <c r="M448" s="116"/>
      <c r="N448" s="116"/>
      <c r="O448" s="57">
        <f>(IGA_BD[[#This Row],[Work Start TimeStamp]]-IGA_BD[[#This Row],[Fault Start TimeStamp]])*24</f>
        <v>0</v>
      </c>
      <c r="P448" s="44" t="str">
        <f>IF(IGA_BD[[#This Row],[Work Start TimeStamp]]="","",(IGA_BD[[#This Row],[Fault Clearance time]]-IGA_BD[[#This Row],[Work Start TimeStamp]])*24)</f>
        <v/>
      </c>
      <c r="Q448" s="57">
        <f>(IGA_BD[[#This Row],[Fault Clearance time]]-IGA_BD[[#This Row],[Fault Start TimeStamp]])*24</f>
        <v>0</v>
      </c>
      <c r="R448" s="153"/>
      <c r="S448" s="44"/>
      <c r="T448" s="45" t="str">
        <f>IFERROR(IGA_BD[[#This Row],[Breakdown Time]]*IGA_BD[[#This Row],[Plant Equivalent Weightage]],"")</f>
        <v/>
      </c>
    </row>
    <row r="449" spans="1:20">
      <c r="A449" s="28"/>
      <c r="B449" s="154"/>
      <c r="C449" s="30">
        <f>YEAR(WTG_BD[[#This Row],[Date]])+IF(MONTH(WTG_BD[[#This Row],[Date]])&gt;=4,1,0)</f>
        <v>2026</v>
      </c>
      <c r="D449" s="31">
        <f>YEAR(IGA_BD[[#This Row],[Date]])</f>
        <v>1900</v>
      </c>
      <c r="E449" s="48">
        <f t="shared" si="9"/>
        <v>1</v>
      </c>
      <c r="F449" s="32"/>
      <c r="G449" s="33"/>
      <c r="H449" s="43" t="str">
        <f>IFERROR(VLOOKUP(IGA_BD[[#This Row],[Affected Feeder ]],'Basic Data'!$A$42:$E$53,2,0),"")</f>
        <v/>
      </c>
      <c r="I449" s="43" t="str">
        <f>IFERROR(VLOOKUP(IGA_BD[[#This Row],[Affected Feeder ]],'Basic Data'!$A$42:$E$53,3,0),"")</f>
        <v/>
      </c>
      <c r="J449" s="43" t="str">
        <f>IFERROR(VLOOKUP(IGA_BD[[#This Row],[Affected Feeder ]],'Basic Data'!$A$42:$E$53,5,0),"")</f>
        <v/>
      </c>
      <c r="K449" s="164"/>
      <c r="L449" s="50"/>
      <c r="M449" s="116"/>
      <c r="N449" s="116"/>
      <c r="O449" s="57">
        <f>(IGA_BD[[#This Row],[Work Start TimeStamp]]-IGA_BD[[#This Row],[Fault Start TimeStamp]])*24</f>
        <v>0</v>
      </c>
      <c r="P449" s="44" t="str">
        <f>IF(IGA_BD[[#This Row],[Work Start TimeStamp]]="","",(IGA_BD[[#This Row],[Fault Clearance time]]-IGA_BD[[#This Row],[Work Start TimeStamp]])*24)</f>
        <v/>
      </c>
      <c r="Q449" s="57">
        <f>(IGA_BD[[#This Row],[Fault Clearance time]]-IGA_BD[[#This Row],[Fault Start TimeStamp]])*24</f>
        <v>0</v>
      </c>
      <c r="R449" s="153"/>
      <c r="S449" s="44"/>
      <c r="T449" s="45" t="str">
        <f>IFERROR(IGA_BD[[#This Row],[Breakdown Time]]*IGA_BD[[#This Row],[Plant Equivalent Weightage]],"")</f>
        <v/>
      </c>
    </row>
    <row r="450" spans="1:20">
      <c r="A450" s="28"/>
      <c r="B450" s="154"/>
      <c r="C450" s="30">
        <f>YEAR(WTG_BD[[#This Row],[Date]])+IF(MONTH(WTG_BD[[#This Row],[Date]])&gt;=4,1,0)</f>
        <v>2026</v>
      </c>
      <c r="D450" s="31">
        <f>YEAR(IGA_BD[[#This Row],[Date]])</f>
        <v>1900</v>
      </c>
      <c r="E450" s="48">
        <f t="shared" si="9"/>
        <v>1</v>
      </c>
      <c r="F450" s="32"/>
      <c r="G450" s="33"/>
      <c r="H450" s="43" t="str">
        <f>IFERROR(VLOOKUP(IGA_BD[[#This Row],[Affected Feeder ]],'Basic Data'!$A$42:$E$53,2,0),"")</f>
        <v/>
      </c>
      <c r="I450" s="43" t="str">
        <f>IFERROR(VLOOKUP(IGA_BD[[#This Row],[Affected Feeder ]],'Basic Data'!$A$42:$E$53,3,0),"")</f>
        <v/>
      </c>
      <c r="J450" s="43" t="str">
        <f>IFERROR(VLOOKUP(IGA_BD[[#This Row],[Affected Feeder ]],'Basic Data'!$A$42:$E$53,5,0),"")</f>
        <v/>
      </c>
      <c r="K450" s="164"/>
      <c r="L450" s="50"/>
      <c r="M450" s="116"/>
      <c r="N450" s="116"/>
      <c r="O450" s="57">
        <f>(IGA_BD[[#This Row],[Work Start TimeStamp]]-IGA_BD[[#This Row],[Fault Start TimeStamp]])*24</f>
        <v>0</v>
      </c>
      <c r="P450" s="44" t="str">
        <f>IF(IGA_BD[[#This Row],[Work Start TimeStamp]]="","",(IGA_BD[[#This Row],[Fault Clearance time]]-IGA_BD[[#This Row],[Work Start TimeStamp]])*24)</f>
        <v/>
      </c>
      <c r="Q450" s="57">
        <f>(IGA_BD[[#This Row],[Fault Clearance time]]-IGA_BD[[#This Row],[Fault Start TimeStamp]])*24</f>
        <v>0</v>
      </c>
      <c r="R450" s="153"/>
      <c r="S450" s="44"/>
      <c r="T450" s="45" t="str">
        <f>IFERROR(IGA_BD[[#This Row],[Breakdown Time]]*IGA_BD[[#This Row],[Plant Equivalent Weightage]],"")</f>
        <v/>
      </c>
    </row>
    <row r="451" spans="1:20">
      <c r="A451" s="28"/>
      <c r="B451" s="154"/>
      <c r="C451" s="30">
        <f>YEAR(WTG_BD[[#This Row],[Date]])+IF(MONTH(WTG_BD[[#This Row],[Date]])&gt;=4,1,0)</f>
        <v>2026</v>
      </c>
      <c r="D451" s="31">
        <f>YEAR(IGA_BD[[#This Row],[Date]])</f>
        <v>1900</v>
      </c>
      <c r="E451" s="48">
        <f t="shared" si="9"/>
        <v>1</v>
      </c>
      <c r="F451" s="32"/>
      <c r="G451" s="33"/>
      <c r="H451" s="43" t="str">
        <f>IFERROR(VLOOKUP(IGA_BD[[#This Row],[Affected Feeder ]],'Basic Data'!$A$42:$E$53,2,0),"")</f>
        <v/>
      </c>
      <c r="I451" s="43" t="str">
        <f>IFERROR(VLOOKUP(IGA_BD[[#This Row],[Affected Feeder ]],'Basic Data'!$A$42:$E$53,3,0),"")</f>
        <v/>
      </c>
      <c r="J451" s="43" t="str">
        <f>IFERROR(VLOOKUP(IGA_BD[[#This Row],[Affected Feeder ]],'Basic Data'!$A$42:$E$53,5,0),"")</f>
        <v/>
      </c>
      <c r="K451" s="164"/>
      <c r="L451" s="50"/>
      <c r="M451" s="116"/>
      <c r="N451" s="116"/>
      <c r="O451" s="57">
        <f>(IGA_BD[[#This Row],[Work Start TimeStamp]]-IGA_BD[[#This Row],[Fault Start TimeStamp]])*24</f>
        <v>0</v>
      </c>
      <c r="P451" s="44" t="str">
        <f>IF(IGA_BD[[#This Row],[Work Start TimeStamp]]="","",(IGA_BD[[#This Row],[Fault Clearance time]]-IGA_BD[[#This Row],[Work Start TimeStamp]])*24)</f>
        <v/>
      </c>
      <c r="Q451" s="57">
        <f>(IGA_BD[[#This Row],[Fault Clearance time]]-IGA_BD[[#This Row],[Fault Start TimeStamp]])*24</f>
        <v>0</v>
      </c>
      <c r="R451" s="153"/>
      <c r="S451" s="44"/>
      <c r="T451" s="45" t="str">
        <f>IFERROR(IGA_BD[[#This Row],[Breakdown Time]]*IGA_BD[[#This Row],[Plant Equivalent Weightage]],"")</f>
        <v/>
      </c>
    </row>
    <row r="452" spans="1:20">
      <c r="A452" s="28"/>
      <c r="B452" s="154"/>
      <c r="C452" s="30">
        <f>YEAR(WTG_BD[[#This Row],[Date]])+IF(MONTH(WTG_BD[[#This Row],[Date]])&gt;=4,1,0)</f>
        <v>2026</v>
      </c>
      <c r="D452" s="31">
        <f>YEAR(IGA_BD[[#This Row],[Date]])</f>
        <v>1900</v>
      </c>
      <c r="E452" s="48">
        <f t="shared" si="9"/>
        <v>1</v>
      </c>
      <c r="F452" s="32"/>
      <c r="G452" s="33"/>
      <c r="H452" s="43" t="str">
        <f>IFERROR(VLOOKUP(IGA_BD[[#This Row],[Affected Feeder ]],'Basic Data'!$A$42:$E$53,2,0),"")</f>
        <v/>
      </c>
      <c r="I452" s="43" t="str">
        <f>IFERROR(VLOOKUP(IGA_BD[[#This Row],[Affected Feeder ]],'Basic Data'!$A$42:$E$53,3,0),"")</f>
        <v/>
      </c>
      <c r="J452" s="43" t="str">
        <f>IFERROR(VLOOKUP(IGA_BD[[#This Row],[Affected Feeder ]],'Basic Data'!$A$42:$E$53,5,0),"")</f>
        <v/>
      </c>
      <c r="K452" s="164"/>
      <c r="L452" s="50"/>
      <c r="M452" s="116"/>
      <c r="N452" s="116"/>
      <c r="O452" s="57">
        <f>(IGA_BD[[#This Row],[Work Start TimeStamp]]-IGA_BD[[#This Row],[Fault Start TimeStamp]])*24</f>
        <v>0</v>
      </c>
      <c r="P452" s="44" t="str">
        <f>IF(IGA_BD[[#This Row],[Work Start TimeStamp]]="","",(IGA_BD[[#This Row],[Fault Clearance time]]-IGA_BD[[#This Row],[Work Start TimeStamp]])*24)</f>
        <v/>
      </c>
      <c r="Q452" s="57">
        <f>(IGA_BD[[#This Row],[Fault Clearance time]]-IGA_BD[[#This Row],[Fault Start TimeStamp]])*24</f>
        <v>0</v>
      </c>
      <c r="R452" s="153"/>
      <c r="S452" s="44"/>
      <c r="T452" s="45" t="str">
        <f>IFERROR(IGA_BD[[#This Row],[Breakdown Time]]*IGA_BD[[#This Row],[Plant Equivalent Weightage]],"")</f>
        <v/>
      </c>
    </row>
    <row r="453" spans="1:20">
      <c r="A453" s="28"/>
      <c r="B453" s="154"/>
      <c r="C453" s="30">
        <f>YEAR(WTG_BD[[#This Row],[Date]])+IF(MONTH(WTG_BD[[#This Row],[Date]])&gt;=4,1,0)</f>
        <v>2026</v>
      </c>
      <c r="D453" s="31">
        <f>YEAR(IGA_BD[[#This Row],[Date]])</f>
        <v>1900</v>
      </c>
      <c r="E453" s="48">
        <f t="shared" si="9"/>
        <v>1</v>
      </c>
      <c r="F453" s="32"/>
      <c r="G453" s="33"/>
      <c r="H453" s="43" t="str">
        <f>IFERROR(VLOOKUP(IGA_BD[[#This Row],[Affected Feeder ]],'Basic Data'!$A$42:$E$53,2,0),"")</f>
        <v/>
      </c>
      <c r="I453" s="43" t="str">
        <f>IFERROR(VLOOKUP(IGA_BD[[#This Row],[Affected Feeder ]],'Basic Data'!$A$42:$E$53,3,0),"")</f>
        <v/>
      </c>
      <c r="J453" s="43" t="str">
        <f>IFERROR(VLOOKUP(IGA_BD[[#This Row],[Affected Feeder ]],'Basic Data'!$A$42:$E$53,5,0),"")</f>
        <v/>
      </c>
      <c r="K453" s="164"/>
      <c r="L453" s="50"/>
      <c r="M453" s="116"/>
      <c r="N453" s="116"/>
      <c r="O453" s="57">
        <f>(IGA_BD[[#This Row],[Work Start TimeStamp]]-IGA_BD[[#This Row],[Fault Start TimeStamp]])*24</f>
        <v>0</v>
      </c>
      <c r="P453" s="44" t="str">
        <f>IF(IGA_BD[[#This Row],[Work Start TimeStamp]]="","",(IGA_BD[[#This Row],[Fault Clearance time]]-IGA_BD[[#This Row],[Work Start TimeStamp]])*24)</f>
        <v/>
      </c>
      <c r="Q453" s="57">
        <f>(IGA_BD[[#This Row],[Fault Clearance time]]-IGA_BD[[#This Row],[Fault Start TimeStamp]])*24</f>
        <v>0</v>
      </c>
      <c r="R453" s="153"/>
      <c r="S453" s="44"/>
      <c r="T453" s="45" t="str">
        <f>IFERROR(IGA_BD[[#This Row],[Breakdown Time]]*IGA_BD[[#This Row],[Plant Equivalent Weightage]],"")</f>
        <v/>
      </c>
    </row>
    <row r="454" spans="1:20">
      <c r="A454" s="28"/>
      <c r="B454" s="154"/>
      <c r="C454" s="30">
        <f>YEAR(WTG_BD[[#This Row],[Date]])+IF(MONTH(WTG_BD[[#This Row],[Date]])&gt;=4,1,0)</f>
        <v>2026</v>
      </c>
      <c r="D454" s="31">
        <f>YEAR(IGA_BD[[#This Row],[Date]])</f>
        <v>1900</v>
      </c>
      <c r="E454" s="48">
        <f t="shared" si="9"/>
        <v>1</v>
      </c>
      <c r="F454" s="32"/>
      <c r="G454" s="33"/>
      <c r="H454" s="43" t="str">
        <f>IFERROR(VLOOKUP(IGA_BD[[#This Row],[Affected Feeder ]],'Basic Data'!$A$42:$E$53,2,0),"")</f>
        <v/>
      </c>
      <c r="I454" s="43" t="str">
        <f>IFERROR(VLOOKUP(IGA_BD[[#This Row],[Affected Feeder ]],'Basic Data'!$A$42:$E$53,3,0),"")</f>
        <v/>
      </c>
      <c r="J454" s="43" t="str">
        <f>IFERROR(VLOOKUP(IGA_BD[[#This Row],[Affected Feeder ]],'Basic Data'!$A$42:$E$53,5,0),"")</f>
        <v/>
      </c>
      <c r="K454" s="164"/>
      <c r="L454" s="50"/>
      <c r="M454" s="116"/>
      <c r="N454" s="116"/>
      <c r="O454" s="57">
        <f>(IGA_BD[[#This Row],[Work Start TimeStamp]]-IGA_BD[[#This Row],[Fault Start TimeStamp]])*24</f>
        <v>0</v>
      </c>
      <c r="P454" s="44" t="str">
        <f>IF(IGA_BD[[#This Row],[Work Start TimeStamp]]="","",(IGA_BD[[#This Row],[Fault Clearance time]]-IGA_BD[[#This Row],[Work Start TimeStamp]])*24)</f>
        <v/>
      </c>
      <c r="Q454" s="57">
        <f>(IGA_BD[[#This Row],[Fault Clearance time]]-IGA_BD[[#This Row],[Fault Start TimeStamp]])*24</f>
        <v>0</v>
      </c>
      <c r="R454" s="153"/>
      <c r="S454" s="44"/>
      <c r="T454" s="45" t="str">
        <f>IFERROR(IGA_BD[[#This Row],[Breakdown Time]]*IGA_BD[[#This Row],[Plant Equivalent Weightage]],"")</f>
        <v/>
      </c>
    </row>
    <row r="455" spans="1:20">
      <c r="A455" s="28"/>
      <c r="B455" s="154"/>
      <c r="C455" s="30">
        <f>YEAR(WTG_BD[[#This Row],[Date]])+IF(MONTH(WTG_BD[[#This Row],[Date]])&gt;=4,1,0)</f>
        <v>2026</v>
      </c>
      <c r="D455" s="31">
        <f>YEAR(IGA_BD[[#This Row],[Date]])</f>
        <v>1900</v>
      </c>
      <c r="E455" s="48">
        <f t="shared" si="9"/>
        <v>1</v>
      </c>
      <c r="F455" s="32"/>
      <c r="G455" s="33"/>
      <c r="H455" s="43" t="str">
        <f>IFERROR(VLOOKUP(IGA_BD[[#This Row],[Affected Feeder ]],'Basic Data'!$A$42:$E$53,2,0),"")</f>
        <v/>
      </c>
      <c r="I455" s="43" t="str">
        <f>IFERROR(VLOOKUP(IGA_BD[[#This Row],[Affected Feeder ]],'Basic Data'!$A$42:$E$53,3,0),"")</f>
        <v/>
      </c>
      <c r="J455" s="43" t="str">
        <f>IFERROR(VLOOKUP(IGA_BD[[#This Row],[Affected Feeder ]],'Basic Data'!$A$42:$E$53,5,0),"")</f>
        <v/>
      </c>
      <c r="K455" s="164"/>
      <c r="L455" s="50"/>
      <c r="M455" s="116"/>
      <c r="N455" s="116"/>
      <c r="O455" s="57">
        <f>(IGA_BD[[#This Row],[Work Start TimeStamp]]-IGA_BD[[#This Row],[Fault Start TimeStamp]])*24</f>
        <v>0</v>
      </c>
      <c r="P455" s="44" t="str">
        <f>IF(IGA_BD[[#This Row],[Work Start TimeStamp]]="","",(IGA_BD[[#This Row],[Fault Clearance time]]-IGA_BD[[#This Row],[Work Start TimeStamp]])*24)</f>
        <v/>
      </c>
      <c r="Q455" s="57">
        <f>(IGA_BD[[#This Row],[Fault Clearance time]]-IGA_BD[[#This Row],[Fault Start TimeStamp]])*24</f>
        <v>0</v>
      </c>
      <c r="R455" s="153"/>
      <c r="S455" s="44"/>
      <c r="T455" s="45" t="str">
        <f>IFERROR(IGA_BD[[#This Row],[Breakdown Time]]*IGA_BD[[#This Row],[Plant Equivalent Weightage]],"")</f>
        <v/>
      </c>
    </row>
    <row r="456" spans="1:20">
      <c r="A456" s="28"/>
      <c r="B456" s="154"/>
      <c r="C456" s="30">
        <f>YEAR(WTG_BD[[#This Row],[Date]])+IF(MONTH(WTG_BD[[#This Row],[Date]])&gt;=4,1,0)</f>
        <v>2026</v>
      </c>
      <c r="D456" s="31">
        <f>YEAR(IGA_BD[[#This Row],[Date]])</f>
        <v>1900</v>
      </c>
      <c r="E456" s="48">
        <f t="shared" si="9"/>
        <v>1</v>
      </c>
      <c r="F456" s="32"/>
      <c r="G456" s="33"/>
      <c r="H456" s="43" t="str">
        <f>IFERROR(VLOOKUP(IGA_BD[[#This Row],[Affected Feeder ]],'Basic Data'!$A$42:$E$53,2,0),"")</f>
        <v/>
      </c>
      <c r="I456" s="43" t="str">
        <f>IFERROR(VLOOKUP(IGA_BD[[#This Row],[Affected Feeder ]],'Basic Data'!$A$42:$E$53,3,0),"")</f>
        <v/>
      </c>
      <c r="J456" s="43" t="str">
        <f>IFERROR(VLOOKUP(IGA_BD[[#This Row],[Affected Feeder ]],'Basic Data'!$A$42:$E$53,5,0),"")</f>
        <v/>
      </c>
      <c r="K456" s="164"/>
      <c r="L456" s="50"/>
      <c r="M456" s="116"/>
      <c r="N456" s="116"/>
      <c r="O456" s="57">
        <f>(IGA_BD[[#This Row],[Work Start TimeStamp]]-IGA_BD[[#This Row],[Fault Start TimeStamp]])*24</f>
        <v>0</v>
      </c>
      <c r="P456" s="44" t="str">
        <f>IF(IGA_BD[[#This Row],[Work Start TimeStamp]]="","",(IGA_BD[[#This Row],[Fault Clearance time]]-IGA_BD[[#This Row],[Work Start TimeStamp]])*24)</f>
        <v/>
      </c>
      <c r="Q456" s="57">
        <f>(IGA_BD[[#This Row],[Fault Clearance time]]-IGA_BD[[#This Row],[Fault Start TimeStamp]])*24</f>
        <v>0</v>
      </c>
      <c r="R456" s="153"/>
      <c r="S456" s="44"/>
      <c r="T456" s="45" t="str">
        <f>IFERROR(IGA_BD[[#This Row],[Breakdown Time]]*IGA_BD[[#This Row],[Plant Equivalent Weightage]],"")</f>
        <v/>
      </c>
    </row>
    <row r="457" spans="1:20">
      <c r="A457" s="28"/>
      <c r="B457" s="154"/>
      <c r="C457" s="30">
        <f>YEAR(WTG_BD[[#This Row],[Date]])+IF(MONTH(WTG_BD[[#This Row],[Date]])&gt;=4,1,0)</f>
        <v>2026</v>
      </c>
      <c r="D457" s="31">
        <f>YEAR(IGA_BD[[#This Row],[Date]])</f>
        <v>1900</v>
      </c>
      <c r="E457" s="48">
        <f t="shared" si="9"/>
        <v>1</v>
      </c>
      <c r="F457" s="32"/>
      <c r="G457" s="33"/>
      <c r="H457" s="43" t="str">
        <f>IFERROR(VLOOKUP(IGA_BD[[#This Row],[Affected Feeder ]],'Basic Data'!$A$42:$E$53,2,0),"")</f>
        <v/>
      </c>
      <c r="I457" s="43" t="str">
        <f>IFERROR(VLOOKUP(IGA_BD[[#This Row],[Affected Feeder ]],'Basic Data'!$A$42:$E$53,3,0),"")</f>
        <v/>
      </c>
      <c r="J457" s="43" t="str">
        <f>IFERROR(VLOOKUP(IGA_BD[[#This Row],[Affected Feeder ]],'Basic Data'!$A$42:$E$53,5,0),"")</f>
        <v/>
      </c>
      <c r="K457" s="164"/>
      <c r="L457" s="50"/>
      <c r="M457" s="116"/>
      <c r="N457" s="116"/>
      <c r="O457" s="57">
        <f>(IGA_BD[[#This Row],[Work Start TimeStamp]]-IGA_BD[[#This Row],[Fault Start TimeStamp]])*24</f>
        <v>0</v>
      </c>
      <c r="P457" s="44" t="str">
        <f>IF(IGA_BD[[#This Row],[Work Start TimeStamp]]="","",(IGA_BD[[#This Row],[Fault Clearance time]]-IGA_BD[[#This Row],[Work Start TimeStamp]])*24)</f>
        <v/>
      </c>
      <c r="Q457" s="57">
        <f>(IGA_BD[[#This Row],[Fault Clearance time]]-IGA_BD[[#This Row],[Fault Start TimeStamp]])*24</f>
        <v>0</v>
      </c>
      <c r="R457" s="153"/>
      <c r="S457" s="44"/>
      <c r="T457" s="45" t="str">
        <f>IFERROR(IGA_BD[[#This Row],[Breakdown Time]]*IGA_BD[[#This Row],[Plant Equivalent Weightage]],"")</f>
        <v/>
      </c>
    </row>
    <row r="458" spans="1:20">
      <c r="A458" s="28"/>
      <c r="B458" s="154"/>
      <c r="C458" s="30">
        <f>YEAR(WTG_BD[[#This Row],[Date]])+IF(MONTH(WTG_BD[[#This Row],[Date]])&gt;=4,1,0)</f>
        <v>2026</v>
      </c>
      <c r="D458" s="31">
        <f>YEAR(IGA_BD[[#This Row],[Date]])</f>
        <v>1900</v>
      </c>
      <c r="E458" s="48">
        <f t="shared" si="9"/>
        <v>1</v>
      </c>
      <c r="F458" s="32"/>
      <c r="G458" s="33"/>
      <c r="H458" s="43" t="str">
        <f>IFERROR(VLOOKUP(IGA_BD[[#This Row],[Affected Feeder ]],'Basic Data'!$A$42:$E$53,2,0),"")</f>
        <v/>
      </c>
      <c r="I458" s="43" t="str">
        <f>IFERROR(VLOOKUP(IGA_BD[[#This Row],[Affected Feeder ]],'Basic Data'!$A$42:$E$53,3,0),"")</f>
        <v/>
      </c>
      <c r="J458" s="43" t="str">
        <f>IFERROR(VLOOKUP(IGA_BD[[#This Row],[Affected Feeder ]],'Basic Data'!$A$42:$E$53,5,0),"")</f>
        <v/>
      </c>
      <c r="K458" s="164"/>
      <c r="L458" s="50"/>
      <c r="M458" s="116"/>
      <c r="N458" s="116"/>
      <c r="O458" s="57">
        <f>(IGA_BD[[#This Row],[Work Start TimeStamp]]-IGA_BD[[#This Row],[Fault Start TimeStamp]])*24</f>
        <v>0</v>
      </c>
      <c r="P458" s="44" t="str">
        <f>IF(IGA_BD[[#This Row],[Work Start TimeStamp]]="","",(IGA_BD[[#This Row],[Fault Clearance time]]-IGA_BD[[#This Row],[Work Start TimeStamp]])*24)</f>
        <v/>
      </c>
      <c r="Q458" s="57">
        <f>(IGA_BD[[#This Row],[Fault Clearance time]]-IGA_BD[[#This Row],[Fault Start TimeStamp]])*24</f>
        <v>0</v>
      </c>
      <c r="R458" s="153"/>
      <c r="S458" s="44"/>
      <c r="T458" s="45" t="str">
        <f>IFERROR(IGA_BD[[#This Row],[Breakdown Time]]*IGA_BD[[#This Row],[Plant Equivalent Weightage]],"")</f>
        <v/>
      </c>
    </row>
    <row r="459" spans="1:20">
      <c r="A459" s="28"/>
      <c r="B459" s="154"/>
      <c r="C459" s="30">
        <f>YEAR(WTG_BD[[#This Row],[Date]])+IF(MONTH(WTG_BD[[#This Row],[Date]])&gt;=4,1,0)</f>
        <v>2026</v>
      </c>
      <c r="D459" s="31">
        <f>YEAR(IGA_BD[[#This Row],[Date]])</f>
        <v>1900</v>
      </c>
      <c r="E459" s="48">
        <f t="shared" si="9"/>
        <v>1</v>
      </c>
      <c r="F459" s="32"/>
      <c r="G459" s="33"/>
      <c r="H459" s="43" t="str">
        <f>IFERROR(VLOOKUP(IGA_BD[[#This Row],[Affected Feeder ]],'Basic Data'!$A$42:$E$53,2,0),"")</f>
        <v/>
      </c>
      <c r="I459" s="43" t="str">
        <f>IFERROR(VLOOKUP(IGA_BD[[#This Row],[Affected Feeder ]],'Basic Data'!$A$42:$E$53,3,0),"")</f>
        <v/>
      </c>
      <c r="J459" s="43" t="str">
        <f>IFERROR(VLOOKUP(IGA_BD[[#This Row],[Affected Feeder ]],'Basic Data'!$A$42:$E$53,5,0),"")</f>
        <v/>
      </c>
      <c r="K459" s="164"/>
      <c r="L459" s="50"/>
      <c r="M459" s="116"/>
      <c r="N459" s="116"/>
      <c r="O459" s="57">
        <f>(IGA_BD[[#This Row],[Work Start TimeStamp]]-IGA_BD[[#This Row],[Fault Start TimeStamp]])*24</f>
        <v>0</v>
      </c>
      <c r="P459" s="44" t="str">
        <f>IF(IGA_BD[[#This Row],[Work Start TimeStamp]]="","",(IGA_BD[[#This Row],[Fault Clearance time]]-IGA_BD[[#This Row],[Work Start TimeStamp]])*24)</f>
        <v/>
      </c>
      <c r="Q459" s="57">
        <f>(IGA_BD[[#This Row],[Fault Clearance time]]-IGA_BD[[#This Row],[Fault Start TimeStamp]])*24</f>
        <v>0</v>
      </c>
      <c r="R459" s="153"/>
      <c r="S459" s="44"/>
      <c r="T459" s="45" t="str">
        <f>IFERROR(IGA_BD[[#This Row],[Breakdown Time]]*IGA_BD[[#This Row],[Plant Equivalent Weightage]],"")</f>
        <v/>
      </c>
    </row>
    <row r="460" spans="1:20">
      <c r="A460" s="28"/>
      <c r="B460" s="154"/>
      <c r="C460" s="30">
        <f>YEAR(WTG_BD[[#This Row],[Date]])+IF(MONTH(WTG_BD[[#This Row],[Date]])&gt;=4,1,0)</f>
        <v>2026</v>
      </c>
      <c r="D460" s="31">
        <f>YEAR(IGA_BD[[#This Row],[Date]])</f>
        <v>1900</v>
      </c>
      <c r="E460" s="48">
        <f t="shared" si="9"/>
        <v>1</v>
      </c>
      <c r="F460" s="32"/>
      <c r="G460" s="33"/>
      <c r="H460" s="43" t="str">
        <f>IFERROR(VLOOKUP(IGA_BD[[#This Row],[Affected Feeder ]],'Basic Data'!$A$42:$E$53,2,0),"")</f>
        <v/>
      </c>
      <c r="I460" s="43" t="str">
        <f>IFERROR(VLOOKUP(IGA_BD[[#This Row],[Affected Feeder ]],'Basic Data'!$A$42:$E$53,3,0),"")</f>
        <v/>
      </c>
      <c r="J460" s="43" t="str">
        <f>IFERROR(VLOOKUP(IGA_BD[[#This Row],[Affected Feeder ]],'Basic Data'!$A$42:$E$53,5,0),"")</f>
        <v/>
      </c>
      <c r="K460" s="164"/>
      <c r="L460" s="50"/>
      <c r="M460" s="116"/>
      <c r="N460" s="116"/>
      <c r="O460" s="57">
        <f>(IGA_BD[[#This Row],[Work Start TimeStamp]]-IGA_BD[[#This Row],[Fault Start TimeStamp]])*24</f>
        <v>0</v>
      </c>
      <c r="P460" s="44" t="str">
        <f>IF(IGA_BD[[#This Row],[Work Start TimeStamp]]="","",(IGA_BD[[#This Row],[Fault Clearance time]]-IGA_BD[[#This Row],[Work Start TimeStamp]])*24)</f>
        <v/>
      </c>
      <c r="Q460" s="57">
        <f>(IGA_BD[[#This Row],[Fault Clearance time]]-IGA_BD[[#This Row],[Fault Start TimeStamp]])*24</f>
        <v>0</v>
      </c>
      <c r="R460" s="153"/>
      <c r="S460" s="44"/>
      <c r="T460" s="45" t="str">
        <f>IFERROR(IGA_BD[[#This Row],[Breakdown Time]]*IGA_BD[[#This Row],[Plant Equivalent Weightage]],"")</f>
        <v/>
      </c>
    </row>
    <row r="461" spans="1:20">
      <c r="A461" s="28"/>
      <c r="B461" s="154"/>
      <c r="C461" s="30">
        <f>YEAR(WTG_BD[[#This Row],[Date]])+IF(MONTH(WTG_BD[[#This Row],[Date]])&gt;=4,1,0)</f>
        <v>2026</v>
      </c>
      <c r="D461" s="31">
        <f>YEAR(IGA_BD[[#This Row],[Date]])</f>
        <v>1900</v>
      </c>
      <c r="E461" s="48">
        <f t="shared" si="9"/>
        <v>1</v>
      </c>
      <c r="F461" s="32"/>
      <c r="G461" s="33"/>
      <c r="H461" s="43" t="str">
        <f>IFERROR(VLOOKUP(IGA_BD[[#This Row],[Affected Feeder ]],'Basic Data'!$A$42:$E$53,2,0),"")</f>
        <v/>
      </c>
      <c r="I461" s="43" t="str">
        <f>IFERROR(VLOOKUP(IGA_BD[[#This Row],[Affected Feeder ]],'Basic Data'!$A$42:$E$53,3,0),"")</f>
        <v/>
      </c>
      <c r="J461" s="43" t="str">
        <f>IFERROR(VLOOKUP(IGA_BD[[#This Row],[Affected Feeder ]],'Basic Data'!$A$42:$E$53,5,0),"")</f>
        <v/>
      </c>
      <c r="K461" s="164"/>
      <c r="L461" s="50"/>
      <c r="M461" s="116"/>
      <c r="N461" s="116"/>
      <c r="O461" s="57">
        <f>(IGA_BD[[#This Row],[Work Start TimeStamp]]-IGA_BD[[#This Row],[Fault Start TimeStamp]])*24</f>
        <v>0</v>
      </c>
      <c r="P461" s="44" t="str">
        <f>IF(IGA_BD[[#This Row],[Work Start TimeStamp]]="","",(IGA_BD[[#This Row],[Fault Clearance time]]-IGA_BD[[#This Row],[Work Start TimeStamp]])*24)</f>
        <v/>
      </c>
      <c r="Q461" s="57">
        <f>(IGA_BD[[#This Row],[Fault Clearance time]]-IGA_BD[[#This Row],[Fault Start TimeStamp]])*24</f>
        <v>0</v>
      </c>
      <c r="R461" s="153"/>
      <c r="S461" s="44"/>
      <c r="T461" s="45" t="str">
        <f>IFERROR(IGA_BD[[#This Row],[Breakdown Time]]*IGA_BD[[#This Row],[Plant Equivalent Weightage]],"")</f>
        <v/>
      </c>
    </row>
    <row r="462" spans="1:20">
      <c r="A462" s="28"/>
      <c r="B462" s="154"/>
      <c r="C462" s="30">
        <f>YEAR(WTG_BD[[#This Row],[Date]])+IF(MONTH(WTG_BD[[#This Row],[Date]])&gt;=4,1,0)</f>
        <v>2026</v>
      </c>
      <c r="D462" s="31">
        <f>YEAR(IGA_BD[[#This Row],[Date]])</f>
        <v>1900</v>
      </c>
      <c r="E462" s="48">
        <f t="shared" si="9"/>
        <v>1</v>
      </c>
      <c r="F462" s="32"/>
      <c r="G462" s="33"/>
      <c r="H462" s="43" t="str">
        <f>IFERROR(VLOOKUP(IGA_BD[[#This Row],[Affected Feeder ]],'Basic Data'!$A$42:$E$53,2,0),"")</f>
        <v/>
      </c>
      <c r="I462" s="43" t="str">
        <f>IFERROR(VLOOKUP(IGA_BD[[#This Row],[Affected Feeder ]],'Basic Data'!$A$42:$E$53,3,0),"")</f>
        <v/>
      </c>
      <c r="J462" s="43" t="str">
        <f>IFERROR(VLOOKUP(IGA_BD[[#This Row],[Affected Feeder ]],'Basic Data'!$A$42:$E$53,5,0),"")</f>
        <v/>
      </c>
      <c r="K462" s="164"/>
      <c r="L462" s="50"/>
      <c r="M462" s="116"/>
      <c r="N462" s="116"/>
      <c r="O462" s="57">
        <f>(IGA_BD[[#This Row],[Work Start TimeStamp]]-IGA_BD[[#This Row],[Fault Start TimeStamp]])*24</f>
        <v>0</v>
      </c>
      <c r="P462" s="44" t="str">
        <f>IF(IGA_BD[[#This Row],[Work Start TimeStamp]]="","",(IGA_BD[[#This Row],[Fault Clearance time]]-IGA_BD[[#This Row],[Work Start TimeStamp]])*24)</f>
        <v/>
      </c>
      <c r="Q462" s="57">
        <f>(IGA_BD[[#This Row],[Fault Clearance time]]-IGA_BD[[#This Row],[Fault Start TimeStamp]])*24</f>
        <v>0</v>
      </c>
      <c r="R462" s="153"/>
      <c r="S462" s="44"/>
      <c r="T462" s="45" t="str">
        <f>IFERROR(IGA_BD[[#This Row],[Breakdown Time]]*IGA_BD[[#This Row],[Plant Equivalent Weightage]],"")</f>
        <v/>
      </c>
    </row>
    <row r="463" spans="1:20">
      <c r="A463" s="28"/>
      <c r="B463" s="154"/>
      <c r="C463" s="30">
        <f>YEAR(WTG_BD[[#This Row],[Date]])+IF(MONTH(WTG_BD[[#This Row],[Date]])&gt;=4,1,0)</f>
        <v>2026</v>
      </c>
      <c r="D463" s="31">
        <f>YEAR(IGA_BD[[#This Row],[Date]])</f>
        <v>1900</v>
      </c>
      <c r="E463" s="48">
        <f t="shared" si="9"/>
        <v>1</v>
      </c>
      <c r="F463" s="32"/>
      <c r="G463" s="33"/>
      <c r="H463" s="43" t="str">
        <f>IFERROR(VLOOKUP(IGA_BD[[#This Row],[Affected Feeder ]],'Basic Data'!$A$42:$E$53,2,0),"")</f>
        <v/>
      </c>
      <c r="I463" s="43" t="str">
        <f>IFERROR(VLOOKUP(IGA_BD[[#This Row],[Affected Feeder ]],'Basic Data'!$A$42:$E$53,3,0),"")</f>
        <v/>
      </c>
      <c r="J463" s="43" t="str">
        <f>IFERROR(VLOOKUP(IGA_BD[[#This Row],[Affected Feeder ]],'Basic Data'!$A$42:$E$53,5,0),"")</f>
        <v/>
      </c>
      <c r="K463" s="164"/>
      <c r="L463" s="50"/>
      <c r="M463" s="116"/>
      <c r="N463" s="116"/>
      <c r="O463" s="57">
        <f>(IGA_BD[[#This Row],[Work Start TimeStamp]]-IGA_BD[[#This Row],[Fault Start TimeStamp]])*24</f>
        <v>0</v>
      </c>
      <c r="P463" s="44" t="str">
        <f>IF(IGA_BD[[#This Row],[Work Start TimeStamp]]="","",(IGA_BD[[#This Row],[Fault Clearance time]]-IGA_BD[[#This Row],[Work Start TimeStamp]])*24)</f>
        <v/>
      </c>
      <c r="Q463" s="57">
        <f>(IGA_BD[[#This Row],[Fault Clearance time]]-IGA_BD[[#This Row],[Fault Start TimeStamp]])*24</f>
        <v>0</v>
      </c>
      <c r="R463" s="153"/>
      <c r="S463" s="44"/>
      <c r="T463" s="45" t="str">
        <f>IFERROR(IGA_BD[[#This Row],[Breakdown Time]]*IGA_BD[[#This Row],[Plant Equivalent Weightage]],"")</f>
        <v/>
      </c>
    </row>
    <row r="464" spans="1:20">
      <c r="A464" s="28"/>
      <c r="B464" s="154"/>
      <c r="C464" s="30">
        <f>YEAR(WTG_BD[[#This Row],[Date]])+IF(MONTH(WTG_BD[[#This Row],[Date]])&gt;=4,1,0)</f>
        <v>2026</v>
      </c>
      <c r="D464" s="31">
        <f>YEAR(IGA_BD[[#This Row],[Date]])</f>
        <v>1900</v>
      </c>
      <c r="E464" s="48">
        <f t="shared" si="9"/>
        <v>1</v>
      </c>
      <c r="F464" s="32"/>
      <c r="G464" s="33"/>
      <c r="H464" s="43" t="str">
        <f>IFERROR(VLOOKUP(IGA_BD[[#This Row],[Affected Feeder ]],'Basic Data'!$A$42:$E$53,2,0),"")</f>
        <v/>
      </c>
      <c r="I464" s="43" t="str">
        <f>IFERROR(VLOOKUP(IGA_BD[[#This Row],[Affected Feeder ]],'Basic Data'!$A$42:$E$53,3,0),"")</f>
        <v/>
      </c>
      <c r="J464" s="43" t="str">
        <f>IFERROR(VLOOKUP(IGA_BD[[#This Row],[Affected Feeder ]],'Basic Data'!$A$42:$E$53,5,0),"")</f>
        <v/>
      </c>
      <c r="K464" s="164"/>
      <c r="L464" s="50"/>
      <c r="M464" s="116"/>
      <c r="N464" s="116"/>
      <c r="O464" s="57">
        <f>(IGA_BD[[#This Row],[Work Start TimeStamp]]-IGA_BD[[#This Row],[Fault Start TimeStamp]])*24</f>
        <v>0</v>
      </c>
      <c r="P464" s="44" t="str">
        <f>IF(IGA_BD[[#This Row],[Work Start TimeStamp]]="","",(IGA_BD[[#This Row],[Fault Clearance time]]-IGA_BD[[#This Row],[Work Start TimeStamp]])*24)</f>
        <v/>
      </c>
      <c r="Q464" s="57">
        <f>(IGA_BD[[#This Row],[Fault Clearance time]]-IGA_BD[[#This Row],[Fault Start TimeStamp]])*24</f>
        <v>0</v>
      </c>
      <c r="R464" s="153"/>
      <c r="S464" s="44"/>
      <c r="T464" s="45" t="str">
        <f>IFERROR(IGA_BD[[#This Row],[Breakdown Time]]*IGA_BD[[#This Row],[Plant Equivalent Weightage]],"")</f>
        <v/>
      </c>
    </row>
    <row r="465" spans="1:20">
      <c r="A465" s="28"/>
      <c r="B465" s="154"/>
      <c r="C465" s="30">
        <f>YEAR(WTG_BD[[#This Row],[Date]])+IF(MONTH(WTG_BD[[#This Row],[Date]])&gt;=4,1,0)</f>
        <v>2026</v>
      </c>
      <c r="D465" s="31">
        <f>YEAR(IGA_BD[[#This Row],[Date]])</f>
        <v>1900</v>
      </c>
      <c r="E465" s="48">
        <f t="shared" si="9"/>
        <v>1</v>
      </c>
      <c r="F465" s="32"/>
      <c r="G465" s="33"/>
      <c r="H465" s="43" t="str">
        <f>IFERROR(VLOOKUP(IGA_BD[[#This Row],[Affected Feeder ]],'Basic Data'!$A$42:$E$53,2,0),"")</f>
        <v/>
      </c>
      <c r="I465" s="43" t="str">
        <f>IFERROR(VLOOKUP(IGA_BD[[#This Row],[Affected Feeder ]],'Basic Data'!$A$42:$E$53,3,0),"")</f>
        <v/>
      </c>
      <c r="J465" s="43" t="str">
        <f>IFERROR(VLOOKUP(IGA_BD[[#This Row],[Affected Feeder ]],'Basic Data'!$A$42:$E$53,5,0),"")</f>
        <v/>
      </c>
      <c r="K465" s="164"/>
      <c r="L465" s="50"/>
      <c r="M465" s="116"/>
      <c r="N465" s="116"/>
      <c r="O465" s="57">
        <f>(IGA_BD[[#This Row],[Work Start TimeStamp]]-IGA_BD[[#This Row],[Fault Start TimeStamp]])*24</f>
        <v>0</v>
      </c>
      <c r="P465" s="44" t="str">
        <f>IF(IGA_BD[[#This Row],[Work Start TimeStamp]]="","",(IGA_BD[[#This Row],[Fault Clearance time]]-IGA_BD[[#This Row],[Work Start TimeStamp]])*24)</f>
        <v/>
      </c>
      <c r="Q465" s="57">
        <f>(IGA_BD[[#This Row],[Fault Clearance time]]-IGA_BD[[#This Row],[Fault Start TimeStamp]])*24</f>
        <v>0</v>
      </c>
      <c r="R465" s="153"/>
      <c r="S465" s="44"/>
      <c r="T465" s="45" t="str">
        <f>IFERROR(IGA_BD[[#This Row],[Breakdown Time]]*IGA_BD[[#This Row],[Plant Equivalent Weightage]],"")</f>
        <v/>
      </c>
    </row>
    <row r="466" spans="1:20">
      <c r="A466" s="28"/>
      <c r="B466" s="154"/>
      <c r="C466" s="30">
        <f>YEAR(WTG_BD[[#This Row],[Date]])+IF(MONTH(WTG_BD[[#This Row],[Date]])&gt;=4,1,0)</f>
        <v>2026</v>
      </c>
      <c r="D466" s="31">
        <f>YEAR(IGA_BD[[#This Row],[Date]])</f>
        <v>1900</v>
      </c>
      <c r="E466" s="48">
        <f t="shared" si="9"/>
        <v>1</v>
      </c>
      <c r="F466" s="32"/>
      <c r="G466" s="33"/>
      <c r="H466" s="43" t="str">
        <f>IFERROR(VLOOKUP(IGA_BD[[#This Row],[Affected Feeder ]],'Basic Data'!$A$42:$E$53,2,0),"")</f>
        <v/>
      </c>
      <c r="I466" s="43" t="str">
        <f>IFERROR(VLOOKUP(IGA_BD[[#This Row],[Affected Feeder ]],'Basic Data'!$A$42:$E$53,3,0),"")</f>
        <v/>
      </c>
      <c r="J466" s="43" t="str">
        <f>IFERROR(VLOOKUP(IGA_BD[[#This Row],[Affected Feeder ]],'Basic Data'!$A$42:$E$53,5,0),"")</f>
        <v/>
      </c>
      <c r="K466" s="164"/>
      <c r="L466" s="50"/>
      <c r="M466" s="116"/>
      <c r="N466" s="116"/>
      <c r="O466" s="57">
        <f>(IGA_BD[[#This Row],[Work Start TimeStamp]]-IGA_BD[[#This Row],[Fault Start TimeStamp]])*24</f>
        <v>0</v>
      </c>
      <c r="P466" s="44" t="str">
        <f>IF(IGA_BD[[#This Row],[Work Start TimeStamp]]="","",(IGA_BD[[#This Row],[Fault Clearance time]]-IGA_BD[[#This Row],[Work Start TimeStamp]])*24)</f>
        <v/>
      </c>
      <c r="Q466" s="57">
        <f>(IGA_BD[[#This Row],[Fault Clearance time]]-IGA_BD[[#This Row],[Fault Start TimeStamp]])*24</f>
        <v>0</v>
      </c>
      <c r="R466" s="153"/>
      <c r="S466" s="44"/>
      <c r="T466" s="45" t="str">
        <f>IFERROR(IGA_BD[[#This Row],[Breakdown Time]]*IGA_BD[[#This Row],[Plant Equivalent Weightage]],"")</f>
        <v/>
      </c>
    </row>
    <row r="467" spans="1:20">
      <c r="A467" s="28"/>
      <c r="B467" s="154"/>
      <c r="C467" s="30">
        <f>YEAR(WTG_BD[[#This Row],[Date]])+IF(MONTH(WTG_BD[[#This Row],[Date]])&gt;=4,1,0)</f>
        <v>2026</v>
      </c>
      <c r="D467" s="31">
        <f>YEAR(IGA_BD[[#This Row],[Date]])</f>
        <v>1900</v>
      </c>
      <c r="E467" s="48">
        <f t="shared" si="9"/>
        <v>1</v>
      </c>
      <c r="F467" s="32"/>
      <c r="G467" s="33"/>
      <c r="H467" s="43" t="str">
        <f>IFERROR(VLOOKUP(IGA_BD[[#This Row],[Affected Feeder ]],'Basic Data'!$A$42:$E$53,2,0),"")</f>
        <v/>
      </c>
      <c r="I467" s="43" t="str">
        <f>IFERROR(VLOOKUP(IGA_BD[[#This Row],[Affected Feeder ]],'Basic Data'!$A$42:$E$53,3,0),"")</f>
        <v/>
      </c>
      <c r="J467" s="43" t="str">
        <f>IFERROR(VLOOKUP(IGA_BD[[#This Row],[Affected Feeder ]],'Basic Data'!$A$42:$E$53,5,0),"")</f>
        <v/>
      </c>
      <c r="K467" s="164"/>
      <c r="L467" s="50"/>
      <c r="M467" s="116"/>
      <c r="N467" s="116"/>
      <c r="O467" s="57">
        <f>(IGA_BD[[#This Row],[Work Start TimeStamp]]-IGA_BD[[#This Row],[Fault Start TimeStamp]])*24</f>
        <v>0</v>
      </c>
      <c r="P467" s="44" t="str">
        <f>IF(IGA_BD[[#This Row],[Work Start TimeStamp]]="","",(IGA_BD[[#This Row],[Fault Clearance time]]-IGA_BD[[#This Row],[Work Start TimeStamp]])*24)</f>
        <v/>
      </c>
      <c r="Q467" s="57">
        <f>(IGA_BD[[#This Row],[Fault Clearance time]]-IGA_BD[[#This Row],[Fault Start TimeStamp]])*24</f>
        <v>0</v>
      </c>
      <c r="R467" s="153"/>
      <c r="S467" s="44"/>
      <c r="T467" s="45" t="str">
        <f>IFERROR(IGA_BD[[#This Row],[Breakdown Time]]*IGA_BD[[#This Row],[Plant Equivalent Weightage]],"")</f>
        <v/>
      </c>
    </row>
    <row r="468" spans="1:20">
      <c r="A468" s="28"/>
      <c r="B468" s="154"/>
      <c r="C468" s="30">
        <f>YEAR(WTG_BD[[#This Row],[Date]])+IF(MONTH(WTG_BD[[#This Row],[Date]])&gt;=4,1,0)</f>
        <v>2026</v>
      </c>
      <c r="D468" s="31">
        <f>YEAR(IGA_BD[[#This Row],[Date]])</f>
        <v>1900</v>
      </c>
      <c r="E468" s="48">
        <f t="shared" si="9"/>
        <v>1</v>
      </c>
      <c r="F468" s="32"/>
      <c r="G468" s="33"/>
      <c r="H468" s="43" t="str">
        <f>IFERROR(VLOOKUP(IGA_BD[[#This Row],[Affected Feeder ]],'Basic Data'!$A$42:$E$53,2,0),"")</f>
        <v/>
      </c>
      <c r="I468" s="43" t="str">
        <f>IFERROR(VLOOKUP(IGA_BD[[#This Row],[Affected Feeder ]],'Basic Data'!$A$42:$E$53,3,0),"")</f>
        <v/>
      </c>
      <c r="J468" s="43" t="str">
        <f>IFERROR(VLOOKUP(IGA_BD[[#This Row],[Affected Feeder ]],'Basic Data'!$A$42:$E$53,5,0),"")</f>
        <v/>
      </c>
      <c r="K468" s="164"/>
      <c r="L468" s="50"/>
      <c r="M468" s="116"/>
      <c r="N468" s="116"/>
      <c r="O468" s="57">
        <f>(IGA_BD[[#This Row],[Work Start TimeStamp]]-IGA_BD[[#This Row],[Fault Start TimeStamp]])*24</f>
        <v>0</v>
      </c>
      <c r="P468" s="44" t="str">
        <f>IF(IGA_BD[[#This Row],[Work Start TimeStamp]]="","",(IGA_BD[[#This Row],[Fault Clearance time]]-IGA_BD[[#This Row],[Work Start TimeStamp]])*24)</f>
        <v/>
      </c>
      <c r="Q468" s="57">
        <f>(IGA_BD[[#This Row],[Fault Clearance time]]-IGA_BD[[#This Row],[Fault Start TimeStamp]])*24</f>
        <v>0</v>
      </c>
      <c r="R468" s="153"/>
      <c r="S468" s="44"/>
      <c r="T468" s="45" t="str">
        <f>IFERROR(IGA_BD[[#This Row],[Breakdown Time]]*IGA_BD[[#This Row],[Plant Equivalent Weightage]],"")</f>
        <v/>
      </c>
    </row>
    <row r="469" spans="1:20">
      <c r="A469" s="28"/>
      <c r="B469" s="154"/>
      <c r="C469" s="30">
        <f>YEAR(WTG_BD[[#This Row],[Date]])+IF(MONTH(WTG_BD[[#This Row],[Date]])&gt;=4,1,0)</f>
        <v>2026</v>
      </c>
      <c r="D469" s="31">
        <f>YEAR(IGA_BD[[#This Row],[Date]])</f>
        <v>1900</v>
      </c>
      <c r="E469" s="48">
        <f t="shared" si="9"/>
        <v>1</v>
      </c>
      <c r="F469" s="32"/>
      <c r="G469" s="33"/>
      <c r="H469" s="43" t="str">
        <f>IFERROR(VLOOKUP(IGA_BD[[#This Row],[Affected Feeder ]],'Basic Data'!$A$42:$E$53,2,0),"")</f>
        <v/>
      </c>
      <c r="I469" s="43" t="str">
        <f>IFERROR(VLOOKUP(IGA_BD[[#This Row],[Affected Feeder ]],'Basic Data'!$A$42:$E$53,3,0),"")</f>
        <v/>
      </c>
      <c r="J469" s="43" t="str">
        <f>IFERROR(VLOOKUP(IGA_BD[[#This Row],[Affected Feeder ]],'Basic Data'!$A$42:$E$53,5,0),"")</f>
        <v/>
      </c>
      <c r="K469" s="164"/>
      <c r="L469" s="50"/>
      <c r="M469" s="116"/>
      <c r="N469" s="116"/>
      <c r="O469" s="57">
        <f>(IGA_BD[[#This Row],[Work Start TimeStamp]]-IGA_BD[[#This Row],[Fault Start TimeStamp]])*24</f>
        <v>0</v>
      </c>
      <c r="P469" s="44" t="str">
        <f>IF(IGA_BD[[#This Row],[Work Start TimeStamp]]="","",(IGA_BD[[#This Row],[Fault Clearance time]]-IGA_BD[[#This Row],[Work Start TimeStamp]])*24)</f>
        <v/>
      </c>
      <c r="Q469" s="57">
        <f>(IGA_BD[[#This Row],[Fault Clearance time]]-IGA_BD[[#This Row],[Fault Start TimeStamp]])*24</f>
        <v>0</v>
      </c>
      <c r="R469" s="153"/>
      <c r="S469" s="44"/>
      <c r="T469" s="45" t="str">
        <f>IFERROR(IGA_BD[[#This Row],[Breakdown Time]]*IGA_BD[[#This Row],[Plant Equivalent Weightage]],"")</f>
        <v/>
      </c>
    </row>
    <row r="470" spans="1:20">
      <c r="A470" s="28"/>
      <c r="B470" s="154"/>
      <c r="C470" s="30">
        <f>YEAR(WTG_BD[[#This Row],[Date]])+IF(MONTH(WTG_BD[[#This Row],[Date]])&gt;=4,1,0)</f>
        <v>2026</v>
      </c>
      <c r="D470" s="31">
        <f>YEAR(IGA_BD[[#This Row],[Date]])</f>
        <v>1900</v>
      </c>
      <c r="E470" s="48">
        <f t="shared" si="9"/>
        <v>1</v>
      </c>
      <c r="F470" s="32"/>
      <c r="G470" s="33"/>
      <c r="H470" s="43" t="str">
        <f>IFERROR(VLOOKUP(IGA_BD[[#This Row],[Affected Feeder ]],'Basic Data'!$A$42:$E$53,2,0),"")</f>
        <v/>
      </c>
      <c r="I470" s="43" t="str">
        <f>IFERROR(VLOOKUP(IGA_BD[[#This Row],[Affected Feeder ]],'Basic Data'!$A$42:$E$53,3,0),"")</f>
        <v/>
      </c>
      <c r="J470" s="43" t="str">
        <f>IFERROR(VLOOKUP(IGA_BD[[#This Row],[Affected Feeder ]],'Basic Data'!$A$42:$E$53,5,0),"")</f>
        <v/>
      </c>
      <c r="K470" s="164"/>
      <c r="L470" s="50"/>
      <c r="M470" s="116"/>
      <c r="N470" s="116"/>
      <c r="O470" s="57">
        <f>(IGA_BD[[#This Row],[Work Start TimeStamp]]-IGA_BD[[#This Row],[Fault Start TimeStamp]])*24</f>
        <v>0</v>
      </c>
      <c r="P470" s="44" t="str">
        <f>IF(IGA_BD[[#This Row],[Work Start TimeStamp]]="","",(IGA_BD[[#This Row],[Fault Clearance time]]-IGA_BD[[#This Row],[Work Start TimeStamp]])*24)</f>
        <v/>
      </c>
      <c r="Q470" s="57">
        <f>(IGA_BD[[#This Row],[Fault Clearance time]]-IGA_BD[[#This Row],[Fault Start TimeStamp]])*24</f>
        <v>0</v>
      </c>
      <c r="R470" s="153"/>
      <c r="S470" s="44"/>
      <c r="T470" s="45" t="str">
        <f>IFERROR(IGA_BD[[#This Row],[Breakdown Time]]*IGA_BD[[#This Row],[Plant Equivalent Weightage]],"")</f>
        <v/>
      </c>
    </row>
    <row r="471" spans="1:20">
      <c r="A471" s="28"/>
      <c r="B471" s="154"/>
      <c r="C471" s="30">
        <f>YEAR(WTG_BD[[#This Row],[Date]])+IF(MONTH(WTG_BD[[#This Row],[Date]])&gt;=4,1,0)</f>
        <v>2026</v>
      </c>
      <c r="D471" s="31">
        <f>YEAR(IGA_BD[[#This Row],[Date]])</f>
        <v>1900</v>
      </c>
      <c r="E471" s="48">
        <f t="shared" si="9"/>
        <v>1</v>
      </c>
      <c r="F471" s="32"/>
      <c r="G471" s="33"/>
      <c r="H471" s="43" t="str">
        <f>IFERROR(VLOOKUP(IGA_BD[[#This Row],[Affected Feeder ]],'Basic Data'!$A$42:$E$53,2,0),"")</f>
        <v/>
      </c>
      <c r="I471" s="43" t="str">
        <f>IFERROR(VLOOKUP(IGA_BD[[#This Row],[Affected Feeder ]],'Basic Data'!$A$42:$E$53,3,0),"")</f>
        <v/>
      </c>
      <c r="J471" s="43" t="str">
        <f>IFERROR(VLOOKUP(IGA_BD[[#This Row],[Affected Feeder ]],'Basic Data'!$A$42:$E$53,5,0),"")</f>
        <v/>
      </c>
      <c r="K471" s="164"/>
      <c r="L471" s="50"/>
      <c r="M471" s="116"/>
      <c r="N471" s="116"/>
      <c r="O471" s="57">
        <f>(IGA_BD[[#This Row],[Work Start TimeStamp]]-IGA_BD[[#This Row],[Fault Start TimeStamp]])*24</f>
        <v>0</v>
      </c>
      <c r="P471" s="44" t="str">
        <f>IF(IGA_BD[[#This Row],[Work Start TimeStamp]]="","",(IGA_BD[[#This Row],[Fault Clearance time]]-IGA_BD[[#This Row],[Work Start TimeStamp]])*24)</f>
        <v/>
      </c>
      <c r="Q471" s="57">
        <f>(IGA_BD[[#This Row],[Fault Clearance time]]-IGA_BD[[#This Row],[Fault Start TimeStamp]])*24</f>
        <v>0</v>
      </c>
      <c r="R471" s="153"/>
      <c r="S471" s="44"/>
      <c r="T471" s="45" t="str">
        <f>IFERROR(IGA_BD[[#This Row],[Breakdown Time]]*IGA_BD[[#This Row],[Plant Equivalent Weightage]],"")</f>
        <v/>
      </c>
    </row>
    <row r="472" spans="1:20">
      <c r="A472" s="28"/>
      <c r="B472" s="154"/>
      <c r="C472" s="30">
        <f>YEAR(WTG_BD[[#This Row],[Date]])+IF(MONTH(WTG_BD[[#This Row],[Date]])&gt;=4,1,0)</f>
        <v>2026</v>
      </c>
      <c r="D472" s="31">
        <f>YEAR(IGA_BD[[#This Row],[Date]])</f>
        <v>1900</v>
      </c>
      <c r="E472" s="48">
        <f t="shared" si="9"/>
        <v>1</v>
      </c>
      <c r="F472" s="32"/>
      <c r="G472" s="33"/>
      <c r="H472" s="43" t="str">
        <f>IFERROR(VLOOKUP(IGA_BD[[#This Row],[Affected Feeder ]],'Basic Data'!$A$42:$E$53,2,0),"")</f>
        <v/>
      </c>
      <c r="I472" s="43" t="str">
        <f>IFERROR(VLOOKUP(IGA_BD[[#This Row],[Affected Feeder ]],'Basic Data'!$A$42:$E$53,3,0),"")</f>
        <v/>
      </c>
      <c r="J472" s="43" t="str">
        <f>IFERROR(VLOOKUP(IGA_BD[[#This Row],[Affected Feeder ]],'Basic Data'!$A$42:$E$53,5,0),"")</f>
        <v/>
      </c>
      <c r="K472" s="164"/>
      <c r="L472" s="50"/>
      <c r="M472" s="116"/>
      <c r="N472" s="116"/>
      <c r="O472" s="57">
        <f>(IGA_BD[[#This Row],[Work Start TimeStamp]]-IGA_BD[[#This Row],[Fault Start TimeStamp]])*24</f>
        <v>0</v>
      </c>
      <c r="P472" s="44" t="str">
        <f>IF(IGA_BD[[#This Row],[Work Start TimeStamp]]="","",(IGA_BD[[#This Row],[Fault Clearance time]]-IGA_BD[[#This Row],[Work Start TimeStamp]])*24)</f>
        <v/>
      </c>
      <c r="Q472" s="57">
        <f>(IGA_BD[[#This Row],[Fault Clearance time]]-IGA_BD[[#This Row],[Fault Start TimeStamp]])*24</f>
        <v>0</v>
      </c>
      <c r="R472" s="153"/>
      <c r="S472" s="44"/>
      <c r="T472" s="45" t="str">
        <f>IFERROR(IGA_BD[[#This Row],[Breakdown Time]]*IGA_BD[[#This Row],[Plant Equivalent Weightage]],"")</f>
        <v/>
      </c>
    </row>
    <row r="473" spans="1:20">
      <c r="A473" s="28"/>
      <c r="B473" s="154"/>
      <c r="C473" s="30">
        <f>YEAR(WTG_BD[[#This Row],[Date]])+IF(MONTH(WTG_BD[[#This Row],[Date]])&gt;=4,1,0)</f>
        <v>2026</v>
      </c>
      <c r="D473" s="31">
        <f>YEAR(IGA_BD[[#This Row],[Date]])</f>
        <v>1900</v>
      </c>
      <c r="E473" s="48">
        <f t="shared" si="9"/>
        <v>1</v>
      </c>
      <c r="F473" s="32"/>
      <c r="G473" s="33"/>
      <c r="H473" s="43" t="str">
        <f>IFERROR(VLOOKUP(IGA_BD[[#This Row],[Affected Feeder ]],'Basic Data'!$A$42:$E$53,2,0),"")</f>
        <v/>
      </c>
      <c r="I473" s="43" t="str">
        <f>IFERROR(VLOOKUP(IGA_BD[[#This Row],[Affected Feeder ]],'Basic Data'!$A$42:$E$53,3,0),"")</f>
        <v/>
      </c>
      <c r="J473" s="43" t="str">
        <f>IFERROR(VLOOKUP(IGA_BD[[#This Row],[Affected Feeder ]],'Basic Data'!$A$42:$E$53,5,0),"")</f>
        <v/>
      </c>
      <c r="K473" s="164"/>
      <c r="L473" s="50"/>
      <c r="M473" s="116"/>
      <c r="N473" s="116"/>
      <c r="O473" s="57">
        <f>(IGA_BD[[#This Row],[Work Start TimeStamp]]-IGA_BD[[#This Row],[Fault Start TimeStamp]])*24</f>
        <v>0</v>
      </c>
      <c r="P473" s="44" t="str">
        <f>IF(IGA_BD[[#This Row],[Work Start TimeStamp]]="","",(IGA_BD[[#This Row],[Fault Clearance time]]-IGA_BD[[#This Row],[Work Start TimeStamp]])*24)</f>
        <v/>
      </c>
      <c r="Q473" s="57">
        <f>(IGA_BD[[#This Row],[Fault Clearance time]]-IGA_BD[[#This Row],[Fault Start TimeStamp]])*24</f>
        <v>0</v>
      </c>
      <c r="R473" s="153"/>
      <c r="S473" s="44"/>
      <c r="T473" s="45" t="str">
        <f>IFERROR(IGA_BD[[#This Row],[Breakdown Time]]*IGA_BD[[#This Row],[Plant Equivalent Weightage]],"")</f>
        <v/>
      </c>
    </row>
    <row r="474" spans="1:20">
      <c r="A474" s="28"/>
      <c r="B474" s="154"/>
      <c r="C474" s="30">
        <f>YEAR(WTG_BD[[#This Row],[Date]])+IF(MONTH(WTG_BD[[#This Row],[Date]])&gt;=4,1,0)</f>
        <v>2026</v>
      </c>
      <c r="D474" s="31">
        <f>YEAR(IGA_BD[[#This Row],[Date]])</f>
        <v>1900</v>
      </c>
      <c r="E474" s="48">
        <f t="shared" si="9"/>
        <v>1</v>
      </c>
      <c r="F474" s="32"/>
      <c r="G474" s="33"/>
      <c r="H474" s="43" t="str">
        <f>IFERROR(VLOOKUP(IGA_BD[[#This Row],[Affected Feeder ]],'Basic Data'!$A$42:$E$53,2,0),"")</f>
        <v/>
      </c>
      <c r="I474" s="43" t="str">
        <f>IFERROR(VLOOKUP(IGA_BD[[#This Row],[Affected Feeder ]],'Basic Data'!$A$42:$E$53,3,0),"")</f>
        <v/>
      </c>
      <c r="J474" s="43" t="str">
        <f>IFERROR(VLOOKUP(IGA_BD[[#This Row],[Affected Feeder ]],'Basic Data'!$A$42:$E$53,5,0),"")</f>
        <v/>
      </c>
      <c r="K474" s="164"/>
      <c r="L474" s="50"/>
      <c r="M474" s="116"/>
      <c r="N474" s="116"/>
      <c r="O474" s="57">
        <f>(IGA_BD[[#This Row],[Work Start TimeStamp]]-IGA_BD[[#This Row],[Fault Start TimeStamp]])*24</f>
        <v>0</v>
      </c>
      <c r="P474" s="44" t="str">
        <f>IF(IGA_BD[[#This Row],[Work Start TimeStamp]]="","",(IGA_BD[[#This Row],[Fault Clearance time]]-IGA_BD[[#This Row],[Work Start TimeStamp]])*24)</f>
        <v/>
      </c>
      <c r="Q474" s="57">
        <f>(IGA_BD[[#This Row],[Fault Clearance time]]-IGA_BD[[#This Row],[Fault Start TimeStamp]])*24</f>
        <v>0</v>
      </c>
      <c r="R474" s="153"/>
      <c r="S474" s="44"/>
      <c r="T474" s="45" t="str">
        <f>IFERROR(IGA_BD[[#This Row],[Breakdown Time]]*IGA_BD[[#This Row],[Plant Equivalent Weightage]],"")</f>
        <v/>
      </c>
    </row>
    <row r="475" spans="1:20">
      <c r="A475" s="28"/>
      <c r="B475" s="154"/>
      <c r="C475" s="30">
        <f>YEAR(WTG_BD[[#This Row],[Date]])+IF(MONTH(WTG_BD[[#This Row],[Date]])&gt;=4,1,0)</f>
        <v>2026</v>
      </c>
      <c r="D475" s="31">
        <f>YEAR(IGA_BD[[#This Row],[Date]])</f>
        <v>1900</v>
      </c>
      <c r="E475" s="48">
        <f t="shared" si="9"/>
        <v>1</v>
      </c>
      <c r="F475" s="32"/>
      <c r="G475" s="33"/>
      <c r="H475" s="43" t="str">
        <f>IFERROR(VLOOKUP(IGA_BD[[#This Row],[Affected Feeder ]],'Basic Data'!$A$42:$E$53,2,0),"")</f>
        <v/>
      </c>
      <c r="I475" s="43" t="str">
        <f>IFERROR(VLOOKUP(IGA_BD[[#This Row],[Affected Feeder ]],'Basic Data'!$A$42:$E$53,3,0),"")</f>
        <v/>
      </c>
      <c r="J475" s="43" t="str">
        <f>IFERROR(VLOOKUP(IGA_BD[[#This Row],[Affected Feeder ]],'Basic Data'!$A$42:$E$53,5,0),"")</f>
        <v/>
      </c>
      <c r="K475" s="164"/>
      <c r="L475" s="50"/>
      <c r="M475" s="116"/>
      <c r="N475" s="116"/>
      <c r="O475" s="57">
        <f>(IGA_BD[[#This Row],[Work Start TimeStamp]]-IGA_BD[[#This Row],[Fault Start TimeStamp]])*24</f>
        <v>0</v>
      </c>
      <c r="P475" s="44" t="str">
        <f>IF(IGA_BD[[#This Row],[Work Start TimeStamp]]="","",(IGA_BD[[#This Row],[Fault Clearance time]]-IGA_BD[[#This Row],[Work Start TimeStamp]])*24)</f>
        <v/>
      </c>
      <c r="Q475" s="57">
        <f>(IGA_BD[[#This Row],[Fault Clearance time]]-IGA_BD[[#This Row],[Fault Start TimeStamp]])*24</f>
        <v>0</v>
      </c>
      <c r="R475" s="153"/>
      <c r="S475" s="44"/>
      <c r="T475" s="45" t="str">
        <f>IFERROR(IGA_BD[[#This Row],[Breakdown Time]]*IGA_BD[[#This Row],[Plant Equivalent Weightage]],"")</f>
        <v/>
      </c>
    </row>
    <row r="476" spans="1:20">
      <c r="A476" s="28"/>
      <c r="B476" s="154"/>
      <c r="C476" s="30">
        <f>YEAR(WTG_BD[[#This Row],[Date]])+IF(MONTH(WTG_BD[[#This Row],[Date]])&gt;=4,1,0)</f>
        <v>2026</v>
      </c>
      <c r="D476" s="31">
        <f>YEAR(IGA_BD[[#This Row],[Date]])</f>
        <v>1900</v>
      </c>
      <c r="E476" s="48">
        <f t="shared" ref="E476:E539" si="10">B476-DAY(B476)+1</f>
        <v>1</v>
      </c>
      <c r="F476" s="32"/>
      <c r="G476" s="33"/>
      <c r="H476" s="43" t="str">
        <f>IFERROR(VLOOKUP(IGA_BD[[#This Row],[Affected Feeder ]],'Basic Data'!$A$42:$E$53,2,0),"")</f>
        <v/>
      </c>
      <c r="I476" s="43" t="str">
        <f>IFERROR(VLOOKUP(IGA_BD[[#This Row],[Affected Feeder ]],'Basic Data'!$A$42:$E$53,3,0),"")</f>
        <v/>
      </c>
      <c r="J476" s="43" t="str">
        <f>IFERROR(VLOOKUP(IGA_BD[[#This Row],[Affected Feeder ]],'Basic Data'!$A$42:$E$53,5,0),"")</f>
        <v/>
      </c>
      <c r="K476" s="164"/>
      <c r="L476" s="50"/>
      <c r="M476" s="116"/>
      <c r="N476" s="116"/>
      <c r="O476" s="57">
        <f>(IGA_BD[[#This Row],[Work Start TimeStamp]]-IGA_BD[[#This Row],[Fault Start TimeStamp]])*24</f>
        <v>0</v>
      </c>
      <c r="P476" s="44" t="str">
        <f>IF(IGA_BD[[#This Row],[Work Start TimeStamp]]="","",(IGA_BD[[#This Row],[Fault Clearance time]]-IGA_BD[[#This Row],[Work Start TimeStamp]])*24)</f>
        <v/>
      </c>
      <c r="Q476" s="57">
        <f>(IGA_BD[[#This Row],[Fault Clearance time]]-IGA_BD[[#This Row],[Fault Start TimeStamp]])*24</f>
        <v>0</v>
      </c>
      <c r="R476" s="153"/>
      <c r="S476" s="44"/>
      <c r="T476" s="45" t="str">
        <f>IFERROR(IGA_BD[[#This Row],[Breakdown Time]]*IGA_BD[[#This Row],[Plant Equivalent Weightage]],"")</f>
        <v/>
      </c>
    </row>
    <row r="477" spans="1:20">
      <c r="A477" s="28"/>
      <c r="B477" s="154"/>
      <c r="C477" s="30">
        <f>YEAR(WTG_BD[[#This Row],[Date]])+IF(MONTH(WTG_BD[[#This Row],[Date]])&gt;=4,1,0)</f>
        <v>2026</v>
      </c>
      <c r="D477" s="31">
        <f>YEAR(IGA_BD[[#This Row],[Date]])</f>
        <v>1900</v>
      </c>
      <c r="E477" s="48">
        <f t="shared" si="10"/>
        <v>1</v>
      </c>
      <c r="F477" s="32"/>
      <c r="G477" s="33"/>
      <c r="H477" s="43" t="str">
        <f>IFERROR(VLOOKUP(IGA_BD[[#This Row],[Affected Feeder ]],'Basic Data'!$A$42:$E$53,2,0),"")</f>
        <v/>
      </c>
      <c r="I477" s="43" t="str">
        <f>IFERROR(VLOOKUP(IGA_BD[[#This Row],[Affected Feeder ]],'Basic Data'!$A$42:$E$53,3,0),"")</f>
        <v/>
      </c>
      <c r="J477" s="43" t="str">
        <f>IFERROR(VLOOKUP(IGA_BD[[#This Row],[Affected Feeder ]],'Basic Data'!$A$42:$E$53,5,0),"")</f>
        <v/>
      </c>
      <c r="K477" s="164"/>
      <c r="L477" s="50"/>
      <c r="M477" s="116"/>
      <c r="N477" s="116"/>
      <c r="O477" s="57">
        <f>(IGA_BD[[#This Row],[Work Start TimeStamp]]-IGA_BD[[#This Row],[Fault Start TimeStamp]])*24</f>
        <v>0</v>
      </c>
      <c r="P477" s="44" t="str">
        <f>IF(IGA_BD[[#This Row],[Work Start TimeStamp]]="","",(IGA_BD[[#This Row],[Fault Clearance time]]-IGA_BD[[#This Row],[Work Start TimeStamp]])*24)</f>
        <v/>
      </c>
      <c r="Q477" s="57">
        <f>(IGA_BD[[#This Row],[Fault Clearance time]]-IGA_BD[[#This Row],[Fault Start TimeStamp]])*24</f>
        <v>0</v>
      </c>
      <c r="R477" s="153"/>
      <c r="S477" s="44"/>
      <c r="T477" s="45" t="str">
        <f>IFERROR(IGA_BD[[#This Row],[Breakdown Time]]*IGA_BD[[#This Row],[Plant Equivalent Weightage]],"")</f>
        <v/>
      </c>
    </row>
    <row r="478" spans="1:20">
      <c r="A478" s="28"/>
      <c r="B478" s="154"/>
      <c r="C478" s="30">
        <f>YEAR(WTG_BD[[#This Row],[Date]])+IF(MONTH(WTG_BD[[#This Row],[Date]])&gt;=4,1,0)</f>
        <v>2026</v>
      </c>
      <c r="D478" s="31">
        <f>YEAR(IGA_BD[[#This Row],[Date]])</f>
        <v>1900</v>
      </c>
      <c r="E478" s="48">
        <f t="shared" si="10"/>
        <v>1</v>
      </c>
      <c r="F478" s="32"/>
      <c r="G478" s="33"/>
      <c r="H478" s="43" t="str">
        <f>IFERROR(VLOOKUP(IGA_BD[[#This Row],[Affected Feeder ]],'Basic Data'!$A$42:$E$53,2,0),"")</f>
        <v/>
      </c>
      <c r="I478" s="43" t="str">
        <f>IFERROR(VLOOKUP(IGA_BD[[#This Row],[Affected Feeder ]],'Basic Data'!$A$42:$E$53,3,0),"")</f>
        <v/>
      </c>
      <c r="J478" s="43" t="str">
        <f>IFERROR(VLOOKUP(IGA_BD[[#This Row],[Affected Feeder ]],'Basic Data'!$A$42:$E$53,5,0),"")</f>
        <v/>
      </c>
      <c r="K478" s="164"/>
      <c r="L478" s="50"/>
      <c r="M478" s="116"/>
      <c r="N478" s="116"/>
      <c r="O478" s="57">
        <f>(IGA_BD[[#This Row],[Work Start TimeStamp]]-IGA_BD[[#This Row],[Fault Start TimeStamp]])*24</f>
        <v>0</v>
      </c>
      <c r="P478" s="44" t="str">
        <f>IF(IGA_BD[[#This Row],[Work Start TimeStamp]]="","",(IGA_BD[[#This Row],[Fault Clearance time]]-IGA_BD[[#This Row],[Work Start TimeStamp]])*24)</f>
        <v/>
      </c>
      <c r="Q478" s="57">
        <f>(IGA_BD[[#This Row],[Fault Clearance time]]-IGA_BD[[#This Row],[Fault Start TimeStamp]])*24</f>
        <v>0</v>
      </c>
      <c r="R478" s="153"/>
      <c r="S478" s="44"/>
      <c r="T478" s="45" t="str">
        <f>IFERROR(IGA_BD[[#This Row],[Breakdown Time]]*IGA_BD[[#This Row],[Plant Equivalent Weightage]],"")</f>
        <v/>
      </c>
    </row>
    <row r="479" spans="1:20">
      <c r="A479" s="28"/>
      <c r="B479" s="154"/>
      <c r="C479" s="30">
        <f>YEAR(WTG_BD[[#This Row],[Date]])+IF(MONTH(WTG_BD[[#This Row],[Date]])&gt;=4,1,0)</f>
        <v>2026</v>
      </c>
      <c r="D479" s="31">
        <f>YEAR(IGA_BD[[#This Row],[Date]])</f>
        <v>1900</v>
      </c>
      <c r="E479" s="48">
        <f t="shared" si="10"/>
        <v>1</v>
      </c>
      <c r="F479" s="32"/>
      <c r="G479" s="33"/>
      <c r="H479" s="43" t="str">
        <f>IFERROR(VLOOKUP(IGA_BD[[#This Row],[Affected Feeder ]],'Basic Data'!$A$42:$E$53,2,0),"")</f>
        <v/>
      </c>
      <c r="I479" s="43" t="str">
        <f>IFERROR(VLOOKUP(IGA_BD[[#This Row],[Affected Feeder ]],'Basic Data'!$A$42:$E$53,3,0),"")</f>
        <v/>
      </c>
      <c r="J479" s="43" t="str">
        <f>IFERROR(VLOOKUP(IGA_BD[[#This Row],[Affected Feeder ]],'Basic Data'!$A$42:$E$53,5,0),"")</f>
        <v/>
      </c>
      <c r="K479" s="164"/>
      <c r="L479" s="50"/>
      <c r="M479" s="116"/>
      <c r="N479" s="116"/>
      <c r="O479" s="57">
        <f>(IGA_BD[[#This Row],[Work Start TimeStamp]]-IGA_BD[[#This Row],[Fault Start TimeStamp]])*24</f>
        <v>0</v>
      </c>
      <c r="P479" s="44" t="str">
        <f>IF(IGA_BD[[#This Row],[Work Start TimeStamp]]="","",(IGA_BD[[#This Row],[Fault Clearance time]]-IGA_BD[[#This Row],[Work Start TimeStamp]])*24)</f>
        <v/>
      </c>
      <c r="Q479" s="57">
        <f>(IGA_BD[[#This Row],[Fault Clearance time]]-IGA_BD[[#This Row],[Fault Start TimeStamp]])*24</f>
        <v>0</v>
      </c>
      <c r="R479" s="153"/>
      <c r="S479" s="44"/>
      <c r="T479" s="45" t="str">
        <f>IFERROR(IGA_BD[[#This Row],[Breakdown Time]]*IGA_BD[[#This Row],[Plant Equivalent Weightage]],"")</f>
        <v/>
      </c>
    </row>
    <row r="480" spans="1:20">
      <c r="A480" s="28"/>
      <c r="B480" s="154"/>
      <c r="C480" s="30">
        <f>YEAR(WTG_BD[[#This Row],[Date]])+IF(MONTH(WTG_BD[[#This Row],[Date]])&gt;=4,1,0)</f>
        <v>2026</v>
      </c>
      <c r="D480" s="31">
        <f>YEAR(IGA_BD[[#This Row],[Date]])</f>
        <v>1900</v>
      </c>
      <c r="E480" s="48">
        <f t="shared" si="10"/>
        <v>1</v>
      </c>
      <c r="F480" s="32"/>
      <c r="G480" s="33"/>
      <c r="H480" s="43" t="str">
        <f>IFERROR(VLOOKUP(IGA_BD[[#This Row],[Affected Feeder ]],'Basic Data'!$A$42:$E$53,2,0),"")</f>
        <v/>
      </c>
      <c r="I480" s="43" t="str">
        <f>IFERROR(VLOOKUP(IGA_BD[[#This Row],[Affected Feeder ]],'Basic Data'!$A$42:$E$53,3,0),"")</f>
        <v/>
      </c>
      <c r="J480" s="43" t="str">
        <f>IFERROR(VLOOKUP(IGA_BD[[#This Row],[Affected Feeder ]],'Basic Data'!$A$42:$E$53,5,0),"")</f>
        <v/>
      </c>
      <c r="K480" s="164"/>
      <c r="L480" s="50"/>
      <c r="M480" s="116"/>
      <c r="N480" s="116"/>
      <c r="O480" s="57">
        <f>(IGA_BD[[#This Row],[Work Start TimeStamp]]-IGA_BD[[#This Row],[Fault Start TimeStamp]])*24</f>
        <v>0</v>
      </c>
      <c r="P480" s="44" t="str">
        <f>IF(IGA_BD[[#This Row],[Work Start TimeStamp]]="","",(IGA_BD[[#This Row],[Fault Clearance time]]-IGA_BD[[#This Row],[Work Start TimeStamp]])*24)</f>
        <v/>
      </c>
      <c r="Q480" s="57">
        <f>(IGA_BD[[#This Row],[Fault Clearance time]]-IGA_BD[[#This Row],[Fault Start TimeStamp]])*24</f>
        <v>0</v>
      </c>
      <c r="R480" s="153"/>
      <c r="S480" s="44"/>
      <c r="T480" s="45" t="str">
        <f>IFERROR(IGA_BD[[#This Row],[Breakdown Time]]*IGA_BD[[#This Row],[Plant Equivalent Weightage]],"")</f>
        <v/>
      </c>
    </row>
    <row r="481" spans="1:20">
      <c r="A481" s="28"/>
      <c r="B481" s="154"/>
      <c r="C481" s="30">
        <f>YEAR(WTG_BD[[#This Row],[Date]])+IF(MONTH(WTG_BD[[#This Row],[Date]])&gt;=4,1,0)</f>
        <v>2026</v>
      </c>
      <c r="D481" s="31">
        <f>YEAR(IGA_BD[[#This Row],[Date]])</f>
        <v>1900</v>
      </c>
      <c r="E481" s="48">
        <f t="shared" si="10"/>
        <v>1</v>
      </c>
      <c r="F481" s="32"/>
      <c r="G481" s="33"/>
      <c r="H481" s="43" t="str">
        <f>IFERROR(VLOOKUP(IGA_BD[[#This Row],[Affected Feeder ]],'Basic Data'!$A$42:$E$53,2,0),"")</f>
        <v/>
      </c>
      <c r="I481" s="43" t="str">
        <f>IFERROR(VLOOKUP(IGA_BD[[#This Row],[Affected Feeder ]],'Basic Data'!$A$42:$E$53,3,0),"")</f>
        <v/>
      </c>
      <c r="J481" s="43" t="str">
        <f>IFERROR(VLOOKUP(IGA_BD[[#This Row],[Affected Feeder ]],'Basic Data'!$A$42:$E$53,5,0),"")</f>
        <v/>
      </c>
      <c r="K481" s="164"/>
      <c r="L481" s="50"/>
      <c r="M481" s="116"/>
      <c r="N481" s="116"/>
      <c r="O481" s="57">
        <f>(IGA_BD[[#This Row],[Work Start TimeStamp]]-IGA_BD[[#This Row],[Fault Start TimeStamp]])*24</f>
        <v>0</v>
      </c>
      <c r="P481" s="44" t="str">
        <f>IF(IGA_BD[[#This Row],[Work Start TimeStamp]]="","",(IGA_BD[[#This Row],[Fault Clearance time]]-IGA_BD[[#This Row],[Work Start TimeStamp]])*24)</f>
        <v/>
      </c>
      <c r="Q481" s="57">
        <f>(IGA_BD[[#This Row],[Fault Clearance time]]-IGA_BD[[#This Row],[Fault Start TimeStamp]])*24</f>
        <v>0</v>
      </c>
      <c r="R481" s="153"/>
      <c r="S481" s="44"/>
      <c r="T481" s="45" t="str">
        <f>IFERROR(IGA_BD[[#This Row],[Breakdown Time]]*IGA_BD[[#This Row],[Plant Equivalent Weightage]],"")</f>
        <v/>
      </c>
    </row>
    <row r="482" spans="1:20">
      <c r="A482" s="28"/>
      <c r="B482" s="154"/>
      <c r="C482" s="30">
        <f>YEAR(WTG_BD[[#This Row],[Date]])+IF(MONTH(WTG_BD[[#This Row],[Date]])&gt;=4,1,0)</f>
        <v>2026</v>
      </c>
      <c r="D482" s="31">
        <f>YEAR(IGA_BD[[#This Row],[Date]])</f>
        <v>1900</v>
      </c>
      <c r="E482" s="48">
        <f t="shared" si="10"/>
        <v>1</v>
      </c>
      <c r="F482" s="32"/>
      <c r="G482" s="33"/>
      <c r="H482" s="43" t="str">
        <f>IFERROR(VLOOKUP(IGA_BD[[#This Row],[Affected Feeder ]],'Basic Data'!$A$42:$E$53,2,0),"")</f>
        <v/>
      </c>
      <c r="I482" s="43" t="str">
        <f>IFERROR(VLOOKUP(IGA_BD[[#This Row],[Affected Feeder ]],'Basic Data'!$A$42:$E$53,3,0),"")</f>
        <v/>
      </c>
      <c r="J482" s="43" t="str">
        <f>IFERROR(VLOOKUP(IGA_BD[[#This Row],[Affected Feeder ]],'Basic Data'!$A$42:$E$53,5,0),"")</f>
        <v/>
      </c>
      <c r="K482" s="164"/>
      <c r="L482" s="50"/>
      <c r="M482" s="116"/>
      <c r="N482" s="116"/>
      <c r="O482" s="57">
        <f>(IGA_BD[[#This Row],[Work Start TimeStamp]]-IGA_BD[[#This Row],[Fault Start TimeStamp]])*24</f>
        <v>0</v>
      </c>
      <c r="P482" s="44" t="str">
        <f>IF(IGA_BD[[#This Row],[Work Start TimeStamp]]="","",(IGA_BD[[#This Row],[Fault Clearance time]]-IGA_BD[[#This Row],[Work Start TimeStamp]])*24)</f>
        <v/>
      </c>
      <c r="Q482" s="57">
        <f>(IGA_BD[[#This Row],[Fault Clearance time]]-IGA_BD[[#This Row],[Fault Start TimeStamp]])*24</f>
        <v>0</v>
      </c>
      <c r="R482" s="153"/>
      <c r="S482" s="44"/>
      <c r="T482" s="45" t="str">
        <f>IFERROR(IGA_BD[[#This Row],[Breakdown Time]]*IGA_BD[[#This Row],[Plant Equivalent Weightage]],"")</f>
        <v/>
      </c>
    </row>
    <row r="483" spans="1:20">
      <c r="A483" s="28"/>
      <c r="B483" s="154"/>
      <c r="C483" s="30">
        <f>YEAR(WTG_BD[[#This Row],[Date]])+IF(MONTH(WTG_BD[[#This Row],[Date]])&gt;=4,1,0)</f>
        <v>2026</v>
      </c>
      <c r="D483" s="31">
        <f>YEAR(IGA_BD[[#This Row],[Date]])</f>
        <v>1900</v>
      </c>
      <c r="E483" s="48">
        <f t="shared" si="10"/>
        <v>1</v>
      </c>
      <c r="F483" s="32"/>
      <c r="G483" s="33"/>
      <c r="H483" s="43" t="str">
        <f>IFERROR(VLOOKUP(IGA_BD[[#This Row],[Affected Feeder ]],'Basic Data'!$A$42:$E$53,2,0),"")</f>
        <v/>
      </c>
      <c r="I483" s="43" t="str">
        <f>IFERROR(VLOOKUP(IGA_BD[[#This Row],[Affected Feeder ]],'Basic Data'!$A$42:$E$53,3,0),"")</f>
        <v/>
      </c>
      <c r="J483" s="43" t="str">
        <f>IFERROR(VLOOKUP(IGA_BD[[#This Row],[Affected Feeder ]],'Basic Data'!$A$42:$E$53,5,0),"")</f>
        <v/>
      </c>
      <c r="K483" s="164"/>
      <c r="L483" s="50"/>
      <c r="M483" s="116"/>
      <c r="N483" s="116"/>
      <c r="O483" s="57">
        <f>(IGA_BD[[#This Row],[Work Start TimeStamp]]-IGA_BD[[#This Row],[Fault Start TimeStamp]])*24</f>
        <v>0</v>
      </c>
      <c r="P483" s="44" t="str">
        <f>IF(IGA_BD[[#This Row],[Work Start TimeStamp]]="","",(IGA_BD[[#This Row],[Fault Clearance time]]-IGA_BD[[#This Row],[Work Start TimeStamp]])*24)</f>
        <v/>
      </c>
      <c r="Q483" s="57">
        <f>(IGA_BD[[#This Row],[Fault Clearance time]]-IGA_BD[[#This Row],[Fault Start TimeStamp]])*24</f>
        <v>0</v>
      </c>
      <c r="R483" s="153"/>
      <c r="S483" s="44"/>
      <c r="T483" s="45" t="str">
        <f>IFERROR(IGA_BD[[#This Row],[Breakdown Time]]*IGA_BD[[#This Row],[Plant Equivalent Weightage]],"")</f>
        <v/>
      </c>
    </row>
    <row r="484" spans="1:20">
      <c r="A484" s="28"/>
      <c r="B484" s="154"/>
      <c r="C484" s="30">
        <f>YEAR(WTG_BD[[#This Row],[Date]])+IF(MONTH(WTG_BD[[#This Row],[Date]])&gt;=4,1,0)</f>
        <v>2026</v>
      </c>
      <c r="D484" s="31">
        <f>YEAR(IGA_BD[[#This Row],[Date]])</f>
        <v>1900</v>
      </c>
      <c r="E484" s="48">
        <f t="shared" si="10"/>
        <v>1</v>
      </c>
      <c r="F484" s="32"/>
      <c r="G484" s="33"/>
      <c r="H484" s="43" t="str">
        <f>IFERROR(VLOOKUP(IGA_BD[[#This Row],[Affected Feeder ]],'Basic Data'!$A$42:$E$53,2,0),"")</f>
        <v/>
      </c>
      <c r="I484" s="43" t="str">
        <f>IFERROR(VLOOKUP(IGA_BD[[#This Row],[Affected Feeder ]],'Basic Data'!$A$42:$E$53,3,0),"")</f>
        <v/>
      </c>
      <c r="J484" s="43" t="str">
        <f>IFERROR(VLOOKUP(IGA_BD[[#This Row],[Affected Feeder ]],'Basic Data'!$A$42:$E$53,5,0),"")</f>
        <v/>
      </c>
      <c r="K484" s="164"/>
      <c r="L484" s="50"/>
      <c r="M484" s="116"/>
      <c r="N484" s="116"/>
      <c r="O484" s="57">
        <f>(IGA_BD[[#This Row],[Work Start TimeStamp]]-IGA_BD[[#This Row],[Fault Start TimeStamp]])*24</f>
        <v>0</v>
      </c>
      <c r="P484" s="44" t="str">
        <f>IF(IGA_BD[[#This Row],[Work Start TimeStamp]]="","",(IGA_BD[[#This Row],[Fault Clearance time]]-IGA_BD[[#This Row],[Work Start TimeStamp]])*24)</f>
        <v/>
      </c>
      <c r="Q484" s="57">
        <f>(IGA_BD[[#This Row],[Fault Clearance time]]-IGA_BD[[#This Row],[Fault Start TimeStamp]])*24</f>
        <v>0</v>
      </c>
      <c r="R484" s="153"/>
      <c r="S484" s="44"/>
      <c r="T484" s="45" t="str">
        <f>IFERROR(IGA_BD[[#This Row],[Breakdown Time]]*IGA_BD[[#This Row],[Plant Equivalent Weightage]],"")</f>
        <v/>
      </c>
    </row>
    <row r="485" spans="1:20">
      <c r="A485" s="28"/>
      <c r="B485" s="154"/>
      <c r="C485" s="30">
        <f>YEAR(WTG_BD[[#This Row],[Date]])+IF(MONTH(WTG_BD[[#This Row],[Date]])&gt;=4,1,0)</f>
        <v>2026</v>
      </c>
      <c r="D485" s="31">
        <f>YEAR(IGA_BD[[#This Row],[Date]])</f>
        <v>1900</v>
      </c>
      <c r="E485" s="48">
        <f t="shared" si="10"/>
        <v>1</v>
      </c>
      <c r="F485" s="32"/>
      <c r="G485" s="33"/>
      <c r="H485" s="43" t="str">
        <f>IFERROR(VLOOKUP(IGA_BD[[#This Row],[Affected Feeder ]],'Basic Data'!$A$42:$E$53,2,0),"")</f>
        <v/>
      </c>
      <c r="I485" s="43" t="str">
        <f>IFERROR(VLOOKUP(IGA_BD[[#This Row],[Affected Feeder ]],'Basic Data'!$A$42:$E$53,3,0),"")</f>
        <v/>
      </c>
      <c r="J485" s="43" t="str">
        <f>IFERROR(VLOOKUP(IGA_BD[[#This Row],[Affected Feeder ]],'Basic Data'!$A$42:$E$53,5,0),"")</f>
        <v/>
      </c>
      <c r="K485" s="164"/>
      <c r="L485" s="50"/>
      <c r="M485" s="116"/>
      <c r="N485" s="116"/>
      <c r="O485" s="57">
        <f>(IGA_BD[[#This Row],[Work Start TimeStamp]]-IGA_BD[[#This Row],[Fault Start TimeStamp]])*24</f>
        <v>0</v>
      </c>
      <c r="P485" s="44" t="str">
        <f>IF(IGA_BD[[#This Row],[Work Start TimeStamp]]="","",(IGA_BD[[#This Row],[Fault Clearance time]]-IGA_BD[[#This Row],[Work Start TimeStamp]])*24)</f>
        <v/>
      </c>
      <c r="Q485" s="57">
        <f>(IGA_BD[[#This Row],[Fault Clearance time]]-IGA_BD[[#This Row],[Fault Start TimeStamp]])*24</f>
        <v>0</v>
      </c>
      <c r="R485" s="153"/>
      <c r="S485" s="44"/>
      <c r="T485" s="45" t="str">
        <f>IFERROR(IGA_BD[[#This Row],[Breakdown Time]]*IGA_BD[[#This Row],[Plant Equivalent Weightage]],"")</f>
        <v/>
      </c>
    </row>
    <row r="486" spans="1:20">
      <c r="A486" s="28"/>
      <c r="B486" s="154"/>
      <c r="C486" s="30">
        <f>YEAR(WTG_BD[[#This Row],[Date]])+IF(MONTH(WTG_BD[[#This Row],[Date]])&gt;=4,1,0)</f>
        <v>2026</v>
      </c>
      <c r="D486" s="31">
        <f>YEAR(IGA_BD[[#This Row],[Date]])</f>
        <v>1900</v>
      </c>
      <c r="E486" s="48">
        <f t="shared" si="10"/>
        <v>1</v>
      </c>
      <c r="F486" s="32"/>
      <c r="G486" s="33"/>
      <c r="H486" s="43" t="str">
        <f>IFERROR(VLOOKUP(IGA_BD[[#This Row],[Affected Feeder ]],'Basic Data'!$A$42:$E$53,2,0),"")</f>
        <v/>
      </c>
      <c r="I486" s="43" t="str">
        <f>IFERROR(VLOOKUP(IGA_BD[[#This Row],[Affected Feeder ]],'Basic Data'!$A$42:$E$53,3,0),"")</f>
        <v/>
      </c>
      <c r="J486" s="43" t="str">
        <f>IFERROR(VLOOKUP(IGA_BD[[#This Row],[Affected Feeder ]],'Basic Data'!$A$42:$E$53,5,0),"")</f>
        <v/>
      </c>
      <c r="K486" s="164"/>
      <c r="L486" s="50"/>
      <c r="M486" s="116"/>
      <c r="N486" s="116"/>
      <c r="O486" s="57">
        <f>(IGA_BD[[#This Row],[Work Start TimeStamp]]-IGA_BD[[#This Row],[Fault Start TimeStamp]])*24</f>
        <v>0</v>
      </c>
      <c r="P486" s="44" t="str">
        <f>IF(IGA_BD[[#This Row],[Work Start TimeStamp]]="","",(IGA_BD[[#This Row],[Fault Clearance time]]-IGA_BD[[#This Row],[Work Start TimeStamp]])*24)</f>
        <v/>
      </c>
      <c r="Q486" s="57">
        <f>(IGA_BD[[#This Row],[Fault Clearance time]]-IGA_BD[[#This Row],[Fault Start TimeStamp]])*24</f>
        <v>0</v>
      </c>
      <c r="R486" s="153"/>
      <c r="S486" s="44"/>
      <c r="T486" s="45" t="str">
        <f>IFERROR(IGA_BD[[#This Row],[Breakdown Time]]*IGA_BD[[#This Row],[Plant Equivalent Weightage]],"")</f>
        <v/>
      </c>
    </row>
    <row r="487" spans="1:20">
      <c r="A487" s="28"/>
      <c r="B487" s="154"/>
      <c r="C487" s="30">
        <f>YEAR(WTG_BD[[#This Row],[Date]])+IF(MONTH(WTG_BD[[#This Row],[Date]])&gt;=4,1,0)</f>
        <v>2026</v>
      </c>
      <c r="D487" s="31">
        <f>YEAR(IGA_BD[[#This Row],[Date]])</f>
        <v>1900</v>
      </c>
      <c r="E487" s="48">
        <f t="shared" si="10"/>
        <v>1</v>
      </c>
      <c r="F487" s="32"/>
      <c r="G487" s="33"/>
      <c r="H487" s="43" t="str">
        <f>IFERROR(VLOOKUP(IGA_BD[[#This Row],[Affected Feeder ]],'Basic Data'!$A$42:$E$53,2,0),"")</f>
        <v/>
      </c>
      <c r="I487" s="43" t="str">
        <f>IFERROR(VLOOKUP(IGA_BD[[#This Row],[Affected Feeder ]],'Basic Data'!$A$42:$E$53,3,0),"")</f>
        <v/>
      </c>
      <c r="J487" s="43" t="str">
        <f>IFERROR(VLOOKUP(IGA_BD[[#This Row],[Affected Feeder ]],'Basic Data'!$A$42:$E$53,5,0),"")</f>
        <v/>
      </c>
      <c r="K487" s="164"/>
      <c r="L487" s="50"/>
      <c r="M487" s="116"/>
      <c r="N487" s="116"/>
      <c r="O487" s="57">
        <f>(IGA_BD[[#This Row],[Work Start TimeStamp]]-IGA_BD[[#This Row],[Fault Start TimeStamp]])*24</f>
        <v>0</v>
      </c>
      <c r="P487" s="44" t="str">
        <f>IF(IGA_BD[[#This Row],[Work Start TimeStamp]]="","",(IGA_BD[[#This Row],[Fault Clearance time]]-IGA_BD[[#This Row],[Work Start TimeStamp]])*24)</f>
        <v/>
      </c>
      <c r="Q487" s="57">
        <f>(IGA_BD[[#This Row],[Fault Clearance time]]-IGA_BD[[#This Row],[Fault Start TimeStamp]])*24</f>
        <v>0</v>
      </c>
      <c r="R487" s="153"/>
      <c r="S487" s="44"/>
      <c r="T487" s="45" t="str">
        <f>IFERROR(IGA_BD[[#This Row],[Breakdown Time]]*IGA_BD[[#This Row],[Plant Equivalent Weightage]],"")</f>
        <v/>
      </c>
    </row>
    <row r="488" spans="1:20">
      <c r="A488" s="28"/>
      <c r="B488" s="154"/>
      <c r="C488" s="30">
        <f>YEAR(WTG_BD[[#This Row],[Date]])+IF(MONTH(WTG_BD[[#This Row],[Date]])&gt;=4,1,0)</f>
        <v>2026</v>
      </c>
      <c r="D488" s="31">
        <f>YEAR(IGA_BD[[#This Row],[Date]])</f>
        <v>1900</v>
      </c>
      <c r="E488" s="48">
        <f t="shared" si="10"/>
        <v>1</v>
      </c>
      <c r="F488" s="32"/>
      <c r="G488" s="33"/>
      <c r="H488" s="43" t="str">
        <f>IFERROR(VLOOKUP(IGA_BD[[#This Row],[Affected Feeder ]],'Basic Data'!$A$42:$E$53,2,0),"")</f>
        <v/>
      </c>
      <c r="I488" s="43" t="str">
        <f>IFERROR(VLOOKUP(IGA_BD[[#This Row],[Affected Feeder ]],'Basic Data'!$A$42:$E$53,3,0),"")</f>
        <v/>
      </c>
      <c r="J488" s="43" t="str">
        <f>IFERROR(VLOOKUP(IGA_BD[[#This Row],[Affected Feeder ]],'Basic Data'!$A$42:$E$53,5,0),"")</f>
        <v/>
      </c>
      <c r="K488" s="164"/>
      <c r="L488" s="50"/>
      <c r="M488" s="116"/>
      <c r="N488" s="116"/>
      <c r="O488" s="57">
        <f>(IGA_BD[[#This Row],[Work Start TimeStamp]]-IGA_BD[[#This Row],[Fault Start TimeStamp]])*24</f>
        <v>0</v>
      </c>
      <c r="P488" s="44" t="str">
        <f>IF(IGA_BD[[#This Row],[Work Start TimeStamp]]="","",(IGA_BD[[#This Row],[Fault Clearance time]]-IGA_BD[[#This Row],[Work Start TimeStamp]])*24)</f>
        <v/>
      </c>
      <c r="Q488" s="57">
        <f>(IGA_BD[[#This Row],[Fault Clearance time]]-IGA_BD[[#This Row],[Fault Start TimeStamp]])*24</f>
        <v>0</v>
      </c>
      <c r="R488" s="153"/>
      <c r="S488" s="44"/>
      <c r="T488" s="45" t="str">
        <f>IFERROR(IGA_BD[[#This Row],[Breakdown Time]]*IGA_BD[[#This Row],[Plant Equivalent Weightage]],"")</f>
        <v/>
      </c>
    </row>
    <row r="489" spans="1:20">
      <c r="A489" s="28"/>
      <c r="B489" s="154"/>
      <c r="C489" s="30">
        <f>YEAR(WTG_BD[[#This Row],[Date]])+IF(MONTH(WTG_BD[[#This Row],[Date]])&gt;=4,1,0)</f>
        <v>2026</v>
      </c>
      <c r="D489" s="31">
        <f>YEAR(IGA_BD[[#This Row],[Date]])</f>
        <v>1900</v>
      </c>
      <c r="E489" s="48">
        <f t="shared" si="10"/>
        <v>1</v>
      </c>
      <c r="F489" s="32"/>
      <c r="G489" s="33"/>
      <c r="H489" s="43" t="str">
        <f>IFERROR(VLOOKUP(IGA_BD[[#This Row],[Affected Feeder ]],'Basic Data'!$A$42:$E$53,2,0),"")</f>
        <v/>
      </c>
      <c r="I489" s="43" t="str">
        <f>IFERROR(VLOOKUP(IGA_BD[[#This Row],[Affected Feeder ]],'Basic Data'!$A$42:$E$53,3,0),"")</f>
        <v/>
      </c>
      <c r="J489" s="43" t="str">
        <f>IFERROR(VLOOKUP(IGA_BD[[#This Row],[Affected Feeder ]],'Basic Data'!$A$42:$E$53,5,0),"")</f>
        <v/>
      </c>
      <c r="K489" s="164"/>
      <c r="L489" s="50"/>
      <c r="M489" s="116"/>
      <c r="N489" s="116"/>
      <c r="O489" s="57">
        <f>(IGA_BD[[#This Row],[Work Start TimeStamp]]-IGA_BD[[#This Row],[Fault Start TimeStamp]])*24</f>
        <v>0</v>
      </c>
      <c r="P489" s="44" t="str">
        <f>IF(IGA_BD[[#This Row],[Work Start TimeStamp]]="","",(IGA_BD[[#This Row],[Fault Clearance time]]-IGA_BD[[#This Row],[Work Start TimeStamp]])*24)</f>
        <v/>
      </c>
      <c r="Q489" s="57">
        <f>(IGA_BD[[#This Row],[Fault Clearance time]]-IGA_BD[[#This Row],[Fault Start TimeStamp]])*24</f>
        <v>0</v>
      </c>
      <c r="R489" s="153"/>
      <c r="S489" s="44"/>
      <c r="T489" s="45" t="str">
        <f>IFERROR(IGA_BD[[#This Row],[Breakdown Time]]*IGA_BD[[#This Row],[Plant Equivalent Weightage]],"")</f>
        <v/>
      </c>
    </row>
    <row r="490" spans="1:20">
      <c r="A490" s="28"/>
      <c r="B490" s="154"/>
      <c r="C490" s="30">
        <f>YEAR(WTG_BD[[#This Row],[Date]])+IF(MONTH(WTG_BD[[#This Row],[Date]])&gt;=4,1,0)</f>
        <v>2026</v>
      </c>
      <c r="D490" s="31">
        <f>YEAR(IGA_BD[[#This Row],[Date]])</f>
        <v>1900</v>
      </c>
      <c r="E490" s="48">
        <f t="shared" si="10"/>
        <v>1</v>
      </c>
      <c r="F490" s="32"/>
      <c r="G490" s="33"/>
      <c r="H490" s="43" t="str">
        <f>IFERROR(VLOOKUP(IGA_BD[[#This Row],[Affected Feeder ]],'Basic Data'!$A$42:$E$53,2,0),"")</f>
        <v/>
      </c>
      <c r="I490" s="43" t="str">
        <f>IFERROR(VLOOKUP(IGA_BD[[#This Row],[Affected Feeder ]],'Basic Data'!$A$42:$E$53,3,0),"")</f>
        <v/>
      </c>
      <c r="J490" s="43" t="str">
        <f>IFERROR(VLOOKUP(IGA_BD[[#This Row],[Affected Feeder ]],'Basic Data'!$A$42:$E$53,5,0),"")</f>
        <v/>
      </c>
      <c r="K490" s="164"/>
      <c r="L490" s="50"/>
      <c r="M490" s="116"/>
      <c r="N490" s="116"/>
      <c r="O490" s="57">
        <f>(IGA_BD[[#This Row],[Work Start TimeStamp]]-IGA_BD[[#This Row],[Fault Start TimeStamp]])*24</f>
        <v>0</v>
      </c>
      <c r="P490" s="44" t="str">
        <f>IF(IGA_BD[[#This Row],[Work Start TimeStamp]]="","",(IGA_BD[[#This Row],[Fault Clearance time]]-IGA_BD[[#This Row],[Work Start TimeStamp]])*24)</f>
        <v/>
      </c>
      <c r="Q490" s="57">
        <f>(IGA_BD[[#This Row],[Fault Clearance time]]-IGA_BD[[#This Row],[Fault Start TimeStamp]])*24</f>
        <v>0</v>
      </c>
      <c r="R490" s="153"/>
      <c r="S490" s="44"/>
      <c r="T490" s="45" t="str">
        <f>IFERROR(IGA_BD[[#This Row],[Breakdown Time]]*IGA_BD[[#This Row],[Plant Equivalent Weightage]],"")</f>
        <v/>
      </c>
    </row>
    <row r="491" spans="1:20">
      <c r="A491" s="28"/>
      <c r="B491" s="154"/>
      <c r="C491" s="30">
        <f>YEAR(WTG_BD[[#This Row],[Date]])+IF(MONTH(WTG_BD[[#This Row],[Date]])&gt;=4,1,0)</f>
        <v>2026</v>
      </c>
      <c r="D491" s="31">
        <f>YEAR(IGA_BD[[#This Row],[Date]])</f>
        <v>1900</v>
      </c>
      <c r="E491" s="48">
        <f t="shared" si="10"/>
        <v>1</v>
      </c>
      <c r="F491" s="32"/>
      <c r="G491" s="33"/>
      <c r="H491" s="43" t="str">
        <f>IFERROR(VLOOKUP(IGA_BD[[#This Row],[Affected Feeder ]],'Basic Data'!$A$42:$E$53,2,0),"")</f>
        <v/>
      </c>
      <c r="I491" s="43" t="str">
        <f>IFERROR(VLOOKUP(IGA_BD[[#This Row],[Affected Feeder ]],'Basic Data'!$A$42:$E$53,3,0),"")</f>
        <v/>
      </c>
      <c r="J491" s="43" t="str">
        <f>IFERROR(VLOOKUP(IGA_BD[[#This Row],[Affected Feeder ]],'Basic Data'!$A$42:$E$53,5,0),"")</f>
        <v/>
      </c>
      <c r="K491" s="164"/>
      <c r="L491" s="50"/>
      <c r="M491" s="116"/>
      <c r="N491" s="116"/>
      <c r="O491" s="57">
        <f>(IGA_BD[[#This Row],[Work Start TimeStamp]]-IGA_BD[[#This Row],[Fault Start TimeStamp]])*24</f>
        <v>0</v>
      </c>
      <c r="P491" s="44" t="str">
        <f>IF(IGA_BD[[#This Row],[Work Start TimeStamp]]="","",(IGA_BD[[#This Row],[Fault Clearance time]]-IGA_BD[[#This Row],[Work Start TimeStamp]])*24)</f>
        <v/>
      </c>
      <c r="Q491" s="57">
        <f>(IGA_BD[[#This Row],[Fault Clearance time]]-IGA_BD[[#This Row],[Fault Start TimeStamp]])*24</f>
        <v>0</v>
      </c>
      <c r="R491" s="153"/>
      <c r="S491" s="44"/>
      <c r="T491" s="45" t="str">
        <f>IFERROR(IGA_BD[[#This Row],[Breakdown Time]]*IGA_BD[[#This Row],[Plant Equivalent Weightage]],"")</f>
        <v/>
      </c>
    </row>
    <row r="492" spans="1:20">
      <c r="A492" s="28"/>
      <c r="B492" s="154"/>
      <c r="C492" s="30">
        <f>YEAR(WTG_BD[[#This Row],[Date]])+IF(MONTH(WTG_BD[[#This Row],[Date]])&gt;=4,1,0)</f>
        <v>2026</v>
      </c>
      <c r="D492" s="31">
        <f>YEAR(IGA_BD[[#This Row],[Date]])</f>
        <v>1900</v>
      </c>
      <c r="E492" s="48">
        <f t="shared" si="10"/>
        <v>1</v>
      </c>
      <c r="F492" s="32"/>
      <c r="G492" s="33"/>
      <c r="H492" s="43" t="str">
        <f>IFERROR(VLOOKUP(IGA_BD[[#This Row],[Affected Feeder ]],'Basic Data'!$A$42:$E$53,2,0),"")</f>
        <v/>
      </c>
      <c r="I492" s="43" t="str">
        <f>IFERROR(VLOOKUP(IGA_BD[[#This Row],[Affected Feeder ]],'Basic Data'!$A$42:$E$53,3,0),"")</f>
        <v/>
      </c>
      <c r="J492" s="43" t="str">
        <f>IFERROR(VLOOKUP(IGA_BD[[#This Row],[Affected Feeder ]],'Basic Data'!$A$42:$E$53,5,0),"")</f>
        <v/>
      </c>
      <c r="K492" s="164"/>
      <c r="L492" s="50"/>
      <c r="M492" s="116"/>
      <c r="N492" s="116"/>
      <c r="O492" s="57">
        <f>(IGA_BD[[#This Row],[Work Start TimeStamp]]-IGA_BD[[#This Row],[Fault Start TimeStamp]])*24</f>
        <v>0</v>
      </c>
      <c r="P492" s="44" t="str">
        <f>IF(IGA_BD[[#This Row],[Work Start TimeStamp]]="","",(IGA_BD[[#This Row],[Fault Clearance time]]-IGA_BD[[#This Row],[Work Start TimeStamp]])*24)</f>
        <v/>
      </c>
      <c r="Q492" s="57">
        <f>(IGA_BD[[#This Row],[Fault Clearance time]]-IGA_BD[[#This Row],[Fault Start TimeStamp]])*24</f>
        <v>0</v>
      </c>
      <c r="R492" s="153"/>
      <c r="S492" s="44"/>
      <c r="T492" s="45" t="str">
        <f>IFERROR(IGA_BD[[#This Row],[Breakdown Time]]*IGA_BD[[#This Row],[Plant Equivalent Weightage]],"")</f>
        <v/>
      </c>
    </row>
    <row r="493" spans="1:20">
      <c r="A493" s="28"/>
      <c r="B493" s="154"/>
      <c r="C493" s="30">
        <f>YEAR(WTG_BD[[#This Row],[Date]])+IF(MONTH(WTG_BD[[#This Row],[Date]])&gt;=4,1,0)</f>
        <v>2026</v>
      </c>
      <c r="D493" s="31">
        <f>YEAR(IGA_BD[[#This Row],[Date]])</f>
        <v>1900</v>
      </c>
      <c r="E493" s="48">
        <f t="shared" si="10"/>
        <v>1</v>
      </c>
      <c r="F493" s="32"/>
      <c r="G493" s="33"/>
      <c r="H493" s="43" t="str">
        <f>IFERROR(VLOOKUP(IGA_BD[[#This Row],[Affected Feeder ]],'Basic Data'!$A$42:$E$53,2,0),"")</f>
        <v/>
      </c>
      <c r="I493" s="43" t="str">
        <f>IFERROR(VLOOKUP(IGA_BD[[#This Row],[Affected Feeder ]],'Basic Data'!$A$42:$E$53,3,0),"")</f>
        <v/>
      </c>
      <c r="J493" s="43" t="str">
        <f>IFERROR(VLOOKUP(IGA_BD[[#This Row],[Affected Feeder ]],'Basic Data'!$A$42:$E$53,5,0),"")</f>
        <v/>
      </c>
      <c r="K493" s="164"/>
      <c r="L493" s="50"/>
      <c r="M493" s="116"/>
      <c r="N493" s="116"/>
      <c r="O493" s="57">
        <f>(IGA_BD[[#This Row],[Work Start TimeStamp]]-IGA_BD[[#This Row],[Fault Start TimeStamp]])*24</f>
        <v>0</v>
      </c>
      <c r="P493" s="44" t="str">
        <f>IF(IGA_BD[[#This Row],[Work Start TimeStamp]]="","",(IGA_BD[[#This Row],[Fault Clearance time]]-IGA_BD[[#This Row],[Work Start TimeStamp]])*24)</f>
        <v/>
      </c>
      <c r="Q493" s="57">
        <f>(IGA_BD[[#This Row],[Fault Clearance time]]-IGA_BD[[#This Row],[Fault Start TimeStamp]])*24</f>
        <v>0</v>
      </c>
      <c r="R493" s="153"/>
      <c r="S493" s="44"/>
      <c r="T493" s="45" t="str">
        <f>IFERROR(IGA_BD[[#This Row],[Breakdown Time]]*IGA_BD[[#This Row],[Plant Equivalent Weightage]],"")</f>
        <v/>
      </c>
    </row>
    <row r="494" spans="1:20">
      <c r="A494" s="28"/>
      <c r="B494" s="154"/>
      <c r="C494" s="30">
        <f>YEAR(WTG_BD[[#This Row],[Date]])+IF(MONTH(WTG_BD[[#This Row],[Date]])&gt;=4,1,0)</f>
        <v>2026</v>
      </c>
      <c r="D494" s="31">
        <f>YEAR(IGA_BD[[#This Row],[Date]])</f>
        <v>1900</v>
      </c>
      <c r="E494" s="48">
        <f t="shared" si="10"/>
        <v>1</v>
      </c>
      <c r="F494" s="32"/>
      <c r="G494" s="33"/>
      <c r="H494" s="43" t="str">
        <f>IFERROR(VLOOKUP(IGA_BD[[#This Row],[Affected Feeder ]],'Basic Data'!$A$42:$E$53,2,0),"")</f>
        <v/>
      </c>
      <c r="I494" s="43" t="str">
        <f>IFERROR(VLOOKUP(IGA_BD[[#This Row],[Affected Feeder ]],'Basic Data'!$A$42:$E$53,3,0),"")</f>
        <v/>
      </c>
      <c r="J494" s="43" t="str">
        <f>IFERROR(VLOOKUP(IGA_BD[[#This Row],[Affected Feeder ]],'Basic Data'!$A$42:$E$53,5,0),"")</f>
        <v/>
      </c>
      <c r="K494" s="164"/>
      <c r="L494" s="50"/>
      <c r="M494" s="116"/>
      <c r="N494" s="116"/>
      <c r="O494" s="57">
        <f>(IGA_BD[[#This Row],[Work Start TimeStamp]]-IGA_BD[[#This Row],[Fault Start TimeStamp]])*24</f>
        <v>0</v>
      </c>
      <c r="P494" s="44" t="str">
        <f>IF(IGA_BD[[#This Row],[Work Start TimeStamp]]="","",(IGA_BD[[#This Row],[Fault Clearance time]]-IGA_BD[[#This Row],[Work Start TimeStamp]])*24)</f>
        <v/>
      </c>
      <c r="Q494" s="57">
        <f>(IGA_BD[[#This Row],[Fault Clearance time]]-IGA_BD[[#This Row],[Fault Start TimeStamp]])*24</f>
        <v>0</v>
      </c>
      <c r="R494" s="153"/>
      <c r="S494" s="44"/>
      <c r="T494" s="45" t="str">
        <f>IFERROR(IGA_BD[[#This Row],[Breakdown Time]]*IGA_BD[[#This Row],[Plant Equivalent Weightage]],"")</f>
        <v/>
      </c>
    </row>
    <row r="495" spans="1:20">
      <c r="A495" s="28"/>
      <c r="B495" s="154"/>
      <c r="C495" s="30">
        <f>YEAR(WTG_BD[[#This Row],[Date]])+IF(MONTH(WTG_BD[[#This Row],[Date]])&gt;=4,1,0)</f>
        <v>2026</v>
      </c>
      <c r="D495" s="31">
        <f>YEAR(IGA_BD[[#This Row],[Date]])</f>
        <v>1900</v>
      </c>
      <c r="E495" s="48">
        <f t="shared" si="10"/>
        <v>1</v>
      </c>
      <c r="F495" s="32"/>
      <c r="G495" s="33"/>
      <c r="H495" s="43" t="str">
        <f>IFERROR(VLOOKUP(IGA_BD[[#This Row],[Affected Feeder ]],'Basic Data'!$A$42:$E$53,2,0),"")</f>
        <v/>
      </c>
      <c r="I495" s="43" t="str">
        <f>IFERROR(VLOOKUP(IGA_BD[[#This Row],[Affected Feeder ]],'Basic Data'!$A$42:$E$53,3,0),"")</f>
        <v/>
      </c>
      <c r="J495" s="43" t="str">
        <f>IFERROR(VLOOKUP(IGA_BD[[#This Row],[Affected Feeder ]],'Basic Data'!$A$42:$E$53,5,0),"")</f>
        <v/>
      </c>
      <c r="K495" s="164"/>
      <c r="L495" s="50"/>
      <c r="M495" s="116"/>
      <c r="N495" s="116"/>
      <c r="O495" s="57">
        <f>(IGA_BD[[#This Row],[Work Start TimeStamp]]-IGA_BD[[#This Row],[Fault Start TimeStamp]])*24</f>
        <v>0</v>
      </c>
      <c r="P495" s="44" t="str">
        <f>IF(IGA_BD[[#This Row],[Work Start TimeStamp]]="","",(IGA_BD[[#This Row],[Fault Clearance time]]-IGA_BD[[#This Row],[Work Start TimeStamp]])*24)</f>
        <v/>
      </c>
      <c r="Q495" s="57">
        <f>(IGA_BD[[#This Row],[Fault Clearance time]]-IGA_BD[[#This Row],[Fault Start TimeStamp]])*24</f>
        <v>0</v>
      </c>
      <c r="R495" s="153"/>
      <c r="S495" s="44"/>
      <c r="T495" s="45" t="str">
        <f>IFERROR(IGA_BD[[#This Row],[Breakdown Time]]*IGA_BD[[#This Row],[Plant Equivalent Weightage]],"")</f>
        <v/>
      </c>
    </row>
    <row r="496" spans="1:20">
      <c r="A496" s="28"/>
      <c r="B496" s="154"/>
      <c r="C496" s="30">
        <f>YEAR(WTG_BD[[#This Row],[Date]])+IF(MONTH(WTG_BD[[#This Row],[Date]])&gt;=4,1,0)</f>
        <v>2026</v>
      </c>
      <c r="D496" s="31">
        <f>YEAR(IGA_BD[[#This Row],[Date]])</f>
        <v>1900</v>
      </c>
      <c r="E496" s="48">
        <f t="shared" si="10"/>
        <v>1</v>
      </c>
      <c r="F496" s="32"/>
      <c r="G496" s="33"/>
      <c r="H496" s="43" t="str">
        <f>IFERROR(VLOOKUP(IGA_BD[[#This Row],[Affected Feeder ]],'Basic Data'!$A$42:$E$53,2,0),"")</f>
        <v/>
      </c>
      <c r="I496" s="43" t="str">
        <f>IFERROR(VLOOKUP(IGA_BD[[#This Row],[Affected Feeder ]],'Basic Data'!$A$42:$E$53,3,0),"")</f>
        <v/>
      </c>
      <c r="J496" s="43" t="str">
        <f>IFERROR(VLOOKUP(IGA_BD[[#This Row],[Affected Feeder ]],'Basic Data'!$A$42:$E$53,5,0),"")</f>
        <v/>
      </c>
      <c r="K496" s="164"/>
      <c r="L496" s="50"/>
      <c r="M496" s="116"/>
      <c r="N496" s="116"/>
      <c r="O496" s="57">
        <f>(IGA_BD[[#This Row],[Work Start TimeStamp]]-IGA_BD[[#This Row],[Fault Start TimeStamp]])*24</f>
        <v>0</v>
      </c>
      <c r="P496" s="44" t="str">
        <f>IF(IGA_BD[[#This Row],[Work Start TimeStamp]]="","",(IGA_BD[[#This Row],[Fault Clearance time]]-IGA_BD[[#This Row],[Work Start TimeStamp]])*24)</f>
        <v/>
      </c>
      <c r="Q496" s="57">
        <f>(IGA_BD[[#This Row],[Fault Clearance time]]-IGA_BD[[#This Row],[Fault Start TimeStamp]])*24</f>
        <v>0</v>
      </c>
      <c r="R496" s="153"/>
      <c r="S496" s="44"/>
      <c r="T496" s="45" t="str">
        <f>IFERROR(IGA_BD[[#This Row],[Breakdown Time]]*IGA_BD[[#This Row],[Plant Equivalent Weightage]],"")</f>
        <v/>
      </c>
    </row>
    <row r="497" spans="1:20">
      <c r="A497" s="28"/>
      <c r="B497" s="154"/>
      <c r="C497" s="30">
        <f>YEAR(WTG_BD[[#This Row],[Date]])+IF(MONTH(WTG_BD[[#This Row],[Date]])&gt;=4,1,0)</f>
        <v>2026</v>
      </c>
      <c r="D497" s="31">
        <f>YEAR(IGA_BD[[#This Row],[Date]])</f>
        <v>1900</v>
      </c>
      <c r="E497" s="48">
        <f t="shared" si="10"/>
        <v>1</v>
      </c>
      <c r="F497" s="32"/>
      <c r="G497" s="33"/>
      <c r="H497" s="43" t="str">
        <f>IFERROR(VLOOKUP(IGA_BD[[#This Row],[Affected Feeder ]],'Basic Data'!$A$42:$E$53,2,0),"")</f>
        <v/>
      </c>
      <c r="I497" s="43" t="str">
        <f>IFERROR(VLOOKUP(IGA_BD[[#This Row],[Affected Feeder ]],'Basic Data'!$A$42:$E$53,3,0),"")</f>
        <v/>
      </c>
      <c r="J497" s="43" t="str">
        <f>IFERROR(VLOOKUP(IGA_BD[[#This Row],[Affected Feeder ]],'Basic Data'!$A$42:$E$53,5,0),"")</f>
        <v/>
      </c>
      <c r="K497" s="164"/>
      <c r="L497" s="50"/>
      <c r="M497" s="116"/>
      <c r="N497" s="116"/>
      <c r="O497" s="57">
        <f>(IGA_BD[[#This Row],[Work Start TimeStamp]]-IGA_BD[[#This Row],[Fault Start TimeStamp]])*24</f>
        <v>0</v>
      </c>
      <c r="P497" s="44" t="str">
        <f>IF(IGA_BD[[#This Row],[Work Start TimeStamp]]="","",(IGA_BD[[#This Row],[Fault Clearance time]]-IGA_BD[[#This Row],[Work Start TimeStamp]])*24)</f>
        <v/>
      </c>
      <c r="Q497" s="57">
        <f>(IGA_BD[[#This Row],[Fault Clearance time]]-IGA_BD[[#This Row],[Fault Start TimeStamp]])*24</f>
        <v>0</v>
      </c>
      <c r="R497" s="153"/>
      <c r="S497" s="44"/>
      <c r="T497" s="45" t="str">
        <f>IFERROR(IGA_BD[[#This Row],[Breakdown Time]]*IGA_BD[[#This Row],[Plant Equivalent Weightage]],"")</f>
        <v/>
      </c>
    </row>
    <row r="498" spans="1:20">
      <c r="A498" s="28"/>
      <c r="B498" s="154"/>
      <c r="C498" s="30">
        <f>YEAR(WTG_BD[[#This Row],[Date]])+IF(MONTH(WTG_BD[[#This Row],[Date]])&gt;=4,1,0)</f>
        <v>2026</v>
      </c>
      <c r="D498" s="31">
        <f>YEAR(IGA_BD[[#This Row],[Date]])</f>
        <v>1900</v>
      </c>
      <c r="E498" s="48">
        <f t="shared" si="10"/>
        <v>1</v>
      </c>
      <c r="F498" s="32"/>
      <c r="G498" s="33"/>
      <c r="H498" s="43" t="str">
        <f>IFERROR(VLOOKUP(IGA_BD[[#This Row],[Affected Feeder ]],'Basic Data'!$A$42:$E$53,2,0),"")</f>
        <v/>
      </c>
      <c r="I498" s="43" t="str">
        <f>IFERROR(VLOOKUP(IGA_BD[[#This Row],[Affected Feeder ]],'Basic Data'!$A$42:$E$53,3,0),"")</f>
        <v/>
      </c>
      <c r="J498" s="43" t="str">
        <f>IFERROR(VLOOKUP(IGA_BD[[#This Row],[Affected Feeder ]],'Basic Data'!$A$42:$E$53,5,0),"")</f>
        <v/>
      </c>
      <c r="K498" s="164"/>
      <c r="L498" s="50"/>
      <c r="M498" s="116"/>
      <c r="N498" s="116"/>
      <c r="O498" s="57">
        <f>(IGA_BD[[#This Row],[Work Start TimeStamp]]-IGA_BD[[#This Row],[Fault Start TimeStamp]])*24</f>
        <v>0</v>
      </c>
      <c r="P498" s="44" t="str">
        <f>IF(IGA_BD[[#This Row],[Work Start TimeStamp]]="","",(IGA_BD[[#This Row],[Fault Clearance time]]-IGA_BD[[#This Row],[Work Start TimeStamp]])*24)</f>
        <v/>
      </c>
      <c r="Q498" s="57">
        <f>(IGA_BD[[#This Row],[Fault Clearance time]]-IGA_BD[[#This Row],[Fault Start TimeStamp]])*24</f>
        <v>0</v>
      </c>
      <c r="R498" s="153"/>
      <c r="S498" s="44"/>
      <c r="T498" s="45" t="str">
        <f>IFERROR(IGA_BD[[#This Row],[Breakdown Time]]*IGA_BD[[#This Row],[Plant Equivalent Weightage]],"")</f>
        <v/>
      </c>
    </row>
    <row r="499" spans="1:20">
      <c r="A499" s="28"/>
      <c r="B499" s="154"/>
      <c r="C499" s="30">
        <f>YEAR(WTG_BD[[#This Row],[Date]])+IF(MONTH(WTG_BD[[#This Row],[Date]])&gt;=4,1,0)</f>
        <v>2026</v>
      </c>
      <c r="D499" s="31">
        <f>YEAR(IGA_BD[[#This Row],[Date]])</f>
        <v>1900</v>
      </c>
      <c r="E499" s="48">
        <f t="shared" si="10"/>
        <v>1</v>
      </c>
      <c r="F499" s="32"/>
      <c r="G499" s="33"/>
      <c r="H499" s="43" t="str">
        <f>IFERROR(VLOOKUP(IGA_BD[[#This Row],[Affected Feeder ]],'Basic Data'!$A$42:$E$53,2,0),"")</f>
        <v/>
      </c>
      <c r="I499" s="43" t="str">
        <f>IFERROR(VLOOKUP(IGA_BD[[#This Row],[Affected Feeder ]],'Basic Data'!$A$42:$E$53,3,0),"")</f>
        <v/>
      </c>
      <c r="J499" s="43" t="str">
        <f>IFERROR(VLOOKUP(IGA_BD[[#This Row],[Affected Feeder ]],'Basic Data'!$A$42:$E$53,5,0),"")</f>
        <v/>
      </c>
      <c r="K499" s="164"/>
      <c r="L499" s="50"/>
      <c r="M499" s="116"/>
      <c r="N499" s="116"/>
      <c r="O499" s="57">
        <f>(IGA_BD[[#This Row],[Work Start TimeStamp]]-IGA_BD[[#This Row],[Fault Start TimeStamp]])*24</f>
        <v>0</v>
      </c>
      <c r="P499" s="44" t="str">
        <f>IF(IGA_BD[[#This Row],[Work Start TimeStamp]]="","",(IGA_BD[[#This Row],[Fault Clearance time]]-IGA_BD[[#This Row],[Work Start TimeStamp]])*24)</f>
        <v/>
      </c>
      <c r="Q499" s="57">
        <f>(IGA_BD[[#This Row],[Fault Clearance time]]-IGA_BD[[#This Row],[Fault Start TimeStamp]])*24</f>
        <v>0</v>
      </c>
      <c r="R499" s="153"/>
      <c r="S499" s="44"/>
      <c r="T499" s="45" t="str">
        <f>IFERROR(IGA_BD[[#This Row],[Breakdown Time]]*IGA_BD[[#This Row],[Plant Equivalent Weightage]],"")</f>
        <v/>
      </c>
    </row>
    <row r="500" spans="1:20">
      <c r="A500" s="28"/>
      <c r="B500" s="154"/>
      <c r="C500" s="30">
        <f>YEAR(WTG_BD[[#This Row],[Date]])+IF(MONTH(WTG_BD[[#This Row],[Date]])&gt;=4,1,0)</f>
        <v>2026</v>
      </c>
      <c r="D500" s="31">
        <f>YEAR(IGA_BD[[#This Row],[Date]])</f>
        <v>1900</v>
      </c>
      <c r="E500" s="48">
        <f t="shared" si="10"/>
        <v>1</v>
      </c>
      <c r="F500" s="32"/>
      <c r="G500" s="33"/>
      <c r="H500" s="43" t="str">
        <f>IFERROR(VLOOKUP(IGA_BD[[#This Row],[Affected Feeder ]],'Basic Data'!$A$42:$E$53,2,0),"")</f>
        <v/>
      </c>
      <c r="I500" s="43" t="str">
        <f>IFERROR(VLOOKUP(IGA_BD[[#This Row],[Affected Feeder ]],'Basic Data'!$A$42:$E$53,3,0),"")</f>
        <v/>
      </c>
      <c r="J500" s="43" t="str">
        <f>IFERROR(VLOOKUP(IGA_BD[[#This Row],[Affected Feeder ]],'Basic Data'!$A$42:$E$53,5,0),"")</f>
        <v/>
      </c>
      <c r="K500" s="164"/>
      <c r="L500" s="50"/>
      <c r="M500" s="116"/>
      <c r="N500" s="116"/>
      <c r="O500" s="57">
        <f>(IGA_BD[[#This Row],[Work Start TimeStamp]]-IGA_BD[[#This Row],[Fault Start TimeStamp]])*24</f>
        <v>0</v>
      </c>
      <c r="P500" s="44" t="str">
        <f>IF(IGA_BD[[#This Row],[Work Start TimeStamp]]="","",(IGA_BD[[#This Row],[Fault Clearance time]]-IGA_BD[[#This Row],[Work Start TimeStamp]])*24)</f>
        <v/>
      </c>
      <c r="Q500" s="57">
        <f>(IGA_BD[[#This Row],[Fault Clearance time]]-IGA_BD[[#This Row],[Fault Start TimeStamp]])*24</f>
        <v>0</v>
      </c>
      <c r="R500" s="153"/>
      <c r="S500" s="44"/>
      <c r="T500" s="45" t="str">
        <f>IFERROR(IGA_BD[[#This Row],[Breakdown Time]]*IGA_BD[[#This Row],[Plant Equivalent Weightage]],"")</f>
        <v/>
      </c>
    </row>
    <row r="501" spans="1:20">
      <c r="A501" s="28"/>
      <c r="B501" s="154"/>
      <c r="C501" s="30">
        <f>YEAR(WTG_BD[[#This Row],[Date]])+IF(MONTH(WTG_BD[[#This Row],[Date]])&gt;=4,1,0)</f>
        <v>2026</v>
      </c>
      <c r="D501" s="31">
        <f>YEAR(IGA_BD[[#This Row],[Date]])</f>
        <v>1900</v>
      </c>
      <c r="E501" s="48">
        <f t="shared" si="10"/>
        <v>1</v>
      </c>
      <c r="F501" s="32"/>
      <c r="G501" s="33"/>
      <c r="H501" s="43" t="str">
        <f>IFERROR(VLOOKUP(IGA_BD[[#This Row],[Affected Feeder ]],'Basic Data'!$A$42:$E$53,2,0),"")</f>
        <v/>
      </c>
      <c r="I501" s="43" t="str">
        <f>IFERROR(VLOOKUP(IGA_BD[[#This Row],[Affected Feeder ]],'Basic Data'!$A$42:$E$53,3,0),"")</f>
        <v/>
      </c>
      <c r="J501" s="43" t="str">
        <f>IFERROR(VLOOKUP(IGA_BD[[#This Row],[Affected Feeder ]],'Basic Data'!$A$42:$E$53,5,0),"")</f>
        <v/>
      </c>
      <c r="K501" s="164"/>
      <c r="L501" s="50"/>
      <c r="M501" s="116"/>
      <c r="N501" s="116"/>
      <c r="O501" s="57">
        <f>(IGA_BD[[#This Row],[Work Start TimeStamp]]-IGA_BD[[#This Row],[Fault Start TimeStamp]])*24</f>
        <v>0</v>
      </c>
      <c r="P501" s="44" t="str">
        <f>IF(IGA_BD[[#This Row],[Work Start TimeStamp]]="","",(IGA_BD[[#This Row],[Fault Clearance time]]-IGA_BD[[#This Row],[Work Start TimeStamp]])*24)</f>
        <v/>
      </c>
      <c r="Q501" s="57">
        <f>(IGA_BD[[#This Row],[Fault Clearance time]]-IGA_BD[[#This Row],[Fault Start TimeStamp]])*24</f>
        <v>0</v>
      </c>
      <c r="R501" s="153"/>
      <c r="S501" s="44"/>
      <c r="T501" s="45" t="str">
        <f>IFERROR(IGA_BD[[#This Row],[Breakdown Time]]*IGA_BD[[#This Row],[Plant Equivalent Weightage]],"")</f>
        <v/>
      </c>
    </row>
    <row r="502" spans="1:20">
      <c r="A502" s="28"/>
      <c r="B502" s="154"/>
      <c r="C502" s="30">
        <f>YEAR(WTG_BD[[#This Row],[Date]])+IF(MONTH(WTG_BD[[#This Row],[Date]])&gt;=4,1,0)</f>
        <v>2026</v>
      </c>
      <c r="D502" s="31">
        <f>YEAR(IGA_BD[[#This Row],[Date]])</f>
        <v>1900</v>
      </c>
      <c r="E502" s="48">
        <f t="shared" si="10"/>
        <v>1</v>
      </c>
      <c r="F502" s="32"/>
      <c r="G502" s="33"/>
      <c r="H502" s="43" t="str">
        <f>IFERROR(VLOOKUP(IGA_BD[[#This Row],[Affected Feeder ]],'Basic Data'!$A$42:$E$53,2,0),"")</f>
        <v/>
      </c>
      <c r="I502" s="43" t="str">
        <f>IFERROR(VLOOKUP(IGA_BD[[#This Row],[Affected Feeder ]],'Basic Data'!$A$42:$E$53,3,0),"")</f>
        <v/>
      </c>
      <c r="J502" s="43" t="str">
        <f>IFERROR(VLOOKUP(IGA_BD[[#This Row],[Affected Feeder ]],'Basic Data'!$A$42:$E$53,5,0),"")</f>
        <v/>
      </c>
      <c r="K502" s="164"/>
      <c r="L502" s="50"/>
      <c r="M502" s="116"/>
      <c r="N502" s="116"/>
      <c r="O502" s="57">
        <f>(IGA_BD[[#This Row],[Work Start TimeStamp]]-IGA_BD[[#This Row],[Fault Start TimeStamp]])*24</f>
        <v>0</v>
      </c>
      <c r="P502" s="44" t="str">
        <f>IF(IGA_BD[[#This Row],[Work Start TimeStamp]]="","",(IGA_BD[[#This Row],[Fault Clearance time]]-IGA_BD[[#This Row],[Work Start TimeStamp]])*24)</f>
        <v/>
      </c>
      <c r="Q502" s="57">
        <f>(IGA_BD[[#This Row],[Fault Clearance time]]-IGA_BD[[#This Row],[Fault Start TimeStamp]])*24</f>
        <v>0</v>
      </c>
      <c r="R502" s="153"/>
      <c r="S502" s="44"/>
      <c r="T502" s="45" t="str">
        <f>IFERROR(IGA_BD[[#This Row],[Breakdown Time]]*IGA_BD[[#This Row],[Plant Equivalent Weightage]],"")</f>
        <v/>
      </c>
    </row>
    <row r="503" spans="1:20">
      <c r="A503" s="28"/>
      <c r="B503" s="154"/>
      <c r="C503" s="30">
        <f>YEAR(WTG_BD[[#This Row],[Date]])+IF(MONTH(WTG_BD[[#This Row],[Date]])&gt;=4,1,0)</f>
        <v>2026</v>
      </c>
      <c r="D503" s="31">
        <f>YEAR(IGA_BD[[#This Row],[Date]])</f>
        <v>1900</v>
      </c>
      <c r="E503" s="48">
        <f t="shared" si="10"/>
        <v>1</v>
      </c>
      <c r="F503" s="32"/>
      <c r="G503" s="33"/>
      <c r="H503" s="43" t="str">
        <f>IFERROR(VLOOKUP(IGA_BD[[#This Row],[Affected Feeder ]],'Basic Data'!$A$42:$E$53,2,0),"")</f>
        <v/>
      </c>
      <c r="I503" s="43" t="str">
        <f>IFERROR(VLOOKUP(IGA_BD[[#This Row],[Affected Feeder ]],'Basic Data'!$A$42:$E$53,3,0),"")</f>
        <v/>
      </c>
      <c r="J503" s="43" t="str">
        <f>IFERROR(VLOOKUP(IGA_BD[[#This Row],[Affected Feeder ]],'Basic Data'!$A$42:$E$53,5,0),"")</f>
        <v/>
      </c>
      <c r="K503" s="164"/>
      <c r="L503" s="50"/>
      <c r="M503" s="116"/>
      <c r="N503" s="116"/>
      <c r="O503" s="57">
        <f>(IGA_BD[[#This Row],[Work Start TimeStamp]]-IGA_BD[[#This Row],[Fault Start TimeStamp]])*24</f>
        <v>0</v>
      </c>
      <c r="P503" s="44" t="str">
        <f>IF(IGA_BD[[#This Row],[Work Start TimeStamp]]="","",(IGA_BD[[#This Row],[Fault Clearance time]]-IGA_BD[[#This Row],[Work Start TimeStamp]])*24)</f>
        <v/>
      </c>
      <c r="Q503" s="57">
        <f>(IGA_BD[[#This Row],[Fault Clearance time]]-IGA_BD[[#This Row],[Fault Start TimeStamp]])*24</f>
        <v>0</v>
      </c>
      <c r="R503" s="153"/>
      <c r="S503" s="44"/>
      <c r="T503" s="45" t="str">
        <f>IFERROR(IGA_BD[[#This Row],[Breakdown Time]]*IGA_BD[[#This Row],[Plant Equivalent Weightage]],"")</f>
        <v/>
      </c>
    </row>
    <row r="504" spans="1:20">
      <c r="A504" s="28"/>
      <c r="B504" s="154"/>
      <c r="C504" s="30">
        <f>YEAR(WTG_BD[[#This Row],[Date]])+IF(MONTH(WTG_BD[[#This Row],[Date]])&gt;=4,1,0)</f>
        <v>2026</v>
      </c>
      <c r="D504" s="31">
        <f>YEAR(IGA_BD[[#This Row],[Date]])</f>
        <v>1900</v>
      </c>
      <c r="E504" s="48">
        <f t="shared" si="10"/>
        <v>1</v>
      </c>
      <c r="F504" s="32"/>
      <c r="G504" s="33"/>
      <c r="H504" s="43" t="str">
        <f>IFERROR(VLOOKUP(IGA_BD[[#This Row],[Affected Feeder ]],'Basic Data'!$A$42:$E$53,2,0),"")</f>
        <v/>
      </c>
      <c r="I504" s="43" t="str">
        <f>IFERROR(VLOOKUP(IGA_BD[[#This Row],[Affected Feeder ]],'Basic Data'!$A$42:$E$53,3,0),"")</f>
        <v/>
      </c>
      <c r="J504" s="43" t="str">
        <f>IFERROR(VLOOKUP(IGA_BD[[#This Row],[Affected Feeder ]],'Basic Data'!$A$42:$E$53,5,0),"")</f>
        <v/>
      </c>
      <c r="K504" s="164"/>
      <c r="L504" s="50"/>
      <c r="M504" s="116"/>
      <c r="N504" s="116"/>
      <c r="O504" s="57">
        <f>(IGA_BD[[#This Row],[Work Start TimeStamp]]-IGA_BD[[#This Row],[Fault Start TimeStamp]])*24</f>
        <v>0</v>
      </c>
      <c r="P504" s="44" t="str">
        <f>IF(IGA_BD[[#This Row],[Work Start TimeStamp]]="","",(IGA_BD[[#This Row],[Fault Clearance time]]-IGA_BD[[#This Row],[Work Start TimeStamp]])*24)</f>
        <v/>
      </c>
      <c r="Q504" s="57">
        <f>(IGA_BD[[#This Row],[Fault Clearance time]]-IGA_BD[[#This Row],[Fault Start TimeStamp]])*24</f>
        <v>0</v>
      </c>
      <c r="R504" s="153"/>
      <c r="S504" s="44"/>
      <c r="T504" s="45" t="str">
        <f>IFERROR(IGA_BD[[#This Row],[Breakdown Time]]*IGA_BD[[#This Row],[Plant Equivalent Weightage]],"")</f>
        <v/>
      </c>
    </row>
    <row r="505" spans="1:20">
      <c r="A505" s="28"/>
      <c r="B505" s="154"/>
      <c r="C505" s="30">
        <f>YEAR(WTG_BD[[#This Row],[Date]])+IF(MONTH(WTG_BD[[#This Row],[Date]])&gt;=4,1,0)</f>
        <v>2026</v>
      </c>
      <c r="D505" s="31">
        <f>YEAR(IGA_BD[[#This Row],[Date]])</f>
        <v>1900</v>
      </c>
      <c r="E505" s="48">
        <f t="shared" si="10"/>
        <v>1</v>
      </c>
      <c r="F505" s="32"/>
      <c r="G505" s="33"/>
      <c r="H505" s="43" t="str">
        <f>IFERROR(VLOOKUP(IGA_BD[[#This Row],[Affected Feeder ]],'Basic Data'!$A$42:$E$53,2,0),"")</f>
        <v/>
      </c>
      <c r="I505" s="43" t="str">
        <f>IFERROR(VLOOKUP(IGA_BD[[#This Row],[Affected Feeder ]],'Basic Data'!$A$42:$E$53,3,0),"")</f>
        <v/>
      </c>
      <c r="J505" s="43" t="str">
        <f>IFERROR(VLOOKUP(IGA_BD[[#This Row],[Affected Feeder ]],'Basic Data'!$A$42:$E$53,5,0),"")</f>
        <v/>
      </c>
      <c r="K505" s="164"/>
      <c r="L505" s="50"/>
      <c r="M505" s="116"/>
      <c r="N505" s="116"/>
      <c r="O505" s="57">
        <f>(IGA_BD[[#This Row],[Work Start TimeStamp]]-IGA_BD[[#This Row],[Fault Start TimeStamp]])*24</f>
        <v>0</v>
      </c>
      <c r="P505" s="44" t="str">
        <f>IF(IGA_BD[[#This Row],[Work Start TimeStamp]]="","",(IGA_BD[[#This Row],[Fault Clearance time]]-IGA_BD[[#This Row],[Work Start TimeStamp]])*24)</f>
        <v/>
      </c>
      <c r="Q505" s="57">
        <f>(IGA_BD[[#This Row],[Fault Clearance time]]-IGA_BD[[#This Row],[Fault Start TimeStamp]])*24</f>
        <v>0</v>
      </c>
      <c r="R505" s="153"/>
      <c r="S505" s="44"/>
      <c r="T505" s="45" t="str">
        <f>IFERROR(IGA_BD[[#This Row],[Breakdown Time]]*IGA_BD[[#This Row],[Plant Equivalent Weightage]],"")</f>
        <v/>
      </c>
    </row>
    <row r="506" spans="1:20">
      <c r="A506" s="28"/>
      <c r="B506" s="154"/>
      <c r="C506" s="30">
        <f>YEAR(WTG_BD[[#This Row],[Date]])+IF(MONTH(WTG_BD[[#This Row],[Date]])&gt;=4,1,0)</f>
        <v>2026</v>
      </c>
      <c r="D506" s="31">
        <f>YEAR(IGA_BD[[#This Row],[Date]])</f>
        <v>1900</v>
      </c>
      <c r="E506" s="48">
        <f t="shared" si="10"/>
        <v>1</v>
      </c>
      <c r="F506" s="32"/>
      <c r="G506" s="33"/>
      <c r="H506" s="43" t="str">
        <f>IFERROR(VLOOKUP(IGA_BD[[#This Row],[Affected Feeder ]],'Basic Data'!$A$42:$E$53,2,0),"")</f>
        <v/>
      </c>
      <c r="I506" s="43" t="str">
        <f>IFERROR(VLOOKUP(IGA_BD[[#This Row],[Affected Feeder ]],'Basic Data'!$A$42:$E$53,3,0),"")</f>
        <v/>
      </c>
      <c r="J506" s="43" t="str">
        <f>IFERROR(VLOOKUP(IGA_BD[[#This Row],[Affected Feeder ]],'Basic Data'!$A$42:$E$53,5,0),"")</f>
        <v/>
      </c>
      <c r="K506" s="164"/>
      <c r="L506" s="50"/>
      <c r="M506" s="116"/>
      <c r="N506" s="116"/>
      <c r="O506" s="57">
        <f>(IGA_BD[[#This Row],[Work Start TimeStamp]]-IGA_BD[[#This Row],[Fault Start TimeStamp]])*24</f>
        <v>0</v>
      </c>
      <c r="P506" s="44" t="str">
        <f>IF(IGA_BD[[#This Row],[Work Start TimeStamp]]="","",(IGA_BD[[#This Row],[Fault Clearance time]]-IGA_BD[[#This Row],[Work Start TimeStamp]])*24)</f>
        <v/>
      </c>
      <c r="Q506" s="57">
        <f>(IGA_BD[[#This Row],[Fault Clearance time]]-IGA_BD[[#This Row],[Fault Start TimeStamp]])*24</f>
        <v>0</v>
      </c>
      <c r="R506" s="153"/>
      <c r="S506" s="44"/>
      <c r="T506" s="45" t="str">
        <f>IFERROR(IGA_BD[[#This Row],[Breakdown Time]]*IGA_BD[[#This Row],[Plant Equivalent Weightage]],"")</f>
        <v/>
      </c>
    </row>
    <row r="507" spans="1:20">
      <c r="A507" s="28"/>
      <c r="B507" s="154"/>
      <c r="C507" s="30">
        <f>YEAR(WTG_BD[[#This Row],[Date]])+IF(MONTH(WTG_BD[[#This Row],[Date]])&gt;=4,1,0)</f>
        <v>2026</v>
      </c>
      <c r="D507" s="31">
        <f>YEAR(IGA_BD[[#This Row],[Date]])</f>
        <v>1900</v>
      </c>
      <c r="E507" s="48">
        <f t="shared" si="10"/>
        <v>1</v>
      </c>
      <c r="F507" s="32"/>
      <c r="G507" s="33"/>
      <c r="H507" s="43" t="str">
        <f>IFERROR(VLOOKUP(IGA_BD[[#This Row],[Affected Feeder ]],'Basic Data'!$A$42:$E$53,2,0),"")</f>
        <v/>
      </c>
      <c r="I507" s="43" t="str">
        <f>IFERROR(VLOOKUP(IGA_BD[[#This Row],[Affected Feeder ]],'Basic Data'!$A$42:$E$53,3,0),"")</f>
        <v/>
      </c>
      <c r="J507" s="43" t="str">
        <f>IFERROR(VLOOKUP(IGA_BD[[#This Row],[Affected Feeder ]],'Basic Data'!$A$42:$E$53,5,0),"")</f>
        <v/>
      </c>
      <c r="K507" s="164"/>
      <c r="L507" s="50"/>
      <c r="M507" s="116"/>
      <c r="N507" s="116"/>
      <c r="O507" s="57">
        <f>(IGA_BD[[#This Row],[Work Start TimeStamp]]-IGA_BD[[#This Row],[Fault Start TimeStamp]])*24</f>
        <v>0</v>
      </c>
      <c r="P507" s="44" t="str">
        <f>IF(IGA_BD[[#This Row],[Work Start TimeStamp]]="","",(IGA_BD[[#This Row],[Fault Clearance time]]-IGA_BD[[#This Row],[Work Start TimeStamp]])*24)</f>
        <v/>
      </c>
      <c r="Q507" s="57">
        <f>(IGA_BD[[#This Row],[Fault Clearance time]]-IGA_BD[[#This Row],[Fault Start TimeStamp]])*24</f>
        <v>0</v>
      </c>
      <c r="R507" s="153"/>
      <c r="S507" s="44"/>
      <c r="T507" s="45" t="str">
        <f>IFERROR(IGA_BD[[#This Row],[Breakdown Time]]*IGA_BD[[#This Row],[Plant Equivalent Weightage]],"")</f>
        <v/>
      </c>
    </row>
    <row r="508" spans="1:20">
      <c r="A508" s="28"/>
      <c r="B508" s="154"/>
      <c r="C508" s="30">
        <f>YEAR(WTG_BD[[#This Row],[Date]])+IF(MONTH(WTG_BD[[#This Row],[Date]])&gt;=4,1,0)</f>
        <v>2026</v>
      </c>
      <c r="D508" s="31">
        <f>YEAR(IGA_BD[[#This Row],[Date]])</f>
        <v>1900</v>
      </c>
      <c r="E508" s="48">
        <f t="shared" si="10"/>
        <v>1</v>
      </c>
      <c r="F508" s="32"/>
      <c r="G508" s="33"/>
      <c r="H508" s="43" t="str">
        <f>IFERROR(VLOOKUP(IGA_BD[[#This Row],[Affected Feeder ]],'Basic Data'!$A$42:$E$53,2,0),"")</f>
        <v/>
      </c>
      <c r="I508" s="43" t="str">
        <f>IFERROR(VLOOKUP(IGA_BD[[#This Row],[Affected Feeder ]],'Basic Data'!$A$42:$E$53,3,0),"")</f>
        <v/>
      </c>
      <c r="J508" s="43" t="str">
        <f>IFERROR(VLOOKUP(IGA_BD[[#This Row],[Affected Feeder ]],'Basic Data'!$A$42:$E$53,5,0),"")</f>
        <v/>
      </c>
      <c r="K508" s="164"/>
      <c r="L508" s="50"/>
      <c r="M508" s="116"/>
      <c r="N508" s="116"/>
      <c r="O508" s="57">
        <f>(IGA_BD[[#This Row],[Work Start TimeStamp]]-IGA_BD[[#This Row],[Fault Start TimeStamp]])*24</f>
        <v>0</v>
      </c>
      <c r="P508" s="44" t="str">
        <f>IF(IGA_BD[[#This Row],[Work Start TimeStamp]]="","",(IGA_BD[[#This Row],[Fault Clearance time]]-IGA_BD[[#This Row],[Work Start TimeStamp]])*24)</f>
        <v/>
      </c>
      <c r="Q508" s="57">
        <f>(IGA_BD[[#This Row],[Fault Clearance time]]-IGA_BD[[#This Row],[Fault Start TimeStamp]])*24</f>
        <v>0</v>
      </c>
      <c r="R508" s="153"/>
      <c r="S508" s="44"/>
      <c r="T508" s="45" t="str">
        <f>IFERROR(IGA_BD[[#This Row],[Breakdown Time]]*IGA_BD[[#This Row],[Plant Equivalent Weightage]],"")</f>
        <v/>
      </c>
    </row>
    <row r="509" spans="1:20">
      <c r="A509" s="28"/>
      <c r="B509" s="154"/>
      <c r="C509" s="30">
        <f>YEAR(WTG_BD[[#This Row],[Date]])+IF(MONTH(WTG_BD[[#This Row],[Date]])&gt;=4,1,0)</f>
        <v>2026</v>
      </c>
      <c r="D509" s="31">
        <f>YEAR(IGA_BD[[#This Row],[Date]])</f>
        <v>1900</v>
      </c>
      <c r="E509" s="48">
        <f t="shared" si="10"/>
        <v>1</v>
      </c>
      <c r="F509" s="32"/>
      <c r="G509" s="33"/>
      <c r="H509" s="43" t="str">
        <f>IFERROR(VLOOKUP(IGA_BD[[#This Row],[Affected Feeder ]],'Basic Data'!$A$42:$E$53,2,0),"")</f>
        <v/>
      </c>
      <c r="I509" s="43" t="str">
        <f>IFERROR(VLOOKUP(IGA_BD[[#This Row],[Affected Feeder ]],'Basic Data'!$A$42:$E$53,3,0),"")</f>
        <v/>
      </c>
      <c r="J509" s="43" t="str">
        <f>IFERROR(VLOOKUP(IGA_BD[[#This Row],[Affected Feeder ]],'Basic Data'!$A$42:$E$53,5,0),"")</f>
        <v/>
      </c>
      <c r="K509" s="164"/>
      <c r="L509" s="50"/>
      <c r="M509" s="116"/>
      <c r="N509" s="116"/>
      <c r="O509" s="57">
        <f>(IGA_BD[[#This Row],[Work Start TimeStamp]]-IGA_BD[[#This Row],[Fault Start TimeStamp]])*24</f>
        <v>0</v>
      </c>
      <c r="P509" s="44" t="str">
        <f>IF(IGA_BD[[#This Row],[Work Start TimeStamp]]="","",(IGA_BD[[#This Row],[Fault Clearance time]]-IGA_BD[[#This Row],[Work Start TimeStamp]])*24)</f>
        <v/>
      </c>
      <c r="Q509" s="57">
        <f>(IGA_BD[[#This Row],[Fault Clearance time]]-IGA_BD[[#This Row],[Fault Start TimeStamp]])*24</f>
        <v>0</v>
      </c>
      <c r="R509" s="153"/>
      <c r="S509" s="44"/>
      <c r="T509" s="45" t="str">
        <f>IFERROR(IGA_BD[[#This Row],[Breakdown Time]]*IGA_BD[[#This Row],[Plant Equivalent Weightage]],"")</f>
        <v/>
      </c>
    </row>
    <row r="510" spans="1:20">
      <c r="A510" s="28"/>
      <c r="B510" s="154"/>
      <c r="C510" s="30">
        <f>YEAR(WTG_BD[[#This Row],[Date]])+IF(MONTH(WTG_BD[[#This Row],[Date]])&gt;=4,1,0)</f>
        <v>2026</v>
      </c>
      <c r="D510" s="31">
        <f>YEAR(IGA_BD[[#This Row],[Date]])</f>
        <v>1900</v>
      </c>
      <c r="E510" s="48">
        <f t="shared" si="10"/>
        <v>1</v>
      </c>
      <c r="F510" s="32"/>
      <c r="G510" s="33"/>
      <c r="H510" s="43" t="str">
        <f>IFERROR(VLOOKUP(IGA_BD[[#This Row],[Affected Feeder ]],'Basic Data'!$A$42:$E$53,2,0),"")</f>
        <v/>
      </c>
      <c r="I510" s="43" t="str">
        <f>IFERROR(VLOOKUP(IGA_BD[[#This Row],[Affected Feeder ]],'Basic Data'!$A$42:$E$53,3,0),"")</f>
        <v/>
      </c>
      <c r="J510" s="43" t="str">
        <f>IFERROR(VLOOKUP(IGA_BD[[#This Row],[Affected Feeder ]],'Basic Data'!$A$42:$E$53,5,0),"")</f>
        <v/>
      </c>
      <c r="K510" s="164"/>
      <c r="L510" s="50"/>
      <c r="M510" s="116"/>
      <c r="N510" s="116"/>
      <c r="O510" s="57">
        <f>(IGA_BD[[#This Row],[Work Start TimeStamp]]-IGA_BD[[#This Row],[Fault Start TimeStamp]])*24</f>
        <v>0</v>
      </c>
      <c r="P510" s="44" t="str">
        <f>IF(IGA_BD[[#This Row],[Work Start TimeStamp]]="","",(IGA_BD[[#This Row],[Fault Clearance time]]-IGA_BD[[#This Row],[Work Start TimeStamp]])*24)</f>
        <v/>
      </c>
      <c r="Q510" s="57">
        <f>(IGA_BD[[#This Row],[Fault Clearance time]]-IGA_BD[[#This Row],[Fault Start TimeStamp]])*24</f>
        <v>0</v>
      </c>
      <c r="R510" s="153"/>
      <c r="S510" s="44"/>
      <c r="T510" s="45" t="str">
        <f>IFERROR(IGA_BD[[#This Row],[Breakdown Time]]*IGA_BD[[#This Row],[Plant Equivalent Weightage]],"")</f>
        <v/>
      </c>
    </row>
    <row r="511" spans="1:20">
      <c r="A511" s="28"/>
      <c r="B511" s="154"/>
      <c r="C511" s="30">
        <f>YEAR(WTG_BD[[#This Row],[Date]])+IF(MONTH(WTG_BD[[#This Row],[Date]])&gt;=4,1,0)</f>
        <v>2026</v>
      </c>
      <c r="D511" s="31">
        <f>YEAR(IGA_BD[[#This Row],[Date]])</f>
        <v>1900</v>
      </c>
      <c r="E511" s="48">
        <f t="shared" si="10"/>
        <v>1</v>
      </c>
      <c r="F511" s="32"/>
      <c r="G511" s="33"/>
      <c r="H511" s="43" t="str">
        <f>IFERROR(VLOOKUP(IGA_BD[[#This Row],[Affected Feeder ]],'Basic Data'!$A$42:$E$53,2,0),"")</f>
        <v/>
      </c>
      <c r="I511" s="43" t="str">
        <f>IFERROR(VLOOKUP(IGA_BD[[#This Row],[Affected Feeder ]],'Basic Data'!$A$42:$E$53,3,0),"")</f>
        <v/>
      </c>
      <c r="J511" s="43" t="str">
        <f>IFERROR(VLOOKUP(IGA_BD[[#This Row],[Affected Feeder ]],'Basic Data'!$A$42:$E$53,5,0),"")</f>
        <v/>
      </c>
      <c r="K511" s="164"/>
      <c r="L511" s="50"/>
      <c r="M511" s="116"/>
      <c r="N511" s="116"/>
      <c r="O511" s="57">
        <f>(IGA_BD[[#This Row],[Work Start TimeStamp]]-IGA_BD[[#This Row],[Fault Start TimeStamp]])*24</f>
        <v>0</v>
      </c>
      <c r="P511" s="44" t="str">
        <f>IF(IGA_BD[[#This Row],[Work Start TimeStamp]]="","",(IGA_BD[[#This Row],[Fault Clearance time]]-IGA_BD[[#This Row],[Work Start TimeStamp]])*24)</f>
        <v/>
      </c>
      <c r="Q511" s="57">
        <f>(IGA_BD[[#This Row],[Fault Clearance time]]-IGA_BD[[#This Row],[Fault Start TimeStamp]])*24</f>
        <v>0</v>
      </c>
      <c r="R511" s="153"/>
      <c r="S511" s="44"/>
      <c r="T511" s="45" t="str">
        <f>IFERROR(IGA_BD[[#This Row],[Breakdown Time]]*IGA_BD[[#This Row],[Plant Equivalent Weightage]],"")</f>
        <v/>
      </c>
    </row>
    <row r="512" spans="1:20">
      <c r="A512" s="28"/>
      <c r="B512" s="154"/>
      <c r="C512" s="30">
        <f>YEAR(WTG_BD[[#This Row],[Date]])+IF(MONTH(WTG_BD[[#This Row],[Date]])&gt;=4,1,0)</f>
        <v>2026</v>
      </c>
      <c r="D512" s="31">
        <f>YEAR(IGA_BD[[#This Row],[Date]])</f>
        <v>1900</v>
      </c>
      <c r="E512" s="48">
        <f t="shared" si="10"/>
        <v>1</v>
      </c>
      <c r="F512" s="32"/>
      <c r="G512" s="33"/>
      <c r="H512" s="43" t="str">
        <f>IFERROR(VLOOKUP(IGA_BD[[#This Row],[Affected Feeder ]],'Basic Data'!$A$42:$E$53,2,0),"")</f>
        <v/>
      </c>
      <c r="I512" s="43" t="str">
        <f>IFERROR(VLOOKUP(IGA_BD[[#This Row],[Affected Feeder ]],'Basic Data'!$A$42:$E$53,3,0),"")</f>
        <v/>
      </c>
      <c r="J512" s="43" t="str">
        <f>IFERROR(VLOOKUP(IGA_BD[[#This Row],[Affected Feeder ]],'Basic Data'!$A$42:$E$53,5,0),"")</f>
        <v/>
      </c>
      <c r="K512" s="164"/>
      <c r="L512" s="50"/>
      <c r="M512" s="116"/>
      <c r="N512" s="116"/>
      <c r="O512" s="57">
        <f>(IGA_BD[[#This Row],[Work Start TimeStamp]]-IGA_BD[[#This Row],[Fault Start TimeStamp]])*24</f>
        <v>0</v>
      </c>
      <c r="P512" s="44" t="str">
        <f>IF(IGA_BD[[#This Row],[Work Start TimeStamp]]="","",(IGA_BD[[#This Row],[Fault Clearance time]]-IGA_BD[[#This Row],[Work Start TimeStamp]])*24)</f>
        <v/>
      </c>
      <c r="Q512" s="57">
        <f>(IGA_BD[[#This Row],[Fault Clearance time]]-IGA_BD[[#This Row],[Fault Start TimeStamp]])*24</f>
        <v>0</v>
      </c>
      <c r="R512" s="153"/>
      <c r="S512" s="44"/>
      <c r="T512" s="45" t="str">
        <f>IFERROR(IGA_BD[[#This Row],[Breakdown Time]]*IGA_BD[[#This Row],[Plant Equivalent Weightage]],"")</f>
        <v/>
      </c>
    </row>
    <row r="513" spans="1:20">
      <c r="A513" s="28"/>
      <c r="B513" s="154"/>
      <c r="C513" s="30">
        <f>YEAR(WTG_BD[[#This Row],[Date]])+IF(MONTH(WTG_BD[[#This Row],[Date]])&gt;=4,1,0)</f>
        <v>2026</v>
      </c>
      <c r="D513" s="31">
        <f>YEAR(IGA_BD[[#This Row],[Date]])</f>
        <v>1900</v>
      </c>
      <c r="E513" s="48">
        <f t="shared" si="10"/>
        <v>1</v>
      </c>
      <c r="F513" s="32"/>
      <c r="G513" s="33"/>
      <c r="H513" s="43" t="str">
        <f>IFERROR(VLOOKUP(IGA_BD[[#This Row],[Affected Feeder ]],'Basic Data'!$A$42:$E$53,2,0),"")</f>
        <v/>
      </c>
      <c r="I513" s="43" t="str">
        <f>IFERROR(VLOOKUP(IGA_BD[[#This Row],[Affected Feeder ]],'Basic Data'!$A$42:$E$53,3,0),"")</f>
        <v/>
      </c>
      <c r="J513" s="43" t="str">
        <f>IFERROR(VLOOKUP(IGA_BD[[#This Row],[Affected Feeder ]],'Basic Data'!$A$42:$E$53,5,0),"")</f>
        <v/>
      </c>
      <c r="K513" s="164"/>
      <c r="L513" s="50"/>
      <c r="M513" s="116"/>
      <c r="N513" s="116"/>
      <c r="O513" s="57">
        <f>(IGA_BD[[#This Row],[Work Start TimeStamp]]-IGA_BD[[#This Row],[Fault Start TimeStamp]])*24</f>
        <v>0</v>
      </c>
      <c r="P513" s="44" t="str">
        <f>IF(IGA_BD[[#This Row],[Work Start TimeStamp]]="","",(IGA_BD[[#This Row],[Fault Clearance time]]-IGA_BD[[#This Row],[Work Start TimeStamp]])*24)</f>
        <v/>
      </c>
      <c r="Q513" s="57">
        <f>(IGA_BD[[#This Row],[Fault Clearance time]]-IGA_BD[[#This Row],[Fault Start TimeStamp]])*24</f>
        <v>0</v>
      </c>
      <c r="R513" s="153"/>
      <c r="S513" s="44"/>
      <c r="T513" s="45" t="str">
        <f>IFERROR(IGA_BD[[#This Row],[Breakdown Time]]*IGA_BD[[#This Row],[Plant Equivalent Weightage]],"")</f>
        <v/>
      </c>
    </row>
    <row r="514" spans="1:20">
      <c r="A514" s="28"/>
      <c r="B514" s="154"/>
      <c r="C514" s="30">
        <f>YEAR(WTG_BD[[#This Row],[Date]])+IF(MONTH(WTG_BD[[#This Row],[Date]])&gt;=4,1,0)</f>
        <v>2026</v>
      </c>
      <c r="D514" s="31">
        <f>YEAR(IGA_BD[[#This Row],[Date]])</f>
        <v>1900</v>
      </c>
      <c r="E514" s="48">
        <f t="shared" si="10"/>
        <v>1</v>
      </c>
      <c r="F514" s="32"/>
      <c r="G514" s="33"/>
      <c r="H514" s="43" t="str">
        <f>IFERROR(VLOOKUP(IGA_BD[[#This Row],[Affected Feeder ]],'Basic Data'!$A$42:$E$53,2,0),"")</f>
        <v/>
      </c>
      <c r="I514" s="43" t="str">
        <f>IFERROR(VLOOKUP(IGA_BD[[#This Row],[Affected Feeder ]],'Basic Data'!$A$42:$E$53,3,0),"")</f>
        <v/>
      </c>
      <c r="J514" s="43" t="str">
        <f>IFERROR(VLOOKUP(IGA_BD[[#This Row],[Affected Feeder ]],'Basic Data'!$A$42:$E$53,5,0),"")</f>
        <v/>
      </c>
      <c r="K514" s="164"/>
      <c r="L514" s="50"/>
      <c r="M514" s="116"/>
      <c r="N514" s="116"/>
      <c r="O514" s="57">
        <f>(IGA_BD[[#This Row],[Work Start TimeStamp]]-IGA_BD[[#This Row],[Fault Start TimeStamp]])*24</f>
        <v>0</v>
      </c>
      <c r="P514" s="44" t="str">
        <f>IF(IGA_BD[[#This Row],[Work Start TimeStamp]]="","",(IGA_BD[[#This Row],[Fault Clearance time]]-IGA_BD[[#This Row],[Work Start TimeStamp]])*24)</f>
        <v/>
      </c>
      <c r="Q514" s="57">
        <f>(IGA_BD[[#This Row],[Fault Clearance time]]-IGA_BD[[#This Row],[Fault Start TimeStamp]])*24</f>
        <v>0</v>
      </c>
      <c r="R514" s="153"/>
      <c r="S514" s="44"/>
      <c r="T514" s="45" t="str">
        <f>IFERROR(IGA_BD[[#This Row],[Breakdown Time]]*IGA_BD[[#This Row],[Plant Equivalent Weightage]],"")</f>
        <v/>
      </c>
    </row>
    <row r="515" spans="1:20">
      <c r="A515" s="28"/>
      <c r="B515" s="154"/>
      <c r="C515" s="30">
        <f>YEAR(WTG_BD[[#This Row],[Date]])+IF(MONTH(WTG_BD[[#This Row],[Date]])&gt;=4,1,0)</f>
        <v>2026</v>
      </c>
      <c r="D515" s="31">
        <f>YEAR(IGA_BD[[#This Row],[Date]])</f>
        <v>1900</v>
      </c>
      <c r="E515" s="48">
        <f t="shared" si="10"/>
        <v>1</v>
      </c>
      <c r="F515" s="32"/>
      <c r="G515" s="33"/>
      <c r="H515" s="43" t="str">
        <f>IFERROR(VLOOKUP(IGA_BD[[#This Row],[Affected Feeder ]],'Basic Data'!$A$42:$E$53,2,0),"")</f>
        <v/>
      </c>
      <c r="I515" s="43" t="str">
        <f>IFERROR(VLOOKUP(IGA_BD[[#This Row],[Affected Feeder ]],'Basic Data'!$A$42:$E$53,3,0),"")</f>
        <v/>
      </c>
      <c r="J515" s="43" t="str">
        <f>IFERROR(VLOOKUP(IGA_BD[[#This Row],[Affected Feeder ]],'Basic Data'!$A$42:$E$53,5,0),"")</f>
        <v/>
      </c>
      <c r="K515" s="164"/>
      <c r="L515" s="50"/>
      <c r="M515" s="116"/>
      <c r="N515" s="116"/>
      <c r="O515" s="57">
        <f>(IGA_BD[[#This Row],[Work Start TimeStamp]]-IGA_BD[[#This Row],[Fault Start TimeStamp]])*24</f>
        <v>0</v>
      </c>
      <c r="P515" s="44" t="str">
        <f>IF(IGA_BD[[#This Row],[Work Start TimeStamp]]="","",(IGA_BD[[#This Row],[Fault Clearance time]]-IGA_BD[[#This Row],[Work Start TimeStamp]])*24)</f>
        <v/>
      </c>
      <c r="Q515" s="57">
        <f>(IGA_BD[[#This Row],[Fault Clearance time]]-IGA_BD[[#This Row],[Fault Start TimeStamp]])*24</f>
        <v>0</v>
      </c>
      <c r="R515" s="153"/>
      <c r="S515" s="44"/>
      <c r="T515" s="45" t="str">
        <f>IFERROR(IGA_BD[[#This Row],[Breakdown Time]]*IGA_BD[[#This Row],[Plant Equivalent Weightage]],"")</f>
        <v/>
      </c>
    </row>
    <row r="516" spans="1:20">
      <c r="A516" s="28"/>
      <c r="B516" s="154"/>
      <c r="C516" s="30">
        <f>YEAR(WTG_BD[[#This Row],[Date]])+IF(MONTH(WTG_BD[[#This Row],[Date]])&gt;=4,1,0)</f>
        <v>2026</v>
      </c>
      <c r="D516" s="31">
        <f>YEAR(IGA_BD[[#This Row],[Date]])</f>
        <v>1900</v>
      </c>
      <c r="E516" s="48">
        <f t="shared" si="10"/>
        <v>1</v>
      </c>
      <c r="F516" s="32"/>
      <c r="G516" s="33"/>
      <c r="H516" s="43" t="str">
        <f>IFERROR(VLOOKUP(IGA_BD[[#This Row],[Affected Feeder ]],'Basic Data'!$A$42:$E$53,2,0),"")</f>
        <v/>
      </c>
      <c r="I516" s="43" t="str">
        <f>IFERROR(VLOOKUP(IGA_BD[[#This Row],[Affected Feeder ]],'Basic Data'!$A$42:$E$53,3,0),"")</f>
        <v/>
      </c>
      <c r="J516" s="43" t="str">
        <f>IFERROR(VLOOKUP(IGA_BD[[#This Row],[Affected Feeder ]],'Basic Data'!$A$42:$E$53,5,0),"")</f>
        <v/>
      </c>
      <c r="K516" s="164"/>
      <c r="L516" s="50"/>
      <c r="M516" s="116"/>
      <c r="N516" s="116"/>
      <c r="O516" s="57">
        <f>(IGA_BD[[#This Row],[Work Start TimeStamp]]-IGA_BD[[#This Row],[Fault Start TimeStamp]])*24</f>
        <v>0</v>
      </c>
      <c r="P516" s="44" t="str">
        <f>IF(IGA_BD[[#This Row],[Work Start TimeStamp]]="","",(IGA_BD[[#This Row],[Fault Clearance time]]-IGA_BD[[#This Row],[Work Start TimeStamp]])*24)</f>
        <v/>
      </c>
      <c r="Q516" s="57">
        <f>(IGA_BD[[#This Row],[Fault Clearance time]]-IGA_BD[[#This Row],[Fault Start TimeStamp]])*24</f>
        <v>0</v>
      </c>
      <c r="R516" s="153"/>
      <c r="S516" s="44"/>
      <c r="T516" s="45" t="str">
        <f>IFERROR(IGA_BD[[#This Row],[Breakdown Time]]*IGA_BD[[#This Row],[Plant Equivalent Weightage]],"")</f>
        <v/>
      </c>
    </row>
    <row r="517" spans="1:20">
      <c r="A517" s="28"/>
      <c r="B517" s="154"/>
      <c r="C517" s="30">
        <f>YEAR(WTG_BD[[#This Row],[Date]])+IF(MONTH(WTG_BD[[#This Row],[Date]])&gt;=4,1,0)</f>
        <v>2026</v>
      </c>
      <c r="D517" s="31">
        <f>YEAR(IGA_BD[[#This Row],[Date]])</f>
        <v>1900</v>
      </c>
      <c r="E517" s="48">
        <f t="shared" si="10"/>
        <v>1</v>
      </c>
      <c r="F517" s="32"/>
      <c r="G517" s="33"/>
      <c r="H517" s="43" t="str">
        <f>IFERROR(VLOOKUP(IGA_BD[[#This Row],[Affected Feeder ]],'Basic Data'!$A$42:$E$53,2,0),"")</f>
        <v/>
      </c>
      <c r="I517" s="43" t="str">
        <f>IFERROR(VLOOKUP(IGA_BD[[#This Row],[Affected Feeder ]],'Basic Data'!$A$42:$E$53,3,0),"")</f>
        <v/>
      </c>
      <c r="J517" s="43" t="str">
        <f>IFERROR(VLOOKUP(IGA_BD[[#This Row],[Affected Feeder ]],'Basic Data'!$A$42:$E$53,5,0),"")</f>
        <v/>
      </c>
      <c r="K517" s="164"/>
      <c r="L517" s="50"/>
      <c r="M517" s="116"/>
      <c r="N517" s="116"/>
      <c r="O517" s="57">
        <f>(IGA_BD[[#This Row],[Work Start TimeStamp]]-IGA_BD[[#This Row],[Fault Start TimeStamp]])*24</f>
        <v>0</v>
      </c>
      <c r="P517" s="44" t="str">
        <f>IF(IGA_BD[[#This Row],[Work Start TimeStamp]]="","",(IGA_BD[[#This Row],[Fault Clearance time]]-IGA_BD[[#This Row],[Work Start TimeStamp]])*24)</f>
        <v/>
      </c>
      <c r="Q517" s="57">
        <f>(IGA_BD[[#This Row],[Fault Clearance time]]-IGA_BD[[#This Row],[Fault Start TimeStamp]])*24</f>
        <v>0</v>
      </c>
      <c r="R517" s="153"/>
      <c r="S517" s="44"/>
      <c r="T517" s="45" t="str">
        <f>IFERROR(IGA_BD[[#This Row],[Breakdown Time]]*IGA_BD[[#This Row],[Plant Equivalent Weightage]],"")</f>
        <v/>
      </c>
    </row>
    <row r="518" spans="1:20">
      <c r="A518" s="28"/>
      <c r="B518" s="154"/>
      <c r="C518" s="30">
        <f>YEAR(WTG_BD[[#This Row],[Date]])+IF(MONTH(WTG_BD[[#This Row],[Date]])&gt;=4,1,0)</f>
        <v>2026</v>
      </c>
      <c r="D518" s="31">
        <f>YEAR(IGA_BD[[#This Row],[Date]])</f>
        <v>1900</v>
      </c>
      <c r="E518" s="48">
        <f t="shared" si="10"/>
        <v>1</v>
      </c>
      <c r="F518" s="32"/>
      <c r="G518" s="33"/>
      <c r="H518" s="43" t="str">
        <f>IFERROR(VLOOKUP(IGA_BD[[#This Row],[Affected Feeder ]],'Basic Data'!$A$42:$E$53,2,0),"")</f>
        <v/>
      </c>
      <c r="I518" s="43" t="str">
        <f>IFERROR(VLOOKUP(IGA_BD[[#This Row],[Affected Feeder ]],'Basic Data'!$A$42:$E$53,3,0),"")</f>
        <v/>
      </c>
      <c r="J518" s="43" t="str">
        <f>IFERROR(VLOOKUP(IGA_BD[[#This Row],[Affected Feeder ]],'Basic Data'!$A$42:$E$53,5,0),"")</f>
        <v/>
      </c>
      <c r="K518" s="164"/>
      <c r="L518" s="50"/>
      <c r="M518" s="116"/>
      <c r="N518" s="116"/>
      <c r="O518" s="57">
        <f>(IGA_BD[[#This Row],[Work Start TimeStamp]]-IGA_BD[[#This Row],[Fault Start TimeStamp]])*24</f>
        <v>0</v>
      </c>
      <c r="P518" s="44" t="str">
        <f>IF(IGA_BD[[#This Row],[Work Start TimeStamp]]="","",(IGA_BD[[#This Row],[Fault Clearance time]]-IGA_BD[[#This Row],[Work Start TimeStamp]])*24)</f>
        <v/>
      </c>
      <c r="Q518" s="57">
        <f>(IGA_BD[[#This Row],[Fault Clearance time]]-IGA_BD[[#This Row],[Fault Start TimeStamp]])*24</f>
        <v>0</v>
      </c>
      <c r="R518" s="153"/>
      <c r="S518" s="44"/>
      <c r="T518" s="45" t="str">
        <f>IFERROR(IGA_BD[[#This Row],[Breakdown Time]]*IGA_BD[[#This Row],[Plant Equivalent Weightage]],"")</f>
        <v/>
      </c>
    </row>
    <row r="519" spans="1:20">
      <c r="A519" s="28"/>
      <c r="B519" s="154"/>
      <c r="C519" s="30">
        <f>YEAR(WTG_BD[[#This Row],[Date]])+IF(MONTH(WTG_BD[[#This Row],[Date]])&gt;=4,1,0)</f>
        <v>2026</v>
      </c>
      <c r="D519" s="31">
        <f>YEAR(IGA_BD[[#This Row],[Date]])</f>
        <v>1900</v>
      </c>
      <c r="E519" s="48">
        <f t="shared" si="10"/>
        <v>1</v>
      </c>
      <c r="F519" s="32"/>
      <c r="G519" s="33"/>
      <c r="H519" s="43" t="str">
        <f>IFERROR(VLOOKUP(IGA_BD[[#This Row],[Affected Feeder ]],'Basic Data'!$A$42:$E$53,2,0),"")</f>
        <v/>
      </c>
      <c r="I519" s="43" t="str">
        <f>IFERROR(VLOOKUP(IGA_BD[[#This Row],[Affected Feeder ]],'Basic Data'!$A$42:$E$53,3,0),"")</f>
        <v/>
      </c>
      <c r="J519" s="43" t="str">
        <f>IFERROR(VLOOKUP(IGA_BD[[#This Row],[Affected Feeder ]],'Basic Data'!$A$42:$E$53,5,0),"")</f>
        <v/>
      </c>
      <c r="K519" s="164"/>
      <c r="L519" s="50"/>
      <c r="M519" s="116"/>
      <c r="N519" s="116"/>
      <c r="O519" s="57">
        <f>(IGA_BD[[#This Row],[Work Start TimeStamp]]-IGA_BD[[#This Row],[Fault Start TimeStamp]])*24</f>
        <v>0</v>
      </c>
      <c r="P519" s="44" t="str">
        <f>IF(IGA_BD[[#This Row],[Work Start TimeStamp]]="","",(IGA_BD[[#This Row],[Fault Clearance time]]-IGA_BD[[#This Row],[Work Start TimeStamp]])*24)</f>
        <v/>
      </c>
      <c r="Q519" s="57">
        <f>(IGA_BD[[#This Row],[Fault Clearance time]]-IGA_BD[[#This Row],[Fault Start TimeStamp]])*24</f>
        <v>0</v>
      </c>
      <c r="R519" s="153"/>
      <c r="S519" s="44"/>
      <c r="T519" s="45" t="str">
        <f>IFERROR(IGA_BD[[#This Row],[Breakdown Time]]*IGA_BD[[#This Row],[Plant Equivalent Weightage]],"")</f>
        <v/>
      </c>
    </row>
    <row r="520" spans="1:20">
      <c r="A520" s="28"/>
      <c r="B520" s="154"/>
      <c r="C520" s="30">
        <f>YEAR(WTG_BD[[#This Row],[Date]])+IF(MONTH(WTG_BD[[#This Row],[Date]])&gt;=4,1,0)</f>
        <v>2026</v>
      </c>
      <c r="D520" s="31">
        <f>YEAR(IGA_BD[[#This Row],[Date]])</f>
        <v>1900</v>
      </c>
      <c r="E520" s="48">
        <f t="shared" si="10"/>
        <v>1</v>
      </c>
      <c r="F520" s="32"/>
      <c r="G520" s="33"/>
      <c r="H520" s="43" t="str">
        <f>IFERROR(VLOOKUP(IGA_BD[[#This Row],[Affected Feeder ]],'Basic Data'!$A$42:$E$53,2,0),"")</f>
        <v/>
      </c>
      <c r="I520" s="43" t="str">
        <f>IFERROR(VLOOKUP(IGA_BD[[#This Row],[Affected Feeder ]],'Basic Data'!$A$42:$E$53,3,0),"")</f>
        <v/>
      </c>
      <c r="J520" s="43" t="str">
        <f>IFERROR(VLOOKUP(IGA_BD[[#This Row],[Affected Feeder ]],'Basic Data'!$A$42:$E$53,5,0),"")</f>
        <v/>
      </c>
      <c r="K520" s="164"/>
      <c r="L520" s="50"/>
      <c r="M520" s="116"/>
      <c r="N520" s="116"/>
      <c r="O520" s="57">
        <f>(IGA_BD[[#This Row],[Work Start TimeStamp]]-IGA_BD[[#This Row],[Fault Start TimeStamp]])*24</f>
        <v>0</v>
      </c>
      <c r="P520" s="44" t="str">
        <f>IF(IGA_BD[[#This Row],[Work Start TimeStamp]]="","",(IGA_BD[[#This Row],[Fault Clearance time]]-IGA_BD[[#This Row],[Work Start TimeStamp]])*24)</f>
        <v/>
      </c>
      <c r="Q520" s="57">
        <f>(IGA_BD[[#This Row],[Fault Clearance time]]-IGA_BD[[#This Row],[Fault Start TimeStamp]])*24</f>
        <v>0</v>
      </c>
      <c r="R520" s="153"/>
      <c r="S520" s="44"/>
      <c r="T520" s="45" t="str">
        <f>IFERROR(IGA_BD[[#This Row],[Breakdown Time]]*IGA_BD[[#This Row],[Plant Equivalent Weightage]],"")</f>
        <v/>
      </c>
    </row>
    <row r="521" spans="1:20">
      <c r="A521" s="28"/>
      <c r="B521" s="154"/>
      <c r="C521" s="30">
        <f>YEAR(WTG_BD[[#This Row],[Date]])+IF(MONTH(WTG_BD[[#This Row],[Date]])&gt;=4,1,0)</f>
        <v>2026</v>
      </c>
      <c r="D521" s="31">
        <f>YEAR(IGA_BD[[#This Row],[Date]])</f>
        <v>1900</v>
      </c>
      <c r="E521" s="48">
        <f t="shared" si="10"/>
        <v>1</v>
      </c>
      <c r="F521" s="32"/>
      <c r="G521" s="33"/>
      <c r="H521" s="43" t="str">
        <f>IFERROR(VLOOKUP(IGA_BD[[#This Row],[Affected Feeder ]],'Basic Data'!$A$42:$E$53,2,0),"")</f>
        <v/>
      </c>
      <c r="I521" s="43" t="str">
        <f>IFERROR(VLOOKUP(IGA_BD[[#This Row],[Affected Feeder ]],'Basic Data'!$A$42:$E$53,3,0),"")</f>
        <v/>
      </c>
      <c r="J521" s="43" t="str">
        <f>IFERROR(VLOOKUP(IGA_BD[[#This Row],[Affected Feeder ]],'Basic Data'!$A$42:$E$53,5,0),"")</f>
        <v/>
      </c>
      <c r="K521" s="164"/>
      <c r="L521" s="50"/>
      <c r="M521" s="116"/>
      <c r="N521" s="116"/>
      <c r="O521" s="57">
        <f>(IGA_BD[[#This Row],[Work Start TimeStamp]]-IGA_BD[[#This Row],[Fault Start TimeStamp]])*24</f>
        <v>0</v>
      </c>
      <c r="P521" s="44" t="str">
        <f>IF(IGA_BD[[#This Row],[Work Start TimeStamp]]="","",(IGA_BD[[#This Row],[Fault Clearance time]]-IGA_BD[[#This Row],[Work Start TimeStamp]])*24)</f>
        <v/>
      </c>
      <c r="Q521" s="57">
        <f>(IGA_BD[[#This Row],[Fault Clearance time]]-IGA_BD[[#This Row],[Fault Start TimeStamp]])*24</f>
        <v>0</v>
      </c>
      <c r="R521" s="153"/>
      <c r="S521" s="44"/>
      <c r="T521" s="45" t="str">
        <f>IFERROR(IGA_BD[[#This Row],[Breakdown Time]]*IGA_BD[[#This Row],[Plant Equivalent Weightage]],"")</f>
        <v/>
      </c>
    </row>
    <row r="522" spans="1:20">
      <c r="A522" s="28"/>
      <c r="B522" s="154"/>
      <c r="C522" s="30">
        <f>YEAR(WTG_BD[[#This Row],[Date]])+IF(MONTH(WTG_BD[[#This Row],[Date]])&gt;=4,1,0)</f>
        <v>2026</v>
      </c>
      <c r="D522" s="31">
        <f>YEAR(IGA_BD[[#This Row],[Date]])</f>
        <v>1900</v>
      </c>
      <c r="E522" s="48">
        <f t="shared" si="10"/>
        <v>1</v>
      </c>
      <c r="F522" s="32"/>
      <c r="G522" s="33"/>
      <c r="H522" s="43" t="str">
        <f>IFERROR(VLOOKUP(IGA_BD[[#This Row],[Affected Feeder ]],'Basic Data'!$A$42:$E$53,2,0),"")</f>
        <v/>
      </c>
      <c r="I522" s="43" t="str">
        <f>IFERROR(VLOOKUP(IGA_BD[[#This Row],[Affected Feeder ]],'Basic Data'!$A$42:$E$53,3,0),"")</f>
        <v/>
      </c>
      <c r="J522" s="43" t="str">
        <f>IFERROR(VLOOKUP(IGA_BD[[#This Row],[Affected Feeder ]],'Basic Data'!$A$42:$E$53,5,0),"")</f>
        <v/>
      </c>
      <c r="K522" s="164"/>
      <c r="L522" s="50"/>
      <c r="M522" s="116"/>
      <c r="N522" s="116"/>
      <c r="O522" s="57">
        <f>(IGA_BD[[#This Row],[Work Start TimeStamp]]-IGA_BD[[#This Row],[Fault Start TimeStamp]])*24</f>
        <v>0</v>
      </c>
      <c r="P522" s="44" t="str">
        <f>IF(IGA_BD[[#This Row],[Work Start TimeStamp]]="","",(IGA_BD[[#This Row],[Fault Clearance time]]-IGA_BD[[#This Row],[Work Start TimeStamp]])*24)</f>
        <v/>
      </c>
      <c r="Q522" s="57">
        <f>(IGA_BD[[#This Row],[Fault Clearance time]]-IGA_BD[[#This Row],[Fault Start TimeStamp]])*24</f>
        <v>0</v>
      </c>
      <c r="R522" s="153"/>
      <c r="S522" s="44"/>
      <c r="T522" s="45" t="str">
        <f>IFERROR(IGA_BD[[#This Row],[Breakdown Time]]*IGA_BD[[#This Row],[Plant Equivalent Weightage]],"")</f>
        <v/>
      </c>
    </row>
    <row r="523" spans="1:20">
      <c r="A523" s="28"/>
      <c r="B523" s="154"/>
      <c r="C523" s="30">
        <f>YEAR(WTG_BD[[#This Row],[Date]])+IF(MONTH(WTG_BD[[#This Row],[Date]])&gt;=4,1,0)</f>
        <v>2026</v>
      </c>
      <c r="D523" s="31">
        <f>YEAR(IGA_BD[[#This Row],[Date]])</f>
        <v>1900</v>
      </c>
      <c r="E523" s="48">
        <f t="shared" si="10"/>
        <v>1</v>
      </c>
      <c r="F523" s="32"/>
      <c r="G523" s="33"/>
      <c r="H523" s="43" t="str">
        <f>IFERROR(VLOOKUP(IGA_BD[[#This Row],[Affected Feeder ]],'Basic Data'!$A$42:$E$53,2,0),"")</f>
        <v/>
      </c>
      <c r="I523" s="43" t="str">
        <f>IFERROR(VLOOKUP(IGA_BD[[#This Row],[Affected Feeder ]],'Basic Data'!$A$42:$E$53,3,0),"")</f>
        <v/>
      </c>
      <c r="J523" s="43" t="str">
        <f>IFERROR(VLOOKUP(IGA_BD[[#This Row],[Affected Feeder ]],'Basic Data'!$A$42:$E$53,5,0),"")</f>
        <v/>
      </c>
      <c r="K523" s="164"/>
      <c r="L523" s="50"/>
      <c r="M523" s="116"/>
      <c r="N523" s="116"/>
      <c r="O523" s="57">
        <f>(IGA_BD[[#This Row],[Work Start TimeStamp]]-IGA_BD[[#This Row],[Fault Start TimeStamp]])*24</f>
        <v>0</v>
      </c>
      <c r="P523" s="44" t="str">
        <f>IF(IGA_BD[[#This Row],[Work Start TimeStamp]]="","",(IGA_BD[[#This Row],[Fault Clearance time]]-IGA_BD[[#This Row],[Work Start TimeStamp]])*24)</f>
        <v/>
      </c>
      <c r="Q523" s="57">
        <f>(IGA_BD[[#This Row],[Fault Clearance time]]-IGA_BD[[#This Row],[Fault Start TimeStamp]])*24</f>
        <v>0</v>
      </c>
      <c r="R523" s="153"/>
      <c r="S523" s="44"/>
      <c r="T523" s="45" t="str">
        <f>IFERROR(IGA_BD[[#This Row],[Breakdown Time]]*IGA_BD[[#This Row],[Plant Equivalent Weightage]],"")</f>
        <v/>
      </c>
    </row>
    <row r="524" spans="1:20">
      <c r="A524" s="28"/>
      <c r="B524" s="154"/>
      <c r="C524" s="30">
        <f>YEAR(WTG_BD[[#This Row],[Date]])+IF(MONTH(WTG_BD[[#This Row],[Date]])&gt;=4,1,0)</f>
        <v>2026</v>
      </c>
      <c r="D524" s="31">
        <f>YEAR(IGA_BD[[#This Row],[Date]])</f>
        <v>1900</v>
      </c>
      <c r="E524" s="48">
        <f t="shared" si="10"/>
        <v>1</v>
      </c>
      <c r="F524" s="32"/>
      <c r="G524" s="33"/>
      <c r="H524" s="43" t="str">
        <f>IFERROR(VLOOKUP(IGA_BD[[#This Row],[Affected Feeder ]],'Basic Data'!$A$42:$E$53,2,0),"")</f>
        <v/>
      </c>
      <c r="I524" s="43" t="str">
        <f>IFERROR(VLOOKUP(IGA_BD[[#This Row],[Affected Feeder ]],'Basic Data'!$A$42:$E$53,3,0),"")</f>
        <v/>
      </c>
      <c r="J524" s="43" t="str">
        <f>IFERROR(VLOOKUP(IGA_BD[[#This Row],[Affected Feeder ]],'Basic Data'!$A$42:$E$53,5,0),"")</f>
        <v/>
      </c>
      <c r="K524" s="164"/>
      <c r="L524" s="50"/>
      <c r="M524" s="116"/>
      <c r="N524" s="116"/>
      <c r="O524" s="57">
        <f>(IGA_BD[[#This Row],[Work Start TimeStamp]]-IGA_BD[[#This Row],[Fault Start TimeStamp]])*24</f>
        <v>0</v>
      </c>
      <c r="P524" s="44" t="str">
        <f>IF(IGA_BD[[#This Row],[Work Start TimeStamp]]="","",(IGA_BD[[#This Row],[Fault Clearance time]]-IGA_BD[[#This Row],[Work Start TimeStamp]])*24)</f>
        <v/>
      </c>
      <c r="Q524" s="57">
        <f>(IGA_BD[[#This Row],[Fault Clearance time]]-IGA_BD[[#This Row],[Fault Start TimeStamp]])*24</f>
        <v>0</v>
      </c>
      <c r="R524" s="153"/>
      <c r="S524" s="44"/>
      <c r="T524" s="45" t="str">
        <f>IFERROR(IGA_BD[[#This Row],[Breakdown Time]]*IGA_BD[[#This Row],[Plant Equivalent Weightage]],"")</f>
        <v/>
      </c>
    </row>
    <row r="525" spans="1:20">
      <c r="A525" s="28"/>
      <c r="B525" s="154"/>
      <c r="C525" s="30">
        <f>YEAR(WTG_BD[[#This Row],[Date]])+IF(MONTH(WTG_BD[[#This Row],[Date]])&gt;=4,1,0)</f>
        <v>2026</v>
      </c>
      <c r="D525" s="31">
        <f>YEAR(IGA_BD[[#This Row],[Date]])</f>
        <v>1900</v>
      </c>
      <c r="E525" s="48">
        <f t="shared" si="10"/>
        <v>1</v>
      </c>
      <c r="F525" s="32"/>
      <c r="G525" s="33"/>
      <c r="H525" s="43" t="str">
        <f>IFERROR(VLOOKUP(IGA_BD[[#This Row],[Affected Feeder ]],'Basic Data'!$A$42:$E$53,2,0),"")</f>
        <v/>
      </c>
      <c r="I525" s="43" t="str">
        <f>IFERROR(VLOOKUP(IGA_BD[[#This Row],[Affected Feeder ]],'Basic Data'!$A$42:$E$53,3,0),"")</f>
        <v/>
      </c>
      <c r="J525" s="43" t="str">
        <f>IFERROR(VLOOKUP(IGA_BD[[#This Row],[Affected Feeder ]],'Basic Data'!$A$42:$E$53,5,0),"")</f>
        <v/>
      </c>
      <c r="K525" s="164"/>
      <c r="L525" s="50"/>
      <c r="M525" s="116"/>
      <c r="N525" s="116"/>
      <c r="O525" s="57">
        <f>(IGA_BD[[#This Row],[Work Start TimeStamp]]-IGA_BD[[#This Row],[Fault Start TimeStamp]])*24</f>
        <v>0</v>
      </c>
      <c r="P525" s="44" t="str">
        <f>IF(IGA_BD[[#This Row],[Work Start TimeStamp]]="","",(IGA_BD[[#This Row],[Fault Clearance time]]-IGA_BD[[#This Row],[Work Start TimeStamp]])*24)</f>
        <v/>
      </c>
      <c r="Q525" s="57">
        <f>(IGA_BD[[#This Row],[Fault Clearance time]]-IGA_BD[[#This Row],[Fault Start TimeStamp]])*24</f>
        <v>0</v>
      </c>
      <c r="R525" s="153"/>
      <c r="S525" s="44"/>
      <c r="T525" s="45" t="str">
        <f>IFERROR(IGA_BD[[#This Row],[Breakdown Time]]*IGA_BD[[#This Row],[Plant Equivalent Weightage]],"")</f>
        <v/>
      </c>
    </row>
    <row r="526" spans="1:20">
      <c r="A526" s="28"/>
      <c r="B526" s="154"/>
      <c r="C526" s="30">
        <f>YEAR(WTG_BD[[#This Row],[Date]])+IF(MONTH(WTG_BD[[#This Row],[Date]])&gt;=4,1,0)</f>
        <v>2026</v>
      </c>
      <c r="D526" s="31">
        <f>YEAR(IGA_BD[[#This Row],[Date]])</f>
        <v>1900</v>
      </c>
      <c r="E526" s="48">
        <f t="shared" si="10"/>
        <v>1</v>
      </c>
      <c r="F526" s="32"/>
      <c r="G526" s="33"/>
      <c r="H526" s="43" t="str">
        <f>IFERROR(VLOOKUP(IGA_BD[[#This Row],[Affected Feeder ]],'Basic Data'!$A$42:$E$53,2,0),"")</f>
        <v/>
      </c>
      <c r="I526" s="43" t="str">
        <f>IFERROR(VLOOKUP(IGA_BD[[#This Row],[Affected Feeder ]],'Basic Data'!$A$42:$E$53,3,0),"")</f>
        <v/>
      </c>
      <c r="J526" s="43" t="str">
        <f>IFERROR(VLOOKUP(IGA_BD[[#This Row],[Affected Feeder ]],'Basic Data'!$A$42:$E$53,5,0),"")</f>
        <v/>
      </c>
      <c r="K526" s="164"/>
      <c r="L526" s="50"/>
      <c r="M526" s="116"/>
      <c r="N526" s="116"/>
      <c r="O526" s="57">
        <f>(IGA_BD[[#This Row],[Work Start TimeStamp]]-IGA_BD[[#This Row],[Fault Start TimeStamp]])*24</f>
        <v>0</v>
      </c>
      <c r="P526" s="44" t="str">
        <f>IF(IGA_BD[[#This Row],[Work Start TimeStamp]]="","",(IGA_BD[[#This Row],[Fault Clearance time]]-IGA_BD[[#This Row],[Work Start TimeStamp]])*24)</f>
        <v/>
      </c>
      <c r="Q526" s="57">
        <f>(IGA_BD[[#This Row],[Fault Clearance time]]-IGA_BD[[#This Row],[Fault Start TimeStamp]])*24</f>
        <v>0</v>
      </c>
      <c r="R526" s="153"/>
      <c r="S526" s="44"/>
      <c r="T526" s="45" t="str">
        <f>IFERROR(IGA_BD[[#This Row],[Breakdown Time]]*IGA_BD[[#This Row],[Plant Equivalent Weightage]],"")</f>
        <v/>
      </c>
    </row>
    <row r="527" spans="1:20">
      <c r="A527" s="28"/>
      <c r="B527" s="154"/>
      <c r="C527" s="30">
        <f>YEAR(WTG_BD[[#This Row],[Date]])+IF(MONTH(WTG_BD[[#This Row],[Date]])&gt;=4,1,0)</f>
        <v>2026</v>
      </c>
      <c r="D527" s="31">
        <f>YEAR(IGA_BD[[#This Row],[Date]])</f>
        <v>1900</v>
      </c>
      <c r="E527" s="48">
        <f t="shared" si="10"/>
        <v>1</v>
      </c>
      <c r="F527" s="32"/>
      <c r="G527" s="33"/>
      <c r="H527" s="43" t="str">
        <f>IFERROR(VLOOKUP(IGA_BD[[#This Row],[Affected Feeder ]],'Basic Data'!$A$42:$E$53,2,0),"")</f>
        <v/>
      </c>
      <c r="I527" s="43" t="str">
        <f>IFERROR(VLOOKUP(IGA_BD[[#This Row],[Affected Feeder ]],'Basic Data'!$A$42:$E$53,3,0),"")</f>
        <v/>
      </c>
      <c r="J527" s="43" t="str">
        <f>IFERROR(VLOOKUP(IGA_BD[[#This Row],[Affected Feeder ]],'Basic Data'!$A$42:$E$53,5,0),"")</f>
        <v/>
      </c>
      <c r="K527" s="164"/>
      <c r="L527" s="50"/>
      <c r="M527" s="116"/>
      <c r="N527" s="116"/>
      <c r="O527" s="57">
        <f>(IGA_BD[[#This Row],[Work Start TimeStamp]]-IGA_BD[[#This Row],[Fault Start TimeStamp]])*24</f>
        <v>0</v>
      </c>
      <c r="P527" s="44" t="str">
        <f>IF(IGA_BD[[#This Row],[Work Start TimeStamp]]="","",(IGA_BD[[#This Row],[Fault Clearance time]]-IGA_BD[[#This Row],[Work Start TimeStamp]])*24)</f>
        <v/>
      </c>
      <c r="Q527" s="57">
        <f>(IGA_BD[[#This Row],[Fault Clearance time]]-IGA_BD[[#This Row],[Fault Start TimeStamp]])*24</f>
        <v>0</v>
      </c>
      <c r="R527" s="153"/>
      <c r="S527" s="44"/>
      <c r="T527" s="45" t="str">
        <f>IFERROR(IGA_BD[[#This Row],[Breakdown Time]]*IGA_BD[[#This Row],[Plant Equivalent Weightage]],"")</f>
        <v/>
      </c>
    </row>
    <row r="528" spans="1:20">
      <c r="A528" s="28"/>
      <c r="B528" s="154"/>
      <c r="C528" s="30">
        <f>YEAR(WTG_BD[[#This Row],[Date]])+IF(MONTH(WTG_BD[[#This Row],[Date]])&gt;=4,1,0)</f>
        <v>2026</v>
      </c>
      <c r="D528" s="31">
        <f>YEAR(IGA_BD[[#This Row],[Date]])</f>
        <v>1900</v>
      </c>
      <c r="E528" s="48">
        <f t="shared" si="10"/>
        <v>1</v>
      </c>
      <c r="F528" s="32"/>
      <c r="G528" s="33"/>
      <c r="H528" s="43" t="str">
        <f>IFERROR(VLOOKUP(IGA_BD[[#This Row],[Affected Feeder ]],'Basic Data'!$A$42:$E$53,2,0),"")</f>
        <v/>
      </c>
      <c r="I528" s="43" t="str">
        <f>IFERROR(VLOOKUP(IGA_BD[[#This Row],[Affected Feeder ]],'Basic Data'!$A$42:$E$53,3,0),"")</f>
        <v/>
      </c>
      <c r="J528" s="43" t="str">
        <f>IFERROR(VLOOKUP(IGA_BD[[#This Row],[Affected Feeder ]],'Basic Data'!$A$42:$E$53,5,0),"")</f>
        <v/>
      </c>
      <c r="K528" s="164"/>
      <c r="L528" s="50"/>
      <c r="M528" s="116"/>
      <c r="N528" s="116"/>
      <c r="O528" s="57">
        <f>(IGA_BD[[#This Row],[Work Start TimeStamp]]-IGA_BD[[#This Row],[Fault Start TimeStamp]])*24</f>
        <v>0</v>
      </c>
      <c r="P528" s="44" t="str">
        <f>IF(IGA_BD[[#This Row],[Work Start TimeStamp]]="","",(IGA_BD[[#This Row],[Fault Clearance time]]-IGA_BD[[#This Row],[Work Start TimeStamp]])*24)</f>
        <v/>
      </c>
      <c r="Q528" s="57">
        <f>(IGA_BD[[#This Row],[Fault Clearance time]]-IGA_BD[[#This Row],[Fault Start TimeStamp]])*24</f>
        <v>0</v>
      </c>
      <c r="R528" s="153"/>
      <c r="S528" s="44"/>
      <c r="T528" s="45" t="str">
        <f>IFERROR(IGA_BD[[#This Row],[Breakdown Time]]*IGA_BD[[#This Row],[Plant Equivalent Weightage]],"")</f>
        <v/>
      </c>
    </row>
    <row r="529" spans="1:20">
      <c r="A529" s="28"/>
      <c r="B529" s="154"/>
      <c r="C529" s="30">
        <f>YEAR(WTG_BD[[#This Row],[Date]])+IF(MONTH(WTG_BD[[#This Row],[Date]])&gt;=4,1,0)</f>
        <v>2026</v>
      </c>
      <c r="D529" s="31">
        <f>YEAR(IGA_BD[[#This Row],[Date]])</f>
        <v>1900</v>
      </c>
      <c r="E529" s="48">
        <f t="shared" si="10"/>
        <v>1</v>
      </c>
      <c r="F529" s="32"/>
      <c r="G529" s="33"/>
      <c r="H529" s="43" t="str">
        <f>IFERROR(VLOOKUP(IGA_BD[[#This Row],[Affected Feeder ]],'Basic Data'!$A$42:$E$53,2,0),"")</f>
        <v/>
      </c>
      <c r="I529" s="43" t="str">
        <f>IFERROR(VLOOKUP(IGA_BD[[#This Row],[Affected Feeder ]],'Basic Data'!$A$42:$E$53,3,0),"")</f>
        <v/>
      </c>
      <c r="J529" s="43" t="str">
        <f>IFERROR(VLOOKUP(IGA_BD[[#This Row],[Affected Feeder ]],'Basic Data'!$A$42:$E$53,5,0),"")</f>
        <v/>
      </c>
      <c r="K529" s="164"/>
      <c r="L529" s="50"/>
      <c r="M529" s="116"/>
      <c r="N529" s="116"/>
      <c r="O529" s="57">
        <f>(IGA_BD[[#This Row],[Work Start TimeStamp]]-IGA_BD[[#This Row],[Fault Start TimeStamp]])*24</f>
        <v>0</v>
      </c>
      <c r="P529" s="44" t="str">
        <f>IF(IGA_BD[[#This Row],[Work Start TimeStamp]]="","",(IGA_BD[[#This Row],[Fault Clearance time]]-IGA_BD[[#This Row],[Work Start TimeStamp]])*24)</f>
        <v/>
      </c>
      <c r="Q529" s="57">
        <f>(IGA_BD[[#This Row],[Fault Clearance time]]-IGA_BD[[#This Row],[Fault Start TimeStamp]])*24</f>
        <v>0</v>
      </c>
      <c r="R529" s="153"/>
      <c r="S529" s="44"/>
      <c r="T529" s="45" t="str">
        <f>IFERROR(IGA_BD[[#This Row],[Breakdown Time]]*IGA_BD[[#This Row],[Plant Equivalent Weightage]],"")</f>
        <v/>
      </c>
    </row>
    <row r="530" spans="1:20">
      <c r="A530" s="28"/>
      <c r="B530" s="154"/>
      <c r="C530" s="30">
        <f>YEAR(WTG_BD[[#This Row],[Date]])+IF(MONTH(WTG_BD[[#This Row],[Date]])&gt;=4,1,0)</f>
        <v>2026</v>
      </c>
      <c r="D530" s="31">
        <f>YEAR(IGA_BD[[#This Row],[Date]])</f>
        <v>1900</v>
      </c>
      <c r="E530" s="48">
        <f t="shared" si="10"/>
        <v>1</v>
      </c>
      <c r="F530" s="32"/>
      <c r="G530" s="33"/>
      <c r="H530" s="43" t="str">
        <f>IFERROR(VLOOKUP(IGA_BD[[#This Row],[Affected Feeder ]],'Basic Data'!$A$42:$E$53,2,0),"")</f>
        <v/>
      </c>
      <c r="I530" s="43" t="str">
        <f>IFERROR(VLOOKUP(IGA_BD[[#This Row],[Affected Feeder ]],'Basic Data'!$A$42:$E$53,3,0),"")</f>
        <v/>
      </c>
      <c r="J530" s="43" t="str">
        <f>IFERROR(VLOOKUP(IGA_BD[[#This Row],[Affected Feeder ]],'Basic Data'!$A$42:$E$53,5,0),"")</f>
        <v/>
      </c>
      <c r="K530" s="164"/>
      <c r="L530" s="50"/>
      <c r="M530" s="116"/>
      <c r="N530" s="116"/>
      <c r="O530" s="57">
        <f>(IGA_BD[[#This Row],[Work Start TimeStamp]]-IGA_BD[[#This Row],[Fault Start TimeStamp]])*24</f>
        <v>0</v>
      </c>
      <c r="P530" s="44" t="str">
        <f>IF(IGA_BD[[#This Row],[Work Start TimeStamp]]="","",(IGA_BD[[#This Row],[Fault Clearance time]]-IGA_BD[[#This Row],[Work Start TimeStamp]])*24)</f>
        <v/>
      </c>
      <c r="Q530" s="57">
        <f>(IGA_BD[[#This Row],[Fault Clearance time]]-IGA_BD[[#This Row],[Fault Start TimeStamp]])*24</f>
        <v>0</v>
      </c>
      <c r="R530" s="153"/>
      <c r="S530" s="44"/>
      <c r="T530" s="45" t="str">
        <f>IFERROR(IGA_BD[[#This Row],[Breakdown Time]]*IGA_BD[[#This Row],[Plant Equivalent Weightage]],"")</f>
        <v/>
      </c>
    </row>
    <row r="531" spans="1:20">
      <c r="A531" s="28"/>
      <c r="B531" s="154"/>
      <c r="C531" s="30">
        <f>YEAR(WTG_BD[[#This Row],[Date]])+IF(MONTH(WTG_BD[[#This Row],[Date]])&gt;=4,1,0)</f>
        <v>2026</v>
      </c>
      <c r="D531" s="31">
        <f>YEAR(IGA_BD[[#This Row],[Date]])</f>
        <v>1900</v>
      </c>
      <c r="E531" s="48">
        <f t="shared" si="10"/>
        <v>1</v>
      </c>
      <c r="F531" s="32"/>
      <c r="G531" s="33"/>
      <c r="H531" s="43" t="str">
        <f>IFERROR(VLOOKUP(IGA_BD[[#This Row],[Affected Feeder ]],'Basic Data'!$A$42:$E$53,2,0),"")</f>
        <v/>
      </c>
      <c r="I531" s="43" t="str">
        <f>IFERROR(VLOOKUP(IGA_BD[[#This Row],[Affected Feeder ]],'Basic Data'!$A$42:$E$53,3,0),"")</f>
        <v/>
      </c>
      <c r="J531" s="43" t="str">
        <f>IFERROR(VLOOKUP(IGA_BD[[#This Row],[Affected Feeder ]],'Basic Data'!$A$42:$E$53,5,0),"")</f>
        <v/>
      </c>
      <c r="K531" s="164"/>
      <c r="L531" s="50"/>
      <c r="M531" s="116"/>
      <c r="N531" s="116"/>
      <c r="O531" s="57">
        <f>(IGA_BD[[#This Row],[Work Start TimeStamp]]-IGA_BD[[#This Row],[Fault Start TimeStamp]])*24</f>
        <v>0</v>
      </c>
      <c r="P531" s="44" t="str">
        <f>IF(IGA_BD[[#This Row],[Work Start TimeStamp]]="","",(IGA_BD[[#This Row],[Fault Clearance time]]-IGA_BD[[#This Row],[Work Start TimeStamp]])*24)</f>
        <v/>
      </c>
      <c r="Q531" s="57">
        <f>(IGA_BD[[#This Row],[Fault Clearance time]]-IGA_BD[[#This Row],[Fault Start TimeStamp]])*24</f>
        <v>0</v>
      </c>
      <c r="R531" s="153"/>
      <c r="S531" s="44"/>
      <c r="T531" s="45" t="str">
        <f>IFERROR(IGA_BD[[#This Row],[Breakdown Time]]*IGA_BD[[#This Row],[Plant Equivalent Weightage]],"")</f>
        <v/>
      </c>
    </row>
    <row r="532" spans="1:20">
      <c r="A532" s="28"/>
      <c r="B532" s="154"/>
      <c r="C532" s="30">
        <f>YEAR(WTG_BD[[#This Row],[Date]])+IF(MONTH(WTG_BD[[#This Row],[Date]])&gt;=4,1,0)</f>
        <v>2026</v>
      </c>
      <c r="D532" s="31">
        <f>YEAR(IGA_BD[[#This Row],[Date]])</f>
        <v>1900</v>
      </c>
      <c r="E532" s="48">
        <f t="shared" si="10"/>
        <v>1</v>
      </c>
      <c r="F532" s="32"/>
      <c r="G532" s="33"/>
      <c r="H532" s="43" t="str">
        <f>IFERROR(VLOOKUP(IGA_BD[[#This Row],[Affected Feeder ]],'Basic Data'!$A$42:$E$53,2,0),"")</f>
        <v/>
      </c>
      <c r="I532" s="43" t="str">
        <f>IFERROR(VLOOKUP(IGA_BD[[#This Row],[Affected Feeder ]],'Basic Data'!$A$42:$E$53,3,0),"")</f>
        <v/>
      </c>
      <c r="J532" s="43" t="str">
        <f>IFERROR(VLOOKUP(IGA_BD[[#This Row],[Affected Feeder ]],'Basic Data'!$A$42:$E$53,5,0),"")</f>
        <v/>
      </c>
      <c r="K532" s="164"/>
      <c r="L532" s="50"/>
      <c r="M532" s="116"/>
      <c r="N532" s="116"/>
      <c r="O532" s="57">
        <f>(IGA_BD[[#This Row],[Work Start TimeStamp]]-IGA_BD[[#This Row],[Fault Start TimeStamp]])*24</f>
        <v>0</v>
      </c>
      <c r="P532" s="44" t="str">
        <f>IF(IGA_BD[[#This Row],[Work Start TimeStamp]]="","",(IGA_BD[[#This Row],[Fault Clearance time]]-IGA_BD[[#This Row],[Work Start TimeStamp]])*24)</f>
        <v/>
      </c>
      <c r="Q532" s="57">
        <f>(IGA_BD[[#This Row],[Fault Clearance time]]-IGA_BD[[#This Row],[Fault Start TimeStamp]])*24</f>
        <v>0</v>
      </c>
      <c r="R532" s="153"/>
      <c r="S532" s="44"/>
      <c r="T532" s="45" t="str">
        <f>IFERROR(IGA_BD[[#This Row],[Breakdown Time]]*IGA_BD[[#This Row],[Plant Equivalent Weightage]],"")</f>
        <v/>
      </c>
    </row>
    <row r="533" spans="1:20">
      <c r="A533" s="28"/>
      <c r="B533" s="154"/>
      <c r="C533" s="30">
        <f>YEAR(WTG_BD[[#This Row],[Date]])+IF(MONTH(WTG_BD[[#This Row],[Date]])&gt;=4,1,0)</f>
        <v>2026</v>
      </c>
      <c r="D533" s="31">
        <f>YEAR(IGA_BD[[#This Row],[Date]])</f>
        <v>1900</v>
      </c>
      <c r="E533" s="48">
        <f t="shared" si="10"/>
        <v>1</v>
      </c>
      <c r="F533" s="32"/>
      <c r="G533" s="33"/>
      <c r="H533" s="43" t="str">
        <f>IFERROR(VLOOKUP(IGA_BD[[#This Row],[Affected Feeder ]],'Basic Data'!$A$42:$E$53,2,0),"")</f>
        <v/>
      </c>
      <c r="I533" s="43" t="str">
        <f>IFERROR(VLOOKUP(IGA_BD[[#This Row],[Affected Feeder ]],'Basic Data'!$A$42:$E$53,3,0),"")</f>
        <v/>
      </c>
      <c r="J533" s="43" t="str">
        <f>IFERROR(VLOOKUP(IGA_BD[[#This Row],[Affected Feeder ]],'Basic Data'!$A$42:$E$53,5,0),"")</f>
        <v/>
      </c>
      <c r="K533" s="164"/>
      <c r="L533" s="50"/>
      <c r="M533" s="116"/>
      <c r="N533" s="116"/>
      <c r="O533" s="57">
        <f>(IGA_BD[[#This Row],[Work Start TimeStamp]]-IGA_BD[[#This Row],[Fault Start TimeStamp]])*24</f>
        <v>0</v>
      </c>
      <c r="P533" s="44" t="str">
        <f>IF(IGA_BD[[#This Row],[Work Start TimeStamp]]="","",(IGA_BD[[#This Row],[Fault Clearance time]]-IGA_BD[[#This Row],[Work Start TimeStamp]])*24)</f>
        <v/>
      </c>
      <c r="Q533" s="57">
        <f>(IGA_BD[[#This Row],[Fault Clearance time]]-IGA_BD[[#This Row],[Fault Start TimeStamp]])*24</f>
        <v>0</v>
      </c>
      <c r="R533" s="153"/>
      <c r="S533" s="44"/>
      <c r="T533" s="45" t="str">
        <f>IFERROR(IGA_BD[[#This Row],[Breakdown Time]]*IGA_BD[[#This Row],[Plant Equivalent Weightage]],"")</f>
        <v/>
      </c>
    </row>
    <row r="534" spans="1:20">
      <c r="A534" s="28"/>
      <c r="B534" s="154"/>
      <c r="C534" s="30">
        <f>YEAR(WTG_BD[[#This Row],[Date]])+IF(MONTH(WTG_BD[[#This Row],[Date]])&gt;=4,1,0)</f>
        <v>2026</v>
      </c>
      <c r="D534" s="31">
        <f>YEAR(IGA_BD[[#This Row],[Date]])</f>
        <v>1900</v>
      </c>
      <c r="E534" s="48">
        <f t="shared" si="10"/>
        <v>1</v>
      </c>
      <c r="F534" s="32"/>
      <c r="G534" s="33"/>
      <c r="H534" s="43" t="str">
        <f>IFERROR(VLOOKUP(IGA_BD[[#This Row],[Affected Feeder ]],'Basic Data'!$A$42:$E$53,2,0),"")</f>
        <v/>
      </c>
      <c r="I534" s="43" t="str">
        <f>IFERROR(VLOOKUP(IGA_BD[[#This Row],[Affected Feeder ]],'Basic Data'!$A$42:$E$53,3,0),"")</f>
        <v/>
      </c>
      <c r="J534" s="43" t="str">
        <f>IFERROR(VLOOKUP(IGA_BD[[#This Row],[Affected Feeder ]],'Basic Data'!$A$42:$E$53,5,0),"")</f>
        <v/>
      </c>
      <c r="K534" s="164"/>
      <c r="L534" s="50"/>
      <c r="M534" s="116"/>
      <c r="N534" s="116"/>
      <c r="O534" s="57">
        <f>(IGA_BD[[#This Row],[Work Start TimeStamp]]-IGA_BD[[#This Row],[Fault Start TimeStamp]])*24</f>
        <v>0</v>
      </c>
      <c r="P534" s="44" t="str">
        <f>IF(IGA_BD[[#This Row],[Work Start TimeStamp]]="","",(IGA_BD[[#This Row],[Fault Clearance time]]-IGA_BD[[#This Row],[Work Start TimeStamp]])*24)</f>
        <v/>
      </c>
      <c r="Q534" s="57">
        <f>(IGA_BD[[#This Row],[Fault Clearance time]]-IGA_BD[[#This Row],[Fault Start TimeStamp]])*24</f>
        <v>0</v>
      </c>
      <c r="R534" s="153"/>
      <c r="S534" s="44"/>
      <c r="T534" s="45" t="str">
        <f>IFERROR(IGA_BD[[#This Row],[Breakdown Time]]*IGA_BD[[#This Row],[Plant Equivalent Weightage]],"")</f>
        <v/>
      </c>
    </row>
    <row r="535" spans="1:20">
      <c r="A535" s="28"/>
      <c r="B535" s="154"/>
      <c r="C535" s="30">
        <f>YEAR(WTG_BD[[#This Row],[Date]])+IF(MONTH(WTG_BD[[#This Row],[Date]])&gt;=4,1,0)</f>
        <v>2026</v>
      </c>
      <c r="D535" s="31">
        <f>YEAR(IGA_BD[[#This Row],[Date]])</f>
        <v>1900</v>
      </c>
      <c r="E535" s="48">
        <f t="shared" si="10"/>
        <v>1</v>
      </c>
      <c r="F535" s="32"/>
      <c r="G535" s="33"/>
      <c r="H535" s="43" t="str">
        <f>IFERROR(VLOOKUP(IGA_BD[[#This Row],[Affected Feeder ]],'Basic Data'!$A$42:$E$53,2,0),"")</f>
        <v/>
      </c>
      <c r="I535" s="43" t="str">
        <f>IFERROR(VLOOKUP(IGA_BD[[#This Row],[Affected Feeder ]],'Basic Data'!$A$42:$E$53,3,0),"")</f>
        <v/>
      </c>
      <c r="J535" s="43" t="str">
        <f>IFERROR(VLOOKUP(IGA_BD[[#This Row],[Affected Feeder ]],'Basic Data'!$A$42:$E$53,5,0),"")</f>
        <v/>
      </c>
      <c r="K535" s="164"/>
      <c r="L535" s="50"/>
      <c r="M535" s="116"/>
      <c r="N535" s="116"/>
      <c r="O535" s="57">
        <f>(IGA_BD[[#This Row],[Work Start TimeStamp]]-IGA_BD[[#This Row],[Fault Start TimeStamp]])*24</f>
        <v>0</v>
      </c>
      <c r="P535" s="44" t="str">
        <f>IF(IGA_BD[[#This Row],[Work Start TimeStamp]]="","",(IGA_BD[[#This Row],[Fault Clearance time]]-IGA_BD[[#This Row],[Work Start TimeStamp]])*24)</f>
        <v/>
      </c>
      <c r="Q535" s="57">
        <f>(IGA_BD[[#This Row],[Fault Clearance time]]-IGA_BD[[#This Row],[Fault Start TimeStamp]])*24</f>
        <v>0</v>
      </c>
      <c r="R535" s="153"/>
      <c r="S535" s="44"/>
      <c r="T535" s="45" t="str">
        <f>IFERROR(IGA_BD[[#This Row],[Breakdown Time]]*IGA_BD[[#This Row],[Plant Equivalent Weightage]],"")</f>
        <v/>
      </c>
    </row>
    <row r="536" spans="1:20">
      <c r="A536" s="28"/>
      <c r="B536" s="154"/>
      <c r="C536" s="30">
        <f>YEAR(WTG_BD[[#This Row],[Date]])+IF(MONTH(WTG_BD[[#This Row],[Date]])&gt;=4,1,0)</f>
        <v>2026</v>
      </c>
      <c r="D536" s="31">
        <f>YEAR(IGA_BD[[#This Row],[Date]])</f>
        <v>1900</v>
      </c>
      <c r="E536" s="48">
        <f t="shared" si="10"/>
        <v>1</v>
      </c>
      <c r="F536" s="32"/>
      <c r="G536" s="33"/>
      <c r="H536" s="43" t="str">
        <f>IFERROR(VLOOKUP(IGA_BD[[#This Row],[Affected Feeder ]],'Basic Data'!$A$42:$E$53,2,0),"")</f>
        <v/>
      </c>
      <c r="I536" s="43" t="str">
        <f>IFERROR(VLOOKUP(IGA_BD[[#This Row],[Affected Feeder ]],'Basic Data'!$A$42:$E$53,3,0),"")</f>
        <v/>
      </c>
      <c r="J536" s="43" t="str">
        <f>IFERROR(VLOOKUP(IGA_BD[[#This Row],[Affected Feeder ]],'Basic Data'!$A$42:$E$53,5,0),"")</f>
        <v/>
      </c>
      <c r="K536" s="164"/>
      <c r="L536" s="50"/>
      <c r="M536" s="116"/>
      <c r="N536" s="116"/>
      <c r="O536" s="57">
        <f>(IGA_BD[[#This Row],[Work Start TimeStamp]]-IGA_BD[[#This Row],[Fault Start TimeStamp]])*24</f>
        <v>0</v>
      </c>
      <c r="P536" s="44" t="str">
        <f>IF(IGA_BD[[#This Row],[Work Start TimeStamp]]="","",(IGA_BD[[#This Row],[Fault Clearance time]]-IGA_BD[[#This Row],[Work Start TimeStamp]])*24)</f>
        <v/>
      </c>
      <c r="Q536" s="57">
        <f>(IGA_BD[[#This Row],[Fault Clearance time]]-IGA_BD[[#This Row],[Fault Start TimeStamp]])*24</f>
        <v>0</v>
      </c>
      <c r="R536" s="153"/>
      <c r="S536" s="44"/>
      <c r="T536" s="45" t="str">
        <f>IFERROR(IGA_BD[[#This Row],[Breakdown Time]]*IGA_BD[[#This Row],[Plant Equivalent Weightage]],"")</f>
        <v/>
      </c>
    </row>
    <row r="537" spans="1:20">
      <c r="A537" s="28"/>
      <c r="B537" s="154"/>
      <c r="C537" s="30">
        <f>YEAR(WTG_BD[[#This Row],[Date]])+IF(MONTH(WTG_BD[[#This Row],[Date]])&gt;=4,1,0)</f>
        <v>2026</v>
      </c>
      <c r="D537" s="31">
        <f>YEAR(IGA_BD[[#This Row],[Date]])</f>
        <v>1900</v>
      </c>
      <c r="E537" s="48">
        <f t="shared" si="10"/>
        <v>1</v>
      </c>
      <c r="F537" s="32"/>
      <c r="G537" s="33"/>
      <c r="H537" s="43" t="str">
        <f>IFERROR(VLOOKUP(IGA_BD[[#This Row],[Affected Feeder ]],'Basic Data'!$A$42:$E$53,2,0),"")</f>
        <v/>
      </c>
      <c r="I537" s="43" t="str">
        <f>IFERROR(VLOOKUP(IGA_BD[[#This Row],[Affected Feeder ]],'Basic Data'!$A$42:$E$53,3,0),"")</f>
        <v/>
      </c>
      <c r="J537" s="43" t="str">
        <f>IFERROR(VLOOKUP(IGA_BD[[#This Row],[Affected Feeder ]],'Basic Data'!$A$42:$E$53,5,0),"")</f>
        <v/>
      </c>
      <c r="K537" s="164"/>
      <c r="L537" s="50"/>
      <c r="M537" s="116"/>
      <c r="N537" s="116"/>
      <c r="O537" s="57">
        <f>(IGA_BD[[#This Row],[Work Start TimeStamp]]-IGA_BD[[#This Row],[Fault Start TimeStamp]])*24</f>
        <v>0</v>
      </c>
      <c r="P537" s="44" t="str">
        <f>IF(IGA_BD[[#This Row],[Work Start TimeStamp]]="","",(IGA_BD[[#This Row],[Fault Clearance time]]-IGA_BD[[#This Row],[Work Start TimeStamp]])*24)</f>
        <v/>
      </c>
      <c r="Q537" s="57">
        <f>(IGA_BD[[#This Row],[Fault Clearance time]]-IGA_BD[[#This Row],[Fault Start TimeStamp]])*24</f>
        <v>0</v>
      </c>
      <c r="R537" s="153"/>
      <c r="S537" s="44"/>
      <c r="T537" s="45" t="str">
        <f>IFERROR(IGA_BD[[#This Row],[Breakdown Time]]*IGA_BD[[#This Row],[Plant Equivalent Weightage]],"")</f>
        <v/>
      </c>
    </row>
    <row r="538" spans="1:20">
      <c r="A538" s="28"/>
      <c r="B538" s="154"/>
      <c r="C538" s="30">
        <f>YEAR(WTG_BD[[#This Row],[Date]])+IF(MONTH(WTG_BD[[#This Row],[Date]])&gt;=4,1,0)</f>
        <v>2026</v>
      </c>
      <c r="D538" s="31">
        <f>YEAR(IGA_BD[[#This Row],[Date]])</f>
        <v>1900</v>
      </c>
      <c r="E538" s="48">
        <f t="shared" si="10"/>
        <v>1</v>
      </c>
      <c r="F538" s="32"/>
      <c r="G538" s="33"/>
      <c r="H538" s="43" t="str">
        <f>IFERROR(VLOOKUP(IGA_BD[[#This Row],[Affected Feeder ]],'Basic Data'!$A$42:$E$53,2,0),"")</f>
        <v/>
      </c>
      <c r="I538" s="43" t="str">
        <f>IFERROR(VLOOKUP(IGA_BD[[#This Row],[Affected Feeder ]],'Basic Data'!$A$42:$E$53,3,0),"")</f>
        <v/>
      </c>
      <c r="J538" s="43" t="str">
        <f>IFERROR(VLOOKUP(IGA_BD[[#This Row],[Affected Feeder ]],'Basic Data'!$A$42:$E$53,5,0),"")</f>
        <v/>
      </c>
      <c r="K538" s="164"/>
      <c r="L538" s="50"/>
      <c r="M538" s="116"/>
      <c r="N538" s="116"/>
      <c r="O538" s="57">
        <f>(IGA_BD[[#This Row],[Work Start TimeStamp]]-IGA_BD[[#This Row],[Fault Start TimeStamp]])*24</f>
        <v>0</v>
      </c>
      <c r="P538" s="44" t="str">
        <f>IF(IGA_BD[[#This Row],[Work Start TimeStamp]]="","",(IGA_BD[[#This Row],[Fault Clearance time]]-IGA_BD[[#This Row],[Work Start TimeStamp]])*24)</f>
        <v/>
      </c>
      <c r="Q538" s="57">
        <f>(IGA_BD[[#This Row],[Fault Clearance time]]-IGA_BD[[#This Row],[Fault Start TimeStamp]])*24</f>
        <v>0</v>
      </c>
      <c r="R538" s="153"/>
      <c r="S538" s="44"/>
      <c r="T538" s="45" t="str">
        <f>IFERROR(IGA_BD[[#This Row],[Breakdown Time]]*IGA_BD[[#This Row],[Plant Equivalent Weightage]],"")</f>
        <v/>
      </c>
    </row>
    <row r="539" spans="1:20">
      <c r="A539" s="28"/>
      <c r="B539" s="154"/>
      <c r="C539" s="30">
        <f>YEAR(WTG_BD[[#This Row],[Date]])+IF(MONTH(WTG_BD[[#This Row],[Date]])&gt;=4,1,0)</f>
        <v>2026</v>
      </c>
      <c r="D539" s="31">
        <f>YEAR(IGA_BD[[#This Row],[Date]])</f>
        <v>1900</v>
      </c>
      <c r="E539" s="48">
        <f t="shared" si="10"/>
        <v>1</v>
      </c>
      <c r="F539" s="32"/>
      <c r="G539" s="33"/>
      <c r="H539" s="43" t="str">
        <f>IFERROR(VLOOKUP(IGA_BD[[#This Row],[Affected Feeder ]],'Basic Data'!$A$42:$E$53,2,0),"")</f>
        <v/>
      </c>
      <c r="I539" s="43" t="str">
        <f>IFERROR(VLOOKUP(IGA_BD[[#This Row],[Affected Feeder ]],'Basic Data'!$A$42:$E$53,3,0),"")</f>
        <v/>
      </c>
      <c r="J539" s="43" t="str">
        <f>IFERROR(VLOOKUP(IGA_BD[[#This Row],[Affected Feeder ]],'Basic Data'!$A$42:$E$53,5,0),"")</f>
        <v/>
      </c>
      <c r="K539" s="164"/>
      <c r="L539" s="50"/>
      <c r="M539" s="116"/>
      <c r="N539" s="116"/>
      <c r="O539" s="57">
        <f>(IGA_BD[[#This Row],[Work Start TimeStamp]]-IGA_BD[[#This Row],[Fault Start TimeStamp]])*24</f>
        <v>0</v>
      </c>
      <c r="P539" s="44" t="str">
        <f>IF(IGA_BD[[#This Row],[Work Start TimeStamp]]="","",(IGA_BD[[#This Row],[Fault Clearance time]]-IGA_BD[[#This Row],[Work Start TimeStamp]])*24)</f>
        <v/>
      </c>
      <c r="Q539" s="57">
        <f>(IGA_BD[[#This Row],[Fault Clearance time]]-IGA_BD[[#This Row],[Fault Start TimeStamp]])*24</f>
        <v>0</v>
      </c>
      <c r="R539" s="153"/>
      <c r="S539" s="44"/>
      <c r="T539" s="45" t="str">
        <f>IFERROR(IGA_BD[[#This Row],[Breakdown Time]]*IGA_BD[[#This Row],[Plant Equivalent Weightage]],"")</f>
        <v/>
      </c>
    </row>
    <row r="540" spans="1:20">
      <c r="A540" s="28"/>
      <c r="B540" s="154"/>
      <c r="C540" s="30">
        <f>YEAR(WTG_BD[[#This Row],[Date]])+IF(MONTH(WTG_BD[[#This Row],[Date]])&gt;=4,1,0)</f>
        <v>2026</v>
      </c>
      <c r="D540" s="31">
        <f>YEAR(IGA_BD[[#This Row],[Date]])</f>
        <v>1900</v>
      </c>
      <c r="E540" s="48">
        <f t="shared" ref="E540:E603" si="11">B540-DAY(B540)+1</f>
        <v>1</v>
      </c>
      <c r="F540" s="32"/>
      <c r="G540" s="33"/>
      <c r="H540" s="43" t="str">
        <f>IFERROR(VLOOKUP(IGA_BD[[#This Row],[Affected Feeder ]],'Basic Data'!$A$42:$E$53,2,0),"")</f>
        <v/>
      </c>
      <c r="I540" s="43" t="str">
        <f>IFERROR(VLOOKUP(IGA_BD[[#This Row],[Affected Feeder ]],'Basic Data'!$A$42:$E$53,3,0),"")</f>
        <v/>
      </c>
      <c r="J540" s="43" t="str">
        <f>IFERROR(VLOOKUP(IGA_BD[[#This Row],[Affected Feeder ]],'Basic Data'!$A$42:$E$53,5,0),"")</f>
        <v/>
      </c>
      <c r="K540" s="164"/>
      <c r="L540" s="50"/>
      <c r="M540" s="116"/>
      <c r="N540" s="116"/>
      <c r="O540" s="57">
        <f>(IGA_BD[[#This Row],[Work Start TimeStamp]]-IGA_BD[[#This Row],[Fault Start TimeStamp]])*24</f>
        <v>0</v>
      </c>
      <c r="P540" s="44" t="str">
        <f>IF(IGA_BD[[#This Row],[Work Start TimeStamp]]="","",(IGA_BD[[#This Row],[Fault Clearance time]]-IGA_BD[[#This Row],[Work Start TimeStamp]])*24)</f>
        <v/>
      </c>
      <c r="Q540" s="57">
        <f>(IGA_BD[[#This Row],[Fault Clearance time]]-IGA_BD[[#This Row],[Fault Start TimeStamp]])*24</f>
        <v>0</v>
      </c>
      <c r="R540" s="153"/>
      <c r="S540" s="44"/>
      <c r="T540" s="45" t="str">
        <f>IFERROR(IGA_BD[[#This Row],[Breakdown Time]]*IGA_BD[[#This Row],[Plant Equivalent Weightage]],"")</f>
        <v/>
      </c>
    </row>
    <row r="541" spans="1:20">
      <c r="A541" s="28"/>
      <c r="B541" s="154"/>
      <c r="C541" s="30">
        <f>YEAR(WTG_BD[[#This Row],[Date]])+IF(MONTH(WTG_BD[[#This Row],[Date]])&gt;=4,1,0)</f>
        <v>2026</v>
      </c>
      <c r="D541" s="31">
        <f>YEAR(IGA_BD[[#This Row],[Date]])</f>
        <v>1900</v>
      </c>
      <c r="E541" s="48">
        <f t="shared" si="11"/>
        <v>1</v>
      </c>
      <c r="F541" s="32"/>
      <c r="G541" s="33"/>
      <c r="H541" s="43" t="str">
        <f>IFERROR(VLOOKUP(IGA_BD[[#This Row],[Affected Feeder ]],'Basic Data'!$A$42:$E$53,2,0),"")</f>
        <v/>
      </c>
      <c r="I541" s="43" t="str">
        <f>IFERROR(VLOOKUP(IGA_BD[[#This Row],[Affected Feeder ]],'Basic Data'!$A$42:$E$53,3,0),"")</f>
        <v/>
      </c>
      <c r="J541" s="43" t="str">
        <f>IFERROR(VLOOKUP(IGA_BD[[#This Row],[Affected Feeder ]],'Basic Data'!$A$42:$E$53,5,0),"")</f>
        <v/>
      </c>
      <c r="K541" s="164"/>
      <c r="L541" s="50"/>
      <c r="M541" s="116"/>
      <c r="N541" s="116"/>
      <c r="O541" s="57">
        <f>(IGA_BD[[#This Row],[Work Start TimeStamp]]-IGA_BD[[#This Row],[Fault Start TimeStamp]])*24</f>
        <v>0</v>
      </c>
      <c r="P541" s="44" t="str">
        <f>IF(IGA_BD[[#This Row],[Work Start TimeStamp]]="","",(IGA_BD[[#This Row],[Fault Clearance time]]-IGA_BD[[#This Row],[Work Start TimeStamp]])*24)</f>
        <v/>
      </c>
      <c r="Q541" s="57">
        <f>(IGA_BD[[#This Row],[Fault Clearance time]]-IGA_BD[[#This Row],[Fault Start TimeStamp]])*24</f>
        <v>0</v>
      </c>
      <c r="R541" s="153"/>
      <c r="S541" s="44"/>
      <c r="T541" s="45" t="str">
        <f>IFERROR(IGA_BD[[#This Row],[Breakdown Time]]*IGA_BD[[#This Row],[Plant Equivalent Weightage]],"")</f>
        <v/>
      </c>
    </row>
    <row r="542" spans="1:20">
      <c r="A542" s="28"/>
      <c r="B542" s="154"/>
      <c r="C542" s="30">
        <f>YEAR(WTG_BD[[#This Row],[Date]])+IF(MONTH(WTG_BD[[#This Row],[Date]])&gt;=4,1,0)</f>
        <v>2026</v>
      </c>
      <c r="D542" s="31">
        <f>YEAR(IGA_BD[[#This Row],[Date]])</f>
        <v>1900</v>
      </c>
      <c r="E542" s="48">
        <f t="shared" si="11"/>
        <v>1</v>
      </c>
      <c r="F542" s="32"/>
      <c r="G542" s="33"/>
      <c r="H542" s="43" t="str">
        <f>IFERROR(VLOOKUP(IGA_BD[[#This Row],[Affected Feeder ]],'Basic Data'!$A$42:$E$53,2,0),"")</f>
        <v/>
      </c>
      <c r="I542" s="43" t="str">
        <f>IFERROR(VLOOKUP(IGA_BD[[#This Row],[Affected Feeder ]],'Basic Data'!$A$42:$E$53,3,0),"")</f>
        <v/>
      </c>
      <c r="J542" s="43" t="str">
        <f>IFERROR(VLOOKUP(IGA_BD[[#This Row],[Affected Feeder ]],'Basic Data'!$A$42:$E$53,5,0),"")</f>
        <v/>
      </c>
      <c r="K542" s="164"/>
      <c r="L542" s="50"/>
      <c r="M542" s="116"/>
      <c r="N542" s="116"/>
      <c r="O542" s="57">
        <f>(IGA_BD[[#This Row],[Work Start TimeStamp]]-IGA_BD[[#This Row],[Fault Start TimeStamp]])*24</f>
        <v>0</v>
      </c>
      <c r="P542" s="44" t="str">
        <f>IF(IGA_BD[[#This Row],[Work Start TimeStamp]]="","",(IGA_BD[[#This Row],[Fault Clearance time]]-IGA_BD[[#This Row],[Work Start TimeStamp]])*24)</f>
        <v/>
      </c>
      <c r="Q542" s="57">
        <f>(IGA_BD[[#This Row],[Fault Clearance time]]-IGA_BD[[#This Row],[Fault Start TimeStamp]])*24</f>
        <v>0</v>
      </c>
      <c r="R542" s="153"/>
      <c r="S542" s="44"/>
      <c r="T542" s="45" t="str">
        <f>IFERROR(IGA_BD[[#This Row],[Breakdown Time]]*IGA_BD[[#This Row],[Plant Equivalent Weightage]],"")</f>
        <v/>
      </c>
    </row>
    <row r="543" spans="1:20">
      <c r="A543" s="28"/>
      <c r="B543" s="154"/>
      <c r="C543" s="30">
        <f>YEAR(WTG_BD[[#This Row],[Date]])+IF(MONTH(WTG_BD[[#This Row],[Date]])&gt;=4,1,0)</f>
        <v>2026</v>
      </c>
      <c r="D543" s="31">
        <f>YEAR(IGA_BD[[#This Row],[Date]])</f>
        <v>1900</v>
      </c>
      <c r="E543" s="48">
        <f t="shared" si="11"/>
        <v>1</v>
      </c>
      <c r="F543" s="32"/>
      <c r="G543" s="33"/>
      <c r="H543" s="43" t="str">
        <f>IFERROR(VLOOKUP(IGA_BD[[#This Row],[Affected Feeder ]],'Basic Data'!$A$42:$E$53,2,0),"")</f>
        <v/>
      </c>
      <c r="I543" s="43" t="str">
        <f>IFERROR(VLOOKUP(IGA_BD[[#This Row],[Affected Feeder ]],'Basic Data'!$A$42:$E$53,3,0),"")</f>
        <v/>
      </c>
      <c r="J543" s="43" t="str">
        <f>IFERROR(VLOOKUP(IGA_BD[[#This Row],[Affected Feeder ]],'Basic Data'!$A$42:$E$53,5,0),"")</f>
        <v/>
      </c>
      <c r="K543" s="164"/>
      <c r="L543" s="50"/>
      <c r="M543" s="116"/>
      <c r="N543" s="116"/>
      <c r="O543" s="57">
        <f>(IGA_BD[[#This Row],[Work Start TimeStamp]]-IGA_BD[[#This Row],[Fault Start TimeStamp]])*24</f>
        <v>0</v>
      </c>
      <c r="P543" s="44" t="str">
        <f>IF(IGA_BD[[#This Row],[Work Start TimeStamp]]="","",(IGA_BD[[#This Row],[Fault Clearance time]]-IGA_BD[[#This Row],[Work Start TimeStamp]])*24)</f>
        <v/>
      </c>
      <c r="Q543" s="57">
        <f>(IGA_BD[[#This Row],[Fault Clearance time]]-IGA_BD[[#This Row],[Fault Start TimeStamp]])*24</f>
        <v>0</v>
      </c>
      <c r="R543" s="153"/>
      <c r="S543" s="44"/>
      <c r="T543" s="45" t="str">
        <f>IFERROR(IGA_BD[[#This Row],[Breakdown Time]]*IGA_BD[[#This Row],[Plant Equivalent Weightage]],"")</f>
        <v/>
      </c>
    </row>
    <row r="544" spans="1:20">
      <c r="A544" s="28"/>
      <c r="B544" s="154"/>
      <c r="C544" s="30">
        <f>YEAR(WTG_BD[[#This Row],[Date]])+IF(MONTH(WTG_BD[[#This Row],[Date]])&gt;=4,1,0)</f>
        <v>2026</v>
      </c>
      <c r="D544" s="31">
        <f>YEAR(IGA_BD[[#This Row],[Date]])</f>
        <v>1900</v>
      </c>
      <c r="E544" s="48">
        <f t="shared" si="11"/>
        <v>1</v>
      </c>
      <c r="F544" s="32"/>
      <c r="G544" s="33"/>
      <c r="H544" s="43" t="str">
        <f>IFERROR(VLOOKUP(IGA_BD[[#This Row],[Affected Feeder ]],'Basic Data'!$A$42:$E$53,2,0),"")</f>
        <v/>
      </c>
      <c r="I544" s="43" t="str">
        <f>IFERROR(VLOOKUP(IGA_BD[[#This Row],[Affected Feeder ]],'Basic Data'!$A$42:$E$53,3,0),"")</f>
        <v/>
      </c>
      <c r="J544" s="43" t="str">
        <f>IFERROR(VLOOKUP(IGA_BD[[#This Row],[Affected Feeder ]],'Basic Data'!$A$42:$E$53,5,0),"")</f>
        <v/>
      </c>
      <c r="K544" s="164"/>
      <c r="L544" s="50"/>
      <c r="M544" s="116"/>
      <c r="N544" s="116"/>
      <c r="O544" s="57">
        <f>(IGA_BD[[#This Row],[Work Start TimeStamp]]-IGA_BD[[#This Row],[Fault Start TimeStamp]])*24</f>
        <v>0</v>
      </c>
      <c r="P544" s="44" t="str">
        <f>IF(IGA_BD[[#This Row],[Work Start TimeStamp]]="","",(IGA_BD[[#This Row],[Fault Clearance time]]-IGA_BD[[#This Row],[Work Start TimeStamp]])*24)</f>
        <v/>
      </c>
      <c r="Q544" s="57">
        <f>(IGA_BD[[#This Row],[Fault Clearance time]]-IGA_BD[[#This Row],[Fault Start TimeStamp]])*24</f>
        <v>0</v>
      </c>
      <c r="R544" s="153"/>
      <c r="S544" s="44"/>
      <c r="T544" s="45" t="str">
        <f>IFERROR(IGA_BD[[#This Row],[Breakdown Time]]*IGA_BD[[#This Row],[Plant Equivalent Weightage]],"")</f>
        <v/>
      </c>
    </row>
    <row r="545" spans="1:20">
      <c r="A545" s="28"/>
      <c r="B545" s="154"/>
      <c r="C545" s="30">
        <f>YEAR(WTG_BD[[#This Row],[Date]])+IF(MONTH(WTG_BD[[#This Row],[Date]])&gt;=4,1,0)</f>
        <v>2026</v>
      </c>
      <c r="D545" s="31">
        <f>YEAR(IGA_BD[[#This Row],[Date]])</f>
        <v>1900</v>
      </c>
      <c r="E545" s="48">
        <f t="shared" si="11"/>
        <v>1</v>
      </c>
      <c r="F545" s="32"/>
      <c r="G545" s="33"/>
      <c r="H545" s="43" t="str">
        <f>IFERROR(VLOOKUP(IGA_BD[[#This Row],[Affected Feeder ]],'Basic Data'!$A$42:$E$53,2,0),"")</f>
        <v/>
      </c>
      <c r="I545" s="43" t="str">
        <f>IFERROR(VLOOKUP(IGA_BD[[#This Row],[Affected Feeder ]],'Basic Data'!$A$42:$E$53,3,0),"")</f>
        <v/>
      </c>
      <c r="J545" s="43" t="str">
        <f>IFERROR(VLOOKUP(IGA_BD[[#This Row],[Affected Feeder ]],'Basic Data'!$A$42:$E$53,5,0),"")</f>
        <v/>
      </c>
      <c r="K545" s="164"/>
      <c r="L545" s="50"/>
      <c r="M545" s="116"/>
      <c r="N545" s="116"/>
      <c r="O545" s="57">
        <f>(IGA_BD[[#This Row],[Work Start TimeStamp]]-IGA_BD[[#This Row],[Fault Start TimeStamp]])*24</f>
        <v>0</v>
      </c>
      <c r="P545" s="44" t="str">
        <f>IF(IGA_BD[[#This Row],[Work Start TimeStamp]]="","",(IGA_BD[[#This Row],[Fault Clearance time]]-IGA_BD[[#This Row],[Work Start TimeStamp]])*24)</f>
        <v/>
      </c>
      <c r="Q545" s="57">
        <f>(IGA_BD[[#This Row],[Fault Clearance time]]-IGA_BD[[#This Row],[Fault Start TimeStamp]])*24</f>
        <v>0</v>
      </c>
      <c r="R545" s="153"/>
      <c r="S545" s="44"/>
      <c r="T545" s="45" t="str">
        <f>IFERROR(IGA_BD[[#This Row],[Breakdown Time]]*IGA_BD[[#This Row],[Plant Equivalent Weightage]],"")</f>
        <v/>
      </c>
    </row>
    <row r="546" spans="1:20">
      <c r="A546" s="28"/>
      <c r="B546" s="154"/>
      <c r="C546" s="30">
        <f>YEAR(WTG_BD[[#This Row],[Date]])+IF(MONTH(WTG_BD[[#This Row],[Date]])&gt;=4,1,0)</f>
        <v>2026</v>
      </c>
      <c r="D546" s="31">
        <f>YEAR(IGA_BD[[#This Row],[Date]])</f>
        <v>1900</v>
      </c>
      <c r="E546" s="48">
        <f t="shared" si="11"/>
        <v>1</v>
      </c>
      <c r="F546" s="32"/>
      <c r="G546" s="33"/>
      <c r="H546" s="43" t="str">
        <f>IFERROR(VLOOKUP(IGA_BD[[#This Row],[Affected Feeder ]],'Basic Data'!$A$42:$E$53,2,0),"")</f>
        <v/>
      </c>
      <c r="I546" s="43" t="str">
        <f>IFERROR(VLOOKUP(IGA_BD[[#This Row],[Affected Feeder ]],'Basic Data'!$A$42:$E$53,3,0),"")</f>
        <v/>
      </c>
      <c r="J546" s="43" t="str">
        <f>IFERROR(VLOOKUP(IGA_BD[[#This Row],[Affected Feeder ]],'Basic Data'!$A$42:$E$53,5,0),"")</f>
        <v/>
      </c>
      <c r="K546" s="164"/>
      <c r="L546" s="50"/>
      <c r="M546" s="116"/>
      <c r="N546" s="116"/>
      <c r="O546" s="57">
        <f>(IGA_BD[[#This Row],[Work Start TimeStamp]]-IGA_BD[[#This Row],[Fault Start TimeStamp]])*24</f>
        <v>0</v>
      </c>
      <c r="P546" s="44" t="str">
        <f>IF(IGA_BD[[#This Row],[Work Start TimeStamp]]="","",(IGA_BD[[#This Row],[Fault Clearance time]]-IGA_BD[[#This Row],[Work Start TimeStamp]])*24)</f>
        <v/>
      </c>
      <c r="Q546" s="57">
        <f>(IGA_BD[[#This Row],[Fault Clearance time]]-IGA_BD[[#This Row],[Fault Start TimeStamp]])*24</f>
        <v>0</v>
      </c>
      <c r="R546" s="153"/>
      <c r="S546" s="44"/>
      <c r="T546" s="45" t="str">
        <f>IFERROR(IGA_BD[[#This Row],[Breakdown Time]]*IGA_BD[[#This Row],[Plant Equivalent Weightage]],"")</f>
        <v/>
      </c>
    </row>
    <row r="547" spans="1:20">
      <c r="A547" s="28"/>
      <c r="B547" s="154"/>
      <c r="C547" s="30">
        <f>YEAR(WTG_BD[[#This Row],[Date]])+IF(MONTH(WTG_BD[[#This Row],[Date]])&gt;=4,1,0)</f>
        <v>2026</v>
      </c>
      <c r="D547" s="31">
        <f>YEAR(IGA_BD[[#This Row],[Date]])</f>
        <v>1900</v>
      </c>
      <c r="E547" s="48">
        <f t="shared" si="11"/>
        <v>1</v>
      </c>
      <c r="F547" s="32"/>
      <c r="G547" s="33"/>
      <c r="H547" s="43" t="str">
        <f>IFERROR(VLOOKUP(IGA_BD[[#This Row],[Affected Feeder ]],'Basic Data'!$A$42:$E$53,2,0),"")</f>
        <v/>
      </c>
      <c r="I547" s="43" t="str">
        <f>IFERROR(VLOOKUP(IGA_BD[[#This Row],[Affected Feeder ]],'Basic Data'!$A$42:$E$53,3,0),"")</f>
        <v/>
      </c>
      <c r="J547" s="43" t="str">
        <f>IFERROR(VLOOKUP(IGA_BD[[#This Row],[Affected Feeder ]],'Basic Data'!$A$42:$E$53,5,0),"")</f>
        <v/>
      </c>
      <c r="K547" s="164"/>
      <c r="L547" s="50"/>
      <c r="M547" s="116"/>
      <c r="N547" s="116"/>
      <c r="O547" s="57">
        <f>(IGA_BD[[#This Row],[Work Start TimeStamp]]-IGA_BD[[#This Row],[Fault Start TimeStamp]])*24</f>
        <v>0</v>
      </c>
      <c r="P547" s="44" t="str">
        <f>IF(IGA_BD[[#This Row],[Work Start TimeStamp]]="","",(IGA_BD[[#This Row],[Fault Clearance time]]-IGA_BD[[#This Row],[Work Start TimeStamp]])*24)</f>
        <v/>
      </c>
      <c r="Q547" s="57">
        <f>(IGA_BD[[#This Row],[Fault Clearance time]]-IGA_BD[[#This Row],[Fault Start TimeStamp]])*24</f>
        <v>0</v>
      </c>
      <c r="R547" s="153"/>
      <c r="S547" s="44"/>
      <c r="T547" s="45" t="str">
        <f>IFERROR(IGA_BD[[#This Row],[Breakdown Time]]*IGA_BD[[#This Row],[Plant Equivalent Weightage]],"")</f>
        <v/>
      </c>
    </row>
    <row r="548" spans="1:20">
      <c r="A548" s="28"/>
      <c r="B548" s="154"/>
      <c r="C548" s="30">
        <f>YEAR(WTG_BD[[#This Row],[Date]])+IF(MONTH(WTG_BD[[#This Row],[Date]])&gt;=4,1,0)</f>
        <v>2026</v>
      </c>
      <c r="D548" s="31">
        <f>YEAR(IGA_BD[[#This Row],[Date]])</f>
        <v>1900</v>
      </c>
      <c r="E548" s="48">
        <f t="shared" si="11"/>
        <v>1</v>
      </c>
      <c r="F548" s="32"/>
      <c r="G548" s="33"/>
      <c r="H548" s="43" t="str">
        <f>IFERROR(VLOOKUP(IGA_BD[[#This Row],[Affected Feeder ]],'Basic Data'!$A$42:$E$53,2,0),"")</f>
        <v/>
      </c>
      <c r="I548" s="43" t="str">
        <f>IFERROR(VLOOKUP(IGA_BD[[#This Row],[Affected Feeder ]],'Basic Data'!$A$42:$E$53,3,0),"")</f>
        <v/>
      </c>
      <c r="J548" s="43" t="str">
        <f>IFERROR(VLOOKUP(IGA_BD[[#This Row],[Affected Feeder ]],'Basic Data'!$A$42:$E$53,5,0),"")</f>
        <v/>
      </c>
      <c r="K548" s="164"/>
      <c r="L548" s="50"/>
      <c r="M548" s="116"/>
      <c r="N548" s="116"/>
      <c r="O548" s="57">
        <f>(IGA_BD[[#This Row],[Work Start TimeStamp]]-IGA_BD[[#This Row],[Fault Start TimeStamp]])*24</f>
        <v>0</v>
      </c>
      <c r="P548" s="44" t="str">
        <f>IF(IGA_BD[[#This Row],[Work Start TimeStamp]]="","",(IGA_BD[[#This Row],[Fault Clearance time]]-IGA_BD[[#This Row],[Work Start TimeStamp]])*24)</f>
        <v/>
      </c>
      <c r="Q548" s="57">
        <f>(IGA_BD[[#This Row],[Fault Clearance time]]-IGA_BD[[#This Row],[Fault Start TimeStamp]])*24</f>
        <v>0</v>
      </c>
      <c r="R548" s="153"/>
      <c r="S548" s="44"/>
      <c r="T548" s="45" t="str">
        <f>IFERROR(IGA_BD[[#This Row],[Breakdown Time]]*IGA_BD[[#This Row],[Plant Equivalent Weightage]],"")</f>
        <v/>
      </c>
    </row>
    <row r="549" spans="1:20">
      <c r="A549" s="28"/>
      <c r="B549" s="154"/>
      <c r="C549" s="30">
        <f>YEAR(WTG_BD[[#This Row],[Date]])+IF(MONTH(WTG_BD[[#This Row],[Date]])&gt;=4,1,0)</f>
        <v>2026</v>
      </c>
      <c r="D549" s="31">
        <f>YEAR(IGA_BD[[#This Row],[Date]])</f>
        <v>1900</v>
      </c>
      <c r="E549" s="48">
        <f t="shared" si="11"/>
        <v>1</v>
      </c>
      <c r="F549" s="32"/>
      <c r="G549" s="33"/>
      <c r="H549" s="43" t="str">
        <f>IFERROR(VLOOKUP(IGA_BD[[#This Row],[Affected Feeder ]],'Basic Data'!$A$42:$E$53,2,0),"")</f>
        <v/>
      </c>
      <c r="I549" s="43" t="str">
        <f>IFERROR(VLOOKUP(IGA_BD[[#This Row],[Affected Feeder ]],'Basic Data'!$A$42:$E$53,3,0),"")</f>
        <v/>
      </c>
      <c r="J549" s="43" t="str">
        <f>IFERROR(VLOOKUP(IGA_BD[[#This Row],[Affected Feeder ]],'Basic Data'!$A$42:$E$53,5,0),"")</f>
        <v/>
      </c>
      <c r="K549" s="164"/>
      <c r="L549" s="50"/>
      <c r="M549" s="116"/>
      <c r="N549" s="116"/>
      <c r="O549" s="57">
        <f>(IGA_BD[[#This Row],[Work Start TimeStamp]]-IGA_BD[[#This Row],[Fault Start TimeStamp]])*24</f>
        <v>0</v>
      </c>
      <c r="P549" s="44" t="str">
        <f>IF(IGA_BD[[#This Row],[Work Start TimeStamp]]="","",(IGA_BD[[#This Row],[Fault Clearance time]]-IGA_BD[[#This Row],[Work Start TimeStamp]])*24)</f>
        <v/>
      </c>
      <c r="Q549" s="57">
        <f>(IGA_BD[[#This Row],[Fault Clearance time]]-IGA_BD[[#This Row],[Fault Start TimeStamp]])*24</f>
        <v>0</v>
      </c>
      <c r="R549" s="153"/>
      <c r="S549" s="44"/>
      <c r="T549" s="45" t="str">
        <f>IFERROR(IGA_BD[[#This Row],[Breakdown Time]]*IGA_BD[[#This Row],[Plant Equivalent Weightage]],"")</f>
        <v/>
      </c>
    </row>
    <row r="550" spans="1:20">
      <c r="A550" s="28"/>
      <c r="B550" s="154"/>
      <c r="C550" s="30">
        <f>YEAR(WTG_BD[[#This Row],[Date]])+IF(MONTH(WTG_BD[[#This Row],[Date]])&gt;=4,1,0)</f>
        <v>2026</v>
      </c>
      <c r="D550" s="31">
        <f>YEAR(IGA_BD[[#This Row],[Date]])</f>
        <v>1900</v>
      </c>
      <c r="E550" s="48">
        <f t="shared" si="11"/>
        <v>1</v>
      </c>
      <c r="F550" s="32"/>
      <c r="G550" s="33"/>
      <c r="H550" s="43" t="str">
        <f>IFERROR(VLOOKUP(IGA_BD[[#This Row],[Affected Feeder ]],'Basic Data'!$A$42:$E$53,2,0),"")</f>
        <v/>
      </c>
      <c r="I550" s="43" t="str">
        <f>IFERROR(VLOOKUP(IGA_BD[[#This Row],[Affected Feeder ]],'Basic Data'!$A$42:$E$53,3,0),"")</f>
        <v/>
      </c>
      <c r="J550" s="43" t="str">
        <f>IFERROR(VLOOKUP(IGA_BD[[#This Row],[Affected Feeder ]],'Basic Data'!$A$42:$E$53,5,0),"")</f>
        <v/>
      </c>
      <c r="K550" s="164"/>
      <c r="L550" s="50"/>
      <c r="M550" s="116"/>
      <c r="N550" s="116"/>
      <c r="O550" s="57">
        <f>(IGA_BD[[#This Row],[Work Start TimeStamp]]-IGA_BD[[#This Row],[Fault Start TimeStamp]])*24</f>
        <v>0</v>
      </c>
      <c r="P550" s="44" t="str">
        <f>IF(IGA_BD[[#This Row],[Work Start TimeStamp]]="","",(IGA_BD[[#This Row],[Fault Clearance time]]-IGA_BD[[#This Row],[Work Start TimeStamp]])*24)</f>
        <v/>
      </c>
      <c r="Q550" s="57">
        <f>(IGA_BD[[#This Row],[Fault Clearance time]]-IGA_BD[[#This Row],[Fault Start TimeStamp]])*24</f>
        <v>0</v>
      </c>
      <c r="R550" s="153"/>
      <c r="S550" s="44"/>
      <c r="T550" s="45" t="str">
        <f>IFERROR(IGA_BD[[#This Row],[Breakdown Time]]*IGA_BD[[#This Row],[Plant Equivalent Weightage]],"")</f>
        <v/>
      </c>
    </row>
    <row r="551" spans="1:20">
      <c r="A551" s="28"/>
      <c r="B551" s="154"/>
      <c r="C551" s="30">
        <f>YEAR(WTG_BD[[#This Row],[Date]])+IF(MONTH(WTG_BD[[#This Row],[Date]])&gt;=4,1,0)</f>
        <v>2026</v>
      </c>
      <c r="D551" s="31">
        <f>YEAR(IGA_BD[[#This Row],[Date]])</f>
        <v>1900</v>
      </c>
      <c r="E551" s="48">
        <f t="shared" si="11"/>
        <v>1</v>
      </c>
      <c r="F551" s="32"/>
      <c r="G551" s="33"/>
      <c r="H551" s="43" t="str">
        <f>IFERROR(VLOOKUP(IGA_BD[[#This Row],[Affected Feeder ]],'Basic Data'!$A$42:$E$53,2,0),"")</f>
        <v/>
      </c>
      <c r="I551" s="43" t="str">
        <f>IFERROR(VLOOKUP(IGA_BD[[#This Row],[Affected Feeder ]],'Basic Data'!$A$42:$E$53,3,0),"")</f>
        <v/>
      </c>
      <c r="J551" s="43" t="str">
        <f>IFERROR(VLOOKUP(IGA_BD[[#This Row],[Affected Feeder ]],'Basic Data'!$A$42:$E$53,5,0),"")</f>
        <v/>
      </c>
      <c r="K551" s="164"/>
      <c r="L551" s="50"/>
      <c r="M551" s="116"/>
      <c r="N551" s="116"/>
      <c r="O551" s="57">
        <f>(IGA_BD[[#This Row],[Work Start TimeStamp]]-IGA_BD[[#This Row],[Fault Start TimeStamp]])*24</f>
        <v>0</v>
      </c>
      <c r="P551" s="44" t="str">
        <f>IF(IGA_BD[[#This Row],[Work Start TimeStamp]]="","",(IGA_BD[[#This Row],[Fault Clearance time]]-IGA_BD[[#This Row],[Work Start TimeStamp]])*24)</f>
        <v/>
      </c>
      <c r="Q551" s="57">
        <f>(IGA_BD[[#This Row],[Fault Clearance time]]-IGA_BD[[#This Row],[Fault Start TimeStamp]])*24</f>
        <v>0</v>
      </c>
      <c r="R551" s="153"/>
      <c r="S551" s="44"/>
      <c r="T551" s="45" t="str">
        <f>IFERROR(IGA_BD[[#This Row],[Breakdown Time]]*IGA_BD[[#This Row],[Plant Equivalent Weightage]],"")</f>
        <v/>
      </c>
    </row>
    <row r="552" spans="1:20">
      <c r="A552" s="28"/>
      <c r="B552" s="154"/>
      <c r="C552" s="30">
        <f>YEAR(WTG_BD[[#This Row],[Date]])+IF(MONTH(WTG_BD[[#This Row],[Date]])&gt;=4,1,0)</f>
        <v>2026</v>
      </c>
      <c r="D552" s="31">
        <f>YEAR(IGA_BD[[#This Row],[Date]])</f>
        <v>1900</v>
      </c>
      <c r="E552" s="48">
        <f t="shared" si="11"/>
        <v>1</v>
      </c>
      <c r="F552" s="32"/>
      <c r="G552" s="33"/>
      <c r="H552" s="43" t="str">
        <f>IFERROR(VLOOKUP(IGA_BD[[#This Row],[Affected Feeder ]],'Basic Data'!$A$42:$E$53,2,0),"")</f>
        <v/>
      </c>
      <c r="I552" s="43" t="str">
        <f>IFERROR(VLOOKUP(IGA_BD[[#This Row],[Affected Feeder ]],'Basic Data'!$A$42:$E$53,3,0),"")</f>
        <v/>
      </c>
      <c r="J552" s="43" t="str">
        <f>IFERROR(VLOOKUP(IGA_BD[[#This Row],[Affected Feeder ]],'Basic Data'!$A$42:$E$53,5,0),"")</f>
        <v/>
      </c>
      <c r="K552" s="164"/>
      <c r="L552" s="50"/>
      <c r="M552" s="116"/>
      <c r="N552" s="116"/>
      <c r="O552" s="57">
        <f>(IGA_BD[[#This Row],[Work Start TimeStamp]]-IGA_BD[[#This Row],[Fault Start TimeStamp]])*24</f>
        <v>0</v>
      </c>
      <c r="P552" s="44" t="str">
        <f>IF(IGA_BD[[#This Row],[Work Start TimeStamp]]="","",(IGA_BD[[#This Row],[Fault Clearance time]]-IGA_BD[[#This Row],[Work Start TimeStamp]])*24)</f>
        <v/>
      </c>
      <c r="Q552" s="57">
        <f>(IGA_BD[[#This Row],[Fault Clearance time]]-IGA_BD[[#This Row],[Fault Start TimeStamp]])*24</f>
        <v>0</v>
      </c>
      <c r="R552" s="153"/>
      <c r="S552" s="44"/>
      <c r="T552" s="45" t="str">
        <f>IFERROR(IGA_BD[[#This Row],[Breakdown Time]]*IGA_BD[[#This Row],[Plant Equivalent Weightage]],"")</f>
        <v/>
      </c>
    </row>
    <row r="553" spans="1:20">
      <c r="A553" s="28"/>
      <c r="B553" s="154"/>
      <c r="C553" s="30">
        <f>YEAR(WTG_BD[[#This Row],[Date]])+IF(MONTH(WTG_BD[[#This Row],[Date]])&gt;=4,1,0)</f>
        <v>2026</v>
      </c>
      <c r="D553" s="31">
        <f>YEAR(IGA_BD[[#This Row],[Date]])</f>
        <v>1900</v>
      </c>
      <c r="E553" s="48">
        <f t="shared" si="11"/>
        <v>1</v>
      </c>
      <c r="F553" s="32"/>
      <c r="G553" s="33"/>
      <c r="H553" s="43" t="str">
        <f>IFERROR(VLOOKUP(IGA_BD[[#This Row],[Affected Feeder ]],'Basic Data'!$A$42:$E$53,2,0),"")</f>
        <v/>
      </c>
      <c r="I553" s="43" t="str">
        <f>IFERROR(VLOOKUP(IGA_BD[[#This Row],[Affected Feeder ]],'Basic Data'!$A$42:$E$53,3,0),"")</f>
        <v/>
      </c>
      <c r="J553" s="43" t="str">
        <f>IFERROR(VLOOKUP(IGA_BD[[#This Row],[Affected Feeder ]],'Basic Data'!$A$42:$E$53,5,0),"")</f>
        <v/>
      </c>
      <c r="K553" s="164"/>
      <c r="L553" s="50"/>
      <c r="M553" s="116"/>
      <c r="N553" s="116"/>
      <c r="O553" s="57">
        <f>(IGA_BD[[#This Row],[Work Start TimeStamp]]-IGA_BD[[#This Row],[Fault Start TimeStamp]])*24</f>
        <v>0</v>
      </c>
      <c r="P553" s="44" t="str">
        <f>IF(IGA_BD[[#This Row],[Work Start TimeStamp]]="","",(IGA_BD[[#This Row],[Fault Clearance time]]-IGA_BD[[#This Row],[Work Start TimeStamp]])*24)</f>
        <v/>
      </c>
      <c r="Q553" s="57">
        <f>(IGA_BD[[#This Row],[Fault Clearance time]]-IGA_BD[[#This Row],[Fault Start TimeStamp]])*24</f>
        <v>0</v>
      </c>
      <c r="R553" s="153"/>
      <c r="S553" s="44"/>
      <c r="T553" s="45" t="str">
        <f>IFERROR(IGA_BD[[#This Row],[Breakdown Time]]*IGA_BD[[#This Row],[Plant Equivalent Weightage]],"")</f>
        <v/>
      </c>
    </row>
    <row r="554" spans="1:20">
      <c r="A554" s="28"/>
      <c r="B554" s="154"/>
      <c r="C554" s="30">
        <f>YEAR(WTG_BD[[#This Row],[Date]])+IF(MONTH(WTG_BD[[#This Row],[Date]])&gt;=4,1,0)</f>
        <v>2026</v>
      </c>
      <c r="D554" s="31">
        <f>YEAR(IGA_BD[[#This Row],[Date]])</f>
        <v>1900</v>
      </c>
      <c r="E554" s="48">
        <f t="shared" si="11"/>
        <v>1</v>
      </c>
      <c r="F554" s="32"/>
      <c r="G554" s="33"/>
      <c r="H554" s="43" t="str">
        <f>IFERROR(VLOOKUP(IGA_BD[[#This Row],[Affected Feeder ]],'Basic Data'!$A$42:$E$53,2,0),"")</f>
        <v/>
      </c>
      <c r="I554" s="43" t="str">
        <f>IFERROR(VLOOKUP(IGA_BD[[#This Row],[Affected Feeder ]],'Basic Data'!$A$42:$E$53,3,0),"")</f>
        <v/>
      </c>
      <c r="J554" s="43" t="str">
        <f>IFERROR(VLOOKUP(IGA_BD[[#This Row],[Affected Feeder ]],'Basic Data'!$A$42:$E$53,5,0),"")</f>
        <v/>
      </c>
      <c r="K554" s="164"/>
      <c r="L554" s="50"/>
      <c r="M554" s="116"/>
      <c r="N554" s="116"/>
      <c r="O554" s="57">
        <f>(IGA_BD[[#This Row],[Work Start TimeStamp]]-IGA_BD[[#This Row],[Fault Start TimeStamp]])*24</f>
        <v>0</v>
      </c>
      <c r="P554" s="44" t="str">
        <f>IF(IGA_BD[[#This Row],[Work Start TimeStamp]]="","",(IGA_BD[[#This Row],[Fault Clearance time]]-IGA_BD[[#This Row],[Work Start TimeStamp]])*24)</f>
        <v/>
      </c>
      <c r="Q554" s="57">
        <f>(IGA_BD[[#This Row],[Fault Clearance time]]-IGA_BD[[#This Row],[Fault Start TimeStamp]])*24</f>
        <v>0</v>
      </c>
      <c r="R554" s="153"/>
      <c r="S554" s="44"/>
      <c r="T554" s="45" t="str">
        <f>IFERROR(IGA_BD[[#This Row],[Breakdown Time]]*IGA_BD[[#This Row],[Plant Equivalent Weightage]],"")</f>
        <v/>
      </c>
    </row>
    <row r="555" spans="1:20">
      <c r="A555" s="28"/>
      <c r="B555" s="154"/>
      <c r="C555" s="30">
        <f>YEAR(WTG_BD[[#This Row],[Date]])+IF(MONTH(WTG_BD[[#This Row],[Date]])&gt;=4,1,0)</f>
        <v>2026</v>
      </c>
      <c r="D555" s="31">
        <f>YEAR(IGA_BD[[#This Row],[Date]])</f>
        <v>1900</v>
      </c>
      <c r="E555" s="48">
        <f t="shared" si="11"/>
        <v>1</v>
      </c>
      <c r="F555" s="32"/>
      <c r="G555" s="33"/>
      <c r="H555" s="43" t="str">
        <f>IFERROR(VLOOKUP(IGA_BD[[#This Row],[Affected Feeder ]],'Basic Data'!$A$42:$E$53,2,0),"")</f>
        <v/>
      </c>
      <c r="I555" s="43" t="str">
        <f>IFERROR(VLOOKUP(IGA_BD[[#This Row],[Affected Feeder ]],'Basic Data'!$A$42:$E$53,3,0),"")</f>
        <v/>
      </c>
      <c r="J555" s="43" t="str">
        <f>IFERROR(VLOOKUP(IGA_BD[[#This Row],[Affected Feeder ]],'Basic Data'!$A$42:$E$53,5,0),"")</f>
        <v/>
      </c>
      <c r="K555" s="164"/>
      <c r="L555" s="50"/>
      <c r="M555" s="116"/>
      <c r="N555" s="116"/>
      <c r="O555" s="57">
        <f>(IGA_BD[[#This Row],[Work Start TimeStamp]]-IGA_BD[[#This Row],[Fault Start TimeStamp]])*24</f>
        <v>0</v>
      </c>
      <c r="P555" s="44" t="str">
        <f>IF(IGA_BD[[#This Row],[Work Start TimeStamp]]="","",(IGA_BD[[#This Row],[Fault Clearance time]]-IGA_BD[[#This Row],[Work Start TimeStamp]])*24)</f>
        <v/>
      </c>
      <c r="Q555" s="57">
        <f>(IGA_BD[[#This Row],[Fault Clearance time]]-IGA_BD[[#This Row],[Fault Start TimeStamp]])*24</f>
        <v>0</v>
      </c>
      <c r="R555" s="153"/>
      <c r="S555" s="44"/>
      <c r="T555" s="45" t="str">
        <f>IFERROR(IGA_BD[[#This Row],[Breakdown Time]]*IGA_BD[[#This Row],[Plant Equivalent Weightage]],"")</f>
        <v/>
      </c>
    </row>
    <row r="556" spans="1:20">
      <c r="A556" s="28"/>
      <c r="B556" s="154"/>
      <c r="C556" s="30">
        <f>YEAR(WTG_BD[[#This Row],[Date]])+IF(MONTH(WTG_BD[[#This Row],[Date]])&gt;=4,1,0)</f>
        <v>2026</v>
      </c>
      <c r="D556" s="31">
        <f>YEAR(IGA_BD[[#This Row],[Date]])</f>
        <v>1900</v>
      </c>
      <c r="E556" s="48">
        <f t="shared" si="11"/>
        <v>1</v>
      </c>
      <c r="F556" s="32"/>
      <c r="G556" s="33"/>
      <c r="H556" s="43" t="str">
        <f>IFERROR(VLOOKUP(IGA_BD[[#This Row],[Affected Feeder ]],'Basic Data'!$A$42:$E$53,2,0),"")</f>
        <v/>
      </c>
      <c r="I556" s="43" t="str">
        <f>IFERROR(VLOOKUP(IGA_BD[[#This Row],[Affected Feeder ]],'Basic Data'!$A$42:$E$53,3,0),"")</f>
        <v/>
      </c>
      <c r="J556" s="43" t="str">
        <f>IFERROR(VLOOKUP(IGA_BD[[#This Row],[Affected Feeder ]],'Basic Data'!$A$42:$E$53,5,0),"")</f>
        <v/>
      </c>
      <c r="K556" s="164"/>
      <c r="L556" s="50"/>
      <c r="M556" s="116"/>
      <c r="N556" s="116"/>
      <c r="O556" s="57">
        <f>(IGA_BD[[#This Row],[Work Start TimeStamp]]-IGA_BD[[#This Row],[Fault Start TimeStamp]])*24</f>
        <v>0</v>
      </c>
      <c r="P556" s="44" t="str">
        <f>IF(IGA_BD[[#This Row],[Work Start TimeStamp]]="","",(IGA_BD[[#This Row],[Fault Clearance time]]-IGA_BD[[#This Row],[Work Start TimeStamp]])*24)</f>
        <v/>
      </c>
      <c r="Q556" s="57">
        <f>(IGA_BD[[#This Row],[Fault Clearance time]]-IGA_BD[[#This Row],[Fault Start TimeStamp]])*24</f>
        <v>0</v>
      </c>
      <c r="R556" s="153"/>
      <c r="S556" s="44"/>
      <c r="T556" s="45" t="str">
        <f>IFERROR(IGA_BD[[#This Row],[Breakdown Time]]*IGA_BD[[#This Row],[Plant Equivalent Weightage]],"")</f>
        <v/>
      </c>
    </row>
    <row r="557" spans="1:20">
      <c r="A557" s="28"/>
      <c r="B557" s="154"/>
      <c r="C557" s="30">
        <f>YEAR(WTG_BD[[#This Row],[Date]])+IF(MONTH(WTG_BD[[#This Row],[Date]])&gt;=4,1,0)</f>
        <v>2026</v>
      </c>
      <c r="D557" s="31">
        <f>YEAR(IGA_BD[[#This Row],[Date]])</f>
        <v>1900</v>
      </c>
      <c r="E557" s="48">
        <f t="shared" si="11"/>
        <v>1</v>
      </c>
      <c r="F557" s="32"/>
      <c r="G557" s="33"/>
      <c r="H557" s="43" t="str">
        <f>IFERROR(VLOOKUP(IGA_BD[[#This Row],[Affected Feeder ]],'Basic Data'!$A$42:$E$53,2,0),"")</f>
        <v/>
      </c>
      <c r="I557" s="43" t="str">
        <f>IFERROR(VLOOKUP(IGA_BD[[#This Row],[Affected Feeder ]],'Basic Data'!$A$42:$E$53,3,0),"")</f>
        <v/>
      </c>
      <c r="J557" s="43" t="str">
        <f>IFERROR(VLOOKUP(IGA_BD[[#This Row],[Affected Feeder ]],'Basic Data'!$A$42:$E$53,5,0),"")</f>
        <v/>
      </c>
      <c r="K557" s="164"/>
      <c r="L557" s="50"/>
      <c r="M557" s="116"/>
      <c r="N557" s="116"/>
      <c r="O557" s="57">
        <f>(IGA_BD[[#This Row],[Work Start TimeStamp]]-IGA_BD[[#This Row],[Fault Start TimeStamp]])*24</f>
        <v>0</v>
      </c>
      <c r="P557" s="44" t="str">
        <f>IF(IGA_BD[[#This Row],[Work Start TimeStamp]]="","",(IGA_BD[[#This Row],[Fault Clearance time]]-IGA_BD[[#This Row],[Work Start TimeStamp]])*24)</f>
        <v/>
      </c>
      <c r="Q557" s="57">
        <f>(IGA_BD[[#This Row],[Fault Clearance time]]-IGA_BD[[#This Row],[Fault Start TimeStamp]])*24</f>
        <v>0</v>
      </c>
      <c r="R557" s="153"/>
      <c r="S557" s="44"/>
      <c r="T557" s="45" t="str">
        <f>IFERROR(IGA_BD[[#This Row],[Breakdown Time]]*IGA_BD[[#This Row],[Plant Equivalent Weightage]],"")</f>
        <v/>
      </c>
    </row>
    <row r="558" spans="1:20">
      <c r="A558" s="28"/>
      <c r="B558" s="154"/>
      <c r="C558" s="30">
        <f>YEAR(WTG_BD[[#This Row],[Date]])+IF(MONTH(WTG_BD[[#This Row],[Date]])&gt;=4,1,0)</f>
        <v>2026</v>
      </c>
      <c r="D558" s="31">
        <f>YEAR(IGA_BD[[#This Row],[Date]])</f>
        <v>1900</v>
      </c>
      <c r="E558" s="48">
        <f t="shared" si="11"/>
        <v>1</v>
      </c>
      <c r="F558" s="32"/>
      <c r="G558" s="33"/>
      <c r="H558" s="43" t="str">
        <f>IFERROR(VLOOKUP(IGA_BD[[#This Row],[Affected Feeder ]],'Basic Data'!$A$42:$E$53,2,0),"")</f>
        <v/>
      </c>
      <c r="I558" s="43" t="str">
        <f>IFERROR(VLOOKUP(IGA_BD[[#This Row],[Affected Feeder ]],'Basic Data'!$A$42:$E$53,3,0),"")</f>
        <v/>
      </c>
      <c r="J558" s="43" t="str">
        <f>IFERROR(VLOOKUP(IGA_BD[[#This Row],[Affected Feeder ]],'Basic Data'!$A$42:$E$53,5,0),"")</f>
        <v/>
      </c>
      <c r="K558" s="164"/>
      <c r="L558" s="50"/>
      <c r="M558" s="116"/>
      <c r="N558" s="116"/>
      <c r="O558" s="57">
        <f>(IGA_BD[[#This Row],[Work Start TimeStamp]]-IGA_BD[[#This Row],[Fault Start TimeStamp]])*24</f>
        <v>0</v>
      </c>
      <c r="P558" s="44" t="str">
        <f>IF(IGA_BD[[#This Row],[Work Start TimeStamp]]="","",(IGA_BD[[#This Row],[Fault Clearance time]]-IGA_BD[[#This Row],[Work Start TimeStamp]])*24)</f>
        <v/>
      </c>
      <c r="Q558" s="57">
        <f>(IGA_BD[[#This Row],[Fault Clearance time]]-IGA_BD[[#This Row],[Fault Start TimeStamp]])*24</f>
        <v>0</v>
      </c>
      <c r="R558" s="153"/>
      <c r="S558" s="44"/>
      <c r="T558" s="45" t="str">
        <f>IFERROR(IGA_BD[[#This Row],[Breakdown Time]]*IGA_BD[[#This Row],[Plant Equivalent Weightage]],"")</f>
        <v/>
      </c>
    </row>
    <row r="559" spans="1:20">
      <c r="A559" s="28"/>
      <c r="B559" s="154"/>
      <c r="C559" s="30">
        <f>YEAR(WTG_BD[[#This Row],[Date]])+IF(MONTH(WTG_BD[[#This Row],[Date]])&gt;=4,1,0)</f>
        <v>2026</v>
      </c>
      <c r="D559" s="31">
        <f>YEAR(IGA_BD[[#This Row],[Date]])</f>
        <v>1900</v>
      </c>
      <c r="E559" s="48">
        <f t="shared" si="11"/>
        <v>1</v>
      </c>
      <c r="F559" s="32"/>
      <c r="G559" s="33"/>
      <c r="H559" s="43" t="str">
        <f>IFERROR(VLOOKUP(IGA_BD[[#This Row],[Affected Feeder ]],'Basic Data'!$A$42:$E$53,2,0),"")</f>
        <v/>
      </c>
      <c r="I559" s="43" t="str">
        <f>IFERROR(VLOOKUP(IGA_BD[[#This Row],[Affected Feeder ]],'Basic Data'!$A$42:$E$53,3,0),"")</f>
        <v/>
      </c>
      <c r="J559" s="43" t="str">
        <f>IFERROR(VLOOKUP(IGA_BD[[#This Row],[Affected Feeder ]],'Basic Data'!$A$42:$E$53,5,0),"")</f>
        <v/>
      </c>
      <c r="K559" s="164"/>
      <c r="L559" s="50"/>
      <c r="M559" s="116"/>
      <c r="N559" s="116"/>
      <c r="O559" s="57">
        <f>(IGA_BD[[#This Row],[Work Start TimeStamp]]-IGA_BD[[#This Row],[Fault Start TimeStamp]])*24</f>
        <v>0</v>
      </c>
      <c r="P559" s="44" t="str">
        <f>IF(IGA_BD[[#This Row],[Work Start TimeStamp]]="","",(IGA_BD[[#This Row],[Fault Clearance time]]-IGA_BD[[#This Row],[Work Start TimeStamp]])*24)</f>
        <v/>
      </c>
      <c r="Q559" s="57">
        <f>(IGA_BD[[#This Row],[Fault Clearance time]]-IGA_BD[[#This Row],[Fault Start TimeStamp]])*24</f>
        <v>0</v>
      </c>
      <c r="R559" s="153"/>
      <c r="S559" s="44"/>
      <c r="T559" s="45" t="str">
        <f>IFERROR(IGA_BD[[#This Row],[Breakdown Time]]*IGA_BD[[#This Row],[Plant Equivalent Weightage]],"")</f>
        <v/>
      </c>
    </row>
    <row r="560" spans="1:20">
      <c r="A560" s="28"/>
      <c r="B560" s="154"/>
      <c r="C560" s="30">
        <f>YEAR(WTG_BD[[#This Row],[Date]])+IF(MONTH(WTG_BD[[#This Row],[Date]])&gt;=4,1,0)</f>
        <v>2026</v>
      </c>
      <c r="D560" s="31">
        <f>YEAR(IGA_BD[[#This Row],[Date]])</f>
        <v>1900</v>
      </c>
      <c r="E560" s="48">
        <f t="shared" si="11"/>
        <v>1</v>
      </c>
      <c r="F560" s="32"/>
      <c r="G560" s="33"/>
      <c r="H560" s="43" t="str">
        <f>IFERROR(VLOOKUP(IGA_BD[[#This Row],[Affected Feeder ]],'Basic Data'!$A$42:$E$53,2,0),"")</f>
        <v/>
      </c>
      <c r="I560" s="43" t="str">
        <f>IFERROR(VLOOKUP(IGA_BD[[#This Row],[Affected Feeder ]],'Basic Data'!$A$42:$E$53,3,0),"")</f>
        <v/>
      </c>
      <c r="J560" s="43" t="str">
        <f>IFERROR(VLOOKUP(IGA_BD[[#This Row],[Affected Feeder ]],'Basic Data'!$A$42:$E$53,5,0),"")</f>
        <v/>
      </c>
      <c r="K560" s="164"/>
      <c r="L560" s="50"/>
      <c r="M560" s="116"/>
      <c r="N560" s="116"/>
      <c r="O560" s="57">
        <f>(IGA_BD[[#This Row],[Work Start TimeStamp]]-IGA_BD[[#This Row],[Fault Start TimeStamp]])*24</f>
        <v>0</v>
      </c>
      <c r="P560" s="44" t="str">
        <f>IF(IGA_BD[[#This Row],[Work Start TimeStamp]]="","",(IGA_BD[[#This Row],[Fault Clearance time]]-IGA_BD[[#This Row],[Work Start TimeStamp]])*24)</f>
        <v/>
      </c>
      <c r="Q560" s="57">
        <f>(IGA_BD[[#This Row],[Fault Clearance time]]-IGA_BD[[#This Row],[Fault Start TimeStamp]])*24</f>
        <v>0</v>
      </c>
      <c r="R560" s="153"/>
      <c r="S560" s="44"/>
      <c r="T560" s="45" t="str">
        <f>IFERROR(IGA_BD[[#This Row],[Breakdown Time]]*IGA_BD[[#This Row],[Plant Equivalent Weightage]],"")</f>
        <v/>
      </c>
    </row>
    <row r="561" spans="1:20">
      <c r="A561" s="28"/>
      <c r="B561" s="154"/>
      <c r="C561" s="30">
        <f>YEAR(WTG_BD[[#This Row],[Date]])+IF(MONTH(WTG_BD[[#This Row],[Date]])&gt;=4,1,0)</f>
        <v>2026</v>
      </c>
      <c r="D561" s="31">
        <f>YEAR(IGA_BD[[#This Row],[Date]])</f>
        <v>1900</v>
      </c>
      <c r="E561" s="48">
        <f t="shared" si="11"/>
        <v>1</v>
      </c>
      <c r="F561" s="32"/>
      <c r="G561" s="33"/>
      <c r="H561" s="43" t="str">
        <f>IFERROR(VLOOKUP(IGA_BD[[#This Row],[Affected Feeder ]],'Basic Data'!$A$42:$E$53,2,0),"")</f>
        <v/>
      </c>
      <c r="I561" s="43" t="str">
        <f>IFERROR(VLOOKUP(IGA_BD[[#This Row],[Affected Feeder ]],'Basic Data'!$A$42:$E$53,3,0),"")</f>
        <v/>
      </c>
      <c r="J561" s="43" t="str">
        <f>IFERROR(VLOOKUP(IGA_BD[[#This Row],[Affected Feeder ]],'Basic Data'!$A$42:$E$53,5,0),"")</f>
        <v/>
      </c>
      <c r="K561" s="164"/>
      <c r="L561" s="50"/>
      <c r="M561" s="116"/>
      <c r="N561" s="116"/>
      <c r="O561" s="57">
        <f>(IGA_BD[[#This Row],[Work Start TimeStamp]]-IGA_BD[[#This Row],[Fault Start TimeStamp]])*24</f>
        <v>0</v>
      </c>
      <c r="P561" s="44" t="str">
        <f>IF(IGA_BD[[#This Row],[Work Start TimeStamp]]="","",(IGA_BD[[#This Row],[Fault Clearance time]]-IGA_BD[[#This Row],[Work Start TimeStamp]])*24)</f>
        <v/>
      </c>
      <c r="Q561" s="57">
        <f>(IGA_BD[[#This Row],[Fault Clearance time]]-IGA_BD[[#This Row],[Fault Start TimeStamp]])*24</f>
        <v>0</v>
      </c>
      <c r="R561" s="153"/>
      <c r="S561" s="44"/>
      <c r="T561" s="45" t="str">
        <f>IFERROR(IGA_BD[[#This Row],[Breakdown Time]]*IGA_BD[[#This Row],[Plant Equivalent Weightage]],"")</f>
        <v/>
      </c>
    </row>
    <row r="562" spans="1:20">
      <c r="A562" s="28"/>
      <c r="B562" s="154"/>
      <c r="C562" s="30">
        <f>YEAR(WTG_BD[[#This Row],[Date]])+IF(MONTH(WTG_BD[[#This Row],[Date]])&gt;=4,1,0)</f>
        <v>2026</v>
      </c>
      <c r="D562" s="31">
        <f>YEAR(IGA_BD[[#This Row],[Date]])</f>
        <v>1900</v>
      </c>
      <c r="E562" s="48">
        <f t="shared" si="11"/>
        <v>1</v>
      </c>
      <c r="F562" s="32"/>
      <c r="G562" s="33"/>
      <c r="H562" s="43" t="str">
        <f>IFERROR(VLOOKUP(IGA_BD[[#This Row],[Affected Feeder ]],'Basic Data'!$A$42:$E$53,2,0),"")</f>
        <v/>
      </c>
      <c r="I562" s="43" t="str">
        <f>IFERROR(VLOOKUP(IGA_BD[[#This Row],[Affected Feeder ]],'Basic Data'!$A$42:$E$53,3,0),"")</f>
        <v/>
      </c>
      <c r="J562" s="43" t="str">
        <f>IFERROR(VLOOKUP(IGA_BD[[#This Row],[Affected Feeder ]],'Basic Data'!$A$42:$E$53,5,0),"")</f>
        <v/>
      </c>
      <c r="K562" s="164"/>
      <c r="L562" s="50"/>
      <c r="M562" s="116"/>
      <c r="N562" s="116"/>
      <c r="O562" s="57">
        <f>(IGA_BD[[#This Row],[Work Start TimeStamp]]-IGA_BD[[#This Row],[Fault Start TimeStamp]])*24</f>
        <v>0</v>
      </c>
      <c r="P562" s="44" t="str">
        <f>IF(IGA_BD[[#This Row],[Work Start TimeStamp]]="","",(IGA_BD[[#This Row],[Fault Clearance time]]-IGA_BD[[#This Row],[Work Start TimeStamp]])*24)</f>
        <v/>
      </c>
      <c r="Q562" s="57">
        <f>(IGA_BD[[#This Row],[Fault Clearance time]]-IGA_BD[[#This Row],[Fault Start TimeStamp]])*24</f>
        <v>0</v>
      </c>
      <c r="R562" s="153"/>
      <c r="S562" s="44"/>
      <c r="T562" s="45" t="str">
        <f>IFERROR(IGA_BD[[#This Row],[Breakdown Time]]*IGA_BD[[#This Row],[Plant Equivalent Weightage]],"")</f>
        <v/>
      </c>
    </row>
    <row r="563" spans="1:20">
      <c r="A563" s="28"/>
      <c r="B563" s="154"/>
      <c r="C563" s="30">
        <f>YEAR(WTG_BD[[#This Row],[Date]])+IF(MONTH(WTG_BD[[#This Row],[Date]])&gt;=4,1,0)</f>
        <v>2026</v>
      </c>
      <c r="D563" s="31">
        <f>YEAR(IGA_BD[[#This Row],[Date]])</f>
        <v>1900</v>
      </c>
      <c r="E563" s="48">
        <f t="shared" si="11"/>
        <v>1</v>
      </c>
      <c r="F563" s="32"/>
      <c r="G563" s="33"/>
      <c r="H563" s="43" t="str">
        <f>IFERROR(VLOOKUP(IGA_BD[[#This Row],[Affected Feeder ]],'Basic Data'!$A$42:$E$53,2,0),"")</f>
        <v/>
      </c>
      <c r="I563" s="43" t="str">
        <f>IFERROR(VLOOKUP(IGA_BD[[#This Row],[Affected Feeder ]],'Basic Data'!$A$42:$E$53,3,0),"")</f>
        <v/>
      </c>
      <c r="J563" s="43" t="str">
        <f>IFERROR(VLOOKUP(IGA_BD[[#This Row],[Affected Feeder ]],'Basic Data'!$A$42:$E$53,5,0),"")</f>
        <v/>
      </c>
      <c r="K563" s="164"/>
      <c r="L563" s="50"/>
      <c r="M563" s="116"/>
      <c r="N563" s="116"/>
      <c r="O563" s="57">
        <f>(IGA_BD[[#This Row],[Work Start TimeStamp]]-IGA_BD[[#This Row],[Fault Start TimeStamp]])*24</f>
        <v>0</v>
      </c>
      <c r="P563" s="44" t="str">
        <f>IF(IGA_BD[[#This Row],[Work Start TimeStamp]]="","",(IGA_BD[[#This Row],[Fault Clearance time]]-IGA_BD[[#This Row],[Work Start TimeStamp]])*24)</f>
        <v/>
      </c>
      <c r="Q563" s="57">
        <f>(IGA_BD[[#This Row],[Fault Clearance time]]-IGA_BD[[#This Row],[Fault Start TimeStamp]])*24</f>
        <v>0</v>
      </c>
      <c r="R563" s="153"/>
      <c r="S563" s="44"/>
      <c r="T563" s="45" t="str">
        <f>IFERROR(IGA_BD[[#This Row],[Breakdown Time]]*IGA_BD[[#This Row],[Plant Equivalent Weightage]],"")</f>
        <v/>
      </c>
    </row>
    <row r="564" spans="1:20">
      <c r="A564" s="28"/>
      <c r="B564" s="154"/>
      <c r="C564" s="30">
        <f>YEAR(WTG_BD[[#This Row],[Date]])+IF(MONTH(WTG_BD[[#This Row],[Date]])&gt;=4,1,0)</f>
        <v>2026</v>
      </c>
      <c r="D564" s="31">
        <f>YEAR(IGA_BD[[#This Row],[Date]])</f>
        <v>1900</v>
      </c>
      <c r="E564" s="48">
        <f t="shared" si="11"/>
        <v>1</v>
      </c>
      <c r="F564" s="32"/>
      <c r="G564" s="33"/>
      <c r="H564" s="43" t="str">
        <f>IFERROR(VLOOKUP(IGA_BD[[#This Row],[Affected Feeder ]],'Basic Data'!$A$42:$E$53,2,0),"")</f>
        <v/>
      </c>
      <c r="I564" s="43" t="str">
        <f>IFERROR(VLOOKUP(IGA_BD[[#This Row],[Affected Feeder ]],'Basic Data'!$A$42:$E$53,3,0),"")</f>
        <v/>
      </c>
      <c r="J564" s="43" t="str">
        <f>IFERROR(VLOOKUP(IGA_BD[[#This Row],[Affected Feeder ]],'Basic Data'!$A$42:$E$53,5,0),"")</f>
        <v/>
      </c>
      <c r="K564" s="164"/>
      <c r="L564" s="50"/>
      <c r="M564" s="116"/>
      <c r="N564" s="116"/>
      <c r="O564" s="57">
        <f>(IGA_BD[[#This Row],[Work Start TimeStamp]]-IGA_BD[[#This Row],[Fault Start TimeStamp]])*24</f>
        <v>0</v>
      </c>
      <c r="P564" s="44" t="str">
        <f>IF(IGA_BD[[#This Row],[Work Start TimeStamp]]="","",(IGA_BD[[#This Row],[Fault Clearance time]]-IGA_BD[[#This Row],[Work Start TimeStamp]])*24)</f>
        <v/>
      </c>
      <c r="Q564" s="57">
        <f>(IGA_BD[[#This Row],[Fault Clearance time]]-IGA_BD[[#This Row],[Fault Start TimeStamp]])*24</f>
        <v>0</v>
      </c>
      <c r="R564" s="153"/>
      <c r="S564" s="44"/>
      <c r="T564" s="45" t="str">
        <f>IFERROR(IGA_BD[[#This Row],[Breakdown Time]]*IGA_BD[[#This Row],[Plant Equivalent Weightage]],"")</f>
        <v/>
      </c>
    </row>
    <row r="565" spans="1:20">
      <c r="A565" s="28"/>
      <c r="B565" s="154"/>
      <c r="C565" s="30">
        <f>YEAR(WTG_BD[[#This Row],[Date]])+IF(MONTH(WTG_BD[[#This Row],[Date]])&gt;=4,1,0)</f>
        <v>2026</v>
      </c>
      <c r="D565" s="31">
        <f>YEAR(IGA_BD[[#This Row],[Date]])</f>
        <v>1900</v>
      </c>
      <c r="E565" s="48">
        <f t="shared" si="11"/>
        <v>1</v>
      </c>
      <c r="F565" s="32"/>
      <c r="G565" s="33"/>
      <c r="H565" s="43" t="str">
        <f>IFERROR(VLOOKUP(IGA_BD[[#This Row],[Affected Feeder ]],'Basic Data'!$A$42:$E$53,2,0),"")</f>
        <v/>
      </c>
      <c r="I565" s="43" t="str">
        <f>IFERROR(VLOOKUP(IGA_BD[[#This Row],[Affected Feeder ]],'Basic Data'!$A$42:$E$53,3,0),"")</f>
        <v/>
      </c>
      <c r="J565" s="43" t="str">
        <f>IFERROR(VLOOKUP(IGA_BD[[#This Row],[Affected Feeder ]],'Basic Data'!$A$42:$E$53,5,0),"")</f>
        <v/>
      </c>
      <c r="K565" s="164"/>
      <c r="L565" s="50"/>
      <c r="M565" s="116"/>
      <c r="N565" s="116"/>
      <c r="O565" s="57">
        <f>(IGA_BD[[#This Row],[Work Start TimeStamp]]-IGA_BD[[#This Row],[Fault Start TimeStamp]])*24</f>
        <v>0</v>
      </c>
      <c r="P565" s="44" t="str">
        <f>IF(IGA_BD[[#This Row],[Work Start TimeStamp]]="","",(IGA_BD[[#This Row],[Fault Clearance time]]-IGA_BD[[#This Row],[Work Start TimeStamp]])*24)</f>
        <v/>
      </c>
      <c r="Q565" s="57">
        <f>(IGA_BD[[#This Row],[Fault Clearance time]]-IGA_BD[[#This Row],[Fault Start TimeStamp]])*24</f>
        <v>0</v>
      </c>
      <c r="R565" s="153"/>
      <c r="S565" s="44"/>
      <c r="T565" s="45" t="str">
        <f>IFERROR(IGA_BD[[#This Row],[Breakdown Time]]*IGA_BD[[#This Row],[Plant Equivalent Weightage]],"")</f>
        <v/>
      </c>
    </row>
    <row r="566" spans="1:20">
      <c r="A566" s="28"/>
      <c r="B566" s="154"/>
      <c r="C566" s="30">
        <f>YEAR(WTG_BD[[#This Row],[Date]])+IF(MONTH(WTG_BD[[#This Row],[Date]])&gt;=4,1,0)</f>
        <v>2026</v>
      </c>
      <c r="D566" s="31">
        <f>YEAR(IGA_BD[[#This Row],[Date]])</f>
        <v>1900</v>
      </c>
      <c r="E566" s="48">
        <f t="shared" si="11"/>
        <v>1</v>
      </c>
      <c r="F566" s="32"/>
      <c r="G566" s="33"/>
      <c r="H566" s="43" t="str">
        <f>IFERROR(VLOOKUP(IGA_BD[[#This Row],[Affected Feeder ]],'Basic Data'!$A$42:$E$53,2,0),"")</f>
        <v/>
      </c>
      <c r="I566" s="43" t="str">
        <f>IFERROR(VLOOKUP(IGA_BD[[#This Row],[Affected Feeder ]],'Basic Data'!$A$42:$E$53,3,0),"")</f>
        <v/>
      </c>
      <c r="J566" s="43" t="str">
        <f>IFERROR(VLOOKUP(IGA_BD[[#This Row],[Affected Feeder ]],'Basic Data'!$A$42:$E$53,5,0),"")</f>
        <v/>
      </c>
      <c r="K566" s="164"/>
      <c r="L566" s="50"/>
      <c r="M566" s="116"/>
      <c r="N566" s="116"/>
      <c r="O566" s="57">
        <f>(IGA_BD[[#This Row],[Work Start TimeStamp]]-IGA_BD[[#This Row],[Fault Start TimeStamp]])*24</f>
        <v>0</v>
      </c>
      <c r="P566" s="44" t="str">
        <f>IF(IGA_BD[[#This Row],[Work Start TimeStamp]]="","",(IGA_BD[[#This Row],[Fault Clearance time]]-IGA_BD[[#This Row],[Work Start TimeStamp]])*24)</f>
        <v/>
      </c>
      <c r="Q566" s="57">
        <f>(IGA_BD[[#This Row],[Fault Clearance time]]-IGA_BD[[#This Row],[Fault Start TimeStamp]])*24</f>
        <v>0</v>
      </c>
      <c r="R566" s="153"/>
      <c r="S566" s="44"/>
      <c r="T566" s="45" t="str">
        <f>IFERROR(IGA_BD[[#This Row],[Breakdown Time]]*IGA_BD[[#This Row],[Plant Equivalent Weightage]],"")</f>
        <v/>
      </c>
    </row>
    <row r="567" spans="1:20">
      <c r="A567" s="28"/>
      <c r="B567" s="154"/>
      <c r="C567" s="30">
        <f>YEAR(WTG_BD[[#This Row],[Date]])+IF(MONTH(WTG_BD[[#This Row],[Date]])&gt;=4,1,0)</f>
        <v>2026</v>
      </c>
      <c r="D567" s="31">
        <f>YEAR(IGA_BD[[#This Row],[Date]])</f>
        <v>1900</v>
      </c>
      <c r="E567" s="48">
        <f t="shared" si="11"/>
        <v>1</v>
      </c>
      <c r="F567" s="32"/>
      <c r="G567" s="33"/>
      <c r="H567" s="43" t="str">
        <f>IFERROR(VLOOKUP(IGA_BD[[#This Row],[Affected Feeder ]],'Basic Data'!$A$42:$E$53,2,0),"")</f>
        <v/>
      </c>
      <c r="I567" s="43" t="str">
        <f>IFERROR(VLOOKUP(IGA_BD[[#This Row],[Affected Feeder ]],'Basic Data'!$A$42:$E$53,3,0),"")</f>
        <v/>
      </c>
      <c r="J567" s="43" t="str">
        <f>IFERROR(VLOOKUP(IGA_BD[[#This Row],[Affected Feeder ]],'Basic Data'!$A$42:$E$53,5,0),"")</f>
        <v/>
      </c>
      <c r="K567" s="164"/>
      <c r="L567" s="50"/>
      <c r="M567" s="116"/>
      <c r="N567" s="116"/>
      <c r="O567" s="57">
        <f>(IGA_BD[[#This Row],[Work Start TimeStamp]]-IGA_BD[[#This Row],[Fault Start TimeStamp]])*24</f>
        <v>0</v>
      </c>
      <c r="P567" s="44" t="str">
        <f>IF(IGA_BD[[#This Row],[Work Start TimeStamp]]="","",(IGA_BD[[#This Row],[Fault Clearance time]]-IGA_BD[[#This Row],[Work Start TimeStamp]])*24)</f>
        <v/>
      </c>
      <c r="Q567" s="57">
        <f>(IGA_BD[[#This Row],[Fault Clearance time]]-IGA_BD[[#This Row],[Fault Start TimeStamp]])*24</f>
        <v>0</v>
      </c>
      <c r="R567" s="153"/>
      <c r="S567" s="44"/>
      <c r="T567" s="45" t="str">
        <f>IFERROR(IGA_BD[[#This Row],[Breakdown Time]]*IGA_BD[[#This Row],[Plant Equivalent Weightage]],"")</f>
        <v/>
      </c>
    </row>
    <row r="568" spans="1:20">
      <c r="A568" s="28"/>
      <c r="B568" s="154"/>
      <c r="C568" s="30">
        <f>YEAR(WTG_BD[[#This Row],[Date]])+IF(MONTH(WTG_BD[[#This Row],[Date]])&gt;=4,1,0)</f>
        <v>2026</v>
      </c>
      <c r="D568" s="31">
        <f>YEAR(IGA_BD[[#This Row],[Date]])</f>
        <v>1900</v>
      </c>
      <c r="E568" s="48">
        <f t="shared" si="11"/>
        <v>1</v>
      </c>
      <c r="F568" s="32"/>
      <c r="G568" s="33"/>
      <c r="H568" s="43" t="str">
        <f>IFERROR(VLOOKUP(IGA_BD[[#This Row],[Affected Feeder ]],'Basic Data'!$A$42:$E$53,2,0),"")</f>
        <v/>
      </c>
      <c r="I568" s="43" t="str">
        <f>IFERROR(VLOOKUP(IGA_BD[[#This Row],[Affected Feeder ]],'Basic Data'!$A$42:$E$53,3,0),"")</f>
        <v/>
      </c>
      <c r="J568" s="43" t="str">
        <f>IFERROR(VLOOKUP(IGA_BD[[#This Row],[Affected Feeder ]],'Basic Data'!$A$42:$E$53,5,0),"")</f>
        <v/>
      </c>
      <c r="K568" s="164"/>
      <c r="L568" s="50"/>
      <c r="M568" s="116"/>
      <c r="N568" s="116"/>
      <c r="O568" s="57">
        <f>(IGA_BD[[#This Row],[Work Start TimeStamp]]-IGA_BD[[#This Row],[Fault Start TimeStamp]])*24</f>
        <v>0</v>
      </c>
      <c r="P568" s="44" t="str">
        <f>IF(IGA_BD[[#This Row],[Work Start TimeStamp]]="","",(IGA_BD[[#This Row],[Fault Clearance time]]-IGA_BD[[#This Row],[Work Start TimeStamp]])*24)</f>
        <v/>
      </c>
      <c r="Q568" s="57">
        <f>(IGA_BD[[#This Row],[Fault Clearance time]]-IGA_BD[[#This Row],[Fault Start TimeStamp]])*24</f>
        <v>0</v>
      </c>
      <c r="R568" s="153"/>
      <c r="S568" s="44"/>
      <c r="T568" s="45" t="str">
        <f>IFERROR(IGA_BD[[#This Row],[Breakdown Time]]*IGA_BD[[#This Row],[Plant Equivalent Weightage]],"")</f>
        <v/>
      </c>
    </row>
    <row r="569" spans="1:20">
      <c r="A569" s="28"/>
      <c r="B569" s="154"/>
      <c r="C569" s="30">
        <f>YEAR(WTG_BD[[#This Row],[Date]])+IF(MONTH(WTG_BD[[#This Row],[Date]])&gt;=4,1,0)</f>
        <v>2026</v>
      </c>
      <c r="D569" s="31">
        <f>YEAR(IGA_BD[[#This Row],[Date]])</f>
        <v>1900</v>
      </c>
      <c r="E569" s="48">
        <f t="shared" si="11"/>
        <v>1</v>
      </c>
      <c r="F569" s="32"/>
      <c r="G569" s="33"/>
      <c r="H569" s="43" t="str">
        <f>IFERROR(VLOOKUP(IGA_BD[[#This Row],[Affected Feeder ]],'Basic Data'!$A$42:$E$53,2,0),"")</f>
        <v/>
      </c>
      <c r="I569" s="43" t="str">
        <f>IFERROR(VLOOKUP(IGA_BD[[#This Row],[Affected Feeder ]],'Basic Data'!$A$42:$E$53,3,0),"")</f>
        <v/>
      </c>
      <c r="J569" s="43" t="str">
        <f>IFERROR(VLOOKUP(IGA_BD[[#This Row],[Affected Feeder ]],'Basic Data'!$A$42:$E$53,5,0),"")</f>
        <v/>
      </c>
      <c r="K569" s="164"/>
      <c r="L569" s="50"/>
      <c r="M569" s="116"/>
      <c r="N569" s="116"/>
      <c r="O569" s="57">
        <f>(IGA_BD[[#This Row],[Work Start TimeStamp]]-IGA_BD[[#This Row],[Fault Start TimeStamp]])*24</f>
        <v>0</v>
      </c>
      <c r="P569" s="44" t="str">
        <f>IF(IGA_BD[[#This Row],[Work Start TimeStamp]]="","",(IGA_BD[[#This Row],[Fault Clearance time]]-IGA_BD[[#This Row],[Work Start TimeStamp]])*24)</f>
        <v/>
      </c>
      <c r="Q569" s="57">
        <f>(IGA_BD[[#This Row],[Fault Clearance time]]-IGA_BD[[#This Row],[Fault Start TimeStamp]])*24</f>
        <v>0</v>
      </c>
      <c r="R569" s="153"/>
      <c r="S569" s="44"/>
      <c r="T569" s="45" t="str">
        <f>IFERROR(IGA_BD[[#This Row],[Breakdown Time]]*IGA_BD[[#This Row],[Plant Equivalent Weightage]],"")</f>
        <v/>
      </c>
    </row>
    <row r="570" spans="1:20">
      <c r="A570" s="28"/>
      <c r="B570" s="154"/>
      <c r="C570" s="30">
        <f>YEAR(WTG_BD[[#This Row],[Date]])+IF(MONTH(WTG_BD[[#This Row],[Date]])&gt;=4,1,0)</f>
        <v>2026</v>
      </c>
      <c r="D570" s="31">
        <f>YEAR(IGA_BD[[#This Row],[Date]])</f>
        <v>1900</v>
      </c>
      <c r="E570" s="48">
        <f t="shared" si="11"/>
        <v>1</v>
      </c>
      <c r="F570" s="32"/>
      <c r="G570" s="33"/>
      <c r="H570" s="43" t="str">
        <f>IFERROR(VLOOKUP(IGA_BD[[#This Row],[Affected Feeder ]],'Basic Data'!$A$42:$E$53,2,0),"")</f>
        <v/>
      </c>
      <c r="I570" s="43" t="str">
        <f>IFERROR(VLOOKUP(IGA_BD[[#This Row],[Affected Feeder ]],'Basic Data'!$A$42:$E$53,3,0),"")</f>
        <v/>
      </c>
      <c r="J570" s="43" t="str">
        <f>IFERROR(VLOOKUP(IGA_BD[[#This Row],[Affected Feeder ]],'Basic Data'!$A$42:$E$53,5,0),"")</f>
        <v/>
      </c>
      <c r="K570" s="164"/>
      <c r="L570" s="50"/>
      <c r="M570" s="116"/>
      <c r="N570" s="116"/>
      <c r="O570" s="57">
        <f>(IGA_BD[[#This Row],[Work Start TimeStamp]]-IGA_BD[[#This Row],[Fault Start TimeStamp]])*24</f>
        <v>0</v>
      </c>
      <c r="P570" s="44" t="str">
        <f>IF(IGA_BD[[#This Row],[Work Start TimeStamp]]="","",(IGA_BD[[#This Row],[Fault Clearance time]]-IGA_BD[[#This Row],[Work Start TimeStamp]])*24)</f>
        <v/>
      </c>
      <c r="Q570" s="57">
        <f>(IGA_BD[[#This Row],[Fault Clearance time]]-IGA_BD[[#This Row],[Fault Start TimeStamp]])*24</f>
        <v>0</v>
      </c>
      <c r="R570" s="153"/>
      <c r="S570" s="44"/>
      <c r="T570" s="45" t="str">
        <f>IFERROR(IGA_BD[[#This Row],[Breakdown Time]]*IGA_BD[[#This Row],[Plant Equivalent Weightage]],"")</f>
        <v/>
      </c>
    </row>
    <row r="571" spans="1:20">
      <c r="A571" s="28"/>
      <c r="B571" s="154"/>
      <c r="C571" s="30">
        <f>YEAR(WTG_BD[[#This Row],[Date]])+IF(MONTH(WTG_BD[[#This Row],[Date]])&gt;=4,1,0)</f>
        <v>2026</v>
      </c>
      <c r="D571" s="31">
        <f>YEAR(IGA_BD[[#This Row],[Date]])</f>
        <v>1900</v>
      </c>
      <c r="E571" s="48">
        <f t="shared" si="11"/>
        <v>1</v>
      </c>
      <c r="F571" s="32"/>
      <c r="G571" s="33"/>
      <c r="H571" s="43" t="str">
        <f>IFERROR(VLOOKUP(IGA_BD[[#This Row],[Affected Feeder ]],'Basic Data'!$A$42:$E$53,2,0),"")</f>
        <v/>
      </c>
      <c r="I571" s="43" t="str">
        <f>IFERROR(VLOOKUP(IGA_BD[[#This Row],[Affected Feeder ]],'Basic Data'!$A$42:$E$53,3,0),"")</f>
        <v/>
      </c>
      <c r="J571" s="43" t="str">
        <f>IFERROR(VLOOKUP(IGA_BD[[#This Row],[Affected Feeder ]],'Basic Data'!$A$42:$E$53,5,0),"")</f>
        <v/>
      </c>
      <c r="K571" s="164"/>
      <c r="L571" s="50"/>
      <c r="M571" s="116"/>
      <c r="N571" s="116"/>
      <c r="O571" s="57">
        <f>(IGA_BD[[#This Row],[Work Start TimeStamp]]-IGA_BD[[#This Row],[Fault Start TimeStamp]])*24</f>
        <v>0</v>
      </c>
      <c r="P571" s="44" t="str">
        <f>IF(IGA_BD[[#This Row],[Work Start TimeStamp]]="","",(IGA_BD[[#This Row],[Fault Clearance time]]-IGA_BD[[#This Row],[Work Start TimeStamp]])*24)</f>
        <v/>
      </c>
      <c r="Q571" s="57">
        <f>(IGA_BD[[#This Row],[Fault Clearance time]]-IGA_BD[[#This Row],[Fault Start TimeStamp]])*24</f>
        <v>0</v>
      </c>
      <c r="R571" s="153"/>
      <c r="S571" s="44"/>
      <c r="T571" s="45" t="str">
        <f>IFERROR(IGA_BD[[#This Row],[Breakdown Time]]*IGA_BD[[#This Row],[Plant Equivalent Weightage]],"")</f>
        <v/>
      </c>
    </row>
    <row r="572" spans="1:20">
      <c r="A572" s="28"/>
      <c r="B572" s="154"/>
      <c r="C572" s="30">
        <f>YEAR(WTG_BD[[#This Row],[Date]])+IF(MONTH(WTG_BD[[#This Row],[Date]])&gt;=4,1,0)</f>
        <v>2026</v>
      </c>
      <c r="D572" s="31">
        <f>YEAR(IGA_BD[[#This Row],[Date]])</f>
        <v>1900</v>
      </c>
      <c r="E572" s="48">
        <f t="shared" si="11"/>
        <v>1</v>
      </c>
      <c r="F572" s="32"/>
      <c r="G572" s="33"/>
      <c r="H572" s="43" t="str">
        <f>IFERROR(VLOOKUP(IGA_BD[[#This Row],[Affected Feeder ]],'Basic Data'!$A$42:$E$53,2,0),"")</f>
        <v/>
      </c>
      <c r="I572" s="43" t="str">
        <f>IFERROR(VLOOKUP(IGA_BD[[#This Row],[Affected Feeder ]],'Basic Data'!$A$42:$E$53,3,0),"")</f>
        <v/>
      </c>
      <c r="J572" s="43" t="str">
        <f>IFERROR(VLOOKUP(IGA_BD[[#This Row],[Affected Feeder ]],'Basic Data'!$A$42:$E$53,5,0),"")</f>
        <v/>
      </c>
      <c r="K572" s="164"/>
      <c r="L572" s="50"/>
      <c r="M572" s="116"/>
      <c r="N572" s="116"/>
      <c r="O572" s="57">
        <f>(IGA_BD[[#This Row],[Work Start TimeStamp]]-IGA_BD[[#This Row],[Fault Start TimeStamp]])*24</f>
        <v>0</v>
      </c>
      <c r="P572" s="44" t="str">
        <f>IF(IGA_BD[[#This Row],[Work Start TimeStamp]]="","",(IGA_BD[[#This Row],[Fault Clearance time]]-IGA_BD[[#This Row],[Work Start TimeStamp]])*24)</f>
        <v/>
      </c>
      <c r="Q572" s="57">
        <f>(IGA_BD[[#This Row],[Fault Clearance time]]-IGA_BD[[#This Row],[Fault Start TimeStamp]])*24</f>
        <v>0</v>
      </c>
      <c r="R572" s="153"/>
      <c r="S572" s="44"/>
      <c r="T572" s="45" t="str">
        <f>IFERROR(IGA_BD[[#This Row],[Breakdown Time]]*IGA_BD[[#This Row],[Plant Equivalent Weightage]],"")</f>
        <v/>
      </c>
    </row>
    <row r="573" spans="1:20">
      <c r="A573" s="28"/>
      <c r="B573" s="154"/>
      <c r="C573" s="30">
        <f>YEAR(WTG_BD[[#This Row],[Date]])+IF(MONTH(WTG_BD[[#This Row],[Date]])&gt;=4,1,0)</f>
        <v>2026</v>
      </c>
      <c r="D573" s="31">
        <f>YEAR(IGA_BD[[#This Row],[Date]])</f>
        <v>1900</v>
      </c>
      <c r="E573" s="48">
        <f t="shared" si="11"/>
        <v>1</v>
      </c>
      <c r="F573" s="32"/>
      <c r="G573" s="33"/>
      <c r="H573" s="43" t="str">
        <f>IFERROR(VLOOKUP(IGA_BD[[#This Row],[Affected Feeder ]],'Basic Data'!$A$42:$E$53,2,0),"")</f>
        <v/>
      </c>
      <c r="I573" s="43" t="str">
        <f>IFERROR(VLOOKUP(IGA_BD[[#This Row],[Affected Feeder ]],'Basic Data'!$A$42:$E$53,3,0),"")</f>
        <v/>
      </c>
      <c r="J573" s="43" t="str">
        <f>IFERROR(VLOOKUP(IGA_BD[[#This Row],[Affected Feeder ]],'Basic Data'!$A$42:$E$53,5,0),"")</f>
        <v/>
      </c>
      <c r="K573" s="164"/>
      <c r="L573" s="50"/>
      <c r="M573" s="116"/>
      <c r="N573" s="116"/>
      <c r="O573" s="57">
        <f>(IGA_BD[[#This Row],[Work Start TimeStamp]]-IGA_BD[[#This Row],[Fault Start TimeStamp]])*24</f>
        <v>0</v>
      </c>
      <c r="P573" s="44" t="str">
        <f>IF(IGA_BD[[#This Row],[Work Start TimeStamp]]="","",(IGA_BD[[#This Row],[Fault Clearance time]]-IGA_BD[[#This Row],[Work Start TimeStamp]])*24)</f>
        <v/>
      </c>
      <c r="Q573" s="57">
        <f>(IGA_BD[[#This Row],[Fault Clearance time]]-IGA_BD[[#This Row],[Fault Start TimeStamp]])*24</f>
        <v>0</v>
      </c>
      <c r="R573" s="153"/>
      <c r="S573" s="44"/>
      <c r="T573" s="45" t="str">
        <f>IFERROR(IGA_BD[[#This Row],[Breakdown Time]]*IGA_BD[[#This Row],[Plant Equivalent Weightage]],"")</f>
        <v/>
      </c>
    </row>
    <row r="574" spans="1:20">
      <c r="A574" s="28"/>
      <c r="B574" s="154"/>
      <c r="C574" s="30">
        <f>YEAR(WTG_BD[[#This Row],[Date]])+IF(MONTH(WTG_BD[[#This Row],[Date]])&gt;=4,1,0)</f>
        <v>2026</v>
      </c>
      <c r="D574" s="31">
        <f>YEAR(IGA_BD[[#This Row],[Date]])</f>
        <v>1900</v>
      </c>
      <c r="E574" s="48">
        <f t="shared" si="11"/>
        <v>1</v>
      </c>
      <c r="F574" s="32"/>
      <c r="G574" s="33"/>
      <c r="H574" s="43" t="str">
        <f>IFERROR(VLOOKUP(IGA_BD[[#This Row],[Affected Feeder ]],'Basic Data'!$A$42:$E$53,2,0),"")</f>
        <v/>
      </c>
      <c r="I574" s="43" t="str">
        <f>IFERROR(VLOOKUP(IGA_BD[[#This Row],[Affected Feeder ]],'Basic Data'!$A$42:$E$53,3,0),"")</f>
        <v/>
      </c>
      <c r="J574" s="43" t="str">
        <f>IFERROR(VLOOKUP(IGA_BD[[#This Row],[Affected Feeder ]],'Basic Data'!$A$42:$E$53,5,0),"")</f>
        <v/>
      </c>
      <c r="K574" s="164"/>
      <c r="L574" s="50"/>
      <c r="M574" s="116"/>
      <c r="N574" s="116"/>
      <c r="O574" s="57">
        <f>(IGA_BD[[#This Row],[Work Start TimeStamp]]-IGA_BD[[#This Row],[Fault Start TimeStamp]])*24</f>
        <v>0</v>
      </c>
      <c r="P574" s="44" t="str">
        <f>IF(IGA_BD[[#This Row],[Work Start TimeStamp]]="","",(IGA_BD[[#This Row],[Fault Clearance time]]-IGA_BD[[#This Row],[Work Start TimeStamp]])*24)</f>
        <v/>
      </c>
      <c r="Q574" s="57">
        <f>(IGA_BD[[#This Row],[Fault Clearance time]]-IGA_BD[[#This Row],[Fault Start TimeStamp]])*24</f>
        <v>0</v>
      </c>
      <c r="R574" s="153"/>
      <c r="S574" s="44"/>
      <c r="T574" s="45" t="str">
        <f>IFERROR(IGA_BD[[#This Row],[Breakdown Time]]*IGA_BD[[#This Row],[Plant Equivalent Weightage]],"")</f>
        <v/>
      </c>
    </row>
    <row r="575" spans="1:20">
      <c r="A575" s="28"/>
      <c r="B575" s="154"/>
      <c r="C575" s="30">
        <f>YEAR(WTG_BD[[#This Row],[Date]])+IF(MONTH(WTG_BD[[#This Row],[Date]])&gt;=4,1,0)</f>
        <v>2026</v>
      </c>
      <c r="D575" s="31">
        <f>YEAR(IGA_BD[[#This Row],[Date]])</f>
        <v>1900</v>
      </c>
      <c r="E575" s="48">
        <f t="shared" si="11"/>
        <v>1</v>
      </c>
      <c r="F575" s="32"/>
      <c r="G575" s="33"/>
      <c r="H575" s="43" t="str">
        <f>IFERROR(VLOOKUP(IGA_BD[[#This Row],[Affected Feeder ]],'Basic Data'!$A$42:$E$53,2,0),"")</f>
        <v/>
      </c>
      <c r="I575" s="43" t="str">
        <f>IFERROR(VLOOKUP(IGA_BD[[#This Row],[Affected Feeder ]],'Basic Data'!$A$42:$E$53,3,0),"")</f>
        <v/>
      </c>
      <c r="J575" s="43" t="str">
        <f>IFERROR(VLOOKUP(IGA_BD[[#This Row],[Affected Feeder ]],'Basic Data'!$A$42:$E$53,5,0),"")</f>
        <v/>
      </c>
      <c r="K575" s="164"/>
      <c r="L575" s="50"/>
      <c r="M575" s="116"/>
      <c r="N575" s="116"/>
      <c r="O575" s="57">
        <f>(IGA_BD[[#This Row],[Work Start TimeStamp]]-IGA_BD[[#This Row],[Fault Start TimeStamp]])*24</f>
        <v>0</v>
      </c>
      <c r="P575" s="44" t="str">
        <f>IF(IGA_BD[[#This Row],[Work Start TimeStamp]]="","",(IGA_BD[[#This Row],[Fault Clearance time]]-IGA_BD[[#This Row],[Work Start TimeStamp]])*24)</f>
        <v/>
      </c>
      <c r="Q575" s="57">
        <f>(IGA_BD[[#This Row],[Fault Clearance time]]-IGA_BD[[#This Row],[Fault Start TimeStamp]])*24</f>
        <v>0</v>
      </c>
      <c r="R575" s="153"/>
      <c r="S575" s="44"/>
      <c r="T575" s="45" t="str">
        <f>IFERROR(IGA_BD[[#This Row],[Breakdown Time]]*IGA_BD[[#This Row],[Plant Equivalent Weightage]],"")</f>
        <v/>
      </c>
    </row>
    <row r="576" spans="1:20">
      <c r="A576" s="28"/>
      <c r="B576" s="154"/>
      <c r="C576" s="30">
        <f>YEAR(WTG_BD[[#This Row],[Date]])+IF(MONTH(WTG_BD[[#This Row],[Date]])&gt;=4,1,0)</f>
        <v>2026</v>
      </c>
      <c r="D576" s="31">
        <f>YEAR(IGA_BD[[#This Row],[Date]])</f>
        <v>1900</v>
      </c>
      <c r="E576" s="48">
        <f t="shared" si="11"/>
        <v>1</v>
      </c>
      <c r="F576" s="32"/>
      <c r="G576" s="33"/>
      <c r="H576" s="43" t="str">
        <f>IFERROR(VLOOKUP(IGA_BD[[#This Row],[Affected Feeder ]],'Basic Data'!$A$42:$E$53,2,0),"")</f>
        <v/>
      </c>
      <c r="I576" s="43" t="str">
        <f>IFERROR(VLOOKUP(IGA_BD[[#This Row],[Affected Feeder ]],'Basic Data'!$A$42:$E$53,3,0),"")</f>
        <v/>
      </c>
      <c r="J576" s="43" t="str">
        <f>IFERROR(VLOOKUP(IGA_BD[[#This Row],[Affected Feeder ]],'Basic Data'!$A$42:$E$53,5,0),"")</f>
        <v/>
      </c>
      <c r="K576" s="164"/>
      <c r="L576" s="50"/>
      <c r="M576" s="116"/>
      <c r="N576" s="116"/>
      <c r="O576" s="57">
        <f>(IGA_BD[[#This Row],[Work Start TimeStamp]]-IGA_BD[[#This Row],[Fault Start TimeStamp]])*24</f>
        <v>0</v>
      </c>
      <c r="P576" s="44" t="str">
        <f>IF(IGA_BD[[#This Row],[Work Start TimeStamp]]="","",(IGA_BD[[#This Row],[Fault Clearance time]]-IGA_BD[[#This Row],[Work Start TimeStamp]])*24)</f>
        <v/>
      </c>
      <c r="Q576" s="57">
        <f>(IGA_BD[[#This Row],[Fault Clearance time]]-IGA_BD[[#This Row],[Fault Start TimeStamp]])*24</f>
        <v>0</v>
      </c>
      <c r="R576" s="153"/>
      <c r="S576" s="44"/>
      <c r="T576" s="45" t="str">
        <f>IFERROR(IGA_BD[[#This Row],[Breakdown Time]]*IGA_BD[[#This Row],[Plant Equivalent Weightage]],"")</f>
        <v/>
      </c>
    </row>
    <row r="577" spans="1:20">
      <c r="A577" s="28"/>
      <c r="B577" s="154"/>
      <c r="C577" s="30">
        <f>YEAR(WTG_BD[[#This Row],[Date]])+IF(MONTH(WTG_BD[[#This Row],[Date]])&gt;=4,1,0)</f>
        <v>2026</v>
      </c>
      <c r="D577" s="31">
        <f>YEAR(IGA_BD[[#This Row],[Date]])</f>
        <v>1900</v>
      </c>
      <c r="E577" s="48">
        <f t="shared" si="11"/>
        <v>1</v>
      </c>
      <c r="F577" s="32"/>
      <c r="G577" s="33"/>
      <c r="H577" s="43" t="str">
        <f>IFERROR(VLOOKUP(IGA_BD[[#This Row],[Affected Feeder ]],'Basic Data'!$A$42:$E$53,2,0),"")</f>
        <v/>
      </c>
      <c r="I577" s="43" t="str">
        <f>IFERROR(VLOOKUP(IGA_BD[[#This Row],[Affected Feeder ]],'Basic Data'!$A$42:$E$53,3,0),"")</f>
        <v/>
      </c>
      <c r="J577" s="43" t="str">
        <f>IFERROR(VLOOKUP(IGA_BD[[#This Row],[Affected Feeder ]],'Basic Data'!$A$42:$E$53,5,0),"")</f>
        <v/>
      </c>
      <c r="K577" s="164"/>
      <c r="L577" s="50"/>
      <c r="M577" s="116"/>
      <c r="N577" s="116"/>
      <c r="O577" s="57">
        <f>(IGA_BD[[#This Row],[Work Start TimeStamp]]-IGA_BD[[#This Row],[Fault Start TimeStamp]])*24</f>
        <v>0</v>
      </c>
      <c r="P577" s="44" t="str">
        <f>IF(IGA_BD[[#This Row],[Work Start TimeStamp]]="","",(IGA_BD[[#This Row],[Fault Clearance time]]-IGA_BD[[#This Row],[Work Start TimeStamp]])*24)</f>
        <v/>
      </c>
      <c r="Q577" s="57">
        <f>(IGA_BD[[#This Row],[Fault Clearance time]]-IGA_BD[[#This Row],[Fault Start TimeStamp]])*24</f>
        <v>0</v>
      </c>
      <c r="R577" s="153"/>
      <c r="S577" s="44"/>
      <c r="T577" s="45" t="str">
        <f>IFERROR(IGA_BD[[#This Row],[Breakdown Time]]*IGA_BD[[#This Row],[Plant Equivalent Weightage]],"")</f>
        <v/>
      </c>
    </row>
    <row r="578" spans="1:20">
      <c r="A578" s="28"/>
      <c r="B578" s="154"/>
      <c r="C578" s="30">
        <f>YEAR(WTG_BD[[#This Row],[Date]])+IF(MONTH(WTG_BD[[#This Row],[Date]])&gt;=4,1,0)</f>
        <v>2026</v>
      </c>
      <c r="D578" s="31">
        <f>YEAR(IGA_BD[[#This Row],[Date]])</f>
        <v>1900</v>
      </c>
      <c r="E578" s="48">
        <f t="shared" si="11"/>
        <v>1</v>
      </c>
      <c r="F578" s="32"/>
      <c r="G578" s="33"/>
      <c r="H578" s="43" t="str">
        <f>IFERROR(VLOOKUP(IGA_BD[[#This Row],[Affected Feeder ]],'Basic Data'!$A$42:$E$53,2,0),"")</f>
        <v/>
      </c>
      <c r="I578" s="43" t="str">
        <f>IFERROR(VLOOKUP(IGA_BD[[#This Row],[Affected Feeder ]],'Basic Data'!$A$42:$E$53,3,0),"")</f>
        <v/>
      </c>
      <c r="J578" s="43" t="str">
        <f>IFERROR(VLOOKUP(IGA_BD[[#This Row],[Affected Feeder ]],'Basic Data'!$A$42:$E$53,5,0),"")</f>
        <v/>
      </c>
      <c r="K578" s="164"/>
      <c r="L578" s="50"/>
      <c r="M578" s="116"/>
      <c r="N578" s="116"/>
      <c r="O578" s="57">
        <f>(IGA_BD[[#This Row],[Work Start TimeStamp]]-IGA_BD[[#This Row],[Fault Start TimeStamp]])*24</f>
        <v>0</v>
      </c>
      <c r="P578" s="44" t="str">
        <f>IF(IGA_BD[[#This Row],[Work Start TimeStamp]]="","",(IGA_BD[[#This Row],[Fault Clearance time]]-IGA_BD[[#This Row],[Work Start TimeStamp]])*24)</f>
        <v/>
      </c>
      <c r="Q578" s="57">
        <f>(IGA_BD[[#This Row],[Fault Clearance time]]-IGA_BD[[#This Row],[Fault Start TimeStamp]])*24</f>
        <v>0</v>
      </c>
      <c r="R578" s="153"/>
      <c r="S578" s="44"/>
      <c r="T578" s="45" t="str">
        <f>IFERROR(IGA_BD[[#This Row],[Breakdown Time]]*IGA_BD[[#This Row],[Plant Equivalent Weightage]],"")</f>
        <v/>
      </c>
    </row>
    <row r="579" spans="1:20">
      <c r="A579" s="28"/>
      <c r="B579" s="154"/>
      <c r="C579" s="30">
        <f>YEAR(WTG_BD[[#This Row],[Date]])+IF(MONTH(WTG_BD[[#This Row],[Date]])&gt;=4,1,0)</f>
        <v>2026</v>
      </c>
      <c r="D579" s="31">
        <f>YEAR(IGA_BD[[#This Row],[Date]])</f>
        <v>1900</v>
      </c>
      <c r="E579" s="48">
        <f t="shared" si="11"/>
        <v>1</v>
      </c>
      <c r="F579" s="32"/>
      <c r="G579" s="33"/>
      <c r="H579" s="43" t="str">
        <f>IFERROR(VLOOKUP(IGA_BD[[#This Row],[Affected Feeder ]],'Basic Data'!$A$42:$E$53,2,0),"")</f>
        <v/>
      </c>
      <c r="I579" s="43" t="str">
        <f>IFERROR(VLOOKUP(IGA_BD[[#This Row],[Affected Feeder ]],'Basic Data'!$A$42:$E$53,3,0),"")</f>
        <v/>
      </c>
      <c r="J579" s="43" t="str">
        <f>IFERROR(VLOOKUP(IGA_BD[[#This Row],[Affected Feeder ]],'Basic Data'!$A$42:$E$53,5,0),"")</f>
        <v/>
      </c>
      <c r="K579" s="164"/>
      <c r="L579" s="50"/>
      <c r="M579" s="116"/>
      <c r="N579" s="116"/>
      <c r="O579" s="57">
        <f>(IGA_BD[[#This Row],[Work Start TimeStamp]]-IGA_BD[[#This Row],[Fault Start TimeStamp]])*24</f>
        <v>0</v>
      </c>
      <c r="P579" s="44" t="str">
        <f>IF(IGA_BD[[#This Row],[Work Start TimeStamp]]="","",(IGA_BD[[#This Row],[Fault Clearance time]]-IGA_BD[[#This Row],[Work Start TimeStamp]])*24)</f>
        <v/>
      </c>
      <c r="Q579" s="57">
        <f>(IGA_BD[[#This Row],[Fault Clearance time]]-IGA_BD[[#This Row],[Fault Start TimeStamp]])*24</f>
        <v>0</v>
      </c>
      <c r="R579" s="153"/>
      <c r="S579" s="44"/>
      <c r="T579" s="45" t="str">
        <f>IFERROR(IGA_BD[[#This Row],[Breakdown Time]]*IGA_BD[[#This Row],[Plant Equivalent Weightage]],"")</f>
        <v/>
      </c>
    </row>
    <row r="580" spans="1:20">
      <c r="A580" s="28"/>
      <c r="B580" s="154"/>
      <c r="C580" s="30">
        <f>YEAR(WTG_BD[[#This Row],[Date]])+IF(MONTH(WTG_BD[[#This Row],[Date]])&gt;=4,1,0)</f>
        <v>2026</v>
      </c>
      <c r="D580" s="31">
        <f>YEAR(IGA_BD[[#This Row],[Date]])</f>
        <v>1900</v>
      </c>
      <c r="E580" s="48">
        <f t="shared" si="11"/>
        <v>1</v>
      </c>
      <c r="F580" s="32"/>
      <c r="G580" s="33"/>
      <c r="H580" s="43" t="str">
        <f>IFERROR(VLOOKUP(IGA_BD[[#This Row],[Affected Feeder ]],'Basic Data'!$A$42:$E$53,2,0),"")</f>
        <v/>
      </c>
      <c r="I580" s="43" t="str">
        <f>IFERROR(VLOOKUP(IGA_BD[[#This Row],[Affected Feeder ]],'Basic Data'!$A$42:$E$53,3,0),"")</f>
        <v/>
      </c>
      <c r="J580" s="43" t="str">
        <f>IFERROR(VLOOKUP(IGA_BD[[#This Row],[Affected Feeder ]],'Basic Data'!$A$42:$E$53,5,0),"")</f>
        <v/>
      </c>
      <c r="K580" s="164"/>
      <c r="L580" s="50"/>
      <c r="M580" s="116"/>
      <c r="N580" s="116"/>
      <c r="O580" s="57">
        <f>(IGA_BD[[#This Row],[Work Start TimeStamp]]-IGA_BD[[#This Row],[Fault Start TimeStamp]])*24</f>
        <v>0</v>
      </c>
      <c r="P580" s="44" t="str">
        <f>IF(IGA_BD[[#This Row],[Work Start TimeStamp]]="","",(IGA_BD[[#This Row],[Fault Clearance time]]-IGA_BD[[#This Row],[Work Start TimeStamp]])*24)</f>
        <v/>
      </c>
      <c r="Q580" s="57">
        <f>(IGA_BD[[#This Row],[Fault Clearance time]]-IGA_BD[[#This Row],[Fault Start TimeStamp]])*24</f>
        <v>0</v>
      </c>
      <c r="R580" s="153"/>
      <c r="S580" s="44"/>
      <c r="T580" s="45" t="str">
        <f>IFERROR(IGA_BD[[#This Row],[Breakdown Time]]*IGA_BD[[#This Row],[Plant Equivalent Weightage]],"")</f>
        <v/>
      </c>
    </row>
    <row r="581" spans="1:20">
      <c r="A581" s="28"/>
      <c r="B581" s="154"/>
      <c r="C581" s="30">
        <f>YEAR(WTG_BD[[#This Row],[Date]])+IF(MONTH(WTG_BD[[#This Row],[Date]])&gt;=4,1,0)</f>
        <v>2026</v>
      </c>
      <c r="D581" s="31">
        <f>YEAR(IGA_BD[[#This Row],[Date]])</f>
        <v>1900</v>
      </c>
      <c r="E581" s="48">
        <f t="shared" si="11"/>
        <v>1</v>
      </c>
      <c r="F581" s="32"/>
      <c r="G581" s="33"/>
      <c r="H581" s="43" t="str">
        <f>IFERROR(VLOOKUP(IGA_BD[[#This Row],[Affected Feeder ]],'Basic Data'!$A$42:$E$53,2,0),"")</f>
        <v/>
      </c>
      <c r="I581" s="43" t="str">
        <f>IFERROR(VLOOKUP(IGA_BD[[#This Row],[Affected Feeder ]],'Basic Data'!$A$42:$E$53,3,0),"")</f>
        <v/>
      </c>
      <c r="J581" s="43" t="str">
        <f>IFERROR(VLOOKUP(IGA_BD[[#This Row],[Affected Feeder ]],'Basic Data'!$A$42:$E$53,5,0),"")</f>
        <v/>
      </c>
      <c r="K581" s="164"/>
      <c r="L581" s="50"/>
      <c r="M581" s="116"/>
      <c r="N581" s="116"/>
      <c r="O581" s="57">
        <f>(IGA_BD[[#This Row],[Work Start TimeStamp]]-IGA_BD[[#This Row],[Fault Start TimeStamp]])*24</f>
        <v>0</v>
      </c>
      <c r="P581" s="44" t="str">
        <f>IF(IGA_BD[[#This Row],[Work Start TimeStamp]]="","",(IGA_BD[[#This Row],[Fault Clearance time]]-IGA_BD[[#This Row],[Work Start TimeStamp]])*24)</f>
        <v/>
      </c>
      <c r="Q581" s="57">
        <f>(IGA_BD[[#This Row],[Fault Clearance time]]-IGA_BD[[#This Row],[Fault Start TimeStamp]])*24</f>
        <v>0</v>
      </c>
      <c r="R581" s="153"/>
      <c r="S581" s="44"/>
      <c r="T581" s="45" t="str">
        <f>IFERROR(IGA_BD[[#This Row],[Breakdown Time]]*IGA_BD[[#This Row],[Plant Equivalent Weightage]],"")</f>
        <v/>
      </c>
    </row>
    <row r="582" spans="1:20">
      <c r="A582" s="28"/>
      <c r="B582" s="154"/>
      <c r="C582" s="30">
        <f>YEAR(WTG_BD[[#This Row],[Date]])+IF(MONTH(WTG_BD[[#This Row],[Date]])&gt;=4,1,0)</f>
        <v>2026</v>
      </c>
      <c r="D582" s="31">
        <f>YEAR(IGA_BD[[#This Row],[Date]])</f>
        <v>1900</v>
      </c>
      <c r="E582" s="48">
        <f t="shared" si="11"/>
        <v>1</v>
      </c>
      <c r="F582" s="32"/>
      <c r="G582" s="33"/>
      <c r="H582" s="43" t="str">
        <f>IFERROR(VLOOKUP(IGA_BD[[#This Row],[Affected Feeder ]],'Basic Data'!$A$42:$E$53,2,0),"")</f>
        <v/>
      </c>
      <c r="I582" s="43" t="str">
        <f>IFERROR(VLOOKUP(IGA_BD[[#This Row],[Affected Feeder ]],'Basic Data'!$A$42:$E$53,3,0),"")</f>
        <v/>
      </c>
      <c r="J582" s="43" t="str">
        <f>IFERROR(VLOOKUP(IGA_BD[[#This Row],[Affected Feeder ]],'Basic Data'!$A$42:$E$53,5,0),"")</f>
        <v/>
      </c>
      <c r="K582" s="164"/>
      <c r="L582" s="50"/>
      <c r="M582" s="116"/>
      <c r="N582" s="116"/>
      <c r="O582" s="57">
        <f>(IGA_BD[[#This Row],[Work Start TimeStamp]]-IGA_BD[[#This Row],[Fault Start TimeStamp]])*24</f>
        <v>0</v>
      </c>
      <c r="P582" s="44" t="str">
        <f>IF(IGA_BD[[#This Row],[Work Start TimeStamp]]="","",(IGA_BD[[#This Row],[Fault Clearance time]]-IGA_BD[[#This Row],[Work Start TimeStamp]])*24)</f>
        <v/>
      </c>
      <c r="Q582" s="57">
        <f>(IGA_BD[[#This Row],[Fault Clearance time]]-IGA_BD[[#This Row],[Fault Start TimeStamp]])*24</f>
        <v>0</v>
      </c>
      <c r="R582" s="153"/>
      <c r="S582" s="44"/>
      <c r="T582" s="45" t="str">
        <f>IFERROR(IGA_BD[[#This Row],[Breakdown Time]]*IGA_BD[[#This Row],[Plant Equivalent Weightage]],"")</f>
        <v/>
      </c>
    </row>
    <row r="583" spans="1:20">
      <c r="A583" s="28"/>
      <c r="B583" s="154"/>
      <c r="C583" s="30">
        <f>YEAR(WTG_BD[[#This Row],[Date]])+IF(MONTH(WTG_BD[[#This Row],[Date]])&gt;=4,1,0)</f>
        <v>2026</v>
      </c>
      <c r="D583" s="31">
        <f>YEAR(IGA_BD[[#This Row],[Date]])</f>
        <v>1900</v>
      </c>
      <c r="E583" s="48">
        <f t="shared" si="11"/>
        <v>1</v>
      </c>
      <c r="F583" s="32"/>
      <c r="G583" s="33"/>
      <c r="H583" s="43" t="str">
        <f>IFERROR(VLOOKUP(IGA_BD[[#This Row],[Affected Feeder ]],'Basic Data'!$A$42:$E$53,2,0),"")</f>
        <v/>
      </c>
      <c r="I583" s="43" t="str">
        <f>IFERROR(VLOOKUP(IGA_BD[[#This Row],[Affected Feeder ]],'Basic Data'!$A$42:$E$53,3,0),"")</f>
        <v/>
      </c>
      <c r="J583" s="43" t="str">
        <f>IFERROR(VLOOKUP(IGA_BD[[#This Row],[Affected Feeder ]],'Basic Data'!$A$42:$E$53,5,0),"")</f>
        <v/>
      </c>
      <c r="K583" s="164"/>
      <c r="L583" s="50"/>
      <c r="M583" s="116"/>
      <c r="N583" s="116"/>
      <c r="O583" s="57">
        <f>(IGA_BD[[#This Row],[Work Start TimeStamp]]-IGA_BD[[#This Row],[Fault Start TimeStamp]])*24</f>
        <v>0</v>
      </c>
      <c r="P583" s="44" t="str">
        <f>IF(IGA_BD[[#This Row],[Work Start TimeStamp]]="","",(IGA_BD[[#This Row],[Fault Clearance time]]-IGA_BD[[#This Row],[Work Start TimeStamp]])*24)</f>
        <v/>
      </c>
      <c r="Q583" s="57">
        <f>(IGA_BD[[#This Row],[Fault Clearance time]]-IGA_BD[[#This Row],[Fault Start TimeStamp]])*24</f>
        <v>0</v>
      </c>
      <c r="R583" s="153"/>
      <c r="S583" s="44"/>
      <c r="T583" s="45" t="str">
        <f>IFERROR(IGA_BD[[#This Row],[Breakdown Time]]*IGA_BD[[#This Row],[Plant Equivalent Weightage]],"")</f>
        <v/>
      </c>
    </row>
    <row r="584" spans="1:20">
      <c r="A584" s="28"/>
      <c r="B584" s="154"/>
      <c r="C584" s="30">
        <f>YEAR(WTG_BD[[#This Row],[Date]])+IF(MONTH(WTG_BD[[#This Row],[Date]])&gt;=4,1,0)</f>
        <v>2026</v>
      </c>
      <c r="D584" s="31">
        <f>YEAR(IGA_BD[[#This Row],[Date]])</f>
        <v>1900</v>
      </c>
      <c r="E584" s="48">
        <f t="shared" si="11"/>
        <v>1</v>
      </c>
      <c r="F584" s="32"/>
      <c r="G584" s="33"/>
      <c r="H584" s="43" t="str">
        <f>IFERROR(VLOOKUP(IGA_BD[[#This Row],[Affected Feeder ]],'Basic Data'!$A$42:$E$53,2,0),"")</f>
        <v/>
      </c>
      <c r="I584" s="43" t="str">
        <f>IFERROR(VLOOKUP(IGA_BD[[#This Row],[Affected Feeder ]],'Basic Data'!$A$42:$E$53,3,0),"")</f>
        <v/>
      </c>
      <c r="J584" s="43" t="str">
        <f>IFERROR(VLOOKUP(IGA_BD[[#This Row],[Affected Feeder ]],'Basic Data'!$A$42:$E$53,5,0),"")</f>
        <v/>
      </c>
      <c r="K584" s="164"/>
      <c r="L584" s="50"/>
      <c r="M584" s="116"/>
      <c r="N584" s="116"/>
      <c r="O584" s="57">
        <f>(IGA_BD[[#This Row],[Work Start TimeStamp]]-IGA_BD[[#This Row],[Fault Start TimeStamp]])*24</f>
        <v>0</v>
      </c>
      <c r="P584" s="44" t="str">
        <f>IF(IGA_BD[[#This Row],[Work Start TimeStamp]]="","",(IGA_BD[[#This Row],[Fault Clearance time]]-IGA_BD[[#This Row],[Work Start TimeStamp]])*24)</f>
        <v/>
      </c>
      <c r="Q584" s="57">
        <f>(IGA_BD[[#This Row],[Fault Clearance time]]-IGA_BD[[#This Row],[Fault Start TimeStamp]])*24</f>
        <v>0</v>
      </c>
      <c r="R584" s="153"/>
      <c r="S584" s="44"/>
      <c r="T584" s="45" t="str">
        <f>IFERROR(IGA_BD[[#This Row],[Breakdown Time]]*IGA_BD[[#This Row],[Plant Equivalent Weightage]],"")</f>
        <v/>
      </c>
    </row>
    <row r="585" spans="1:20">
      <c r="A585" s="28"/>
      <c r="B585" s="154"/>
      <c r="C585" s="30">
        <f>YEAR(WTG_BD[[#This Row],[Date]])+IF(MONTH(WTG_BD[[#This Row],[Date]])&gt;=4,1,0)</f>
        <v>2026</v>
      </c>
      <c r="D585" s="31">
        <f>YEAR(IGA_BD[[#This Row],[Date]])</f>
        <v>1900</v>
      </c>
      <c r="E585" s="48">
        <f t="shared" si="11"/>
        <v>1</v>
      </c>
      <c r="F585" s="32"/>
      <c r="G585" s="33"/>
      <c r="H585" s="43" t="str">
        <f>IFERROR(VLOOKUP(IGA_BD[[#This Row],[Affected Feeder ]],'Basic Data'!$A$42:$E$53,2,0),"")</f>
        <v/>
      </c>
      <c r="I585" s="43" t="str">
        <f>IFERROR(VLOOKUP(IGA_BD[[#This Row],[Affected Feeder ]],'Basic Data'!$A$42:$E$53,3,0),"")</f>
        <v/>
      </c>
      <c r="J585" s="43" t="str">
        <f>IFERROR(VLOOKUP(IGA_BD[[#This Row],[Affected Feeder ]],'Basic Data'!$A$42:$E$53,5,0),"")</f>
        <v/>
      </c>
      <c r="K585" s="164"/>
      <c r="L585" s="50"/>
      <c r="M585" s="116"/>
      <c r="N585" s="116"/>
      <c r="O585" s="57">
        <f>(IGA_BD[[#This Row],[Work Start TimeStamp]]-IGA_BD[[#This Row],[Fault Start TimeStamp]])*24</f>
        <v>0</v>
      </c>
      <c r="P585" s="44" t="str">
        <f>IF(IGA_BD[[#This Row],[Work Start TimeStamp]]="","",(IGA_BD[[#This Row],[Fault Clearance time]]-IGA_BD[[#This Row],[Work Start TimeStamp]])*24)</f>
        <v/>
      </c>
      <c r="Q585" s="57">
        <f>(IGA_BD[[#This Row],[Fault Clearance time]]-IGA_BD[[#This Row],[Fault Start TimeStamp]])*24</f>
        <v>0</v>
      </c>
      <c r="R585" s="153"/>
      <c r="S585" s="44"/>
      <c r="T585" s="45" t="str">
        <f>IFERROR(IGA_BD[[#This Row],[Breakdown Time]]*IGA_BD[[#This Row],[Plant Equivalent Weightage]],"")</f>
        <v/>
      </c>
    </row>
    <row r="586" spans="1:20">
      <c r="A586" s="28"/>
      <c r="B586" s="154"/>
      <c r="C586" s="30">
        <f>YEAR(WTG_BD[[#This Row],[Date]])+IF(MONTH(WTG_BD[[#This Row],[Date]])&gt;=4,1,0)</f>
        <v>2026</v>
      </c>
      <c r="D586" s="31">
        <f>YEAR(IGA_BD[[#This Row],[Date]])</f>
        <v>1900</v>
      </c>
      <c r="E586" s="48">
        <f t="shared" si="11"/>
        <v>1</v>
      </c>
      <c r="F586" s="32"/>
      <c r="G586" s="33"/>
      <c r="H586" s="43" t="str">
        <f>IFERROR(VLOOKUP(IGA_BD[[#This Row],[Affected Feeder ]],'Basic Data'!$A$42:$E$53,2,0),"")</f>
        <v/>
      </c>
      <c r="I586" s="43" t="str">
        <f>IFERROR(VLOOKUP(IGA_BD[[#This Row],[Affected Feeder ]],'Basic Data'!$A$42:$E$53,3,0),"")</f>
        <v/>
      </c>
      <c r="J586" s="43" t="str">
        <f>IFERROR(VLOOKUP(IGA_BD[[#This Row],[Affected Feeder ]],'Basic Data'!$A$42:$E$53,5,0),"")</f>
        <v/>
      </c>
      <c r="K586" s="164"/>
      <c r="L586" s="50"/>
      <c r="M586" s="116"/>
      <c r="N586" s="116"/>
      <c r="O586" s="57">
        <f>(IGA_BD[[#This Row],[Work Start TimeStamp]]-IGA_BD[[#This Row],[Fault Start TimeStamp]])*24</f>
        <v>0</v>
      </c>
      <c r="P586" s="44" t="str">
        <f>IF(IGA_BD[[#This Row],[Work Start TimeStamp]]="","",(IGA_BD[[#This Row],[Fault Clearance time]]-IGA_BD[[#This Row],[Work Start TimeStamp]])*24)</f>
        <v/>
      </c>
      <c r="Q586" s="57">
        <f>(IGA_BD[[#This Row],[Fault Clearance time]]-IGA_BD[[#This Row],[Fault Start TimeStamp]])*24</f>
        <v>0</v>
      </c>
      <c r="R586" s="153"/>
      <c r="S586" s="44"/>
      <c r="T586" s="45" t="str">
        <f>IFERROR(IGA_BD[[#This Row],[Breakdown Time]]*IGA_BD[[#This Row],[Plant Equivalent Weightage]],"")</f>
        <v/>
      </c>
    </row>
    <row r="587" spans="1:20">
      <c r="A587" s="28"/>
      <c r="B587" s="154"/>
      <c r="C587" s="30">
        <f>YEAR(WTG_BD[[#This Row],[Date]])+IF(MONTH(WTG_BD[[#This Row],[Date]])&gt;=4,1,0)</f>
        <v>2026</v>
      </c>
      <c r="D587" s="31">
        <f>YEAR(IGA_BD[[#This Row],[Date]])</f>
        <v>1900</v>
      </c>
      <c r="E587" s="48">
        <f t="shared" si="11"/>
        <v>1</v>
      </c>
      <c r="F587" s="32"/>
      <c r="G587" s="33"/>
      <c r="H587" s="43" t="str">
        <f>IFERROR(VLOOKUP(IGA_BD[[#This Row],[Affected Feeder ]],'Basic Data'!$A$42:$E$53,2,0),"")</f>
        <v/>
      </c>
      <c r="I587" s="43" t="str">
        <f>IFERROR(VLOOKUP(IGA_BD[[#This Row],[Affected Feeder ]],'Basic Data'!$A$42:$E$53,3,0),"")</f>
        <v/>
      </c>
      <c r="J587" s="43" t="str">
        <f>IFERROR(VLOOKUP(IGA_BD[[#This Row],[Affected Feeder ]],'Basic Data'!$A$42:$E$53,5,0),"")</f>
        <v/>
      </c>
      <c r="K587" s="164"/>
      <c r="L587" s="50"/>
      <c r="M587" s="116"/>
      <c r="N587" s="116"/>
      <c r="O587" s="57">
        <f>(IGA_BD[[#This Row],[Work Start TimeStamp]]-IGA_BD[[#This Row],[Fault Start TimeStamp]])*24</f>
        <v>0</v>
      </c>
      <c r="P587" s="44" t="str">
        <f>IF(IGA_BD[[#This Row],[Work Start TimeStamp]]="","",(IGA_BD[[#This Row],[Fault Clearance time]]-IGA_BD[[#This Row],[Work Start TimeStamp]])*24)</f>
        <v/>
      </c>
      <c r="Q587" s="57">
        <f>(IGA_BD[[#This Row],[Fault Clearance time]]-IGA_BD[[#This Row],[Fault Start TimeStamp]])*24</f>
        <v>0</v>
      </c>
      <c r="R587" s="153"/>
      <c r="S587" s="44"/>
      <c r="T587" s="45" t="str">
        <f>IFERROR(IGA_BD[[#This Row],[Breakdown Time]]*IGA_BD[[#This Row],[Plant Equivalent Weightage]],"")</f>
        <v/>
      </c>
    </row>
    <row r="588" spans="1:20">
      <c r="A588" s="28"/>
      <c r="B588" s="154"/>
      <c r="C588" s="30">
        <f>YEAR(WTG_BD[[#This Row],[Date]])+IF(MONTH(WTG_BD[[#This Row],[Date]])&gt;=4,1,0)</f>
        <v>2026</v>
      </c>
      <c r="D588" s="31">
        <f>YEAR(IGA_BD[[#This Row],[Date]])</f>
        <v>1900</v>
      </c>
      <c r="E588" s="48">
        <f t="shared" si="11"/>
        <v>1</v>
      </c>
      <c r="F588" s="32"/>
      <c r="G588" s="33"/>
      <c r="H588" s="43" t="str">
        <f>IFERROR(VLOOKUP(IGA_BD[[#This Row],[Affected Feeder ]],'Basic Data'!$A$42:$E$53,2,0),"")</f>
        <v/>
      </c>
      <c r="I588" s="43" t="str">
        <f>IFERROR(VLOOKUP(IGA_BD[[#This Row],[Affected Feeder ]],'Basic Data'!$A$42:$E$53,3,0),"")</f>
        <v/>
      </c>
      <c r="J588" s="43" t="str">
        <f>IFERROR(VLOOKUP(IGA_BD[[#This Row],[Affected Feeder ]],'Basic Data'!$A$42:$E$53,5,0),"")</f>
        <v/>
      </c>
      <c r="K588" s="164"/>
      <c r="L588" s="50"/>
      <c r="M588" s="116"/>
      <c r="N588" s="116"/>
      <c r="O588" s="57">
        <f>(IGA_BD[[#This Row],[Work Start TimeStamp]]-IGA_BD[[#This Row],[Fault Start TimeStamp]])*24</f>
        <v>0</v>
      </c>
      <c r="P588" s="44" t="str">
        <f>IF(IGA_BD[[#This Row],[Work Start TimeStamp]]="","",(IGA_BD[[#This Row],[Fault Clearance time]]-IGA_BD[[#This Row],[Work Start TimeStamp]])*24)</f>
        <v/>
      </c>
      <c r="Q588" s="57">
        <f>(IGA_BD[[#This Row],[Fault Clearance time]]-IGA_BD[[#This Row],[Fault Start TimeStamp]])*24</f>
        <v>0</v>
      </c>
      <c r="R588" s="153"/>
      <c r="S588" s="44"/>
      <c r="T588" s="45" t="str">
        <f>IFERROR(IGA_BD[[#This Row],[Breakdown Time]]*IGA_BD[[#This Row],[Plant Equivalent Weightage]],"")</f>
        <v/>
      </c>
    </row>
    <row r="589" spans="1:20">
      <c r="A589" s="28"/>
      <c r="B589" s="154"/>
      <c r="C589" s="30">
        <f>YEAR(WTG_BD[[#This Row],[Date]])+IF(MONTH(WTG_BD[[#This Row],[Date]])&gt;=4,1,0)</f>
        <v>2026</v>
      </c>
      <c r="D589" s="31">
        <f>YEAR(IGA_BD[[#This Row],[Date]])</f>
        <v>1900</v>
      </c>
      <c r="E589" s="48">
        <f t="shared" si="11"/>
        <v>1</v>
      </c>
      <c r="F589" s="32"/>
      <c r="G589" s="33"/>
      <c r="H589" s="43" t="str">
        <f>IFERROR(VLOOKUP(IGA_BD[[#This Row],[Affected Feeder ]],'Basic Data'!$A$42:$E$53,2,0),"")</f>
        <v/>
      </c>
      <c r="I589" s="43" t="str">
        <f>IFERROR(VLOOKUP(IGA_BD[[#This Row],[Affected Feeder ]],'Basic Data'!$A$42:$E$53,3,0),"")</f>
        <v/>
      </c>
      <c r="J589" s="43" t="str">
        <f>IFERROR(VLOOKUP(IGA_BD[[#This Row],[Affected Feeder ]],'Basic Data'!$A$42:$E$53,5,0),"")</f>
        <v/>
      </c>
      <c r="K589" s="164"/>
      <c r="L589" s="50"/>
      <c r="M589" s="116"/>
      <c r="N589" s="116"/>
      <c r="O589" s="57">
        <f>(IGA_BD[[#This Row],[Work Start TimeStamp]]-IGA_BD[[#This Row],[Fault Start TimeStamp]])*24</f>
        <v>0</v>
      </c>
      <c r="P589" s="44" t="str">
        <f>IF(IGA_BD[[#This Row],[Work Start TimeStamp]]="","",(IGA_BD[[#This Row],[Fault Clearance time]]-IGA_BD[[#This Row],[Work Start TimeStamp]])*24)</f>
        <v/>
      </c>
      <c r="Q589" s="57">
        <f>(IGA_BD[[#This Row],[Fault Clearance time]]-IGA_BD[[#This Row],[Fault Start TimeStamp]])*24</f>
        <v>0</v>
      </c>
      <c r="R589" s="153"/>
      <c r="S589" s="44"/>
      <c r="T589" s="45" t="str">
        <f>IFERROR(IGA_BD[[#This Row],[Breakdown Time]]*IGA_BD[[#This Row],[Plant Equivalent Weightage]],"")</f>
        <v/>
      </c>
    </row>
    <row r="590" spans="1:20">
      <c r="A590" s="28"/>
      <c r="B590" s="154"/>
      <c r="C590" s="30">
        <f>YEAR(WTG_BD[[#This Row],[Date]])+IF(MONTH(WTG_BD[[#This Row],[Date]])&gt;=4,1,0)</f>
        <v>2026</v>
      </c>
      <c r="D590" s="31">
        <f>YEAR(IGA_BD[[#This Row],[Date]])</f>
        <v>1900</v>
      </c>
      <c r="E590" s="48">
        <f t="shared" si="11"/>
        <v>1</v>
      </c>
      <c r="F590" s="32"/>
      <c r="G590" s="33"/>
      <c r="H590" s="43" t="str">
        <f>IFERROR(VLOOKUP(IGA_BD[[#This Row],[Affected Feeder ]],'Basic Data'!$A$42:$E$53,2,0),"")</f>
        <v/>
      </c>
      <c r="I590" s="43" t="str">
        <f>IFERROR(VLOOKUP(IGA_BD[[#This Row],[Affected Feeder ]],'Basic Data'!$A$42:$E$53,3,0),"")</f>
        <v/>
      </c>
      <c r="J590" s="43" t="str">
        <f>IFERROR(VLOOKUP(IGA_BD[[#This Row],[Affected Feeder ]],'Basic Data'!$A$42:$E$53,5,0),"")</f>
        <v/>
      </c>
      <c r="K590" s="164"/>
      <c r="L590" s="50"/>
      <c r="M590" s="116"/>
      <c r="N590" s="116"/>
      <c r="O590" s="57">
        <f>(IGA_BD[[#This Row],[Work Start TimeStamp]]-IGA_BD[[#This Row],[Fault Start TimeStamp]])*24</f>
        <v>0</v>
      </c>
      <c r="P590" s="44" t="str">
        <f>IF(IGA_BD[[#This Row],[Work Start TimeStamp]]="","",(IGA_BD[[#This Row],[Fault Clearance time]]-IGA_BD[[#This Row],[Work Start TimeStamp]])*24)</f>
        <v/>
      </c>
      <c r="Q590" s="57">
        <f>(IGA_BD[[#This Row],[Fault Clearance time]]-IGA_BD[[#This Row],[Fault Start TimeStamp]])*24</f>
        <v>0</v>
      </c>
      <c r="R590" s="153"/>
      <c r="S590" s="44"/>
      <c r="T590" s="45" t="str">
        <f>IFERROR(IGA_BD[[#This Row],[Breakdown Time]]*IGA_BD[[#This Row],[Plant Equivalent Weightage]],"")</f>
        <v/>
      </c>
    </row>
    <row r="591" spans="1:20">
      <c r="A591" s="28"/>
      <c r="B591" s="154"/>
      <c r="C591" s="30">
        <f>YEAR(WTG_BD[[#This Row],[Date]])+IF(MONTH(WTG_BD[[#This Row],[Date]])&gt;=4,1,0)</f>
        <v>2026</v>
      </c>
      <c r="D591" s="31">
        <f>YEAR(IGA_BD[[#This Row],[Date]])</f>
        <v>1900</v>
      </c>
      <c r="E591" s="48">
        <f t="shared" si="11"/>
        <v>1</v>
      </c>
      <c r="F591" s="32"/>
      <c r="G591" s="33"/>
      <c r="H591" s="43" t="str">
        <f>IFERROR(VLOOKUP(IGA_BD[[#This Row],[Affected Feeder ]],'Basic Data'!$A$42:$E$53,2,0),"")</f>
        <v/>
      </c>
      <c r="I591" s="43" t="str">
        <f>IFERROR(VLOOKUP(IGA_BD[[#This Row],[Affected Feeder ]],'Basic Data'!$A$42:$E$53,3,0),"")</f>
        <v/>
      </c>
      <c r="J591" s="43" t="str">
        <f>IFERROR(VLOOKUP(IGA_BD[[#This Row],[Affected Feeder ]],'Basic Data'!$A$42:$E$53,5,0),"")</f>
        <v/>
      </c>
      <c r="K591" s="164"/>
      <c r="L591" s="50"/>
      <c r="M591" s="116"/>
      <c r="N591" s="116"/>
      <c r="O591" s="57">
        <f>(IGA_BD[[#This Row],[Work Start TimeStamp]]-IGA_BD[[#This Row],[Fault Start TimeStamp]])*24</f>
        <v>0</v>
      </c>
      <c r="P591" s="44" t="str">
        <f>IF(IGA_BD[[#This Row],[Work Start TimeStamp]]="","",(IGA_BD[[#This Row],[Fault Clearance time]]-IGA_BD[[#This Row],[Work Start TimeStamp]])*24)</f>
        <v/>
      </c>
      <c r="Q591" s="57">
        <f>(IGA_BD[[#This Row],[Fault Clearance time]]-IGA_BD[[#This Row],[Fault Start TimeStamp]])*24</f>
        <v>0</v>
      </c>
      <c r="R591" s="153"/>
      <c r="S591" s="44"/>
      <c r="T591" s="45" t="str">
        <f>IFERROR(IGA_BD[[#This Row],[Breakdown Time]]*IGA_BD[[#This Row],[Plant Equivalent Weightage]],"")</f>
        <v/>
      </c>
    </row>
    <row r="592" spans="1:20">
      <c r="A592" s="28"/>
      <c r="B592" s="154"/>
      <c r="C592" s="30">
        <f>YEAR(WTG_BD[[#This Row],[Date]])+IF(MONTH(WTG_BD[[#This Row],[Date]])&gt;=4,1,0)</f>
        <v>2026</v>
      </c>
      <c r="D592" s="31">
        <f>YEAR(IGA_BD[[#This Row],[Date]])</f>
        <v>1900</v>
      </c>
      <c r="E592" s="48">
        <f t="shared" si="11"/>
        <v>1</v>
      </c>
      <c r="F592" s="32"/>
      <c r="G592" s="33"/>
      <c r="H592" s="43" t="str">
        <f>IFERROR(VLOOKUP(IGA_BD[[#This Row],[Affected Feeder ]],'Basic Data'!$A$42:$E$53,2,0),"")</f>
        <v/>
      </c>
      <c r="I592" s="43" t="str">
        <f>IFERROR(VLOOKUP(IGA_BD[[#This Row],[Affected Feeder ]],'Basic Data'!$A$42:$E$53,3,0),"")</f>
        <v/>
      </c>
      <c r="J592" s="43" t="str">
        <f>IFERROR(VLOOKUP(IGA_BD[[#This Row],[Affected Feeder ]],'Basic Data'!$A$42:$E$53,5,0),"")</f>
        <v/>
      </c>
      <c r="K592" s="164"/>
      <c r="L592" s="50"/>
      <c r="M592" s="116"/>
      <c r="N592" s="116"/>
      <c r="O592" s="57">
        <f>(IGA_BD[[#This Row],[Work Start TimeStamp]]-IGA_BD[[#This Row],[Fault Start TimeStamp]])*24</f>
        <v>0</v>
      </c>
      <c r="P592" s="44" t="str">
        <f>IF(IGA_BD[[#This Row],[Work Start TimeStamp]]="","",(IGA_BD[[#This Row],[Fault Clearance time]]-IGA_BD[[#This Row],[Work Start TimeStamp]])*24)</f>
        <v/>
      </c>
      <c r="Q592" s="57">
        <f>(IGA_BD[[#This Row],[Fault Clearance time]]-IGA_BD[[#This Row],[Fault Start TimeStamp]])*24</f>
        <v>0</v>
      </c>
      <c r="R592" s="153"/>
      <c r="S592" s="44"/>
      <c r="T592" s="45" t="str">
        <f>IFERROR(IGA_BD[[#This Row],[Breakdown Time]]*IGA_BD[[#This Row],[Plant Equivalent Weightage]],"")</f>
        <v/>
      </c>
    </row>
    <row r="593" spans="1:20">
      <c r="A593" s="28"/>
      <c r="B593" s="154"/>
      <c r="C593" s="30">
        <f>YEAR(WTG_BD[[#This Row],[Date]])+IF(MONTH(WTG_BD[[#This Row],[Date]])&gt;=4,1,0)</f>
        <v>2026</v>
      </c>
      <c r="D593" s="31">
        <f>YEAR(IGA_BD[[#This Row],[Date]])</f>
        <v>1900</v>
      </c>
      <c r="E593" s="48">
        <f t="shared" si="11"/>
        <v>1</v>
      </c>
      <c r="F593" s="32"/>
      <c r="G593" s="33"/>
      <c r="H593" s="43" t="str">
        <f>IFERROR(VLOOKUP(IGA_BD[[#This Row],[Affected Feeder ]],'Basic Data'!$A$42:$E$53,2,0),"")</f>
        <v/>
      </c>
      <c r="I593" s="43" t="str">
        <f>IFERROR(VLOOKUP(IGA_BD[[#This Row],[Affected Feeder ]],'Basic Data'!$A$42:$E$53,3,0),"")</f>
        <v/>
      </c>
      <c r="J593" s="43" t="str">
        <f>IFERROR(VLOOKUP(IGA_BD[[#This Row],[Affected Feeder ]],'Basic Data'!$A$42:$E$53,5,0),"")</f>
        <v/>
      </c>
      <c r="K593" s="164"/>
      <c r="L593" s="50"/>
      <c r="M593" s="116"/>
      <c r="N593" s="116"/>
      <c r="O593" s="57">
        <f>(IGA_BD[[#This Row],[Work Start TimeStamp]]-IGA_BD[[#This Row],[Fault Start TimeStamp]])*24</f>
        <v>0</v>
      </c>
      <c r="P593" s="44" t="str">
        <f>IF(IGA_BD[[#This Row],[Work Start TimeStamp]]="","",(IGA_BD[[#This Row],[Fault Clearance time]]-IGA_BD[[#This Row],[Work Start TimeStamp]])*24)</f>
        <v/>
      </c>
      <c r="Q593" s="57">
        <f>(IGA_BD[[#This Row],[Fault Clearance time]]-IGA_BD[[#This Row],[Fault Start TimeStamp]])*24</f>
        <v>0</v>
      </c>
      <c r="R593" s="153"/>
      <c r="S593" s="44"/>
      <c r="T593" s="45" t="str">
        <f>IFERROR(IGA_BD[[#This Row],[Breakdown Time]]*IGA_BD[[#This Row],[Plant Equivalent Weightage]],"")</f>
        <v/>
      </c>
    </row>
    <row r="594" spans="1:20">
      <c r="A594" s="28"/>
      <c r="B594" s="154"/>
      <c r="C594" s="30">
        <f>YEAR(WTG_BD[[#This Row],[Date]])+IF(MONTH(WTG_BD[[#This Row],[Date]])&gt;=4,1,0)</f>
        <v>2026</v>
      </c>
      <c r="D594" s="31">
        <f>YEAR(IGA_BD[[#This Row],[Date]])</f>
        <v>1900</v>
      </c>
      <c r="E594" s="48">
        <f t="shared" si="11"/>
        <v>1</v>
      </c>
      <c r="F594" s="32"/>
      <c r="G594" s="33"/>
      <c r="H594" s="43" t="str">
        <f>IFERROR(VLOOKUP(IGA_BD[[#This Row],[Affected Feeder ]],'Basic Data'!$A$42:$E$53,2,0),"")</f>
        <v/>
      </c>
      <c r="I594" s="43" t="str">
        <f>IFERROR(VLOOKUP(IGA_BD[[#This Row],[Affected Feeder ]],'Basic Data'!$A$42:$E$53,3,0),"")</f>
        <v/>
      </c>
      <c r="J594" s="43" t="str">
        <f>IFERROR(VLOOKUP(IGA_BD[[#This Row],[Affected Feeder ]],'Basic Data'!$A$42:$E$53,5,0),"")</f>
        <v/>
      </c>
      <c r="K594" s="164"/>
      <c r="L594" s="50"/>
      <c r="M594" s="116"/>
      <c r="N594" s="116"/>
      <c r="O594" s="57">
        <f>(IGA_BD[[#This Row],[Work Start TimeStamp]]-IGA_BD[[#This Row],[Fault Start TimeStamp]])*24</f>
        <v>0</v>
      </c>
      <c r="P594" s="44" t="str">
        <f>IF(IGA_BD[[#This Row],[Work Start TimeStamp]]="","",(IGA_BD[[#This Row],[Fault Clearance time]]-IGA_BD[[#This Row],[Work Start TimeStamp]])*24)</f>
        <v/>
      </c>
      <c r="Q594" s="57">
        <f>(IGA_BD[[#This Row],[Fault Clearance time]]-IGA_BD[[#This Row],[Fault Start TimeStamp]])*24</f>
        <v>0</v>
      </c>
      <c r="R594" s="153"/>
      <c r="S594" s="44"/>
      <c r="T594" s="45" t="str">
        <f>IFERROR(IGA_BD[[#This Row],[Breakdown Time]]*IGA_BD[[#This Row],[Plant Equivalent Weightage]],"")</f>
        <v/>
      </c>
    </row>
    <row r="595" spans="1:20">
      <c r="A595" s="28"/>
      <c r="B595" s="154"/>
      <c r="C595" s="30">
        <f>YEAR(WTG_BD[[#This Row],[Date]])+IF(MONTH(WTG_BD[[#This Row],[Date]])&gt;=4,1,0)</f>
        <v>2026</v>
      </c>
      <c r="D595" s="31">
        <f>YEAR(IGA_BD[[#This Row],[Date]])</f>
        <v>1900</v>
      </c>
      <c r="E595" s="48">
        <f t="shared" si="11"/>
        <v>1</v>
      </c>
      <c r="F595" s="32"/>
      <c r="G595" s="33"/>
      <c r="H595" s="43" t="str">
        <f>IFERROR(VLOOKUP(IGA_BD[[#This Row],[Affected Feeder ]],'Basic Data'!$A$42:$E$53,2,0),"")</f>
        <v/>
      </c>
      <c r="I595" s="43" t="str">
        <f>IFERROR(VLOOKUP(IGA_BD[[#This Row],[Affected Feeder ]],'Basic Data'!$A$42:$E$53,3,0),"")</f>
        <v/>
      </c>
      <c r="J595" s="43" t="str">
        <f>IFERROR(VLOOKUP(IGA_BD[[#This Row],[Affected Feeder ]],'Basic Data'!$A$42:$E$53,5,0),"")</f>
        <v/>
      </c>
      <c r="K595" s="164"/>
      <c r="L595" s="50"/>
      <c r="M595" s="116"/>
      <c r="N595" s="116"/>
      <c r="O595" s="57">
        <f>(IGA_BD[[#This Row],[Work Start TimeStamp]]-IGA_BD[[#This Row],[Fault Start TimeStamp]])*24</f>
        <v>0</v>
      </c>
      <c r="P595" s="44" t="str">
        <f>IF(IGA_BD[[#This Row],[Work Start TimeStamp]]="","",(IGA_BD[[#This Row],[Fault Clearance time]]-IGA_BD[[#This Row],[Work Start TimeStamp]])*24)</f>
        <v/>
      </c>
      <c r="Q595" s="57">
        <f>(IGA_BD[[#This Row],[Fault Clearance time]]-IGA_BD[[#This Row],[Fault Start TimeStamp]])*24</f>
        <v>0</v>
      </c>
      <c r="R595" s="153"/>
      <c r="S595" s="44"/>
      <c r="T595" s="45" t="str">
        <f>IFERROR(IGA_BD[[#This Row],[Breakdown Time]]*IGA_BD[[#This Row],[Plant Equivalent Weightage]],"")</f>
        <v/>
      </c>
    </row>
    <row r="596" spans="1:20">
      <c r="A596" s="28"/>
      <c r="B596" s="154"/>
      <c r="C596" s="30">
        <f>YEAR(WTG_BD[[#This Row],[Date]])+IF(MONTH(WTG_BD[[#This Row],[Date]])&gt;=4,1,0)</f>
        <v>2026</v>
      </c>
      <c r="D596" s="31">
        <f>YEAR(IGA_BD[[#This Row],[Date]])</f>
        <v>1900</v>
      </c>
      <c r="E596" s="48">
        <f t="shared" si="11"/>
        <v>1</v>
      </c>
      <c r="F596" s="32"/>
      <c r="G596" s="33"/>
      <c r="H596" s="43" t="str">
        <f>IFERROR(VLOOKUP(IGA_BD[[#This Row],[Affected Feeder ]],'Basic Data'!$A$42:$E$53,2,0),"")</f>
        <v/>
      </c>
      <c r="I596" s="43" t="str">
        <f>IFERROR(VLOOKUP(IGA_BD[[#This Row],[Affected Feeder ]],'Basic Data'!$A$42:$E$53,3,0),"")</f>
        <v/>
      </c>
      <c r="J596" s="43" t="str">
        <f>IFERROR(VLOOKUP(IGA_BD[[#This Row],[Affected Feeder ]],'Basic Data'!$A$42:$E$53,5,0),"")</f>
        <v/>
      </c>
      <c r="K596" s="164"/>
      <c r="L596" s="50"/>
      <c r="M596" s="116"/>
      <c r="N596" s="116"/>
      <c r="O596" s="57">
        <f>(IGA_BD[[#This Row],[Work Start TimeStamp]]-IGA_BD[[#This Row],[Fault Start TimeStamp]])*24</f>
        <v>0</v>
      </c>
      <c r="P596" s="44" t="str">
        <f>IF(IGA_BD[[#This Row],[Work Start TimeStamp]]="","",(IGA_BD[[#This Row],[Fault Clearance time]]-IGA_BD[[#This Row],[Work Start TimeStamp]])*24)</f>
        <v/>
      </c>
      <c r="Q596" s="57">
        <f>(IGA_BD[[#This Row],[Fault Clearance time]]-IGA_BD[[#This Row],[Fault Start TimeStamp]])*24</f>
        <v>0</v>
      </c>
      <c r="R596" s="153"/>
      <c r="S596" s="44"/>
      <c r="T596" s="45" t="str">
        <f>IFERROR(IGA_BD[[#This Row],[Breakdown Time]]*IGA_BD[[#This Row],[Plant Equivalent Weightage]],"")</f>
        <v/>
      </c>
    </row>
    <row r="597" spans="1:20">
      <c r="A597" s="28"/>
      <c r="B597" s="154"/>
      <c r="C597" s="30">
        <f>YEAR(WTG_BD[[#This Row],[Date]])+IF(MONTH(WTG_BD[[#This Row],[Date]])&gt;=4,1,0)</f>
        <v>2026</v>
      </c>
      <c r="D597" s="31">
        <f>YEAR(IGA_BD[[#This Row],[Date]])</f>
        <v>1900</v>
      </c>
      <c r="E597" s="48">
        <f t="shared" si="11"/>
        <v>1</v>
      </c>
      <c r="F597" s="32"/>
      <c r="G597" s="33"/>
      <c r="H597" s="43" t="str">
        <f>IFERROR(VLOOKUP(IGA_BD[[#This Row],[Affected Feeder ]],'Basic Data'!$A$42:$E$53,2,0),"")</f>
        <v/>
      </c>
      <c r="I597" s="43" t="str">
        <f>IFERROR(VLOOKUP(IGA_BD[[#This Row],[Affected Feeder ]],'Basic Data'!$A$42:$E$53,3,0),"")</f>
        <v/>
      </c>
      <c r="J597" s="43" t="str">
        <f>IFERROR(VLOOKUP(IGA_BD[[#This Row],[Affected Feeder ]],'Basic Data'!$A$42:$E$53,5,0),"")</f>
        <v/>
      </c>
      <c r="K597" s="164"/>
      <c r="L597" s="50"/>
      <c r="M597" s="116"/>
      <c r="N597" s="116"/>
      <c r="O597" s="57">
        <f>(IGA_BD[[#This Row],[Work Start TimeStamp]]-IGA_BD[[#This Row],[Fault Start TimeStamp]])*24</f>
        <v>0</v>
      </c>
      <c r="P597" s="44" t="str">
        <f>IF(IGA_BD[[#This Row],[Work Start TimeStamp]]="","",(IGA_BD[[#This Row],[Fault Clearance time]]-IGA_BD[[#This Row],[Work Start TimeStamp]])*24)</f>
        <v/>
      </c>
      <c r="Q597" s="57">
        <f>(IGA_BD[[#This Row],[Fault Clearance time]]-IGA_BD[[#This Row],[Fault Start TimeStamp]])*24</f>
        <v>0</v>
      </c>
      <c r="R597" s="153"/>
      <c r="S597" s="44"/>
      <c r="T597" s="45" t="str">
        <f>IFERROR(IGA_BD[[#This Row],[Breakdown Time]]*IGA_BD[[#This Row],[Plant Equivalent Weightage]],"")</f>
        <v/>
      </c>
    </row>
    <row r="598" spans="1:20">
      <c r="A598" s="28"/>
      <c r="B598" s="154"/>
      <c r="C598" s="30">
        <f>YEAR(WTG_BD[[#This Row],[Date]])+IF(MONTH(WTG_BD[[#This Row],[Date]])&gt;=4,1,0)</f>
        <v>2026</v>
      </c>
      <c r="D598" s="31">
        <f>YEAR(IGA_BD[[#This Row],[Date]])</f>
        <v>1900</v>
      </c>
      <c r="E598" s="48">
        <f t="shared" si="11"/>
        <v>1</v>
      </c>
      <c r="F598" s="32"/>
      <c r="G598" s="33"/>
      <c r="H598" s="43" t="str">
        <f>IFERROR(VLOOKUP(IGA_BD[[#This Row],[Affected Feeder ]],'Basic Data'!$A$42:$E$53,2,0),"")</f>
        <v/>
      </c>
      <c r="I598" s="43" t="str">
        <f>IFERROR(VLOOKUP(IGA_BD[[#This Row],[Affected Feeder ]],'Basic Data'!$A$42:$E$53,3,0),"")</f>
        <v/>
      </c>
      <c r="J598" s="43" t="str">
        <f>IFERROR(VLOOKUP(IGA_BD[[#This Row],[Affected Feeder ]],'Basic Data'!$A$42:$E$53,5,0),"")</f>
        <v/>
      </c>
      <c r="K598" s="164"/>
      <c r="L598" s="50"/>
      <c r="M598" s="116"/>
      <c r="N598" s="116"/>
      <c r="O598" s="57">
        <f>(IGA_BD[[#This Row],[Work Start TimeStamp]]-IGA_BD[[#This Row],[Fault Start TimeStamp]])*24</f>
        <v>0</v>
      </c>
      <c r="P598" s="44" t="str">
        <f>IF(IGA_BD[[#This Row],[Work Start TimeStamp]]="","",(IGA_BD[[#This Row],[Fault Clearance time]]-IGA_BD[[#This Row],[Work Start TimeStamp]])*24)</f>
        <v/>
      </c>
      <c r="Q598" s="57">
        <f>(IGA_BD[[#This Row],[Fault Clearance time]]-IGA_BD[[#This Row],[Fault Start TimeStamp]])*24</f>
        <v>0</v>
      </c>
      <c r="R598" s="153"/>
      <c r="S598" s="44"/>
      <c r="T598" s="45" t="str">
        <f>IFERROR(IGA_BD[[#This Row],[Breakdown Time]]*IGA_BD[[#This Row],[Plant Equivalent Weightage]],"")</f>
        <v/>
      </c>
    </row>
    <row r="599" spans="1:20">
      <c r="A599" s="28"/>
      <c r="B599" s="154"/>
      <c r="C599" s="30">
        <f>YEAR(WTG_BD[[#This Row],[Date]])+IF(MONTH(WTG_BD[[#This Row],[Date]])&gt;=4,1,0)</f>
        <v>2026</v>
      </c>
      <c r="D599" s="31">
        <f>YEAR(IGA_BD[[#This Row],[Date]])</f>
        <v>1900</v>
      </c>
      <c r="E599" s="48">
        <f t="shared" si="11"/>
        <v>1</v>
      </c>
      <c r="F599" s="32"/>
      <c r="G599" s="33"/>
      <c r="H599" s="43" t="str">
        <f>IFERROR(VLOOKUP(IGA_BD[[#This Row],[Affected Feeder ]],'Basic Data'!$A$42:$E$53,2,0),"")</f>
        <v/>
      </c>
      <c r="I599" s="43" t="str">
        <f>IFERROR(VLOOKUP(IGA_BD[[#This Row],[Affected Feeder ]],'Basic Data'!$A$42:$E$53,3,0),"")</f>
        <v/>
      </c>
      <c r="J599" s="43" t="str">
        <f>IFERROR(VLOOKUP(IGA_BD[[#This Row],[Affected Feeder ]],'Basic Data'!$A$42:$E$53,5,0),"")</f>
        <v/>
      </c>
      <c r="K599" s="164"/>
      <c r="L599" s="50"/>
      <c r="M599" s="116"/>
      <c r="N599" s="116"/>
      <c r="O599" s="57">
        <f>(IGA_BD[[#This Row],[Work Start TimeStamp]]-IGA_BD[[#This Row],[Fault Start TimeStamp]])*24</f>
        <v>0</v>
      </c>
      <c r="P599" s="44" t="str">
        <f>IF(IGA_BD[[#This Row],[Work Start TimeStamp]]="","",(IGA_BD[[#This Row],[Fault Clearance time]]-IGA_BD[[#This Row],[Work Start TimeStamp]])*24)</f>
        <v/>
      </c>
      <c r="Q599" s="57">
        <f>(IGA_BD[[#This Row],[Fault Clearance time]]-IGA_BD[[#This Row],[Fault Start TimeStamp]])*24</f>
        <v>0</v>
      </c>
      <c r="R599" s="153"/>
      <c r="S599" s="44"/>
      <c r="T599" s="45" t="str">
        <f>IFERROR(IGA_BD[[#This Row],[Breakdown Time]]*IGA_BD[[#This Row],[Plant Equivalent Weightage]],"")</f>
        <v/>
      </c>
    </row>
    <row r="600" spans="1:20">
      <c r="A600" s="28"/>
      <c r="B600" s="154"/>
      <c r="C600" s="30">
        <f>YEAR(WTG_BD[[#This Row],[Date]])+IF(MONTH(WTG_BD[[#This Row],[Date]])&gt;=4,1,0)</f>
        <v>2026</v>
      </c>
      <c r="D600" s="31">
        <f>YEAR(IGA_BD[[#This Row],[Date]])</f>
        <v>1900</v>
      </c>
      <c r="E600" s="48">
        <f t="shared" si="11"/>
        <v>1</v>
      </c>
      <c r="F600" s="32"/>
      <c r="G600" s="33"/>
      <c r="H600" s="43" t="str">
        <f>IFERROR(VLOOKUP(IGA_BD[[#This Row],[Affected Feeder ]],'Basic Data'!$A$42:$E$53,2,0),"")</f>
        <v/>
      </c>
      <c r="I600" s="43" t="str">
        <f>IFERROR(VLOOKUP(IGA_BD[[#This Row],[Affected Feeder ]],'Basic Data'!$A$42:$E$53,3,0),"")</f>
        <v/>
      </c>
      <c r="J600" s="43" t="str">
        <f>IFERROR(VLOOKUP(IGA_BD[[#This Row],[Affected Feeder ]],'Basic Data'!$A$42:$E$53,5,0),"")</f>
        <v/>
      </c>
      <c r="K600" s="164"/>
      <c r="L600" s="50"/>
      <c r="M600" s="116"/>
      <c r="N600" s="116"/>
      <c r="O600" s="57">
        <f>(IGA_BD[[#This Row],[Work Start TimeStamp]]-IGA_BD[[#This Row],[Fault Start TimeStamp]])*24</f>
        <v>0</v>
      </c>
      <c r="P600" s="44" t="str">
        <f>IF(IGA_BD[[#This Row],[Work Start TimeStamp]]="","",(IGA_BD[[#This Row],[Fault Clearance time]]-IGA_BD[[#This Row],[Work Start TimeStamp]])*24)</f>
        <v/>
      </c>
      <c r="Q600" s="57">
        <f>(IGA_BD[[#This Row],[Fault Clearance time]]-IGA_BD[[#This Row],[Fault Start TimeStamp]])*24</f>
        <v>0</v>
      </c>
      <c r="R600" s="153"/>
      <c r="S600" s="44"/>
      <c r="T600" s="45" t="str">
        <f>IFERROR(IGA_BD[[#This Row],[Breakdown Time]]*IGA_BD[[#This Row],[Plant Equivalent Weightage]],"")</f>
        <v/>
      </c>
    </row>
    <row r="601" spans="1:20">
      <c r="A601" s="28"/>
      <c r="B601" s="154"/>
      <c r="C601" s="30">
        <f>YEAR(WTG_BD[[#This Row],[Date]])+IF(MONTH(WTG_BD[[#This Row],[Date]])&gt;=4,1,0)</f>
        <v>2026</v>
      </c>
      <c r="D601" s="31">
        <f>YEAR(IGA_BD[[#This Row],[Date]])</f>
        <v>1900</v>
      </c>
      <c r="E601" s="48">
        <f t="shared" si="11"/>
        <v>1</v>
      </c>
      <c r="F601" s="32"/>
      <c r="G601" s="33"/>
      <c r="H601" s="43" t="str">
        <f>IFERROR(VLOOKUP(IGA_BD[[#This Row],[Affected Feeder ]],'Basic Data'!$A$42:$E$53,2,0),"")</f>
        <v/>
      </c>
      <c r="I601" s="43" t="str">
        <f>IFERROR(VLOOKUP(IGA_BD[[#This Row],[Affected Feeder ]],'Basic Data'!$A$42:$E$53,3,0),"")</f>
        <v/>
      </c>
      <c r="J601" s="43" t="str">
        <f>IFERROR(VLOOKUP(IGA_BD[[#This Row],[Affected Feeder ]],'Basic Data'!$A$42:$E$53,5,0),"")</f>
        <v/>
      </c>
      <c r="K601" s="164"/>
      <c r="L601" s="50"/>
      <c r="M601" s="116"/>
      <c r="N601" s="116"/>
      <c r="O601" s="57">
        <f>(IGA_BD[[#This Row],[Work Start TimeStamp]]-IGA_BD[[#This Row],[Fault Start TimeStamp]])*24</f>
        <v>0</v>
      </c>
      <c r="P601" s="44" t="str">
        <f>IF(IGA_BD[[#This Row],[Work Start TimeStamp]]="","",(IGA_BD[[#This Row],[Fault Clearance time]]-IGA_BD[[#This Row],[Work Start TimeStamp]])*24)</f>
        <v/>
      </c>
      <c r="Q601" s="57">
        <f>(IGA_BD[[#This Row],[Fault Clearance time]]-IGA_BD[[#This Row],[Fault Start TimeStamp]])*24</f>
        <v>0</v>
      </c>
      <c r="R601" s="153"/>
      <c r="S601" s="44"/>
      <c r="T601" s="45" t="str">
        <f>IFERROR(IGA_BD[[#This Row],[Breakdown Time]]*IGA_BD[[#This Row],[Plant Equivalent Weightage]],"")</f>
        <v/>
      </c>
    </row>
    <row r="602" spans="1:20">
      <c r="A602" s="28"/>
      <c r="B602" s="154"/>
      <c r="C602" s="30">
        <f>YEAR(WTG_BD[[#This Row],[Date]])+IF(MONTH(WTG_BD[[#This Row],[Date]])&gt;=4,1,0)</f>
        <v>2026</v>
      </c>
      <c r="D602" s="31">
        <f>YEAR(IGA_BD[[#This Row],[Date]])</f>
        <v>1900</v>
      </c>
      <c r="E602" s="48">
        <f t="shared" si="11"/>
        <v>1</v>
      </c>
      <c r="F602" s="32"/>
      <c r="G602" s="33"/>
      <c r="H602" s="43" t="str">
        <f>IFERROR(VLOOKUP(IGA_BD[[#This Row],[Affected Feeder ]],'Basic Data'!$A$42:$E$53,2,0),"")</f>
        <v/>
      </c>
      <c r="I602" s="43" t="str">
        <f>IFERROR(VLOOKUP(IGA_BD[[#This Row],[Affected Feeder ]],'Basic Data'!$A$42:$E$53,3,0),"")</f>
        <v/>
      </c>
      <c r="J602" s="43" t="str">
        <f>IFERROR(VLOOKUP(IGA_BD[[#This Row],[Affected Feeder ]],'Basic Data'!$A$42:$E$53,5,0),"")</f>
        <v/>
      </c>
      <c r="K602" s="164"/>
      <c r="L602" s="50"/>
      <c r="M602" s="116"/>
      <c r="N602" s="116"/>
      <c r="O602" s="57">
        <f>(IGA_BD[[#This Row],[Work Start TimeStamp]]-IGA_BD[[#This Row],[Fault Start TimeStamp]])*24</f>
        <v>0</v>
      </c>
      <c r="P602" s="44" t="str">
        <f>IF(IGA_BD[[#This Row],[Work Start TimeStamp]]="","",(IGA_BD[[#This Row],[Fault Clearance time]]-IGA_BD[[#This Row],[Work Start TimeStamp]])*24)</f>
        <v/>
      </c>
      <c r="Q602" s="57">
        <f>(IGA_BD[[#This Row],[Fault Clearance time]]-IGA_BD[[#This Row],[Fault Start TimeStamp]])*24</f>
        <v>0</v>
      </c>
      <c r="R602" s="153"/>
      <c r="S602" s="44"/>
      <c r="T602" s="45" t="str">
        <f>IFERROR(IGA_BD[[#This Row],[Breakdown Time]]*IGA_BD[[#This Row],[Plant Equivalent Weightage]],"")</f>
        <v/>
      </c>
    </row>
    <row r="603" spans="1:20">
      <c r="A603" s="28"/>
      <c r="B603" s="154"/>
      <c r="C603" s="30">
        <f>YEAR(WTG_BD[[#This Row],[Date]])+IF(MONTH(WTG_BD[[#This Row],[Date]])&gt;=4,1,0)</f>
        <v>2026</v>
      </c>
      <c r="D603" s="31">
        <f>YEAR(IGA_BD[[#This Row],[Date]])</f>
        <v>1900</v>
      </c>
      <c r="E603" s="48">
        <f t="shared" si="11"/>
        <v>1</v>
      </c>
      <c r="F603" s="32"/>
      <c r="G603" s="33"/>
      <c r="H603" s="43" t="str">
        <f>IFERROR(VLOOKUP(IGA_BD[[#This Row],[Affected Feeder ]],'Basic Data'!$A$42:$E$53,2,0),"")</f>
        <v/>
      </c>
      <c r="I603" s="43" t="str">
        <f>IFERROR(VLOOKUP(IGA_BD[[#This Row],[Affected Feeder ]],'Basic Data'!$A$42:$E$53,3,0),"")</f>
        <v/>
      </c>
      <c r="J603" s="43" t="str">
        <f>IFERROR(VLOOKUP(IGA_BD[[#This Row],[Affected Feeder ]],'Basic Data'!$A$42:$E$53,5,0),"")</f>
        <v/>
      </c>
      <c r="K603" s="164"/>
      <c r="L603" s="50"/>
      <c r="M603" s="116"/>
      <c r="N603" s="116"/>
      <c r="O603" s="57">
        <f>(IGA_BD[[#This Row],[Work Start TimeStamp]]-IGA_BD[[#This Row],[Fault Start TimeStamp]])*24</f>
        <v>0</v>
      </c>
      <c r="P603" s="44" t="str">
        <f>IF(IGA_BD[[#This Row],[Work Start TimeStamp]]="","",(IGA_BD[[#This Row],[Fault Clearance time]]-IGA_BD[[#This Row],[Work Start TimeStamp]])*24)</f>
        <v/>
      </c>
      <c r="Q603" s="57">
        <f>(IGA_BD[[#This Row],[Fault Clearance time]]-IGA_BD[[#This Row],[Fault Start TimeStamp]])*24</f>
        <v>0</v>
      </c>
      <c r="R603" s="153"/>
      <c r="S603" s="44"/>
      <c r="T603" s="45" t="str">
        <f>IFERROR(IGA_BD[[#This Row],[Breakdown Time]]*IGA_BD[[#This Row],[Plant Equivalent Weightage]],"")</f>
        <v/>
      </c>
    </row>
    <row r="604" spans="1:20">
      <c r="A604" s="28"/>
      <c r="B604" s="154"/>
      <c r="C604" s="30">
        <f>YEAR(WTG_BD[[#This Row],[Date]])+IF(MONTH(WTG_BD[[#This Row],[Date]])&gt;=4,1,0)</f>
        <v>2026</v>
      </c>
      <c r="D604" s="31">
        <f>YEAR(IGA_BD[[#This Row],[Date]])</f>
        <v>1900</v>
      </c>
      <c r="E604" s="48">
        <f t="shared" ref="E604:E667" si="12">B604-DAY(B604)+1</f>
        <v>1</v>
      </c>
      <c r="F604" s="32"/>
      <c r="G604" s="33"/>
      <c r="H604" s="43" t="str">
        <f>IFERROR(VLOOKUP(IGA_BD[[#This Row],[Affected Feeder ]],'Basic Data'!$A$42:$E$53,2,0),"")</f>
        <v/>
      </c>
      <c r="I604" s="43" t="str">
        <f>IFERROR(VLOOKUP(IGA_BD[[#This Row],[Affected Feeder ]],'Basic Data'!$A$42:$E$53,3,0),"")</f>
        <v/>
      </c>
      <c r="J604" s="43" t="str">
        <f>IFERROR(VLOOKUP(IGA_BD[[#This Row],[Affected Feeder ]],'Basic Data'!$A$42:$E$53,5,0),"")</f>
        <v/>
      </c>
      <c r="K604" s="164"/>
      <c r="L604" s="50"/>
      <c r="M604" s="116"/>
      <c r="N604" s="116"/>
      <c r="O604" s="57">
        <f>(IGA_BD[[#This Row],[Work Start TimeStamp]]-IGA_BD[[#This Row],[Fault Start TimeStamp]])*24</f>
        <v>0</v>
      </c>
      <c r="P604" s="44" t="str">
        <f>IF(IGA_BD[[#This Row],[Work Start TimeStamp]]="","",(IGA_BD[[#This Row],[Fault Clearance time]]-IGA_BD[[#This Row],[Work Start TimeStamp]])*24)</f>
        <v/>
      </c>
      <c r="Q604" s="57">
        <f>(IGA_BD[[#This Row],[Fault Clearance time]]-IGA_BD[[#This Row],[Fault Start TimeStamp]])*24</f>
        <v>0</v>
      </c>
      <c r="R604" s="153"/>
      <c r="S604" s="44"/>
      <c r="T604" s="45" t="str">
        <f>IFERROR(IGA_BD[[#This Row],[Breakdown Time]]*IGA_BD[[#This Row],[Plant Equivalent Weightage]],"")</f>
        <v/>
      </c>
    </row>
    <row r="605" spans="1:20">
      <c r="A605" s="28"/>
      <c r="B605" s="154"/>
      <c r="C605" s="30">
        <f>YEAR(WTG_BD[[#This Row],[Date]])+IF(MONTH(WTG_BD[[#This Row],[Date]])&gt;=4,1,0)</f>
        <v>2026</v>
      </c>
      <c r="D605" s="31">
        <f>YEAR(IGA_BD[[#This Row],[Date]])</f>
        <v>1900</v>
      </c>
      <c r="E605" s="48">
        <f t="shared" si="12"/>
        <v>1</v>
      </c>
      <c r="F605" s="32"/>
      <c r="G605" s="33"/>
      <c r="H605" s="43" t="str">
        <f>IFERROR(VLOOKUP(IGA_BD[[#This Row],[Affected Feeder ]],'Basic Data'!$A$42:$E$53,2,0),"")</f>
        <v/>
      </c>
      <c r="I605" s="43" t="str">
        <f>IFERROR(VLOOKUP(IGA_BD[[#This Row],[Affected Feeder ]],'Basic Data'!$A$42:$E$53,3,0),"")</f>
        <v/>
      </c>
      <c r="J605" s="43" t="str">
        <f>IFERROR(VLOOKUP(IGA_BD[[#This Row],[Affected Feeder ]],'Basic Data'!$A$42:$E$53,5,0),"")</f>
        <v/>
      </c>
      <c r="K605" s="164"/>
      <c r="L605" s="50"/>
      <c r="M605" s="116"/>
      <c r="N605" s="116"/>
      <c r="O605" s="57">
        <f>(IGA_BD[[#This Row],[Work Start TimeStamp]]-IGA_BD[[#This Row],[Fault Start TimeStamp]])*24</f>
        <v>0</v>
      </c>
      <c r="P605" s="44" t="str">
        <f>IF(IGA_BD[[#This Row],[Work Start TimeStamp]]="","",(IGA_BD[[#This Row],[Fault Clearance time]]-IGA_BD[[#This Row],[Work Start TimeStamp]])*24)</f>
        <v/>
      </c>
      <c r="Q605" s="57">
        <f>(IGA_BD[[#This Row],[Fault Clearance time]]-IGA_BD[[#This Row],[Fault Start TimeStamp]])*24</f>
        <v>0</v>
      </c>
      <c r="R605" s="153"/>
      <c r="S605" s="44"/>
      <c r="T605" s="45" t="str">
        <f>IFERROR(IGA_BD[[#This Row],[Breakdown Time]]*IGA_BD[[#This Row],[Plant Equivalent Weightage]],"")</f>
        <v/>
      </c>
    </row>
    <row r="606" spans="1:20">
      <c r="A606" s="28"/>
      <c r="B606" s="154"/>
      <c r="C606" s="30">
        <f>YEAR(WTG_BD[[#This Row],[Date]])+IF(MONTH(WTG_BD[[#This Row],[Date]])&gt;=4,1,0)</f>
        <v>2026</v>
      </c>
      <c r="D606" s="31">
        <f>YEAR(IGA_BD[[#This Row],[Date]])</f>
        <v>1900</v>
      </c>
      <c r="E606" s="48">
        <f t="shared" si="12"/>
        <v>1</v>
      </c>
      <c r="F606" s="32"/>
      <c r="G606" s="33"/>
      <c r="H606" s="43" t="str">
        <f>IFERROR(VLOOKUP(IGA_BD[[#This Row],[Affected Feeder ]],'Basic Data'!$A$42:$E$53,2,0),"")</f>
        <v/>
      </c>
      <c r="I606" s="43" t="str">
        <f>IFERROR(VLOOKUP(IGA_BD[[#This Row],[Affected Feeder ]],'Basic Data'!$A$42:$E$53,3,0),"")</f>
        <v/>
      </c>
      <c r="J606" s="43" t="str">
        <f>IFERROR(VLOOKUP(IGA_BD[[#This Row],[Affected Feeder ]],'Basic Data'!$A$42:$E$53,5,0),"")</f>
        <v/>
      </c>
      <c r="K606" s="164"/>
      <c r="L606" s="50"/>
      <c r="M606" s="116"/>
      <c r="N606" s="116"/>
      <c r="O606" s="57">
        <f>(IGA_BD[[#This Row],[Work Start TimeStamp]]-IGA_BD[[#This Row],[Fault Start TimeStamp]])*24</f>
        <v>0</v>
      </c>
      <c r="P606" s="44" t="str">
        <f>IF(IGA_BD[[#This Row],[Work Start TimeStamp]]="","",(IGA_BD[[#This Row],[Fault Clearance time]]-IGA_BD[[#This Row],[Work Start TimeStamp]])*24)</f>
        <v/>
      </c>
      <c r="Q606" s="57">
        <f>(IGA_BD[[#This Row],[Fault Clearance time]]-IGA_BD[[#This Row],[Fault Start TimeStamp]])*24</f>
        <v>0</v>
      </c>
      <c r="R606" s="153"/>
      <c r="S606" s="44"/>
      <c r="T606" s="45" t="str">
        <f>IFERROR(IGA_BD[[#This Row],[Breakdown Time]]*IGA_BD[[#This Row],[Plant Equivalent Weightage]],"")</f>
        <v/>
      </c>
    </row>
    <row r="607" spans="1:20">
      <c r="A607" s="28"/>
      <c r="B607" s="154"/>
      <c r="C607" s="30">
        <f>YEAR(WTG_BD[[#This Row],[Date]])+IF(MONTH(WTG_BD[[#This Row],[Date]])&gt;=4,1,0)</f>
        <v>2026</v>
      </c>
      <c r="D607" s="31">
        <f>YEAR(IGA_BD[[#This Row],[Date]])</f>
        <v>1900</v>
      </c>
      <c r="E607" s="48">
        <f t="shared" si="12"/>
        <v>1</v>
      </c>
      <c r="F607" s="32"/>
      <c r="G607" s="33"/>
      <c r="H607" s="43" t="str">
        <f>IFERROR(VLOOKUP(IGA_BD[[#This Row],[Affected Feeder ]],'Basic Data'!$A$42:$E$53,2,0),"")</f>
        <v/>
      </c>
      <c r="I607" s="43" t="str">
        <f>IFERROR(VLOOKUP(IGA_BD[[#This Row],[Affected Feeder ]],'Basic Data'!$A$42:$E$53,3,0),"")</f>
        <v/>
      </c>
      <c r="J607" s="43" t="str">
        <f>IFERROR(VLOOKUP(IGA_BD[[#This Row],[Affected Feeder ]],'Basic Data'!$A$42:$E$53,5,0),"")</f>
        <v/>
      </c>
      <c r="K607" s="164"/>
      <c r="L607" s="50"/>
      <c r="M607" s="116"/>
      <c r="N607" s="116"/>
      <c r="O607" s="57">
        <f>(IGA_BD[[#This Row],[Work Start TimeStamp]]-IGA_BD[[#This Row],[Fault Start TimeStamp]])*24</f>
        <v>0</v>
      </c>
      <c r="P607" s="44" t="str">
        <f>IF(IGA_BD[[#This Row],[Work Start TimeStamp]]="","",(IGA_BD[[#This Row],[Fault Clearance time]]-IGA_BD[[#This Row],[Work Start TimeStamp]])*24)</f>
        <v/>
      </c>
      <c r="Q607" s="57">
        <f>(IGA_BD[[#This Row],[Fault Clearance time]]-IGA_BD[[#This Row],[Fault Start TimeStamp]])*24</f>
        <v>0</v>
      </c>
      <c r="R607" s="153"/>
      <c r="S607" s="44"/>
      <c r="T607" s="45" t="str">
        <f>IFERROR(IGA_BD[[#This Row],[Breakdown Time]]*IGA_BD[[#This Row],[Plant Equivalent Weightage]],"")</f>
        <v/>
      </c>
    </row>
    <row r="608" spans="1:20">
      <c r="A608" s="28"/>
      <c r="B608" s="154"/>
      <c r="C608" s="30">
        <f>YEAR(WTG_BD[[#This Row],[Date]])+IF(MONTH(WTG_BD[[#This Row],[Date]])&gt;=4,1,0)</f>
        <v>2026</v>
      </c>
      <c r="D608" s="31">
        <f>YEAR(IGA_BD[[#This Row],[Date]])</f>
        <v>1900</v>
      </c>
      <c r="E608" s="48">
        <f t="shared" si="12"/>
        <v>1</v>
      </c>
      <c r="F608" s="32"/>
      <c r="G608" s="33"/>
      <c r="H608" s="43" t="str">
        <f>IFERROR(VLOOKUP(IGA_BD[[#This Row],[Affected Feeder ]],'Basic Data'!$A$42:$E$53,2,0),"")</f>
        <v/>
      </c>
      <c r="I608" s="43" t="str">
        <f>IFERROR(VLOOKUP(IGA_BD[[#This Row],[Affected Feeder ]],'Basic Data'!$A$42:$E$53,3,0),"")</f>
        <v/>
      </c>
      <c r="J608" s="43" t="str">
        <f>IFERROR(VLOOKUP(IGA_BD[[#This Row],[Affected Feeder ]],'Basic Data'!$A$42:$E$53,5,0),"")</f>
        <v/>
      </c>
      <c r="K608" s="164"/>
      <c r="L608" s="50"/>
      <c r="M608" s="116"/>
      <c r="N608" s="116"/>
      <c r="O608" s="57">
        <f>(IGA_BD[[#This Row],[Work Start TimeStamp]]-IGA_BD[[#This Row],[Fault Start TimeStamp]])*24</f>
        <v>0</v>
      </c>
      <c r="P608" s="44" t="str">
        <f>IF(IGA_BD[[#This Row],[Work Start TimeStamp]]="","",(IGA_BD[[#This Row],[Fault Clearance time]]-IGA_BD[[#This Row],[Work Start TimeStamp]])*24)</f>
        <v/>
      </c>
      <c r="Q608" s="57">
        <f>(IGA_BD[[#This Row],[Fault Clearance time]]-IGA_BD[[#This Row],[Fault Start TimeStamp]])*24</f>
        <v>0</v>
      </c>
      <c r="R608" s="153"/>
      <c r="S608" s="44"/>
      <c r="T608" s="45" t="str">
        <f>IFERROR(IGA_BD[[#This Row],[Breakdown Time]]*IGA_BD[[#This Row],[Plant Equivalent Weightage]],"")</f>
        <v/>
      </c>
    </row>
    <row r="609" spans="1:20">
      <c r="A609" s="28"/>
      <c r="B609" s="154"/>
      <c r="C609" s="30">
        <f>YEAR(WTG_BD[[#This Row],[Date]])+IF(MONTH(WTG_BD[[#This Row],[Date]])&gt;=4,1,0)</f>
        <v>2026</v>
      </c>
      <c r="D609" s="31">
        <f>YEAR(IGA_BD[[#This Row],[Date]])</f>
        <v>1900</v>
      </c>
      <c r="E609" s="48">
        <f t="shared" si="12"/>
        <v>1</v>
      </c>
      <c r="F609" s="32"/>
      <c r="G609" s="33"/>
      <c r="H609" s="43" t="str">
        <f>IFERROR(VLOOKUP(IGA_BD[[#This Row],[Affected Feeder ]],'Basic Data'!$A$42:$E$53,2,0),"")</f>
        <v/>
      </c>
      <c r="I609" s="43" t="str">
        <f>IFERROR(VLOOKUP(IGA_BD[[#This Row],[Affected Feeder ]],'Basic Data'!$A$42:$E$53,3,0),"")</f>
        <v/>
      </c>
      <c r="J609" s="43" t="str">
        <f>IFERROR(VLOOKUP(IGA_BD[[#This Row],[Affected Feeder ]],'Basic Data'!$A$42:$E$53,5,0),"")</f>
        <v/>
      </c>
      <c r="K609" s="164"/>
      <c r="L609" s="50"/>
      <c r="M609" s="116"/>
      <c r="N609" s="116"/>
      <c r="O609" s="57">
        <f>(IGA_BD[[#This Row],[Work Start TimeStamp]]-IGA_BD[[#This Row],[Fault Start TimeStamp]])*24</f>
        <v>0</v>
      </c>
      <c r="P609" s="44" t="str">
        <f>IF(IGA_BD[[#This Row],[Work Start TimeStamp]]="","",(IGA_BD[[#This Row],[Fault Clearance time]]-IGA_BD[[#This Row],[Work Start TimeStamp]])*24)</f>
        <v/>
      </c>
      <c r="Q609" s="57">
        <f>(IGA_BD[[#This Row],[Fault Clearance time]]-IGA_BD[[#This Row],[Fault Start TimeStamp]])*24</f>
        <v>0</v>
      </c>
      <c r="R609" s="153"/>
      <c r="S609" s="44"/>
      <c r="T609" s="45" t="str">
        <f>IFERROR(IGA_BD[[#This Row],[Breakdown Time]]*IGA_BD[[#This Row],[Plant Equivalent Weightage]],"")</f>
        <v/>
      </c>
    </row>
    <row r="610" spans="1:20">
      <c r="A610" s="28"/>
      <c r="B610" s="154"/>
      <c r="C610" s="30">
        <f>YEAR(WTG_BD[[#This Row],[Date]])+IF(MONTH(WTG_BD[[#This Row],[Date]])&gt;=4,1,0)</f>
        <v>2026</v>
      </c>
      <c r="D610" s="31">
        <f>YEAR(IGA_BD[[#This Row],[Date]])</f>
        <v>1900</v>
      </c>
      <c r="E610" s="48">
        <f t="shared" si="12"/>
        <v>1</v>
      </c>
      <c r="F610" s="32"/>
      <c r="G610" s="33"/>
      <c r="H610" s="43" t="str">
        <f>IFERROR(VLOOKUP(IGA_BD[[#This Row],[Affected Feeder ]],'Basic Data'!$A$42:$E$53,2,0),"")</f>
        <v/>
      </c>
      <c r="I610" s="43" t="str">
        <f>IFERROR(VLOOKUP(IGA_BD[[#This Row],[Affected Feeder ]],'Basic Data'!$A$42:$E$53,3,0),"")</f>
        <v/>
      </c>
      <c r="J610" s="43" t="str">
        <f>IFERROR(VLOOKUP(IGA_BD[[#This Row],[Affected Feeder ]],'Basic Data'!$A$42:$E$53,5,0),"")</f>
        <v/>
      </c>
      <c r="K610" s="164"/>
      <c r="L610" s="50"/>
      <c r="M610" s="116"/>
      <c r="N610" s="116"/>
      <c r="O610" s="57">
        <f>(IGA_BD[[#This Row],[Work Start TimeStamp]]-IGA_BD[[#This Row],[Fault Start TimeStamp]])*24</f>
        <v>0</v>
      </c>
      <c r="P610" s="44" t="str">
        <f>IF(IGA_BD[[#This Row],[Work Start TimeStamp]]="","",(IGA_BD[[#This Row],[Fault Clearance time]]-IGA_BD[[#This Row],[Work Start TimeStamp]])*24)</f>
        <v/>
      </c>
      <c r="Q610" s="57">
        <f>(IGA_BD[[#This Row],[Fault Clearance time]]-IGA_BD[[#This Row],[Fault Start TimeStamp]])*24</f>
        <v>0</v>
      </c>
      <c r="R610" s="153"/>
      <c r="S610" s="44"/>
      <c r="T610" s="45" t="str">
        <f>IFERROR(IGA_BD[[#This Row],[Breakdown Time]]*IGA_BD[[#This Row],[Plant Equivalent Weightage]],"")</f>
        <v/>
      </c>
    </row>
    <row r="611" spans="1:20">
      <c r="A611" s="28"/>
      <c r="B611" s="154"/>
      <c r="C611" s="30">
        <f>YEAR(WTG_BD[[#This Row],[Date]])+IF(MONTH(WTG_BD[[#This Row],[Date]])&gt;=4,1,0)</f>
        <v>2026</v>
      </c>
      <c r="D611" s="31">
        <f>YEAR(IGA_BD[[#This Row],[Date]])</f>
        <v>1900</v>
      </c>
      <c r="E611" s="48">
        <f t="shared" si="12"/>
        <v>1</v>
      </c>
      <c r="F611" s="32"/>
      <c r="G611" s="33"/>
      <c r="H611" s="43" t="str">
        <f>IFERROR(VLOOKUP(IGA_BD[[#This Row],[Affected Feeder ]],'Basic Data'!$A$42:$E$53,2,0),"")</f>
        <v/>
      </c>
      <c r="I611" s="43" t="str">
        <f>IFERROR(VLOOKUP(IGA_BD[[#This Row],[Affected Feeder ]],'Basic Data'!$A$42:$E$53,3,0),"")</f>
        <v/>
      </c>
      <c r="J611" s="43" t="str">
        <f>IFERROR(VLOOKUP(IGA_BD[[#This Row],[Affected Feeder ]],'Basic Data'!$A$42:$E$53,5,0),"")</f>
        <v/>
      </c>
      <c r="K611" s="164"/>
      <c r="L611" s="50"/>
      <c r="M611" s="116"/>
      <c r="N611" s="116"/>
      <c r="O611" s="57">
        <f>(IGA_BD[[#This Row],[Work Start TimeStamp]]-IGA_BD[[#This Row],[Fault Start TimeStamp]])*24</f>
        <v>0</v>
      </c>
      <c r="P611" s="44" t="str">
        <f>IF(IGA_BD[[#This Row],[Work Start TimeStamp]]="","",(IGA_BD[[#This Row],[Fault Clearance time]]-IGA_BD[[#This Row],[Work Start TimeStamp]])*24)</f>
        <v/>
      </c>
      <c r="Q611" s="57">
        <f>(IGA_BD[[#This Row],[Fault Clearance time]]-IGA_BD[[#This Row],[Fault Start TimeStamp]])*24</f>
        <v>0</v>
      </c>
      <c r="R611" s="153"/>
      <c r="S611" s="44"/>
      <c r="T611" s="45" t="str">
        <f>IFERROR(IGA_BD[[#This Row],[Breakdown Time]]*IGA_BD[[#This Row],[Plant Equivalent Weightage]],"")</f>
        <v/>
      </c>
    </row>
    <row r="612" spans="1:20">
      <c r="A612" s="28"/>
      <c r="B612" s="154"/>
      <c r="C612" s="30">
        <f>YEAR(WTG_BD[[#This Row],[Date]])+IF(MONTH(WTG_BD[[#This Row],[Date]])&gt;=4,1,0)</f>
        <v>2026</v>
      </c>
      <c r="D612" s="31">
        <f>YEAR(IGA_BD[[#This Row],[Date]])</f>
        <v>1900</v>
      </c>
      <c r="E612" s="48">
        <f t="shared" si="12"/>
        <v>1</v>
      </c>
      <c r="F612" s="32"/>
      <c r="G612" s="33"/>
      <c r="H612" s="43" t="str">
        <f>IFERROR(VLOOKUP(IGA_BD[[#This Row],[Affected Feeder ]],'Basic Data'!$A$42:$E$53,2,0),"")</f>
        <v/>
      </c>
      <c r="I612" s="43" t="str">
        <f>IFERROR(VLOOKUP(IGA_BD[[#This Row],[Affected Feeder ]],'Basic Data'!$A$42:$E$53,3,0),"")</f>
        <v/>
      </c>
      <c r="J612" s="43" t="str">
        <f>IFERROR(VLOOKUP(IGA_BD[[#This Row],[Affected Feeder ]],'Basic Data'!$A$42:$E$53,5,0),"")</f>
        <v/>
      </c>
      <c r="K612" s="164"/>
      <c r="L612" s="50"/>
      <c r="M612" s="116"/>
      <c r="N612" s="116"/>
      <c r="O612" s="57">
        <f>(IGA_BD[[#This Row],[Work Start TimeStamp]]-IGA_BD[[#This Row],[Fault Start TimeStamp]])*24</f>
        <v>0</v>
      </c>
      <c r="P612" s="44" t="str">
        <f>IF(IGA_BD[[#This Row],[Work Start TimeStamp]]="","",(IGA_BD[[#This Row],[Fault Clearance time]]-IGA_BD[[#This Row],[Work Start TimeStamp]])*24)</f>
        <v/>
      </c>
      <c r="Q612" s="57">
        <f>(IGA_BD[[#This Row],[Fault Clearance time]]-IGA_BD[[#This Row],[Fault Start TimeStamp]])*24</f>
        <v>0</v>
      </c>
      <c r="R612" s="153"/>
      <c r="S612" s="44"/>
      <c r="T612" s="45" t="str">
        <f>IFERROR(IGA_BD[[#This Row],[Breakdown Time]]*IGA_BD[[#This Row],[Plant Equivalent Weightage]],"")</f>
        <v/>
      </c>
    </row>
    <row r="613" spans="1:20">
      <c r="A613" s="28"/>
      <c r="B613" s="154"/>
      <c r="C613" s="30">
        <f>YEAR(WTG_BD[[#This Row],[Date]])+IF(MONTH(WTG_BD[[#This Row],[Date]])&gt;=4,1,0)</f>
        <v>2026</v>
      </c>
      <c r="D613" s="31">
        <f>YEAR(IGA_BD[[#This Row],[Date]])</f>
        <v>1900</v>
      </c>
      <c r="E613" s="48">
        <f t="shared" si="12"/>
        <v>1</v>
      </c>
      <c r="F613" s="32"/>
      <c r="G613" s="33"/>
      <c r="H613" s="43" t="str">
        <f>IFERROR(VLOOKUP(IGA_BD[[#This Row],[Affected Feeder ]],'Basic Data'!$A$42:$E$53,2,0),"")</f>
        <v/>
      </c>
      <c r="I613" s="43" t="str">
        <f>IFERROR(VLOOKUP(IGA_BD[[#This Row],[Affected Feeder ]],'Basic Data'!$A$42:$E$53,3,0),"")</f>
        <v/>
      </c>
      <c r="J613" s="43" t="str">
        <f>IFERROR(VLOOKUP(IGA_BD[[#This Row],[Affected Feeder ]],'Basic Data'!$A$42:$E$53,5,0),"")</f>
        <v/>
      </c>
      <c r="K613" s="164"/>
      <c r="L613" s="50"/>
      <c r="M613" s="116"/>
      <c r="N613" s="116"/>
      <c r="O613" s="57">
        <f>(IGA_BD[[#This Row],[Work Start TimeStamp]]-IGA_BD[[#This Row],[Fault Start TimeStamp]])*24</f>
        <v>0</v>
      </c>
      <c r="P613" s="44" t="str">
        <f>IF(IGA_BD[[#This Row],[Work Start TimeStamp]]="","",(IGA_BD[[#This Row],[Fault Clearance time]]-IGA_BD[[#This Row],[Work Start TimeStamp]])*24)</f>
        <v/>
      </c>
      <c r="Q613" s="57">
        <f>(IGA_BD[[#This Row],[Fault Clearance time]]-IGA_BD[[#This Row],[Fault Start TimeStamp]])*24</f>
        <v>0</v>
      </c>
      <c r="R613" s="153"/>
      <c r="S613" s="44"/>
      <c r="T613" s="45" t="str">
        <f>IFERROR(IGA_BD[[#This Row],[Breakdown Time]]*IGA_BD[[#This Row],[Plant Equivalent Weightage]],"")</f>
        <v/>
      </c>
    </row>
    <row r="614" spans="1:20">
      <c r="A614" s="28"/>
      <c r="B614" s="154"/>
      <c r="C614" s="30">
        <f>YEAR(WTG_BD[[#This Row],[Date]])+IF(MONTH(WTG_BD[[#This Row],[Date]])&gt;=4,1,0)</f>
        <v>2026</v>
      </c>
      <c r="D614" s="31">
        <f>YEAR(IGA_BD[[#This Row],[Date]])</f>
        <v>1900</v>
      </c>
      <c r="E614" s="48">
        <f t="shared" si="12"/>
        <v>1</v>
      </c>
      <c r="F614" s="32"/>
      <c r="G614" s="33"/>
      <c r="H614" s="43" t="str">
        <f>IFERROR(VLOOKUP(IGA_BD[[#This Row],[Affected Feeder ]],'Basic Data'!$A$42:$E$53,2,0),"")</f>
        <v/>
      </c>
      <c r="I614" s="43" t="str">
        <f>IFERROR(VLOOKUP(IGA_BD[[#This Row],[Affected Feeder ]],'Basic Data'!$A$42:$E$53,3,0),"")</f>
        <v/>
      </c>
      <c r="J614" s="43" t="str">
        <f>IFERROR(VLOOKUP(IGA_BD[[#This Row],[Affected Feeder ]],'Basic Data'!$A$42:$E$53,5,0),"")</f>
        <v/>
      </c>
      <c r="K614" s="164"/>
      <c r="L614" s="50"/>
      <c r="M614" s="116"/>
      <c r="N614" s="116"/>
      <c r="O614" s="57">
        <f>(IGA_BD[[#This Row],[Work Start TimeStamp]]-IGA_BD[[#This Row],[Fault Start TimeStamp]])*24</f>
        <v>0</v>
      </c>
      <c r="P614" s="44" t="str">
        <f>IF(IGA_BD[[#This Row],[Work Start TimeStamp]]="","",(IGA_BD[[#This Row],[Fault Clearance time]]-IGA_BD[[#This Row],[Work Start TimeStamp]])*24)</f>
        <v/>
      </c>
      <c r="Q614" s="57">
        <f>(IGA_BD[[#This Row],[Fault Clearance time]]-IGA_BD[[#This Row],[Fault Start TimeStamp]])*24</f>
        <v>0</v>
      </c>
      <c r="R614" s="153"/>
      <c r="S614" s="44"/>
      <c r="T614" s="45" t="str">
        <f>IFERROR(IGA_BD[[#This Row],[Breakdown Time]]*IGA_BD[[#This Row],[Plant Equivalent Weightage]],"")</f>
        <v/>
      </c>
    </row>
    <row r="615" spans="1:20">
      <c r="A615" s="28"/>
      <c r="B615" s="154"/>
      <c r="C615" s="30">
        <f>YEAR(WTG_BD[[#This Row],[Date]])+IF(MONTH(WTG_BD[[#This Row],[Date]])&gt;=4,1,0)</f>
        <v>2026</v>
      </c>
      <c r="D615" s="31">
        <f>YEAR(IGA_BD[[#This Row],[Date]])</f>
        <v>1900</v>
      </c>
      <c r="E615" s="48">
        <f t="shared" si="12"/>
        <v>1</v>
      </c>
      <c r="F615" s="32"/>
      <c r="G615" s="33"/>
      <c r="H615" s="43" t="str">
        <f>IFERROR(VLOOKUP(IGA_BD[[#This Row],[Affected Feeder ]],'Basic Data'!$A$42:$E$53,2,0),"")</f>
        <v/>
      </c>
      <c r="I615" s="43" t="str">
        <f>IFERROR(VLOOKUP(IGA_BD[[#This Row],[Affected Feeder ]],'Basic Data'!$A$42:$E$53,3,0),"")</f>
        <v/>
      </c>
      <c r="J615" s="43" t="str">
        <f>IFERROR(VLOOKUP(IGA_BD[[#This Row],[Affected Feeder ]],'Basic Data'!$A$42:$E$53,5,0),"")</f>
        <v/>
      </c>
      <c r="K615" s="164"/>
      <c r="L615" s="50"/>
      <c r="M615" s="116"/>
      <c r="N615" s="116"/>
      <c r="O615" s="57">
        <f>(IGA_BD[[#This Row],[Work Start TimeStamp]]-IGA_BD[[#This Row],[Fault Start TimeStamp]])*24</f>
        <v>0</v>
      </c>
      <c r="P615" s="44" t="str">
        <f>IF(IGA_BD[[#This Row],[Work Start TimeStamp]]="","",(IGA_BD[[#This Row],[Fault Clearance time]]-IGA_BD[[#This Row],[Work Start TimeStamp]])*24)</f>
        <v/>
      </c>
      <c r="Q615" s="57">
        <f>(IGA_BD[[#This Row],[Fault Clearance time]]-IGA_BD[[#This Row],[Fault Start TimeStamp]])*24</f>
        <v>0</v>
      </c>
      <c r="R615" s="153"/>
      <c r="S615" s="44"/>
      <c r="T615" s="45" t="str">
        <f>IFERROR(IGA_BD[[#This Row],[Breakdown Time]]*IGA_BD[[#This Row],[Plant Equivalent Weightage]],"")</f>
        <v/>
      </c>
    </row>
    <row r="616" spans="1:20">
      <c r="A616" s="28"/>
      <c r="B616" s="154"/>
      <c r="C616" s="30">
        <f>YEAR(WTG_BD[[#This Row],[Date]])+IF(MONTH(WTG_BD[[#This Row],[Date]])&gt;=4,1,0)</f>
        <v>2026</v>
      </c>
      <c r="D616" s="31">
        <f>YEAR(IGA_BD[[#This Row],[Date]])</f>
        <v>1900</v>
      </c>
      <c r="E616" s="48">
        <f t="shared" si="12"/>
        <v>1</v>
      </c>
      <c r="F616" s="32"/>
      <c r="G616" s="33"/>
      <c r="H616" s="43" t="str">
        <f>IFERROR(VLOOKUP(IGA_BD[[#This Row],[Affected Feeder ]],'Basic Data'!$A$42:$E$53,2,0),"")</f>
        <v/>
      </c>
      <c r="I616" s="43" t="str">
        <f>IFERROR(VLOOKUP(IGA_BD[[#This Row],[Affected Feeder ]],'Basic Data'!$A$42:$E$53,3,0),"")</f>
        <v/>
      </c>
      <c r="J616" s="43" t="str">
        <f>IFERROR(VLOOKUP(IGA_BD[[#This Row],[Affected Feeder ]],'Basic Data'!$A$42:$E$53,5,0),"")</f>
        <v/>
      </c>
      <c r="K616" s="164"/>
      <c r="L616" s="50"/>
      <c r="M616" s="116"/>
      <c r="N616" s="116"/>
      <c r="O616" s="57">
        <f>(IGA_BD[[#This Row],[Work Start TimeStamp]]-IGA_BD[[#This Row],[Fault Start TimeStamp]])*24</f>
        <v>0</v>
      </c>
      <c r="P616" s="44" t="str">
        <f>IF(IGA_BD[[#This Row],[Work Start TimeStamp]]="","",(IGA_BD[[#This Row],[Fault Clearance time]]-IGA_BD[[#This Row],[Work Start TimeStamp]])*24)</f>
        <v/>
      </c>
      <c r="Q616" s="57">
        <f>(IGA_BD[[#This Row],[Fault Clearance time]]-IGA_BD[[#This Row],[Fault Start TimeStamp]])*24</f>
        <v>0</v>
      </c>
      <c r="R616" s="153"/>
      <c r="S616" s="44"/>
      <c r="T616" s="45" t="str">
        <f>IFERROR(IGA_BD[[#This Row],[Breakdown Time]]*IGA_BD[[#This Row],[Plant Equivalent Weightage]],"")</f>
        <v/>
      </c>
    </row>
    <row r="617" spans="1:20">
      <c r="A617" s="28"/>
      <c r="B617" s="154"/>
      <c r="C617" s="30">
        <f>YEAR(WTG_BD[[#This Row],[Date]])+IF(MONTH(WTG_BD[[#This Row],[Date]])&gt;=4,1,0)</f>
        <v>2026</v>
      </c>
      <c r="D617" s="31">
        <f>YEAR(IGA_BD[[#This Row],[Date]])</f>
        <v>1900</v>
      </c>
      <c r="E617" s="48">
        <f t="shared" si="12"/>
        <v>1</v>
      </c>
      <c r="F617" s="32"/>
      <c r="G617" s="33"/>
      <c r="H617" s="43" t="str">
        <f>IFERROR(VLOOKUP(IGA_BD[[#This Row],[Affected Feeder ]],'Basic Data'!$A$42:$E$53,2,0),"")</f>
        <v/>
      </c>
      <c r="I617" s="43" t="str">
        <f>IFERROR(VLOOKUP(IGA_BD[[#This Row],[Affected Feeder ]],'Basic Data'!$A$42:$E$53,3,0),"")</f>
        <v/>
      </c>
      <c r="J617" s="43" t="str">
        <f>IFERROR(VLOOKUP(IGA_BD[[#This Row],[Affected Feeder ]],'Basic Data'!$A$42:$E$53,5,0),"")</f>
        <v/>
      </c>
      <c r="K617" s="164"/>
      <c r="L617" s="50"/>
      <c r="M617" s="116"/>
      <c r="N617" s="116"/>
      <c r="O617" s="57">
        <f>(IGA_BD[[#This Row],[Work Start TimeStamp]]-IGA_BD[[#This Row],[Fault Start TimeStamp]])*24</f>
        <v>0</v>
      </c>
      <c r="P617" s="44" t="str">
        <f>IF(IGA_BD[[#This Row],[Work Start TimeStamp]]="","",(IGA_BD[[#This Row],[Fault Clearance time]]-IGA_BD[[#This Row],[Work Start TimeStamp]])*24)</f>
        <v/>
      </c>
      <c r="Q617" s="57">
        <f>(IGA_BD[[#This Row],[Fault Clearance time]]-IGA_BD[[#This Row],[Fault Start TimeStamp]])*24</f>
        <v>0</v>
      </c>
      <c r="R617" s="153"/>
      <c r="S617" s="44"/>
      <c r="T617" s="45" t="str">
        <f>IFERROR(IGA_BD[[#This Row],[Breakdown Time]]*IGA_BD[[#This Row],[Plant Equivalent Weightage]],"")</f>
        <v/>
      </c>
    </row>
    <row r="618" spans="1:20">
      <c r="A618" s="28"/>
      <c r="B618" s="154"/>
      <c r="C618" s="30">
        <f>YEAR(WTG_BD[[#This Row],[Date]])+IF(MONTH(WTG_BD[[#This Row],[Date]])&gt;=4,1,0)</f>
        <v>2026</v>
      </c>
      <c r="D618" s="31">
        <f>YEAR(IGA_BD[[#This Row],[Date]])</f>
        <v>1900</v>
      </c>
      <c r="E618" s="48">
        <f t="shared" si="12"/>
        <v>1</v>
      </c>
      <c r="F618" s="32"/>
      <c r="G618" s="33"/>
      <c r="H618" s="43" t="str">
        <f>IFERROR(VLOOKUP(IGA_BD[[#This Row],[Affected Feeder ]],'Basic Data'!$A$42:$E$53,2,0),"")</f>
        <v/>
      </c>
      <c r="I618" s="43" t="str">
        <f>IFERROR(VLOOKUP(IGA_BD[[#This Row],[Affected Feeder ]],'Basic Data'!$A$42:$E$53,3,0),"")</f>
        <v/>
      </c>
      <c r="J618" s="43" t="str">
        <f>IFERROR(VLOOKUP(IGA_BD[[#This Row],[Affected Feeder ]],'Basic Data'!$A$42:$E$53,5,0),"")</f>
        <v/>
      </c>
      <c r="K618" s="164"/>
      <c r="L618" s="50"/>
      <c r="M618" s="116"/>
      <c r="N618" s="116"/>
      <c r="O618" s="57">
        <f>(IGA_BD[[#This Row],[Work Start TimeStamp]]-IGA_BD[[#This Row],[Fault Start TimeStamp]])*24</f>
        <v>0</v>
      </c>
      <c r="P618" s="44" t="str">
        <f>IF(IGA_BD[[#This Row],[Work Start TimeStamp]]="","",(IGA_BD[[#This Row],[Fault Clearance time]]-IGA_BD[[#This Row],[Work Start TimeStamp]])*24)</f>
        <v/>
      </c>
      <c r="Q618" s="57">
        <f>(IGA_BD[[#This Row],[Fault Clearance time]]-IGA_BD[[#This Row],[Fault Start TimeStamp]])*24</f>
        <v>0</v>
      </c>
      <c r="R618" s="153"/>
      <c r="S618" s="44"/>
      <c r="T618" s="45" t="str">
        <f>IFERROR(IGA_BD[[#This Row],[Breakdown Time]]*IGA_BD[[#This Row],[Plant Equivalent Weightage]],"")</f>
        <v/>
      </c>
    </row>
    <row r="619" spans="1:20">
      <c r="A619" s="28"/>
      <c r="B619" s="154"/>
      <c r="C619" s="30">
        <f>YEAR(WTG_BD[[#This Row],[Date]])+IF(MONTH(WTG_BD[[#This Row],[Date]])&gt;=4,1,0)</f>
        <v>2026</v>
      </c>
      <c r="D619" s="31">
        <f>YEAR(IGA_BD[[#This Row],[Date]])</f>
        <v>1900</v>
      </c>
      <c r="E619" s="48">
        <f t="shared" si="12"/>
        <v>1</v>
      </c>
      <c r="F619" s="32"/>
      <c r="G619" s="33"/>
      <c r="H619" s="43" t="str">
        <f>IFERROR(VLOOKUP(IGA_BD[[#This Row],[Affected Feeder ]],'Basic Data'!$A$42:$E$53,2,0),"")</f>
        <v/>
      </c>
      <c r="I619" s="43" t="str">
        <f>IFERROR(VLOOKUP(IGA_BD[[#This Row],[Affected Feeder ]],'Basic Data'!$A$42:$E$53,3,0),"")</f>
        <v/>
      </c>
      <c r="J619" s="43" t="str">
        <f>IFERROR(VLOOKUP(IGA_BD[[#This Row],[Affected Feeder ]],'Basic Data'!$A$42:$E$53,5,0),"")</f>
        <v/>
      </c>
      <c r="K619" s="164"/>
      <c r="L619" s="50"/>
      <c r="M619" s="116"/>
      <c r="N619" s="116"/>
      <c r="O619" s="57">
        <f>(IGA_BD[[#This Row],[Work Start TimeStamp]]-IGA_BD[[#This Row],[Fault Start TimeStamp]])*24</f>
        <v>0</v>
      </c>
      <c r="P619" s="44" t="str">
        <f>IF(IGA_BD[[#This Row],[Work Start TimeStamp]]="","",(IGA_BD[[#This Row],[Fault Clearance time]]-IGA_BD[[#This Row],[Work Start TimeStamp]])*24)</f>
        <v/>
      </c>
      <c r="Q619" s="57">
        <f>(IGA_BD[[#This Row],[Fault Clearance time]]-IGA_BD[[#This Row],[Fault Start TimeStamp]])*24</f>
        <v>0</v>
      </c>
      <c r="R619" s="153"/>
      <c r="S619" s="44"/>
      <c r="T619" s="45" t="str">
        <f>IFERROR(IGA_BD[[#This Row],[Breakdown Time]]*IGA_BD[[#This Row],[Plant Equivalent Weightage]],"")</f>
        <v/>
      </c>
    </row>
    <row r="620" spans="1:20">
      <c r="A620" s="28"/>
      <c r="B620" s="154"/>
      <c r="C620" s="30">
        <f>YEAR(WTG_BD[[#This Row],[Date]])+IF(MONTH(WTG_BD[[#This Row],[Date]])&gt;=4,1,0)</f>
        <v>2026</v>
      </c>
      <c r="D620" s="31">
        <f>YEAR(IGA_BD[[#This Row],[Date]])</f>
        <v>1900</v>
      </c>
      <c r="E620" s="48">
        <f t="shared" si="12"/>
        <v>1</v>
      </c>
      <c r="F620" s="32"/>
      <c r="G620" s="33"/>
      <c r="H620" s="43" t="str">
        <f>IFERROR(VLOOKUP(IGA_BD[[#This Row],[Affected Feeder ]],'Basic Data'!$A$42:$E$53,2,0),"")</f>
        <v/>
      </c>
      <c r="I620" s="43" t="str">
        <f>IFERROR(VLOOKUP(IGA_BD[[#This Row],[Affected Feeder ]],'Basic Data'!$A$42:$E$53,3,0),"")</f>
        <v/>
      </c>
      <c r="J620" s="43" t="str">
        <f>IFERROR(VLOOKUP(IGA_BD[[#This Row],[Affected Feeder ]],'Basic Data'!$A$42:$E$53,5,0),"")</f>
        <v/>
      </c>
      <c r="K620" s="164"/>
      <c r="L620" s="50"/>
      <c r="M620" s="116"/>
      <c r="N620" s="116"/>
      <c r="O620" s="57">
        <f>(IGA_BD[[#This Row],[Work Start TimeStamp]]-IGA_BD[[#This Row],[Fault Start TimeStamp]])*24</f>
        <v>0</v>
      </c>
      <c r="P620" s="44" t="str">
        <f>IF(IGA_BD[[#This Row],[Work Start TimeStamp]]="","",(IGA_BD[[#This Row],[Fault Clearance time]]-IGA_BD[[#This Row],[Work Start TimeStamp]])*24)</f>
        <v/>
      </c>
      <c r="Q620" s="57">
        <f>(IGA_BD[[#This Row],[Fault Clearance time]]-IGA_BD[[#This Row],[Fault Start TimeStamp]])*24</f>
        <v>0</v>
      </c>
      <c r="R620" s="153"/>
      <c r="S620" s="44"/>
      <c r="T620" s="45" t="str">
        <f>IFERROR(IGA_BD[[#This Row],[Breakdown Time]]*IGA_BD[[#This Row],[Plant Equivalent Weightage]],"")</f>
        <v/>
      </c>
    </row>
    <row r="621" spans="1:20">
      <c r="A621" s="28"/>
      <c r="B621" s="154"/>
      <c r="C621" s="30">
        <f>YEAR(WTG_BD[[#This Row],[Date]])+IF(MONTH(WTG_BD[[#This Row],[Date]])&gt;=4,1,0)</f>
        <v>2026</v>
      </c>
      <c r="D621" s="31">
        <f>YEAR(IGA_BD[[#This Row],[Date]])</f>
        <v>1900</v>
      </c>
      <c r="E621" s="48">
        <f t="shared" si="12"/>
        <v>1</v>
      </c>
      <c r="F621" s="32"/>
      <c r="G621" s="33"/>
      <c r="H621" s="43" t="str">
        <f>IFERROR(VLOOKUP(IGA_BD[[#This Row],[Affected Feeder ]],'Basic Data'!$A$42:$E$53,2,0),"")</f>
        <v/>
      </c>
      <c r="I621" s="43" t="str">
        <f>IFERROR(VLOOKUP(IGA_BD[[#This Row],[Affected Feeder ]],'Basic Data'!$A$42:$E$53,3,0),"")</f>
        <v/>
      </c>
      <c r="J621" s="43" t="str">
        <f>IFERROR(VLOOKUP(IGA_BD[[#This Row],[Affected Feeder ]],'Basic Data'!$A$42:$E$53,5,0),"")</f>
        <v/>
      </c>
      <c r="K621" s="164"/>
      <c r="L621" s="50"/>
      <c r="M621" s="116"/>
      <c r="N621" s="116"/>
      <c r="O621" s="57">
        <f>(IGA_BD[[#This Row],[Work Start TimeStamp]]-IGA_BD[[#This Row],[Fault Start TimeStamp]])*24</f>
        <v>0</v>
      </c>
      <c r="P621" s="44" t="str">
        <f>IF(IGA_BD[[#This Row],[Work Start TimeStamp]]="","",(IGA_BD[[#This Row],[Fault Clearance time]]-IGA_BD[[#This Row],[Work Start TimeStamp]])*24)</f>
        <v/>
      </c>
      <c r="Q621" s="57">
        <f>(IGA_BD[[#This Row],[Fault Clearance time]]-IGA_BD[[#This Row],[Fault Start TimeStamp]])*24</f>
        <v>0</v>
      </c>
      <c r="R621" s="153"/>
      <c r="S621" s="44"/>
      <c r="T621" s="45" t="str">
        <f>IFERROR(IGA_BD[[#This Row],[Breakdown Time]]*IGA_BD[[#This Row],[Plant Equivalent Weightage]],"")</f>
        <v/>
      </c>
    </row>
    <row r="622" spans="1:20">
      <c r="A622" s="28"/>
      <c r="B622" s="154"/>
      <c r="C622" s="30">
        <f>YEAR(WTG_BD[[#This Row],[Date]])+IF(MONTH(WTG_BD[[#This Row],[Date]])&gt;=4,1,0)</f>
        <v>2026</v>
      </c>
      <c r="D622" s="31">
        <f>YEAR(IGA_BD[[#This Row],[Date]])</f>
        <v>1900</v>
      </c>
      <c r="E622" s="48">
        <f t="shared" si="12"/>
        <v>1</v>
      </c>
      <c r="F622" s="32"/>
      <c r="G622" s="33"/>
      <c r="H622" s="43" t="str">
        <f>IFERROR(VLOOKUP(IGA_BD[[#This Row],[Affected Feeder ]],'Basic Data'!$A$42:$E$53,2,0),"")</f>
        <v/>
      </c>
      <c r="I622" s="43" t="str">
        <f>IFERROR(VLOOKUP(IGA_BD[[#This Row],[Affected Feeder ]],'Basic Data'!$A$42:$E$53,3,0),"")</f>
        <v/>
      </c>
      <c r="J622" s="43" t="str">
        <f>IFERROR(VLOOKUP(IGA_BD[[#This Row],[Affected Feeder ]],'Basic Data'!$A$42:$E$53,5,0),"")</f>
        <v/>
      </c>
      <c r="K622" s="164"/>
      <c r="L622" s="50"/>
      <c r="M622" s="116"/>
      <c r="N622" s="116"/>
      <c r="O622" s="57">
        <f>(IGA_BD[[#This Row],[Work Start TimeStamp]]-IGA_BD[[#This Row],[Fault Start TimeStamp]])*24</f>
        <v>0</v>
      </c>
      <c r="P622" s="44" t="str">
        <f>IF(IGA_BD[[#This Row],[Work Start TimeStamp]]="","",(IGA_BD[[#This Row],[Fault Clearance time]]-IGA_BD[[#This Row],[Work Start TimeStamp]])*24)</f>
        <v/>
      </c>
      <c r="Q622" s="57">
        <f>(IGA_BD[[#This Row],[Fault Clearance time]]-IGA_BD[[#This Row],[Fault Start TimeStamp]])*24</f>
        <v>0</v>
      </c>
      <c r="R622" s="153"/>
      <c r="S622" s="44"/>
      <c r="T622" s="45" t="str">
        <f>IFERROR(IGA_BD[[#This Row],[Breakdown Time]]*IGA_BD[[#This Row],[Plant Equivalent Weightage]],"")</f>
        <v/>
      </c>
    </row>
    <row r="623" spans="1:20">
      <c r="A623" s="28"/>
      <c r="B623" s="154"/>
      <c r="C623" s="30">
        <f>YEAR(WTG_BD[[#This Row],[Date]])+IF(MONTH(WTG_BD[[#This Row],[Date]])&gt;=4,1,0)</f>
        <v>2026</v>
      </c>
      <c r="D623" s="31">
        <f>YEAR(IGA_BD[[#This Row],[Date]])</f>
        <v>1900</v>
      </c>
      <c r="E623" s="48">
        <f t="shared" si="12"/>
        <v>1</v>
      </c>
      <c r="F623" s="32"/>
      <c r="G623" s="33"/>
      <c r="H623" s="43" t="str">
        <f>IFERROR(VLOOKUP(IGA_BD[[#This Row],[Affected Feeder ]],'Basic Data'!$A$42:$E$53,2,0),"")</f>
        <v/>
      </c>
      <c r="I623" s="43" t="str">
        <f>IFERROR(VLOOKUP(IGA_BD[[#This Row],[Affected Feeder ]],'Basic Data'!$A$42:$E$53,3,0),"")</f>
        <v/>
      </c>
      <c r="J623" s="43" t="str">
        <f>IFERROR(VLOOKUP(IGA_BD[[#This Row],[Affected Feeder ]],'Basic Data'!$A$42:$E$53,5,0),"")</f>
        <v/>
      </c>
      <c r="K623" s="164"/>
      <c r="L623" s="50"/>
      <c r="M623" s="116"/>
      <c r="N623" s="116"/>
      <c r="O623" s="57">
        <f>(IGA_BD[[#This Row],[Work Start TimeStamp]]-IGA_BD[[#This Row],[Fault Start TimeStamp]])*24</f>
        <v>0</v>
      </c>
      <c r="P623" s="44" t="str">
        <f>IF(IGA_BD[[#This Row],[Work Start TimeStamp]]="","",(IGA_BD[[#This Row],[Fault Clearance time]]-IGA_BD[[#This Row],[Work Start TimeStamp]])*24)</f>
        <v/>
      </c>
      <c r="Q623" s="57">
        <f>(IGA_BD[[#This Row],[Fault Clearance time]]-IGA_BD[[#This Row],[Fault Start TimeStamp]])*24</f>
        <v>0</v>
      </c>
      <c r="R623" s="153"/>
      <c r="S623" s="44"/>
      <c r="T623" s="45" t="str">
        <f>IFERROR(IGA_BD[[#This Row],[Breakdown Time]]*IGA_BD[[#This Row],[Plant Equivalent Weightage]],"")</f>
        <v/>
      </c>
    </row>
    <row r="624" spans="1:20">
      <c r="A624" s="28"/>
      <c r="B624" s="154"/>
      <c r="C624" s="30">
        <f>YEAR(WTG_BD[[#This Row],[Date]])+IF(MONTH(WTG_BD[[#This Row],[Date]])&gt;=4,1,0)</f>
        <v>2026</v>
      </c>
      <c r="D624" s="31">
        <f>YEAR(IGA_BD[[#This Row],[Date]])</f>
        <v>1900</v>
      </c>
      <c r="E624" s="48">
        <f t="shared" si="12"/>
        <v>1</v>
      </c>
      <c r="F624" s="32"/>
      <c r="G624" s="33"/>
      <c r="H624" s="43" t="str">
        <f>IFERROR(VLOOKUP(IGA_BD[[#This Row],[Affected Feeder ]],'Basic Data'!$A$42:$E$53,2,0),"")</f>
        <v/>
      </c>
      <c r="I624" s="43" t="str">
        <f>IFERROR(VLOOKUP(IGA_BD[[#This Row],[Affected Feeder ]],'Basic Data'!$A$42:$E$53,3,0),"")</f>
        <v/>
      </c>
      <c r="J624" s="43" t="str">
        <f>IFERROR(VLOOKUP(IGA_BD[[#This Row],[Affected Feeder ]],'Basic Data'!$A$42:$E$53,5,0),"")</f>
        <v/>
      </c>
      <c r="K624" s="164"/>
      <c r="L624" s="50"/>
      <c r="M624" s="116"/>
      <c r="N624" s="116"/>
      <c r="O624" s="57">
        <f>(IGA_BD[[#This Row],[Work Start TimeStamp]]-IGA_BD[[#This Row],[Fault Start TimeStamp]])*24</f>
        <v>0</v>
      </c>
      <c r="P624" s="44" t="str">
        <f>IF(IGA_BD[[#This Row],[Work Start TimeStamp]]="","",(IGA_BD[[#This Row],[Fault Clearance time]]-IGA_BD[[#This Row],[Work Start TimeStamp]])*24)</f>
        <v/>
      </c>
      <c r="Q624" s="57">
        <f>(IGA_BD[[#This Row],[Fault Clearance time]]-IGA_BD[[#This Row],[Fault Start TimeStamp]])*24</f>
        <v>0</v>
      </c>
      <c r="R624" s="153"/>
      <c r="S624" s="44"/>
      <c r="T624" s="45" t="str">
        <f>IFERROR(IGA_BD[[#This Row],[Breakdown Time]]*IGA_BD[[#This Row],[Plant Equivalent Weightage]],"")</f>
        <v/>
      </c>
    </row>
    <row r="625" spans="1:20">
      <c r="A625" s="28"/>
      <c r="B625" s="154"/>
      <c r="C625" s="30">
        <f>YEAR(WTG_BD[[#This Row],[Date]])+IF(MONTH(WTG_BD[[#This Row],[Date]])&gt;=4,1,0)</f>
        <v>2026</v>
      </c>
      <c r="D625" s="31">
        <f>YEAR(IGA_BD[[#This Row],[Date]])</f>
        <v>1900</v>
      </c>
      <c r="E625" s="48">
        <f t="shared" si="12"/>
        <v>1</v>
      </c>
      <c r="F625" s="32"/>
      <c r="G625" s="33"/>
      <c r="H625" s="43" t="str">
        <f>IFERROR(VLOOKUP(IGA_BD[[#This Row],[Affected Feeder ]],'Basic Data'!$A$42:$E$53,2,0),"")</f>
        <v/>
      </c>
      <c r="I625" s="43" t="str">
        <f>IFERROR(VLOOKUP(IGA_BD[[#This Row],[Affected Feeder ]],'Basic Data'!$A$42:$E$53,3,0),"")</f>
        <v/>
      </c>
      <c r="J625" s="43" t="str">
        <f>IFERROR(VLOOKUP(IGA_BD[[#This Row],[Affected Feeder ]],'Basic Data'!$A$42:$E$53,5,0),"")</f>
        <v/>
      </c>
      <c r="K625" s="164"/>
      <c r="L625" s="50"/>
      <c r="M625" s="116"/>
      <c r="N625" s="116"/>
      <c r="O625" s="57">
        <f>(IGA_BD[[#This Row],[Work Start TimeStamp]]-IGA_BD[[#This Row],[Fault Start TimeStamp]])*24</f>
        <v>0</v>
      </c>
      <c r="P625" s="44" t="str">
        <f>IF(IGA_BD[[#This Row],[Work Start TimeStamp]]="","",(IGA_BD[[#This Row],[Fault Clearance time]]-IGA_BD[[#This Row],[Work Start TimeStamp]])*24)</f>
        <v/>
      </c>
      <c r="Q625" s="57">
        <f>(IGA_BD[[#This Row],[Fault Clearance time]]-IGA_BD[[#This Row],[Fault Start TimeStamp]])*24</f>
        <v>0</v>
      </c>
      <c r="R625" s="153"/>
      <c r="S625" s="44"/>
      <c r="T625" s="45" t="str">
        <f>IFERROR(IGA_BD[[#This Row],[Breakdown Time]]*IGA_BD[[#This Row],[Plant Equivalent Weightage]],"")</f>
        <v/>
      </c>
    </row>
    <row r="626" spans="1:20">
      <c r="A626" s="28"/>
      <c r="B626" s="154"/>
      <c r="C626" s="30">
        <f>YEAR(WTG_BD[[#This Row],[Date]])+IF(MONTH(WTG_BD[[#This Row],[Date]])&gt;=4,1,0)</f>
        <v>2026</v>
      </c>
      <c r="D626" s="31">
        <f>YEAR(IGA_BD[[#This Row],[Date]])</f>
        <v>1900</v>
      </c>
      <c r="E626" s="48">
        <f t="shared" si="12"/>
        <v>1</v>
      </c>
      <c r="F626" s="32"/>
      <c r="G626" s="33"/>
      <c r="H626" s="43" t="str">
        <f>IFERROR(VLOOKUP(IGA_BD[[#This Row],[Affected Feeder ]],'Basic Data'!$A$42:$E$53,2,0),"")</f>
        <v/>
      </c>
      <c r="I626" s="43" t="str">
        <f>IFERROR(VLOOKUP(IGA_BD[[#This Row],[Affected Feeder ]],'Basic Data'!$A$42:$E$53,3,0),"")</f>
        <v/>
      </c>
      <c r="J626" s="43" t="str">
        <f>IFERROR(VLOOKUP(IGA_BD[[#This Row],[Affected Feeder ]],'Basic Data'!$A$42:$E$53,5,0),"")</f>
        <v/>
      </c>
      <c r="K626" s="164"/>
      <c r="L626" s="50"/>
      <c r="M626" s="116"/>
      <c r="N626" s="116"/>
      <c r="O626" s="57">
        <f>(IGA_BD[[#This Row],[Work Start TimeStamp]]-IGA_BD[[#This Row],[Fault Start TimeStamp]])*24</f>
        <v>0</v>
      </c>
      <c r="P626" s="44" t="str">
        <f>IF(IGA_BD[[#This Row],[Work Start TimeStamp]]="","",(IGA_BD[[#This Row],[Fault Clearance time]]-IGA_BD[[#This Row],[Work Start TimeStamp]])*24)</f>
        <v/>
      </c>
      <c r="Q626" s="57">
        <f>(IGA_BD[[#This Row],[Fault Clearance time]]-IGA_BD[[#This Row],[Fault Start TimeStamp]])*24</f>
        <v>0</v>
      </c>
      <c r="R626" s="153"/>
      <c r="S626" s="44"/>
      <c r="T626" s="45" t="str">
        <f>IFERROR(IGA_BD[[#This Row],[Breakdown Time]]*IGA_BD[[#This Row],[Plant Equivalent Weightage]],"")</f>
        <v/>
      </c>
    </row>
    <row r="627" spans="1:20">
      <c r="A627" s="28"/>
      <c r="B627" s="154"/>
      <c r="C627" s="30">
        <f>YEAR(WTG_BD[[#This Row],[Date]])+IF(MONTH(WTG_BD[[#This Row],[Date]])&gt;=4,1,0)</f>
        <v>2026</v>
      </c>
      <c r="D627" s="31">
        <f>YEAR(IGA_BD[[#This Row],[Date]])</f>
        <v>1900</v>
      </c>
      <c r="E627" s="48">
        <f t="shared" si="12"/>
        <v>1</v>
      </c>
      <c r="F627" s="32"/>
      <c r="G627" s="33"/>
      <c r="H627" s="43" t="str">
        <f>IFERROR(VLOOKUP(IGA_BD[[#This Row],[Affected Feeder ]],'Basic Data'!$A$42:$E$53,2,0),"")</f>
        <v/>
      </c>
      <c r="I627" s="43" t="str">
        <f>IFERROR(VLOOKUP(IGA_BD[[#This Row],[Affected Feeder ]],'Basic Data'!$A$42:$E$53,3,0),"")</f>
        <v/>
      </c>
      <c r="J627" s="43" t="str">
        <f>IFERROR(VLOOKUP(IGA_BD[[#This Row],[Affected Feeder ]],'Basic Data'!$A$42:$E$53,5,0),"")</f>
        <v/>
      </c>
      <c r="K627" s="164"/>
      <c r="L627" s="50"/>
      <c r="M627" s="116"/>
      <c r="N627" s="116"/>
      <c r="O627" s="57">
        <f>(IGA_BD[[#This Row],[Work Start TimeStamp]]-IGA_BD[[#This Row],[Fault Start TimeStamp]])*24</f>
        <v>0</v>
      </c>
      <c r="P627" s="44" t="str">
        <f>IF(IGA_BD[[#This Row],[Work Start TimeStamp]]="","",(IGA_BD[[#This Row],[Fault Clearance time]]-IGA_BD[[#This Row],[Work Start TimeStamp]])*24)</f>
        <v/>
      </c>
      <c r="Q627" s="57">
        <f>(IGA_BD[[#This Row],[Fault Clearance time]]-IGA_BD[[#This Row],[Fault Start TimeStamp]])*24</f>
        <v>0</v>
      </c>
      <c r="R627" s="153"/>
      <c r="S627" s="44"/>
      <c r="T627" s="45" t="str">
        <f>IFERROR(IGA_BD[[#This Row],[Breakdown Time]]*IGA_BD[[#This Row],[Plant Equivalent Weightage]],"")</f>
        <v/>
      </c>
    </row>
    <row r="628" spans="1:20">
      <c r="A628" s="28"/>
      <c r="B628" s="154"/>
      <c r="C628" s="30">
        <f>YEAR(WTG_BD[[#This Row],[Date]])+IF(MONTH(WTG_BD[[#This Row],[Date]])&gt;=4,1,0)</f>
        <v>2026</v>
      </c>
      <c r="D628" s="31">
        <f>YEAR(IGA_BD[[#This Row],[Date]])</f>
        <v>1900</v>
      </c>
      <c r="E628" s="48">
        <f t="shared" si="12"/>
        <v>1</v>
      </c>
      <c r="F628" s="32"/>
      <c r="G628" s="33"/>
      <c r="H628" s="43" t="str">
        <f>IFERROR(VLOOKUP(IGA_BD[[#This Row],[Affected Feeder ]],'Basic Data'!$A$42:$E$53,2,0),"")</f>
        <v/>
      </c>
      <c r="I628" s="43" t="str">
        <f>IFERROR(VLOOKUP(IGA_BD[[#This Row],[Affected Feeder ]],'Basic Data'!$A$42:$E$53,3,0),"")</f>
        <v/>
      </c>
      <c r="J628" s="43" t="str">
        <f>IFERROR(VLOOKUP(IGA_BD[[#This Row],[Affected Feeder ]],'Basic Data'!$A$42:$E$53,5,0),"")</f>
        <v/>
      </c>
      <c r="K628" s="164"/>
      <c r="L628" s="50"/>
      <c r="M628" s="116"/>
      <c r="N628" s="116"/>
      <c r="O628" s="57">
        <f>(IGA_BD[[#This Row],[Work Start TimeStamp]]-IGA_BD[[#This Row],[Fault Start TimeStamp]])*24</f>
        <v>0</v>
      </c>
      <c r="P628" s="44" t="str">
        <f>IF(IGA_BD[[#This Row],[Work Start TimeStamp]]="","",(IGA_BD[[#This Row],[Fault Clearance time]]-IGA_BD[[#This Row],[Work Start TimeStamp]])*24)</f>
        <v/>
      </c>
      <c r="Q628" s="57">
        <f>(IGA_BD[[#This Row],[Fault Clearance time]]-IGA_BD[[#This Row],[Fault Start TimeStamp]])*24</f>
        <v>0</v>
      </c>
      <c r="R628" s="153"/>
      <c r="S628" s="44"/>
      <c r="T628" s="45" t="str">
        <f>IFERROR(IGA_BD[[#This Row],[Breakdown Time]]*IGA_BD[[#This Row],[Plant Equivalent Weightage]],"")</f>
        <v/>
      </c>
    </row>
    <row r="629" spans="1:20">
      <c r="A629" s="28"/>
      <c r="B629" s="154"/>
      <c r="C629" s="30">
        <f>YEAR(WTG_BD[[#This Row],[Date]])+IF(MONTH(WTG_BD[[#This Row],[Date]])&gt;=4,1,0)</f>
        <v>2026</v>
      </c>
      <c r="D629" s="31">
        <f>YEAR(IGA_BD[[#This Row],[Date]])</f>
        <v>1900</v>
      </c>
      <c r="E629" s="48">
        <f t="shared" si="12"/>
        <v>1</v>
      </c>
      <c r="F629" s="32"/>
      <c r="G629" s="33"/>
      <c r="H629" s="43" t="str">
        <f>IFERROR(VLOOKUP(IGA_BD[[#This Row],[Affected Feeder ]],'Basic Data'!$A$42:$E$53,2,0),"")</f>
        <v/>
      </c>
      <c r="I629" s="43" t="str">
        <f>IFERROR(VLOOKUP(IGA_BD[[#This Row],[Affected Feeder ]],'Basic Data'!$A$42:$E$53,3,0),"")</f>
        <v/>
      </c>
      <c r="J629" s="43" t="str">
        <f>IFERROR(VLOOKUP(IGA_BD[[#This Row],[Affected Feeder ]],'Basic Data'!$A$42:$E$53,5,0),"")</f>
        <v/>
      </c>
      <c r="K629" s="164"/>
      <c r="L629" s="50"/>
      <c r="M629" s="116"/>
      <c r="N629" s="116"/>
      <c r="O629" s="57">
        <f>(IGA_BD[[#This Row],[Work Start TimeStamp]]-IGA_BD[[#This Row],[Fault Start TimeStamp]])*24</f>
        <v>0</v>
      </c>
      <c r="P629" s="44" t="str">
        <f>IF(IGA_BD[[#This Row],[Work Start TimeStamp]]="","",(IGA_BD[[#This Row],[Fault Clearance time]]-IGA_BD[[#This Row],[Work Start TimeStamp]])*24)</f>
        <v/>
      </c>
      <c r="Q629" s="57">
        <f>(IGA_BD[[#This Row],[Fault Clearance time]]-IGA_BD[[#This Row],[Fault Start TimeStamp]])*24</f>
        <v>0</v>
      </c>
      <c r="R629" s="153"/>
      <c r="S629" s="44"/>
      <c r="T629" s="45" t="str">
        <f>IFERROR(IGA_BD[[#This Row],[Breakdown Time]]*IGA_BD[[#This Row],[Plant Equivalent Weightage]],"")</f>
        <v/>
      </c>
    </row>
    <row r="630" spans="1:20">
      <c r="A630" s="28"/>
      <c r="B630" s="154"/>
      <c r="C630" s="30">
        <f>YEAR(WTG_BD[[#This Row],[Date]])+IF(MONTH(WTG_BD[[#This Row],[Date]])&gt;=4,1,0)</f>
        <v>2026</v>
      </c>
      <c r="D630" s="31">
        <f>YEAR(IGA_BD[[#This Row],[Date]])</f>
        <v>1900</v>
      </c>
      <c r="E630" s="48">
        <f t="shared" si="12"/>
        <v>1</v>
      </c>
      <c r="F630" s="32"/>
      <c r="G630" s="33"/>
      <c r="H630" s="43" t="str">
        <f>IFERROR(VLOOKUP(IGA_BD[[#This Row],[Affected Feeder ]],'Basic Data'!$A$42:$E$53,2,0),"")</f>
        <v/>
      </c>
      <c r="I630" s="43" t="str">
        <f>IFERROR(VLOOKUP(IGA_BD[[#This Row],[Affected Feeder ]],'Basic Data'!$A$42:$E$53,3,0),"")</f>
        <v/>
      </c>
      <c r="J630" s="43" t="str">
        <f>IFERROR(VLOOKUP(IGA_BD[[#This Row],[Affected Feeder ]],'Basic Data'!$A$42:$E$53,5,0),"")</f>
        <v/>
      </c>
      <c r="K630" s="164"/>
      <c r="L630" s="50"/>
      <c r="M630" s="116"/>
      <c r="N630" s="116"/>
      <c r="O630" s="57">
        <f>(IGA_BD[[#This Row],[Work Start TimeStamp]]-IGA_BD[[#This Row],[Fault Start TimeStamp]])*24</f>
        <v>0</v>
      </c>
      <c r="P630" s="44" t="str">
        <f>IF(IGA_BD[[#This Row],[Work Start TimeStamp]]="","",(IGA_BD[[#This Row],[Fault Clearance time]]-IGA_BD[[#This Row],[Work Start TimeStamp]])*24)</f>
        <v/>
      </c>
      <c r="Q630" s="57">
        <f>(IGA_BD[[#This Row],[Fault Clearance time]]-IGA_BD[[#This Row],[Fault Start TimeStamp]])*24</f>
        <v>0</v>
      </c>
      <c r="R630" s="153"/>
      <c r="S630" s="44"/>
      <c r="T630" s="45" t="str">
        <f>IFERROR(IGA_BD[[#This Row],[Breakdown Time]]*IGA_BD[[#This Row],[Plant Equivalent Weightage]],"")</f>
        <v/>
      </c>
    </row>
    <row r="631" spans="1:20">
      <c r="A631" s="28"/>
      <c r="B631" s="154"/>
      <c r="C631" s="30">
        <f>YEAR(WTG_BD[[#This Row],[Date]])+IF(MONTH(WTG_BD[[#This Row],[Date]])&gt;=4,1,0)</f>
        <v>2026</v>
      </c>
      <c r="D631" s="31">
        <f>YEAR(IGA_BD[[#This Row],[Date]])</f>
        <v>1900</v>
      </c>
      <c r="E631" s="48">
        <f t="shared" si="12"/>
        <v>1</v>
      </c>
      <c r="F631" s="32"/>
      <c r="G631" s="33"/>
      <c r="H631" s="43" t="str">
        <f>IFERROR(VLOOKUP(IGA_BD[[#This Row],[Affected Feeder ]],'Basic Data'!$A$42:$E$53,2,0),"")</f>
        <v/>
      </c>
      <c r="I631" s="43" t="str">
        <f>IFERROR(VLOOKUP(IGA_BD[[#This Row],[Affected Feeder ]],'Basic Data'!$A$42:$E$53,3,0),"")</f>
        <v/>
      </c>
      <c r="J631" s="43" t="str">
        <f>IFERROR(VLOOKUP(IGA_BD[[#This Row],[Affected Feeder ]],'Basic Data'!$A$42:$E$53,5,0),"")</f>
        <v/>
      </c>
      <c r="K631" s="164"/>
      <c r="L631" s="50"/>
      <c r="M631" s="116"/>
      <c r="N631" s="116"/>
      <c r="O631" s="57">
        <f>(IGA_BD[[#This Row],[Work Start TimeStamp]]-IGA_BD[[#This Row],[Fault Start TimeStamp]])*24</f>
        <v>0</v>
      </c>
      <c r="P631" s="44" t="str">
        <f>IF(IGA_BD[[#This Row],[Work Start TimeStamp]]="","",(IGA_BD[[#This Row],[Fault Clearance time]]-IGA_BD[[#This Row],[Work Start TimeStamp]])*24)</f>
        <v/>
      </c>
      <c r="Q631" s="57">
        <f>(IGA_BD[[#This Row],[Fault Clearance time]]-IGA_BD[[#This Row],[Fault Start TimeStamp]])*24</f>
        <v>0</v>
      </c>
      <c r="R631" s="153"/>
      <c r="S631" s="44"/>
      <c r="T631" s="45" t="str">
        <f>IFERROR(IGA_BD[[#This Row],[Breakdown Time]]*IGA_BD[[#This Row],[Plant Equivalent Weightage]],"")</f>
        <v/>
      </c>
    </row>
    <row r="632" spans="1:20">
      <c r="A632" s="28"/>
      <c r="B632" s="154"/>
      <c r="C632" s="30">
        <f>YEAR(WTG_BD[[#This Row],[Date]])+IF(MONTH(WTG_BD[[#This Row],[Date]])&gt;=4,1,0)</f>
        <v>2026</v>
      </c>
      <c r="D632" s="31">
        <f>YEAR(IGA_BD[[#This Row],[Date]])</f>
        <v>1900</v>
      </c>
      <c r="E632" s="48">
        <f t="shared" si="12"/>
        <v>1</v>
      </c>
      <c r="F632" s="32"/>
      <c r="G632" s="33"/>
      <c r="H632" s="43" t="str">
        <f>IFERROR(VLOOKUP(IGA_BD[[#This Row],[Affected Feeder ]],'Basic Data'!$A$42:$E$53,2,0),"")</f>
        <v/>
      </c>
      <c r="I632" s="43" t="str">
        <f>IFERROR(VLOOKUP(IGA_BD[[#This Row],[Affected Feeder ]],'Basic Data'!$A$42:$E$53,3,0),"")</f>
        <v/>
      </c>
      <c r="J632" s="43" t="str">
        <f>IFERROR(VLOOKUP(IGA_BD[[#This Row],[Affected Feeder ]],'Basic Data'!$A$42:$E$53,5,0),"")</f>
        <v/>
      </c>
      <c r="K632" s="164"/>
      <c r="L632" s="50"/>
      <c r="M632" s="116"/>
      <c r="N632" s="116"/>
      <c r="O632" s="57">
        <f>(IGA_BD[[#This Row],[Work Start TimeStamp]]-IGA_BD[[#This Row],[Fault Start TimeStamp]])*24</f>
        <v>0</v>
      </c>
      <c r="P632" s="44" t="str">
        <f>IF(IGA_BD[[#This Row],[Work Start TimeStamp]]="","",(IGA_BD[[#This Row],[Fault Clearance time]]-IGA_BD[[#This Row],[Work Start TimeStamp]])*24)</f>
        <v/>
      </c>
      <c r="Q632" s="57">
        <f>(IGA_BD[[#This Row],[Fault Clearance time]]-IGA_BD[[#This Row],[Fault Start TimeStamp]])*24</f>
        <v>0</v>
      </c>
      <c r="R632" s="153"/>
      <c r="S632" s="44"/>
      <c r="T632" s="45" t="str">
        <f>IFERROR(IGA_BD[[#This Row],[Breakdown Time]]*IGA_BD[[#This Row],[Plant Equivalent Weightage]],"")</f>
        <v/>
      </c>
    </row>
    <row r="633" spans="1:20">
      <c r="A633" s="28"/>
      <c r="B633" s="154"/>
      <c r="C633" s="30">
        <f>YEAR(WTG_BD[[#This Row],[Date]])+IF(MONTH(WTG_BD[[#This Row],[Date]])&gt;=4,1,0)</f>
        <v>2026</v>
      </c>
      <c r="D633" s="31">
        <f>YEAR(IGA_BD[[#This Row],[Date]])</f>
        <v>1900</v>
      </c>
      <c r="E633" s="48">
        <f t="shared" si="12"/>
        <v>1</v>
      </c>
      <c r="F633" s="32"/>
      <c r="G633" s="33"/>
      <c r="H633" s="43" t="str">
        <f>IFERROR(VLOOKUP(IGA_BD[[#This Row],[Affected Feeder ]],'Basic Data'!$A$42:$E$53,2,0),"")</f>
        <v/>
      </c>
      <c r="I633" s="43" t="str">
        <f>IFERROR(VLOOKUP(IGA_BD[[#This Row],[Affected Feeder ]],'Basic Data'!$A$42:$E$53,3,0),"")</f>
        <v/>
      </c>
      <c r="J633" s="43" t="str">
        <f>IFERROR(VLOOKUP(IGA_BD[[#This Row],[Affected Feeder ]],'Basic Data'!$A$42:$E$53,5,0),"")</f>
        <v/>
      </c>
      <c r="K633" s="164"/>
      <c r="L633" s="50"/>
      <c r="M633" s="116"/>
      <c r="N633" s="116"/>
      <c r="O633" s="57">
        <f>(IGA_BD[[#This Row],[Work Start TimeStamp]]-IGA_BD[[#This Row],[Fault Start TimeStamp]])*24</f>
        <v>0</v>
      </c>
      <c r="P633" s="44" t="str">
        <f>IF(IGA_BD[[#This Row],[Work Start TimeStamp]]="","",(IGA_BD[[#This Row],[Fault Clearance time]]-IGA_BD[[#This Row],[Work Start TimeStamp]])*24)</f>
        <v/>
      </c>
      <c r="Q633" s="57">
        <f>(IGA_BD[[#This Row],[Fault Clearance time]]-IGA_BD[[#This Row],[Fault Start TimeStamp]])*24</f>
        <v>0</v>
      </c>
      <c r="R633" s="153"/>
      <c r="S633" s="44"/>
      <c r="T633" s="45" t="str">
        <f>IFERROR(IGA_BD[[#This Row],[Breakdown Time]]*IGA_BD[[#This Row],[Plant Equivalent Weightage]],"")</f>
        <v/>
      </c>
    </row>
    <row r="634" spans="1:20">
      <c r="A634" s="28"/>
      <c r="B634" s="154"/>
      <c r="C634" s="30">
        <f>YEAR(WTG_BD[[#This Row],[Date]])+IF(MONTH(WTG_BD[[#This Row],[Date]])&gt;=4,1,0)</f>
        <v>2026</v>
      </c>
      <c r="D634" s="31">
        <f>YEAR(IGA_BD[[#This Row],[Date]])</f>
        <v>1900</v>
      </c>
      <c r="E634" s="48">
        <f t="shared" si="12"/>
        <v>1</v>
      </c>
      <c r="F634" s="32"/>
      <c r="G634" s="33"/>
      <c r="H634" s="43" t="str">
        <f>IFERROR(VLOOKUP(IGA_BD[[#This Row],[Affected Feeder ]],'Basic Data'!$A$42:$E$53,2,0),"")</f>
        <v/>
      </c>
      <c r="I634" s="43" t="str">
        <f>IFERROR(VLOOKUP(IGA_BD[[#This Row],[Affected Feeder ]],'Basic Data'!$A$42:$E$53,3,0),"")</f>
        <v/>
      </c>
      <c r="J634" s="43" t="str">
        <f>IFERROR(VLOOKUP(IGA_BD[[#This Row],[Affected Feeder ]],'Basic Data'!$A$42:$E$53,5,0),"")</f>
        <v/>
      </c>
      <c r="K634" s="164"/>
      <c r="L634" s="50"/>
      <c r="M634" s="116"/>
      <c r="N634" s="116"/>
      <c r="O634" s="57">
        <f>(IGA_BD[[#This Row],[Work Start TimeStamp]]-IGA_BD[[#This Row],[Fault Start TimeStamp]])*24</f>
        <v>0</v>
      </c>
      <c r="P634" s="44" t="str">
        <f>IF(IGA_BD[[#This Row],[Work Start TimeStamp]]="","",(IGA_BD[[#This Row],[Fault Clearance time]]-IGA_BD[[#This Row],[Work Start TimeStamp]])*24)</f>
        <v/>
      </c>
      <c r="Q634" s="57">
        <f>(IGA_BD[[#This Row],[Fault Clearance time]]-IGA_BD[[#This Row],[Fault Start TimeStamp]])*24</f>
        <v>0</v>
      </c>
      <c r="R634" s="153"/>
      <c r="S634" s="44"/>
      <c r="T634" s="45" t="str">
        <f>IFERROR(IGA_BD[[#This Row],[Breakdown Time]]*IGA_BD[[#This Row],[Plant Equivalent Weightage]],"")</f>
        <v/>
      </c>
    </row>
    <row r="635" spans="1:20">
      <c r="A635" s="28"/>
      <c r="B635" s="154"/>
      <c r="C635" s="30">
        <f>YEAR(WTG_BD[[#This Row],[Date]])+IF(MONTH(WTG_BD[[#This Row],[Date]])&gt;=4,1,0)</f>
        <v>2026</v>
      </c>
      <c r="D635" s="31">
        <f>YEAR(IGA_BD[[#This Row],[Date]])</f>
        <v>1900</v>
      </c>
      <c r="E635" s="48">
        <f t="shared" si="12"/>
        <v>1</v>
      </c>
      <c r="F635" s="32"/>
      <c r="G635" s="33"/>
      <c r="H635" s="43" t="str">
        <f>IFERROR(VLOOKUP(IGA_BD[[#This Row],[Affected Feeder ]],'Basic Data'!$A$42:$E$53,2,0),"")</f>
        <v/>
      </c>
      <c r="I635" s="43" t="str">
        <f>IFERROR(VLOOKUP(IGA_BD[[#This Row],[Affected Feeder ]],'Basic Data'!$A$42:$E$53,3,0),"")</f>
        <v/>
      </c>
      <c r="J635" s="43" t="str">
        <f>IFERROR(VLOOKUP(IGA_BD[[#This Row],[Affected Feeder ]],'Basic Data'!$A$42:$E$53,5,0),"")</f>
        <v/>
      </c>
      <c r="K635" s="164"/>
      <c r="L635" s="50"/>
      <c r="M635" s="116"/>
      <c r="N635" s="116"/>
      <c r="O635" s="57">
        <f>(IGA_BD[[#This Row],[Work Start TimeStamp]]-IGA_BD[[#This Row],[Fault Start TimeStamp]])*24</f>
        <v>0</v>
      </c>
      <c r="P635" s="44" t="str">
        <f>IF(IGA_BD[[#This Row],[Work Start TimeStamp]]="","",(IGA_BD[[#This Row],[Fault Clearance time]]-IGA_BD[[#This Row],[Work Start TimeStamp]])*24)</f>
        <v/>
      </c>
      <c r="Q635" s="57">
        <f>(IGA_BD[[#This Row],[Fault Clearance time]]-IGA_BD[[#This Row],[Fault Start TimeStamp]])*24</f>
        <v>0</v>
      </c>
      <c r="R635" s="153"/>
      <c r="S635" s="44"/>
      <c r="T635" s="45" t="str">
        <f>IFERROR(IGA_BD[[#This Row],[Breakdown Time]]*IGA_BD[[#This Row],[Plant Equivalent Weightage]],"")</f>
        <v/>
      </c>
    </row>
    <row r="636" spans="1:20">
      <c r="A636" s="28"/>
      <c r="B636" s="154"/>
      <c r="C636" s="30">
        <f>YEAR(WTG_BD[[#This Row],[Date]])+IF(MONTH(WTG_BD[[#This Row],[Date]])&gt;=4,1,0)</f>
        <v>2026</v>
      </c>
      <c r="D636" s="31">
        <f>YEAR(IGA_BD[[#This Row],[Date]])</f>
        <v>1900</v>
      </c>
      <c r="E636" s="48">
        <f t="shared" si="12"/>
        <v>1</v>
      </c>
      <c r="F636" s="32"/>
      <c r="G636" s="33"/>
      <c r="H636" s="43" t="str">
        <f>IFERROR(VLOOKUP(IGA_BD[[#This Row],[Affected Feeder ]],'Basic Data'!$A$42:$E$53,2,0),"")</f>
        <v/>
      </c>
      <c r="I636" s="43" t="str">
        <f>IFERROR(VLOOKUP(IGA_BD[[#This Row],[Affected Feeder ]],'Basic Data'!$A$42:$E$53,3,0),"")</f>
        <v/>
      </c>
      <c r="J636" s="43" t="str">
        <f>IFERROR(VLOOKUP(IGA_BD[[#This Row],[Affected Feeder ]],'Basic Data'!$A$42:$E$53,5,0),"")</f>
        <v/>
      </c>
      <c r="K636" s="164"/>
      <c r="L636" s="50"/>
      <c r="M636" s="116"/>
      <c r="N636" s="116"/>
      <c r="O636" s="57">
        <f>(IGA_BD[[#This Row],[Work Start TimeStamp]]-IGA_BD[[#This Row],[Fault Start TimeStamp]])*24</f>
        <v>0</v>
      </c>
      <c r="P636" s="44" t="str">
        <f>IF(IGA_BD[[#This Row],[Work Start TimeStamp]]="","",(IGA_BD[[#This Row],[Fault Clearance time]]-IGA_BD[[#This Row],[Work Start TimeStamp]])*24)</f>
        <v/>
      </c>
      <c r="Q636" s="57">
        <f>(IGA_BD[[#This Row],[Fault Clearance time]]-IGA_BD[[#This Row],[Fault Start TimeStamp]])*24</f>
        <v>0</v>
      </c>
      <c r="R636" s="153"/>
      <c r="S636" s="44"/>
      <c r="T636" s="45" t="str">
        <f>IFERROR(IGA_BD[[#This Row],[Breakdown Time]]*IGA_BD[[#This Row],[Plant Equivalent Weightage]],"")</f>
        <v/>
      </c>
    </row>
    <row r="637" spans="1:20">
      <c r="A637" s="28"/>
      <c r="B637" s="154"/>
      <c r="C637" s="30">
        <f>YEAR(WTG_BD[[#This Row],[Date]])+IF(MONTH(WTG_BD[[#This Row],[Date]])&gt;=4,1,0)</f>
        <v>2026</v>
      </c>
      <c r="D637" s="31">
        <f>YEAR(IGA_BD[[#This Row],[Date]])</f>
        <v>1900</v>
      </c>
      <c r="E637" s="48">
        <f t="shared" si="12"/>
        <v>1</v>
      </c>
      <c r="F637" s="32"/>
      <c r="G637" s="33"/>
      <c r="H637" s="43" t="str">
        <f>IFERROR(VLOOKUP(IGA_BD[[#This Row],[Affected Feeder ]],'Basic Data'!$A$42:$E$53,2,0),"")</f>
        <v/>
      </c>
      <c r="I637" s="43" t="str">
        <f>IFERROR(VLOOKUP(IGA_BD[[#This Row],[Affected Feeder ]],'Basic Data'!$A$42:$E$53,3,0),"")</f>
        <v/>
      </c>
      <c r="J637" s="43" t="str">
        <f>IFERROR(VLOOKUP(IGA_BD[[#This Row],[Affected Feeder ]],'Basic Data'!$A$42:$E$53,5,0),"")</f>
        <v/>
      </c>
      <c r="K637" s="164"/>
      <c r="L637" s="50"/>
      <c r="M637" s="116"/>
      <c r="N637" s="116"/>
      <c r="O637" s="57">
        <f>(IGA_BD[[#This Row],[Work Start TimeStamp]]-IGA_BD[[#This Row],[Fault Start TimeStamp]])*24</f>
        <v>0</v>
      </c>
      <c r="P637" s="44" t="str">
        <f>IF(IGA_BD[[#This Row],[Work Start TimeStamp]]="","",(IGA_BD[[#This Row],[Fault Clearance time]]-IGA_BD[[#This Row],[Work Start TimeStamp]])*24)</f>
        <v/>
      </c>
      <c r="Q637" s="57">
        <f>(IGA_BD[[#This Row],[Fault Clearance time]]-IGA_BD[[#This Row],[Fault Start TimeStamp]])*24</f>
        <v>0</v>
      </c>
      <c r="R637" s="153"/>
      <c r="S637" s="44"/>
      <c r="T637" s="45" t="str">
        <f>IFERROR(IGA_BD[[#This Row],[Breakdown Time]]*IGA_BD[[#This Row],[Plant Equivalent Weightage]],"")</f>
        <v/>
      </c>
    </row>
    <row r="638" spans="1:20">
      <c r="A638" s="28"/>
      <c r="B638" s="154"/>
      <c r="C638" s="30">
        <f>YEAR(WTG_BD[[#This Row],[Date]])+IF(MONTH(WTG_BD[[#This Row],[Date]])&gt;=4,1,0)</f>
        <v>2026</v>
      </c>
      <c r="D638" s="31">
        <f>YEAR(IGA_BD[[#This Row],[Date]])</f>
        <v>1900</v>
      </c>
      <c r="E638" s="48">
        <f t="shared" si="12"/>
        <v>1</v>
      </c>
      <c r="F638" s="32"/>
      <c r="G638" s="33"/>
      <c r="H638" s="43" t="str">
        <f>IFERROR(VLOOKUP(IGA_BD[[#This Row],[Affected Feeder ]],'Basic Data'!$A$42:$E$53,2,0),"")</f>
        <v/>
      </c>
      <c r="I638" s="43" t="str">
        <f>IFERROR(VLOOKUP(IGA_BD[[#This Row],[Affected Feeder ]],'Basic Data'!$A$42:$E$53,3,0),"")</f>
        <v/>
      </c>
      <c r="J638" s="43" t="str">
        <f>IFERROR(VLOOKUP(IGA_BD[[#This Row],[Affected Feeder ]],'Basic Data'!$A$42:$E$53,5,0),"")</f>
        <v/>
      </c>
      <c r="K638" s="164"/>
      <c r="L638" s="50"/>
      <c r="M638" s="116"/>
      <c r="N638" s="116"/>
      <c r="O638" s="57">
        <f>(IGA_BD[[#This Row],[Work Start TimeStamp]]-IGA_BD[[#This Row],[Fault Start TimeStamp]])*24</f>
        <v>0</v>
      </c>
      <c r="P638" s="44" t="str">
        <f>IF(IGA_BD[[#This Row],[Work Start TimeStamp]]="","",(IGA_BD[[#This Row],[Fault Clearance time]]-IGA_BD[[#This Row],[Work Start TimeStamp]])*24)</f>
        <v/>
      </c>
      <c r="Q638" s="57">
        <f>(IGA_BD[[#This Row],[Fault Clearance time]]-IGA_BD[[#This Row],[Fault Start TimeStamp]])*24</f>
        <v>0</v>
      </c>
      <c r="R638" s="153"/>
      <c r="S638" s="44"/>
      <c r="T638" s="45" t="str">
        <f>IFERROR(IGA_BD[[#This Row],[Breakdown Time]]*IGA_BD[[#This Row],[Plant Equivalent Weightage]],"")</f>
        <v/>
      </c>
    </row>
    <row r="639" spans="1:20">
      <c r="A639" s="28"/>
      <c r="B639" s="154"/>
      <c r="C639" s="30">
        <f>YEAR(WTG_BD[[#This Row],[Date]])+IF(MONTH(WTG_BD[[#This Row],[Date]])&gt;=4,1,0)</f>
        <v>2026</v>
      </c>
      <c r="D639" s="31">
        <f>YEAR(IGA_BD[[#This Row],[Date]])</f>
        <v>1900</v>
      </c>
      <c r="E639" s="48">
        <f t="shared" si="12"/>
        <v>1</v>
      </c>
      <c r="F639" s="32"/>
      <c r="G639" s="33"/>
      <c r="H639" s="43" t="str">
        <f>IFERROR(VLOOKUP(IGA_BD[[#This Row],[Affected Feeder ]],'Basic Data'!$A$42:$E$53,2,0),"")</f>
        <v/>
      </c>
      <c r="I639" s="43" t="str">
        <f>IFERROR(VLOOKUP(IGA_BD[[#This Row],[Affected Feeder ]],'Basic Data'!$A$42:$E$53,3,0),"")</f>
        <v/>
      </c>
      <c r="J639" s="43" t="str">
        <f>IFERROR(VLOOKUP(IGA_BD[[#This Row],[Affected Feeder ]],'Basic Data'!$A$42:$E$53,5,0),"")</f>
        <v/>
      </c>
      <c r="K639" s="164"/>
      <c r="L639" s="50"/>
      <c r="M639" s="116"/>
      <c r="N639" s="116"/>
      <c r="O639" s="57">
        <f>(IGA_BD[[#This Row],[Work Start TimeStamp]]-IGA_BD[[#This Row],[Fault Start TimeStamp]])*24</f>
        <v>0</v>
      </c>
      <c r="P639" s="44" t="str">
        <f>IF(IGA_BD[[#This Row],[Work Start TimeStamp]]="","",(IGA_BD[[#This Row],[Fault Clearance time]]-IGA_BD[[#This Row],[Work Start TimeStamp]])*24)</f>
        <v/>
      </c>
      <c r="Q639" s="57">
        <f>(IGA_BD[[#This Row],[Fault Clearance time]]-IGA_BD[[#This Row],[Fault Start TimeStamp]])*24</f>
        <v>0</v>
      </c>
      <c r="R639" s="153"/>
      <c r="S639" s="44"/>
      <c r="T639" s="45" t="str">
        <f>IFERROR(IGA_BD[[#This Row],[Breakdown Time]]*IGA_BD[[#This Row],[Plant Equivalent Weightage]],"")</f>
        <v/>
      </c>
    </row>
    <row r="640" spans="1:20">
      <c r="A640" s="28"/>
      <c r="B640" s="154"/>
      <c r="C640" s="30">
        <f>YEAR(WTG_BD[[#This Row],[Date]])+IF(MONTH(WTG_BD[[#This Row],[Date]])&gt;=4,1,0)</f>
        <v>2026</v>
      </c>
      <c r="D640" s="31">
        <f>YEAR(IGA_BD[[#This Row],[Date]])</f>
        <v>1900</v>
      </c>
      <c r="E640" s="48">
        <f t="shared" si="12"/>
        <v>1</v>
      </c>
      <c r="F640" s="32"/>
      <c r="G640" s="33"/>
      <c r="H640" s="43" t="str">
        <f>IFERROR(VLOOKUP(IGA_BD[[#This Row],[Affected Feeder ]],'Basic Data'!$A$42:$E$53,2,0),"")</f>
        <v/>
      </c>
      <c r="I640" s="43" t="str">
        <f>IFERROR(VLOOKUP(IGA_BD[[#This Row],[Affected Feeder ]],'Basic Data'!$A$42:$E$53,3,0),"")</f>
        <v/>
      </c>
      <c r="J640" s="43" t="str">
        <f>IFERROR(VLOOKUP(IGA_BD[[#This Row],[Affected Feeder ]],'Basic Data'!$A$42:$E$53,5,0),"")</f>
        <v/>
      </c>
      <c r="K640" s="164"/>
      <c r="L640" s="50"/>
      <c r="M640" s="116"/>
      <c r="N640" s="116"/>
      <c r="O640" s="57">
        <f>(IGA_BD[[#This Row],[Work Start TimeStamp]]-IGA_BD[[#This Row],[Fault Start TimeStamp]])*24</f>
        <v>0</v>
      </c>
      <c r="P640" s="44" t="str">
        <f>IF(IGA_BD[[#This Row],[Work Start TimeStamp]]="","",(IGA_BD[[#This Row],[Fault Clearance time]]-IGA_BD[[#This Row],[Work Start TimeStamp]])*24)</f>
        <v/>
      </c>
      <c r="Q640" s="57">
        <f>(IGA_BD[[#This Row],[Fault Clearance time]]-IGA_BD[[#This Row],[Fault Start TimeStamp]])*24</f>
        <v>0</v>
      </c>
      <c r="R640" s="153"/>
      <c r="S640" s="44"/>
      <c r="T640" s="45" t="str">
        <f>IFERROR(IGA_BD[[#This Row],[Breakdown Time]]*IGA_BD[[#This Row],[Plant Equivalent Weightage]],"")</f>
        <v/>
      </c>
    </row>
    <row r="641" spans="1:20">
      <c r="A641" s="28"/>
      <c r="B641" s="154"/>
      <c r="C641" s="30">
        <f>YEAR(WTG_BD[[#This Row],[Date]])+IF(MONTH(WTG_BD[[#This Row],[Date]])&gt;=4,1,0)</f>
        <v>2026</v>
      </c>
      <c r="D641" s="31">
        <f>YEAR(IGA_BD[[#This Row],[Date]])</f>
        <v>1900</v>
      </c>
      <c r="E641" s="48">
        <f t="shared" si="12"/>
        <v>1</v>
      </c>
      <c r="F641" s="32"/>
      <c r="G641" s="33"/>
      <c r="H641" s="43" t="str">
        <f>IFERROR(VLOOKUP(IGA_BD[[#This Row],[Affected Feeder ]],'Basic Data'!$A$42:$E$53,2,0),"")</f>
        <v/>
      </c>
      <c r="I641" s="43" t="str">
        <f>IFERROR(VLOOKUP(IGA_BD[[#This Row],[Affected Feeder ]],'Basic Data'!$A$42:$E$53,3,0),"")</f>
        <v/>
      </c>
      <c r="J641" s="43" t="str">
        <f>IFERROR(VLOOKUP(IGA_BD[[#This Row],[Affected Feeder ]],'Basic Data'!$A$42:$E$53,5,0),"")</f>
        <v/>
      </c>
      <c r="K641" s="164"/>
      <c r="L641" s="50"/>
      <c r="M641" s="116"/>
      <c r="N641" s="116"/>
      <c r="O641" s="57">
        <f>(IGA_BD[[#This Row],[Work Start TimeStamp]]-IGA_BD[[#This Row],[Fault Start TimeStamp]])*24</f>
        <v>0</v>
      </c>
      <c r="P641" s="44" t="str">
        <f>IF(IGA_BD[[#This Row],[Work Start TimeStamp]]="","",(IGA_BD[[#This Row],[Fault Clearance time]]-IGA_BD[[#This Row],[Work Start TimeStamp]])*24)</f>
        <v/>
      </c>
      <c r="Q641" s="57">
        <f>(IGA_BD[[#This Row],[Fault Clearance time]]-IGA_BD[[#This Row],[Fault Start TimeStamp]])*24</f>
        <v>0</v>
      </c>
      <c r="R641" s="153"/>
      <c r="S641" s="44"/>
      <c r="T641" s="45" t="str">
        <f>IFERROR(IGA_BD[[#This Row],[Breakdown Time]]*IGA_BD[[#This Row],[Plant Equivalent Weightage]],"")</f>
        <v/>
      </c>
    </row>
    <row r="642" spans="1:20">
      <c r="A642" s="28"/>
      <c r="B642" s="154"/>
      <c r="C642" s="30">
        <f>YEAR(WTG_BD[[#This Row],[Date]])+IF(MONTH(WTG_BD[[#This Row],[Date]])&gt;=4,1,0)</f>
        <v>2026</v>
      </c>
      <c r="D642" s="31">
        <f>YEAR(IGA_BD[[#This Row],[Date]])</f>
        <v>1900</v>
      </c>
      <c r="E642" s="48">
        <f t="shared" si="12"/>
        <v>1</v>
      </c>
      <c r="F642" s="32"/>
      <c r="G642" s="33"/>
      <c r="H642" s="43" t="str">
        <f>IFERROR(VLOOKUP(IGA_BD[[#This Row],[Affected Feeder ]],'Basic Data'!$A$42:$E$53,2,0),"")</f>
        <v/>
      </c>
      <c r="I642" s="43" t="str">
        <f>IFERROR(VLOOKUP(IGA_BD[[#This Row],[Affected Feeder ]],'Basic Data'!$A$42:$E$53,3,0),"")</f>
        <v/>
      </c>
      <c r="J642" s="43" t="str">
        <f>IFERROR(VLOOKUP(IGA_BD[[#This Row],[Affected Feeder ]],'Basic Data'!$A$42:$E$53,5,0),"")</f>
        <v/>
      </c>
      <c r="K642" s="164"/>
      <c r="L642" s="50"/>
      <c r="M642" s="116"/>
      <c r="N642" s="116"/>
      <c r="O642" s="57">
        <f>(IGA_BD[[#This Row],[Work Start TimeStamp]]-IGA_BD[[#This Row],[Fault Start TimeStamp]])*24</f>
        <v>0</v>
      </c>
      <c r="P642" s="44" t="str">
        <f>IF(IGA_BD[[#This Row],[Work Start TimeStamp]]="","",(IGA_BD[[#This Row],[Fault Clearance time]]-IGA_BD[[#This Row],[Work Start TimeStamp]])*24)</f>
        <v/>
      </c>
      <c r="Q642" s="57">
        <f>(IGA_BD[[#This Row],[Fault Clearance time]]-IGA_BD[[#This Row],[Fault Start TimeStamp]])*24</f>
        <v>0</v>
      </c>
      <c r="R642" s="153"/>
      <c r="S642" s="44"/>
      <c r="T642" s="45" t="str">
        <f>IFERROR(IGA_BD[[#This Row],[Breakdown Time]]*IGA_BD[[#This Row],[Plant Equivalent Weightage]],"")</f>
        <v/>
      </c>
    </row>
    <row r="643" spans="1:20">
      <c r="A643" s="28"/>
      <c r="B643" s="154"/>
      <c r="C643" s="30">
        <f>YEAR(WTG_BD[[#This Row],[Date]])+IF(MONTH(WTG_BD[[#This Row],[Date]])&gt;=4,1,0)</f>
        <v>2026</v>
      </c>
      <c r="D643" s="31">
        <f>YEAR(IGA_BD[[#This Row],[Date]])</f>
        <v>1900</v>
      </c>
      <c r="E643" s="48">
        <f t="shared" si="12"/>
        <v>1</v>
      </c>
      <c r="F643" s="32"/>
      <c r="G643" s="33"/>
      <c r="H643" s="43" t="str">
        <f>IFERROR(VLOOKUP(IGA_BD[[#This Row],[Affected Feeder ]],'Basic Data'!$A$42:$E$53,2,0),"")</f>
        <v/>
      </c>
      <c r="I643" s="43" t="str">
        <f>IFERROR(VLOOKUP(IGA_BD[[#This Row],[Affected Feeder ]],'Basic Data'!$A$42:$E$53,3,0),"")</f>
        <v/>
      </c>
      <c r="J643" s="43" t="str">
        <f>IFERROR(VLOOKUP(IGA_BD[[#This Row],[Affected Feeder ]],'Basic Data'!$A$42:$E$53,5,0),"")</f>
        <v/>
      </c>
      <c r="K643" s="164"/>
      <c r="L643" s="50"/>
      <c r="M643" s="116"/>
      <c r="N643" s="116"/>
      <c r="O643" s="57">
        <f>(IGA_BD[[#This Row],[Work Start TimeStamp]]-IGA_BD[[#This Row],[Fault Start TimeStamp]])*24</f>
        <v>0</v>
      </c>
      <c r="P643" s="44" t="str">
        <f>IF(IGA_BD[[#This Row],[Work Start TimeStamp]]="","",(IGA_BD[[#This Row],[Fault Clearance time]]-IGA_BD[[#This Row],[Work Start TimeStamp]])*24)</f>
        <v/>
      </c>
      <c r="Q643" s="57">
        <f>(IGA_BD[[#This Row],[Fault Clearance time]]-IGA_BD[[#This Row],[Fault Start TimeStamp]])*24</f>
        <v>0</v>
      </c>
      <c r="R643" s="153"/>
      <c r="S643" s="44"/>
      <c r="T643" s="45" t="str">
        <f>IFERROR(IGA_BD[[#This Row],[Breakdown Time]]*IGA_BD[[#This Row],[Plant Equivalent Weightage]],"")</f>
        <v/>
      </c>
    </row>
    <row r="644" spans="1:20">
      <c r="A644" s="28"/>
      <c r="B644" s="154"/>
      <c r="C644" s="30">
        <f>YEAR(WTG_BD[[#This Row],[Date]])+IF(MONTH(WTG_BD[[#This Row],[Date]])&gt;=4,1,0)</f>
        <v>2026</v>
      </c>
      <c r="D644" s="31">
        <f>YEAR(IGA_BD[[#This Row],[Date]])</f>
        <v>1900</v>
      </c>
      <c r="E644" s="48">
        <f t="shared" si="12"/>
        <v>1</v>
      </c>
      <c r="F644" s="32"/>
      <c r="G644" s="33"/>
      <c r="H644" s="43" t="str">
        <f>IFERROR(VLOOKUP(IGA_BD[[#This Row],[Affected Feeder ]],'Basic Data'!$A$42:$E$53,2,0),"")</f>
        <v/>
      </c>
      <c r="I644" s="43" t="str">
        <f>IFERROR(VLOOKUP(IGA_BD[[#This Row],[Affected Feeder ]],'Basic Data'!$A$42:$E$53,3,0),"")</f>
        <v/>
      </c>
      <c r="J644" s="43" t="str">
        <f>IFERROR(VLOOKUP(IGA_BD[[#This Row],[Affected Feeder ]],'Basic Data'!$A$42:$E$53,5,0),"")</f>
        <v/>
      </c>
      <c r="K644" s="164"/>
      <c r="L644" s="50"/>
      <c r="M644" s="116"/>
      <c r="N644" s="116"/>
      <c r="O644" s="57">
        <f>(IGA_BD[[#This Row],[Work Start TimeStamp]]-IGA_BD[[#This Row],[Fault Start TimeStamp]])*24</f>
        <v>0</v>
      </c>
      <c r="P644" s="44" t="str">
        <f>IF(IGA_BD[[#This Row],[Work Start TimeStamp]]="","",(IGA_BD[[#This Row],[Fault Clearance time]]-IGA_BD[[#This Row],[Work Start TimeStamp]])*24)</f>
        <v/>
      </c>
      <c r="Q644" s="57">
        <f>(IGA_BD[[#This Row],[Fault Clearance time]]-IGA_BD[[#This Row],[Fault Start TimeStamp]])*24</f>
        <v>0</v>
      </c>
      <c r="R644" s="153"/>
      <c r="S644" s="44"/>
      <c r="T644" s="45" t="str">
        <f>IFERROR(IGA_BD[[#This Row],[Breakdown Time]]*IGA_BD[[#This Row],[Plant Equivalent Weightage]],"")</f>
        <v/>
      </c>
    </row>
    <row r="645" spans="1:20">
      <c r="A645" s="28"/>
      <c r="B645" s="154"/>
      <c r="C645" s="30">
        <f>YEAR(WTG_BD[[#This Row],[Date]])+IF(MONTH(WTG_BD[[#This Row],[Date]])&gt;=4,1,0)</f>
        <v>2026</v>
      </c>
      <c r="D645" s="31">
        <f>YEAR(IGA_BD[[#This Row],[Date]])</f>
        <v>1900</v>
      </c>
      <c r="E645" s="48">
        <f t="shared" si="12"/>
        <v>1</v>
      </c>
      <c r="F645" s="32"/>
      <c r="G645" s="33"/>
      <c r="H645" s="43" t="str">
        <f>IFERROR(VLOOKUP(IGA_BD[[#This Row],[Affected Feeder ]],'Basic Data'!$A$42:$E$53,2,0),"")</f>
        <v/>
      </c>
      <c r="I645" s="43" t="str">
        <f>IFERROR(VLOOKUP(IGA_BD[[#This Row],[Affected Feeder ]],'Basic Data'!$A$42:$E$53,3,0),"")</f>
        <v/>
      </c>
      <c r="J645" s="43" t="str">
        <f>IFERROR(VLOOKUP(IGA_BD[[#This Row],[Affected Feeder ]],'Basic Data'!$A$42:$E$53,5,0),"")</f>
        <v/>
      </c>
      <c r="K645" s="164"/>
      <c r="L645" s="50"/>
      <c r="M645" s="116"/>
      <c r="N645" s="116"/>
      <c r="O645" s="57">
        <f>(IGA_BD[[#This Row],[Work Start TimeStamp]]-IGA_BD[[#This Row],[Fault Start TimeStamp]])*24</f>
        <v>0</v>
      </c>
      <c r="P645" s="44" t="str">
        <f>IF(IGA_BD[[#This Row],[Work Start TimeStamp]]="","",(IGA_BD[[#This Row],[Fault Clearance time]]-IGA_BD[[#This Row],[Work Start TimeStamp]])*24)</f>
        <v/>
      </c>
      <c r="Q645" s="57">
        <f>(IGA_BD[[#This Row],[Fault Clearance time]]-IGA_BD[[#This Row],[Fault Start TimeStamp]])*24</f>
        <v>0</v>
      </c>
      <c r="R645" s="153"/>
      <c r="S645" s="44"/>
      <c r="T645" s="45" t="str">
        <f>IFERROR(IGA_BD[[#This Row],[Breakdown Time]]*IGA_BD[[#This Row],[Plant Equivalent Weightage]],"")</f>
        <v/>
      </c>
    </row>
    <row r="646" spans="1:20">
      <c r="A646" s="28"/>
      <c r="B646" s="154"/>
      <c r="C646" s="30">
        <f>YEAR(WTG_BD[[#This Row],[Date]])+IF(MONTH(WTG_BD[[#This Row],[Date]])&gt;=4,1,0)</f>
        <v>2026</v>
      </c>
      <c r="D646" s="31">
        <f>YEAR(IGA_BD[[#This Row],[Date]])</f>
        <v>1900</v>
      </c>
      <c r="E646" s="48">
        <f t="shared" si="12"/>
        <v>1</v>
      </c>
      <c r="F646" s="32"/>
      <c r="G646" s="33"/>
      <c r="H646" s="43" t="str">
        <f>IFERROR(VLOOKUP(IGA_BD[[#This Row],[Affected Feeder ]],'Basic Data'!$A$42:$E$53,2,0),"")</f>
        <v/>
      </c>
      <c r="I646" s="43" t="str">
        <f>IFERROR(VLOOKUP(IGA_BD[[#This Row],[Affected Feeder ]],'Basic Data'!$A$42:$E$53,3,0),"")</f>
        <v/>
      </c>
      <c r="J646" s="43" t="str">
        <f>IFERROR(VLOOKUP(IGA_BD[[#This Row],[Affected Feeder ]],'Basic Data'!$A$42:$E$53,5,0),"")</f>
        <v/>
      </c>
      <c r="K646" s="164"/>
      <c r="L646" s="50"/>
      <c r="M646" s="116"/>
      <c r="N646" s="116"/>
      <c r="O646" s="57">
        <f>(IGA_BD[[#This Row],[Work Start TimeStamp]]-IGA_BD[[#This Row],[Fault Start TimeStamp]])*24</f>
        <v>0</v>
      </c>
      <c r="P646" s="44" t="str">
        <f>IF(IGA_BD[[#This Row],[Work Start TimeStamp]]="","",(IGA_BD[[#This Row],[Fault Clearance time]]-IGA_BD[[#This Row],[Work Start TimeStamp]])*24)</f>
        <v/>
      </c>
      <c r="Q646" s="57">
        <f>(IGA_BD[[#This Row],[Fault Clearance time]]-IGA_BD[[#This Row],[Fault Start TimeStamp]])*24</f>
        <v>0</v>
      </c>
      <c r="R646" s="153"/>
      <c r="S646" s="44"/>
      <c r="T646" s="45" t="str">
        <f>IFERROR(IGA_BD[[#This Row],[Breakdown Time]]*IGA_BD[[#This Row],[Plant Equivalent Weightage]],"")</f>
        <v/>
      </c>
    </row>
    <row r="647" spans="1:20">
      <c r="A647" s="28"/>
      <c r="B647" s="154"/>
      <c r="C647" s="30">
        <f>YEAR(WTG_BD[[#This Row],[Date]])+IF(MONTH(WTG_BD[[#This Row],[Date]])&gt;=4,1,0)</f>
        <v>2026</v>
      </c>
      <c r="D647" s="31">
        <f>YEAR(IGA_BD[[#This Row],[Date]])</f>
        <v>1900</v>
      </c>
      <c r="E647" s="48">
        <f t="shared" si="12"/>
        <v>1</v>
      </c>
      <c r="F647" s="32"/>
      <c r="G647" s="33"/>
      <c r="H647" s="43" t="str">
        <f>IFERROR(VLOOKUP(IGA_BD[[#This Row],[Affected Feeder ]],'Basic Data'!$A$42:$E$53,2,0),"")</f>
        <v/>
      </c>
      <c r="I647" s="43" t="str">
        <f>IFERROR(VLOOKUP(IGA_BD[[#This Row],[Affected Feeder ]],'Basic Data'!$A$42:$E$53,3,0),"")</f>
        <v/>
      </c>
      <c r="J647" s="43" t="str">
        <f>IFERROR(VLOOKUP(IGA_BD[[#This Row],[Affected Feeder ]],'Basic Data'!$A$42:$E$53,5,0),"")</f>
        <v/>
      </c>
      <c r="K647" s="164"/>
      <c r="L647" s="50"/>
      <c r="M647" s="116"/>
      <c r="N647" s="116"/>
      <c r="O647" s="57">
        <f>(IGA_BD[[#This Row],[Work Start TimeStamp]]-IGA_BD[[#This Row],[Fault Start TimeStamp]])*24</f>
        <v>0</v>
      </c>
      <c r="P647" s="44" t="str">
        <f>IF(IGA_BD[[#This Row],[Work Start TimeStamp]]="","",(IGA_BD[[#This Row],[Fault Clearance time]]-IGA_BD[[#This Row],[Work Start TimeStamp]])*24)</f>
        <v/>
      </c>
      <c r="Q647" s="57">
        <f>(IGA_BD[[#This Row],[Fault Clearance time]]-IGA_BD[[#This Row],[Fault Start TimeStamp]])*24</f>
        <v>0</v>
      </c>
      <c r="R647" s="153"/>
      <c r="S647" s="44"/>
      <c r="T647" s="45" t="str">
        <f>IFERROR(IGA_BD[[#This Row],[Breakdown Time]]*IGA_BD[[#This Row],[Plant Equivalent Weightage]],"")</f>
        <v/>
      </c>
    </row>
    <row r="648" spans="1:20">
      <c r="A648" s="28"/>
      <c r="B648" s="154"/>
      <c r="C648" s="30">
        <f>YEAR(WTG_BD[[#This Row],[Date]])+IF(MONTH(WTG_BD[[#This Row],[Date]])&gt;=4,1,0)</f>
        <v>2026</v>
      </c>
      <c r="D648" s="31">
        <f>YEAR(IGA_BD[[#This Row],[Date]])</f>
        <v>1900</v>
      </c>
      <c r="E648" s="48">
        <f t="shared" si="12"/>
        <v>1</v>
      </c>
      <c r="F648" s="32"/>
      <c r="G648" s="33"/>
      <c r="H648" s="43" t="str">
        <f>IFERROR(VLOOKUP(IGA_BD[[#This Row],[Affected Feeder ]],'Basic Data'!$A$42:$E$53,2,0),"")</f>
        <v/>
      </c>
      <c r="I648" s="43" t="str">
        <f>IFERROR(VLOOKUP(IGA_BD[[#This Row],[Affected Feeder ]],'Basic Data'!$A$42:$E$53,3,0),"")</f>
        <v/>
      </c>
      <c r="J648" s="43" t="str">
        <f>IFERROR(VLOOKUP(IGA_BD[[#This Row],[Affected Feeder ]],'Basic Data'!$A$42:$E$53,5,0),"")</f>
        <v/>
      </c>
      <c r="K648" s="164"/>
      <c r="L648" s="50"/>
      <c r="M648" s="116"/>
      <c r="N648" s="116"/>
      <c r="O648" s="57">
        <f>(IGA_BD[[#This Row],[Work Start TimeStamp]]-IGA_BD[[#This Row],[Fault Start TimeStamp]])*24</f>
        <v>0</v>
      </c>
      <c r="P648" s="44" t="str">
        <f>IF(IGA_BD[[#This Row],[Work Start TimeStamp]]="","",(IGA_BD[[#This Row],[Fault Clearance time]]-IGA_BD[[#This Row],[Work Start TimeStamp]])*24)</f>
        <v/>
      </c>
      <c r="Q648" s="57">
        <f>(IGA_BD[[#This Row],[Fault Clearance time]]-IGA_BD[[#This Row],[Fault Start TimeStamp]])*24</f>
        <v>0</v>
      </c>
      <c r="R648" s="153"/>
      <c r="S648" s="44"/>
      <c r="T648" s="45" t="str">
        <f>IFERROR(IGA_BD[[#This Row],[Breakdown Time]]*IGA_BD[[#This Row],[Plant Equivalent Weightage]],"")</f>
        <v/>
      </c>
    </row>
    <row r="649" spans="1:20">
      <c r="A649" s="28"/>
      <c r="B649" s="154"/>
      <c r="C649" s="30">
        <f>YEAR(WTG_BD[[#This Row],[Date]])+IF(MONTH(WTG_BD[[#This Row],[Date]])&gt;=4,1,0)</f>
        <v>2026</v>
      </c>
      <c r="D649" s="31">
        <f>YEAR(IGA_BD[[#This Row],[Date]])</f>
        <v>1900</v>
      </c>
      <c r="E649" s="48">
        <f t="shared" si="12"/>
        <v>1</v>
      </c>
      <c r="F649" s="32"/>
      <c r="G649" s="33"/>
      <c r="H649" s="43" t="str">
        <f>IFERROR(VLOOKUP(IGA_BD[[#This Row],[Affected Feeder ]],'Basic Data'!$A$42:$E$53,2,0),"")</f>
        <v/>
      </c>
      <c r="I649" s="43" t="str">
        <f>IFERROR(VLOOKUP(IGA_BD[[#This Row],[Affected Feeder ]],'Basic Data'!$A$42:$E$53,3,0),"")</f>
        <v/>
      </c>
      <c r="J649" s="43" t="str">
        <f>IFERROR(VLOOKUP(IGA_BD[[#This Row],[Affected Feeder ]],'Basic Data'!$A$42:$E$53,5,0),"")</f>
        <v/>
      </c>
      <c r="K649" s="164"/>
      <c r="L649" s="50"/>
      <c r="M649" s="116"/>
      <c r="N649" s="116"/>
      <c r="O649" s="57">
        <f>(IGA_BD[[#This Row],[Work Start TimeStamp]]-IGA_BD[[#This Row],[Fault Start TimeStamp]])*24</f>
        <v>0</v>
      </c>
      <c r="P649" s="44" t="str">
        <f>IF(IGA_BD[[#This Row],[Work Start TimeStamp]]="","",(IGA_BD[[#This Row],[Fault Clearance time]]-IGA_BD[[#This Row],[Work Start TimeStamp]])*24)</f>
        <v/>
      </c>
      <c r="Q649" s="57">
        <f>(IGA_BD[[#This Row],[Fault Clearance time]]-IGA_BD[[#This Row],[Fault Start TimeStamp]])*24</f>
        <v>0</v>
      </c>
      <c r="R649" s="153"/>
      <c r="S649" s="44"/>
      <c r="T649" s="45" t="str">
        <f>IFERROR(IGA_BD[[#This Row],[Breakdown Time]]*IGA_BD[[#This Row],[Plant Equivalent Weightage]],"")</f>
        <v/>
      </c>
    </row>
    <row r="650" spans="1:20">
      <c r="A650" s="28"/>
      <c r="B650" s="154"/>
      <c r="C650" s="30">
        <f>YEAR(WTG_BD[[#This Row],[Date]])+IF(MONTH(WTG_BD[[#This Row],[Date]])&gt;=4,1,0)</f>
        <v>2026</v>
      </c>
      <c r="D650" s="31">
        <f>YEAR(IGA_BD[[#This Row],[Date]])</f>
        <v>1900</v>
      </c>
      <c r="E650" s="48">
        <f t="shared" si="12"/>
        <v>1</v>
      </c>
      <c r="F650" s="32"/>
      <c r="G650" s="33"/>
      <c r="H650" s="43" t="str">
        <f>IFERROR(VLOOKUP(IGA_BD[[#This Row],[Affected Feeder ]],'Basic Data'!$A$42:$E$53,2,0),"")</f>
        <v/>
      </c>
      <c r="I650" s="43" t="str">
        <f>IFERROR(VLOOKUP(IGA_BD[[#This Row],[Affected Feeder ]],'Basic Data'!$A$42:$E$53,3,0),"")</f>
        <v/>
      </c>
      <c r="J650" s="43" t="str">
        <f>IFERROR(VLOOKUP(IGA_BD[[#This Row],[Affected Feeder ]],'Basic Data'!$A$42:$E$53,5,0),"")</f>
        <v/>
      </c>
      <c r="K650" s="164"/>
      <c r="L650" s="50"/>
      <c r="M650" s="116"/>
      <c r="N650" s="116"/>
      <c r="O650" s="57">
        <f>(IGA_BD[[#This Row],[Work Start TimeStamp]]-IGA_BD[[#This Row],[Fault Start TimeStamp]])*24</f>
        <v>0</v>
      </c>
      <c r="P650" s="44" t="str">
        <f>IF(IGA_BD[[#This Row],[Work Start TimeStamp]]="","",(IGA_BD[[#This Row],[Fault Clearance time]]-IGA_BD[[#This Row],[Work Start TimeStamp]])*24)</f>
        <v/>
      </c>
      <c r="Q650" s="57">
        <f>(IGA_BD[[#This Row],[Fault Clearance time]]-IGA_BD[[#This Row],[Fault Start TimeStamp]])*24</f>
        <v>0</v>
      </c>
      <c r="R650" s="153"/>
      <c r="S650" s="44"/>
      <c r="T650" s="45" t="str">
        <f>IFERROR(IGA_BD[[#This Row],[Breakdown Time]]*IGA_BD[[#This Row],[Plant Equivalent Weightage]],"")</f>
        <v/>
      </c>
    </row>
    <row r="651" spans="1:20">
      <c r="A651" s="28"/>
      <c r="B651" s="154"/>
      <c r="C651" s="30">
        <f>YEAR(WTG_BD[[#This Row],[Date]])+IF(MONTH(WTG_BD[[#This Row],[Date]])&gt;=4,1,0)</f>
        <v>2026</v>
      </c>
      <c r="D651" s="31">
        <f>YEAR(IGA_BD[[#This Row],[Date]])</f>
        <v>1900</v>
      </c>
      <c r="E651" s="48">
        <f t="shared" si="12"/>
        <v>1</v>
      </c>
      <c r="F651" s="32"/>
      <c r="G651" s="33"/>
      <c r="H651" s="43" t="str">
        <f>IFERROR(VLOOKUP(IGA_BD[[#This Row],[Affected Feeder ]],'Basic Data'!$A$42:$E$53,2,0),"")</f>
        <v/>
      </c>
      <c r="I651" s="43" t="str">
        <f>IFERROR(VLOOKUP(IGA_BD[[#This Row],[Affected Feeder ]],'Basic Data'!$A$42:$E$53,3,0),"")</f>
        <v/>
      </c>
      <c r="J651" s="43" t="str">
        <f>IFERROR(VLOOKUP(IGA_BD[[#This Row],[Affected Feeder ]],'Basic Data'!$A$42:$E$53,5,0),"")</f>
        <v/>
      </c>
      <c r="K651" s="164"/>
      <c r="L651" s="50"/>
      <c r="M651" s="116"/>
      <c r="N651" s="116"/>
      <c r="O651" s="57">
        <f>(IGA_BD[[#This Row],[Work Start TimeStamp]]-IGA_BD[[#This Row],[Fault Start TimeStamp]])*24</f>
        <v>0</v>
      </c>
      <c r="P651" s="44" t="str">
        <f>IF(IGA_BD[[#This Row],[Work Start TimeStamp]]="","",(IGA_BD[[#This Row],[Fault Clearance time]]-IGA_BD[[#This Row],[Work Start TimeStamp]])*24)</f>
        <v/>
      </c>
      <c r="Q651" s="57">
        <f>(IGA_BD[[#This Row],[Fault Clearance time]]-IGA_BD[[#This Row],[Fault Start TimeStamp]])*24</f>
        <v>0</v>
      </c>
      <c r="R651" s="153"/>
      <c r="S651" s="44"/>
      <c r="T651" s="45" t="str">
        <f>IFERROR(IGA_BD[[#This Row],[Breakdown Time]]*IGA_BD[[#This Row],[Plant Equivalent Weightage]],"")</f>
        <v/>
      </c>
    </row>
    <row r="652" spans="1:20">
      <c r="A652" s="28"/>
      <c r="B652" s="154"/>
      <c r="C652" s="30">
        <f>YEAR(WTG_BD[[#This Row],[Date]])+IF(MONTH(WTG_BD[[#This Row],[Date]])&gt;=4,1,0)</f>
        <v>2026</v>
      </c>
      <c r="D652" s="31">
        <f>YEAR(IGA_BD[[#This Row],[Date]])</f>
        <v>1900</v>
      </c>
      <c r="E652" s="48">
        <f t="shared" si="12"/>
        <v>1</v>
      </c>
      <c r="F652" s="32"/>
      <c r="G652" s="33"/>
      <c r="H652" s="43" t="str">
        <f>IFERROR(VLOOKUP(IGA_BD[[#This Row],[Affected Feeder ]],'Basic Data'!$A$42:$E$53,2,0),"")</f>
        <v/>
      </c>
      <c r="I652" s="43" t="str">
        <f>IFERROR(VLOOKUP(IGA_BD[[#This Row],[Affected Feeder ]],'Basic Data'!$A$42:$E$53,3,0),"")</f>
        <v/>
      </c>
      <c r="J652" s="43" t="str">
        <f>IFERROR(VLOOKUP(IGA_BD[[#This Row],[Affected Feeder ]],'Basic Data'!$A$42:$E$53,5,0),"")</f>
        <v/>
      </c>
      <c r="K652" s="164"/>
      <c r="L652" s="50"/>
      <c r="M652" s="116"/>
      <c r="N652" s="116"/>
      <c r="O652" s="57">
        <f>(IGA_BD[[#This Row],[Work Start TimeStamp]]-IGA_BD[[#This Row],[Fault Start TimeStamp]])*24</f>
        <v>0</v>
      </c>
      <c r="P652" s="44" t="str">
        <f>IF(IGA_BD[[#This Row],[Work Start TimeStamp]]="","",(IGA_BD[[#This Row],[Fault Clearance time]]-IGA_BD[[#This Row],[Work Start TimeStamp]])*24)</f>
        <v/>
      </c>
      <c r="Q652" s="57">
        <f>(IGA_BD[[#This Row],[Fault Clearance time]]-IGA_BD[[#This Row],[Fault Start TimeStamp]])*24</f>
        <v>0</v>
      </c>
      <c r="R652" s="153"/>
      <c r="S652" s="44"/>
      <c r="T652" s="45" t="str">
        <f>IFERROR(IGA_BD[[#This Row],[Breakdown Time]]*IGA_BD[[#This Row],[Plant Equivalent Weightage]],"")</f>
        <v/>
      </c>
    </row>
    <row r="653" spans="1:20">
      <c r="A653" s="28"/>
      <c r="B653" s="154"/>
      <c r="C653" s="30">
        <f>YEAR(WTG_BD[[#This Row],[Date]])+IF(MONTH(WTG_BD[[#This Row],[Date]])&gt;=4,1,0)</f>
        <v>2026</v>
      </c>
      <c r="D653" s="31">
        <f>YEAR(IGA_BD[[#This Row],[Date]])</f>
        <v>1900</v>
      </c>
      <c r="E653" s="48">
        <f t="shared" si="12"/>
        <v>1</v>
      </c>
      <c r="F653" s="32"/>
      <c r="G653" s="33"/>
      <c r="H653" s="43" t="str">
        <f>IFERROR(VLOOKUP(IGA_BD[[#This Row],[Affected Feeder ]],'Basic Data'!$A$42:$E$53,2,0),"")</f>
        <v/>
      </c>
      <c r="I653" s="43" t="str">
        <f>IFERROR(VLOOKUP(IGA_BD[[#This Row],[Affected Feeder ]],'Basic Data'!$A$42:$E$53,3,0),"")</f>
        <v/>
      </c>
      <c r="J653" s="43" t="str">
        <f>IFERROR(VLOOKUP(IGA_BD[[#This Row],[Affected Feeder ]],'Basic Data'!$A$42:$E$53,5,0),"")</f>
        <v/>
      </c>
      <c r="K653" s="164"/>
      <c r="L653" s="50"/>
      <c r="M653" s="116"/>
      <c r="N653" s="116"/>
      <c r="O653" s="57">
        <f>(IGA_BD[[#This Row],[Work Start TimeStamp]]-IGA_BD[[#This Row],[Fault Start TimeStamp]])*24</f>
        <v>0</v>
      </c>
      <c r="P653" s="44" t="str">
        <f>IF(IGA_BD[[#This Row],[Work Start TimeStamp]]="","",(IGA_BD[[#This Row],[Fault Clearance time]]-IGA_BD[[#This Row],[Work Start TimeStamp]])*24)</f>
        <v/>
      </c>
      <c r="Q653" s="57">
        <f>(IGA_BD[[#This Row],[Fault Clearance time]]-IGA_BD[[#This Row],[Fault Start TimeStamp]])*24</f>
        <v>0</v>
      </c>
      <c r="R653" s="153"/>
      <c r="S653" s="44"/>
      <c r="T653" s="45" t="str">
        <f>IFERROR(IGA_BD[[#This Row],[Breakdown Time]]*IGA_BD[[#This Row],[Plant Equivalent Weightage]],"")</f>
        <v/>
      </c>
    </row>
    <row r="654" spans="1:20">
      <c r="A654" s="28"/>
      <c r="B654" s="154"/>
      <c r="C654" s="30">
        <f>YEAR(WTG_BD[[#This Row],[Date]])+IF(MONTH(WTG_BD[[#This Row],[Date]])&gt;=4,1,0)</f>
        <v>2026</v>
      </c>
      <c r="D654" s="31">
        <f>YEAR(IGA_BD[[#This Row],[Date]])</f>
        <v>1900</v>
      </c>
      <c r="E654" s="48">
        <f t="shared" si="12"/>
        <v>1</v>
      </c>
      <c r="F654" s="32"/>
      <c r="G654" s="33"/>
      <c r="H654" s="43" t="str">
        <f>IFERROR(VLOOKUP(IGA_BD[[#This Row],[Affected Feeder ]],'Basic Data'!$A$42:$E$53,2,0),"")</f>
        <v/>
      </c>
      <c r="I654" s="43" t="str">
        <f>IFERROR(VLOOKUP(IGA_BD[[#This Row],[Affected Feeder ]],'Basic Data'!$A$42:$E$53,3,0),"")</f>
        <v/>
      </c>
      <c r="J654" s="43" t="str">
        <f>IFERROR(VLOOKUP(IGA_BD[[#This Row],[Affected Feeder ]],'Basic Data'!$A$42:$E$53,5,0),"")</f>
        <v/>
      </c>
      <c r="K654" s="164"/>
      <c r="L654" s="50"/>
      <c r="M654" s="116"/>
      <c r="N654" s="116"/>
      <c r="O654" s="57">
        <f>(IGA_BD[[#This Row],[Work Start TimeStamp]]-IGA_BD[[#This Row],[Fault Start TimeStamp]])*24</f>
        <v>0</v>
      </c>
      <c r="P654" s="44" t="str">
        <f>IF(IGA_BD[[#This Row],[Work Start TimeStamp]]="","",(IGA_BD[[#This Row],[Fault Clearance time]]-IGA_BD[[#This Row],[Work Start TimeStamp]])*24)</f>
        <v/>
      </c>
      <c r="Q654" s="57">
        <f>(IGA_BD[[#This Row],[Fault Clearance time]]-IGA_BD[[#This Row],[Fault Start TimeStamp]])*24</f>
        <v>0</v>
      </c>
      <c r="R654" s="153"/>
      <c r="S654" s="44"/>
      <c r="T654" s="45" t="str">
        <f>IFERROR(IGA_BD[[#This Row],[Breakdown Time]]*IGA_BD[[#This Row],[Plant Equivalent Weightage]],"")</f>
        <v/>
      </c>
    </row>
    <row r="655" spans="1:20">
      <c r="A655" s="28"/>
      <c r="B655" s="154"/>
      <c r="C655" s="30">
        <f>YEAR(WTG_BD[[#This Row],[Date]])+IF(MONTH(WTG_BD[[#This Row],[Date]])&gt;=4,1,0)</f>
        <v>2026</v>
      </c>
      <c r="D655" s="31">
        <f>YEAR(IGA_BD[[#This Row],[Date]])</f>
        <v>1900</v>
      </c>
      <c r="E655" s="48">
        <f t="shared" si="12"/>
        <v>1</v>
      </c>
      <c r="F655" s="32"/>
      <c r="G655" s="33"/>
      <c r="H655" s="43" t="str">
        <f>IFERROR(VLOOKUP(IGA_BD[[#This Row],[Affected Feeder ]],'Basic Data'!$A$42:$E$53,2,0),"")</f>
        <v/>
      </c>
      <c r="I655" s="43" t="str">
        <f>IFERROR(VLOOKUP(IGA_BD[[#This Row],[Affected Feeder ]],'Basic Data'!$A$42:$E$53,3,0),"")</f>
        <v/>
      </c>
      <c r="J655" s="43" t="str">
        <f>IFERROR(VLOOKUP(IGA_BD[[#This Row],[Affected Feeder ]],'Basic Data'!$A$42:$E$53,5,0),"")</f>
        <v/>
      </c>
      <c r="K655" s="164"/>
      <c r="L655" s="50"/>
      <c r="M655" s="116"/>
      <c r="N655" s="116"/>
      <c r="O655" s="57">
        <f>(IGA_BD[[#This Row],[Work Start TimeStamp]]-IGA_BD[[#This Row],[Fault Start TimeStamp]])*24</f>
        <v>0</v>
      </c>
      <c r="P655" s="44" t="str">
        <f>IF(IGA_BD[[#This Row],[Work Start TimeStamp]]="","",(IGA_BD[[#This Row],[Fault Clearance time]]-IGA_BD[[#This Row],[Work Start TimeStamp]])*24)</f>
        <v/>
      </c>
      <c r="Q655" s="57">
        <f>(IGA_BD[[#This Row],[Fault Clearance time]]-IGA_BD[[#This Row],[Fault Start TimeStamp]])*24</f>
        <v>0</v>
      </c>
      <c r="R655" s="153"/>
      <c r="S655" s="44"/>
      <c r="T655" s="45" t="str">
        <f>IFERROR(IGA_BD[[#This Row],[Breakdown Time]]*IGA_BD[[#This Row],[Plant Equivalent Weightage]],"")</f>
        <v/>
      </c>
    </row>
    <row r="656" spans="1:20">
      <c r="A656" s="28"/>
      <c r="B656" s="154"/>
      <c r="C656" s="30">
        <f>YEAR(WTG_BD[[#This Row],[Date]])+IF(MONTH(WTG_BD[[#This Row],[Date]])&gt;=4,1,0)</f>
        <v>2026</v>
      </c>
      <c r="D656" s="31">
        <f>YEAR(IGA_BD[[#This Row],[Date]])</f>
        <v>1900</v>
      </c>
      <c r="E656" s="48">
        <f t="shared" si="12"/>
        <v>1</v>
      </c>
      <c r="F656" s="32"/>
      <c r="G656" s="33"/>
      <c r="H656" s="43" t="str">
        <f>IFERROR(VLOOKUP(IGA_BD[[#This Row],[Affected Feeder ]],'Basic Data'!$A$42:$E$53,2,0),"")</f>
        <v/>
      </c>
      <c r="I656" s="43" t="str">
        <f>IFERROR(VLOOKUP(IGA_BD[[#This Row],[Affected Feeder ]],'Basic Data'!$A$42:$E$53,3,0),"")</f>
        <v/>
      </c>
      <c r="J656" s="43" t="str">
        <f>IFERROR(VLOOKUP(IGA_BD[[#This Row],[Affected Feeder ]],'Basic Data'!$A$42:$E$53,5,0),"")</f>
        <v/>
      </c>
      <c r="K656" s="164"/>
      <c r="L656" s="50"/>
      <c r="M656" s="116"/>
      <c r="N656" s="116"/>
      <c r="O656" s="57">
        <f>(IGA_BD[[#This Row],[Work Start TimeStamp]]-IGA_BD[[#This Row],[Fault Start TimeStamp]])*24</f>
        <v>0</v>
      </c>
      <c r="P656" s="44" t="str">
        <f>IF(IGA_BD[[#This Row],[Work Start TimeStamp]]="","",(IGA_BD[[#This Row],[Fault Clearance time]]-IGA_BD[[#This Row],[Work Start TimeStamp]])*24)</f>
        <v/>
      </c>
      <c r="Q656" s="57">
        <f>(IGA_BD[[#This Row],[Fault Clearance time]]-IGA_BD[[#This Row],[Fault Start TimeStamp]])*24</f>
        <v>0</v>
      </c>
      <c r="R656" s="153"/>
      <c r="S656" s="44"/>
      <c r="T656" s="45" t="str">
        <f>IFERROR(IGA_BD[[#This Row],[Breakdown Time]]*IGA_BD[[#This Row],[Plant Equivalent Weightage]],"")</f>
        <v/>
      </c>
    </row>
    <row r="657" spans="1:20">
      <c r="A657" s="28"/>
      <c r="B657" s="154"/>
      <c r="C657" s="30">
        <f>YEAR(WTG_BD[[#This Row],[Date]])+IF(MONTH(WTG_BD[[#This Row],[Date]])&gt;=4,1,0)</f>
        <v>2026</v>
      </c>
      <c r="D657" s="31">
        <f>YEAR(IGA_BD[[#This Row],[Date]])</f>
        <v>1900</v>
      </c>
      <c r="E657" s="48">
        <f t="shared" si="12"/>
        <v>1</v>
      </c>
      <c r="F657" s="32"/>
      <c r="G657" s="33"/>
      <c r="H657" s="43" t="str">
        <f>IFERROR(VLOOKUP(IGA_BD[[#This Row],[Affected Feeder ]],'Basic Data'!$A$42:$E$53,2,0),"")</f>
        <v/>
      </c>
      <c r="I657" s="43" t="str">
        <f>IFERROR(VLOOKUP(IGA_BD[[#This Row],[Affected Feeder ]],'Basic Data'!$A$42:$E$53,3,0),"")</f>
        <v/>
      </c>
      <c r="J657" s="43" t="str">
        <f>IFERROR(VLOOKUP(IGA_BD[[#This Row],[Affected Feeder ]],'Basic Data'!$A$42:$E$53,5,0),"")</f>
        <v/>
      </c>
      <c r="K657" s="164"/>
      <c r="L657" s="50"/>
      <c r="M657" s="116"/>
      <c r="N657" s="116"/>
      <c r="O657" s="57">
        <f>(IGA_BD[[#This Row],[Work Start TimeStamp]]-IGA_BD[[#This Row],[Fault Start TimeStamp]])*24</f>
        <v>0</v>
      </c>
      <c r="P657" s="44" t="str">
        <f>IF(IGA_BD[[#This Row],[Work Start TimeStamp]]="","",(IGA_BD[[#This Row],[Fault Clearance time]]-IGA_BD[[#This Row],[Work Start TimeStamp]])*24)</f>
        <v/>
      </c>
      <c r="Q657" s="57">
        <f>(IGA_BD[[#This Row],[Fault Clearance time]]-IGA_BD[[#This Row],[Fault Start TimeStamp]])*24</f>
        <v>0</v>
      </c>
      <c r="R657" s="153"/>
      <c r="S657" s="44"/>
      <c r="T657" s="45" t="str">
        <f>IFERROR(IGA_BD[[#This Row],[Breakdown Time]]*IGA_BD[[#This Row],[Plant Equivalent Weightage]],"")</f>
        <v/>
      </c>
    </row>
    <row r="658" spans="1:20">
      <c r="A658" s="28"/>
      <c r="B658" s="154"/>
      <c r="C658" s="30">
        <f>YEAR(WTG_BD[[#This Row],[Date]])+IF(MONTH(WTG_BD[[#This Row],[Date]])&gt;=4,1,0)</f>
        <v>2026</v>
      </c>
      <c r="D658" s="31">
        <f>YEAR(IGA_BD[[#This Row],[Date]])</f>
        <v>1900</v>
      </c>
      <c r="E658" s="48">
        <f t="shared" si="12"/>
        <v>1</v>
      </c>
      <c r="F658" s="32"/>
      <c r="G658" s="33"/>
      <c r="H658" s="43" t="str">
        <f>IFERROR(VLOOKUP(IGA_BD[[#This Row],[Affected Feeder ]],'Basic Data'!$A$42:$E$53,2,0),"")</f>
        <v/>
      </c>
      <c r="I658" s="43" t="str">
        <f>IFERROR(VLOOKUP(IGA_BD[[#This Row],[Affected Feeder ]],'Basic Data'!$A$42:$E$53,3,0),"")</f>
        <v/>
      </c>
      <c r="J658" s="43" t="str">
        <f>IFERROR(VLOOKUP(IGA_BD[[#This Row],[Affected Feeder ]],'Basic Data'!$A$42:$E$53,5,0),"")</f>
        <v/>
      </c>
      <c r="K658" s="164"/>
      <c r="L658" s="50"/>
      <c r="M658" s="116"/>
      <c r="N658" s="116"/>
      <c r="O658" s="57">
        <f>(IGA_BD[[#This Row],[Work Start TimeStamp]]-IGA_BD[[#This Row],[Fault Start TimeStamp]])*24</f>
        <v>0</v>
      </c>
      <c r="P658" s="44" t="str">
        <f>IF(IGA_BD[[#This Row],[Work Start TimeStamp]]="","",(IGA_BD[[#This Row],[Fault Clearance time]]-IGA_BD[[#This Row],[Work Start TimeStamp]])*24)</f>
        <v/>
      </c>
      <c r="Q658" s="57">
        <f>(IGA_BD[[#This Row],[Fault Clearance time]]-IGA_BD[[#This Row],[Fault Start TimeStamp]])*24</f>
        <v>0</v>
      </c>
      <c r="R658" s="153"/>
      <c r="S658" s="44"/>
      <c r="T658" s="45" t="str">
        <f>IFERROR(IGA_BD[[#This Row],[Breakdown Time]]*IGA_BD[[#This Row],[Plant Equivalent Weightage]],"")</f>
        <v/>
      </c>
    </row>
    <row r="659" spans="1:20">
      <c r="A659" s="28"/>
      <c r="B659" s="154"/>
      <c r="C659" s="30">
        <f>YEAR(WTG_BD[[#This Row],[Date]])+IF(MONTH(WTG_BD[[#This Row],[Date]])&gt;=4,1,0)</f>
        <v>2026</v>
      </c>
      <c r="D659" s="31">
        <f>YEAR(IGA_BD[[#This Row],[Date]])</f>
        <v>1900</v>
      </c>
      <c r="E659" s="48">
        <f t="shared" si="12"/>
        <v>1</v>
      </c>
      <c r="F659" s="32"/>
      <c r="G659" s="33"/>
      <c r="H659" s="43" t="str">
        <f>IFERROR(VLOOKUP(IGA_BD[[#This Row],[Affected Feeder ]],'Basic Data'!$A$42:$E$53,2,0),"")</f>
        <v/>
      </c>
      <c r="I659" s="43" t="str">
        <f>IFERROR(VLOOKUP(IGA_BD[[#This Row],[Affected Feeder ]],'Basic Data'!$A$42:$E$53,3,0),"")</f>
        <v/>
      </c>
      <c r="J659" s="43" t="str">
        <f>IFERROR(VLOOKUP(IGA_BD[[#This Row],[Affected Feeder ]],'Basic Data'!$A$42:$E$53,5,0),"")</f>
        <v/>
      </c>
      <c r="K659" s="164"/>
      <c r="L659" s="50"/>
      <c r="M659" s="116"/>
      <c r="N659" s="116"/>
      <c r="O659" s="57">
        <f>(IGA_BD[[#This Row],[Work Start TimeStamp]]-IGA_BD[[#This Row],[Fault Start TimeStamp]])*24</f>
        <v>0</v>
      </c>
      <c r="P659" s="44" t="str">
        <f>IF(IGA_BD[[#This Row],[Work Start TimeStamp]]="","",(IGA_BD[[#This Row],[Fault Clearance time]]-IGA_BD[[#This Row],[Work Start TimeStamp]])*24)</f>
        <v/>
      </c>
      <c r="Q659" s="57">
        <f>(IGA_BD[[#This Row],[Fault Clearance time]]-IGA_BD[[#This Row],[Fault Start TimeStamp]])*24</f>
        <v>0</v>
      </c>
      <c r="R659" s="153"/>
      <c r="S659" s="44"/>
      <c r="T659" s="45" t="str">
        <f>IFERROR(IGA_BD[[#This Row],[Breakdown Time]]*IGA_BD[[#This Row],[Plant Equivalent Weightage]],"")</f>
        <v/>
      </c>
    </row>
    <row r="660" spans="1:20">
      <c r="A660" s="28"/>
      <c r="B660" s="154"/>
      <c r="C660" s="30">
        <f>YEAR(WTG_BD[[#This Row],[Date]])+IF(MONTH(WTG_BD[[#This Row],[Date]])&gt;=4,1,0)</f>
        <v>2026</v>
      </c>
      <c r="D660" s="31">
        <f>YEAR(IGA_BD[[#This Row],[Date]])</f>
        <v>1900</v>
      </c>
      <c r="E660" s="48">
        <f t="shared" si="12"/>
        <v>1</v>
      </c>
      <c r="F660" s="32"/>
      <c r="G660" s="33"/>
      <c r="H660" s="43" t="str">
        <f>IFERROR(VLOOKUP(IGA_BD[[#This Row],[Affected Feeder ]],'Basic Data'!$A$42:$E$53,2,0),"")</f>
        <v/>
      </c>
      <c r="I660" s="43" t="str">
        <f>IFERROR(VLOOKUP(IGA_BD[[#This Row],[Affected Feeder ]],'Basic Data'!$A$42:$E$53,3,0),"")</f>
        <v/>
      </c>
      <c r="J660" s="43" t="str">
        <f>IFERROR(VLOOKUP(IGA_BD[[#This Row],[Affected Feeder ]],'Basic Data'!$A$42:$E$53,5,0),"")</f>
        <v/>
      </c>
      <c r="K660" s="164"/>
      <c r="L660" s="50"/>
      <c r="M660" s="116"/>
      <c r="N660" s="116"/>
      <c r="O660" s="57">
        <f>(IGA_BD[[#This Row],[Work Start TimeStamp]]-IGA_BD[[#This Row],[Fault Start TimeStamp]])*24</f>
        <v>0</v>
      </c>
      <c r="P660" s="44" t="str">
        <f>IF(IGA_BD[[#This Row],[Work Start TimeStamp]]="","",(IGA_BD[[#This Row],[Fault Clearance time]]-IGA_BD[[#This Row],[Work Start TimeStamp]])*24)</f>
        <v/>
      </c>
      <c r="Q660" s="57">
        <f>(IGA_BD[[#This Row],[Fault Clearance time]]-IGA_BD[[#This Row],[Fault Start TimeStamp]])*24</f>
        <v>0</v>
      </c>
      <c r="R660" s="153"/>
      <c r="S660" s="44"/>
      <c r="T660" s="45" t="str">
        <f>IFERROR(IGA_BD[[#This Row],[Breakdown Time]]*IGA_BD[[#This Row],[Plant Equivalent Weightage]],"")</f>
        <v/>
      </c>
    </row>
    <row r="661" spans="1:20">
      <c r="A661" s="28"/>
      <c r="B661" s="154"/>
      <c r="C661" s="30">
        <f>YEAR(WTG_BD[[#This Row],[Date]])+IF(MONTH(WTG_BD[[#This Row],[Date]])&gt;=4,1,0)</f>
        <v>2026</v>
      </c>
      <c r="D661" s="31">
        <f>YEAR(IGA_BD[[#This Row],[Date]])</f>
        <v>1900</v>
      </c>
      <c r="E661" s="48">
        <f t="shared" si="12"/>
        <v>1</v>
      </c>
      <c r="F661" s="32"/>
      <c r="G661" s="33"/>
      <c r="H661" s="43" t="str">
        <f>IFERROR(VLOOKUP(IGA_BD[[#This Row],[Affected Feeder ]],'Basic Data'!$A$42:$E$53,2,0),"")</f>
        <v/>
      </c>
      <c r="I661" s="43" t="str">
        <f>IFERROR(VLOOKUP(IGA_BD[[#This Row],[Affected Feeder ]],'Basic Data'!$A$42:$E$53,3,0),"")</f>
        <v/>
      </c>
      <c r="J661" s="43" t="str">
        <f>IFERROR(VLOOKUP(IGA_BD[[#This Row],[Affected Feeder ]],'Basic Data'!$A$42:$E$53,5,0),"")</f>
        <v/>
      </c>
      <c r="K661" s="164"/>
      <c r="L661" s="50"/>
      <c r="M661" s="116"/>
      <c r="N661" s="116"/>
      <c r="O661" s="57">
        <f>(IGA_BD[[#This Row],[Work Start TimeStamp]]-IGA_BD[[#This Row],[Fault Start TimeStamp]])*24</f>
        <v>0</v>
      </c>
      <c r="P661" s="44" t="str">
        <f>IF(IGA_BD[[#This Row],[Work Start TimeStamp]]="","",(IGA_BD[[#This Row],[Fault Clearance time]]-IGA_BD[[#This Row],[Work Start TimeStamp]])*24)</f>
        <v/>
      </c>
      <c r="Q661" s="57">
        <f>(IGA_BD[[#This Row],[Fault Clearance time]]-IGA_BD[[#This Row],[Fault Start TimeStamp]])*24</f>
        <v>0</v>
      </c>
      <c r="R661" s="153"/>
      <c r="S661" s="44"/>
      <c r="T661" s="45" t="str">
        <f>IFERROR(IGA_BD[[#This Row],[Breakdown Time]]*IGA_BD[[#This Row],[Plant Equivalent Weightage]],"")</f>
        <v/>
      </c>
    </row>
    <row r="662" spans="1:20">
      <c r="A662" s="28"/>
      <c r="B662" s="154"/>
      <c r="C662" s="30">
        <f>YEAR(WTG_BD[[#This Row],[Date]])+IF(MONTH(WTG_BD[[#This Row],[Date]])&gt;=4,1,0)</f>
        <v>2026</v>
      </c>
      <c r="D662" s="31">
        <f>YEAR(IGA_BD[[#This Row],[Date]])</f>
        <v>1900</v>
      </c>
      <c r="E662" s="48">
        <f t="shared" si="12"/>
        <v>1</v>
      </c>
      <c r="F662" s="32"/>
      <c r="G662" s="33"/>
      <c r="H662" s="43" t="str">
        <f>IFERROR(VLOOKUP(IGA_BD[[#This Row],[Affected Feeder ]],'Basic Data'!$A$42:$E$53,2,0),"")</f>
        <v/>
      </c>
      <c r="I662" s="43" t="str">
        <f>IFERROR(VLOOKUP(IGA_BD[[#This Row],[Affected Feeder ]],'Basic Data'!$A$42:$E$53,3,0),"")</f>
        <v/>
      </c>
      <c r="J662" s="43" t="str">
        <f>IFERROR(VLOOKUP(IGA_BD[[#This Row],[Affected Feeder ]],'Basic Data'!$A$42:$E$53,5,0),"")</f>
        <v/>
      </c>
      <c r="K662" s="164"/>
      <c r="L662" s="50"/>
      <c r="M662" s="116"/>
      <c r="N662" s="116"/>
      <c r="O662" s="57">
        <f>(IGA_BD[[#This Row],[Work Start TimeStamp]]-IGA_BD[[#This Row],[Fault Start TimeStamp]])*24</f>
        <v>0</v>
      </c>
      <c r="P662" s="44" t="str">
        <f>IF(IGA_BD[[#This Row],[Work Start TimeStamp]]="","",(IGA_BD[[#This Row],[Fault Clearance time]]-IGA_BD[[#This Row],[Work Start TimeStamp]])*24)</f>
        <v/>
      </c>
      <c r="Q662" s="57">
        <f>(IGA_BD[[#This Row],[Fault Clearance time]]-IGA_BD[[#This Row],[Fault Start TimeStamp]])*24</f>
        <v>0</v>
      </c>
      <c r="R662" s="153"/>
      <c r="S662" s="44"/>
      <c r="T662" s="45" t="str">
        <f>IFERROR(IGA_BD[[#This Row],[Breakdown Time]]*IGA_BD[[#This Row],[Plant Equivalent Weightage]],"")</f>
        <v/>
      </c>
    </row>
    <row r="663" spans="1:20">
      <c r="A663" s="28"/>
      <c r="B663" s="154"/>
      <c r="C663" s="30">
        <f>YEAR(WTG_BD[[#This Row],[Date]])+IF(MONTH(WTG_BD[[#This Row],[Date]])&gt;=4,1,0)</f>
        <v>2026</v>
      </c>
      <c r="D663" s="31">
        <f>YEAR(IGA_BD[[#This Row],[Date]])</f>
        <v>1900</v>
      </c>
      <c r="E663" s="48">
        <f t="shared" si="12"/>
        <v>1</v>
      </c>
      <c r="F663" s="32"/>
      <c r="G663" s="33"/>
      <c r="H663" s="43" t="str">
        <f>IFERROR(VLOOKUP(IGA_BD[[#This Row],[Affected Feeder ]],'Basic Data'!$A$42:$E$53,2,0),"")</f>
        <v/>
      </c>
      <c r="I663" s="43" t="str">
        <f>IFERROR(VLOOKUP(IGA_BD[[#This Row],[Affected Feeder ]],'Basic Data'!$A$42:$E$53,3,0),"")</f>
        <v/>
      </c>
      <c r="J663" s="43" t="str">
        <f>IFERROR(VLOOKUP(IGA_BD[[#This Row],[Affected Feeder ]],'Basic Data'!$A$42:$E$53,5,0),"")</f>
        <v/>
      </c>
      <c r="K663" s="164"/>
      <c r="L663" s="50"/>
      <c r="M663" s="116"/>
      <c r="N663" s="116"/>
      <c r="O663" s="57">
        <f>(IGA_BD[[#This Row],[Work Start TimeStamp]]-IGA_BD[[#This Row],[Fault Start TimeStamp]])*24</f>
        <v>0</v>
      </c>
      <c r="P663" s="44" t="str">
        <f>IF(IGA_BD[[#This Row],[Work Start TimeStamp]]="","",(IGA_BD[[#This Row],[Fault Clearance time]]-IGA_BD[[#This Row],[Work Start TimeStamp]])*24)</f>
        <v/>
      </c>
      <c r="Q663" s="57">
        <f>(IGA_BD[[#This Row],[Fault Clearance time]]-IGA_BD[[#This Row],[Fault Start TimeStamp]])*24</f>
        <v>0</v>
      </c>
      <c r="R663" s="153"/>
      <c r="S663" s="44"/>
      <c r="T663" s="45" t="str">
        <f>IFERROR(IGA_BD[[#This Row],[Breakdown Time]]*IGA_BD[[#This Row],[Plant Equivalent Weightage]],"")</f>
        <v/>
      </c>
    </row>
    <row r="664" spans="1:20">
      <c r="A664" s="28"/>
      <c r="B664" s="154"/>
      <c r="C664" s="30">
        <f>YEAR(WTG_BD[[#This Row],[Date]])+IF(MONTH(WTG_BD[[#This Row],[Date]])&gt;=4,1,0)</f>
        <v>2026</v>
      </c>
      <c r="D664" s="31">
        <f>YEAR(IGA_BD[[#This Row],[Date]])</f>
        <v>1900</v>
      </c>
      <c r="E664" s="48">
        <f t="shared" si="12"/>
        <v>1</v>
      </c>
      <c r="F664" s="32"/>
      <c r="G664" s="33"/>
      <c r="H664" s="43" t="str">
        <f>IFERROR(VLOOKUP(IGA_BD[[#This Row],[Affected Feeder ]],'Basic Data'!$A$42:$E$53,2,0),"")</f>
        <v/>
      </c>
      <c r="I664" s="43" t="str">
        <f>IFERROR(VLOOKUP(IGA_BD[[#This Row],[Affected Feeder ]],'Basic Data'!$A$42:$E$53,3,0),"")</f>
        <v/>
      </c>
      <c r="J664" s="43" t="str">
        <f>IFERROR(VLOOKUP(IGA_BD[[#This Row],[Affected Feeder ]],'Basic Data'!$A$42:$E$53,5,0),"")</f>
        <v/>
      </c>
      <c r="K664" s="164"/>
      <c r="L664" s="50"/>
      <c r="M664" s="116"/>
      <c r="N664" s="116"/>
      <c r="O664" s="57">
        <f>(IGA_BD[[#This Row],[Work Start TimeStamp]]-IGA_BD[[#This Row],[Fault Start TimeStamp]])*24</f>
        <v>0</v>
      </c>
      <c r="P664" s="44" t="str">
        <f>IF(IGA_BD[[#This Row],[Work Start TimeStamp]]="","",(IGA_BD[[#This Row],[Fault Clearance time]]-IGA_BD[[#This Row],[Work Start TimeStamp]])*24)</f>
        <v/>
      </c>
      <c r="Q664" s="57">
        <f>(IGA_BD[[#This Row],[Fault Clearance time]]-IGA_BD[[#This Row],[Fault Start TimeStamp]])*24</f>
        <v>0</v>
      </c>
      <c r="R664" s="153"/>
      <c r="S664" s="44"/>
      <c r="T664" s="45" t="str">
        <f>IFERROR(IGA_BD[[#This Row],[Breakdown Time]]*IGA_BD[[#This Row],[Plant Equivalent Weightage]],"")</f>
        <v/>
      </c>
    </row>
    <row r="665" spans="1:20">
      <c r="A665" s="28"/>
      <c r="B665" s="154"/>
      <c r="C665" s="30">
        <f>YEAR(WTG_BD[[#This Row],[Date]])+IF(MONTH(WTG_BD[[#This Row],[Date]])&gt;=4,1,0)</f>
        <v>2026</v>
      </c>
      <c r="D665" s="31">
        <f>YEAR(IGA_BD[[#This Row],[Date]])</f>
        <v>1900</v>
      </c>
      <c r="E665" s="48">
        <f t="shared" si="12"/>
        <v>1</v>
      </c>
      <c r="F665" s="32"/>
      <c r="G665" s="33"/>
      <c r="H665" s="43" t="str">
        <f>IFERROR(VLOOKUP(IGA_BD[[#This Row],[Affected Feeder ]],'Basic Data'!$A$42:$E$53,2,0),"")</f>
        <v/>
      </c>
      <c r="I665" s="43" t="str">
        <f>IFERROR(VLOOKUP(IGA_BD[[#This Row],[Affected Feeder ]],'Basic Data'!$A$42:$E$53,3,0),"")</f>
        <v/>
      </c>
      <c r="J665" s="43" t="str">
        <f>IFERROR(VLOOKUP(IGA_BD[[#This Row],[Affected Feeder ]],'Basic Data'!$A$42:$E$53,5,0),"")</f>
        <v/>
      </c>
      <c r="K665" s="164"/>
      <c r="L665" s="50"/>
      <c r="M665" s="116"/>
      <c r="N665" s="116"/>
      <c r="O665" s="57">
        <f>(IGA_BD[[#This Row],[Work Start TimeStamp]]-IGA_BD[[#This Row],[Fault Start TimeStamp]])*24</f>
        <v>0</v>
      </c>
      <c r="P665" s="44" t="str">
        <f>IF(IGA_BD[[#This Row],[Work Start TimeStamp]]="","",(IGA_BD[[#This Row],[Fault Clearance time]]-IGA_BD[[#This Row],[Work Start TimeStamp]])*24)</f>
        <v/>
      </c>
      <c r="Q665" s="57">
        <f>(IGA_BD[[#This Row],[Fault Clearance time]]-IGA_BD[[#This Row],[Fault Start TimeStamp]])*24</f>
        <v>0</v>
      </c>
      <c r="R665" s="153"/>
      <c r="S665" s="44"/>
      <c r="T665" s="45" t="str">
        <f>IFERROR(IGA_BD[[#This Row],[Breakdown Time]]*IGA_BD[[#This Row],[Plant Equivalent Weightage]],"")</f>
        <v/>
      </c>
    </row>
    <row r="666" spans="1:20">
      <c r="A666" s="28"/>
      <c r="B666" s="154"/>
      <c r="C666" s="30">
        <f>YEAR(WTG_BD[[#This Row],[Date]])+IF(MONTH(WTG_BD[[#This Row],[Date]])&gt;=4,1,0)</f>
        <v>2026</v>
      </c>
      <c r="D666" s="31">
        <f>YEAR(IGA_BD[[#This Row],[Date]])</f>
        <v>1900</v>
      </c>
      <c r="E666" s="48">
        <f t="shared" si="12"/>
        <v>1</v>
      </c>
      <c r="F666" s="32"/>
      <c r="G666" s="33"/>
      <c r="H666" s="43" t="str">
        <f>IFERROR(VLOOKUP(IGA_BD[[#This Row],[Affected Feeder ]],'Basic Data'!$A$42:$E$53,2,0),"")</f>
        <v/>
      </c>
      <c r="I666" s="43" t="str">
        <f>IFERROR(VLOOKUP(IGA_BD[[#This Row],[Affected Feeder ]],'Basic Data'!$A$42:$E$53,3,0),"")</f>
        <v/>
      </c>
      <c r="J666" s="43" t="str">
        <f>IFERROR(VLOOKUP(IGA_BD[[#This Row],[Affected Feeder ]],'Basic Data'!$A$42:$E$53,5,0),"")</f>
        <v/>
      </c>
      <c r="K666" s="164"/>
      <c r="L666" s="50"/>
      <c r="M666" s="116"/>
      <c r="N666" s="116"/>
      <c r="O666" s="57">
        <f>(IGA_BD[[#This Row],[Work Start TimeStamp]]-IGA_BD[[#This Row],[Fault Start TimeStamp]])*24</f>
        <v>0</v>
      </c>
      <c r="P666" s="44" t="str">
        <f>IF(IGA_BD[[#This Row],[Work Start TimeStamp]]="","",(IGA_BD[[#This Row],[Fault Clearance time]]-IGA_BD[[#This Row],[Work Start TimeStamp]])*24)</f>
        <v/>
      </c>
      <c r="Q666" s="57">
        <f>(IGA_BD[[#This Row],[Fault Clearance time]]-IGA_BD[[#This Row],[Fault Start TimeStamp]])*24</f>
        <v>0</v>
      </c>
      <c r="R666" s="153"/>
      <c r="S666" s="44"/>
      <c r="T666" s="45" t="str">
        <f>IFERROR(IGA_BD[[#This Row],[Breakdown Time]]*IGA_BD[[#This Row],[Plant Equivalent Weightage]],"")</f>
        <v/>
      </c>
    </row>
    <row r="667" spans="1:20">
      <c r="A667" s="28"/>
      <c r="B667" s="154"/>
      <c r="C667" s="30">
        <f>YEAR(WTG_BD[[#This Row],[Date]])+IF(MONTH(WTG_BD[[#This Row],[Date]])&gt;=4,1,0)</f>
        <v>2026</v>
      </c>
      <c r="D667" s="31">
        <f>YEAR(IGA_BD[[#This Row],[Date]])</f>
        <v>1900</v>
      </c>
      <c r="E667" s="48">
        <f t="shared" si="12"/>
        <v>1</v>
      </c>
      <c r="F667" s="32"/>
      <c r="G667" s="33"/>
      <c r="H667" s="43" t="str">
        <f>IFERROR(VLOOKUP(IGA_BD[[#This Row],[Affected Feeder ]],'Basic Data'!$A$42:$E$53,2,0),"")</f>
        <v/>
      </c>
      <c r="I667" s="43" t="str">
        <f>IFERROR(VLOOKUP(IGA_BD[[#This Row],[Affected Feeder ]],'Basic Data'!$A$42:$E$53,3,0),"")</f>
        <v/>
      </c>
      <c r="J667" s="43" t="str">
        <f>IFERROR(VLOOKUP(IGA_BD[[#This Row],[Affected Feeder ]],'Basic Data'!$A$42:$E$53,5,0),"")</f>
        <v/>
      </c>
      <c r="K667" s="164"/>
      <c r="L667" s="50"/>
      <c r="M667" s="116"/>
      <c r="N667" s="116"/>
      <c r="O667" s="57">
        <f>(IGA_BD[[#This Row],[Work Start TimeStamp]]-IGA_BD[[#This Row],[Fault Start TimeStamp]])*24</f>
        <v>0</v>
      </c>
      <c r="P667" s="44" t="str">
        <f>IF(IGA_BD[[#This Row],[Work Start TimeStamp]]="","",(IGA_BD[[#This Row],[Fault Clearance time]]-IGA_BD[[#This Row],[Work Start TimeStamp]])*24)</f>
        <v/>
      </c>
      <c r="Q667" s="57">
        <f>(IGA_BD[[#This Row],[Fault Clearance time]]-IGA_BD[[#This Row],[Fault Start TimeStamp]])*24</f>
        <v>0</v>
      </c>
      <c r="R667" s="153"/>
      <c r="S667" s="44"/>
      <c r="T667" s="45" t="str">
        <f>IFERROR(IGA_BD[[#This Row],[Breakdown Time]]*IGA_BD[[#This Row],[Plant Equivalent Weightage]],"")</f>
        <v/>
      </c>
    </row>
    <row r="668" spans="1:20">
      <c r="A668" s="28"/>
      <c r="B668" s="154"/>
      <c r="C668" s="30">
        <f>YEAR(WTG_BD[[#This Row],[Date]])+IF(MONTH(WTG_BD[[#This Row],[Date]])&gt;=4,1,0)</f>
        <v>2026</v>
      </c>
      <c r="D668" s="31">
        <f>YEAR(IGA_BD[[#This Row],[Date]])</f>
        <v>1900</v>
      </c>
      <c r="E668" s="48">
        <f t="shared" ref="E668:E731" si="13">B668-DAY(B668)+1</f>
        <v>1</v>
      </c>
      <c r="F668" s="32"/>
      <c r="G668" s="33"/>
      <c r="H668" s="43" t="str">
        <f>IFERROR(VLOOKUP(IGA_BD[[#This Row],[Affected Feeder ]],'Basic Data'!$A$42:$E$53,2,0),"")</f>
        <v/>
      </c>
      <c r="I668" s="43" t="str">
        <f>IFERROR(VLOOKUP(IGA_BD[[#This Row],[Affected Feeder ]],'Basic Data'!$A$42:$E$53,3,0),"")</f>
        <v/>
      </c>
      <c r="J668" s="43" t="str">
        <f>IFERROR(VLOOKUP(IGA_BD[[#This Row],[Affected Feeder ]],'Basic Data'!$A$42:$E$53,5,0),"")</f>
        <v/>
      </c>
      <c r="K668" s="164"/>
      <c r="L668" s="50"/>
      <c r="M668" s="116"/>
      <c r="N668" s="116"/>
      <c r="O668" s="57">
        <f>(IGA_BD[[#This Row],[Work Start TimeStamp]]-IGA_BD[[#This Row],[Fault Start TimeStamp]])*24</f>
        <v>0</v>
      </c>
      <c r="P668" s="44" t="str">
        <f>IF(IGA_BD[[#This Row],[Work Start TimeStamp]]="","",(IGA_BD[[#This Row],[Fault Clearance time]]-IGA_BD[[#This Row],[Work Start TimeStamp]])*24)</f>
        <v/>
      </c>
      <c r="Q668" s="57">
        <f>(IGA_BD[[#This Row],[Fault Clearance time]]-IGA_BD[[#This Row],[Fault Start TimeStamp]])*24</f>
        <v>0</v>
      </c>
      <c r="R668" s="153"/>
      <c r="S668" s="44"/>
      <c r="T668" s="45" t="str">
        <f>IFERROR(IGA_BD[[#This Row],[Breakdown Time]]*IGA_BD[[#This Row],[Plant Equivalent Weightage]],"")</f>
        <v/>
      </c>
    </row>
    <row r="669" spans="1:20">
      <c r="A669" s="28"/>
      <c r="B669" s="154"/>
      <c r="C669" s="30">
        <f>YEAR(WTG_BD[[#This Row],[Date]])+IF(MONTH(WTG_BD[[#This Row],[Date]])&gt;=4,1,0)</f>
        <v>2026</v>
      </c>
      <c r="D669" s="31">
        <f>YEAR(IGA_BD[[#This Row],[Date]])</f>
        <v>1900</v>
      </c>
      <c r="E669" s="48">
        <f t="shared" si="13"/>
        <v>1</v>
      </c>
      <c r="F669" s="32"/>
      <c r="G669" s="33"/>
      <c r="H669" s="43" t="str">
        <f>IFERROR(VLOOKUP(IGA_BD[[#This Row],[Affected Feeder ]],'Basic Data'!$A$42:$E$53,2,0),"")</f>
        <v/>
      </c>
      <c r="I669" s="43" t="str">
        <f>IFERROR(VLOOKUP(IGA_BD[[#This Row],[Affected Feeder ]],'Basic Data'!$A$42:$E$53,3,0),"")</f>
        <v/>
      </c>
      <c r="J669" s="43" t="str">
        <f>IFERROR(VLOOKUP(IGA_BD[[#This Row],[Affected Feeder ]],'Basic Data'!$A$42:$E$53,5,0),"")</f>
        <v/>
      </c>
      <c r="K669" s="164"/>
      <c r="L669" s="50"/>
      <c r="M669" s="116"/>
      <c r="N669" s="116"/>
      <c r="O669" s="57">
        <f>(IGA_BD[[#This Row],[Work Start TimeStamp]]-IGA_BD[[#This Row],[Fault Start TimeStamp]])*24</f>
        <v>0</v>
      </c>
      <c r="P669" s="44" t="str">
        <f>IF(IGA_BD[[#This Row],[Work Start TimeStamp]]="","",(IGA_BD[[#This Row],[Fault Clearance time]]-IGA_BD[[#This Row],[Work Start TimeStamp]])*24)</f>
        <v/>
      </c>
      <c r="Q669" s="57">
        <f>(IGA_BD[[#This Row],[Fault Clearance time]]-IGA_BD[[#This Row],[Fault Start TimeStamp]])*24</f>
        <v>0</v>
      </c>
      <c r="R669" s="153"/>
      <c r="S669" s="44"/>
      <c r="T669" s="45" t="str">
        <f>IFERROR(IGA_BD[[#This Row],[Breakdown Time]]*IGA_BD[[#This Row],[Plant Equivalent Weightage]],"")</f>
        <v/>
      </c>
    </row>
    <row r="670" spans="1:20">
      <c r="A670" s="28"/>
      <c r="B670" s="154"/>
      <c r="C670" s="30">
        <f>YEAR(WTG_BD[[#This Row],[Date]])+IF(MONTH(WTG_BD[[#This Row],[Date]])&gt;=4,1,0)</f>
        <v>2026</v>
      </c>
      <c r="D670" s="31">
        <f>YEAR(IGA_BD[[#This Row],[Date]])</f>
        <v>1900</v>
      </c>
      <c r="E670" s="48">
        <f t="shared" si="13"/>
        <v>1</v>
      </c>
      <c r="F670" s="32"/>
      <c r="G670" s="33"/>
      <c r="H670" s="43" t="str">
        <f>IFERROR(VLOOKUP(IGA_BD[[#This Row],[Affected Feeder ]],'Basic Data'!$A$42:$E$53,2,0),"")</f>
        <v/>
      </c>
      <c r="I670" s="43" t="str">
        <f>IFERROR(VLOOKUP(IGA_BD[[#This Row],[Affected Feeder ]],'Basic Data'!$A$42:$E$53,3,0),"")</f>
        <v/>
      </c>
      <c r="J670" s="43" t="str">
        <f>IFERROR(VLOOKUP(IGA_BD[[#This Row],[Affected Feeder ]],'Basic Data'!$A$42:$E$53,5,0),"")</f>
        <v/>
      </c>
      <c r="K670" s="164"/>
      <c r="L670" s="50"/>
      <c r="M670" s="116"/>
      <c r="N670" s="116"/>
      <c r="O670" s="57">
        <f>(IGA_BD[[#This Row],[Work Start TimeStamp]]-IGA_BD[[#This Row],[Fault Start TimeStamp]])*24</f>
        <v>0</v>
      </c>
      <c r="P670" s="44" t="str">
        <f>IF(IGA_BD[[#This Row],[Work Start TimeStamp]]="","",(IGA_BD[[#This Row],[Fault Clearance time]]-IGA_BD[[#This Row],[Work Start TimeStamp]])*24)</f>
        <v/>
      </c>
      <c r="Q670" s="57">
        <f>(IGA_BD[[#This Row],[Fault Clearance time]]-IGA_BD[[#This Row],[Fault Start TimeStamp]])*24</f>
        <v>0</v>
      </c>
      <c r="R670" s="153"/>
      <c r="S670" s="44"/>
      <c r="T670" s="45" t="str">
        <f>IFERROR(IGA_BD[[#This Row],[Breakdown Time]]*IGA_BD[[#This Row],[Plant Equivalent Weightage]],"")</f>
        <v/>
      </c>
    </row>
    <row r="671" spans="1:20">
      <c r="A671" s="28"/>
      <c r="B671" s="154"/>
      <c r="C671" s="30">
        <f>YEAR(WTG_BD[[#This Row],[Date]])+IF(MONTH(WTG_BD[[#This Row],[Date]])&gt;=4,1,0)</f>
        <v>2026</v>
      </c>
      <c r="D671" s="31">
        <f>YEAR(IGA_BD[[#This Row],[Date]])</f>
        <v>1900</v>
      </c>
      <c r="E671" s="48">
        <f t="shared" si="13"/>
        <v>1</v>
      </c>
      <c r="F671" s="32"/>
      <c r="G671" s="33"/>
      <c r="H671" s="43" t="str">
        <f>IFERROR(VLOOKUP(IGA_BD[[#This Row],[Affected Feeder ]],'Basic Data'!$A$42:$E$53,2,0),"")</f>
        <v/>
      </c>
      <c r="I671" s="43" t="str">
        <f>IFERROR(VLOOKUP(IGA_BD[[#This Row],[Affected Feeder ]],'Basic Data'!$A$42:$E$53,3,0),"")</f>
        <v/>
      </c>
      <c r="J671" s="43" t="str">
        <f>IFERROR(VLOOKUP(IGA_BD[[#This Row],[Affected Feeder ]],'Basic Data'!$A$42:$E$53,5,0),"")</f>
        <v/>
      </c>
      <c r="K671" s="164"/>
      <c r="L671" s="50"/>
      <c r="M671" s="116"/>
      <c r="N671" s="116"/>
      <c r="O671" s="57">
        <f>(IGA_BD[[#This Row],[Work Start TimeStamp]]-IGA_BD[[#This Row],[Fault Start TimeStamp]])*24</f>
        <v>0</v>
      </c>
      <c r="P671" s="44" t="str">
        <f>IF(IGA_BD[[#This Row],[Work Start TimeStamp]]="","",(IGA_BD[[#This Row],[Fault Clearance time]]-IGA_BD[[#This Row],[Work Start TimeStamp]])*24)</f>
        <v/>
      </c>
      <c r="Q671" s="57">
        <f>(IGA_BD[[#This Row],[Fault Clearance time]]-IGA_BD[[#This Row],[Fault Start TimeStamp]])*24</f>
        <v>0</v>
      </c>
      <c r="R671" s="153"/>
      <c r="S671" s="44"/>
      <c r="T671" s="45" t="str">
        <f>IFERROR(IGA_BD[[#This Row],[Breakdown Time]]*IGA_BD[[#This Row],[Plant Equivalent Weightage]],"")</f>
        <v/>
      </c>
    </row>
    <row r="672" spans="1:20">
      <c r="A672" s="28"/>
      <c r="B672" s="154"/>
      <c r="C672" s="30">
        <f>YEAR(WTG_BD[[#This Row],[Date]])+IF(MONTH(WTG_BD[[#This Row],[Date]])&gt;=4,1,0)</f>
        <v>2026</v>
      </c>
      <c r="D672" s="31">
        <f>YEAR(IGA_BD[[#This Row],[Date]])</f>
        <v>1900</v>
      </c>
      <c r="E672" s="48">
        <f t="shared" si="13"/>
        <v>1</v>
      </c>
      <c r="F672" s="32"/>
      <c r="G672" s="33"/>
      <c r="H672" s="43" t="str">
        <f>IFERROR(VLOOKUP(IGA_BD[[#This Row],[Affected Feeder ]],'Basic Data'!$A$42:$E$53,2,0),"")</f>
        <v/>
      </c>
      <c r="I672" s="43" t="str">
        <f>IFERROR(VLOOKUP(IGA_BD[[#This Row],[Affected Feeder ]],'Basic Data'!$A$42:$E$53,3,0),"")</f>
        <v/>
      </c>
      <c r="J672" s="43" t="str">
        <f>IFERROR(VLOOKUP(IGA_BD[[#This Row],[Affected Feeder ]],'Basic Data'!$A$42:$E$53,5,0),"")</f>
        <v/>
      </c>
      <c r="K672" s="164"/>
      <c r="L672" s="50"/>
      <c r="M672" s="116"/>
      <c r="N672" s="116"/>
      <c r="O672" s="57">
        <f>(IGA_BD[[#This Row],[Work Start TimeStamp]]-IGA_BD[[#This Row],[Fault Start TimeStamp]])*24</f>
        <v>0</v>
      </c>
      <c r="P672" s="44" t="str">
        <f>IF(IGA_BD[[#This Row],[Work Start TimeStamp]]="","",(IGA_BD[[#This Row],[Fault Clearance time]]-IGA_BD[[#This Row],[Work Start TimeStamp]])*24)</f>
        <v/>
      </c>
      <c r="Q672" s="57">
        <f>(IGA_BD[[#This Row],[Fault Clearance time]]-IGA_BD[[#This Row],[Fault Start TimeStamp]])*24</f>
        <v>0</v>
      </c>
      <c r="R672" s="153"/>
      <c r="S672" s="44"/>
      <c r="T672" s="45" t="str">
        <f>IFERROR(IGA_BD[[#This Row],[Breakdown Time]]*IGA_BD[[#This Row],[Plant Equivalent Weightage]],"")</f>
        <v/>
      </c>
    </row>
    <row r="673" spans="1:20">
      <c r="A673" s="28"/>
      <c r="B673" s="154"/>
      <c r="C673" s="30">
        <f>YEAR(WTG_BD[[#This Row],[Date]])+IF(MONTH(WTG_BD[[#This Row],[Date]])&gt;=4,1,0)</f>
        <v>2026</v>
      </c>
      <c r="D673" s="31">
        <f>YEAR(IGA_BD[[#This Row],[Date]])</f>
        <v>1900</v>
      </c>
      <c r="E673" s="48">
        <f t="shared" si="13"/>
        <v>1</v>
      </c>
      <c r="F673" s="32"/>
      <c r="G673" s="33"/>
      <c r="H673" s="43" t="str">
        <f>IFERROR(VLOOKUP(IGA_BD[[#This Row],[Affected Feeder ]],'Basic Data'!$A$42:$E$53,2,0),"")</f>
        <v/>
      </c>
      <c r="I673" s="43" t="str">
        <f>IFERROR(VLOOKUP(IGA_BD[[#This Row],[Affected Feeder ]],'Basic Data'!$A$42:$E$53,3,0),"")</f>
        <v/>
      </c>
      <c r="J673" s="43" t="str">
        <f>IFERROR(VLOOKUP(IGA_BD[[#This Row],[Affected Feeder ]],'Basic Data'!$A$42:$E$53,5,0),"")</f>
        <v/>
      </c>
      <c r="K673" s="164"/>
      <c r="L673" s="50"/>
      <c r="M673" s="116"/>
      <c r="N673" s="116"/>
      <c r="O673" s="57">
        <f>(IGA_BD[[#This Row],[Work Start TimeStamp]]-IGA_BD[[#This Row],[Fault Start TimeStamp]])*24</f>
        <v>0</v>
      </c>
      <c r="P673" s="44" t="str">
        <f>IF(IGA_BD[[#This Row],[Work Start TimeStamp]]="","",(IGA_BD[[#This Row],[Fault Clearance time]]-IGA_BD[[#This Row],[Work Start TimeStamp]])*24)</f>
        <v/>
      </c>
      <c r="Q673" s="57">
        <f>(IGA_BD[[#This Row],[Fault Clearance time]]-IGA_BD[[#This Row],[Fault Start TimeStamp]])*24</f>
        <v>0</v>
      </c>
      <c r="R673" s="153"/>
      <c r="S673" s="44"/>
      <c r="T673" s="45" t="str">
        <f>IFERROR(IGA_BD[[#This Row],[Breakdown Time]]*IGA_BD[[#This Row],[Plant Equivalent Weightage]],"")</f>
        <v/>
      </c>
    </row>
    <row r="674" spans="1:20">
      <c r="A674" s="28"/>
      <c r="B674" s="154"/>
      <c r="C674" s="30">
        <f>YEAR(WTG_BD[[#This Row],[Date]])+IF(MONTH(WTG_BD[[#This Row],[Date]])&gt;=4,1,0)</f>
        <v>2026</v>
      </c>
      <c r="D674" s="31">
        <f>YEAR(IGA_BD[[#This Row],[Date]])</f>
        <v>1900</v>
      </c>
      <c r="E674" s="48">
        <f t="shared" si="13"/>
        <v>1</v>
      </c>
      <c r="F674" s="32"/>
      <c r="G674" s="33"/>
      <c r="H674" s="43" t="str">
        <f>IFERROR(VLOOKUP(IGA_BD[[#This Row],[Affected Feeder ]],'Basic Data'!$A$42:$E$53,2,0),"")</f>
        <v/>
      </c>
      <c r="I674" s="43" t="str">
        <f>IFERROR(VLOOKUP(IGA_BD[[#This Row],[Affected Feeder ]],'Basic Data'!$A$42:$E$53,3,0),"")</f>
        <v/>
      </c>
      <c r="J674" s="43" t="str">
        <f>IFERROR(VLOOKUP(IGA_BD[[#This Row],[Affected Feeder ]],'Basic Data'!$A$42:$E$53,5,0),"")</f>
        <v/>
      </c>
      <c r="K674" s="164"/>
      <c r="L674" s="50"/>
      <c r="M674" s="116"/>
      <c r="N674" s="116"/>
      <c r="O674" s="57">
        <f>(IGA_BD[[#This Row],[Work Start TimeStamp]]-IGA_BD[[#This Row],[Fault Start TimeStamp]])*24</f>
        <v>0</v>
      </c>
      <c r="P674" s="44" t="str">
        <f>IF(IGA_BD[[#This Row],[Work Start TimeStamp]]="","",(IGA_BD[[#This Row],[Fault Clearance time]]-IGA_BD[[#This Row],[Work Start TimeStamp]])*24)</f>
        <v/>
      </c>
      <c r="Q674" s="57">
        <f>(IGA_BD[[#This Row],[Fault Clearance time]]-IGA_BD[[#This Row],[Fault Start TimeStamp]])*24</f>
        <v>0</v>
      </c>
      <c r="R674" s="153"/>
      <c r="S674" s="44"/>
      <c r="T674" s="45" t="str">
        <f>IFERROR(IGA_BD[[#This Row],[Breakdown Time]]*IGA_BD[[#This Row],[Plant Equivalent Weightage]],"")</f>
        <v/>
      </c>
    </row>
    <row r="675" spans="1:20">
      <c r="A675" s="28"/>
      <c r="B675" s="154"/>
      <c r="C675" s="30">
        <f>YEAR(WTG_BD[[#This Row],[Date]])+IF(MONTH(WTG_BD[[#This Row],[Date]])&gt;=4,1,0)</f>
        <v>2026</v>
      </c>
      <c r="D675" s="31">
        <f>YEAR(IGA_BD[[#This Row],[Date]])</f>
        <v>1900</v>
      </c>
      <c r="E675" s="48">
        <f t="shared" si="13"/>
        <v>1</v>
      </c>
      <c r="F675" s="32"/>
      <c r="G675" s="33"/>
      <c r="H675" s="43" t="str">
        <f>IFERROR(VLOOKUP(IGA_BD[[#This Row],[Affected Feeder ]],'Basic Data'!$A$42:$E$53,2,0),"")</f>
        <v/>
      </c>
      <c r="I675" s="43" t="str">
        <f>IFERROR(VLOOKUP(IGA_BD[[#This Row],[Affected Feeder ]],'Basic Data'!$A$42:$E$53,3,0),"")</f>
        <v/>
      </c>
      <c r="J675" s="43" t="str">
        <f>IFERROR(VLOOKUP(IGA_BD[[#This Row],[Affected Feeder ]],'Basic Data'!$A$42:$E$53,5,0),"")</f>
        <v/>
      </c>
      <c r="K675" s="164"/>
      <c r="L675" s="50"/>
      <c r="M675" s="116"/>
      <c r="N675" s="116"/>
      <c r="O675" s="57">
        <f>(IGA_BD[[#This Row],[Work Start TimeStamp]]-IGA_BD[[#This Row],[Fault Start TimeStamp]])*24</f>
        <v>0</v>
      </c>
      <c r="P675" s="44" t="str">
        <f>IF(IGA_BD[[#This Row],[Work Start TimeStamp]]="","",(IGA_BD[[#This Row],[Fault Clearance time]]-IGA_BD[[#This Row],[Work Start TimeStamp]])*24)</f>
        <v/>
      </c>
      <c r="Q675" s="57">
        <f>(IGA_BD[[#This Row],[Fault Clearance time]]-IGA_BD[[#This Row],[Fault Start TimeStamp]])*24</f>
        <v>0</v>
      </c>
      <c r="R675" s="153"/>
      <c r="S675" s="44"/>
      <c r="T675" s="45" t="str">
        <f>IFERROR(IGA_BD[[#This Row],[Breakdown Time]]*IGA_BD[[#This Row],[Plant Equivalent Weightage]],"")</f>
        <v/>
      </c>
    </row>
    <row r="676" spans="1:20">
      <c r="A676" s="28"/>
      <c r="B676" s="154"/>
      <c r="C676" s="30">
        <f>YEAR(WTG_BD[[#This Row],[Date]])+IF(MONTH(WTG_BD[[#This Row],[Date]])&gt;=4,1,0)</f>
        <v>2026</v>
      </c>
      <c r="D676" s="31">
        <f>YEAR(IGA_BD[[#This Row],[Date]])</f>
        <v>1900</v>
      </c>
      <c r="E676" s="48">
        <f t="shared" si="13"/>
        <v>1</v>
      </c>
      <c r="F676" s="32"/>
      <c r="G676" s="33"/>
      <c r="H676" s="43" t="str">
        <f>IFERROR(VLOOKUP(IGA_BD[[#This Row],[Affected Feeder ]],'Basic Data'!$A$42:$E$53,2,0),"")</f>
        <v/>
      </c>
      <c r="I676" s="43" t="str">
        <f>IFERROR(VLOOKUP(IGA_BD[[#This Row],[Affected Feeder ]],'Basic Data'!$A$42:$E$53,3,0),"")</f>
        <v/>
      </c>
      <c r="J676" s="43" t="str">
        <f>IFERROR(VLOOKUP(IGA_BD[[#This Row],[Affected Feeder ]],'Basic Data'!$A$42:$E$53,5,0),"")</f>
        <v/>
      </c>
      <c r="K676" s="164"/>
      <c r="L676" s="50"/>
      <c r="M676" s="116"/>
      <c r="N676" s="116"/>
      <c r="O676" s="57">
        <f>(IGA_BD[[#This Row],[Work Start TimeStamp]]-IGA_BD[[#This Row],[Fault Start TimeStamp]])*24</f>
        <v>0</v>
      </c>
      <c r="P676" s="44" t="str">
        <f>IF(IGA_BD[[#This Row],[Work Start TimeStamp]]="","",(IGA_BD[[#This Row],[Fault Clearance time]]-IGA_BD[[#This Row],[Work Start TimeStamp]])*24)</f>
        <v/>
      </c>
      <c r="Q676" s="57">
        <f>(IGA_BD[[#This Row],[Fault Clearance time]]-IGA_BD[[#This Row],[Fault Start TimeStamp]])*24</f>
        <v>0</v>
      </c>
      <c r="R676" s="153"/>
      <c r="S676" s="44"/>
      <c r="T676" s="45" t="str">
        <f>IFERROR(IGA_BD[[#This Row],[Breakdown Time]]*IGA_BD[[#This Row],[Plant Equivalent Weightage]],"")</f>
        <v/>
      </c>
    </row>
    <row r="677" spans="1:20">
      <c r="A677" s="28"/>
      <c r="B677" s="154"/>
      <c r="C677" s="30">
        <f>YEAR(WTG_BD[[#This Row],[Date]])+IF(MONTH(WTG_BD[[#This Row],[Date]])&gt;=4,1,0)</f>
        <v>2026</v>
      </c>
      <c r="D677" s="31">
        <f>YEAR(IGA_BD[[#This Row],[Date]])</f>
        <v>1900</v>
      </c>
      <c r="E677" s="48">
        <f t="shared" si="13"/>
        <v>1</v>
      </c>
      <c r="F677" s="32"/>
      <c r="G677" s="33"/>
      <c r="H677" s="43" t="str">
        <f>IFERROR(VLOOKUP(IGA_BD[[#This Row],[Affected Feeder ]],'Basic Data'!$A$42:$E$53,2,0),"")</f>
        <v/>
      </c>
      <c r="I677" s="43" t="str">
        <f>IFERROR(VLOOKUP(IGA_BD[[#This Row],[Affected Feeder ]],'Basic Data'!$A$42:$E$53,3,0),"")</f>
        <v/>
      </c>
      <c r="J677" s="43" t="str">
        <f>IFERROR(VLOOKUP(IGA_BD[[#This Row],[Affected Feeder ]],'Basic Data'!$A$42:$E$53,5,0),"")</f>
        <v/>
      </c>
      <c r="K677" s="164"/>
      <c r="L677" s="50"/>
      <c r="M677" s="116"/>
      <c r="N677" s="116"/>
      <c r="O677" s="57">
        <f>(IGA_BD[[#This Row],[Work Start TimeStamp]]-IGA_BD[[#This Row],[Fault Start TimeStamp]])*24</f>
        <v>0</v>
      </c>
      <c r="P677" s="44" t="str">
        <f>IF(IGA_BD[[#This Row],[Work Start TimeStamp]]="","",(IGA_BD[[#This Row],[Fault Clearance time]]-IGA_BD[[#This Row],[Work Start TimeStamp]])*24)</f>
        <v/>
      </c>
      <c r="Q677" s="57">
        <f>(IGA_BD[[#This Row],[Fault Clearance time]]-IGA_BD[[#This Row],[Fault Start TimeStamp]])*24</f>
        <v>0</v>
      </c>
      <c r="R677" s="153"/>
      <c r="S677" s="44"/>
      <c r="T677" s="45" t="str">
        <f>IFERROR(IGA_BD[[#This Row],[Breakdown Time]]*IGA_BD[[#This Row],[Plant Equivalent Weightage]],"")</f>
        <v/>
      </c>
    </row>
    <row r="678" spans="1:20">
      <c r="A678" s="28"/>
      <c r="B678" s="154"/>
      <c r="C678" s="30">
        <f>YEAR(WTG_BD[[#This Row],[Date]])+IF(MONTH(WTG_BD[[#This Row],[Date]])&gt;=4,1,0)</f>
        <v>2026</v>
      </c>
      <c r="D678" s="31">
        <f>YEAR(IGA_BD[[#This Row],[Date]])</f>
        <v>1900</v>
      </c>
      <c r="E678" s="48">
        <f t="shared" si="13"/>
        <v>1</v>
      </c>
      <c r="F678" s="32"/>
      <c r="G678" s="33"/>
      <c r="H678" s="43" t="str">
        <f>IFERROR(VLOOKUP(IGA_BD[[#This Row],[Affected Feeder ]],'Basic Data'!$A$42:$E$53,2,0),"")</f>
        <v/>
      </c>
      <c r="I678" s="43" t="str">
        <f>IFERROR(VLOOKUP(IGA_BD[[#This Row],[Affected Feeder ]],'Basic Data'!$A$42:$E$53,3,0),"")</f>
        <v/>
      </c>
      <c r="J678" s="43" t="str">
        <f>IFERROR(VLOOKUP(IGA_BD[[#This Row],[Affected Feeder ]],'Basic Data'!$A$42:$E$53,5,0),"")</f>
        <v/>
      </c>
      <c r="K678" s="164"/>
      <c r="L678" s="50"/>
      <c r="M678" s="116"/>
      <c r="N678" s="116"/>
      <c r="O678" s="57">
        <f>(IGA_BD[[#This Row],[Work Start TimeStamp]]-IGA_BD[[#This Row],[Fault Start TimeStamp]])*24</f>
        <v>0</v>
      </c>
      <c r="P678" s="44" t="str">
        <f>IF(IGA_BD[[#This Row],[Work Start TimeStamp]]="","",(IGA_BD[[#This Row],[Fault Clearance time]]-IGA_BD[[#This Row],[Work Start TimeStamp]])*24)</f>
        <v/>
      </c>
      <c r="Q678" s="57">
        <f>(IGA_BD[[#This Row],[Fault Clearance time]]-IGA_BD[[#This Row],[Fault Start TimeStamp]])*24</f>
        <v>0</v>
      </c>
      <c r="R678" s="153"/>
      <c r="S678" s="44"/>
      <c r="T678" s="45" t="str">
        <f>IFERROR(IGA_BD[[#This Row],[Breakdown Time]]*IGA_BD[[#This Row],[Plant Equivalent Weightage]],"")</f>
        <v/>
      </c>
    </row>
    <row r="679" spans="1:20">
      <c r="A679" s="28"/>
      <c r="B679" s="154"/>
      <c r="C679" s="30">
        <f>YEAR(WTG_BD[[#This Row],[Date]])+IF(MONTH(WTG_BD[[#This Row],[Date]])&gt;=4,1,0)</f>
        <v>2026</v>
      </c>
      <c r="D679" s="31">
        <f>YEAR(IGA_BD[[#This Row],[Date]])</f>
        <v>1900</v>
      </c>
      <c r="E679" s="48">
        <f t="shared" si="13"/>
        <v>1</v>
      </c>
      <c r="F679" s="32"/>
      <c r="G679" s="33"/>
      <c r="H679" s="43" t="str">
        <f>IFERROR(VLOOKUP(IGA_BD[[#This Row],[Affected Feeder ]],'Basic Data'!$A$42:$E$53,2,0),"")</f>
        <v/>
      </c>
      <c r="I679" s="43" t="str">
        <f>IFERROR(VLOOKUP(IGA_BD[[#This Row],[Affected Feeder ]],'Basic Data'!$A$42:$E$53,3,0),"")</f>
        <v/>
      </c>
      <c r="J679" s="43" t="str">
        <f>IFERROR(VLOOKUP(IGA_BD[[#This Row],[Affected Feeder ]],'Basic Data'!$A$42:$E$53,5,0),"")</f>
        <v/>
      </c>
      <c r="K679" s="164"/>
      <c r="L679" s="50"/>
      <c r="M679" s="116"/>
      <c r="N679" s="116"/>
      <c r="O679" s="57">
        <f>(IGA_BD[[#This Row],[Work Start TimeStamp]]-IGA_BD[[#This Row],[Fault Start TimeStamp]])*24</f>
        <v>0</v>
      </c>
      <c r="P679" s="44" t="str">
        <f>IF(IGA_BD[[#This Row],[Work Start TimeStamp]]="","",(IGA_BD[[#This Row],[Fault Clearance time]]-IGA_BD[[#This Row],[Work Start TimeStamp]])*24)</f>
        <v/>
      </c>
      <c r="Q679" s="57">
        <f>(IGA_BD[[#This Row],[Fault Clearance time]]-IGA_BD[[#This Row],[Fault Start TimeStamp]])*24</f>
        <v>0</v>
      </c>
      <c r="R679" s="153"/>
      <c r="S679" s="44"/>
      <c r="T679" s="45" t="str">
        <f>IFERROR(IGA_BD[[#This Row],[Breakdown Time]]*IGA_BD[[#This Row],[Plant Equivalent Weightage]],"")</f>
        <v/>
      </c>
    </row>
    <row r="680" spans="1:20">
      <c r="A680" s="28"/>
      <c r="B680" s="154"/>
      <c r="C680" s="30">
        <f>YEAR(WTG_BD[[#This Row],[Date]])+IF(MONTH(WTG_BD[[#This Row],[Date]])&gt;=4,1,0)</f>
        <v>2026</v>
      </c>
      <c r="D680" s="31">
        <f>YEAR(IGA_BD[[#This Row],[Date]])</f>
        <v>1900</v>
      </c>
      <c r="E680" s="48">
        <f t="shared" si="13"/>
        <v>1</v>
      </c>
      <c r="F680" s="32"/>
      <c r="G680" s="33"/>
      <c r="H680" s="43" t="str">
        <f>IFERROR(VLOOKUP(IGA_BD[[#This Row],[Affected Feeder ]],'Basic Data'!$A$42:$E$53,2,0),"")</f>
        <v/>
      </c>
      <c r="I680" s="43" t="str">
        <f>IFERROR(VLOOKUP(IGA_BD[[#This Row],[Affected Feeder ]],'Basic Data'!$A$42:$E$53,3,0),"")</f>
        <v/>
      </c>
      <c r="J680" s="43" t="str">
        <f>IFERROR(VLOOKUP(IGA_BD[[#This Row],[Affected Feeder ]],'Basic Data'!$A$42:$E$53,5,0),"")</f>
        <v/>
      </c>
      <c r="K680" s="164"/>
      <c r="L680" s="50"/>
      <c r="M680" s="116"/>
      <c r="N680" s="116"/>
      <c r="O680" s="57">
        <f>(IGA_BD[[#This Row],[Work Start TimeStamp]]-IGA_BD[[#This Row],[Fault Start TimeStamp]])*24</f>
        <v>0</v>
      </c>
      <c r="P680" s="44" t="str">
        <f>IF(IGA_BD[[#This Row],[Work Start TimeStamp]]="","",(IGA_BD[[#This Row],[Fault Clearance time]]-IGA_BD[[#This Row],[Work Start TimeStamp]])*24)</f>
        <v/>
      </c>
      <c r="Q680" s="57">
        <f>(IGA_BD[[#This Row],[Fault Clearance time]]-IGA_BD[[#This Row],[Fault Start TimeStamp]])*24</f>
        <v>0</v>
      </c>
      <c r="R680" s="153"/>
      <c r="S680" s="44"/>
      <c r="T680" s="45" t="str">
        <f>IFERROR(IGA_BD[[#This Row],[Breakdown Time]]*IGA_BD[[#This Row],[Plant Equivalent Weightage]],"")</f>
        <v/>
      </c>
    </row>
    <row r="681" spans="1:20">
      <c r="A681" s="28"/>
      <c r="B681" s="154"/>
      <c r="C681" s="30">
        <f>YEAR(WTG_BD[[#This Row],[Date]])+IF(MONTH(WTG_BD[[#This Row],[Date]])&gt;=4,1,0)</f>
        <v>2026</v>
      </c>
      <c r="D681" s="31">
        <f>YEAR(IGA_BD[[#This Row],[Date]])</f>
        <v>1900</v>
      </c>
      <c r="E681" s="48">
        <f t="shared" si="13"/>
        <v>1</v>
      </c>
      <c r="F681" s="32"/>
      <c r="G681" s="33"/>
      <c r="H681" s="43" t="str">
        <f>IFERROR(VLOOKUP(IGA_BD[[#This Row],[Affected Feeder ]],'Basic Data'!$A$42:$E$53,2,0),"")</f>
        <v/>
      </c>
      <c r="I681" s="43" t="str">
        <f>IFERROR(VLOOKUP(IGA_BD[[#This Row],[Affected Feeder ]],'Basic Data'!$A$42:$E$53,3,0),"")</f>
        <v/>
      </c>
      <c r="J681" s="43" t="str">
        <f>IFERROR(VLOOKUP(IGA_BD[[#This Row],[Affected Feeder ]],'Basic Data'!$A$42:$E$53,5,0),"")</f>
        <v/>
      </c>
      <c r="K681" s="164"/>
      <c r="L681" s="50"/>
      <c r="M681" s="116"/>
      <c r="N681" s="116"/>
      <c r="O681" s="57">
        <f>(IGA_BD[[#This Row],[Work Start TimeStamp]]-IGA_BD[[#This Row],[Fault Start TimeStamp]])*24</f>
        <v>0</v>
      </c>
      <c r="P681" s="44" t="str">
        <f>IF(IGA_BD[[#This Row],[Work Start TimeStamp]]="","",(IGA_BD[[#This Row],[Fault Clearance time]]-IGA_BD[[#This Row],[Work Start TimeStamp]])*24)</f>
        <v/>
      </c>
      <c r="Q681" s="57">
        <f>(IGA_BD[[#This Row],[Fault Clearance time]]-IGA_BD[[#This Row],[Fault Start TimeStamp]])*24</f>
        <v>0</v>
      </c>
      <c r="R681" s="153"/>
      <c r="S681" s="44"/>
      <c r="T681" s="45" t="str">
        <f>IFERROR(IGA_BD[[#This Row],[Breakdown Time]]*IGA_BD[[#This Row],[Plant Equivalent Weightage]],"")</f>
        <v/>
      </c>
    </row>
    <row r="682" spans="1:20">
      <c r="A682" s="28"/>
      <c r="B682" s="154"/>
      <c r="C682" s="30">
        <f>YEAR(WTG_BD[[#This Row],[Date]])+IF(MONTH(WTG_BD[[#This Row],[Date]])&gt;=4,1,0)</f>
        <v>2026</v>
      </c>
      <c r="D682" s="31">
        <f>YEAR(IGA_BD[[#This Row],[Date]])</f>
        <v>1900</v>
      </c>
      <c r="E682" s="48">
        <f t="shared" si="13"/>
        <v>1</v>
      </c>
      <c r="F682" s="32"/>
      <c r="G682" s="33"/>
      <c r="H682" s="43" t="str">
        <f>IFERROR(VLOOKUP(IGA_BD[[#This Row],[Affected Feeder ]],'Basic Data'!$A$42:$E$53,2,0),"")</f>
        <v/>
      </c>
      <c r="I682" s="43" t="str">
        <f>IFERROR(VLOOKUP(IGA_BD[[#This Row],[Affected Feeder ]],'Basic Data'!$A$42:$E$53,3,0),"")</f>
        <v/>
      </c>
      <c r="J682" s="43" t="str">
        <f>IFERROR(VLOOKUP(IGA_BD[[#This Row],[Affected Feeder ]],'Basic Data'!$A$42:$E$53,5,0),"")</f>
        <v/>
      </c>
      <c r="K682" s="164"/>
      <c r="L682" s="50"/>
      <c r="M682" s="116"/>
      <c r="N682" s="116"/>
      <c r="O682" s="57">
        <f>(IGA_BD[[#This Row],[Work Start TimeStamp]]-IGA_BD[[#This Row],[Fault Start TimeStamp]])*24</f>
        <v>0</v>
      </c>
      <c r="P682" s="44" t="str">
        <f>IF(IGA_BD[[#This Row],[Work Start TimeStamp]]="","",(IGA_BD[[#This Row],[Fault Clearance time]]-IGA_BD[[#This Row],[Work Start TimeStamp]])*24)</f>
        <v/>
      </c>
      <c r="Q682" s="57">
        <f>(IGA_BD[[#This Row],[Fault Clearance time]]-IGA_BD[[#This Row],[Fault Start TimeStamp]])*24</f>
        <v>0</v>
      </c>
      <c r="R682" s="153"/>
      <c r="S682" s="44"/>
      <c r="T682" s="45" t="str">
        <f>IFERROR(IGA_BD[[#This Row],[Breakdown Time]]*IGA_BD[[#This Row],[Plant Equivalent Weightage]],"")</f>
        <v/>
      </c>
    </row>
    <row r="683" spans="1:20">
      <c r="A683" s="28"/>
      <c r="B683" s="154"/>
      <c r="C683" s="30">
        <f>YEAR(WTG_BD[[#This Row],[Date]])+IF(MONTH(WTG_BD[[#This Row],[Date]])&gt;=4,1,0)</f>
        <v>2026</v>
      </c>
      <c r="D683" s="31">
        <f>YEAR(IGA_BD[[#This Row],[Date]])</f>
        <v>1900</v>
      </c>
      <c r="E683" s="48">
        <f t="shared" si="13"/>
        <v>1</v>
      </c>
      <c r="F683" s="32"/>
      <c r="G683" s="33"/>
      <c r="H683" s="43" t="str">
        <f>IFERROR(VLOOKUP(IGA_BD[[#This Row],[Affected Feeder ]],'Basic Data'!$A$42:$E$53,2,0),"")</f>
        <v/>
      </c>
      <c r="I683" s="43" t="str">
        <f>IFERROR(VLOOKUP(IGA_BD[[#This Row],[Affected Feeder ]],'Basic Data'!$A$42:$E$53,3,0),"")</f>
        <v/>
      </c>
      <c r="J683" s="43" t="str">
        <f>IFERROR(VLOOKUP(IGA_BD[[#This Row],[Affected Feeder ]],'Basic Data'!$A$42:$E$53,5,0),"")</f>
        <v/>
      </c>
      <c r="K683" s="164"/>
      <c r="L683" s="50"/>
      <c r="M683" s="116"/>
      <c r="N683" s="116"/>
      <c r="O683" s="57">
        <f>(IGA_BD[[#This Row],[Work Start TimeStamp]]-IGA_BD[[#This Row],[Fault Start TimeStamp]])*24</f>
        <v>0</v>
      </c>
      <c r="P683" s="44" t="str">
        <f>IF(IGA_BD[[#This Row],[Work Start TimeStamp]]="","",(IGA_BD[[#This Row],[Fault Clearance time]]-IGA_BD[[#This Row],[Work Start TimeStamp]])*24)</f>
        <v/>
      </c>
      <c r="Q683" s="57">
        <f>(IGA_BD[[#This Row],[Fault Clearance time]]-IGA_BD[[#This Row],[Fault Start TimeStamp]])*24</f>
        <v>0</v>
      </c>
      <c r="R683" s="153"/>
      <c r="S683" s="44"/>
      <c r="T683" s="45" t="str">
        <f>IFERROR(IGA_BD[[#This Row],[Breakdown Time]]*IGA_BD[[#This Row],[Plant Equivalent Weightage]],"")</f>
        <v/>
      </c>
    </row>
    <row r="684" spans="1:20">
      <c r="A684" s="28"/>
      <c r="B684" s="154"/>
      <c r="C684" s="30">
        <f>YEAR(WTG_BD[[#This Row],[Date]])+IF(MONTH(WTG_BD[[#This Row],[Date]])&gt;=4,1,0)</f>
        <v>2026</v>
      </c>
      <c r="D684" s="31">
        <f>YEAR(IGA_BD[[#This Row],[Date]])</f>
        <v>1900</v>
      </c>
      <c r="E684" s="48">
        <f t="shared" si="13"/>
        <v>1</v>
      </c>
      <c r="F684" s="32"/>
      <c r="G684" s="33"/>
      <c r="H684" s="43" t="str">
        <f>IFERROR(VLOOKUP(IGA_BD[[#This Row],[Affected Feeder ]],'Basic Data'!$A$42:$E$53,2,0),"")</f>
        <v/>
      </c>
      <c r="I684" s="43" t="str">
        <f>IFERROR(VLOOKUP(IGA_BD[[#This Row],[Affected Feeder ]],'Basic Data'!$A$42:$E$53,3,0),"")</f>
        <v/>
      </c>
      <c r="J684" s="43" t="str">
        <f>IFERROR(VLOOKUP(IGA_BD[[#This Row],[Affected Feeder ]],'Basic Data'!$A$42:$E$53,5,0),"")</f>
        <v/>
      </c>
      <c r="K684" s="164"/>
      <c r="L684" s="50"/>
      <c r="M684" s="116"/>
      <c r="N684" s="116"/>
      <c r="O684" s="57">
        <f>(IGA_BD[[#This Row],[Work Start TimeStamp]]-IGA_BD[[#This Row],[Fault Start TimeStamp]])*24</f>
        <v>0</v>
      </c>
      <c r="P684" s="44" t="str">
        <f>IF(IGA_BD[[#This Row],[Work Start TimeStamp]]="","",(IGA_BD[[#This Row],[Fault Clearance time]]-IGA_BD[[#This Row],[Work Start TimeStamp]])*24)</f>
        <v/>
      </c>
      <c r="Q684" s="57">
        <f>(IGA_BD[[#This Row],[Fault Clearance time]]-IGA_BD[[#This Row],[Fault Start TimeStamp]])*24</f>
        <v>0</v>
      </c>
      <c r="R684" s="153"/>
      <c r="S684" s="44"/>
      <c r="T684" s="45" t="str">
        <f>IFERROR(IGA_BD[[#This Row],[Breakdown Time]]*IGA_BD[[#This Row],[Plant Equivalent Weightage]],"")</f>
        <v/>
      </c>
    </row>
    <row r="685" spans="1:20">
      <c r="A685" s="28"/>
      <c r="B685" s="154"/>
      <c r="C685" s="30">
        <f>YEAR(WTG_BD[[#This Row],[Date]])+IF(MONTH(WTG_BD[[#This Row],[Date]])&gt;=4,1,0)</f>
        <v>2026</v>
      </c>
      <c r="D685" s="31">
        <f>YEAR(IGA_BD[[#This Row],[Date]])</f>
        <v>1900</v>
      </c>
      <c r="E685" s="48">
        <f t="shared" si="13"/>
        <v>1</v>
      </c>
      <c r="F685" s="32"/>
      <c r="G685" s="33"/>
      <c r="H685" s="43" t="str">
        <f>IFERROR(VLOOKUP(IGA_BD[[#This Row],[Affected Feeder ]],'Basic Data'!$A$42:$E$53,2,0),"")</f>
        <v/>
      </c>
      <c r="I685" s="43" t="str">
        <f>IFERROR(VLOOKUP(IGA_BD[[#This Row],[Affected Feeder ]],'Basic Data'!$A$42:$E$53,3,0),"")</f>
        <v/>
      </c>
      <c r="J685" s="43" t="str">
        <f>IFERROR(VLOOKUP(IGA_BD[[#This Row],[Affected Feeder ]],'Basic Data'!$A$42:$E$53,5,0),"")</f>
        <v/>
      </c>
      <c r="K685" s="164"/>
      <c r="L685" s="50"/>
      <c r="M685" s="116"/>
      <c r="N685" s="116"/>
      <c r="O685" s="57">
        <f>(IGA_BD[[#This Row],[Work Start TimeStamp]]-IGA_BD[[#This Row],[Fault Start TimeStamp]])*24</f>
        <v>0</v>
      </c>
      <c r="P685" s="44" t="str">
        <f>IF(IGA_BD[[#This Row],[Work Start TimeStamp]]="","",(IGA_BD[[#This Row],[Fault Clearance time]]-IGA_BD[[#This Row],[Work Start TimeStamp]])*24)</f>
        <v/>
      </c>
      <c r="Q685" s="57">
        <f>(IGA_BD[[#This Row],[Fault Clearance time]]-IGA_BD[[#This Row],[Fault Start TimeStamp]])*24</f>
        <v>0</v>
      </c>
      <c r="R685" s="153"/>
      <c r="S685" s="44"/>
      <c r="T685" s="45" t="str">
        <f>IFERROR(IGA_BD[[#This Row],[Breakdown Time]]*IGA_BD[[#This Row],[Plant Equivalent Weightage]],"")</f>
        <v/>
      </c>
    </row>
    <row r="686" spans="1:20">
      <c r="A686" s="28"/>
      <c r="B686" s="154"/>
      <c r="C686" s="30">
        <f>YEAR(WTG_BD[[#This Row],[Date]])+IF(MONTH(WTG_BD[[#This Row],[Date]])&gt;=4,1,0)</f>
        <v>2026</v>
      </c>
      <c r="D686" s="31">
        <f>YEAR(IGA_BD[[#This Row],[Date]])</f>
        <v>1900</v>
      </c>
      <c r="E686" s="48">
        <f t="shared" si="13"/>
        <v>1</v>
      </c>
      <c r="F686" s="32"/>
      <c r="G686" s="33"/>
      <c r="H686" s="43" t="str">
        <f>IFERROR(VLOOKUP(IGA_BD[[#This Row],[Affected Feeder ]],'Basic Data'!$A$42:$E$53,2,0),"")</f>
        <v/>
      </c>
      <c r="I686" s="43" t="str">
        <f>IFERROR(VLOOKUP(IGA_BD[[#This Row],[Affected Feeder ]],'Basic Data'!$A$42:$E$53,3,0),"")</f>
        <v/>
      </c>
      <c r="J686" s="43" t="str">
        <f>IFERROR(VLOOKUP(IGA_BD[[#This Row],[Affected Feeder ]],'Basic Data'!$A$42:$E$53,5,0),"")</f>
        <v/>
      </c>
      <c r="K686" s="164"/>
      <c r="L686" s="50"/>
      <c r="M686" s="116"/>
      <c r="N686" s="116"/>
      <c r="O686" s="57">
        <f>(IGA_BD[[#This Row],[Work Start TimeStamp]]-IGA_BD[[#This Row],[Fault Start TimeStamp]])*24</f>
        <v>0</v>
      </c>
      <c r="P686" s="44" t="str">
        <f>IF(IGA_BD[[#This Row],[Work Start TimeStamp]]="","",(IGA_BD[[#This Row],[Fault Clearance time]]-IGA_BD[[#This Row],[Work Start TimeStamp]])*24)</f>
        <v/>
      </c>
      <c r="Q686" s="57">
        <f>(IGA_BD[[#This Row],[Fault Clearance time]]-IGA_BD[[#This Row],[Fault Start TimeStamp]])*24</f>
        <v>0</v>
      </c>
      <c r="R686" s="153"/>
      <c r="S686" s="44"/>
      <c r="T686" s="45" t="str">
        <f>IFERROR(IGA_BD[[#This Row],[Breakdown Time]]*IGA_BD[[#This Row],[Plant Equivalent Weightage]],"")</f>
        <v/>
      </c>
    </row>
    <row r="687" spans="1:20">
      <c r="A687" s="28"/>
      <c r="B687" s="154"/>
      <c r="C687" s="30">
        <f>YEAR(WTG_BD[[#This Row],[Date]])+IF(MONTH(WTG_BD[[#This Row],[Date]])&gt;=4,1,0)</f>
        <v>2026</v>
      </c>
      <c r="D687" s="31">
        <f>YEAR(IGA_BD[[#This Row],[Date]])</f>
        <v>1900</v>
      </c>
      <c r="E687" s="48">
        <f t="shared" si="13"/>
        <v>1</v>
      </c>
      <c r="F687" s="32"/>
      <c r="G687" s="33"/>
      <c r="H687" s="43" t="str">
        <f>IFERROR(VLOOKUP(IGA_BD[[#This Row],[Affected Feeder ]],'Basic Data'!$A$42:$E$53,2,0),"")</f>
        <v/>
      </c>
      <c r="I687" s="43" t="str">
        <f>IFERROR(VLOOKUP(IGA_BD[[#This Row],[Affected Feeder ]],'Basic Data'!$A$42:$E$53,3,0),"")</f>
        <v/>
      </c>
      <c r="J687" s="43" t="str">
        <f>IFERROR(VLOOKUP(IGA_BD[[#This Row],[Affected Feeder ]],'Basic Data'!$A$42:$E$53,5,0),"")</f>
        <v/>
      </c>
      <c r="K687" s="164"/>
      <c r="L687" s="50"/>
      <c r="M687" s="116"/>
      <c r="N687" s="116"/>
      <c r="O687" s="57">
        <f>(IGA_BD[[#This Row],[Work Start TimeStamp]]-IGA_BD[[#This Row],[Fault Start TimeStamp]])*24</f>
        <v>0</v>
      </c>
      <c r="P687" s="44" t="str">
        <f>IF(IGA_BD[[#This Row],[Work Start TimeStamp]]="","",(IGA_BD[[#This Row],[Fault Clearance time]]-IGA_BD[[#This Row],[Work Start TimeStamp]])*24)</f>
        <v/>
      </c>
      <c r="Q687" s="57">
        <f>(IGA_BD[[#This Row],[Fault Clearance time]]-IGA_BD[[#This Row],[Fault Start TimeStamp]])*24</f>
        <v>0</v>
      </c>
      <c r="R687" s="153"/>
      <c r="S687" s="44"/>
      <c r="T687" s="45" t="str">
        <f>IFERROR(IGA_BD[[#This Row],[Breakdown Time]]*IGA_BD[[#This Row],[Plant Equivalent Weightage]],"")</f>
        <v/>
      </c>
    </row>
    <row r="688" spans="1:20">
      <c r="A688" s="28"/>
      <c r="B688" s="154"/>
      <c r="C688" s="30">
        <f>YEAR(WTG_BD[[#This Row],[Date]])+IF(MONTH(WTG_BD[[#This Row],[Date]])&gt;=4,1,0)</f>
        <v>2026</v>
      </c>
      <c r="D688" s="31">
        <f>YEAR(IGA_BD[[#This Row],[Date]])</f>
        <v>1900</v>
      </c>
      <c r="E688" s="48">
        <f t="shared" si="13"/>
        <v>1</v>
      </c>
      <c r="F688" s="32"/>
      <c r="G688" s="33"/>
      <c r="H688" s="43" t="str">
        <f>IFERROR(VLOOKUP(IGA_BD[[#This Row],[Affected Feeder ]],'Basic Data'!$A$42:$E$53,2,0),"")</f>
        <v/>
      </c>
      <c r="I688" s="43" t="str">
        <f>IFERROR(VLOOKUP(IGA_BD[[#This Row],[Affected Feeder ]],'Basic Data'!$A$42:$E$53,3,0),"")</f>
        <v/>
      </c>
      <c r="J688" s="43" t="str">
        <f>IFERROR(VLOOKUP(IGA_BD[[#This Row],[Affected Feeder ]],'Basic Data'!$A$42:$E$53,5,0),"")</f>
        <v/>
      </c>
      <c r="K688" s="164"/>
      <c r="L688" s="50"/>
      <c r="M688" s="116"/>
      <c r="N688" s="116"/>
      <c r="O688" s="57">
        <f>(IGA_BD[[#This Row],[Work Start TimeStamp]]-IGA_BD[[#This Row],[Fault Start TimeStamp]])*24</f>
        <v>0</v>
      </c>
      <c r="P688" s="44" t="str">
        <f>IF(IGA_BD[[#This Row],[Work Start TimeStamp]]="","",(IGA_BD[[#This Row],[Fault Clearance time]]-IGA_BD[[#This Row],[Work Start TimeStamp]])*24)</f>
        <v/>
      </c>
      <c r="Q688" s="57">
        <f>(IGA_BD[[#This Row],[Fault Clearance time]]-IGA_BD[[#This Row],[Fault Start TimeStamp]])*24</f>
        <v>0</v>
      </c>
      <c r="R688" s="153"/>
      <c r="S688" s="44"/>
      <c r="T688" s="45" t="str">
        <f>IFERROR(IGA_BD[[#This Row],[Breakdown Time]]*IGA_BD[[#This Row],[Plant Equivalent Weightage]],"")</f>
        <v/>
      </c>
    </row>
    <row r="689" spans="1:20">
      <c r="A689" s="28"/>
      <c r="B689" s="154"/>
      <c r="C689" s="30">
        <f>YEAR(WTG_BD[[#This Row],[Date]])+IF(MONTH(WTG_BD[[#This Row],[Date]])&gt;=4,1,0)</f>
        <v>2026</v>
      </c>
      <c r="D689" s="31">
        <f>YEAR(IGA_BD[[#This Row],[Date]])</f>
        <v>1900</v>
      </c>
      <c r="E689" s="48">
        <f t="shared" si="13"/>
        <v>1</v>
      </c>
      <c r="F689" s="32"/>
      <c r="G689" s="33"/>
      <c r="H689" s="43" t="str">
        <f>IFERROR(VLOOKUP(IGA_BD[[#This Row],[Affected Feeder ]],'Basic Data'!$A$42:$E$53,2,0),"")</f>
        <v/>
      </c>
      <c r="I689" s="43" t="str">
        <f>IFERROR(VLOOKUP(IGA_BD[[#This Row],[Affected Feeder ]],'Basic Data'!$A$42:$E$53,3,0),"")</f>
        <v/>
      </c>
      <c r="J689" s="43" t="str">
        <f>IFERROR(VLOOKUP(IGA_BD[[#This Row],[Affected Feeder ]],'Basic Data'!$A$42:$E$53,5,0),"")</f>
        <v/>
      </c>
      <c r="K689" s="164"/>
      <c r="L689" s="50"/>
      <c r="M689" s="116"/>
      <c r="N689" s="116"/>
      <c r="O689" s="57">
        <f>(IGA_BD[[#This Row],[Work Start TimeStamp]]-IGA_BD[[#This Row],[Fault Start TimeStamp]])*24</f>
        <v>0</v>
      </c>
      <c r="P689" s="44" t="str">
        <f>IF(IGA_BD[[#This Row],[Work Start TimeStamp]]="","",(IGA_BD[[#This Row],[Fault Clearance time]]-IGA_BD[[#This Row],[Work Start TimeStamp]])*24)</f>
        <v/>
      </c>
      <c r="Q689" s="57">
        <f>(IGA_BD[[#This Row],[Fault Clearance time]]-IGA_BD[[#This Row],[Fault Start TimeStamp]])*24</f>
        <v>0</v>
      </c>
      <c r="R689" s="153"/>
      <c r="S689" s="44"/>
      <c r="T689" s="45" t="str">
        <f>IFERROR(IGA_BD[[#This Row],[Breakdown Time]]*IGA_BD[[#This Row],[Plant Equivalent Weightage]],"")</f>
        <v/>
      </c>
    </row>
    <row r="690" spans="1:20">
      <c r="A690" s="28"/>
      <c r="B690" s="154"/>
      <c r="C690" s="30">
        <f>YEAR(WTG_BD[[#This Row],[Date]])+IF(MONTH(WTG_BD[[#This Row],[Date]])&gt;=4,1,0)</f>
        <v>2026</v>
      </c>
      <c r="D690" s="31">
        <f>YEAR(IGA_BD[[#This Row],[Date]])</f>
        <v>1900</v>
      </c>
      <c r="E690" s="48">
        <f t="shared" si="13"/>
        <v>1</v>
      </c>
      <c r="F690" s="32"/>
      <c r="G690" s="33"/>
      <c r="H690" s="43" t="str">
        <f>IFERROR(VLOOKUP(IGA_BD[[#This Row],[Affected Feeder ]],'Basic Data'!$A$42:$E$53,2,0),"")</f>
        <v/>
      </c>
      <c r="I690" s="43" t="str">
        <f>IFERROR(VLOOKUP(IGA_BD[[#This Row],[Affected Feeder ]],'Basic Data'!$A$42:$E$53,3,0),"")</f>
        <v/>
      </c>
      <c r="J690" s="43" t="str">
        <f>IFERROR(VLOOKUP(IGA_BD[[#This Row],[Affected Feeder ]],'Basic Data'!$A$42:$E$53,5,0),"")</f>
        <v/>
      </c>
      <c r="K690" s="164"/>
      <c r="L690" s="50"/>
      <c r="M690" s="116"/>
      <c r="N690" s="116"/>
      <c r="O690" s="57">
        <f>(IGA_BD[[#This Row],[Work Start TimeStamp]]-IGA_BD[[#This Row],[Fault Start TimeStamp]])*24</f>
        <v>0</v>
      </c>
      <c r="P690" s="44" t="str">
        <f>IF(IGA_BD[[#This Row],[Work Start TimeStamp]]="","",(IGA_BD[[#This Row],[Fault Clearance time]]-IGA_BD[[#This Row],[Work Start TimeStamp]])*24)</f>
        <v/>
      </c>
      <c r="Q690" s="57">
        <f>(IGA_BD[[#This Row],[Fault Clearance time]]-IGA_BD[[#This Row],[Fault Start TimeStamp]])*24</f>
        <v>0</v>
      </c>
      <c r="R690" s="153"/>
      <c r="S690" s="44"/>
      <c r="T690" s="45" t="str">
        <f>IFERROR(IGA_BD[[#This Row],[Breakdown Time]]*IGA_BD[[#This Row],[Plant Equivalent Weightage]],"")</f>
        <v/>
      </c>
    </row>
    <row r="691" spans="1:20">
      <c r="A691" s="28"/>
      <c r="B691" s="154"/>
      <c r="C691" s="30">
        <f>YEAR(WTG_BD[[#This Row],[Date]])+IF(MONTH(WTG_BD[[#This Row],[Date]])&gt;=4,1,0)</f>
        <v>2026</v>
      </c>
      <c r="D691" s="31">
        <f>YEAR(IGA_BD[[#This Row],[Date]])</f>
        <v>1900</v>
      </c>
      <c r="E691" s="48">
        <f t="shared" si="13"/>
        <v>1</v>
      </c>
      <c r="F691" s="32"/>
      <c r="G691" s="33"/>
      <c r="H691" s="43" t="str">
        <f>IFERROR(VLOOKUP(IGA_BD[[#This Row],[Affected Feeder ]],'Basic Data'!$A$42:$E$53,2,0),"")</f>
        <v/>
      </c>
      <c r="I691" s="43" t="str">
        <f>IFERROR(VLOOKUP(IGA_BD[[#This Row],[Affected Feeder ]],'Basic Data'!$A$42:$E$53,3,0),"")</f>
        <v/>
      </c>
      <c r="J691" s="43" t="str">
        <f>IFERROR(VLOOKUP(IGA_BD[[#This Row],[Affected Feeder ]],'Basic Data'!$A$42:$E$53,5,0),"")</f>
        <v/>
      </c>
      <c r="K691" s="164"/>
      <c r="L691" s="50"/>
      <c r="M691" s="116"/>
      <c r="N691" s="116"/>
      <c r="O691" s="57">
        <f>(IGA_BD[[#This Row],[Work Start TimeStamp]]-IGA_BD[[#This Row],[Fault Start TimeStamp]])*24</f>
        <v>0</v>
      </c>
      <c r="P691" s="44" t="str">
        <f>IF(IGA_BD[[#This Row],[Work Start TimeStamp]]="","",(IGA_BD[[#This Row],[Fault Clearance time]]-IGA_BD[[#This Row],[Work Start TimeStamp]])*24)</f>
        <v/>
      </c>
      <c r="Q691" s="57">
        <f>(IGA_BD[[#This Row],[Fault Clearance time]]-IGA_BD[[#This Row],[Fault Start TimeStamp]])*24</f>
        <v>0</v>
      </c>
      <c r="R691" s="153"/>
      <c r="S691" s="44"/>
      <c r="T691" s="45" t="str">
        <f>IFERROR(IGA_BD[[#This Row],[Breakdown Time]]*IGA_BD[[#This Row],[Plant Equivalent Weightage]],"")</f>
        <v/>
      </c>
    </row>
    <row r="692" spans="1:20">
      <c r="A692" s="28"/>
      <c r="B692" s="154"/>
      <c r="C692" s="30">
        <f>YEAR(WTG_BD[[#This Row],[Date]])+IF(MONTH(WTG_BD[[#This Row],[Date]])&gt;=4,1,0)</f>
        <v>2026</v>
      </c>
      <c r="D692" s="31">
        <f>YEAR(IGA_BD[[#This Row],[Date]])</f>
        <v>1900</v>
      </c>
      <c r="E692" s="48">
        <f t="shared" si="13"/>
        <v>1</v>
      </c>
      <c r="F692" s="32"/>
      <c r="G692" s="33"/>
      <c r="H692" s="43" t="str">
        <f>IFERROR(VLOOKUP(IGA_BD[[#This Row],[Affected Feeder ]],'Basic Data'!$A$42:$E$53,2,0),"")</f>
        <v/>
      </c>
      <c r="I692" s="43" t="str">
        <f>IFERROR(VLOOKUP(IGA_BD[[#This Row],[Affected Feeder ]],'Basic Data'!$A$42:$E$53,3,0),"")</f>
        <v/>
      </c>
      <c r="J692" s="43" t="str">
        <f>IFERROR(VLOOKUP(IGA_BD[[#This Row],[Affected Feeder ]],'Basic Data'!$A$42:$E$53,5,0),"")</f>
        <v/>
      </c>
      <c r="K692" s="164"/>
      <c r="L692" s="50"/>
      <c r="M692" s="116"/>
      <c r="N692" s="116"/>
      <c r="O692" s="57">
        <f>(IGA_BD[[#This Row],[Work Start TimeStamp]]-IGA_BD[[#This Row],[Fault Start TimeStamp]])*24</f>
        <v>0</v>
      </c>
      <c r="P692" s="44" t="str">
        <f>IF(IGA_BD[[#This Row],[Work Start TimeStamp]]="","",(IGA_BD[[#This Row],[Fault Clearance time]]-IGA_BD[[#This Row],[Work Start TimeStamp]])*24)</f>
        <v/>
      </c>
      <c r="Q692" s="57">
        <f>(IGA_BD[[#This Row],[Fault Clearance time]]-IGA_BD[[#This Row],[Fault Start TimeStamp]])*24</f>
        <v>0</v>
      </c>
      <c r="R692" s="153"/>
      <c r="S692" s="44"/>
      <c r="T692" s="45" t="str">
        <f>IFERROR(IGA_BD[[#This Row],[Breakdown Time]]*IGA_BD[[#This Row],[Plant Equivalent Weightage]],"")</f>
        <v/>
      </c>
    </row>
    <row r="693" spans="1:20">
      <c r="A693" s="28"/>
      <c r="B693" s="154"/>
      <c r="C693" s="30">
        <f>YEAR(WTG_BD[[#This Row],[Date]])+IF(MONTH(WTG_BD[[#This Row],[Date]])&gt;=4,1,0)</f>
        <v>2026</v>
      </c>
      <c r="D693" s="31">
        <f>YEAR(IGA_BD[[#This Row],[Date]])</f>
        <v>1900</v>
      </c>
      <c r="E693" s="48">
        <f t="shared" si="13"/>
        <v>1</v>
      </c>
      <c r="F693" s="32"/>
      <c r="G693" s="33"/>
      <c r="H693" s="43" t="str">
        <f>IFERROR(VLOOKUP(IGA_BD[[#This Row],[Affected Feeder ]],'Basic Data'!$A$42:$E$53,2,0),"")</f>
        <v/>
      </c>
      <c r="I693" s="43" t="str">
        <f>IFERROR(VLOOKUP(IGA_BD[[#This Row],[Affected Feeder ]],'Basic Data'!$A$42:$E$53,3,0),"")</f>
        <v/>
      </c>
      <c r="J693" s="43" t="str">
        <f>IFERROR(VLOOKUP(IGA_BD[[#This Row],[Affected Feeder ]],'Basic Data'!$A$42:$E$53,5,0),"")</f>
        <v/>
      </c>
      <c r="K693" s="164"/>
      <c r="L693" s="50"/>
      <c r="M693" s="116"/>
      <c r="N693" s="116"/>
      <c r="O693" s="57">
        <f>(IGA_BD[[#This Row],[Work Start TimeStamp]]-IGA_BD[[#This Row],[Fault Start TimeStamp]])*24</f>
        <v>0</v>
      </c>
      <c r="P693" s="44" t="str">
        <f>IF(IGA_BD[[#This Row],[Work Start TimeStamp]]="","",(IGA_BD[[#This Row],[Fault Clearance time]]-IGA_BD[[#This Row],[Work Start TimeStamp]])*24)</f>
        <v/>
      </c>
      <c r="Q693" s="57">
        <f>(IGA_BD[[#This Row],[Fault Clearance time]]-IGA_BD[[#This Row],[Fault Start TimeStamp]])*24</f>
        <v>0</v>
      </c>
      <c r="R693" s="153"/>
      <c r="S693" s="44"/>
      <c r="T693" s="45" t="str">
        <f>IFERROR(IGA_BD[[#This Row],[Breakdown Time]]*IGA_BD[[#This Row],[Plant Equivalent Weightage]],"")</f>
        <v/>
      </c>
    </row>
    <row r="694" spans="1:20">
      <c r="A694" s="28"/>
      <c r="B694" s="154"/>
      <c r="C694" s="30">
        <f>YEAR(WTG_BD[[#This Row],[Date]])+IF(MONTH(WTG_BD[[#This Row],[Date]])&gt;=4,1,0)</f>
        <v>2026</v>
      </c>
      <c r="D694" s="31">
        <f>YEAR(IGA_BD[[#This Row],[Date]])</f>
        <v>1900</v>
      </c>
      <c r="E694" s="48">
        <f t="shared" si="13"/>
        <v>1</v>
      </c>
      <c r="F694" s="32"/>
      <c r="G694" s="33"/>
      <c r="H694" s="43" t="str">
        <f>IFERROR(VLOOKUP(IGA_BD[[#This Row],[Affected Feeder ]],'Basic Data'!$A$42:$E$53,2,0),"")</f>
        <v/>
      </c>
      <c r="I694" s="43" t="str">
        <f>IFERROR(VLOOKUP(IGA_BD[[#This Row],[Affected Feeder ]],'Basic Data'!$A$42:$E$53,3,0),"")</f>
        <v/>
      </c>
      <c r="J694" s="43" t="str">
        <f>IFERROR(VLOOKUP(IGA_BD[[#This Row],[Affected Feeder ]],'Basic Data'!$A$42:$E$53,5,0),"")</f>
        <v/>
      </c>
      <c r="K694" s="164"/>
      <c r="L694" s="50"/>
      <c r="M694" s="116"/>
      <c r="N694" s="116"/>
      <c r="O694" s="57">
        <f>(IGA_BD[[#This Row],[Work Start TimeStamp]]-IGA_BD[[#This Row],[Fault Start TimeStamp]])*24</f>
        <v>0</v>
      </c>
      <c r="P694" s="44" t="str">
        <f>IF(IGA_BD[[#This Row],[Work Start TimeStamp]]="","",(IGA_BD[[#This Row],[Fault Clearance time]]-IGA_BD[[#This Row],[Work Start TimeStamp]])*24)</f>
        <v/>
      </c>
      <c r="Q694" s="57">
        <f>(IGA_BD[[#This Row],[Fault Clearance time]]-IGA_BD[[#This Row],[Fault Start TimeStamp]])*24</f>
        <v>0</v>
      </c>
      <c r="R694" s="153"/>
      <c r="S694" s="44"/>
      <c r="T694" s="45" t="str">
        <f>IFERROR(IGA_BD[[#This Row],[Breakdown Time]]*IGA_BD[[#This Row],[Plant Equivalent Weightage]],"")</f>
        <v/>
      </c>
    </row>
    <row r="695" spans="1:20">
      <c r="A695" s="28"/>
      <c r="B695" s="154"/>
      <c r="C695" s="30">
        <f>YEAR(WTG_BD[[#This Row],[Date]])+IF(MONTH(WTG_BD[[#This Row],[Date]])&gt;=4,1,0)</f>
        <v>2026</v>
      </c>
      <c r="D695" s="31">
        <f>YEAR(IGA_BD[[#This Row],[Date]])</f>
        <v>1900</v>
      </c>
      <c r="E695" s="48">
        <f t="shared" si="13"/>
        <v>1</v>
      </c>
      <c r="F695" s="32"/>
      <c r="G695" s="33"/>
      <c r="H695" s="43" t="str">
        <f>IFERROR(VLOOKUP(IGA_BD[[#This Row],[Affected Feeder ]],'Basic Data'!$A$42:$E$53,2,0),"")</f>
        <v/>
      </c>
      <c r="I695" s="43" t="str">
        <f>IFERROR(VLOOKUP(IGA_BD[[#This Row],[Affected Feeder ]],'Basic Data'!$A$42:$E$53,3,0),"")</f>
        <v/>
      </c>
      <c r="J695" s="43" t="str">
        <f>IFERROR(VLOOKUP(IGA_BD[[#This Row],[Affected Feeder ]],'Basic Data'!$A$42:$E$53,5,0),"")</f>
        <v/>
      </c>
      <c r="K695" s="164"/>
      <c r="L695" s="50"/>
      <c r="M695" s="116"/>
      <c r="N695" s="116"/>
      <c r="O695" s="57">
        <f>(IGA_BD[[#This Row],[Work Start TimeStamp]]-IGA_BD[[#This Row],[Fault Start TimeStamp]])*24</f>
        <v>0</v>
      </c>
      <c r="P695" s="44" t="str">
        <f>IF(IGA_BD[[#This Row],[Work Start TimeStamp]]="","",(IGA_BD[[#This Row],[Fault Clearance time]]-IGA_BD[[#This Row],[Work Start TimeStamp]])*24)</f>
        <v/>
      </c>
      <c r="Q695" s="57">
        <f>(IGA_BD[[#This Row],[Fault Clearance time]]-IGA_BD[[#This Row],[Fault Start TimeStamp]])*24</f>
        <v>0</v>
      </c>
      <c r="R695" s="153"/>
      <c r="S695" s="44"/>
      <c r="T695" s="45" t="str">
        <f>IFERROR(IGA_BD[[#This Row],[Breakdown Time]]*IGA_BD[[#This Row],[Plant Equivalent Weightage]],"")</f>
        <v/>
      </c>
    </row>
    <row r="696" spans="1:20">
      <c r="A696" s="28"/>
      <c r="B696" s="154"/>
      <c r="C696" s="30">
        <f>YEAR(WTG_BD[[#This Row],[Date]])+IF(MONTH(WTG_BD[[#This Row],[Date]])&gt;=4,1,0)</f>
        <v>2026</v>
      </c>
      <c r="D696" s="31">
        <f>YEAR(IGA_BD[[#This Row],[Date]])</f>
        <v>1900</v>
      </c>
      <c r="E696" s="48">
        <f t="shared" si="13"/>
        <v>1</v>
      </c>
      <c r="F696" s="32"/>
      <c r="G696" s="33"/>
      <c r="H696" s="43" t="str">
        <f>IFERROR(VLOOKUP(IGA_BD[[#This Row],[Affected Feeder ]],'Basic Data'!$A$42:$E$53,2,0),"")</f>
        <v/>
      </c>
      <c r="I696" s="43" t="str">
        <f>IFERROR(VLOOKUP(IGA_BD[[#This Row],[Affected Feeder ]],'Basic Data'!$A$42:$E$53,3,0),"")</f>
        <v/>
      </c>
      <c r="J696" s="43" t="str">
        <f>IFERROR(VLOOKUP(IGA_BD[[#This Row],[Affected Feeder ]],'Basic Data'!$A$42:$E$53,5,0),"")</f>
        <v/>
      </c>
      <c r="K696" s="164"/>
      <c r="L696" s="50"/>
      <c r="M696" s="116"/>
      <c r="N696" s="116"/>
      <c r="O696" s="57">
        <f>(IGA_BD[[#This Row],[Work Start TimeStamp]]-IGA_BD[[#This Row],[Fault Start TimeStamp]])*24</f>
        <v>0</v>
      </c>
      <c r="P696" s="44" t="str">
        <f>IF(IGA_BD[[#This Row],[Work Start TimeStamp]]="","",(IGA_BD[[#This Row],[Fault Clearance time]]-IGA_BD[[#This Row],[Work Start TimeStamp]])*24)</f>
        <v/>
      </c>
      <c r="Q696" s="57">
        <f>(IGA_BD[[#This Row],[Fault Clearance time]]-IGA_BD[[#This Row],[Fault Start TimeStamp]])*24</f>
        <v>0</v>
      </c>
      <c r="R696" s="153"/>
      <c r="S696" s="44"/>
      <c r="T696" s="45" t="str">
        <f>IFERROR(IGA_BD[[#This Row],[Breakdown Time]]*IGA_BD[[#This Row],[Plant Equivalent Weightage]],"")</f>
        <v/>
      </c>
    </row>
    <row r="697" spans="1:20">
      <c r="A697" s="28"/>
      <c r="B697" s="154"/>
      <c r="C697" s="30">
        <f>YEAR(WTG_BD[[#This Row],[Date]])+IF(MONTH(WTG_BD[[#This Row],[Date]])&gt;=4,1,0)</f>
        <v>2026</v>
      </c>
      <c r="D697" s="31">
        <f>YEAR(IGA_BD[[#This Row],[Date]])</f>
        <v>1900</v>
      </c>
      <c r="E697" s="48">
        <f t="shared" si="13"/>
        <v>1</v>
      </c>
      <c r="F697" s="32"/>
      <c r="G697" s="33"/>
      <c r="H697" s="43" t="str">
        <f>IFERROR(VLOOKUP(IGA_BD[[#This Row],[Affected Feeder ]],'Basic Data'!$A$42:$E$53,2,0),"")</f>
        <v/>
      </c>
      <c r="I697" s="43" t="str">
        <f>IFERROR(VLOOKUP(IGA_BD[[#This Row],[Affected Feeder ]],'Basic Data'!$A$42:$E$53,3,0),"")</f>
        <v/>
      </c>
      <c r="J697" s="43" t="str">
        <f>IFERROR(VLOOKUP(IGA_BD[[#This Row],[Affected Feeder ]],'Basic Data'!$A$42:$E$53,5,0),"")</f>
        <v/>
      </c>
      <c r="K697" s="164"/>
      <c r="L697" s="50"/>
      <c r="M697" s="116"/>
      <c r="N697" s="116"/>
      <c r="O697" s="57">
        <f>(IGA_BD[[#This Row],[Work Start TimeStamp]]-IGA_BD[[#This Row],[Fault Start TimeStamp]])*24</f>
        <v>0</v>
      </c>
      <c r="P697" s="44" t="str">
        <f>IF(IGA_BD[[#This Row],[Work Start TimeStamp]]="","",(IGA_BD[[#This Row],[Fault Clearance time]]-IGA_BD[[#This Row],[Work Start TimeStamp]])*24)</f>
        <v/>
      </c>
      <c r="Q697" s="57">
        <f>(IGA_BD[[#This Row],[Fault Clearance time]]-IGA_BD[[#This Row],[Fault Start TimeStamp]])*24</f>
        <v>0</v>
      </c>
      <c r="R697" s="153"/>
      <c r="S697" s="44"/>
      <c r="T697" s="45" t="str">
        <f>IFERROR(IGA_BD[[#This Row],[Breakdown Time]]*IGA_BD[[#This Row],[Plant Equivalent Weightage]],"")</f>
        <v/>
      </c>
    </row>
    <row r="698" spans="1:20">
      <c r="A698" s="28"/>
      <c r="B698" s="154"/>
      <c r="C698" s="30">
        <f>YEAR(WTG_BD[[#This Row],[Date]])+IF(MONTH(WTG_BD[[#This Row],[Date]])&gt;=4,1,0)</f>
        <v>2026</v>
      </c>
      <c r="D698" s="31">
        <f>YEAR(IGA_BD[[#This Row],[Date]])</f>
        <v>1900</v>
      </c>
      <c r="E698" s="48">
        <f t="shared" si="13"/>
        <v>1</v>
      </c>
      <c r="F698" s="32"/>
      <c r="G698" s="33"/>
      <c r="H698" s="43" t="str">
        <f>IFERROR(VLOOKUP(IGA_BD[[#This Row],[Affected Feeder ]],'Basic Data'!$A$42:$E$53,2,0),"")</f>
        <v/>
      </c>
      <c r="I698" s="43" t="str">
        <f>IFERROR(VLOOKUP(IGA_BD[[#This Row],[Affected Feeder ]],'Basic Data'!$A$42:$E$53,3,0),"")</f>
        <v/>
      </c>
      <c r="J698" s="43" t="str">
        <f>IFERROR(VLOOKUP(IGA_BD[[#This Row],[Affected Feeder ]],'Basic Data'!$A$42:$E$53,5,0),"")</f>
        <v/>
      </c>
      <c r="K698" s="164"/>
      <c r="L698" s="50"/>
      <c r="M698" s="116"/>
      <c r="N698" s="116"/>
      <c r="O698" s="57">
        <f>(IGA_BD[[#This Row],[Work Start TimeStamp]]-IGA_BD[[#This Row],[Fault Start TimeStamp]])*24</f>
        <v>0</v>
      </c>
      <c r="P698" s="44" t="str">
        <f>IF(IGA_BD[[#This Row],[Work Start TimeStamp]]="","",(IGA_BD[[#This Row],[Fault Clearance time]]-IGA_BD[[#This Row],[Work Start TimeStamp]])*24)</f>
        <v/>
      </c>
      <c r="Q698" s="57">
        <f>(IGA_BD[[#This Row],[Fault Clearance time]]-IGA_BD[[#This Row],[Fault Start TimeStamp]])*24</f>
        <v>0</v>
      </c>
      <c r="R698" s="153"/>
      <c r="S698" s="44"/>
      <c r="T698" s="45" t="str">
        <f>IFERROR(IGA_BD[[#This Row],[Breakdown Time]]*IGA_BD[[#This Row],[Plant Equivalent Weightage]],"")</f>
        <v/>
      </c>
    </row>
    <row r="699" spans="1:20">
      <c r="A699" s="28"/>
      <c r="B699" s="154"/>
      <c r="C699" s="30">
        <f>YEAR(WTG_BD[[#This Row],[Date]])+IF(MONTH(WTG_BD[[#This Row],[Date]])&gt;=4,1,0)</f>
        <v>2026</v>
      </c>
      <c r="D699" s="31">
        <f>YEAR(IGA_BD[[#This Row],[Date]])</f>
        <v>1900</v>
      </c>
      <c r="E699" s="48">
        <f t="shared" si="13"/>
        <v>1</v>
      </c>
      <c r="F699" s="32"/>
      <c r="G699" s="33"/>
      <c r="H699" s="43" t="str">
        <f>IFERROR(VLOOKUP(IGA_BD[[#This Row],[Affected Feeder ]],'Basic Data'!$A$42:$E$53,2,0),"")</f>
        <v/>
      </c>
      <c r="I699" s="43" t="str">
        <f>IFERROR(VLOOKUP(IGA_BD[[#This Row],[Affected Feeder ]],'Basic Data'!$A$42:$E$53,3,0),"")</f>
        <v/>
      </c>
      <c r="J699" s="43" t="str">
        <f>IFERROR(VLOOKUP(IGA_BD[[#This Row],[Affected Feeder ]],'Basic Data'!$A$42:$E$53,5,0),"")</f>
        <v/>
      </c>
      <c r="K699" s="164"/>
      <c r="L699" s="50"/>
      <c r="M699" s="116"/>
      <c r="N699" s="116"/>
      <c r="O699" s="57">
        <f>(IGA_BD[[#This Row],[Work Start TimeStamp]]-IGA_BD[[#This Row],[Fault Start TimeStamp]])*24</f>
        <v>0</v>
      </c>
      <c r="P699" s="44" t="str">
        <f>IF(IGA_BD[[#This Row],[Work Start TimeStamp]]="","",(IGA_BD[[#This Row],[Fault Clearance time]]-IGA_BD[[#This Row],[Work Start TimeStamp]])*24)</f>
        <v/>
      </c>
      <c r="Q699" s="57">
        <f>(IGA_BD[[#This Row],[Fault Clearance time]]-IGA_BD[[#This Row],[Fault Start TimeStamp]])*24</f>
        <v>0</v>
      </c>
      <c r="R699" s="153"/>
      <c r="S699" s="44"/>
      <c r="T699" s="45" t="str">
        <f>IFERROR(IGA_BD[[#This Row],[Breakdown Time]]*IGA_BD[[#This Row],[Plant Equivalent Weightage]],"")</f>
        <v/>
      </c>
    </row>
    <row r="700" spans="1:20">
      <c r="A700" s="28"/>
      <c r="B700" s="154"/>
      <c r="C700" s="30">
        <f>YEAR(WTG_BD[[#This Row],[Date]])+IF(MONTH(WTG_BD[[#This Row],[Date]])&gt;=4,1,0)</f>
        <v>2026</v>
      </c>
      <c r="D700" s="31">
        <f>YEAR(IGA_BD[[#This Row],[Date]])</f>
        <v>1900</v>
      </c>
      <c r="E700" s="48">
        <f t="shared" si="13"/>
        <v>1</v>
      </c>
      <c r="F700" s="32"/>
      <c r="G700" s="33"/>
      <c r="H700" s="43" t="str">
        <f>IFERROR(VLOOKUP(IGA_BD[[#This Row],[Affected Feeder ]],'Basic Data'!$A$42:$E$53,2,0),"")</f>
        <v/>
      </c>
      <c r="I700" s="43" t="str">
        <f>IFERROR(VLOOKUP(IGA_BD[[#This Row],[Affected Feeder ]],'Basic Data'!$A$42:$E$53,3,0),"")</f>
        <v/>
      </c>
      <c r="J700" s="43" t="str">
        <f>IFERROR(VLOOKUP(IGA_BD[[#This Row],[Affected Feeder ]],'Basic Data'!$A$42:$E$53,5,0),"")</f>
        <v/>
      </c>
      <c r="K700" s="164"/>
      <c r="L700" s="50"/>
      <c r="M700" s="116"/>
      <c r="N700" s="116"/>
      <c r="O700" s="57">
        <f>(IGA_BD[[#This Row],[Work Start TimeStamp]]-IGA_BD[[#This Row],[Fault Start TimeStamp]])*24</f>
        <v>0</v>
      </c>
      <c r="P700" s="44" t="str">
        <f>IF(IGA_BD[[#This Row],[Work Start TimeStamp]]="","",(IGA_BD[[#This Row],[Fault Clearance time]]-IGA_BD[[#This Row],[Work Start TimeStamp]])*24)</f>
        <v/>
      </c>
      <c r="Q700" s="57">
        <f>(IGA_BD[[#This Row],[Fault Clearance time]]-IGA_BD[[#This Row],[Fault Start TimeStamp]])*24</f>
        <v>0</v>
      </c>
      <c r="R700" s="153"/>
      <c r="S700" s="44"/>
      <c r="T700" s="45" t="str">
        <f>IFERROR(IGA_BD[[#This Row],[Breakdown Time]]*IGA_BD[[#This Row],[Plant Equivalent Weightage]],"")</f>
        <v/>
      </c>
    </row>
    <row r="701" spans="1:20">
      <c r="A701" s="28"/>
      <c r="B701" s="154"/>
      <c r="C701" s="30">
        <f>YEAR(WTG_BD[[#This Row],[Date]])+IF(MONTH(WTG_BD[[#This Row],[Date]])&gt;=4,1,0)</f>
        <v>2026</v>
      </c>
      <c r="D701" s="31">
        <f>YEAR(IGA_BD[[#This Row],[Date]])</f>
        <v>1900</v>
      </c>
      <c r="E701" s="48">
        <f t="shared" si="13"/>
        <v>1</v>
      </c>
      <c r="F701" s="32"/>
      <c r="G701" s="33"/>
      <c r="H701" s="43" t="str">
        <f>IFERROR(VLOOKUP(IGA_BD[[#This Row],[Affected Feeder ]],'Basic Data'!$A$42:$E$53,2,0),"")</f>
        <v/>
      </c>
      <c r="I701" s="43" t="str">
        <f>IFERROR(VLOOKUP(IGA_BD[[#This Row],[Affected Feeder ]],'Basic Data'!$A$42:$E$53,3,0),"")</f>
        <v/>
      </c>
      <c r="J701" s="43" t="str">
        <f>IFERROR(VLOOKUP(IGA_BD[[#This Row],[Affected Feeder ]],'Basic Data'!$A$42:$E$53,5,0),"")</f>
        <v/>
      </c>
      <c r="K701" s="164"/>
      <c r="L701" s="50"/>
      <c r="M701" s="116"/>
      <c r="N701" s="116"/>
      <c r="O701" s="57">
        <f>(IGA_BD[[#This Row],[Work Start TimeStamp]]-IGA_BD[[#This Row],[Fault Start TimeStamp]])*24</f>
        <v>0</v>
      </c>
      <c r="P701" s="44" t="str">
        <f>IF(IGA_BD[[#This Row],[Work Start TimeStamp]]="","",(IGA_BD[[#This Row],[Fault Clearance time]]-IGA_BD[[#This Row],[Work Start TimeStamp]])*24)</f>
        <v/>
      </c>
      <c r="Q701" s="57">
        <f>(IGA_BD[[#This Row],[Fault Clearance time]]-IGA_BD[[#This Row],[Fault Start TimeStamp]])*24</f>
        <v>0</v>
      </c>
      <c r="R701" s="153"/>
      <c r="S701" s="44"/>
      <c r="T701" s="45" t="str">
        <f>IFERROR(IGA_BD[[#This Row],[Breakdown Time]]*IGA_BD[[#This Row],[Plant Equivalent Weightage]],"")</f>
        <v/>
      </c>
    </row>
    <row r="702" spans="1:20">
      <c r="A702" s="28"/>
      <c r="B702" s="154"/>
      <c r="C702" s="30">
        <f>YEAR(WTG_BD[[#This Row],[Date]])+IF(MONTH(WTG_BD[[#This Row],[Date]])&gt;=4,1,0)</f>
        <v>2026</v>
      </c>
      <c r="D702" s="31">
        <f>YEAR(IGA_BD[[#This Row],[Date]])</f>
        <v>1900</v>
      </c>
      <c r="E702" s="48">
        <f t="shared" si="13"/>
        <v>1</v>
      </c>
      <c r="F702" s="32"/>
      <c r="G702" s="33"/>
      <c r="H702" s="43" t="str">
        <f>IFERROR(VLOOKUP(IGA_BD[[#This Row],[Affected Feeder ]],'Basic Data'!$A$42:$E$53,2,0),"")</f>
        <v/>
      </c>
      <c r="I702" s="43" t="str">
        <f>IFERROR(VLOOKUP(IGA_BD[[#This Row],[Affected Feeder ]],'Basic Data'!$A$42:$E$53,3,0),"")</f>
        <v/>
      </c>
      <c r="J702" s="43" t="str">
        <f>IFERROR(VLOOKUP(IGA_BD[[#This Row],[Affected Feeder ]],'Basic Data'!$A$42:$E$53,5,0),"")</f>
        <v/>
      </c>
      <c r="K702" s="164"/>
      <c r="L702" s="50"/>
      <c r="M702" s="116"/>
      <c r="N702" s="116"/>
      <c r="O702" s="57">
        <f>(IGA_BD[[#This Row],[Work Start TimeStamp]]-IGA_BD[[#This Row],[Fault Start TimeStamp]])*24</f>
        <v>0</v>
      </c>
      <c r="P702" s="44" t="str">
        <f>IF(IGA_BD[[#This Row],[Work Start TimeStamp]]="","",(IGA_BD[[#This Row],[Fault Clearance time]]-IGA_BD[[#This Row],[Work Start TimeStamp]])*24)</f>
        <v/>
      </c>
      <c r="Q702" s="57">
        <f>(IGA_BD[[#This Row],[Fault Clearance time]]-IGA_BD[[#This Row],[Fault Start TimeStamp]])*24</f>
        <v>0</v>
      </c>
      <c r="R702" s="153"/>
      <c r="S702" s="44"/>
      <c r="T702" s="45" t="str">
        <f>IFERROR(IGA_BD[[#This Row],[Breakdown Time]]*IGA_BD[[#This Row],[Plant Equivalent Weightage]],"")</f>
        <v/>
      </c>
    </row>
    <row r="703" spans="1:20">
      <c r="A703" s="28"/>
      <c r="B703" s="154"/>
      <c r="C703" s="30">
        <f>YEAR(WTG_BD[[#This Row],[Date]])+IF(MONTH(WTG_BD[[#This Row],[Date]])&gt;=4,1,0)</f>
        <v>2026</v>
      </c>
      <c r="D703" s="31">
        <f>YEAR(IGA_BD[[#This Row],[Date]])</f>
        <v>1900</v>
      </c>
      <c r="E703" s="48">
        <f t="shared" si="13"/>
        <v>1</v>
      </c>
      <c r="F703" s="32"/>
      <c r="G703" s="33"/>
      <c r="H703" s="43" t="str">
        <f>IFERROR(VLOOKUP(IGA_BD[[#This Row],[Affected Feeder ]],'Basic Data'!$A$42:$E$53,2,0),"")</f>
        <v/>
      </c>
      <c r="I703" s="43" t="str">
        <f>IFERROR(VLOOKUP(IGA_BD[[#This Row],[Affected Feeder ]],'Basic Data'!$A$42:$E$53,3,0),"")</f>
        <v/>
      </c>
      <c r="J703" s="43" t="str">
        <f>IFERROR(VLOOKUP(IGA_BD[[#This Row],[Affected Feeder ]],'Basic Data'!$A$42:$E$53,5,0),"")</f>
        <v/>
      </c>
      <c r="K703" s="164"/>
      <c r="L703" s="50"/>
      <c r="M703" s="116"/>
      <c r="N703" s="116"/>
      <c r="O703" s="57">
        <f>(IGA_BD[[#This Row],[Work Start TimeStamp]]-IGA_BD[[#This Row],[Fault Start TimeStamp]])*24</f>
        <v>0</v>
      </c>
      <c r="P703" s="44" t="str">
        <f>IF(IGA_BD[[#This Row],[Work Start TimeStamp]]="","",(IGA_BD[[#This Row],[Fault Clearance time]]-IGA_BD[[#This Row],[Work Start TimeStamp]])*24)</f>
        <v/>
      </c>
      <c r="Q703" s="57">
        <f>(IGA_BD[[#This Row],[Fault Clearance time]]-IGA_BD[[#This Row],[Fault Start TimeStamp]])*24</f>
        <v>0</v>
      </c>
      <c r="R703" s="153"/>
      <c r="S703" s="44"/>
      <c r="T703" s="45" t="str">
        <f>IFERROR(IGA_BD[[#This Row],[Breakdown Time]]*IGA_BD[[#This Row],[Plant Equivalent Weightage]],"")</f>
        <v/>
      </c>
    </row>
    <row r="704" spans="1:20">
      <c r="A704" s="28"/>
      <c r="B704" s="154"/>
      <c r="C704" s="30">
        <f>YEAR(WTG_BD[[#This Row],[Date]])+IF(MONTH(WTG_BD[[#This Row],[Date]])&gt;=4,1,0)</f>
        <v>2026</v>
      </c>
      <c r="D704" s="31">
        <f>YEAR(IGA_BD[[#This Row],[Date]])</f>
        <v>1900</v>
      </c>
      <c r="E704" s="48">
        <f t="shared" si="13"/>
        <v>1</v>
      </c>
      <c r="F704" s="32"/>
      <c r="G704" s="33"/>
      <c r="H704" s="43" t="str">
        <f>IFERROR(VLOOKUP(IGA_BD[[#This Row],[Affected Feeder ]],'Basic Data'!$A$42:$E$53,2,0),"")</f>
        <v/>
      </c>
      <c r="I704" s="43" t="str">
        <f>IFERROR(VLOOKUP(IGA_BD[[#This Row],[Affected Feeder ]],'Basic Data'!$A$42:$E$53,3,0),"")</f>
        <v/>
      </c>
      <c r="J704" s="43" t="str">
        <f>IFERROR(VLOOKUP(IGA_BD[[#This Row],[Affected Feeder ]],'Basic Data'!$A$42:$E$53,5,0),"")</f>
        <v/>
      </c>
      <c r="K704" s="164"/>
      <c r="L704" s="50"/>
      <c r="M704" s="116"/>
      <c r="N704" s="116"/>
      <c r="O704" s="57">
        <f>(IGA_BD[[#This Row],[Work Start TimeStamp]]-IGA_BD[[#This Row],[Fault Start TimeStamp]])*24</f>
        <v>0</v>
      </c>
      <c r="P704" s="44" t="str">
        <f>IF(IGA_BD[[#This Row],[Work Start TimeStamp]]="","",(IGA_BD[[#This Row],[Fault Clearance time]]-IGA_BD[[#This Row],[Work Start TimeStamp]])*24)</f>
        <v/>
      </c>
      <c r="Q704" s="57">
        <f>(IGA_BD[[#This Row],[Fault Clearance time]]-IGA_BD[[#This Row],[Fault Start TimeStamp]])*24</f>
        <v>0</v>
      </c>
      <c r="R704" s="153"/>
      <c r="S704" s="44"/>
      <c r="T704" s="45" t="str">
        <f>IFERROR(IGA_BD[[#This Row],[Breakdown Time]]*IGA_BD[[#This Row],[Plant Equivalent Weightage]],"")</f>
        <v/>
      </c>
    </row>
    <row r="705" spans="1:20">
      <c r="A705" s="28"/>
      <c r="B705" s="154"/>
      <c r="C705" s="30">
        <f>YEAR(WTG_BD[[#This Row],[Date]])+IF(MONTH(WTG_BD[[#This Row],[Date]])&gt;=4,1,0)</f>
        <v>2026</v>
      </c>
      <c r="D705" s="31">
        <f>YEAR(IGA_BD[[#This Row],[Date]])</f>
        <v>1900</v>
      </c>
      <c r="E705" s="48">
        <f t="shared" si="13"/>
        <v>1</v>
      </c>
      <c r="F705" s="32"/>
      <c r="G705" s="33"/>
      <c r="H705" s="43" t="str">
        <f>IFERROR(VLOOKUP(IGA_BD[[#This Row],[Affected Feeder ]],'Basic Data'!$A$42:$E$53,2,0),"")</f>
        <v/>
      </c>
      <c r="I705" s="43" t="str">
        <f>IFERROR(VLOOKUP(IGA_BD[[#This Row],[Affected Feeder ]],'Basic Data'!$A$42:$E$53,3,0),"")</f>
        <v/>
      </c>
      <c r="J705" s="43" t="str">
        <f>IFERROR(VLOOKUP(IGA_BD[[#This Row],[Affected Feeder ]],'Basic Data'!$A$42:$E$53,5,0),"")</f>
        <v/>
      </c>
      <c r="K705" s="164"/>
      <c r="L705" s="50"/>
      <c r="M705" s="116"/>
      <c r="N705" s="116"/>
      <c r="O705" s="57">
        <f>(IGA_BD[[#This Row],[Work Start TimeStamp]]-IGA_BD[[#This Row],[Fault Start TimeStamp]])*24</f>
        <v>0</v>
      </c>
      <c r="P705" s="44" t="str">
        <f>IF(IGA_BD[[#This Row],[Work Start TimeStamp]]="","",(IGA_BD[[#This Row],[Fault Clearance time]]-IGA_BD[[#This Row],[Work Start TimeStamp]])*24)</f>
        <v/>
      </c>
      <c r="Q705" s="57">
        <f>(IGA_BD[[#This Row],[Fault Clearance time]]-IGA_BD[[#This Row],[Fault Start TimeStamp]])*24</f>
        <v>0</v>
      </c>
      <c r="R705" s="153"/>
      <c r="S705" s="44"/>
      <c r="T705" s="45" t="str">
        <f>IFERROR(IGA_BD[[#This Row],[Breakdown Time]]*IGA_BD[[#This Row],[Plant Equivalent Weightage]],"")</f>
        <v/>
      </c>
    </row>
    <row r="706" spans="1:20">
      <c r="A706" s="28"/>
      <c r="B706" s="154"/>
      <c r="C706" s="30">
        <f>YEAR(WTG_BD[[#This Row],[Date]])+IF(MONTH(WTG_BD[[#This Row],[Date]])&gt;=4,1,0)</f>
        <v>2026</v>
      </c>
      <c r="D706" s="31">
        <f>YEAR(IGA_BD[[#This Row],[Date]])</f>
        <v>1900</v>
      </c>
      <c r="E706" s="48">
        <f t="shared" si="13"/>
        <v>1</v>
      </c>
      <c r="F706" s="32"/>
      <c r="G706" s="33"/>
      <c r="H706" s="43" t="str">
        <f>IFERROR(VLOOKUP(IGA_BD[[#This Row],[Affected Feeder ]],'Basic Data'!$A$42:$E$53,2,0),"")</f>
        <v/>
      </c>
      <c r="I706" s="43" t="str">
        <f>IFERROR(VLOOKUP(IGA_BD[[#This Row],[Affected Feeder ]],'Basic Data'!$A$42:$E$53,3,0),"")</f>
        <v/>
      </c>
      <c r="J706" s="43" t="str">
        <f>IFERROR(VLOOKUP(IGA_BD[[#This Row],[Affected Feeder ]],'Basic Data'!$A$42:$E$53,5,0),"")</f>
        <v/>
      </c>
      <c r="K706" s="164"/>
      <c r="L706" s="50"/>
      <c r="M706" s="116"/>
      <c r="N706" s="116"/>
      <c r="O706" s="57">
        <f>(IGA_BD[[#This Row],[Work Start TimeStamp]]-IGA_BD[[#This Row],[Fault Start TimeStamp]])*24</f>
        <v>0</v>
      </c>
      <c r="P706" s="44" t="str">
        <f>IF(IGA_BD[[#This Row],[Work Start TimeStamp]]="","",(IGA_BD[[#This Row],[Fault Clearance time]]-IGA_BD[[#This Row],[Work Start TimeStamp]])*24)</f>
        <v/>
      </c>
      <c r="Q706" s="57">
        <f>(IGA_BD[[#This Row],[Fault Clearance time]]-IGA_BD[[#This Row],[Fault Start TimeStamp]])*24</f>
        <v>0</v>
      </c>
      <c r="R706" s="153"/>
      <c r="S706" s="44"/>
      <c r="T706" s="45" t="str">
        <f>IFERROR(IGA_BD[[#This Row],[Breakdown Time]]*IGA_BD[[#This Row],[Plant Equivalent Weightage]],"")</f>
        <v/>
      </c>
    </row>
    <row r="707" spans="1:20">
      <c r="A707" s="28"/>
      <c r="B707" s="154"/>
      <c r="C707" s="30">
        <f>YEAR(WTG_BD[[#This Row],[Date]])+IF(MONTH(WTG_BD[[#This Row],[Date]])&gt;=4,1,0)</f>
        <v>2026</v>
      </c>
      <c r="D707" s="31">
        <f>YEAR(IGA_BD[[#This Row],[Date]])</f>
        <v>1900</v>
      </c>
      <c r="E707" s="48">
        <f t="shared" si="13"/>
        <v>1</v>
      </c>
      <c r="F707" s="32"/>
      <c r="G707" s="33"/>
      <c r="H707" s="43" t="str">
        <f>IFERROR(VLOOKUP(IGA_BD[[#This Row],[Affected Feeder ]],'Basic Data'!$A$42:$E$53,2,0),"")</f>
        <v/>
      </c>
      <c r="I707" s="43" t="str">
        <f>IFERROR(VLOOKUP(IGA_BD[[#This Row],[Affected Feeder ]],'Basic Data'!$A$42:$E$53,3,0),"")</f>
        <v/>
      </c>
      <c r="J707" s="43" t="str">
        <f>IFERROR(VLOOKUP(IGA_BD[[#This Row],[Affected Feeder ]],'Basic Data'!$A$42:$E$53,5,0),"")</f>
        <v/>
      </c>
      <c r="K707" s="164"/>
      <c r="L707" s="50"/>
      <c r="M707" s="116"/>
      <c r="N707" s="116"/>
      <c r="O707" s="57">
        <f>(IGA_BD[[#This Row],[Work Start TimeStamp]]-IGA_BD[[#This Row],[Fault Start TimeStamp]])*24</f>
        <v>0</v>
      </c>
      <c r="P707" s="44" t="str">
        <f>IF(IGA_BD[[#This Row],[Work Start TimeStamp]]="","",(IGA_BD[[#This Row],[Fault Clearance time]]-IGA_BD[[#This Row],[Work Start TimeStamp]])*24)</f>
        <v/>
      </c>
      <c r="Q707" s="57">
        <f>(IGA_BD[[#This Row],[Fault Clearance time]]-IGA_BD[[#This Row],[Fault Start TimeStamp]])*24</f>
        <v>0</v>
      </c>
      <c r="R707" s="153"/>
      <c r="S707" s="44"/>
      <c r="T707" s="45" t="str">
        <f>IFERROR(IGA_BD[[#This Row],[Breakdown Time]]*IGA_BD[[#This Row],[Plant Equivalent Weightage]],"")</f>
        <v/>
      </c>
    </row>
    <row r="708" spans="1:20">
      <c r="A708" s="28"/>
      <c r="B708" s="154"/>
      <c r="C708" s="30">
        <f>YEAR(WTG_BD[[#This Row],[Date]])+IF(MONTH(WTG_BD[[#This Row],[Date]])&gt;=4,1,0)</f>
        <v>2026</v>
      </c>
      <c r="D708" s="31">
        <f>YEAR(IGA_BD[[#This Row],[Date]])</f>
        <v>1900</v>
      </c>
      <c r="E708" s="48">
        <f t="shared" si="13"/>
        <v>1</v>
      </c>
      <c r="F708" s="32"/>
      <c r="G708" s="33"/>
      <c r="H708" s="43" t="str">
        <f>IFERROR(VLOOKUP(IGA_BD[[#This Row],[Affected Feeder ]],'Basic Data'!$A$42:$E$53,2,0),"")</f>
        <v/>
      </c>
      <c r="I708" s="43" t="str">
        <f>IFERROR(VLOOKUP(IGA_BD[[#This Row],[Affected Feeder ]],'Basic Data'!$A$42:$E$53,3,0),"")</f>
        <v/>
      </c>
      <c r="J708" s="43" t="str">
        <f>IFERROR(VLOOKUP(IGA_BD[[#This Row],[Affected Feeder ]],'Basic Data'!$A$42:$E$53,5,0),"")</f>
        <v/>
      </c>
      <c r="K708" s="164"/>
      <c r="L708" s="50"/>
      <c r="M708" s="116"/>
      <c r="N708" s="116"/>
      <c r="O708" s="57">
        <f>(IGA_BD[[#This Row],[Work Start TimeStamp]]-IGA_BD[[#This Row],[Fault Start TimeStamp]])*24</f>
        <v>0</v>
      </c>
      <c r="P708" s="44" t="str">
        <f>IF(IGA_BD[[#This Row],[Work Start TimeStamp]]="","",(IGA_BD[[#This Row],[Fault Clearance time]]-IGA_BD[[#This Row],[Work Start TimeStamp]])*24)</f>
        <v/>
      </c>
      <c r="Q708" s="57">
        <f>(IGA_BD[[#This Row],[Fault Clearance time]]-IGA_BD[[#This Row],[Fault Start TimeStamp]])*24</f>
        <v>0</v>
      </c>
      <c r="R708" s="153"/>
      <c r="S708" s="44"/>
      <c r="T708" s="45" t="str">
        <f>IFERROR(IGA_BD[[#This Row],[Breakdown Time]]*IGA_BD[[#This Row],[Plant Equivalent Weightage]],"")</f>
        <v/>
      </c>
    </row>
    <row r="709" spans="1:20">
      <c r="A709" s="28"/>
      <c r="B709" s="154"/>
      <c r="C709" s="30">
        <f>YEAR(WTG_BD[[#This Row],[Date]])+IF(MONTH(WTG_BD[[#This Row],[Date]])&gt;=4,1,0)</f>
        <v>2026</v>
      </c>
      <c r="D709" s="31">
        <f>YEAR(IGA_BD[[#This Row],[Date]])</f>
        <v>1900</v>
      </c>
      <c r="E709" s="48">
        <f t="shared" si="13"/>
        <v>1</v>
      </c>
      <c r="F709" s="32"/>
      <c r="G709" s="33"/>
      <c r="H709" s="43" t="str">
        <f>IFERROR(VLOOKUP(IGA_BD[[#This Row],[Affected Feeder ]],'Basic Data'!$A$42:$E$53,2,0),"")</f>
        <v/>
      </c>
      <c r="I709" s="43" t="str">
        <f>IFERROR(VLOOKUP(IGA_BD[[#This Row],[Affected Feeder ]],'Basic Data'!$A$42:$E$53,3,0),"")</f>
        <v/>
      </c>
      <c r="J709" s="43" t="str">
        <f>IFERROR(VLOOKUP(IGA_BD[[#This Row],[Affected Feeder ]],'Basic Data'!$A$42:$E$53,5,0),"")</f>
        <v/>
      </c>
      <c r="K709" s="164"/>
      <c r="L709" s="50"/>
      <c r="M709" s="116"/>
      <c r="N709" s="116"/>
      <c r="O709" s="57">
        <f>(IGA_BD[[#This Row],[Work Start TimeStamp]]-IGA_BD[[#This Row],[Fault Start TimeStamp]])*24</f>
        <v>0</v>
      </c>
      <c r="P709" s="44" t="str">
        <f>IF(IGA_BD[[#This Row],[Work Start TimeStamp]]="","",(IGA_BD[[#This Row],[Fault Clearance time]]-IGA_BD[[#This Row],[Work Start TimeStamp]])*24)</f>
        <v/>
      </c>
      <c r="Q709" s="57">
        <f>(IGA_BD[[#This Row],[Fault Clearance time]]-IGA_BD[[#This Row],[Fault Start TimeStamp]])*24</f>
        <v>0</v>
      </c>
      <c r="R709" s="153"/>
      <c r="S709" s="44"/>
      <c r="T709" s="45" t="str">
        <f>IFERROR(IGA_BD[[#This Row],[Breakdown Time]]*IGA_BD[[#This Row],[Plant Equivalent Weightage]],"")</f>
        <v/>
      </c>
    </row>
    <row r="710" spans="1:20">
      <c r="A710" s="28"/>
      <c r="B710" s="154"/>
      <c r="C710" s="30">
        <f>YEAR(WTG_BD[[#This Row],[Date]])+IF(MONTH(WTG_BD[[#This Row],[Date]])&gt;=4,1,0)</f>
        <v>2026</v>
      </c>
      <c r="D710" s="31">
        <f>YEAR(IGA_BD[[#This Row],[Date]])</f>
        <v>1900</v>
      </c>
      <c r="E710" s="48">
        <f t="shared" si="13"/>
        <v>1</v>
      </c>
      <c r="F710" s="32"/>
      <c r="G710" s="33"/>
      <c r="H710" s="43" t="str">
        <f>IFERROR(VLOOKUP(IGA_BD[[#This Row],[Affected Feeder ]],'Basic Data'!$A$42:$E$53,2,0),"")</f>
        <v/>
      </c>
      <c r="I710" s="43" t="str">
        <f>IFERROR(VLOOKUP(IGA_BD[[#This Row],[Affected Feeder ]],'Basic Data'!$A$42:$E$53,3,0),"")</f>
        <v/>
      </c>
      <c r="J710" s="43" t="str">
        <f>IFERROR(VLOOKUP(IGA_BD[[#This Row],[Affected Feeder ]],'Basic Data'!$A$42:$E$53,5,0),"")</f>
        <v/>
      </c>
      <c r="K710" s="164"/>
      <c r="L710" s="50"/>
      <c r="M710" s="116"/>
      <c r="N710" s="116"/>
      <c r="O710" s="57">
        <f>(IGA_BD[[#This Row],[Work Start TimeStamp]]-IGA_BD[[#This Row],[Fault Start TimeStamp]])*24</f>
        <v>0</v>
      </c>
      <c r="P710" s="44" t="str">
        <f>IF(IGA_BD[[#This Row],[Work Start TimeStamp]]="","",(IGA_BD[[#This Row],[Fault Clearance time]]-IGA_BD[[#This Row],[Work Start TimeStamp]])*24)</f>
        <v/>
      </c>
      <c r="Q710" s="57">
        <f>(IGA_BD[[#This Row],[Fault Clearance time]]-IGA_BD[[#This Row],[Fault Start TimeStamp]])*24</f>
        <v>0</v>
      </c>
      <c r="R710" s="153"/>
      <c r="S710" s="44"/>
      <c r="T710" s="45" t="str">
        <f>IFERROR(IGA_BD[[#This Row],[Breakdown Time]]*IGA_BD[[#This Row],[Plant Equivalent Weightage]],"")</f>
        <v/>
      </c>
    </row>
    <row r="711" spans="1:20">
      <c r="A711" s="28"/>
      <c r="B711" s="154"/>
      <c r="C711" s="30">
        <f>YEAR(WTG_BD[[#This Row],[Date]])+IF(MONTH(WTG_BD[[#This Row],[Date]])&gt;=4,1,0)</f>
        <v>2026</v>
      </c>
      <c r="D711" s="31">
        <f>YEAR(IGA_BD[[#This Row],[Date]])</f>
        <v>1900</v>
      </c>
      <c r="E711" s="48">
        <f t="shared" si="13"/>
        <v>1</v>
      </c>
      <c r="F711" s="32"/>
      <c r="G711" s="33"/>
      <c r="H711" s="43" t="str">
        <f>IFERROR(VLOOKUP(IGA_BD[[#This Row],[Affected Feeder ]],'Basic Data'!$A$42:$E$53,2,0),"")</f>
        <v/>
      </c>
      <c r="I711" s="43" t="str">
        <f>IFERROR(VLOOKUP(IGA_BD[[#This Row],[Affected Feeder ]],'Basic Data'!$A$42:$E$53,3,0),"")</f>
        <v/>
      </c>
      <c r="J711" s="43" t="str">
        <f>IFERROR(VLOOKUP(IGA_BD[[#This Row],[Affected Feeder ]],'Basic Data'!$A$42:$E$53,5,0),"")</f>
        <v/>
      </c>
      <c r="K711" s="164"/>
      <c r="L711" s="50"/>
      <c r="M711" s="116"/>
      <c r="N711" s="116"/>
      <c r="O711" s="57">
        <f>(IGA_BD[[#This Row],[Work Start TimeStamp]]-IGA_BD[[#This Row],[Fault Start TimeStamp]])*24</f>
        <v>0</v>
      </c>
      <c r="P711" s="44" t="str">
        <f>IF(IGA_BD[[#This Row],[Work Start TimeStamp]]="","",(IGA_BD[[#This Row],[Fault Clearance time]]-IGA_BD[[#This Row],[Work Start TimeStamp]])*24)</f>
        <v/>
      </c>
      <c r="Q711" s="57">
        <f>(IGA_BD[[#This Row],[Fault Clearance time]]-IGA_BD[[#This Row],[Fault Start TimeStamp]])*24</f>
        <v>0</v>
      </c>
      <c r="R711" s="153"/>
      <c r="S711" s="44"/>
      <c r="T711" s="45" t="str">
        <f>IFERROR(IGA_BD[[#This Row],[Breakdown Time]]*IGA_BD[[#This Row],[Plant Equivalent Weightage]],"")</f>
        <v/>
      </c>
    </row>
    <row r="712" spans="1:20">
      <c r="A712" s="28"/>
      <c r="B712" s="154"/>
      <c r="C712" s="30">
        <f>YEAR(WTG_BD[[#This Row],[Date]])+IF(MONTH(WTG_BD[[#This Row],[Date]])&gt;=4,1,0)</f>
        <v>2026</v>
      </c>
      <c r="D712" s="31">
        <f>YEAR(IGA_BD[[#This Row],[Date]])</f>
        <v>1900</v>
      </c>
      <c r="E712" s="48">
        <f t="shared" si="13"/>
        <v>1</v>
      </c>
      <c r="F712" s="32"/>
      <c r="G712" s="33"/>
      <c r="H712" s="43" t="str">
        <f>IFERROR(VLOOKUP(IGA_BD[[#This Row],[Affected Feeder ]],'Basic Data'!$A$42:$E$53,2,0),"")</f>
        <v/>
      </c>
      <c r="I712" s="43" t="str">
        <f>IFERROR(VLOOKUP(IGA_BD[[#This Row],[Affected Feeder ]],'Basic Data'!$A$42:$E$53,3,0),"")</f>
        <v/>
      </c>
      <c r="J712" s="43" t="str">
        <f>IFERROR(VLOOKUP(IGA_BD[[#This Row],[Affected Feeder ]],'Basic Data'!$A$42:$E$53,5,0),"")</f>
        <v/>
      </c>
      <c r="K712" s="164"/>
      <c r="L712" s="50"/>
      <c r="M712" s="116"/>
      <c r="N712" s="116"/>
      <c r="O712" s="57">
        <f>(IGA_BD[[#This Row],[Work Start TimeStamp]]-IGA_BD[[#This Row],[Fault Start TimeStamp]])*24</f>
        <v>0</v>
      </c>
      <c r="P712" s="44" t="str">
        <f>IF(IGA_BD[[#This Row],[Work Start TimeStamp]]="","",(IGA_BD[[#This Row],[Fault Clearance time]]-IGA_BD[[#This Row],[Work Start TimeStamp]])*24)</f>
        <v/>
      </c>
      <c r="Q712" s="57">
        <f>(IGA_BD[[#This Row],[Fault Clearance time]]-IGA_BD[[#This Row],[Fault Start TimeStamp]])*24</f>
        <v>0</v>
      </c>
      <c r="R712" s="153"/>
      <c r="S712" s="44"/>
      <c r="T712" s="45" t="str">
        <f>IFERROR(IGA_BD[[#This Row],[Breakdown Time]]*IGA_BD[[#This Row],[Plant Equivalent Weightage]],"")</f>
        <v/>
      </c>
    </row>
    <row r="713" spans="1:20">
      <c r="A713" s="28"/>
      <c r="B713" s="154"/>
      <c r="C713" s="30">
        <f>YEAR(WTG_BD[[#This Row],[Date]])+IF(MONTH(WTG_BD[[#This Row],[Date]])&gt;=4,1,0)</f>
        <v>2026</v>
      </c>
      <c r="D713" s="31">
        <f>YEAR(IGA_BD[[#This Row],[Date]])</f>
        <v>1900</v>
      </c>
      <c r="E713" s="48">
        <f t="shared" si="13"/>
        <v>1</v>
      </c>
      <c r="F713" s="32"/>
      <c r="G713" s="33"/>
      <c r="H713" s="43" t="str">
        <f>IFERROR(VLOOKUP(IGA_BD[[#This Row],[Affected Feeder ]],'Basic Data'!$A$42:$E$53,2,0),"")</f>
        <v/>
      </c>
      <c r="I713" s="43" t="str">
        <f>IFERROR(VLOOKUP(IGA_BD[[#This Row],[Affected Feeder ]],'Basic Data'!$A$42:$E$53,3,0),"")</f>
        <v/>
      </c>
      <c r="J713" s="43" t="str">
        <f>IFERROR(VLOOKUP(IGA_BD[[#This Row],[Affected Feeder ]],'Basic Data'!$A$42:$E$53,5,0),"")</f>
        <v/>
      </c>
      <c r="K713" s="164"/>
      <c r="L713" s="50"/>
      <c r="M713" s="116"/>
      <c r="N713" s="116"/>
      <c r="O713" s="57">
        <f>(IGA_BD[[#This Row],[Work Start TimeStamp]]-IGA_BD[[#This Row],[Fault Start TimeStamp]])*24</f>
        <v>0</v>
      </c>
      <c r="P713" s="44" t="str">
        <f>IF(IGA_BD[[#This Row],[Work Start TimeStamp]]="","",(IGA_BD[[#This Row],[Fault Clearance time]]-IGA_BD[[#This Row],[Work Start TimeStamp]])*24)</f>
        <v/>
      </c>
      <c r="Q713" s="57">
        <f>(IGA_BD[[#This Row],[Fault Clearance time]]-IGA_BD[[#This Row],[Fault Start TimeStamp]])*24</f>
        <v>0</v>
      </c>
      <c r="R713" s="153"/>
      <c r="S713" s="44"/>
      <c r="T713" s="45" t="str">
        <f>IFERROR(IGA_BD[[#This Row],[Breakdown Time]]*IGA_BD[[#This Row],[Plant Equivalent Weightage]],"")</f>
        <v/>
      </c>
    </row>
    <row r="714" spans="1:20">
      <c r="A714" s="28"/>
      <c r="B714" s="154"/>
      <c r="C714" s="30">
        <f>YEAR(WTG_BD[[#This Row],[Date]])+IF(MONTH(WTG_BD[[#This Row],[Date]])&gt;=4,1,0)</f>
        <v>2026</v>
      </c>
      <c r="D714" s="31">
        <f>YEAR(IGA_BD[[#This Row],[Date]])</f>
        <v>1900</v>
      </c>
      <c r="E714" s="48">
        <f t="shared" si="13"/>
        <v>1</v>
      </c>
      <c r="F714" s="32"/>
      <c r="G714" s="33"/>
      <c r="H714" s="43" t="str">
        <f>IFERROR(VLOOKUP(IGA_BD[[#This Row],[Affected Feeder ]],'Basic Data'!$A$42:$E$53,2,0),"")</f>
        <v/>
      </c>
      <c r="I714" s="43" t="str">
        <f>IFERROR(VLOOKUP(IGA_BD[[#This Row],[Affected Feeder ]],'Basic Data'!$A$42:$E$53,3,0),"")</f>
        <v/>
      </c>
      <c r="J714" s="43" t="str">
        <f>IFERROR(VLOOKUP(IGA_BD[[#This Row],[Affected Feeder ]],'Basic Data'!$A$42:$E$53,5,0),"")</f>
        <v/>
      </c>
      <c r="K714" s="164"/>
      <c r="L714" s="50"/>
      <c r="M714" s="116"/>
      <c r="N714" s="116"/>
      <c r="O714" s="57">
        <f>(IGA_BD[[#This Row],[Work Start TimeStamp]]-IGA_BD[[#This Row],[Fault Start TimeStamp]])*24</f>
        <v>0</v>
      </c>
      <c r="P714" s="44" t="str">
        <f>IF(IGA_BD[[#This Row],[Work Start TimeStamp]]="","",(IGA_BD[[#This Row],[Fault Clearance time]]-IGA_BD[[#This Row],[Work Start TimeStamp]])*24)</f>
        <v/>
      </c>
      <c r="Q714" s="57">
        <f>(IGA_BD[[#This Row],[Fault Clearance time]]-IGA_BD[[#This Row],[Fault Start TimeStamp]])*24</f>
        <v>0</v>
      </c>
      <c r="R714" s="153"/>
      <c r="S714" s="44"/>
      <c r="T714" s="45" t="str">
        <f>IFERROR(IGA_BD[[#This Row],[Breakdown Time]]*IGA_BD[[#This Row],[Plant Equivalent Weightage]],"")</f>
        <v/>
      </c>
    </row>
    <row r="715" spans="1:20">
      <c r="A715" s="28"/>
      <c r="B715" s="154"/>
      <c r="C715" s="30">
        <f>YEAR(WTG_BD[[#This Row],[Date]])+IF(MONTH(WTG_BD[[#This Row],[Date]])&gt;=4,1,0)</f>
        <v>2026</v>
      </c>
      <c r="D715" s="31">
        <f>YEAR(IGA_BD[[#This Row],[Date]])</f>
        <v>1900</v>
      </c>
      <c r="E715" s="48">
        <f t="shared" si="13"/>
        <v>1</v>
      </c>
      <c r="F715" s="32"/>
      <c r="G715" s="33"/>
      <c r="H715" s="43" t="str">
        <f>IFERROR(VLOOKUP(IGA_BD[[#This Row],[Affected Feeder ]],'Basic Data'!$A$42:$E$53,2,0),"")</f>
        <v/>
      </c>
      <c r="I715" s="43" t="str">
        <f>IFERROR(VLOOKUP(IGA_BD[[#This Row],[Affected Feeder ]],'Basic Data'!$A$42:$E$53,3,0),"")</f>
        <v/>
      </c>
      <c r="J715" s="43" t="str">
        <f>IFERROR(VLOOKUP(IGA_BD[[#This Row],[Affected Feeder ]],'Basic Data'!$A$42:$E$53,5,0),"")</f>
        <v/>
      </c>
      <c r="K715" s="164"/>
      <c r="L715" s="50"/>
      <c r="M715" s="116"/>
      <c r="N715" s="116"/>
      <c r="O715" s="57">
        <f>(IGA_BD[[#This Row],[Work Start TimeStamp]]-IGA_BD[[#This Row],[Fault Start TimeStamp]])*24</f>
        <v>0</v>
      </c>
      <c r="P715" s="44" t="str">
        <f>IF(IGA_BD[[#This Row],[Work Start TimeStamp]]="","",(IGA_BD[[#This Row],[Fault Clearance time]]-IGA_BD[[#This Row],[Work Start TimeStamp]])*24)</f>
        <v/>
      </c>
      <c r="Q715" s="57">
        <f>(IGA_BD[[#This Row],[Fault Clearance time]]-IGA_BD[[#This Row],[Fault Start TimeStamp]])*24</f>
        <v>0</v>
      </c>
      <c r="R715" s="153"/>
      <c r="S715" s="44"/>
      <c r="T715" s="45" t="str">
        <f>IFERROR(IGA_BD[[#This Row],[Breakdown Time]]*IGA_BD[[#This Row],[Plant Equivalent Weightage]],"")</f>
        <v/>
      </c>
    </row>
    <row r="716" spans="1:20">
      <c r="A716" s="28"/>
      <c r="B716" s="154"/>
      <c r="C716" s="30">
        <f>YEAR(WTG_BD[[#This Row],[Date]])+IF(MONTH(WTG_BD[[#This Row],[Date]])&gt;=4,1,0)</f>
        <v>2026</v>
      </c>
      <c r="D716" s="31">
        <f>YEAR(IGA_BD[[#This Row],[Date]])</f>
        <v>1900</v>
      </c>
      <c r="E716" s="48">
        <f t="shared" si="13"/>
        <v>1</v>
      </c>
      <c r="F716" s="32"/>
      <c r="G716" s="33"/>
      <c r="H716" s="43" t="str">
        <f>IFERROR(VLOOKUP(IGA_BD[[#This Row],[Affected Feeder ]],'Basic Data'!$A$42:$E$53,2,0),"")</f>
        <v/>
      </c>
      <c r="I716" s="43" t="str">
        <f>IFERROR(VLOOKUP(IGA_BD[[#This Row],[Affected Feeder ]],'Basic Data'!$A$42:$E$53,3,0),"")</f>
        <v/>
      </c>
      <c r="J716" s="43" t="str">
        <f>IFERROR(VLOOKUP(IGA_BD[[#This Row],[Affected Feeder ]],'Basic Data'!$A$42:$E$53,5,0),"")</f>
        <v/>
      </c>
      <c r="K716" s="164"/>
      <c r="L716" s="50"/>
      <c r="M716" s="116"/>
      <c r="N716" s="116"/>
      <c r="O716" s="57">
        <f>(IGA_BD[[#This Row],[Work Start TimeStamp]]-IGA_BD[[#This Row],[Fault Start TimeStamp]])*24</f>
        <v>0</v>
      </c>
      <c r="P716" s="44" t="str">
        <f>IF(IGA_BD[[#This Row],[Work Start TimeStamp]]="","",(IGA_BD[[#This Row],[Fault Clearance time]]-IGA_BD[[#This Row],[Work Start TimeStamp]])*24)</f>
        <v/>
      </c>
      <c r="Q716" s="57">
        <f>(IGA_BD[[#This Row],[Fault Clearance time]]-IGA_BD[[#This Row],[Fault Start TimeStamp]])*24</f>
        <v>0</v>
      </c>
      <c r="R716" s="153"/>
      <c r="S716" s="44"/>
      <c r="T716" s="45" t="str">
        <f>IFERROR(IGA_BD[[#This Row],[Breakdown Time]]*IGA_BD[[#This Row],[Plant Equivalent Weightage]],"")</f>
        <v/>
      </c>
    </row>
    <row r="717" spans="1:20">
      <c r="A717" s="28"/>
      <c r="B717" s="154"/>
      <c r="C717" s="30">
        <f>YEAR(WTG_BD[[#This Row],[Date]])+IF(MONTH(WTG_BD[[#This Row],[Date]])&gt;=4,1,0)</f>
        <v>2026</v>
      </c>
      <c r="D717" s="31">
        <f>YEAR(IGA_BD[[#This Row],[Date]])</f>
        <v>1900</v>
      </c>
      <c r="E717" s="48">
        <f t="shared" si="13"/>
        <v>1</v>
      </c>
      <c r="F717" s="32"/>
      <c r="G717" s="33"/>
      <c r="H717" s="43" t="str">
        <f>IFERROR(VLOOKUP(IGA_BD[[#This Row],[Affected Feeder ]],'Basic Data'!$A$42:$E$53,2,0),"")</f>
        <v/>
      </c>
      <c r="I717" s="43" t="str">
        <f>IFERROR(VLOOKUP(IGA_BD[[#This Row],[Affected Feeder ]],'Basic Data'!$A$42:$E$53,3,0),"")</f>
        <v/>
      </c>
      <c r="J717" s="43" t="str">
        <f>IFERROR(VLOOKUP(IGA_BD[[#This Row],[Affected Feeder ]],'Basic Data'!$A$42:$E$53,5,0),"")</f>
        <v/>
      </c>
      <c r="K717" s="164"/>
      <c r="L717" s="50"/>
      <c r="M717" s="116"/>
      <c r="N717" s="116"/>
      <c r="O717" s="57">
        <f>(IGA_BD[[#This Row],[Work Start TimeStamp]]-IGA_BD[[#This Row],[Fault Start TimeStamp]])*24</f>
        <v>0</v>
      </c>
      <c r="P717" s="44" t="str">
        <f>IF(IGA_BD[[#This Row],[Work Start TimeStamp]]="","",(IGA_BD[[#This Row],[Fault Clearance time]]-IGA_BD[[#This Row],[Work Start TimeStamp]])*24)</f>
        <v/>
      </c>
      <c r="Q717" s="57">
        <f>(IGA_BD[[#This Row],[Fault Clearance time]]-IGA_BD[[#This Row],[Fault Start TimeStamp]])*24</f>
        <v>0</v>
      </c>
      <c r="R717" s="153"/>
      <c r="S717" s="44"/>
      <c r="T717" s="45" t="str">
        <f>IFERROR(IGA_BD[[#This Row],[Breakdown Time]]*IGA_BD[[#This Row],[Plant Equivalent Weightage]],"")</f>
        <v/>
      </c>
    </row>
    <row r="718" spans="1:20">
      <c r="A718" s="28"/>
      <c r="B718" s="154"/>
      <c r="C718" s="30">
        <f>YEAR(WTG_BD[[#This Row],[Date]])+IF(MONTH(WTG_BD[[#This Row],[Date]])&gt;=4,1,0)</f>
        <v>2026</v>
      </c>
      <c r="D718" s="31">
        <f>YEAR(IGA_BD[[#This Row],[Date]])</f>
        <v>1900</v>
      </c>
      <c r="E718" s="48">
        <f t="shared" si="13"/>
        <v>1</v>
      </c>
      <c r="F718" s="32"/>
      <c r="G718" s="33"/>
      <c r="H718" s="43" t="str">
        <f>IFERROR(VLOOKUP(IGA_BD[[#This Row],[Affected Feeder ]],'Basic Data'!$A$42:$E$53,2,0),"")</f>
        <v/>
      </c>
      <c r="I718" s="43" t="str">
        <f>IFERROR(VLOOKUP(IGA_BD[[#This Row],[Affected Feeder ]],'Basic Data'!$A$42:$E$53,3,0),"")</f>
        <v/>
      </c>
      <c r="J718" s="43" t="str">
        <f>IFERROR(VLOOKUP(IGA_BD[[#This Row],[Affected Feeder ]],'Basic Data'!$A$42:$E$53,5,0),"")</f>
        <v/>
      </c>
      <c r="K718" s="164"/>
      <c r="L718" s="50"/>
      <c r="M718" s="116"/>
      <c r="N718" s="116"/>
      <c r="O718" s="57">
        <f>(IGA_BD[[#This Row],[Work Start TimeStamp]]-IGA_BD[[#This Row],[Fault Start TimeStamp]])*24</f>
        <v>0</v>
      </c>
      <c r="P718" s="44" t="str">
        <f>IF(IGA_BD[[#This Row],[Work Start TimeStamp]]="","",(IGA_BD[[#This Row],[Fault Clearance time]]-IGA_BD[[#This Row],[Work Start TimeStamp]])*24)</f>
        <v/>
      </c>
      <c r="Q718" s="57">
        <f>(IGA_BD[[#This Row],[Fault Clearance time]]-IGA_BD[[#This Row],[Fault Start TimeStamp]])*24</f>
        <v>0</v>
      </c>
      <c r="R718" s="153"/>
      <c r="S718" s="44"/>
      <c r="T718" s="45" t="str">
        <f>IFERROR(IGA_BD[[#This Row],[Breakdown Time]]*IGA_BD[[#This Row],[Plant Equivalent Weightage]],"")</f>
        <v/>
      </c>
    </row>
    <row r="719" spans="1:20">
      <c r="A719" s="28"/>
      <c r="B719" s="154"/>
      <c r="C719" s="30">
        <f>YEAR(WTG_BD[[#This Row],[Date]])+IF(MONTH(WTG_BD[[#This Row],[Date]])&gt;=4,1,0)</f>
        <v>2026</v>
      </c>
      <c r="D719" s="31">
        <f>YEAR(IGA_BD[[#This Row],[Date]])</f>
        <v>1900</v>
      </c>
      <c r="E719" s="48">
        <f t="shared" si="13"/>
        <v>1</v>
      </c>
      <c r="F719" s="32"/>
      <c r="G719" s="33"/>
      <c r="H719" s="43" t="str">
        <f>IFERROR(VLOOKUP(IGA_BD[[#This Row],[Affected Feeder ]],'Basic Data'!$A$42:$E$53,2,0),"")</f>
        <v/>
      </c>
      <c r="I719" s="43" t="str">
        <f>IFERROR(VLOOKUP(IGA_BD[[#This Row],[Affected Feeder ]],'Basic Data'!$A$42:$E$53,3,0),"")</f>
        <v/>
      </c>
      <c r="J719" s="43" t="str">
        <f>IFERROR(VLOOKUP(IGA_BD[[#This Row],[Affected Feeder ]],'Basic Data'!$A$42:$E$53,5,0),"")</f>
        <v/>
      </c>
      <c r="K719" s="164"/>
      <c r="L719" s="50"/>
      <c r="M719" s="116"/>
      <c r="N719" s="116"/>
      <c r="O719" s="57">
        <f>(IGA_BD[[#This Row],[Work Start TimeStamp]]-IGA_BD[[#This Row],[Fault Start TimeStamp]])*24</f>
        <v>0</v>
      </c>
      <c r="P719" s="44" t="str">
        <f>IF(IGA_BD[[#This Row],[Work Start TimeStamp]]="","",(IGA_BD[[#This Row],[Fault Clearance time]]-IGA_BD[[#This Row],[Work Start TimeStamp]])*24)</f>
        <v/>
      </c>
      <c r="Q719" s="57">
        <f>(IGA_BD[[#This Row],[Fault Clearance time]]-IGA_BD[[#This Row],[Fault Start TimeStamp]])*24</f>
        <v>0</v>
      </c>
      <c r="R719" s="153"/>
      <c r="S719" s="44"/>
      <c r="T719" s="45" t="str">
        <f>IFERROR(IGA_BD[[#This Row],[Breakdown Time]]*IGA_BD[[#This Row],[Plant Equivalent Weightage]],"")</f>
        <v/>
      </c>
    </row>
    <row r="720" spans="1:20">
      <c r="A720" s="28"/>
      <c r="B720" s="154"/>
      <c r="C720" s="30">
        <f>YEAR(WTG_BD[[#This Row],[Date]])+IF(MONTH(WTG_BD[[#This Row],[Date]])&gt;=4,1,0)</f>
        <v>2026</v>
      </c>
      <c r="D720" s="31">
        <f>YEAR(IGA_BD[[#This Row],[Date]])</f>
        <v>1900</v>
      </c>
      <c r="E720" s="48">
        <f t="shared" si="13"/>
        <v>1</v>
      </c>
      <c r="F720" s="32"/>
      <c r="G720" s="33"/>
      <c r="H720" s="43" t="str">
        <f>IFERROR(VLOOKUP(IGA_BD[[#This Row],[Affected Feeder ]],'Basic Data'!$A$42:$E$53,2,0),"")</f>
        <v/>
      </c>
      <c r="I720" s="43" t="str">
        <f>IFERROR(VLOOKUP(IGA_BD[[#This Row],[Affected Feeder ]],'Basic Data'!$A$42:$E$53,3,0),"")</f>
        <v/>
      </c>
      <c r="J720" s="43" t="str">
        <f>IFERROR(VLOOKUP(IGA_BD[[#This Row],[Affected Feeder ]],'Basic Data'!$A$42:$E$53,5,0),"")</f>
        <v/>
      </c>
      <c r="K720" s="164"/>
      <c r="L720" s="50"/>
      <c r="M720" s="116"/>
      <c r="N720" s="116"/>
      <c r="O720" s="57">
        <f>(IGA_BD[[#This Row],[Work Start TimeStamp]]-IGA_BD[[#This Row],[Fault Start TimeStamp]])*24</f>
        <v>0</v>
      </c>
      <c r="P720" s="44" t="str">
        <f>IF(IGA_BD[[#This Row],[Work Start TimeStamp]]="","",(IGA_BD[[#This Row],[Fault Clearance time]]-IGA_BD[[#This Row],[Work Start TimeStamp]])*24)</f>
        <v/>
      </c>
      <c r="Q720" s="57">
        <f>(IGA_BD[[#This Row],[Fault Clearance time]]-IGA_BD[[#This Row],[Fault Start TimeStamp]])*24</f>
        <v>0</v>
      </c>
      <c r="R720" s="153"/>
      <c r="S720" s="44"/>
      <c r="T720" s="45" t="str">
        <f>IFERROR(IGA_BD[[#This Row],[Breakdown Time]]*IGA_BD[[#This Row],[Plant Equivalent Weightage]],"")</f>
        <v/>
      </c>
    </row>
    <row r="721" spans="1:20">
      <c r="A721" s="28"/>
      <c r="B721" s="154"/>
      <c r="C721" s="30">
        <f>YEAR(WTG_BD[[#This Row],[Date]])+IF(MONTH(WTG_BD[[#This Row],[Date]])&gt;=4,1,0)</f>
        <v>2026</v>
      </c>
      <c r="D721" s="31">
        <f>YEAR(IGA_BD[[#This Row],[Date]])</f>
        <v>1900</v>
      </c>
      <c r="E721" s="48">
        <f t="shared" si="13"/>
        <v>1</v>
      </c>
      <c r="F721" s="32"/>
      <c r="G721" s="33"/>
      <c r="H721" s="43" t="str">
        <f>IFERROR(VLOOKUP(IGA_BD[[#This Row],[Affected Feeder ]],'Basic Data'!$A$42:$E$53,2,0),"")</f>
        <v/>
      </c>
      <c r="I721" s="43" t="str">
        <f>IFERROR(VLOOKUP(IGA_BD[[#This Row],[Affected Feeder ]],'Basic Data'!$A$42:$E$53,3,0),"")</f>
        <v/>
      </c>
      <c r="J721" s="43" t="str">
        <f>IFERROR(VLOOKUP(IGA_BD[[#This Row],[Affected Feeder ]],'Basic Data'!$A$42:$E$53,5,0),"")</f>
        <v/>
      </c>
      <c r="K721" s="164"/>
      <c r="L721" s="50"/>
      <c r="M721" s="116"/>
      <c r="N721" s="116"/>
      <c r="O721" s="57">
        <f>(IGA_BD[[#This Row],[Work Start TimeStamp]]-IGA_BD[[#This Row],[Fault Start TimeStamp]])*24</f>
        <v>0</v>
      </c>
      <c r="P721" s="44" t="str">
        <f>IF(IGA_BD[[#This Row],[Work Start TimeStamp]]="","",(IGA_BD[[#This Row],[Fault Clearance time]]-IGA_BD[[#This Row],[Work Start TimeStamp]])*24)</f>
        <v/>
      </c>
      <c r="Q721" s="57">
        <f>(IGA_BD[[#This Row],[Fault Clearance time]]-IGA_BD[[#This Row],[Fault Start TimeStamp]])*24</f>
        <v>0</v>
      </c>
      <c r="R721" s="153"/>
      <c r="S721" s="44"/>
      <c r="T721" s="45" t="str">
        <f>IFERROR(IGA_BD[[#This Row],[Breakdown Time]]*IGA_BD[[#This Row],[Plant Equivalent Weightage]],"")</f>
        <v/>
      </c>
    </row>
    <row r="722" spans="1:20">
      <c r="A722" s="28"/>
      <c r="B722" s="154"/>
      <c r="C722" s="30">
        <f>YEAR(WTG_BD[[#This Row],[Date]])+IF(MONTH(WTG_BD[[#This Row],[Date]])&gt;=4,1,0)</f>
        <v>2026</v>
      </c>
      <c r="D722" s="31">
        <f>YEAR(IGA_BD[[#This Row],[Date]])</f>
        <v>1900</v>
      </c>
      <c r="E722" s="48">
        <f t="shared" si="13"/>
        <v>1</v>
      </c>
      <c r="F722" s="32"/>
      <c r="G722" s="33"/>
      <c r="H722" s="43" t="str">
        <f>IFERROR(VLOOKUP(IGA_BD[[#This Row],[Affected Feeder ]],'Basic Data'!$A$42:$E$53,2,0),"")</f>
        <v/>
      </c>
      <c r="I722" s="43" t="str">
        <f>IFERROR(VLOOKUP(IGA_BD[[#This Row],[Affected Feeder ]],'Basic Data'!$A$42:$E$53,3,0),"")</f>
        <v/>
      </c>
      <c r="J722" s="43" t="str">
        <f>IFERROR(VLOOKUP(IGA_BD[[#This Row],[Affected Feeder ]],'Basic Data'!$A$42:$E$53,5,0),"")</f>
        <v/>
      </c>
      <c r="K722" s="164"/>
      <c r="L722" s="50"/>
      <c r="M722" s="116"/>
      <c r="N722" s="116"/>
      <c r="O722" s="57">
        <f>(IGA_BD[[#This Row],[Work Start TimeStamp]]-IGA_BD[[#This Row],[Fault Start TimeStamp]])*24</f>
        <v>0</v>
      </c>
      <c r="P722" s="44" t="str">
        <f>IF(IGA_BD[[#This Row],[Work Start TimeStamp]]="","",(IGA_BD[[#This Row],[Fault Clearance time]]-IGA_BD[[#This Row],[Work Start TimeStamp]])*24)</f>
        <v/>
      </c>
      <c r="Q722" s="57">
        <f>(IGA_BD[[#This Row],[Fault Clearance time]]-IGA_BD[[#This Row],[Fault Start TimeStamp]])*24</f>
        <v>0</v>
      </c>
      <c r="R722" s="153"/>
      <c r="S722" s="44"/>
      <c r="T722" s="45" t="str">
        <f>IFERROR(IGA_BD[[#This Row],[Breakdown Time]]*IGA_BD[[#This Row],[Plant Equivalent Weightage]],"")</f>
        <v/>
      </c>
    </row>
    <row r="723" spans="1:20">
      <c r="A723" s="28"/>
      <c r="B723" s="154"/>
      <c r="C723" s="30">
        <f>YEAR(WTG_BD[[#This Row],[Date]])+IF(MONTH(WTG_BD[[#This Row],[Date]])&gt;=4,1,0)</f>
        <v>2026</v>
      </c>
      <c r="D723" s="31">
        <f>YEAR(IGA_BD[[#This Row],[Date]])</f>
        <v>1900</v>
      </c>
      <c r="E723" s="48">
        <f t="shared" si="13"/>
        <v>1</v>
      </c>
      <c r="F723" s="32"/>
      <c r="G723" s="33"/>
      <c r="H723" s="43" t="str">
        <f>IFERROR(VLOOKUP(IGA_BD[[#This Row],[Affected Feeder ]],'Basic Data'!$A$42:$E$53,2,0),"")</f>
        <v/>
      </c>
      <c r="I723" s="43" t="str">
        <f>IFERROR(VLOOKUP(IGA_BD[[#This Row],[Affected Feeder ]],'Basic Data'!$A$42:$E$53,3,0),"")</f>
        <v/>
      </c>
      <c r="J723" s="43" t="str">
        <f>IFERROR(VLOOKUP(IGA_BD[[#This Row],[Affected Feeder ]],'Basic Data'!$A$42:$E$53,5,0),"")</f>
        <v/>
      </c>
      <c r="K723" s="164"/>
      <c r="L723" s="50"/>
      <c r="M723" s="116"/>
      <c r="N723" s="116"/>
      <c r="O723" s="57">
        <f>(IGA_BD[[#This Row],[Work Start TimeStamp]]-IGA_BD[[#This Row],[Fault Start TimeStamp]])*24</f>
        <v>0</v>
      </c>
      <c r="P723" s="44" t="str">
        <f>IF(IGA_BD[[#This Row],[Work Start TimeStamp]]="","",(IGA_BD[[#This Row],[Fault Clearance time]]-IGA_BD[[#This Row],[Work Start TimeStamp]])*24)</f>
        <v/>
      </c>
      <c r="Q723" s="57">
        <f>(IGA_BD[[#This Row],[Fault Clearance time]]-IGA_BD[[#This Row],[Fault Start TimeStamp]])*24</f>
        <v>0</v>
      </c>
      <c r="R723" s="153"/>
      <c r="S723" s="44"/>
      <c r="T723" s="45" t="str">
        <f>IFERROR(IGA_BD[[#This Row],[Breakdown Time]]*IGA_BD[[#This Row],[Plant Equivalent Weightage]],"")</f>
        <v/>
      </c>
    </row>
    <row r="724" spans="1:20">
      <c r="A724" s="28"/>
      <c r="B724" s="154"/>
      <c r="C724" s="30">
        <f>YEAR(WTG_BD[[#This Row],[Date]])+IF(MONTH(WTG_BD[[#This Row],[Date]])&gt;=4,1,0)</f>
        <v>2026</v>
      </c>
      <c r="D724" s="31">
        <f>YEAR(IGA_BD[[#This Row],[Date]])</f>
        <v>1900</v>
      </c>
      <c r="E724" s="48">
        <f t="shared" si="13"/>
        <v>1</v>
      </c>
      <c r="F724" s="32"/>
      <c r="G724" s="33"/>
      <c r="H724" s="43" t="str">
        <f>IFERROR(VLOOKUP(IGA_BD[[#This Row],[Affected Feeder ]],'Basic Data'!$A$42:$E$53,2,0),"")</f>
        <v/>
      </c>
      <c r="I724" s="43" t="str">
        <f>IFERROR(VLOOKUP(IGA_BD[[#This Row],[Affected Feeder ]],'Basic Data'!$A$42:$E$53,3,0),"")</f>
        <v/>
      </c>
      <c r="J724" s="43" t="str">
        <f>IFERROR(VLOOKUP(IGA_BD[[#This Row],[Affected Feeder ]],'Basic Data'!$A$42:$E$53,5,0),"")</f>
        <v/>
      </c>
      <c r="K724" s="164"/>
      <c r="L724" s="50"/>
      <c r="M724" s="116"/>
      <c r="N724" s="116"/>
      <c r="O724" s="57">
        <f>(IGA_BD[[#This Row],[Work Start TimeStamp]]-IGA_BD[[#This Row],[Fault Start TimeStamp]])*24</f>
        <v>0</v>
      </c>
      <c r="P724" s="44" t="str">
        <f>IF(IGA_BD[[#This Row],[Work Start TimeStamp]]="","",(IGA_BD[[#This Row],[Fault Clearance time]]-IGA_BD[[#This Row],[Work Start TimeStamp]])*24)</f>
        <v/>
      </c>
      <c r="Q724" s="57">
        <f>(IGA_BD[[#This Row],[Fault Clearance time]]-IGA_BD[[#This Row],[Fault Start TimeStamp]])*24</f>
        <v>0</v>
      </c>
      <c r="R724" s="153"/>
      <c r="S724" s="44"/>
      <c r="T724" s="45" t="str">
        <f>IFERROR(IGA_BD[[#This Row],[Breakdown Time]]*IGA_BD[[#This Row],[Plant Equivalent Weightage]],"")</f>
        <v/>
      </c>
    </row>
    <row r="725" spans="1:20">
      <c r="A725" s="28"/>
      <c r="B725" s="154"/>
      <c r="C725" s="30">
        <f>YEAR(WTG_BD[[#This Row],[Date]])+IF(MONTH(WTG_BD[[#This Row],[Date]])&gt;=4,1,0)</f>
        <v>2026</v>
      </c>
      <c r="D725" s="31">
        <f>YEAR(IGA_BD[[#This Row],[Date]])</f>
        <v>1900</v>
      </c>
      <c r="E725" s="48">
        <f t="shared" si="13"/>
        <v>1</v>
      </c>
      <c r="F725" s="32"/>
      <c r="G725" s="33"/>
      <c r="H725" s="43" t="str">
        <f>IFERROR(VLOOKUP(IGA_BD[[#This Row],[Affected Feeder ]],'Basic Data'!$A$42:$E$53,2,0),"")</f>
        <v/>
      </c>
      <c r="I725" s="43" t="str">
        <f>IFERROR(VLOOKUP(IGA_BD[[#This Row],[Affected Feeder ]],'Basic Data'!$A$42:$E$53,3,0),"")</f>
        <v/>
      </c>
      <c r="J725" s="43" t="str">
        <f>IFERROR(VLOOKUP(IGA_BD[[#This Row],[Affected Feeder ]],'Basic Data'!$A$42:$E$53,5,0),"")</f>
        <v/>
      </c>
      <c r="K725" s="164"/>
      <c r="L725" s="50"/>
      <c r="M725" s="116"/>
      <c r="N725" s="116"/>
      <c r="O725" s="57">
        <f>(IGA_BD[[#This Row],[Work Start TimeStamp]]-IGA_BD[[#This Row],[Fault Start TimeStamp]])*24</f>
        <v>0</v>
      </c>
      <c r="P725" s="44" t="str">
        <f>IF(IGA_BD[[#This Row],[Work Start TimeStamp]]="","",(IGA_BD[[#This Row],[Fault Clearance time]]-IGA_BD[[#This Row],[Work Start TimeStamp]])*24)</f>
        <v/>
      </c>
      <c r="Q725" s="57">
        <f>(IGA_BD[[#This Row],[Fault Clearance time]]-IGA_BD[[#This Row],[Fault Start TimeStamp]])*24</f>
        <v>0</v>
      </c>
      <c r="R725" s="153"/>
      <c r="S725" s="44"/>
      <c r="T725" s="45" t="str">
        <f>IFERROR(IGA_BD[[#This Row],[Breakdown Time]]*IGA_BD[[#This Row],[Plant Equivalent Weightage]],"")</f>
        <v/>
      </c>
    </row>
    <row r="726" spans="1:20">
      <c r="A726" s="28"/>
      <c r="B726" s="154"/>
      <c r="C726" s="30">
        <f>YEAR(WTG_BD[[#This Row],[Date]])+IF(MONTH(WTG_BD[[#This Row],[Date]])&gt;=4,1,0)</f>
        <v>2026</v>
      </c>
      <c r="D726" s="31">
        <f>YEAR(IGA_BD[[#This Row],[Date]])</f>
        <v>1900</v>
      </c>
      <c r="E726" s="48">
        <f t="shared" si="13"/>
        <v>1</v>
      </c>
      <c r="F726" s="32"/>
      <c r="G726" s="33"/>
      <c r="H726" s="43" t="str">
        <f>IFERROR(VLOOKUP(IGA_BD[[#This Row],[Affected Feeder ]],'Basic Data'!$A$42:$E$53,2,0),"")</f>
        <v/>
      </c>
      <c r="I726" s="43" t="str">
        <f>IFERROR(VLOOKUP(IGA_BD[[#This Row],[Affected Feeder ]],'Basic Data'!$A$42:$E$53,3,0),"")</f>
        <v/>
      </c>
      <c r="J726" s="43" t="str">
        <f>IFERROR(VLOOKUP(IGA_BD[[#This Row],[Affected Feeder ]],'Basic Data'!$A$42:$E$53,5,0),"")</f>
        <v/>
      </c>
      <c r="K726" s="164"/>
      <c r="L726" s="50"/>
      <c r="M726" s="116"/>
      <c r="N726" s="116"/>
      <c r="O726" s="57">
        <f>(IGA_BD[[#This Row],[Work Start TimeStamp]]-IGA_BD[[#This Row],[Fault Start TimeStamp]])*24</f>
        <v>0</v>
      </c>
      <c r="P726" s="44" t="str">
        <f>IF(IGA_BD[[#This Row],[Work Start TimeStamp]]="","",(IGA_BD[[#This Row],[Fault Clearance time]]-IGA_BD[[#This Row],[Work Start TimeStamp]])*24)</f>
        <v/>
      </c>
      <c r="Q726" s="57">
        <f>(IGA_BD[[#This Row],[Fault Clearance time]]-IGA_BD[[#This Row],[Fault Start TimeStamp]])*24</f>
        <v>0</v>
      </c>
      <c r="R726" s="153"/>
      <c r="S726" s="44"/>
      <c r="T726" s="45" t="str">
        <f>IFERROR(IGA_BD[[#This Row],[Breakdown Time]]*IGA_BD[[#This Row],[Plant Equivalent Weightage]],"")</f>
        <v/>
      </c>
    </row>
    <row r="727" spans="1:20">
      <c r="A727" s="28"/>
      <c r="B727" s="154"/>
      <c r="C727" s="30">
        <f>YEAR(WTG_BD[[#This Row],[Date]])+IF(MONTH(WTG_BD[[#This Row],[Date]])&gt;=4,1,0)</f>
        <v>2026</v>
      </c>
      <c r="D727" s="31">
        <f>YEAR(IGA_BD[[#This Row],[Date]])</f>
        <v>1900</v>
      </c>
      <c r="E727" s="48">
        <f t="shared" si="13"/>
        <v>1</v>
      </c>
      <c r="F727" s="32"/>
      <c r="G727" s="33"/>
      <c r="H727" s="43" t="str">
        <f>IFERROR(VLOOKUP(IGA_BD[[#This Row],[Affected Feeder ]],'Basic Data'!$A$42:$E$53,2,0),"")</f>
        <v/>
      </c>
      <c r="I727" s="43" t="str">
        <f>IFERROR(VLOOKUP(IGA_BD[[#This Row],[Affected Feeder ]],'Basic Data'!$A$42:$E$53,3,0),"")</f>
        <v/>
      </c>
      <c r="J727" s="43" t="str">
        <f>IFERROR(VLOOKUP(IGA_BD[[#This Row],[Affected Feeder ]],'Basic Data'!$A$42:$E$53,5,0),"")</f>
        <v/>
      </c>
      <c r="K727" s="164"/>
      <c r="L727" s="50"/>
      <c r="M727" s="116"/>
      <c r="N727" s="116"/>
      <c r="O727" s="57">
        <f>(IGA_BD[[#This Row],[Work Start TimeStamp]]-IGA_BD[[#This Row],[Fault Start TimeStamp]])*24</f>
        <v>0</v>
      </c>
      <c r="P727" s="44" t="str">
        <f>IF(IGA_BD[[#This Row],[Work Start TimeStamp]]="","",(IGA_BD[[#This Row],[Fault Clearance time]]-IGA_BD[[#This Row],[Work Start TimeStamp]])*24)</f>
        <v/>
      </c>
      <c r="Q727" s="57">
        <f>(IGA_BD[[#This Row],[Fault Clearance time]]-IGA_BD[[#This Row],[Fault Start TimeStamp]])*24</f>
        <v>0</v>
      </c>
      <c r="R727" s="153"/>
      <c r="S727" s="44"/>
      <c r="T727" s="45" t="str">
        <f>IFERROR(IGA_BD[[#This Row],[Breakdown Time]]*IGA_BD[[#This Row],[Plant Equivalent Weightage]],"")</f>
        <v/>
      </c>
    </row>
    <row r="728" spans="1:20">
      <c r="A728" s="28"/>
      <c r="B728" s="154"/>
      <c r="C728" s="30">
        <f>YEAR(WTG_BD[[#This Row],[Date]])+IF(MONTH(WTG_BD[[#This Row],[Date]])&gt;=4,1,0)</f>
        <v>2026</v>
      </c>
      <c r="D728" s="31">
        <f>YEAR(IGA_BD[[#This Row],[Date]])</f>
        <v>1900</v>
      </c>
      <c r="E728" s="48">
        <f t="shared" si="13"/>
        <v>1</v>
      </c>
      <c r="F728" s="32"/>
      <c r="G728" s="33"/>
      <c r="H728" s="43" t="str">
        <f>IFERROR(VLOOKUP(IGA_BD[[#This Row],[Affected Feeder ]],'Basic Data'!$A$42:$E$53,2,0),"")</f>
        <v/>
      </c>
      <c r="I728" s="43" t="str">
        <f>IFERROR(VLOOKUP(IGA_BD[[#This Row],[Affected Feeder ]],'Basic Data'!$A$42:$E$53,3,0),"")</f>
        <v/>
      </c>
      <c r="J728" s="43" t="str">
        <f>IFERROR(VLOOKUP(IGA_BD[[#This Row],[Affected Feeder ]],'Basic Data'!$A$42:$E$53,5,0),"")</f>
        <v/>
      </c>
      <c r="K728" s="164"/>
      <c r="L728" s="50"/>
      <c r="M728" s="116"/>
      <c r="N728" s="116"/>
      <c r="O728" s="57">
        <f>(IGA_BD[[#This Row],[Work Start TimeStamp]]-IGA_BD[[#This Row],[Fault Start TimeStamp]])*24</f>
        <v>0</v>
      </c>
      <c r="P728" s="44" t="str">
        <f>IF(IGA_BD[[#This Row],[Work Start TimeStamp]]="","",(IGA_BD[[#This Row],[Fault Clearance time]]-IGA_BD[[#This Row],[Work Start TimeStamp]])*24)</f>
        <v/>
      </c>
      <c r="Q728" s="57">
        <f>(IGA_BD[[#This Row],[Fault Clearance time]]-IGA_BD[[#This Row],[Fault Start TimeStamp]])*24</f>
        <v>0</v>
      </c>
      <c r="R728" s="153"/>
      <c r="S728" s="44"/>
      <c r="T728" s="45" t="str">
        <f>IFERROR(IGA_BD[[#This Row],[Breakdown Time]]*IGA_BD[[#This Row],[Plant Equivalent Weightage]],"")</f>
        <v/>
      </c>
    </row>
    <row r="729" spans="1:20">
      <c r="A729" s="28"/>
      <c r="B729" s="154"/>
      <c r="C729" s="30">
        <f>YEAR(WTG_BD[[#This Row],[Date]])+IF(MONTH(WTG_BD[[#This Row],[Date]])&gt;=4,1,0)</f>
        <v>2026</v>
      </c>
      <c r="D729" s="31">
        <f>YEAR(IGA_BD[[#This Row],[Date]])</f>
        <v>1900</v>
      </c>
      <c r="E729" s="48">
        <f t="shared" si="13"/>
        <v>1</v>
      </c>
      <c r="F729" s="32"/>
      <c r="G729" s="33"/>
      <c r="H729" s="43" t="str">
        <f>IFERROR(VLOOKUP(IGA_BD[[#This Row],[Affected Feeder ]],'Basic Data'!$A$42:$E$53,2,0),"")</f>
        <v/>
      </c>
      <c r="I729" s="43" t="str">
        <f>IFERROR(VLOOKUP(IGA_BD[[#This Row],[Affected Feeder ]],'Basic Data'!$A$42:$E$53,3,0),"")</f>
        <v/>
      </c>
      <c r="J729" s="43" t="str">
        <f>IFERROR(VLOOKUP(IGA_BD[[#This Row],[Affected Feeder ]],'Basic Data'!$A$42:$E$53,5,0),"")</f>
        <v/>
      </c>
      <c r="K729" s="164"/>
      <c r="L729" s="50"/>
      <c r="M729" s="116"/>
      <c r="N729" s="116"/>
      <c r="O729" s="57">
        <f>(IGA_BD[[#This Row],[Work Start TimeStamp]]-IGA_BD[[#This Row],[Fault Start TimeStamp]])*24</f>
        <v>0</v>
      </c>
      <c r="P729" s="44" t="str">
        <f>IF(IGA_BD[[#This Row],[Work Start TimeStamp]]="","",(IGA_BD[[#This Row],[Fault Clearance time]]-IGA_BD[[#This Row],[Work Start TimeStamp]])*24)</f>
        <v/>
      </c>
      <c r="Q729" s="57">
        <f>(IGA_BD[[#This Row],[Fault Clearance time]]-IGA_BD[[#This Row],[Fault Start TimeStamp]])*24</f>
        <v>0</v>
      </c>
      <c r="R729" s="153"/>
      <c r="S729" s="44"/>
      <c r="T729" s="45" t="str">
        <f>IFERROR(IGA_BD[[#This Row],[Breakdown Time]]*IGA_BD[[#This Row],[Plant Equivalent Weightage]],"")</f>
        <v/>
      </c>
    </row>
    <row r="730" spans="1:20">
      <c r="A730" s="28"/>
      <c r="B730" s="154"/>
      <c r="C730" s="30">
        <f>YEAR(WTG_BD[[#This Row],[Date]])+IF(MONTH(WTG_BD[[#This Row],[Date]])&gt;=4,1,0)</f>
        <v>2026</v>
      </c>
      <c r="D730" s="31">
        <f>YEAR(IGA_BD[[#This Row],[Date]])</f>
        <v>1900</v>
      </c>
      <c r="E730" s="48">
        <f t="shared" si="13"/>
        <v>1</v>
      </c>
      <c r="F730" s="32"/>
      <c r="G730" s="33"/>
      <c r="H730" s="43" t="str">
        <f>IFERROR(VLOOKUP(IGA_BD[[#This Row],[Affected Feeder ]],'Basic Data'!$A$42:$E$53,2,0),"")</f>
        <v/>
      </c>
      <c r="I730" s="43" t="str">
        <f>IFERROR(VLOOKUP(IGA_BD[[#This Row],[Affected Feeder ]],'Basic Data'!$A$42:$E$53,3,0),"")</f>
        <v/>
      </c>
      <c r="J730" s="43" t="str">
        <f>IFERROR(VLOOKUP(IGA_BD[[#This Row],[Affected Feeder ]],'Basic Data'!$A$42:$E$53,5,0),"")</f>
        <v/>
      </c>
      <c r="K730" s="164"/>
      <c r="L730" s="50"/>
      <c r="M730" s="116"/>
      <c r="N730" s="116"/>
      <c r="O730" s="57">
        <f>(IGA_BD[[#This Row],[Work Start TimeStamp]]-IGA_BD[[#This Row],[Fault Start TimeStamp]])*24</f>
        <v>0</v>
      </c>
      <c r="P730" s="44" t="str">
        <f>IF(IGA_BD[[#This Row],[Work Start TimeStamp]]="","",(IGA_BD[[#This Row],[Fault Clearance time]]-IGA_BD[[#This Row],[Work Start TimeStamp]])*24)</f>
        <v/>
      </c>
      <c r="Q730" s="57">
        <f>(IGA_BD[[#This Row],[Fault Clearance time]]-IGA_BD[[#This Row],[Fault Start TimeStamp]])*24</f>
        <v>0</v>
      </c>
      <c r="R730" s="153"/>
      <c r="S730" s="44"/>
      <c r="T730" s="45" t="str">
        <f>IFERROR(IGA_BD[[#This Row],[Breakdown Time]]*IGA_BD[[#This Row],[Plant Equivalent Weightage]],"")</f>
        <v/>
      </c>
    </row>
    <row r="731" spans="1:20">
      <c r="A731" s="28"/>
      <c r="B731" s="154"/>
      <c r="C731" s="30">
        <f>YEAR(WTG_BD[[#This Row],[Date]])+IF(MONTH(WTG_BD[[#This Row],[Date]])&gt;=4,1,0)</f>
        <v>2026</v>
      </c>
      <c r="D731" s="31">
        <f>YEAR(IGA_BD[[#This Row],[Date]])</f>
        <v>1900</v>
      </c>
      <c r="E731" s="48">
        <f t="shared" si="13"/>
        <v>1</v>
      </c>
      <c r="F731" s="32"/>
      <c r="G731" s="33"/>
      <c r="H731" s="43" t="str">
        <f>IFERROR(VLOOKUP(IGA_BD[[#This Row],[Affected Feeder ]],'Basic Data'!$A$42:$E$53,2,0),"")</f>
        <v/>
      </c>
      <c r="I731" s="43" t="str">
        <f>IFERROR(VLOOKUP(IGA_BD[[#This Row],[Affected Feeder ]],'Basic Data'!$A$42:$E$53,3,0),"")</f>
        <v/>
      </c>
      <c r="J731" s="43" t="str">
        <f>IFERROR(VLOOKUP(IGA_BD[[#This Row],[Affected Feeder ]],'Basic Data'!$A$42:$E$53,5,0),"")</f>
        <v/>
      </c>
      <c r="K731" s="164"/>
      <c r="L731" s="50"/>
      <c r="M731" s="116"/>
      <c r="N731" s="116"/>
      <c r="O731" s="57">
        <f>(IGA_BD[[#This Row],[Work Start TimeStamp]]-IGA_BD[[#This Row],[Fault Start TimeStamp]])*24</f>
        <v>0</v>
      </c>
      <c r="P731" s="44" t="str">
        <f>IF(IGA_BD[[#This Row],[Work Start TimeStamp]]="","",(IGA_BD[[#This Row],[Fault Clearance time]]-IGA_BD[[#This Row],[Work Start TimeStamp]])*24)</f>
        <v/>
      </c>
      <c r="Q731" s="57">
        <f>(IGA_BD[[#This Row],[Fault Clearance time]]-IGA_BD[[#This Row],[Fault Start TimeStamp]])*24</f>
        <v>0</v>
      </c>
      <c r="R731" s="153"/>
      <c r="S731" s="44"/>
      <c r="T731" s="45" t="str">
        <f>IFERROR(IGA_BD[[#This Row],[Breakdown Time]]*IGA_BD[[#This Row],[Plant Equivalent Weightage]],"")</f>
        <v/>
      </c>
    </row>
    <row r="732" spans="1:20">
      <c r="A732" s="28"/>
      <c r="B732" s="154"/>
      <c r="C732" s="30">
        <f>YEAR(WTG_BD[[#This Row],[Date]])+IF(MONTH(WTG_BD[[#This Row],[Date]])&gt;=4,1,0)</f>
        <v>2026</v>
      </c>
      <c r="D732" s="31">
        <f>YEAR(IGA_BD[[#This Row],[Date]])</f>
        <v>1900</v>
      </c>
      <c r="E732" s="48">
        <f t="shared" ref="E732:E795" si="14">B732-DAY(B732)+1</f>
        <v>1</v>
      </c>
      <c r="F732" s="32"/>
      <c r="G732" s="33"/>
      <c r="H732" s="43" t="str">
        <f>IFERROR(VLOOKUP(IGA_BD[[#This Row],[Affected Feeder ]],'Basic Data'!$A$42:$E$53,2,0),"")</f>
        <v/>
      </c>
      <c r="I732" s="43" t="str">
        <f>IFERROR(VLOOKUP(IGA_BD[[#This Row],[Affected Feeder ]],'Basic Data'!$A$42:$E$53,3,0),"")</f>
        <v/>
      </c>
      <c r="J732" s="43" t="str">
        <f>IFERROR(VLOOKUP(IGA_BD[[#This Row],[Affected Feeder ]],'Basic Data'!$A$42:$E$53,5,0),"")</f>
        <v/>
      </c>
      <c r="K732" s="164"/>
      <c r="L732" s="50"/>
      <c r="M732" s="116"/>
      <c r="N732" s="116"/>
      <c r="O732" s="57">
        <f>(IGA_BD[[#This Row],[Work Start TimeStamp]]-IGA_BD[[#This Row],[Fault Start TimeStamp]])*24</f>
        <v>0</v>
      </c>
      <c r="P732" s="44" t="str">
        <f>IF(IGA_BD[[#This Row],[Work Start TimeStamp]]="","",(IGA_BD[[#This Row],[Fault Clearance time]]-IGA_BD[[#This Row],[Work Start TimeStamp]])*24)</f>
        <v/>
      </c>
      <c r="Q732" s="57">
        <f>(IGA_BD[[#This Row],[Fault Clearance time]]-IGA_BD[[#This Row],[Fault Start TimeStamp]])*24</f>
        <v>0</v>
      </c>
      <c r="R732" s="153"/>
      <c r="S732" s="44"/>
      <c r="T732" s="45" t="str">
        <f>IFERROR(IGA_BD[[#This Row],[Breakdown Time]]*IGA_BD[[#This Row],[Plant Equivalent Weightage]],"")</f>
        <v/>
      </c>
    </row>
    <row r="733" spans="1:20">
      <c r="A733" s="28"/>
      <c r="B733" s="154"/>
      <c r="C733" s="30">
        <f>YEAR(WTG_BD[[#This Row],[Date]])+IF(MONTH(WTG_BD[[#This Row],[Date]])&gt;=4,1,0)</f>
        <v>2026</v>
      </c>
      <c r="D733" s="31">
        <f>YEAR(IGA_BD[[#This Row],[Date]])</f>
        <v>1900</v>
      </c>
      <c r="E733" s="48">
        <f t="shared" si="14"/>
        <v>1</v>
      </c>
      <c r="F733" s="32"/>
      <c r="G733" s="33"/>
      <c r="H733" s="43" t="str">
        <f>IFERROR(VLOOKUP(IGA_BD[[#This Row],[Affected Feeder ]],'Basic Data'!$A$42:$E$53,2,0),"")</f>
        <v/>
      </c>
      <c r="I733" s="43" t="str">
        <f>IFERROR(VLOOKUP(IGA_BD[[#This Row],[Affected Feeder ]],'Basic Data'!$A$42:$E$53,3,0),"")</f>
        <v/>
      </c>
      <c r="J733" s="43" t="str">
        <f>IFERROR(VLOOKUP(IGA_BD[[#This Row],[Affected Feeder ]],'Basic Data'!$A$42:$E$53,5,0),"")</f>
        <v/>
      </c>
      <c r="K733" s="164"/>
      <c r="L733" s="50"/>
      <c r="M733" s="116"/>
      <c r="N733" s="116"/>
      <c r="O733" s="57">
        <f>(IGA_BD[[#This Row],[Work Start TimeStamp]]-IGA_BD[[#This Row],[Fault Start TimeStamp]])*24</f>
        <v>0</v>
      </c>
      <c r="P733" s="44" t="str">
        <f>IF(IGA_BD[[#This Row],[Work Start TimeStamp]]="","",(IGA_BD[[#This Row],[Fault Clearance time]]-IGA_BD[[#This Row],[Work Start TimeStamp]])*24)</f>
        <v/>
      </c>
      <c r="Q733" s="57">
        <f>(IGA_BD[[#This Row],[Fault Clearance time]]-IGA_BD[[#This Row],[Fault Start TimeStamp]])*24</f>
        <v>0</v>
      </c>
      <c r="R733" s="153"/>
      <c r="S733" s="44"/>
      <c r="T733" s="45" t="str">
        <f>IFERROR(IGA_BD[[#This Row],[Breakdown Time]]*IGA_BD[[#This Row],[Plant Equivalent Weightage]],"")</f>
        <v/>
      </c>
    </row>
    <row r="734" spans="1:20">
      <c r="A734" s="28"/>
      <c r="B734" s="154"/>
      <c r="C734" s="30">
        <f>YEAR(WTG_BD[[#This Row],[Date]])+IF(MONTH(WTG_BD[[#This Row],[Date]])&gt;=4,1,0)</f>
        <v>2026</v>
      </c>
      <c r="D734" s="31">
        <f>YEAR(IGA_BD[[#This Row],[Date]])</f>
        <v>1900</v>
      </c>
      <c r="E734" s="48">
        <f t="shared" si="14"/>
        <v>1</v>
      </c>
      <c r="F734" s="32"/>
      <c r="G734" s="33"/>
      <c r="H734" s="43" t="str">
        <f>IFERROR(VLOOKUP(IGA_BD[[#This Row],[Affected Feeder ]],'Basic Data'!$A$42:$E$53,2,0),"")</f>
        <v/>
      </c>
      <c r="I734" s="43" t="str">
        <f>IFERROR(VLOOKUP(IGA_BD[[#This Row],[Affected Feeder ]],'Basic Data'!$A$42:$E$53,3,0),"")</f>
        <v/>
      </c>
      <c r="J734" s="43" t="str">
        <f>IFERROR(VLOOKUP(IGA_BD[[#This Row],[Affected Feeder ]],'Basic Data'!$A$42:$E$53,5,0),"")</f>
        <v/>
      </c>
      <c r="K734" s="164"/>
      <c r="L734" s="50"/>
      <c r="M734" s="116"/>
      <c r="N734" s="116"/>
      <c r="O734" s="57">
        <f>(IGA_BD[[#This Row],[Work Start TimeStamp]]-IGA_BD[[#This Row],[Fault Start TimeStamp]])*24</f>
        <v>0</v>
      </c>
      <c r="P734" s="44" t="str">
        <f>IF(IGA_BD[[#This Row],[Work Start TimeStamp]]="","",(IGA_BD[[#This Row],[Fault Clearance time]]-IGA_BD[[#This Row],[Work Start TimeStamp]])*24)</f>
        <v/>
      </c>
      <c r="Q734" s="57">
        <f>(IGA_BD[[#This Row],[Fault Clearance time]]-IGA_BD[[#This Row],[Fault Start TimeStamp]])*24</f>
        <v>0</v>
      </c>
      <c r="R734" s="153"/>
      <c r="S734" s="44"/>
      <c r="T734" s="45" t="str">
        <f>IFERROR(IGA_BD[[#This Row],[Breakdown Time]]*IGA_BD[[#This Row],[Plant Equivalent Weightage]],"")</f>
        <v/>
      </c>
    </row>
    <row r="735" spans="1:20">
      <c r="A735" s="28"/>
      <c r="B735" s="154"/>
      <c r="C735" s="30">
        <f>YEAR(WTG_BD[[#This Row],[Date]])+IF(MONTH(WTG_BD[[#This Row],[Date]])&gt;=4,1,0)</f>
        <v>2026</v>
      </c>
      <c r="D735" s="31">
        <f>YEAR(IGA_BD[[#This Row],[Date]])</f>
        <v>1900</v>
      </c>
      <c r="E735" s="48">
        <f t="shared" si="14"/>
        <v>1</v>
      </c>
      <c r="F735" s="32"/>
      <c r="G735" s="33"/>
      <c r="H735" s="43" t="str">
        <f>IFERROR(VLOOKUP(IGA_BD[[#This Row],[Affected Feeder ]],'Basic Data'!$A$42:$E$53,2,0),"")</f>
        <v/>
      </c>
      <c r="I735" s="43" t="str">
        <f>IFERROR(VLOOKUP(IGA_BD[[#This Row],[Affected Feeder ]],'Basic Data'!$A$42:$E$53,3,0),"")</f>
        <v/>
      </c>
      <c r="J735" s="43" t="str">
        <f>IFERROR(VLOOKUP(IGA_BD[[#This Row],[Affected Feeder ]],'Basic Data'!$A$42:$E$53,5,0),"")</f>
        <v/>
      </c>
      <c r="K735" s="164"/>
      <c r="L735" s="50"/>
      <c r="M735" s="116"/>
      <c r="N735" s="116"/>
      <c r="O735" s="57">
        <f>(IGA_BD[[#This Row],[Work Start TimeStamp]]-IGA_BD[[#This Row],[Fault Start TimeStamp]])*24</f>
        <v>0</v>
      </c>
      <c r="P735" s="44" t="str">
        <f>IF(IGA_BD[[#This Row],[Work Start TimeStamp]]="","",(IGA_BD[[#This Row],[Fault Clearance time]]-IGA_BD[[#This Row],[Work Start TimeStamp]])*24)</f>
        <v/>
      </c>
      <c r="Q735" s="57">
        <f>(IGA_BD[[#This Row],[Fault Clearance time]]-IGA_BD[[#This Row],[Fault Start TimeStamp]])*24</f>
        <v>0</v>
      </c>
      <c r="R735" s="153"/>
      <c r="S735" s="44"/>
      <c r="T735" s="45" t="str">
        <f>IFERROR(IGA_BD[[#This Row],[Breakdown Time]]*IGA_BD[[#This Row],[Plant Equivalent Weightage]],"")</f>
        <v/>
      </c>
    </row>
    <row r="736" spans="1:20">
      <c r="A736" s="28"/>
      <c r="B736" s="154"/>
      <c r="C736" s="30">
        <f>YEAR(WTG_BD[[#This Row],[Date]])+IF(MONTH(WTG_BD[[#This Row],[Date]])&gt;=4,1,0)</f>
        <v>2026</v>
      </c>
      <c r="D736" s="31">
        <f>YEAR(IGA_BD[[#This Row],[Date]])</f>
        <v>1900</v>
      </c>
      <c r="E736" s="48">
        <f t="shared" si="14"/>
        <v>1</v>
      </c>
      <c r="F736" s="32"/>
      <c r="G736" s="33"/>
      <c r="H736" s="43" t="str">
        <f>IFERROR(VLOOKUP(IGA_BD[[#This Row],[Affected Feeder ]],'Basic Data'!$A$42:$E$53,2,0),"")</f>
        <v/>
      </c>
      <c r="I736" s="43" t="str">
        <f>IFERROR(VLOOKUP(IGA_BD[[#This Row],[Affected Feeder ]],'Basic Data'!$A$42:$E$53,3,0),"")</f>
        <v/>
      </c>
      <c r="J736" s="43" t="str">
        <f>IFERROR(VLOOKUP(IGA_BD[[#This Row],[Affected Feeder ]],'Basic Data'!$A$42:$E$53,5,0),"")</f>
        <v/>
      </c>
      <c r="K736" s="164"/>
      <c r="L736" s="50"/>
      <c r="M736" s="116"/>
      <c r="N736" s="116"/>
      <c r="O736" s="57">
        <f>(IGA_BD[[#This Row],[Work Start TimeStamp]]-IGA_BD[[#This Row],[Fault Start TimeStamp]])*24</f>
        <v>0</v>
      </c>
      <c r="P736" s="44" t="str">
        <f>IF(IGA_BD[[#This Row],[Work Start TimeStamp]]="","",(IGA_BD[[#This Row],[Fault Clearance time]]-IGA_BD[[#This Row],[Work Start TimeStamp]])*24)</f>
        <v/>
      </c>
      <c r="Q736" s="57">
        <f>(IGA_BD[[#This Row],[Fault Clearance time]]-IGA_BD[[#This Row],[Fault Start TimeStamp]])*24</f>
        <v>0</v>
      </c>
      <c r="R736" s="153"/>
      <c r="S736" s="44"/>
      <c r="T736" s="45" t="str">
        <f>IFERROR(IGA_BD[[#This Row],[Breakdown Time]]*IGA_BD[[#This Row],[Plant Equivalent Weightage]],"")</f>
        <v/>
      </c>
    </row>
    <row r="737" spans="1:20">
      <c r="A737" s="28"/>
      <c r="B737" s="154"/>
      <c r="C737" s="30">
        <f>YEAR(WTG_BD[[#This Row],[Date]])+IF(MONTH(WTG_BD[[#This Row],[Date]])&gt;=4,1,0)</f>
        <v>2026</v>
      </c>
      <c r="D737" s="31">
        <f>YEAR(IGA_BD[[#This Row],[Date]])</f>
        <v>1900</v>
      </c>
      <c r="E737" s="48">
        <f t="shared" si="14"/>
        <v>1</v>
      </c>
      <c r="F737" s="32"/>
      <c r="G737" s="33"/>
      <c r="H737" s="43" t="str">
        <f>IFERROR(VLOOKUP(IGA_BD[[#This Row],[Affected Feeder ]],'Basic Data'!$A$42:$E$53,2,0),"")</f>
        <v/>
      </c>
      <c r="I737" s="43" t="str">
        <f>IFERROR(VLOOKUP(IGA_BD[[#This Row],[Affected Feeder ]],'Basic Data'!$A$42:$E$53,3,0),"")</f>
        <v/>
      </c>
      <c r="J737" s="43" t="str">
        <f>IFERROR(VLOOKUP(IGA_BD[[#This Row],[Affected Feeder ]],'Basic Data'!$A$42:$E$53,5,0),"")</f>
        <v/>
      </c>
      <c r="K737" s="164"/>
      <c r="L737" s="50"/>
      <c r="M737" s="116"/>
      <c r="N737" s="116"/>
      <c r="O737" s="57">
        <f>(IGA_BD[[#This Row],[Work Start TimeStamp]]-IGA_BD[[#This Row],[Fault Start TimeStamp]])*24</f>
        <v>0</v>
      </c>
      <c r="P737" s="44" t="str">
        <f>IF(IGA_BD[[#This Row],[Work Start TimeStamp]]="","",(IGA_BD[[#This Row],[Fault Clearance time]]-IGA_BD[[#This Row],[Work Start TimeStamp]])*24)</f>
        <v/>
      </c>
      <c r="Q737" s="57">
        <f>(IGA_BD[[#This Row],[Fault Clearance time]]-IGA_BD[[#This Row],[Fault Start TimeStamp]])*24</f>
        <v>0</v>
      </c>
      <c r="R737" s="153"/>
      <c r="S737" s="44"/>
      <c r="T737" s="45" t="str">
        <f>IFERROR(IGA_BD[[#This Row],[Breakdown Time]]*IGA_BD[[#This Row],[Plant Equivalent Weightage]],"")</f>
        <v/>
      </c>
    </row>
    <row r="738" spans="1:20">
      <c r="A738" s="28"/>
      <c r="B738" s="154"/>
      <c r="C738" s="30">
        <f>YEAR(WTG_BD[[#This Row],[Date]])+IF(MONTH(WTG_BD[[#This Row],[Date]])&gt;=4,1,0)</f>
        <v>2026</v>
      </c>
      <c r="D738" s="31">
        <f>YEAR(IGA_BD[[#This Row],[Date]])</f>
        <v>1900</v>
      </c>
      <c r="E738" s="48">
        <f t="shared" si="14"/>
        <v>1</v>
      </c>
      <c r="F738" s="32"/>
      <c r="G738" s="33"/>
      <c r="H738" s="43" t="str">
        <f>IFERROR(VLOOKUP(IGA_BD[[#This Row],[Affected Feeder ]],'Basic Data'!$A$42:$E$53,2,0),"")</f>
        <v/>
      </c>
      <c r="I738" s="43" t="str">
        <f>IFERROR(VLOOKUP(IGA_BD[[#This Row],[Affected Feeder ]],'Basic Data'!$A$42:$E$53,3,0),"")</f>
        <v/>
      </c>
      <c r="J738" s="43" t="str">
        <f>IFERROR(VLOOKUP(IGA_BD[[#This Row],[Affected Feeder ]],'Basic Data'!$A$42:$E$53,5,0),"")</f>
        <v/>
      </c>
      <c r="K738" s="164"/>
      <c r="L738" s="50"/>
      <c r="M738" s="116"/>
      <c r="N738" s="116"/>
      <c r="O738" s="57">
        <f>(IGA_BD[[#This Row],[Work Start TimeStamp]]-IGA_BD[[#This Row],[Fault Start TimeStamp]])*24</f>
        <v>0</v>
      </c>
      <c r="P738" s="44" t="str">
        <f>IF(IGA_BD[[#This Row],[Work Start TimeStamp]]="","",(IGA_BD[[#This Row],[Fault Clearance time]]-IGA_BD[[#This Row],[Work Start TimeStamp]])*24)</f>
        <v/>
      </c>
      <c r="Q738" s="57">
        <f>(IGA_BD[[#This Row],[Fault Clearance time]]-IGA_BD[[#This Row],[Fault Start TimeStamp]])*24</f>
        <v>0</v>
      </c>
      <c r="R738" s="153"/>
      <c r="S738" s="44"/>
      <c r="T738" s="45" t="str">
        <f>IFERROR(IGA_BD[[#This Row],[Breakdown Time]]*IGA_BD[[#This Row],[Plant Equivalent Weightage]],"")</f>
        <v/>
      </c>
    </row>
    <row r="739" spans="1:20">
      <c r="A739" s="28"/>
      <c r="B739" s="154"/>
      <c r="C739" s="30">
        <f>YEAR(WTG_BD[[#This Row],[Date]])+IF(MONTH(WTG_BD[[#This Row],[Date]])&gt;=4,1,0)</f>
        <v>2026</v>
      </c>
      <c r="D739" s="31">
        <f>YEAR(IGA_BD[[#This Row],[Date]])</f>
        <v>1900</v>
      </c>
      <c r="E739" s="48">
        <f t="shared" si="14"/>
        <v>1</v>
      </c>
      <c r="F739" s="32"/>
      <c r="G739" s="33"/>
      <c r="H739" s="43" t="str">
        <f>IFERROR(VLOOKUP(IGA_BD[[#This Row],[Affected Feeder ]],'Basic Data'!$A$42:$E$53,2,0),"")</f>
        <v/>
      </c>
      <c r="I739" s="43" t="str">
        <f>IFERROR(VLOOKUP(IGA_BD[[#This Row],[Affected Feeder ]],'Basic Data'!$A$42:$E$53,3,0),"")</f>
        <v/>
      </c>
      <c r="J739" s="43" t="str">
        <f>IFERROR(VLOOKUP(IGA_BD[[#This Row],[Affected Feeder ]],'Basic Data'!$A$42:$E$53,5,0),"")</f>
        <v/>
      </c>
      <c r="K739" s="164"/>
      <c r="L739" s="50"/>
      <c r="M739" s="116"/>
      <c r="N739" s="116"/>
      <c r="O739" s="57">
        <f>(IGA_BD[[#This Row],[Work Start TimeStamp]]-IGA_BD[[#This Row],[Fault Start TimeStamp]])*24</f>
        <v>0</v>
      </c>
      <c r="P739" s="44" t="str">
        <f>IF(IGA_BD[[#This Row],[Work Start TimeStamp]]="","",(IGA_BD[[#This Row],[Fault Clearance time]]-IGA_BD[[#This Row],[Work Start TimeStamp]])*24)</f>
        <v/>
      </c>
      <c r="Q739" s="57">
        <f>(IGA_BD[[#This Row],[Fault Clearance time]]-IGA_BD[[#This Row],[Fault Start TimeStamp]])*24</f>
        <v>0</v>
      </c>
      <c r="R739" s="153"/>
      <c r="S739" s="44"/>
      <c r="T739" s="45" t="str">
        <f>IFERROR(IGA_BD[[#This Row],[Breakdown Time]]*IGA_BD[[#This Row],[Plant Equivalent Weightage]],"")</f>
        <v/>
      </c>
    </row>
    <row r="740" spans="1:20">
      <c r="A740" s="28"/>
      <c r="B740" s="154"/>
      <c r="C740" s="30">
        <f>YEAR(WTG_BD[[#This Row],[Date]])+IF(MONTH(WTG_BD[[#This Row],[Date]])&gt;=4,1,0)</f>
        <v>2026</v>
      </c>
      <c r="D740" s="31">
        <f>YEAR(IGA_BD[[#This Row],[Date]])</f>
        <v>1900</v>
      </c>
      <c r="E740" s="48">
        <f t="shared" si="14"/>
        <v>1</v>
      </c>
      <c r="F740" s="32"/>
      <c r="G740" s="33"/>
      <c r="H740" s="43" t="str">
        <f>IFERROR(VLOOKUP(IGA_BD[[#This Row],[Affected Feeder ]],'Basic Data'!$A$42:$E$53,2,0),"")</f>
        <v/>
      </c>
      <c r="I740" s="43" t="str">
        <f>IFERROR(VLOOKUP(IGA_BD[[#This Row],[Affected Feeder ]],'Basic Data'!$A$42:$E$53,3,0),"")</f>
        <v/>
      </c>
      <c r="J740" s="43" t="str">
        <f>IFERROR(VLOOKUP(IGA_BD[[#This Row],[Affected Feeder ]],'Basic Data'!$A$42:$E$53,5,0),"")</f>
        <v/>
      </c>
      <c r="K740" s="164"/>
      <c r="L740" s="50"/>
      <c r="M740" s="116"/>
      <c r="N740" s="116"/>
      <c r="O740" s="57">
        <f>(IGA_BD[[#This Row],[Work Start TimeStamp]]-IGA_BD[[#This Row],[Fault Start TimeStamp]])*24</f>
        <v>0</v>
      </c>
      <c r="P740" s="44" t="str">
        <f>IF(IGA_BD[[#This Row],[Work Start TimeStamp]]="","",(IGA_BD[[#This Row],[Fault Clearance time]]-IGA_BD[[#This Row],[Work Start TimeStamp]])*24)</f>
        <v/>
      </c>
      <c r="Q740" s="57">
        <f>(IGA_BD[[#This Row],[Fault Clearance time]]-IGA_BD[[#This Row],[Fault Start TimeStamp]])*24</f>
        <v>0</v>
      </c>
      <c r="R740" s="153"/>
      <c r="S740" s="44"/>
      <c r="T740" s="45" t="str">
        <f>IFERROR(IGA_BD[[#This Row],[Breakdown Time]]*IGA_BD[[#This Row],[Plant Equivalent Weightage]],"")</f>
        <v/>
      </c>
    </row>
    <row r="741" spans="1:20">
      <c r="A741" s="28"/>
      <c r="B741" s="154"/>
      <c r="C741" s="30">
        <f>YEAR(WTG_BD[[#This Row],[Date]])+IF(MONTH(WTG_BD[[#This Row],[Date]])&gt;=4,1,0)</f>
        <v>2026</v>
      </c>
      <c r="D741" s="31">
        <f>YEAR(IGA_BD[[#This Row],[Date]])</f>
        <v>1900</v>
      </c>
      <c r="E741" s="48">
        <f t="shared" si="14"/>
        <v>1</v>
      </c>
      <c r="F741" s="32"/>
      <c r="G741" s="33"/>
      <c r="H741" s="43" t="str">
        <f>IFERROR(VLOOKUP(IGA_BD[[#This Row],[Affected Feeder ]],'Basic Data'!$A$42:$E$53,2,0),"")</f>
        <v/>
      </c>
      <c r="I741" s="43" t="str">
        <f>IFERROR(VLOOKUP(IGA_BD[[#This Row],[Affected Feeder ]],'Basic Data'!$A$42:$E$53,3,0),"")</f>
        <v/>
      </c>
      <c r="J741" s="43" t="str">
        <f>IFERROR(VLOOKUP(IGA_BD[[#This Row],[Affected Feeder ]],'Basic Data'!$A$42:$E$53,5,0),"")</f>
        <v/>
      </c>
      <c r="K741" s="164"/>
      <c r="L741" s="50"/>
      <c r="M741" s="116"/>
      <c r="N741" s="116"/>
      <c r="O741" s="57">
        <f>(IGA_BD[[#This Row],[Work Start TimeStamp]]-IGA_BD[[#This Row],[Fault Start TimeStamp]])*24</f>
        <v>0</v>
      </c>
      <c r="P741" s="44" t="str">
        <f>IF(IGA_BD[[#This Row],[Work Start TimeStamp]]="","",(IGA_BD[[#This Row],[Fault Clearance time]]-IGA_BD[[#This Row],[Work Start TimeStamp]])*24)</f>
        <v/>
      </c>
      <c r="Q741" s="57">
        <f>(IGA_BD[[#This Row],[Fault Clearance time]]-IGA_BD[[#This Row],[Fault Start TimeStamp]])*24</f>
        <v>0</v>
      </c>
      <c r="R741" s="153"/>
      <c r="S741" s="44"/>
      <c r="T741" s="45" t="str">
        <f>IFERROR(IGA_BD[[#This Row],[Breakdown Time]]*IGA_BD[[#This Row],[Plant Equivalent Weightage]],"")</f>
        <v/>
      </c>
    </row>
    <row r="742" spans="1:20">
      <c r="A742" s="28"/>
      <c r="B742" s="154"/>
      <c r="C742" s="30">
        <f>YEAR(WTG_BD[[#This Row],[Date]])+IF(MONTH(WTG_BD[[#This Row],[Date]])&gt;=4,1,0)</f>
        <v>2026</v>
      </c>
      <c r="D742" s="31">
        <f>YEAR(IGA_BD[[#This Row],[Date]])</f>
        <v>1900</v>
      </c>
      <c r="E742" s="48">
        <f t="shared" si="14"/>
        <v>1</v>
      </c>
      <c r="F742" s="32"/>
      <c r="G742" s="33"/>
      <c r="H742" s="43" t="str">
        <f>IFERROR(VLOOKUP(IGA_BD[[#This Row],[Affected Feeder ]],'Basic Data'!$A$42:$E$53,2,0),"")</f>
        <v/>
      </c>
      <c r="I742" s="43" t="str">
        <f>IFERROR(VLOOKUP(IGA_BD[[#This Row],[Affected Feeder ]],'Basic Data'!$A$42:$E$53,3,0),"")</f>
        <v/>
      </c>
      <c r="J742" s="43" t="str">
        <f>IFERROR(VLOOKUP(IGA_BD[[#This Row],[Affected Feeder ]],'Basic Data'!$A$42:$E$53,5,0),"")</f>
        <v/>
      </c>
      <c r="K742" s="164"/>
      <c r="L742" s="50"/>
      <c r="M742" s="116"/>
      <c r="N742" s="116"/>
      <c r="O742" s="57">
        <f>(IGA_BD[[#This Row],[Work Start TimeStamp]]-IGA_BD[[#This Row],[Fault Start TimeStamp]])*24</f>
        <v>0</v>
      </c>
      <c r="P742" s="44" t="str">
        <f>IF(IGA_BD[[#This Row],[Work Start TimeStamp]]="","",(IGA_BD[[#This Row],[Fault Clearance time]]-IGA_BD[[#This Row],[Work Start TimeStamp]])*24)</f>
        <v/>
      </c>
      <c r="Q742" s="57">
        <f>(IGA_BD[[#This Row],[Fault Clearance time]]-IGA_BD[[#This Row],[Fault Start TimeStamp]])*24</f>
        <v>0</v>
      </c>
      <c r="R742" s="153"/>
      <c r="S742" s="44"/>
      <c r="T742" s="45" t="str">
        <f>IFERROR(IGA_BD[[#This Row],[Breakdown Time]]*IGA_BD[[#This Row],[Plant Equivalent Weightage]],"")</f>
        <v/>
      </c>
    </row>
    <row r="743" spans="1:20">
      <c r="A743" s="28"/>
      <c r="B743" s="154"/>
      <c r="C743" s="30">
        <f>YEAR(WTG_BD[[#This Row],[Date]])+IF(MONTH(WTG_BD[[#This Row],[Date]])&gt;=4,1,0)</f>
        <v>2026</v>
      </c>
      <c r="D743" s="31">
        <f>YEAR(IGA_BD[[#This Row],[Date]])</f>
        <v>1900</v>
      </c>
      <c r="E743" s="48">
        <f t="shared" si="14"/>
        <v>1</v>
      </c>
      <c r="F743" s="32"/>
      <c r="G743" s="33"/>
      <c r="H743" s="43" t="str">
        <f>IFERROR(VLOOKUP(IGA_BD[[#This Row],[Affected Feeder ]],'Basic Data'!$A$42:$E$53,2,0),"")</f>
        <v/>
      </c>
      <c r="I743" s="43" t="str">
        <f>IFERROR(VLOOKUP(IGA_BD[[#This Row],[Affected Feeder ]],'Basic Data'!$A$42:$E$53,3,0),"")</f>
        <v/>
      </c>
      <c r="J743" s="43" t="str">
        <f>IFERROR(VLOOKUP(IGA_BD[[#This Row],[Affected Feeder ]],'Basic Data'!$A$42:$E$53,5,0),"")</f>
        <v/>
      </c>
      <c r="K743" s="164"/>
      <c r="L743" s="50"/>
      <c r="M743" s="116"/>
      <c r="N743" s="116"/>
      <c r="O743" s="57">
        <f>(IGA_BD[[#This Row],[Work Start TimeStamp]]-IGA_BD[[#This Row],[Fault Start TimeStamp]])*24</f>
        <v>0</v>
      </c>
      <c r="P743" s="44" t="str">
        <f>IF(IGA_BD[[#This Row],[Work Start TimeStamp]]="","",(IGA_BD[[#This Row],[Fault Clearance time]]-IGA_BD[[#This Row],[Work Start TimeStamp]])*24)</f>
        <v/>
      </c>
      <c r="Q743" s="57">
        <f>(IGA_BD[[#This Row],[Fault Clearance time]]-IGA_BD[[#This Row],[Fault Start TimeStamp]])*24</f>
        <v>0</v>
      </c>
      <c r="R743" s="153"/>
      <c r="S743" s="44"/>
      <c r="T743" s="45" t="str">
        <f>IFERROR(IGA_BD[[#This Row],[Breakdown Time]]*IGA_BD[[#This Row],[Plant Equivalent Weightage]],"")</f>
        <v/>
      </c>
    </row>
    <row r="744" spans="1:20">
      <c r="A744" s="28"/>
      <c r="B744" s="154"/>
      <c r="C744" s="30">
        <f>YEAR(WTG_BD[[#This Row],[Date]])+IF(MONTH(WTG_BD[[#This Row],[Date]])&gt;=4,1,0)</f>
        <v>2026</v>
      </c>
      <c r="D744" s="31">
        <f>YEAR(IGA_BD[[#This Row],[Date]])</f>
        <v>1900</v>
      </c>
      <c r="E744" s="48">
        <f t="shared" si="14"/>
        <v>1</v>
      </c>
      <c r="F744" s="32"/>
      <c r="G744" s="33"/>
      <c r="H744" s="43" t="str">
        <f>IFERROR(VLOOKUP(IGA_BD[[#This Row],[Affected Feeder ]],'Basic Data'!$A$42:$E$53,2,0),"")</f>
        <v/>
      </c>
      <c r="I744" s="43" t="str">
        <f>IFERROR(VLOOKUP(IGA_BD[[#This Row],[Affected Feeder ]],'Basic Data'!$A$42:$E$53,3,0),"")</f>
        <v/>
      </c>
      <c r="J744" s="43" t="str">
        <f>IFERROR(VLOOKUP(IGA_BD[[#This Row],[Affected Feeder ]],'Basic Data'!$A$42:$E$53,5,0),"")</f>
        <v/>
      </c>
      <c r="K744" s="164"/>
      <c r="L744" s="50"/>
      <c r="M744" s="116"/>
      <c r="N744" s="116"/>
      <c r="O744" s="57">
        <f>(IGA_BD[[#This Row],[Work Start TimeStamp]]-IGA_BD[[#This Row],[Fault Start TimeStamp]])*24</f>
        <v>0</v>
      </c>
      <c r="P744" s="44" t="str">
        <f>IF(IGA_BD[[#This Row],[Work Start TimeStamp]]="","",(IGA_BD[[#This Row],[Fault Clearance time]]-IGA_BD[[#This Row],[Work Start TimeStamp]])*24)</f>
        <v/>
      </c>
      <c r="Q744" s="57">
        <f>(IGA_BD[[#This Row],[Fault Clearance time]]-IGA_BD[[#This Row],[Fault Start TimeStamp]])*24</f>
        <v>0</v>
      </c>
      <c r="R744" s="153"/>
      <c r="S744" s="44"/>
      <c r="T744" s="45" t="str">
        <f>IFERROR(IGA_BD[[#This Row],[Breakdown Time]]*IGA_BD[[#This Row],[Plant Equivalent Weightage]],"")</f>
        <v/>
      </c>
    </row>
    <row r="745" spans="1:20">
      <c r="A745" s="28"/>
      <c r="B745" s="154"/>
      <c r="C745" s="30">
        <f>YEAR(WTG_BD[[#This Row],[Date]])+IF(MONTH(WTG_BD[[#This Row],[Date]])&gt;=4,1,0)</f>
        <v>2026</v>
      </c>
      <c r="D745" s="31">
        <f>YEAR(IGA_BD[[#This Row],[Date]])</f>
        <v>1900</v>
      </c>
      <c r="E745" s="48">
        <f t="shared" si="14"/>
        <v>1</v>
      </c>
      <c r="F745" s="32"/>
      <c r="G745" s="33"/>
      <c r="H745" s="43" t="str">
        <f>IFERROR(VLOOKUP(IGA_BD[[#This Row],[Affected Feeder ]],'Basic Data'!$A$42:$E$53,2,0),"")</f>
        <v/>
      </c>
      <c r="I745" s="43" t="str">
        <f>IFERROR(VLOOKUP(IGA_BD[[#This Row],[Affected Feeder ]],'Basic Data'!$A$42:$E$53,3,0),"")</f>
        <v/>
      </c>
      <c r="J745" s="43" t="str">
        <f>IFERROR(VLOOKUP(IGA_BD[[#This Row],[Affected Feeder ]],'Basic Data'!$A$42:$E$53,5,0),"")</f>
        <v/>
      </c>
      <c r="K745" s="164"/>
      <c r="L745" s="50"/>
      <c r="M745" s="116"/>
      <c r="N745" s="116"/>
      <c r="O745" s="57">
        <f>(IGA_BD[[#This Row],[Work Start TimeStamp]]-IGA_BD[[#This Row],[Fault Start TimeStamp]])*24</f>
        <v>0</v>
      </c>
      <c r="P745" s="44" t="str">
        <f>IF(IGA_BD[[#This Row],[Work Start TimeStamp]]="","",(IGA_BD[[#This Row],[Fault Clearance time]]-IGA_BD[[#This Row],[Work Start TimeStamp]])*24)</f>
        <v/>
      </c>
      <c r="Q745" s="57">
        <f>(IGA_BD[[#This Row],[Fault Clearance time]]-IGA_BD[[#This Row],[Fault Start TimeStamp]])*24</f>
        <v>0</v>
      </c>
      <c r="R745" s="153"/>
      <c r="S745" s="44"/>
      <c r="T745" s="45" t="str">
        <f>IFERROR(IGA_BD[[#This Row],[Breakdown Time]]*IGA_BD[[#This Row],[Plant Equivalent Weightage]],"")</f>
        <v/>
      </c>
    </row>
    <row r="746" spans="1:20">
      <c r="A746" s="28"/>
      <c r="B746" s="154"/>
      <c r="C746" s="30">
        <f>YEAR(WTG_BD[[#This Row],[Date]])+IF(MONTH(WTG_BD[[#This Row],[Date]])&gt;=4,1,0)</f>
        <v>2026</v>
      </c>
      <c r="D746" s="31">
        <f>YEAR(IGA_BD[[#This Row],[Date]])</f>
        <v>1900</v>
      </c>
      <c r="E746" s="48">
        <f t="shared" si="14"/>
        <v>1</v>
      </c>
      <c r="F746" s="32"/>
      <c r="G746" s="33"/>
      <c r="H746" s="43" t="str">
        <f>IFERROR(VLOOKUP(IGA_BD[[#This Row],[Affected Feeder ]],'Basic Data'!$A$42:$E$53,2,0),"")</f>
        <v/>
      </c>
      <c r="I746" s="43" t="str">
        <f>IFERROR(VLOOKUP(IGA_BD[[#This Row],[Affected Feeder ]],'Basic Data'!$A$42:$E$53,3,0),"")</f>
        <v/>
      </c>
      <c r="J746" s="43" t="str">
        <f>IFERROR(VLOOKUP(IGA_BD[[#This Row],[Affected Feeder ]],'Basic Data'!$A$42:$E$53,5,0),"")</f>
        <v/>
      </c>
      <c r="K746" s="164"/>
      <c r="L746" s="50"/>
      <c r="M746" s="116"/>
      <c r="N746" s="116"/>
      <c r="O746" s="57">
        <f>(IGA_BD[[#This Row],[Work Start TimeStamp]]-IGA_BD[[#This Row],[Fault Start TimeStamp]])*24</f>
        <v>0</v>
      </c>
      <c r="P746" s="44" t="str">
        <f>IF(IGA_BD[[#This Row],[Work Start TimeStamp]]="","",(IGA_BD[[#This Row],[Fault Clearance time]]-IGA_BD[[#This Row],[Work Start TimeStamp]])*24)</f>
        <v/>
      </c>
      <c r="Q746" s="57">
        <f>(IGA_BD[[#This Row],[Fault Clearance time]]-IGA_BD[[#This Row],[Fault Start TimeStamp]])*24</f>
        <v>0</v>
      </c>
      <c r="R746" s="153"/>
      <c r="S746" s="44"/>
      <c r="T746" s="45" t="str">
        <f>IFERROR(IGA_BD[[#This Row],[Breakdown Time]]*IGA_BD[[#This Row],[Plant Equivalent Weightage]],"")</f>
        <v/>
      </c>
    </row>
    <row r="747" spans="1:20">
      <c r="A747" s="28"/>
      <c r="B747" s="154"/>
      <c r="C747" s="30">
        <f>YEAR(WTG_BD[[#This Row],[Date]])+IF(MONTH(WTG_BD[[#This Row],[Date]])&gt;=4,1,0)</f>
        <v>2026</v>
      </c>
      <c r="D747" s="31">
        <f>YEAR(IGA_BD[[#This Row],[Date]])</f>
        <v>1900</v>
      </c>
      <c r="E747" s="48">
        <f t="shared" si="14"/>
        <v>1</v>
      </c>
      <c r="F747" s="32"/>
      <c r="G747" s="33"/>
      <c r="H747" s="43" t="str">
        <f>IFERROR(VLOOKUP(IGA_BD[[#This Row],[Affected Feeder ]],'Basic Data'!$A$42:$E$53,2,0),"")</f>
        <v/>
      </c>
      <c r="I747" s="43" t="str">
        <f>IFERROR(VLOOKUP(IGA_BD[[#This Row],[Affected Feeder ]],'Basic Data'!$A$42:$E$53,3,0),"")</f>
        <v/>
      </c>
      <c r="J747" s="43" t="str">
        <f>IFERROR(VLOOKUP(IGA_BD[[#This Row],[Affected Feeder ]],'Basic Data'!$A$42:$E$53,5,0),"")</f>
        <v/>
      </c>
      <c r="K747" s="164"/>
      <c r="L747" s="50"/>
      <c r="M747" s="116"/>
      <c r="N747" s="116"/>
      <c r="O747" s="57">
        <f>(IGA_BD[[#This Row],[Work Start TimeStamp]]-IGA_BD[[#This Row],[Fault Start TimeStamp]])*24</f>
        <v>0</v>
      </c>
      <c r="P747" s="44" t="str">
        <f>IF(IGA_BD[[#This Row],[Work Start TimeStamp]]="","",(IGA_BD[[#This Row],[Fault Clearance time]]-IGA_BD[[#This Row],[Work Start TimeStamp]])*24)</f>
        <v/>
      </c>
      <c r="Q747" s="57">
        <f>(IGA_BD[[#This Row],[Fault Clearance time]]-IGA_BD[[#This Row],[Fault Start TimeStamp]])*24</f>
        <v>0</v>
      </c>
      <c r="R747" s="153"/>
      <c r="S747" s="44"/>
      <c r="T747" s="45" t="str">
        <f>IFERROR(IGA_BD[[#This Row],[Breakdown Time]]*IGA_BD[[#This Row],[Plant Equivalent Weightage]],"")</f>
        <v/>
      </c>
    </row>
    <row r="748" spans="1:20">
      <c r="A748" s="28"/>
      <c r="B748" s="154"/>
      <c r="C748" s="30">
        <f>YEAR(WTG_BD[[#This Row],[Date]])+IF(MONTH(WTG_BD[[#This Row],[Date]])&gt;=4,1,0)</f>
        <v>2026</v>
      </c>
      <c r="D748" s="31">
        <f>YEAR(IGA_BD[[#This Row],[Date]])</f>
        <v>1900</v>
      </c>
      <c r="E748" s="48">
        <f t="shared" si="14"/>
        <v>1</v>
      </c>
      <c r="F748" s="32"/>
      <c r="G748" s="33"/>
      <c r="H748" s="43" t="str">
        <f>IFERROR(VLOOKUP(IGA_BD[[#This Row],[Affected Feeder ]],'Basic Data'!$A$42:$E$53,2,0),"")</f>
        <v/>
      </c>
      <c r="I748" s="43" t="str">
        <f>IFERROR(VLOOKUP(IGA_BD[[#This Row],[Affected Feeder ]],'Basic Data'!$A$42:$E$53,3,0),"")</f>
        <v/>
      </c>
      <c r="J748" s="43" t="str">
        <f>IFERROR(VLOOKUP(IGA_BD[[#This Row],[Affected Feeder ]],'Basic Data'!$A$42:$E$53,5,0),"")</f>
        <v/>
      </c>
      <c r="K748" s="164"/>
      <c r="L748" s="50"/>
      <c r="M748" s="116"/>
      <c r="N748" s="116"/>
      <c r="O748" s="57">
        <f>(IGA_BD[[#This Row],[Work Start TimeStamp]]-IGA_BD[[#This Row],[Fault Start TimeStamp]])*24</f>
        <v>0</v>
      </c>
      <c r="P748" s="44" t="str">
        <f>IF(IGA_BD[[#This Row],[Work Start TimeStamp]]="","",(IGA_BD[[#This Row],[Fault Clearance time]]-IGA_BD[[#This Row],[Work Start TimeStamp]])*24)</f>
        <v/>
      </c>
      <c r="Q748" s="57">
        <f>(IGA_BD[[#This Row],[Fault Clearance time]]-IGA_BD[[#This Row],[Fault Start TimeStamp]])*24</f>
        <v>0</v>
      </c>
      <c r="R748" s="153"/>
      <c r="S748" s="44"/>
      <c r="T748" s="45" t="str">
        <f>IFERROR(IGA_BD[[#This Row],[Breakdown Time]]*IGA_BD[[#This Row],[Plant Equivalent Weightage]],"")</f>
        <v/>
      </c>
    </row>
    <row r="749" spans="1:20">
      <c r="A749" s="28"/>
      <c r="B749" s="154"/>
      <c r="C749" s="30">
        <f>YEAR(WTG_BD[[#This Row],[Date]])+IF(MONTH(WTG_BD[[#This Row],[Date]])&gt;=4,1,0)</f>
        <v>2026</v>
      </c>
      <c r="D749" s="31">
        <f>YEAR(IGA_BD[[#This Row],[Date]])</f>
        <v>1900</v>
      </c>
      <c r="E749" s="48">
        <f t="shared" si="14"/>
        <v>1</v>
      </c>
      <c r="F749" s="32"/>
      <c r="G749" s="33"/>
      <c r="H749" s="43" t="str">
        <f>IFERROR(VLOOKUP(IGA_BD[[#This Row],[Affected Feeder ]],'Basic Data'!$A$42:$E$53,2,0),"")</f>
        <v/>
      </c>
      <c r="I749" s="43" t="str">
        <f>IFERROR(VLOOKUP(IGA_BD[[#This Row],[Affected Feeder ]],'Basic Data'!$A$42:$E$53,3,0),"")</f>
        <v/>
      </c>
      <c r="J749" s="43" t="str">
        <f>IFERROR(VLOOKUP(IGA_BD[[#This Row],[Affected Feeder ]],'Basic Data'!$A$42:$E$53,5,0),"")</f>
        <v/>
      </c>
      <c r="K749" s="164"/>
      <c r="L749" s="50"/>
      <c r="M749" s="116"/>
      <c r="N749" s="116"/>
      <c r="O749" s="57">
        <f>(IGA_BD[[#This Row],[Work Start TimeStamp]]-IGA_BD[[#This Row],[Fault Start TimeStamp]])*24</f>
        <v>0</v>
      </c>
      <c r="P749" s="44" t="str">
        <f>IF(IGA_BD[[#This Row],[Work Start TimeStamp]]="","",(IGA_BD[[#This Row],[Fault Clearance time]]-IGA_BD[[#This Row],[Work Start TimeStamp]])*24)</f>
        <v/>
      </c>
      <c r="Q749" s="57">
        <f>(IGA_BD[[#This Row],[Fault Clearance time]]-IGA_BD[[#This Row],[Fault Start TimeStamp]])*24</f>
        <v>0</v>
      </c>
      <c r="R749" s="153"/>
      <c r="S749" s="44"/>
      <c r="T749" s="45" t="str">
        <f>IFERROR(IGA_BD[[#This Row],[Breakdown Time]]*IGA_BD[[#This Row],[Plant Equivalent Weightage]],"")</f>
        <v/>
      </c>
    </row>
    <row r="750" spans="1:20">
      <c r="A750" s="28"/>
      <c r="B750" s="154"/>
      <c r="C750" s="30">
        <f>YEAR(WTG_BD[[#This Row],[Date]])+IF(MONTH(WTG_BD[[#This Row],[Date]])&gt;=4,1,0)</f>
        <v>2026</v>
      </c>
      <c r="D750" s="31">
        <f>YEAR(IGA_BD[[#This Row],[Date]])</f>
        <v>1900</v>
      </c>
      <c r="E750" s="48">
        <f t="shared" si="14"/>
        <v>1</v>
      </c>
      <c r="F750" s="32"/>
      <c r="G750" s="33"/>
      <c r="H750" s="43" t="str">
        <f>IFERROR(VLOOKUP(IGA_BD[[#This Row],[Affected Feeder ]],'Basic Data'!$A$42:$E$53,2,0),"")</f>
        <v/>
      </c>
      <c r="I750" s="43" t="str">
        <f>IFERROR(VLOOKUP(IGA_BD[[#This Row],[Affected Feeder ]],'Basic Data'!$A$42:$E$53,3,0),"")</f>
        <v/>
      </c>
      <c r="J750" s="43" t="str">
        <f>IFERROR(VLOOKUP(IGA_BD[[#This Row],[Affected Feeder ]],'Basic Data'!$A$42:$E$53,5,0),"")</f>
        <v/>
      </c>
      <c r="K750" s="164"/>
      <c r="L750" s="50"/>
      <c r="M750" s="116"/>
      <c r="N750" s="116"/>
      <c r="O750" s="57">
        <f>(IGA_BD[[#This Row],[Work Start TimeStamp]]-IGA_BD[[#This Row],[Fault Start TimeStamp]])*24</f>
        <v>0</v>
      </c>
      <c r="P750" s="44" t="str">
        <f>IF(IGA_BD[[#This Row],[Work Start TimeStamp]]="","",(IGA_BD[[#This Row],[Fault Clearance time]]-IGA_BD[[#This Row],[Work Start TimeStamp]])*24)</f>
        <v/>
      </c>
      <c r="Q750" s="57">
        <f>(IGA_BD[[#This Row],[Fault Clearance time]]-IGA_BD[[#This Row],[Fault Start TimeStamp]])*24</f>
        <v>0</v>
      </c>
      <c r="R750" s="153"/>
      <c r="S750" s="44"/>
      <c r="T750" s="45" t="str">
        <f>IFERROR(IGA_BD[[#This Row],[Breakdown Time]]*IGA_BD[[#This Row],[Plant Equivalent Weightage]],"")</f>
        <v/>
      </c>
    </row>
    <row r="751" spans="1:20">
      <c r="A751" s="28"/>
      <c r="B751" s="154"/>
      <c r="C751" s="30">
        <f>YEAR(WTG_BD[[#This Row],[Date]])+IF(MONTH(WTG_BD[[#This Row],[Date]])&gt;=4,1,0)</f>
        <v>2026</v>
      </c>
      <c r="D751" s="31">
        <f>YEAR(IGA_BD[[#This Row],[Date]])</f>
        <v>1900</v>
      </c>
      <c r="E751" s="48">
        <f t="shared" si="14"/>
        <v>1</v>
      </c>
      <c r="F751" s="32"/>
      <c r="G751" s="33"/>
      <c r="H751" s="43" t="str">
        <f>IFERROR(VLOOKUP(IGA_BD[[#This Row],[Affected Feeder ]],'Basic Data'!$A$42:$E$53,2,0),"")</f>
        <v/>
      </c>
      <c r="I751" s="43" t="str">
        <f>IFERROR(VLOOKUP(IGA_BD[[#This Row],[Affected Feeder ]],'Basic Data'!$A$42:$E$53,3,0),"")</f>
        <v/>
      </c>
      <c r="J751" s="43" t="str">
        <f>IFERROR(VLOOKUP(IGA_BD[[#This Row],[Affected Feeder ]],'Basic Data'!$A$42:$E$53,5,0),"")</f>
        <v/>
      </c>
      <c r="K751" s="164"/>
      <c r="L751" s="50"/>
      <c r="M751" s="116"/>
      <c r="N751" s="116"/>
      <c r="O751" s="57">
        <f>(IGA_BD[[#This Row],[Work Start TimeStamp]]-IGA_BD[[#This Row],[Fault Start TimeStamp]])*24</f>
        <v>0</v>
      </c>
      <c r="P751" s="44" t="str">
        <f>IF(IGA_BD[[#This Row],[Work Start TimeStamp]]="","",(IGA_BD[[#This Row],[Fault Clearance time]]-IGA_BD[[#This Row],[Work Start TimeStamp]])*24)</f>
        <v/>
      </c>
      <c r="Q751" s="57">
        <f>(IGA_BD[[#This Row],[Fault Clearance time]]-IGA_BD[[#This Row],[Fault Start TimeStamp]])*24</f>
        <v>0</v>
      </c>
      <c r="R751" s="153"/>
      <c r="S751" s="44"/>
      <c r="T751" s="45" t="str">
        <f>IFERROR(IGA_BD[[#This Row],[Breakdown Time]]*IGA_BD[[#This Row],[Plant Equivalent Weightage]],"")</f>
        <v/>
      </c>
    </row>
    <row r="752" spans="1:20">
      <c r="A752" s="28"/>
      <c r="B752" s="154"/>
      <c r="C752" s="30">
        <f>YEAR(WTG_BD[[#This Row],[Date]])+IF(MONTH(WTG_BD[[#This Row],[Date]])&gt;=4,1,0)</f>
        <v>2026</v>
      </c>
      <c r="D752" s="31">
        <f>YEAR(IGA_BD[[#This Row],[Date]])</f>
        <v>1900</v>
      </c>
      <c r="E752" s="48">
        <f t="shared" si="14"/>
        <v>1</v>
      </c>
      <c r="F752" s="32"/>
      <c r="G752" s="33"/>
      <c r="H752" s="43" t="str">
        <f>IFERROR(VLOOKUP(IGA_BD[[#This Row],[Affected Feeder ]],'Basic Data'!$A$42:$E$53,2,0),"")</f>
        <v/>
      </c>
      <c r="I752" s="43" t="str">
        <f>IFERROR(VLOOKUP(IGA_BD[[#This Row],[Affected Feeder ]],'Basic Data'!$A$42:$E$53,3,0),"")</f>
        <v/>
      </c>
      <c r="J752" s="43" t="str">
        <f>IFERROR(VLOOKUP(IGA_BD[[#This Row],[Affected Feeder ]],'Basic Data'!$A$42:$E$53,5,0),"")</f>
        <v/>
      </c>
      <c r="K752" s="164"/>
      <c r="L752" s="50"/>
      <c r="M752" s="116"/>
      <c r="N752" s="116"/>
      <c r="O752" s="57">
        <f>(IGA_BD[[#This Row],[Work Start TimeStamp]]-IGA_BD[[#This Row],[Fault Start TimeStamp]])*24</f>
        <v>0</v>
      </c>
      <c r="P752" s="44" t="str">
        <f>IF(IGA_BD[[#This Row],[Work Start TimeStamp]]="","",(IGA_BD[[#This Row],[Fault Clearance time]]-IGA_BD[[#This Row],[Work Start TimeStamp]])*24)</f>
        <v/>
      </c>
      <c r="Q752" s="57">
        <f>(IGA_BD[[#This Row],[Fault Clearance time]]-IGA_BD[[#This Row],[Fault Start TimeStamp]])*24</f>
        <v>0</v>
      </c>
      <c r="R752" s="153"/>
      <c r="S752" s="44"/>
      <c r="T752" s="45" t="str">
        <f>IFERROR(IGA_BD[[#This Row],[Breakdown Time]]*IGA_BD[[#This Row],[Plant Equivalent Weightage]],"")</f>
        <v/>
      </c>
    </row>
    <row r="753" spans="1:20">
      <c r="A753" s="28"/>
      <c r="B753" s="154"/>
      <c r="C753" s="30">
        <f>YEAR(WTG_BD[[#This Row],[Date]])+IF(MONTH(WTG_BD[[#This Row],[Date]])&gt;=4,1,0)</f>
        <v>2026</v>
      </c>
      <c r="D753" s="31">
        <f>YEAR(IGA_BD[[#This Row],[Date]])</f>
        <v>1900</v>
      </c>
      <c r="E753" s="48">
        <f t="shared" si="14"/>
        <v>1</v>
      </c>
      <c r="F753" s="32"/>
      <c r="G753" s="33"/>
      <c r="H753" s="43" t="str">
        <f>IFERROR(VLOOKUP(IGA_BD[[#This Row],[Affected Feeder ]],'Basic Data'!$A$42:$E$53,2,0),"")</f>
        <v/>
      </c>
      <c r="I753" s="43" t="str">
        <f>IFERROR(VLOOKUP(IGA_BD[[#This Row],[Affected Feeder ]],'Basic Data'!$A$42:$E$53,3,0),"")</f>
        <v/>
      </c>
      <c r="J753" s="43" t="str">
        <f>IFERROR(VLOOKUP(IGA_BD[[#This Row],[Affected Feeder ]],'Basic Data'!$A$42:$E$53,5,0),"")</f>
        <v/>
      </c>
      <c r="K753" s="164"/>
      <c r="L753" s="50"/>
      <c r="M753" s="116"/>
      <c r="N753" s="116"/>
      <c r="O753" s="57">
        <f>(IGA_BD[[#This Row],[Work Start TimeStamp]]-IGA_BD[[#This Row],[Fault Start TimeStamp]])*24</f>
        <v>0</v>
      </c>
      <c r="P753" s="44" t="str">
        <f>IF(IGA_BD[[#This Row],[Work Start TimeStamp]]="","",(IGA_BD[[#This Row],[Fault Clearance time]]-IGA_BD[[#This Row],[Work Start TimeStamp]])*24)</f>
        <v/>
      </c>
      <c r="Q753" s="57">
        <f>(IGA_BD[[#This Row],[Fault Clearance time]]-IGA_BD[[#This Row],[Fault Start TimeStamp]])*24</f>
        <v>0</v>
      </c>
      <c r="R753" s="153"/>
      <c r="S753" s="44"/>
      <c r="T753" s="45" t="str">
        <f>IFERROR(IGA_BD[[#This Row],[Breakdown Time]]*IGA_BD[[#This Row],[Plant Equivalent Weightage]],"")</f>
        <v/>
      </c>
    </row>
    <row r="754" spans="1:20">
      <c r="A754" s="28"/>
      <c r="B754" s="154"/>
      <c r="C754" s="30">
        <f>YEAR(WTG_BD[[#This Row],[Date]])+IF(MONTH(WTG_BD[[#This Row],[Date]])&gt;=4,1,0)</f>
        <v>2026</v>
      </c>
      <c r="D754" s="31">
        <f>YEAR(IGA_BD[[#This Row],[Date]])</f>
        <v>1900</v>
      </c>
      <c r="E754" s="48">
        <f t="shared" si="14"/>
        <v>1</v>
      </c>
      <c r="F754" s="32"/>
      <c r="G754" s="33"/>
      <c r="H754" s="43" t="str">
        <f>IFERROR(VLOOKUP(IGA_BD[[#This Row],[Affected Feeder ]],'Basic Data'!$A$42:$E$53,2,0),"")</f>
        <v/>
      </c>
      <c r="I754" s="43" t="str">
        <f>IFERROR(VLOOKUP(IGA_BD[[#This Row],[Affected Feeder ]],'Basic Data'!$A$42:$E$53,3,0),"")</f>
        <v/>
      </c>
      <c r="J754" s="43" t="str">
        <f>IFERROR(VLOOKUP(IGA_BD[[#This Row],[Affected Feeder ]],'Basic Data'!$A$42:$E$53,5,0),"")</f>
        <v/>
      </c>
      <c r="K754" s="164"/>
      <c r="L754" s="50"/>
      <c r="M754" s="116"/>
      <c r="N754" s="116"/>
      <c r="O754" s="57">
        <f>(IGA_BD[[#This Row],[Work Start TimeStamp]]-IGA_BD[[#This Row],[Fault Start TimeStamp]])*24</f>
        <v>0</v>
      </c>
      <c r="P754" s="44" t="str">
        <f>IF(IGA_BD[[#This Row],[Work Start TimeStamp]]="","",(IGA_BD[[#This Row],[Fault Clearance time]]-IGA_BD[[#This Row],[Work Start TimeStamp]])*24)</f>
        <v/>
      </c>
      <c r="Q754" s="57">
        <f>(IGA_BD[[#This Row],[Fault Clearance time]]-IGA_BD[[#This Row],[Fault Start TimeStamp]])*24</f>
        <v>0</v>
      </c>
      <c r="R754" s="153"/>
      <c r="S754" s="44"/>
      <c r="T754" s="45" t="str">
        <f>IFERROR(IGA_BD[[#This Row],[Breakdown Time]]*IGA_BD[[#This Row],[Plant Equivalent Weightage]],"")</f>
        <v/>
      </c>
    </row>
    <row r="755" spans="1:20">
      <c r="A755" s="28"/>
      <c r="B755" s="154"/>
      <c r="C755" s="30">
        <f>YEAR(WTG_BD[[#This Row],[Date]])+IF(MONTH(WTG_BD[[#This Row],[Date]])&gt;=4,1,0)</f>
        <v>2026</v>
      </c>
      <c r="D755" s="31">
        <f>YEAR(IGA_BD[[#This Row],[Date]])</f>
        <v>1900</v>
      </c>
      <c r="E755" s="48">
        <f t="shared" si="14"/>
        <v>1</v>
      </c>
      <c r="F755" s="32"/>
      <c r="G755" s="33"/>
      <c r="H755" s="43" t="str">
        <f>IFERROR(VLOOKUP(IGA_BD[[#This Row],[Affected Feeder ]],'Basic Data'!$A$42:$E$53,2,0),"")</f>
        <v/>
      </c>
      <c r="I755" s="43" t="str">
        <f>IFERROR(VLOOKUP(IGA_BD[[#This Row],[Affected Feeder ]],'Basic Data'!$A$42:$E$53,3,0),"")</f>
        <v/>
      </c>
      <c r="J755" s="43" t="str">
        <f>IFERROR(VLOOKUP(IGA_BD[[#This Row],[Affected Feeder ]],'Basic Data'!$A$42:$E$53,5,0),"")</f>
        <v/>
      </c>
      <c r="K755" s="164"/>
      <c r="L755" s="50"/>
      <c r="M755" s="116"/>
      <c r="N755" s="116"/>
      <c r="O755" s="57">
        <f>(IGA_BD[[#This Row],[Work Start TimeStamp]]-IGA_BD[[#This Row],[Fault Start TimeStamp]])*24</f>
        <v>0</v>
      </c>
      <c r="P755" s="44" t="str">
        <f>IF(IGA_BD[[#This Row],[Work Start TimeStamp]]="","",(IGA_BD[[#This Row],[Fault Clearance time]]-IGA_BD[[#This Row],[Work Start TimeStamp]])*24)</f>
        <v/>
      </c>
      <c r="Q755" s="57">
        <f>(IGA_BD[[#This Row],[Fault Clearance time]]-IGA_BD[[#This Row],[Fault Start TimeStamp]])*24</f>
        <v>0</v>
      </c>
      <c r="R755" s="153"/>
      <c r="S755" s="44"/>
      <c r="T755" s="45" t="str">
        <f>IFERROR(IGA_BD[[#This Row],[Breakdown Time]]*IGA_BD[[#This Row],[Plant Equivalent Weightage]],"")</f>
        <v/>
      </c>
    </row>
    <row r="756" spans="1:20">
      <c r="A756" s="28"/>
      <c r="B756" s="154"/>
      <c r="C756" s="30">
        <f>YEAR(WTG_BD[[#This Row],[Date]])+IF(MONTH(WTG_BD[[#This Row],[Date]])&gt;=4,1,0)</f>
        <v>2026</v>
      </c>
      <c r="D756" s="31">
        <f>YEAR(IGA_BD[[#This Row],[Date]])</f>
        <v>1900</v>
      </c>
      <c r="E756" s="48">
        <f t="shared" si="14"/>
        <v>1</v>
      </c>
      <c r="F756" s="32"/>
      <c r="G756" s="33"/>
      <c r="H756" s="43" t="str">
        <f>IFERROR(VLOOKUP(IGA_BD[[#This Row],[Affected Feeder ]],'Basic Data'!$A$42:$E$53,2,0),"")</f>
        <v/>
      </c>
      <c r="I756" s="43" t="str">
        <f>IFERROR(VLOOKUP(IGA_BD[[#This Row],[Affected Feeder ]],'Basic Data'!$A$42:$E$53,3,0),"")</f>
        <v/>
      </c>
      <c r="J756" s="43" t="str">
        <f>IFERROR(VLOOKUP(IGA_BD[[#This Row],[Affected Feeder ]],'Basic Data'!$A$42:$E$53,5,0),"")</f>
        <v/>
      </c>
      <c r="K756" s="164"/>
      <c r="L756" s="50"/>
      <c r="M756" s="116"/>
      <c r="N756" s="116"/>
      <c r="O756" s="57">
        <f>(IGA_BD[[#This Row],[Work Start TimeStamp]]-IGA_BD[[#This Row],[Fault Start TimeStamp]])*24</f>
        <v>0</v>
      </c>
      <c r="P756" s="44" t="str">
        <f>IF(IGA_BD[[#This Row],[Work Start TimeStamp]]="","",(IGA_BD[[#This Row],[Fault Clearance time]]-IGA_BD[[#This Row],[Work Start TimeStamp]])*24)</f>
        <v/>
      </c>
      <c r="Q756" s="57">
        <f>(IGA_BD[[#This Row],[Fault Clearance time]]-IGA_BD[[#This Row],[Fault Start TimeStamp]])*24</f>
        <v>0</v>
      </c>
      <c r="R756" s="153"/>
      <c r="S756" s="44"/>
      <c r="T756" s="45" t="str">
        <f>IFERROR(IGA_BD[[#This Row],[Breakdown Time]]*IGA_BD[[#This Row],[Plant Equivalent Weightage]],"")</f>
        <v/>
      </c>
    </row>
    <row r="757" spans="1:20">
      <c r="A757" s="28"/>
      <c r="B757" s="154"/>
      <c r="C757" s="30">
        <f>YEAR(WTG_BD[[#This Row],[Date]])+IF(MONTH(WTG_BD[[#This Row],[Date]])&gt;=4,1,0)</f>
        <v>2026</v>
      </c>
      <c r="D757" s="31">
        <f>YEAR(IGA_BD[[#This Row],[Date]])</f>
        <v>1900</v>
      </c>
      <c r="E757" s="48">
        <f t="shared" si="14"/>
        <v>1</v>
      </c>
      <c r="F757" s="32"/>
      <c r="G757" s="33"/>
      <c r="H757" s="43" t="str">
        <f>IFERROR(VLOOKUP(IGA_BD[[#This Row],[Affected Feeder ]],'Basic Data'!$A$42:$E$53,2,0),"")</f>
        <v/>
      </c>
      <c r="I757" s="43" t="str">
        <f>IFERROR(VLOOKUP(IGA_BD[[#This Row],[Affected Feeder ]],'Basic Data'!$A$42:$E$53,3,0),"")</f>
        <v/>
      </c>
      <c r="J757" s="43" t="str">
        <f>IFERROR(VLOOKUP(IGA_BD[[#This Row],[Affected Feeder ]],'Basic Data'!$A$42:$E$53,5,0),"")</f>
        <v/>
      </c>
      <c r="K757" s="164"/>
      <c r="L757" s="50"/>
      <c r="M757" s="116"/>
      <c r="N757" s="116"/>
      <c r="O757" s="57">
        <f>(IGA_BD[[#This Row],[Work Start TimeStamp]]-IGA_BD[[#This Row],[Fault Start TimeStamp]])*24</f>
        <v>0</v>
      </c>
      <c r="P757" s="44" t="str">
        <f>IF(IGA_BD[[#This Row],[Work Start TimeStamp]]="","",(IGA_BD[[#This Row],[Fault Clearance time]]-IGA_BD[[#This Row],[Work Start TimeStamp]])*24)</f>
        <v/>
      </c>
      <c r="Q757" s="57">
        <f>(IGA_BD[[#This Row],[Fault Clearance time]]-IGA_BD[[#This Row],[Fault Start TimeStamp]])*24</f>
        <v>0</v>
      </c>
      <c r="R757" s="153"/>
      <c r="S757" s="44"/>
      <c r="T757" s="45" t="str">
        <f>IFERROR(IGA_BD[[#This Row],[Breakdown Time]]*IGA_BD[[#This Row],[Plant Equivalent Weightage]],"")</f>
        <v/>
      </c>
    </row>
    <row r="758" spans="1:20">
      <c r="A758" s="28"/>
      <c r="B758" s="154"/>
      <c r="C758" s="30">
        <f>YEAR(WTG_BD[[#This Row],[Date]])+IF(MONTH(WTG_BD[[#This Row],[Date]])&gt;=4,1,0)</f>
        <v>2026</v>
      </c>
      <c r="D758" s="31">
        <f>YEAR(IGA_BD[[#This Row],[Date]])</f>
        <v>1900</v>
      </c>
      <c r="E758" s="48">
        <f t="shared" si="14"/>
        <v>1</v>
      </c>
      <c r="F758" s="32"/>
      <c r="G758" s="33"/>
      <c r="H758" s="43" t="str">
        <f>IFERROR(VLOOKUP(IGA_BD[[#This Row],[Affected Feeder ]],'Basic Data'!$A$42:$E$53,2,0),"")</f>
        <v/>
      </c>
      <c r="I758" s="43" t="str">
        <f>IFERROR(VLOOKUP(IGA_BD[[#This Row],[Affected Feeder ]],'Basic Data'!$A$42:$E$53,3,0),"")</f>
        <v/>
      </c>
      <c r="J758" s="43" t="str">
        <f>IFERROR(VLOOKUP(IGA_BD[[#This Row],[Affected Feeder ]],'Basic Data'!$A$42:$E$53,5,0),"")</f>
        <v/>
      </c>
      <c r="K758" s="164"/>
      <c r="L758" s="50"/>
      <c r="M758" s="116"/>
      <c r="N758" s="116"/>
      <c r="O758" s="57">
        <f>(IGA_BD[[#This Row],[Work Start TimeStamp]]-IGA_BD[[#This Row],[Fault Start TimeStamp]])*24</f>
        <v>0</v>
      </c>
      <c r="P758" s="44" t="str">
        <f>IF(IGA_BD[[#This Row],[Work Start TimeStamp]]="","",(IGA_BD[[#This Row],[Fault Clearance time]]-IGA_BD[[#This Row],[Work Start TimeStamp]])*24)</f>
        <v/>
      </c>
      <c r="Q758" s="57">
        <f>(IGA_BD[[#This Row],[Fault Clearance time]]-IGA_BD[[#This Row],[Fault Start TimeStamp]])*24</f>
        <v>0</v>
      </c>
      <c r="R758" s="153"/>
      <c r="S758" s="44"/>
      <c r="T758" s="45" t="str">
        <f>IFERROR(IGA_BD[[#This Row],[Breakdown Time]]*IGA_BD[[#This Row],[Plant Equivalent Weightage]],"")</f>
        <v/>
      </c>
    </row>
    <row r="759" spans="1:20">
      <c r="A759" s="28"/>
      <c r="B759" s="154"/>
      <c r="C759" s="30">
        <f>YEAR(WTG_BD[[#This Row],[Date]])+IF(MONTH(WTG_BD[[#This Row],[Date]])&gt;=4,1,0)</f>
        <v>2026</v>
      </c>
      <c r="D759" s="31">
        <f>YEAR(IGA_BD[[#This Row],[Date]])</f>
        <v>1900</v>
      </c>
      <c r="E759" s="48">
        <f t="shared" si="14"/>
        <v>1</v>
      </c>
      <c r="F759" s="32"/>
      <c r="G759" s="33"/>
      <c r="H759" s="43" t="str">
        <f>IFERROR(VLOOKUP(IGA_BD[[#This Row],[Affected Feeder ]],'Basic Data'!$A$42:$E$53,2,0),"")</f>
        <v/>
      </c>
      <c r="I759" s="43" t="str">
        <f>IFERROR(VLOOKUP(IGA_BD[[#This Row],[Affected Feeder ]],'Basic Data'!$A$42:$E$53,3,0),"")</f>
        <v/>
      </c>
      <c r="J759" s="43" t="str">
        <f>IFERROR(VLOOKUP(IGA_BD[[#This Row],[Affected Feeder ]],'Basic Data'!$A$42:$E$53,5,0),"")</f>
        <v/>
      </c>
      <c r="K759" s="164"/>
      <c r="L759" s="50"/>
      <c r="M759" s="116"/>
      <c r="N759" s="116"/>
      <c r="O759" s="57">
        <f>(IGA_BD[[#This Row],[Work Start TimeStamp]]-IGA_BD[[#This Row],[Fault Start TimeStamp]])*24</f>
        <v>0</v>
      </c>
      <c r="P759" s="44" t="str">
        <f>IF(IGA_BD[[#This Row],[Work Start TimeStamp]]="","",(IGA_BD[[#This Row],[Fault Clearance time]]-IGA_BD[[#This Row],[Work Start TimeStamp]])*24)</f>
        <v/>
      </c>
      <c r="Q759" s="57">
        <f>(IGA_BD[[#This Row],[Fault Clearance time]]-IGA_BD[[#This Row],[Fault Start TimeStamp]])*24</f>
        <v>0</v>
      </c>
      <c r="R759" s="153"/>
      <c r="S759" s="44"/>
      <c r="T759" s="45" t="str">
        <f>IFERROR(IGA_BD[[#This Row],[Breakdown Time]]*IGA_BD[[#This Row],[Plant Equivalent Weightage]],"")</f>
        <v/>
      </c>
    </row>
    <row r="760" spans="1:20">
      <c r="A760" s="28"/>
      <c r="B760" s="154"/>
      <c r="C760" s="30">
        <f>YEAR(WTG_BD[[#This Row],[Date]])+IF(MONTH(WTG_BD[[#This Row],[Date]])&gt;=4,1,0)</f>
        <v>2026</v>
      </c>
      <c r="D760" s="31">
        <f>YEAR(IGA_BD[[#This Row],[Date]])</f>
        <v>1900</v>
      </c>
      <c r="E760" s="48">
        <f t="shared" si="14"/>
        <v>1</v>
      </c>
      <c r="F760" s="32"/>
      <c r="G760" s="33"/>
      <c r="H760" s="43" t="str">
        <f>IFERROR(VLOOKUP(IGA_BD[[#This Row],[Affected Feeder ]],'Basic Data'!$A$42:$E$53,2,0),"")</f>
        <v/>
      </c>
      <c r="I760" s="43" t="str">
        <f>IFERROR(VLOOKUP(IGA_BD[[#This Row],[Affected Feeder ]],'Basic Data'!$A$42:$E$53,3,0),"")</f>
        <v/>
      </c>
      <c r="J760" s="43" t="str">
        <f>IFERROR(VLOOKUP(IGA_BD[[#This Row],[Affected Feeder ]],'Basic Data'!$A$42:$E$53,5,0),"")</f>
        <v/>
      </c>
      <c r="K760" s="164"/>
      <c r="L760" s="50"/>
      <c r="M760" s="116"/>
      <c r="N760" s="116"/>
      <c r="O760" s="57">
        <f>(IGA_BD[[#This Row],[Work Start TimeStamp]]-IGA_BD[[#This Row],[Fault Start TimeStamp]])*24</f>
        <v>0</v>
      </c>
      <c r="P760" s="44" t="str">
        <f>IF(IGA_BD[[#This Row],[Work Start TimeStamp]]="","",(IGA_BD[[#This Row],[Fault Clearance time]]-IGA_BD[[#This Row],[Work Start TimeStamp]])*24)</f>
        <v/>
      </c>
      <c r="Q760" s="57">
        <f>(IGA_BD[[#This Row],[Fault Clearance time]]-IGA_BD[[#This Row],[Fault Start TimeStamp]])*24</f>
        <v>0</v>
      </c>
      <c r="R760" s="153"/>
      <c r="S760" s="44"/>
      <c r="T760" s="45" t="str">
        <f>IFERROR(IGA_BD[[#This Row],[Breakdown Time]]*IGA_BD[[#This Row],[Plant Equivalent Weightage]],"")</f>
        <v/>
      </c>
    </row>
    <row r="761" spans="1:20">
      <c r="A761" s="28"/>
      <c r="B761" s="154"/>
      <c r="C761" s="30">
        <f>YEAR(WTG_BD[[#This Row],[Date]])+IF(MONTH(WTG_BD[[#This Row],[Date]])&gt;=4,1,0)</f>
        <v>2026</v>
      </c>
      <c r="D761" s="31">
        <f>YEAR(IGA_BD[[#This Row],[Date]])</f>
        <v>1900</v>
      </c>
      <c r="E761" s="48">
        <f t="shared" si="14"/>
        <v>1</v>
      </c>
      <c r="F761" s="32"/>
      <c r="G761" s="33"/>
      <c r="H761" s="43" t="str">
        <f>IFERROR(VLOOKUP(IGA_BD[[#This Row],[Affected Feeder ]],'Basic Data'!$A$42:$E$53,2,0),"")</f>
        <v/>
      </c>
      <c r="I761" s="43" t="str">
        <f>IFERROR(VLOOKUP(IGA_BD[[#This Row],[Affected Feeder ]],'Basic Data'!$A$42:$E$53,3,0),"")</f>
        <v/>
      </c>
      <c r="J761" s="43" t="str">
        <f>IFERROR(VLOOKUP(IGA_BD[[#This Row],[Affected Feeder ]],'Basic Data'!$A$42:$E$53,5,0),"")</f>
        <v/>
      </c>
      <c r="K761" s="164"/>
      <c r="L761" s="50"/>
      <c r="M761" s="116"/>
      <c r="N761" s="116"/>
      <c r="O761" s="57">
        <f>(IGA_BD[[#This Row],[Work Start TimeStamp]]-IGA_BD[[#This Row],[Fault Start TimeStamp]])*24</f>
        <v>0</v>
      </c>
      <c r="P761" s="44" t="str">
        <f>IF(IGA_BD[[#This Row],[Work Start TimeStamp]]="","",(IGA_BD[[#This Row],[Fault Clearance time]]-IGA_BD[[#This Row],[Work Start TimeStamp]])*24)</f>
        <v/>
      </c>
      <c r="Q761" s="57">
        <f>(IGA_BD[[#This Row],[Fault Clearance time]]-IGA_BD[[#This Row],[Fault Start TimeStamp]])*24</f>
        <v>0</v>
      </c>
      <c r="R761" s="153"/>
      <c r="S761" s="44"/>
      <c r="T761" s="45" t="str">
        <f>IFERROR(IGA_BD[[#This Row],[Breakdown Time]]*IGA_BD[[#This Row],[Plant Equivalent Weightage]],"")</f>
        <v/>
      </c>
    </row>
    <row r="762" spans="1:20">
      <c r="A762" s="28"/>
      <c r="B762" s="154"/>
      <c r="C762" s="30">
        <f>YEAR(WTG_BD[[#This Row],[Date]])+IF(MONTH(WTG_BD[[#This Row],[Date]])&gt;=4,1,0)</f>
        <v>2026</v>
      </c>
      <c r="D762" s="31">
        <f>YEAR(IGA_BD[[#This Row],[Date]])</f>
        <v>1900</v>
      </c>
      <c r="E762" s="48">
        <f t="shared" si="14"/>
        <v>1</v>
      </c>
      <c r="F762" s="32"/>
      <c r="G762" s="33"/>
      <c r="H762" s="43" t="str">
        <f>IFERROR(VLOOKUP(IGA_BD[[#This Row],[Affected Feeder ]],'Basic Data'!$A$42:$E$53,2,0),"")</f>
        <v/>
      </c>
      <c r="I762" s="43" t="str">
        <f>IFERROR(VLOOKUP(IGA_BD[[#This Row],[Affected Feeder ]],'Basic Data'!$A$42:$E$53,3,0),"")</f>
        <v/>
      </c>
      <c r="J762" s="43" t="str">
        <f>IFERROR(VLOOKUP(IGA_BD[[#This Row],[Affected Feeder ]],'Basic Data'!$A$42:$E$53,5,0),"")</f>
        <v/>
      </c>
      <c r="K762" s="164"/>
      <c r="L762" s="50"/>
      <c r="M762" s="116"/>
      <c r="N762" s="116"/>
      <c r="O762" s="57">
        <f>(IGA_BD[[#This Row],[Work Start TimeStamp]]-IGA_BD[[#This Row],[Fault Start TimeStamp]])*24</f>
        <v>0</v>
      </c>
      <c r="P762" s="44" t="str">
        <f>IF(IGA_BD[[#This Row],[Work Start TimeStamp]]="","",(IGA_BD[[#This Row],[Fault Clearance time]]-IGA_BD[[#This Row],[Work Start TimeStamp]])*24)</f>
        <v/>
      </c>
      <c r="Q762" s="57">
        <f>(IGA_BD[[#This Row],[Fault Clearance time]]-IGA_BD[[#This Row],[Fault Start TimeStamp]])*24</f>
        <v>0</v>
      </c>
      <c r="R762" s="153"/>
      <c r="S762" s="44"/>
      <c r="T762" s="45" t="str">
        <f>IFERROR(IGA_BD[[#This Row],[Breakdown Time]]*IGA_BD[[#This Row],[Plant Equivalent Weightage]],"")</f>
        <v/>
      </c>
    </row>
    <row r="763" spans="1:20">
      <c r="A763" s="28"/>
      <c r="B763" s="154"/>
      <c r="C763" s="30">
        <f>YEAR(WTG_BD[[#This Row],[Date]])+IF(MONTH(WTG_BD[[#This Row],[Date]])&gt;=4,1,0)</f>
        <v>2026</v>
      </c>
      <c r="D763" s="31">
        <f>YEAR(IGA_BD[[#This Row],[Date]])</f>
        <v>1900</v>
      </c>
      <c r="E763" s="48">
        <f t="shared" si="14"/>
        <v>1</v>
      </c>
      <c r="F763" s="32"/>
      <c r="G763" s="33"/>
      <c r="H763" s="43" t="str">
        <f>IFERROR(VLOOKUP(IGA_BD[[#This Row],[Affected Feeder ]],'Basic Data'!$A$42:$E$53,2,0),"")</f>
        <v/>
      </c>
      <c r="I763" s="43" t="str">
        <f>IFERROR(VLOOKUP(IGA_BD[[#This Row],[Affected Feeder ]],'Basic Data'!$A$42:$E$53,3,0),"")</f>
        <v/>
      </c>
      <c r="J763" s="43" t="str">
        <f>IFERROR(VLOOKUP(IGA_BD[[#This Row],[Affected Feeder ]],'Basic Data'!$A$42:$E$53,5,0),"")</f>
        <v/>
      </c>
      <c r="K763" s="164"/>
      <c r="L763" s="50"/>
      <c r="M763" s="116"/>
      <c r="N763" s="116"/>
      <c r="O763" s="57">
        <f>(IGA_BD[[#This Row],[Work Start TimeStamp]]-IGA_BD[[#This Row],[Fault Start TimeStamp]])*24</f>
        <v>0</v>
      </c>
      <c r="P763" s="44" t="str">
        <f>IF(IGA_BD[[#This Row],[Work Start TimeStamp]]="","",(IGA_BD[[#This Row],[Fault Clearance time]]-IGA_BD[[#This Row],[Work Start TimeStamp]])*24)</f>
        <v/>
      </c>
      <c r="Q763" s="57">
        <f>(IGA_BD[[#This Row],[Fault Clearance time]]-IGA_BD[[#This Row],[Fault Start TimeStamp]])*24</f>
        <v>0</v>
      </c>
      <c r="R763" s="153"/>
      <c r="S763" s="44"/>
      <c r="T763" s="45" t="str">
        <f>IFERROR(IGA_BD[[#This Row],[Breakdown Time]]*IGA_BD[[#This Row],[Plant Equivalent Weightage]],"")</f>
        <v/>
      </c>
    </row>
    <row r="764" spans="1:20">
      <c r="A764" s="28"/>
      <c r="B764" s="154"/>
      <c r="C764" s="30">
        <f>YEAR(WTG_BD[[#This Row],[Date]])+IF(MONTH(WTG_BD[[#This Row],[Date]])&gt;=4,1,0)</f>
        <v>2026</v>
      </c>
      <c r="D764" s="31">
        <f>YEAR(IGA_BD[[#This Row],[Date]])</f>
        <v>1900</v>
      </c>
      <c r="E764" s="48">
        <f t="shared" si="14"/>
        <v>1</v>
      </c>
      <c r="F764" s="32"/>
      <c r="G764" s="33"/>
      <c r="H764" s="43" t="str">
        <f>IFERROR(VLOOKUP(IGA_BD[[#This Row],[Affected Feeder ]],'Basic Data'!$A$42:$E$53,2,0),"")</f>
        <v/>
      </c>
      <c r="I764" s="43" t="str">
        <f>IFERROR(VLOOKUP(IGA_BD[[#This Row],[Affected Feeder ]],'Basic Data'!$A$42:$E$53,3,0),"")</f>
        <v/>
      </c>
      <c r="J764" s="43" t="str">
        <f>IFERROR(VLOOKUP(IGA_BD[[#This Row],[Affected Feeder ]],'Basic Data'!$A$42:$E$53,5,0),"")</f>
        <v/>
      </c>
      <c r="K764" s="164"/>
      <c r="L764" s="50"/>
      <c r="M764" s="116"/>
      <c r="N764" s="116"/>
      <c r="O764" s="57">
        <f>(IGA_BD[[#This Row],[Work Start TimeStamp]]-IGA_BD[[#This Row],[Fault Start TimeStamp]])*24</f>
        <v>0</v>
      </c>
      <c r="P764" s="44" t="str">
        <f>IF(IGA_BD[[#This Row],[Work Start TimeStamp]]="","",(IGA_BD[[#This Row],[Fault Clearance time]]-IGA_BD[[#This Row],[Work Start TimeStamp]])*24)</f>
        <v/>
      </c>
      <c r="Q764" s="57">
        <f>(IGA_BD[[#This Row],[Fault Clearance time]]-IGA_BD[[#This Row],[Fault Start TimeStamp]])*24</f>
        <v>0</v>
      </c>
      <c r="R764" s="153"/>
      <c r="S764" s="44"/>
      <c r="T764" s="45" t="str">
        <f>IFERROR(IGA_BD[[#This Row],[Breakdown Time]]*IGA_BD[[#This Row],[Plant Equivalent Weightage]],"")</f>
        <v/>
      </c>
    </row>
    <row r="765" spans="1:20">
      <c r="A765" s="28"/>
      <c r="B765" s="154"/>
      <c r="C765" s="30">
        <f>YEAR(WTG_BD[[#This Row],[Date]])+IF(MONTH(WTG_BD[[#This Row],[Date]])&gt;=4,1,0)</f>
        <v>2026</v>
      </c>
      <c r="D765" s="31">
        <f>YEAR(IGA_BD[[#This Row],[Date]])</f>
        <v>1900</v>
      </c>
      <c r="E765" s="48">
        <f t="shared" si="14"/>
        <v>1</v>
      </c>
      <c r="F765" s="32"/>
      <c r="G765" s="33"/>
      <c r="H765" s="43" t="str">
        <f>IFERROR(VLOOKUP(IGA_BD[[#This Row],[Affected Feeder ]],'Basic Data'!$A$42:$E$53,2,0),"")</f>
        <v/>
      </c>
      <c r="I765" s="43" t="str">
        <f>IFERROR(VLOOKUP(IGA_BD[[#This Row],[Affected Feeder ]],'Basic Data'!$A$42:$E$53,3,0),"")</f>
        <v/>
      </c>
      <c r="J765" s="43" t="str">
        <f>IFERROR(VLOOKUP(IGA_BD[[#This Row],[Affected Feeder ]],'Basic Data'!$A$42:$E$53,5,0),"")</f>
        <v/>
      </c>
      <c r="K765" s="164"/>
      <c r="L765" s="50"/>
      <c r="M765" s="116"/>
      <c r="N765" s="116"/>
      <c r="O765" s="57">
        <f>(IGA_BD[[#This Row],[Work Start TimeStamp]]-IGA_BD[[#This Row],[Fault Start TimeStamp]])*24</f>
        <v>0</v>
      </c>
      <c r="P765" s="44" t="str">
        <f>IF(IGA_BD[[#This Row],[Work Start TimeStamp]]="","",(IGA_BD[[#This Row],[Fault Clearance time]]-IGA_BD[[#This Row],[Work Start TimeStamp]])*24)</f>
        <v/>
      </c>
      <c r="Q765" s="57">
        <f>(IGA_BD[[#This Row],[Fault Clearance time]]-IGA_BD[[#This Row],[Fault Start TimeStamp]])*24</f>
        <v>0</v>
      </c>
      <c r="R765" s="153"/>
      <c r="S765" s="44"/>
      <c r="T765" s="45" t="str">
        <f>IFERROR(IGA_BD[[#This Row],[Breakdown Time]]*IGA_BD[[#This Row],[Plant Equivalent Weightage]],"")</f>
        <v/>
      </c>
    </row>
    <row r="766" spans="1:20">
      <c r="A766" s="28"/>
      <c r="B766" s="154"/>
      <c r="C766" s="30">
        <f>YEAR(WTG_BD[[#This Row],[Date]])+IF(MONTH(WTG_BD[[#This Row],[Date]])&gt;=4,1,0)</f>
        <v>2026</v>
      </c>
      <c r="D766" s="31">
        <f>YEAR(IGA_BD[[#This Row],[Date]])</f>
        <v>1900</v>
      </c>
      <c r="E766" s="48">
        <f t="shared" si="14"/>
        <v>1</v>
      </c>
      <c r="F766" s="32"/>
      <c r="G766" s="33"/>
      <c r="H766" s="43" t="str">
        <f>IFERROR(VLOOKUP(IGA_BD[[#This Row],[Affected Feeder ]],'Basic Data'!$A$42:$E$53,2,0),"")</f>
        <v/>
      </c>
      <c r="I766" s="43" t="str">
        <f>IFERROR(VLOOKUP(IGA_BD[[#This Row],[Affected Feeder ]],'Basic Data'!$A$42:$E$53,3,0),"")</f>
        <v/>
      </c>
      <c r="J766" s="43" t="str">
        <f>IFERROR(VLOOKUP(IGA_BD[[#This Row],[Affected Feeder ]],'Basic Data'!$A$42:$E$53,5,0),"")</f>
        <v/>
      </c>
      <c r="K766" s="164"/>
      <c r="L766" s="50"/>
      <c r="M766" s="116"/>
      <c r="N766" s="116"/>
      <c r="O766" s="57">
        <f>(IGA_BD[[#This Row],[Work Start TimeStamp]]-IGA_BD[[#This Row],[Fault Start TimeStamp]])*24</f>
        <v>0</v>
      </c>
      <c r="P766" s="44" t="str">
        <f>IF(IGA_BD[[#This Row],[Work Start TimeStamp]]="","",(IGA_BD[[#This Row],[Fault Clearance time]]-IGA_BD[[#This Row],[Work Start TimeStamp]])*24)</f>
        <v/>
      </c>
      <c r="Q766" s="57">
        <f>(IGA_BD[[#This Row],[Fault Clearance time]]-IGA_BD[[#This Row],[Fault Start TimeStamp]])*24</f>
        <v>0</v>
      </c>
      <c r="R766" s="153"/>
      <c r="S766" s="44"/>
      <c r="T766" s="45" t="str">
        <f>IFERROR(IGA_BD[[#This Row],[Breakdown Time]]*IGA_BD[[#This Row],[Plant Equivalent Weightage]],"")</f>
        <v/>
      </c>
    </row>
    <row r="767" spans="1:20">
      <c r="A767" s="28"/>
      <c r="B767" s="154"/>
      <c r="C767" s="30">
        <f>YEAR(WTG_BD[[#This Row],[Date]])+IF(MONTH(WTG_BD[[#This Row],[Date]])&gt;=4,1,0)</f>
        <v>2026</v>
      </c>
      <c r="D767" s="31">
        <f>YEAR(IGA_BD[[#This Row],[Date]])</f>
        <v>1900</v>
      </c>
      <c r="E767" s="48">
        <f t="shared" si="14"/>
        <v>1</v>
      </c>
      <c r="F767" s="32"/>
      <c r="G767" s="33"/>
      <c r="H767" s="43" t="str">
        <f>IFERROR(VLOOKUP(IGA_BD[[#This Row],[Affected Feeder ]],'Basic Data'!$A$42:$E$53,2,0),"")</f>
        <v/>
      </c>
      <c r="I767" s="43" t="str">
        <f>IFERROR(VLOOKUP(IGA_BD[[#This Row],[Affected Feeder ]],'Basic Data'!$A$42:$E$53,3,0),"")</f>
        <v/>
      </c>
      <c r="J767" s="43" t="str">
        <f>IFERROR(VLOOKUP(IGA_BD[[#This Row],[Affected Feeder ]],'Basic Data'!$A$42:$E$53,5,0),"")</f>
        <v/>
      </c>
      <c r="K767" s="164"/>
      <c r="L767" s="50"/>
      <c r="M767" s="116"/>
      <c r="N767" s="116"/>
      <c r="O767" s="57">
        <f>(IGA_BD[[#This Row],[Work Start TimeStamp]]-IGA_BD[[#This Row],[Fault Start TimeStamp]])*24</f>
        <v>0</v>
      </c>
      <c r="P767" s="44" t="str">
        <f>IF(IGA_BD[[#This Row],[Work Start TimeStamp]]="","",(IGA_BD[[#This Row],[Fault Clearance time]]-IGA_BD[[#This Row],[Work Start TimeStamp]])*24)</f>
        <v/>
      </c>
      <c r="Q767" s="57">
        <f>(IGA_BD[[#This Row],[Fault Clearance time]]-IGA_BD[[#This Row],[Fault Start TimeStamp]])*24</f>
        <v>0</v>
      </c>
      <c r="R767" s="153"/>
      <c r="S767" s="44"/>
      <c r="T767" s="45" t="str">
        <f>IFERROR(IGA_BD[[#This Row],[Breakdown Time]]*IGA_BD[[#This Row],[Plant Equivalent Weightage]],"")</f>
        <v/>
      </c>
    </row>
    <row r="768" spans="1:20">
      <c r="A768" s="28"/>
      <c r="B768" s="154"/>
      <c r="C768" s="30">
        <f>YEAR(WTG_BD[[#This Row],[Date]])+IF(MONTH(WTG_BD[[#This Row],[Date]])&gt;=4,1,0)</f>
        <v>1900</v>
      </c>
      <c r="D768" s="31">
        <f>YEAR(IGA_BD[[#This Row],[Date]])</f>
        <v>1900</v>
      </c>
      <c r="E768" s="48">
        <f t="shared" si="14"/>
        <v>1</v>
      </c>
      <c r="F768" s="32"/>
      <c r="G768" s="33"/>
      <c r="H768" s="43" t="str">
        <f>IFERROR(VLOOKUP(IGA_BD[[#This Row],[Affected Feeder ]],'Basic Data'!$A$42:$E$53,2,0),"")</f>
        <v/>
      </c>
      <c r="I768" s="43" t="str">
        <f>IFERROR(VLOOKUP(IGA_BD[[#This Row],[Affected Feeder ]],'Basic Data'!$A$42:$E$53,3,0),"")</f>
        <v/>
      </c>
      <c r="J768" s="43" t="str">
        <f>IFERROR(VLOOKUP(IGA_BD[[#This Row],[Affected Feeder ]],'Basic Data'!$A$42:$E$53,5,0),"")</f>
        <v/>
      </c>
      <c r="K768" s="164"/>
      <c r="L768" s="50"/>
      <c r="M768" s="116"/>
      <c r="N768" s="116"/>
      <c r="O768" s="57">
        <f>(IGA_BD[[#This Row],[Work Start TimeStamp]]-IGA_BD[[#This Row],[Fault Start TimeStamp]])*24</f>
        <v>0</v>
      </c>
      <c r="P768" s="44" t="str">
        <f>IF(IGA_BD[[#This Row],[Work Start TimeStamp]]="","",(IGA_BD[[#This Row],[Fault Clearance time]]-IGA_BD[[#This Row],[Work Start TimeStamp]])*24)</f>
        <v/>
      </c>
      <c r="Q768" s="57">
        <f>(IGA_BD[[#This Row],[Fault Clearance time]]-IGA_BD[[#This Row],[Fault Start TimeStamp]])*24</f>
        <v>0</v>
      </c>
      <c r="R768" s="153"/>
      <c r="S768" s="44"/>
      <c r="T768" s="45" t="str">
        <f>IFERROR(IGA_BD[[#This Row],[Breakdown Time]]*IGA_BD[[#This Row],[Plant Equivalent Weightage]],"")</f>
        <v/>
      </c>
    </row>
    <row r="769" spans="1:20">
      <c r="A769" s="28"/>
      <c r="B769" s="154"/>
      <c r="C769" s="30">
        <f>YEAR(WTG_BD[[#This Row],[Date]])+IF(MONTH(WTG_BD[[#This Row],[Date]])&gt;=4,1,0)</f>
        <v>1900</v>
      </c>
      <c r="D769" s="31">
        <f>YEAR(IGA_BD[[#This Row],[Date]])</f>
        <v>1900</v>
      </c>
      <c r="E769" s="48">
        <f t="shared" si="14"/>
        <v>1</v>
      </c>
      <c r="F769" s="32"/>
      <c r="G769" s="33"/>
      <c r="H769" s="43" t="str">
        <f>IFERROR(VLOOKUP(IGA_BD[[#This Row],[Affected Feeder ]],'Basic Data'!$A$42:$E$53,2,0),"")</f>
        <v/>
      </c>
      <c r="I769" s="43" t="str">
        <f>IFERROR(VLOOKUP(IGA_BD[[#This Row],[Affected Feeder ]],'Basic Data'!$A$42:$E$53,3,0),"")</f>
        <v/>
      </c>
      <c r="J769" s="43" t="str">
        <f>IFERROR(VLOOKUP(IGA_BD[[#This Row],[Affected Feeder ]],'Basic Data'!$A$42:$E$53,5,0),"")</f>
        <v/>
      </c>
      <c r="K769" s="164"/>
      <c r="L769" s="50"/>
      <c r="M769" s="116"/>
      <c r="N769" s="116"/>
      <c r="O769" s="57">
        <f>(IGA_BD[[#This Row],[Work Start TimeStamp]]-IGA_BD[[#This Row],[Fault Start TimeStamp]])*24</f>
        <v>0</v>
      </c>
      <c r="P769" s="44" t="str">
        <f>IF(IGA_BD[[#This Row],[Work Start TimeStamp]]="","",(IGA_BD[[#This Row],[Fault Clearance time]]-IGA_BD[[#This Row],[Work Start TimeStamp]])*24)</f>
        <v/>
      </c>
      <c r="Q769" s="57">
        <f>(IGA_BD[[#This Row],[Fault Clearance time]]-IGA_BD[[#This Row],[Fault Start TimeStamp]])*24</f>
        <v>0</v>
      </c>
      <c r="R769" s="153"/>
      <c r="S769" s="44"/>
      <c r="T769" s="45" t="str">
        <f>IFERROR(IGA_BD[[#This Row],[Breakdown Time]]*IGA_BD[[#This Row],[Plant Equivalent Weightage]],"")</f>
        <v/>
      </c>
    </row>
    <row r="770" spans="1:20">
      <c r="A770" s="28"/>
      <c r="B770" s="154"/>
      <c r="C770" s="30">
        <f>YEAR(WTG_BD[[#This Row],[Date]])+IF(MONTH(WTG_BD[[#This Row],[Date]])&gt;=4,1,0)</f>
        <v>1900</v>
      </c>
      <c r="D770" s="31">
        <f>YEAR(IGA_BD[[#This Row],[Date]])</f>
        <v>1900</v>
      </c>
      <c r="E770" s="48">
        <f t="shared" si="14"/>
        <v>1</v>
      </c>
      <c r="F770" s="32"/>
      <c r="G770" s="33"/>
      <c r="H770" s="43" t="str">
        <f>IFERROR(VLOOKUP(IGA_BD[[#This Row],[Affected Feeder ]],'Basic Data'!$A$42:$E$53,2,0),"")</f>
        <v/>
      </c>
      <c r="I770" s="43" t="str">
        <f>IFERROR(VLOOKUP(IGA_BD[[#This Row],[Affected Feeder ]],'Basic Data'!$A$42:$E$53,3,0),"")</f>
        <v/>
      </c>
      <c r="J770" s="43" t="str">
        <f>IFERROR(VLOOKUP(IGA_BD[[#This Row],[Affected Feeder ]],'Basic Data'!$A$42:$E$53,5,0),"")</f>
        <v/>
      </c>
      <c r="K770" s="164"/>
      <c r="L770" s="50"/>
      <c r="M770" s="116"/>
      <c r="N770" s="116"/>
      <c r="O770" s="57">
        <f>(IGA_BD[[#This Row],[Work Start TimeStamp]]-IGA_BD[[#This Row],[Fault Start TimeStamp]])*24</f>
        <v>0</v>
      </c>
      <c r="P770" s="44" t="str">
        <f>IF(IGA_BD[[#This Row],[Work Start TimeStamp]]="","",(IGA_BD[[#This Row],[Fault Clearance time]]-IGA_BD[[#This Row],[Work Start TimeStamp]])*24)</f>
        <v/>
      </c>
      <c r="Q770" s="57">
        <f>(IGA_BD[[#This Row],[Fault Clearance time]]-IGA_BD[[#This Row],[Fault Start TimeStamp]])*24</f>
        <v>0</v>
      </c>
      <c r="R770" s="153"/>
      <c r="S770" s="44"/>
      <c r="T770" s="45" t="str">
        <f>IFERROR(IGA_BD[[#This Row],[Breakdown Time]]*IGA_BD[[#This Row],[Plant Equivalent Weightage]],"")</f>
        <v/>
      </c>
    </row>
    <row r="771" spans="1:20">
      <c r="A771" s="28"/>
      <c r="B771" s="154"/>
      <c r="C771" s="30">
        <f>YEAR(WTG_BD[[#This Row],[Date]])+IF(MONTH(WTG_BD[[#This Row],[Date]])&gt;=4,1,0)</f>
        <v>1900</v>
      </c>
      <c r="D771" s="31">
        <f>YEAR(IGA_BD[[#This Row],[Date]])</f>
        <v>1900</v>
      </c>
      <c r="E771" s="48">
        <f t="shared" si="14"/>
        <v>1</v>
      </c>
      <c r="F771" s="32"/>
      <c r="G771" s="33"/>
      <c r="H771" s="43" t="str">
        <f>IFERROR(VLOOKUP(IGA_BD[[#This Row],[Affected Feeder ]],'Basic Data'!$A$42:$E$53,2,0),"")</f>
        <v/>
      </c>
      <c r="I771" s="43" t="str">
        <f>IFERROR(VLOOKUP(IGA_BD[[#This Row],[Affected Feeder ]],'Basic Data'!$A$42:$E$53,3,0),"")</f>
        <v/>
      </c>
      <c r="J771" s="43" t="str">
        <f>IFERROR(VLOOKUP(IGA_BD[[#This Row],[Affected Feeder ]],'Basic Data'!$A$42:$E$53,5,0),"")</f>
        <v/>
      </c>
      <c r="K771" s="164"/>
      <c r="L771" s="50"/>
      <c r="M771" s="116"/>
      <c r="N771" s="116"/>
      <c r="O771" s="57">
        <f>(IGA_BD[[#This Row],[Work Start TimeStamp]]-IGA_BD[[#This Row],[Fault Start TimeStamp]])*24</f>
        <v>0</v>
      </c>
      <c r="P771" s="44" t="str">
        <f>IF(IGA_BD[[#This Row],[Work Start TimeStamp]]="","",(IGA_BD[[#This Row],[Fault Clearance time]]-IGA_BD[[#This Row],[Work Start TimeStamp]])*24)</f>
        <v/>
      </c>
      <c r="Q771" s="57">
        <f>(IGA_BD[[#This Row],[Fault Clearance time]]-IGA_BD[[#This Row],[Fault Start TimeStamp]])*24</f>
        <v>0</v>
      </c>
      <c r="R771" s="153"/>
      <c r="S771" s="44"/>
      <c r="T771" s="45" t="str">
        <f>IFERROR(IGA_BD[[#This Row],[Breakdown Time]]*IGA_BD[[#This Row],[Plant Equivalent Weightage]],"")</f>
        <v/>
      </c>
    </row>
    <row r="772" spans="1:20">
      <c r="A772" s="28"/>
      <c r="B772" s="154"/>
      <c r="C772" s="30">
        <f>YEAR(WTG_BD[[#This Row],[Date]])+IF(MONTH(WTG_BD[[#This Row],[Date]])&gt;=4,1,0)</f>
        <v>1900</v>
      </c>
      <c r="D772" s="31">
        <f>YEAR(IGA_BD[[#This Row],[Date]])</f>
        <v>1900</v>
      </c>
      <c r="E772" s="48">
        <f t="shared" si="14"/>
        <v>1</v>
      </c>
      <c r="F772" s="32"/>
      <c r="G772" s="33"/>
      <c r="H772" s="43" t="str">
        <f>IFERROR(VLOOKUP(IGA_BD[[#This Row],[Affected Feeder ]],'Basic Data'!$A$42:$E$53,2,0),"")</f>
        <v/>
      </c>
      <c r="I772" s="43" t="str">
        <f>IFERROR(VLOOKUP(IGA_BD[[#This Row],[Affected Feeder ]],'Basic Data'!$A$42:$E$53,3,0),"")</f>
        <v/>
      </c>
      <c r="J772" s="43" t="str">
        <f>IFERROR(VLOOKUP(IGA_BD[[#This Row],[Affected Feeder ]],'Basic Data'!$A$42:$E$53,5,0),"")</f>
        <v/>
      </c>
      <c r="K772" s="164"/>
      <c r="L772" s="50"/>
      <c r="M772" s="116"/>
      <c r="N772" s="116"/>
      <c r="O772" s="57">
        <f>(IGA_BD[[#This Row],[Work Start TimeStamp]]-IGA_BD[[#This Row],[Fault Start TimeStamp]])*24</f>
        <v>0</v>
      </c>
      <c r="P772" s="44" t="str">
        <f>IF(IGA_BD[[#This Row],[Work Start TimeStamp]]="","",(IGA_BD[[#This Row],[Fault Clearance time]]-IGA_BD[[#This Row],[Work Start TimeStamp]])*24)</f>
        <v/>
      </c>
      <c r="Q772" s="57">
        <f>(IGA_BD[[#This Row],[Fault Clearance time]]-IGA_BD[[#This Row],[Fault Start TimeStamp]])*24</f>
        <v>0</v>
      </c>
      <c r="R772" s="153"/>
      <c r="S772" s="44"/>
      <c r="T772" s="45" t="str">
        <f>IFERROR(IGA_BD[[#This Row],[Breakdown Time]]*IGA_BD[[#This Row],[Plant Equivalent Weightage]],"")</f>
        <v/>
      </c>
    </row>
    <row r="773" spans="1:20">
      <c r="A773" s="28"/>
      <c r="B773" s="154"/>
      <c r="C773" s="30">
        <f>YEAR(WTG_BD[[#This Row],[Date]])+IF(MONTH(WTG_BD[[#This Row],[Date]])&gt;=4,1,0)</f>
        <v>1900</v>
      </c>
      <c r="D773" s="31">
        <f>YEAR(IGA_BD[[#This Row],[Date]])</f>
        <v>1900</v>
      </c>
      <c r="E773" s="48">
        <f t="shared" si="14"/>
        <v>1</v>
      </c>
      <c r="F773" s="32"/>
      <c r="G773" s="33"/>
      <c r="H773" s="43" t="str">
        <f>IFERROR(VLOOKUP(IGA_BD[[#This Row],[Affected Feeder ]],'Basic Data'!$A$42:$E$53,2,0),"")</f>
        <v/>
      </c>
      <c r="I773" s="43" t="str">
        <f>IFERROR(VLOOKUP(IGA_BD[[#This Row],[Affected Feeder ]],'Basic Data'!$A$42:$E$53,3,0),"")</f>
        <v/>
      </c>
      <c r="J773" s="43" t="str">
        <f>IFERROR(VLOOKUP(IGA_BD[[#This Row],[Affected Feeder ]],'Basic Data'!$A$42:$E$53,5,0),"")</f>
        <v/>
      </c>
      <c r="K773" s="164"/>
      <c r="L773" s="50"/>
      <c r="M773" s="116"/>
      <c r="N773" s="116"/>
      <c r="O773" s="57">
        <f>(IGA_BD[[#This Row],[Work Start TimeStamp]]-IGA_BD[[#This Row],[Fault Start TimeStamp]])*24</f>
        <v>0</v>
      </c>
      <c r="P773" s="44" t="str">
        <f>IF(IGA_BD[[#This Row],[Work Start TimeStamp]]="","",(IGA_BD[[#This Row],[Fault Clearance time]]-IGA_BD[[#This Row],[Work Start TimeStamp]])*24)</f>
        <v/>
      </c>
      <c r="Q773" s="57">
        <f>(IGA_BD[[#This Row],[Fault Clearance time]]-IGA_BD[[#This Row],[Fault Start TimeStamp]])*24</f>
        <v>0</v>
      </c>
      <c r="R773" s="153"/>
      <c r="S773" s="44"/>
      <c r="T773" s="45" t="str">
        <f>IFERROR(IGA_BD[[#This Row],[Breakdown Time]]*IGA_BD[[#This Row],[Plant Equivalent Weightage]],"")</f>
        <v/>
      </c>
    </row>
    <row r="774" spans="1:20">
      <c r="A774" s="28"/>
      <c r="B774" s="154"/>
      <c r="C774" s="30">
        <f>YEAR(WTG_BD[[#This Row],[Date]])+IF(MONTH(WTG_BD[[#This Row],[Date]])&gt;=4,1,0)</f>
        <v>1900</v>
      </c>
      <c r="D774" s="31">
        <f>YEAR(IGA_BD[[#This Row],[Date]])</f>
        <v>1900</v>
      </c>
      <c r="E774" s="48">
        <f t="shared" si="14"/>
        <v>1</v>
      </c>
      <c r="F774" s="32"/>
      <c r="G774" s="33"/>
      <c r="H774" s="43" t="str">
        <f>IFERROR(VLOOKUP(IGA_BD[[#This Row],[Affected Feeder ]],'Basic Data'!$A$42:$E$53,2,0),"")</f>
        <v/>
      </c>
      <c r="I774" s="43" t="str">
        <f>IFERROR(VLOOKUP(IGA_BD[[#This Row],[Affected Feeder ]],'Basic Data'!$A$42:$E$53,3,0),"")</f>
        <v/>
      </c>
      <c r="J774" s="43" t="str">
        <f>IFERROR(VLOOKUP(IGA_BD[[#This Row],[Affected Feeder ]],'Basic Data'!$A$42:$E$53,5,0),"")</f>
        <v/>
      </c>
      <c r="K774" s="164"/>
      <c r="L774" s="50"/>
      <c r="M774" s="116"/>
      <c r="N774" s="116"/>
      <c r="O774" s="57">
        <f>(IGA_BD[[#This Row],[Work Start TimeStamp]]-IGA_BD[[#This Row],[Fault Start TimeStamp]])*24</f>
        <v>0</v>
      </c>
      <c r="P774" s="44" t="str">
        <f>IF(IGA_BD[[#This Row],[Work Start TimeStamp]]="","",(IGA_BD[[#This Row],[Fault Clearance time]]-IGA_BD[[#This Row],[Work Start TimeStamp]])*24)</f>
        <v/>
      </c>
      <c r="Q774" s="57">
        <f>(IGA_BD[[#This Row],[Fault Clearance time]]-IGA_BD[[#This Row],[Fault Start TimeStamp]])*24</f>
        <v>0</v>
      </c>
      <c r="R774" s="153"/>
      <c r="S774" s="44"/>
      <c r="T774" s="45" t="str">
        <f>IFERROR(IGA_BD[[#This Row],[Breakdown Time]]*IGA_BD[[#This Row],[Plant Equivalent Weightage]],"")</f>
        <v/>
      </c>
    </row>
    <row r="775" spans="1:20">
      <c r="A775" s="28"/>
      <c r="B775" s="154"/>
      <c r="C775" s="30">
        <f>YEAR(WTG_BD[[#This Row],[Date]])+IF(MONTH(WTG_BD[[#This Row],[Date]])&gt;=4,1,0)</f>
        <v>1900</v>
      </c>
      <c r="D775" s="31">
        <f>YEAR(IGA_BD[[#This Row],[Date]])</f>
        <v>1900</v>
      </c>
      <c r="E775" s="48">
        <f t="shared" si="14"/>
        <v>1</v>
      </c>
      <c r="F775" s="32"/>
      <c r="G775" s="33"/>
      <c r="H775" s="43" t="str">
        <f>IFERROR(VLOOKUP(IGA_BD[[#This Row],[Affected Feeder ]],'Basic Data'!$A$42:$E$53,2,0),"")</f>
        <v/>
      </c>
      <c r="I775" s="43" t="str">
        <f>IFERROR(VLOOKUP(IGA_BD[[#This Row],[Affected Feeder ]],'Basic Data'!$A$42:$E$53,3,0),"")</f>
        <v/>
      </c>
      <c r="J775" s="43" t="str">
        <f>IFERROR(VLOOKUP(IGA_BD[[#This Row],[Affected Feeder ]],'Basic Data'!$A$42:$E$53,5,0),"")</f>
        <v/>
      </c>
      <c r="K775" s="164"/>
      <c r="L775" s="50"/>
      <c r="M775" s="116"/>
      <c r="N775" s="116"/>
      <c r="O775" s="57">
        <f>(IGA_BD[[#This Row],[Work Start TimeStamp]]-IGA_BD[[#This Row],[Fault Start TimeStamp]])*24</f>
        <v>0</v>
      </c>
      <c r="P775" s="44" t="str">
        <f>IF(IGA_BD[[#This Row],[Work Start TimeStamp]]="","",(IGA_BD[[#This Row],[Fault Clearance time]]-IGA_BD[[#This Row],[Work Start TimeStamp]])*24)</f>
        <v/>
      </c>
      <c r="Q775" s="57">
        <f>(IGA_BD[[#This Row],[Fault Clearance time]]-IGA_BD[[#This Row],[Fault Start TimeStamp]])*24</f>
        <v>0</v>
      </c>
      <c r="R775" s="153"/>
      <c r="S775" s="44"/>
      <c r="T775" s="45" t="str">
        <f>IFERROR(IGA_BD[[#This Row],[Breakdown Time]]*IGA_BD[[#This Row],[Plant Equivalent Weightage]],"")</f>
        <v/>
      </c>
    </row>
    <row r="776" spans="1:20">
      <c r="A776" s="28"/>
      <c r="B776" s="154"/>
      <c r="C776" s="30">
        <f>YEAR(WTG_BD[[#This Row],[Date]])+IF(MONTH(WTG_BD[[#This Row],[Date]])&gt;=4,1,0)</f>
        <v>1900</v>
      </c>
      <c r="D776" s="31">
        <f>YEAR(IGA_BD[[#This Row],[Date]])</f>
        <v>1900</v>
      </c>
      <c r="E776" s="48">
        <f t="shared" si="14"/>
        <v>1</v>
      </c>
      <c r="F776" s="32"/>
      <c r="G776" s="33"/>
      <c r="H776" s="43" t="str">
        <f>IFERROR(VLOOKUP(IGA_BD[[#This Row],[Affected Feeder ]],'Basic Data'!$A$42:$E$53,2,0),"")</f>
        <v/>
      </c>
      <c r="I776" s="43" t="str">
        <f>IFERROR(VLOOKUP(IGA_BD[[#This Row],[Affected Feeder ]],'Basic Data'!$A$42:$E$53,3,0),"")</f>
        <v/>
      </c>
      <c r="J776" s="43" t="str">
        <f>IFERROR(VLOOKUP(IGA_BD[[#This Row],[Affected Feeder ]],'Basic Data'!$A$42:$E$53,5,0),"")</f>
        <v/>
      </c>
      <c r="K776" s="164"/>
      <c r="L776" s="50"/>
      <c r="M776" s="116"/>
      <c r="N776" s="116"/>
      <c r="O776" s="57">
        <f>(IGA_BD[[#This Row],[Work Start TimeStamp]]-IGA_BD[[#This Row],[Fault Start TimeStamp]])*24</f>
        <v>0</v>
      </c>
      <c r="P776" s="44" t="str">
        <f>IF(IGA_BD[[#This Row],[Work Start TimeStamp]]="","",(IGA_BD[[#This Row],[Fault Clearance time]]-IGA_BD[[#This Row],[Work Start TimeStamp]])*24)</f>
        <v/>
      </c>
      <c r="Q776" s="57">
        <f>(IGA_BD[[#This Row],[Fault Clearance time]]-IGA_BD[[#This Row],[Fault Start TimeStamp]])*24</f>
        <v>0</v>
      </c>
      <c r="R776" s="153"/>
      <c r="S776" s="44"/>
      <c r="T776" s="45" t="str">
        <f>IFERROR(IGA_BD[[#This Row],[Breakdown Time]]*IGA_BD[[#This Row],[Plant Equivalent Weightage]],"")</f>
        <v/>
      </c>
    </row>
    <row r="777" spans="1:20">
      <c r="A777" s="28"/>
      <c r="B777" s="154"/>
      <c r="C777" s="30">
        <f>YEAR(WTG_BD[[#This Row],[Date]])+IF(MONTH(WTG_BD[[#This Row],[Date]])&gt;=4,1,0)</f>
        <v>1900</v>
      </c>
      <c r="D777" s="31">
        <f>YEAR(IGA_BD[[#This Row],[Date]])</f>
        <v>1900</v>
      </c>
      <c r="E777" s="48">
        <f t="shared" si="14"/>
        <v>1</v>
      </c>
      <c r="F777" s="32"/>
      <c r="G777" s="33"/>
      <c r="H777" s="43" t="str">
        <f>IFERROR(VLOOKUP(IGA_BD[[#This Row],[Affected Feeder ]],'Basic Data'!$A$42:$E$53,2,0),"")</f>
        <v/>
      </c>
      <c r="I777" s="43" t="str">
        <f>IFERROR(VLOOKUP(IGA_BD[[#This Row],[Affected Feeder ]],'Basic Data'!$A$42:$E$53,3,0),"")</f>
        <v/>
      </c>
      <c r="J777" s="43" t="str">
        <f>IFERROR(VLOOKUP(IGA_BD[[#This Row],[Affected Feeder ]],'Basic Data'!$A$42:$E$53,5,0),"")</f>
        <v/>
      </c>
      <c r="K777" s="164"/>
      <c r="L777" s="50"/>
      <c r="M777" s="116"/>
      <c r="N777" s="116"/>
      <c r="O777" s="57">
        <f>(IGA_BD[[#This Row],[Work Start TimeStamp]]-IGA_BD[[#This Row],[Fault Start TimeStamp]])*24</f>
        <v>0</v>
      </c>
      <c r="P777" s="44" t="str">
        <f>IF(IGA_BD[[#This Row],[Work Start TimeStamp]]="","",(IGA_BD[[#This Row],[Fault Clearance time]]-IGA_BD[[#This Row],[Work Start TimeStamp]])*24)</f>
        <v/>
      </c>
      <c r="Q777" s="57">
        <f>(IGA_BD[[#This Row],[Fault Clearance time]]-IGA_BD[[#This Row],[Fault Start TimeStamp]])*24</f>
        <v>0</v>
      </c>
      <c r="R777" s="153"/>
      <c r="S777" s="44"/>
      <c r="T777" s="45" t="str">
        <f>IFERROR(IGA_BD[[#This Row],[Breakdown Time]]*IGA_BD[[#This Row],[Plant Equivalent Weightage]],"")</f>
        <v/>
      </c>
    </row>
    <row r="778" spans="1:20">
      <c r="A778" s="28"/>
      <c r="B778" s="154"/>
      <c r="C778" s="30">
        <f>YEAR(WTG_BD[[#This Row],[Date]])+IF(MONTH(WTG_BD[[#This Row],[Date]])&gt;=4,1,0)</f>
        <v>1900</v>
      </c>
      <c r="D778" s="31">
        <f>YEAR(IGA_BD[[#This Row],[Date]])</f>
        <v>1900</v>
      </c>
      <c r="E778" s="48">
        <f t="shared" si="14"/>
        <v>1</v>
      </c>
      <c r="F778" s="32"/>
      <c r="G778" s="33"/>
      <c r="H778" s="43" t="str">
        <f>IFERROR(VLOOKUP(IGA_BD[[#This Row],[Affected Feeder ]],'Basic Data'!$A$42:$E$53,2,0),"")</f>
        <v/>
      </c>
      <c r="I778" s="43" t="str">
        <f>IFERROR(VLOOKUP(IGA_BD[[#This Row],[Affected Feeder ]],'Basic Data'!$A$42:$E$53,3,0),"")</f>
        <v/>
      </c>
      <c r="J778" s="43" t="str">
        <f>IFERROR(VLOOKUP(IGA_BD[[#This Row],[Affected Feeder ]],'Basic Data'!$A$42:$E$53,5,0),"")</f>
        <v/>
      </c>
      <c r="K778" s="164"/>
      <c r="L778" s="50"/>
      <c r="M778" s="116"/>
      <c r="N778" s="116"/>
      <c r="O778" s="57">
        <f>(IGA_BD[[#This Row],[Work Start TimeStamp]]-IGA_BD[[#This Row],[Fault Start TimeStamp]])*24</f>
        <v>0</v>
      </c>
      <c r="P778" s="44" t="str">
        <f>IF(IGA_BD[[#This Row],[Work Start TimeStamp]]="","",(IGA_BD[[#This Row],[Fault Clearance time]]-IGA_BD[[#This Row],[Work Start TimeStamp]])*24)</f>
        <v/>
      </c>
      <c r="Q778" s="57">
        <f>(IGA_BD[[#This Row],[Fault Clearance time]]-IGA_BD[[#This Row],[Fault Start TimeStamp]])*24</f>
        <v>0</v>
      </c>
      <c r="R778" s="153"/>
      <c r="S778" s="44"/>
      <c r="T778" s="45" t="str">
        <f>IFERROR(IGA_BD[[#This Row],[Breakdown Time]]*IGA_BD[[#This Row],[Plant Equivalent Weightage]],"")</f>
        <v/>
      </c>
    </row>
    <row r="779" spans="1:20">
      <c r="A779" s="28"/>
      <c r="B779" s="154"/>
      <c r="C779" s="30">
        <f>YEAR(WTG_BD[[#This Row],[Date]])+IF(MONTH(WTG_BD[[#This Row],[Date]])&gt;=4,1,0)</f>
        <v>1900</v>
      </c>
      <c r="D779" s="31">
        <f>YEAR(IGA_BD[[#This Row],[Date]])</f>
        <v>1900</v>
      </c>
      <c r="E779" s="48">
        <f t="shared" si="14"/>
        <v>1</v>
      </c>
      <c r="F779" s="32"/>
      <c r="G779" s="33"/>
      <c r="H779" s="43" t="str">
        <f>IFERROR(VLOOKUP(IGA_BD[[#This Row],[Affected Feeder ]],'Basic Data'!$A$42:$E$53,2,0),"")</f>
        <v/>
      </c>
      <c r="I779" s="43" t="str">
        <f>IFERROR(VLOOKUP(IGA_BD[[#This Row],[Affected Feeder ]],'Basic Data'!$A$42:$E$53,3,0),"")</f>
        <v/>
      </c>
      <c r="J779" s="43" t="str">
        <f>IFERROR(VLOOKUP(IGA_BD[[#This Row],[Affected Feeder ]],'Basic Data'!$A$42:$E$53,5,0),"")</f>
        <v/>
      </c>
      <c r="K779" s="164"/>
      <c r="L779" s="50"/>
      <c r="M779" s="116"/>
      <c r="N779" s="116"/>
      <c r="O779" s="57">
        <f>(IGA_BD[[#This Row],[Work Start TimeStamp]]-IGA_BD[[#This Row],[Fault Start TimeStamp]])*24</f>
        <v>0</v>
      </c>
      <c r="P779" s="44" t="str">
        <f>IF(IGA_BD[[#This Row],[Work Start TimeStamp]]="","",(IGA_BD[[#This Row],[Fault Clearance time]]-IGA_BD[[#This Row],[Work Start TimeStamp]])*24)</f>
        <v/>
      </c>
      <c r="Q779" s="57">
        <f>(IGA_BD[[#This Row],[Fault Clearance time]]-IGA_BD[[#This Row],[Fault Start TimeStamp]])*24</f>
        <v>0</v>
      </c>
      <c r="R779" s="153"/>
      <c r="S779" s="44"/>
      <c r="T779" s="45" t="str">
        <f>IFERROR(IGA_BD[[#This Row],[Breakdown Time]]*IGA_BD[[#This Row],[Plant Equivalent Weightage]],"")</f>
        <v/>
      </c>
    </row>
    <row r="780" spans="1:20">
      <c r="A780" s="28"/>
      <c r="B780" s="154"/>
      <c r="C780" s="30">
        <f>YEAR(WTG_BD[[#This Row],[Date]])+IF(MONTH(WTG_BD[[#This Row],[Date]])&gt;=4,1,0)</f>
        <v>1900</v>
      </c>
      <c r="D780" s="31">
        <f>YEAR(IGA_BD[[#This Row],[Date]])</f>
        <v>1900</v>
      </c>
      <c r="E780" s="48">
        <f t="shared" si="14"/>
        <v>1</v>
      </c>
      <c r="F780" s="32"/>
      <c r="G780" s="33"/>
      <c r="H780" s="43" t="str">
        <f>IFERROR(VLOOKUP(IGA_BD[[#This Row],[Affected Feeder ]],'Basic Data'!$A$42:$E$53,2,0),"")</f>
        <v/>
      </c>
      <c r="I780" s="43" t="str">
        <f>IFERROR(VLOOKUP(IGA_BD[[#This Row],[Affected Feeder ]],'Basic Data'!$A$42:$E$53,3,0),"")</f>
        <v/>
      </c>
      <c r="J780" s="43" t="str">
        <f>IFERROR(VLOOKUP(IGA_BD[[#This Row],[Affected Feeder ]],'Basic Data'!$A$42:$E$53,5,0),"")</f>
        <v/>
      </c>
      <c r="K780" s="164"/>
      <c r="L780" s="50"/>
      <c r="M780" s="116"/>
      <c r="N780" s="116"/>
      <c r="O780" s="57">
        <f>(IGA_BD[[#This Row],[Work Start TimeStamp]]-IGA_BD[[#This Row],[Fault Start TimeStamp]])*24</f>
        <v>0</v>
      </c>
      <c r="P780" s="44" t="str">
        <f>IF(IGA_BD[[#This Row],[Work Start TimeStamp]]="","",(IGA_BD[[#This Row],[Fault Clearance time]]-IGA_BD[[#This Row],[Work Start TimeStamp]])*24)</f>
        <v/>
      </c>
      <c r="Q780" s="57">
        <f>(IGA_BD[[#This Row],[Fault Clearance time]]-IGA_BD[[#This Row],[Fault Start TimeStamp]])*24</f>
        <v>0</v>
      </c>
      <c r="R780" s="153"/>
      <c r="S780" s="44"/>
      <c r="T780" s="45" t="str">
        <f>IFERROR(IGA_BD[[#This Row],[Breakdown Time]]*IGA_BD[[#This Row],[Plant Equivalent Weightage]],"")</f>
        <v/>
      </c>
    </row>
    <row r="781" spans="1:20">
      <c r="A781" s="28"/>
      <c r="B781" s="154"/>
      <c r="C781" s="30">
        <f>YEAR(WTG_BD[[#This Row],[Date]])+IF(MONTH(WTG_BD[[#This Row],[Date]])&gt;=4,1,0)</f>
        <v>1900</v>
      </c>
      <c r="D781" s="31">
        <f>YEAR(IGA_BD[[#This Row],[Date]])</f>
        <v>1900</v>
      </c>
      <c r="E781" s="48">
        <f t="shared" si="14"/>
        <v>1</v>
      </c>
      <c r="F781" s="32"/>
      <c r="G781" s="33"/>
      <c r="H781" s="43" t="str">
        <f>IFERROR(VLOOKUP(IGA_BD[[#This Row],[Affected Feeder ]],'Basic Data'!$A$42:$E$53,2,0),"")</f>
        <v/>
      </c>
      <c r="I781" s="43" t="str">
        <f>IFERROR(VLOOKUP(IGA_BD[[#This Row],[Affected Feeder ]],'Basic Data'!$A$42:$E$53,3,0),"")</f>
        <v/>
      </c>
      <c r="J781" s="43" t="str">
        <f>IFERROR(VLOOKUP(IGA_BD[[#This Row],[Affected Feeder ]],'Basic Data'!$A$42:$E$53,5,0),"")</f>
        <v/>
      </c>
      <c r="K781" s="164"/>
      <c r="L781" s="50"/>
      <c r="M781" s="116"/>
      <c r="N781" s="116"/>
      <c r="O781" s="57">
        <f>(IGA_BD[[#This Row],[Work Start TimeStamp]]-IGA_BD[[#This Row],[Fault Start TimeStamp]])*24</f>
        <v>0</v>
      </c>
      <c r="P781" s="44" t="str">
        <f>IF(IGA_BD[[#This Row],[Work Start TimeStamp]]="","",(IGA_BD[[#This Row],[Fault Clearance time]]-IGA_BD[[#This Row],[Work Start TimeStamp]])*24)</f>
        <v/>
      </c>
      <c r="Q781" s="57">
        <f>(IGA_BD[[#This Row],[Fault Clearance time]]-IGA_BD[[#This Row],[Fault Start TimeStamp]])*24</f>
        <v>0</v>
      </c>
      <c r="R781" s="153"/>
      <c r="S781" s="44"/>
      <c r="T781" s="45" t="str">
        <f>IFERROR(IGA_BD[[#This Row],[Breakdown Time]]*IGA_BD[[#This Row],[Plant Equivalent Weightage]],"")</f>
        <v/>
      </c>
    </row>
    <row r="782" spans="1:20">
      <c r="A782" s="28"/>
      <c r="B782" s="154"/>
      <c r="C782" s="30">
        <f>YEAR(WTG_BD[[#This Row],[Date]])+IF(MONTH(WTG_BD[[#This Row],[Date]])&gt;=4,1,0)</f>
        <v>1900</v>
      </c>
      <c r="D782" s="31">
        <f>YEAR(IGA_BD[[#This Row],[Date]])</f>
        <v>1900</v>
      </c>
      <c r="E782" s="48">
        <f t="shared" si="14"/>
        <v>1</v>
      </c>
      <c r="F782" s="32"/>
      <c r="G782" s="33"/>
      <c r="H782" s="43" t="str">
        <f>IFERROR(VLOOKUP(IGA_BD[[#This Row],[Affected Feeder ]],'Basic Data'!$A$42:$E$53,2,0),"")</f>
        <v/>
      </c>
      <c r="I782" s="43" t="str">
        <f>IFERROR(VLOOKUP(IGA_BD[[#This Row],[Affected Feeder ]],'Basic Data'!$A$42:$E$53,3,0),"")</f>
        <v/>
      </c>
      <c r="J782" s="43" t="str">
        <f>IFERROR(VLOOKUP(IGA_BD[[#This Row],[Affected Feeder ]],'Basic Data'!$A$42:$E$53,5,0),"")</f>
        <v/>
      </c>
      <c r="K782" s="164"/>
      <c r="L782" s="50"/>
      <c r="M782" s="116"/>
      <c r="N782" s="116"/>
      <c r="O782" s="57">
        <f>(IGA_BD[[#This Row],[Work Start TimeStamp]]-IGA_BD[[#This Row],[Fault Start TimeStamp]])*24</f>
        <v>0</v>
      </c>
      <c r="P782" s="44" t="str">
        <f>IF(IGA_BD[[#This Row],[Work Start TimeStamp]]="","",(IGA_BD[[#This Row],[Fault Clearance time]]-IGA_BD[[#This Row],[Work Start TimeStamp]])*24)</f>
        <v/>
      </c>
      <c r="Q782" s="57">
        <f>(IGA_BD[[#This Row],[Fault Clearance time]]-IGA_BD[[#This Row],[Fault Start TimeStamp]])*24</f>
        <v>0</v>
      </c>
      <c r="R782" s="153"/>
      <c r="S782" s="44"/>
      <c r="T782" s="45" t="str">
        <f>IFERROR(IGA_BD[[#This Row],[Breakdown Time]]*IGA_BD[[#This Row],[Plant Equivalent Weightage]],"")</f>
        <v/>
      </c>
    </row>
    <row r="783" spans="1:20">
      <c r="A783" s="28"/>
      <c r="B783" s="154"/>
      <c r="C783" s="30">
        <f>YEAR(WTG_BD[[#This Row],[Date]])+IF(MONTH(WTG_BD[[#This Row],[Date]])&gt;=4,1,0)</f>
        <v>1900</v>
      </c>
      <c r="D783" s="31">
        <f>YEAR(IGA_BD[[#This Row],[Date]])</f>
        <v>1900</v>
      </c>
      <c r="E783" s="48">
        <f t="shared" si="14"/>
        <v>1</v>
      </c>
      <c r="F783" s="32"/>
      <c r="G783" s="33"/>
      <c r="H783" s="43" t="str">
        <f>IFERROR(VLOOKUP(IGA_BD[[#This Row],[Affected Feeder ]],'Basic Data'!$A$42:$E$53,2,0),"")</f>
        <v/>
      </c>
      <c r="I783" s="43" t="str">
        <f>IFERROR(VLOOKUP(IGA_BD[[#This Row],[Affected Feeder ]],'Basic Data'!$A$42:$E$53,3,0),"")</f>
        <v/>
      </c>
      <c r="J783" s="43" t="str">
        <f>IFERROR(VLOOKUP(IGA_BD[[#This Row],[Affected Feeder ]],'Basic Data'!$A$42:$E$53,5,0),"")</f>
        <v/>
      </c>
      <c r="K783" s="164"/>
      <c r="L783" s="50"/>
      <c r="M783" s="116"/>
      <c r="N783" s="116"/>
      <c r="O783" s="57">
        <f>(IGA_BD[[#This Row],[Work Start TimeStamp]]-IGA_BD[[#This Row],[Fault Start TimeStamp]])*24</f>
        <v>0</v>
      </c>
      <c r="P783" s="44" t="str">
        <f>IF(IGA_BD[[#This Row],[Work Start TimeStamp]]="","",(IGA_BD[[#This Row],[Fault Clearance time]]-IGA_BD[[#This Row],[Work Start TimeStamp]])*24)</f>
        <v/>
      </c>
      <c r="Q783" s="57">
        <f>(IGA_BD[[#This Row],[Fault Clearance time]]-IGA_BD[[#This Row],[Fault Start TimeStamp]])*24</f>
        <v>0</v>
      </c>
      <c r="R783" s="153"/>
      <c r="S783" s="44"/>
      <c r="T783" s="45" t="str">
        <f>IFERROR(IGA_BD[[#This Row],[Breakdown Time]]*IGA_BD[[#This Row],[Plant Equivalent Weightage]],"")</f>
        <v/>
      </c>
    </row>
    <row r="784" spans="1:20">
      <c r="A784" s="28"/>
      <c r="B784" s="154"/>
      <c r="C784" s="30">
        <f>YEAR(WTG_BD[[#This Row],[Date]])+IF(MONTH(WTG_BD[[#This Row],[Date]])&gt;=4,1,0)</f>
        <v>1900</v>
      </c>
      <c r="D784" s="31">
        <f>YEAR(IGA_BD[[#This Row],[Date]])</f>
        <v>1900</v>
      </c>
      <c r="E784" s="48">
        <f t="shared" si="14"/>
        <v>1</v>
      </c>
      <c r="F784" s="32"/>
      <c r="G784" s="33"/>
      <c r="H784" s="43" t="str">
        <f>IFERROR(VLOOKUP(IGA_BD[[#This Row],[Affected Feeder ]],'Basic Data'!$A$42:$E$53,2,0),"")</f>
        <v/>
      </c>
      <c r="I784" s="43" t="str">
        <f>IFERROR(VLOOKUP(IGA_BD[[#This Row],[Affected Feeder ]],'Basic Data'!$A$42:$E$53,3,0),"")</f>
        <v/>
      </c>
      <c r="J784" s="43" t="str">
        <f>IFERROR(VLOOKUP(IGA_BD[[#This Row],[Affected Feeder ]],'Basic Data'!$A$42:$E$53,5,0),"")</f>
        <v/>
      </c>
      <c r="K784" s="164"/>
      <c r="L784" s="50"/>
      <c r="M784" s="116"/>
      <c r="N784" s="116"/>
      <c r="O784" s="57">
        <f>(IGA_BD[[#This Row],[Work Start TimeStamp]]-IGA_BD[[#This Row],[Fault Start TimeStamp]])*24</f>
        <v>0</v>
      </c>
      <c r="P784" s="44" t="str">
        <f>IF(IGA_BD[[#This Row],[Work Start TimeStamp]]="","",(IGA_BD[[#This Row],[Fault Clearance time]]-IGA_BD[[#This Row],[Work Start TimeStamp]])*24)</f>
        <v/>
      </c>
      <c r="Q784" s="57">
        <f>(IGA_BD[[#This Row],[Fault Clearance time]]-IGA_BD[[#This Row],[Fault Start TimeStamp]])*24</f>
        <v>0</v>
      </c>
      <c r="R784" s="153"/>
      <c r="S784" s="44"/>
      <c r="T784" s="45" t="str">
        <f>IFERROR(IGA_BD[[#This Row],[Breakdown Time]]*IGA_BD[[#This Row],[Plant Equivalent Weightage]],"")</f>
        <v/>
      </c>
    </row>
    <row r="785" spans="1:20">
      <c r="A785" s="28"/>
      <c r="B785" s="154"/>
      <c r="C785" s="30">
        <f>YEAR(WTG_BD[[#This Row],[Date]])+IF(MONTH(WTG_BD[[#This Row],[Date]])&gt;=4,1,0)</f>
        <v>1900</v>
      </c>
      <c r="D785" s="31">
        <f>YEAR(IGA_BD[[#This Row],[Date]])</f>
        <v>1900</v>
      </c>
      <c r="E785" s="48">
        <f t="shared" si="14"/>
        <v>1</v>
      </c>
      <c r="F785" s="32"/>
      <c r="G785" s="33"/>
      <c r="H785" s="43" t="str">
        <f>IFERROR(VLOOKUP(IGA_BD[[#This Row],[Affected Feeder ]],'Basic Data'!$A$42:$E$53,2,0),"")</f>
        <v/>
      </c>
      <c r="I785" s="43" t="str">
        <f>IFERROR(VLOOKUP(IGA_BD[[#This Row],[Affected Feeder ]],'Basic Data'!$A$42:$E$53,3,0),"")</f>
        <v/>
      </c>
      <c r="J785" s="43" t="str">
        <f>IFERROR(VLOOKUP(IGA_BD[[#This Row],[Affected Feeder ]],'Basic Data'!$A$42:$E$53,5,0),"")</f>
        <v/>
      </c>
      <c r="K785" s="164"/>
      <c r="L785" s="50"/>
      <c r="M785" s="116"/>
      <c r="N785" s="116"/>
      <c r="O785" s="57">
        <f>(IGA_BD[[#This Row],[Work Start TimeStamp]]-IGA_BD[[#This Row],[Fault Start TimeStamp]])*24</f>
        <v>0</v>
      </c>
      <c r="P785" s="44" t="str">
        <f>IF(IGA_BD[[#This Row],[Work Start TimeStamp]]="","",(IGA_BD[[#This Row],[Fault Clearance time]]-IGA_BD[[#This Row],[Work Start TimeStamp]])*24)</f>
        <v/>
      </c>
      <c r="Q785" s="57">
        <f>(IGA_BD[[#This Row],[Fault Clearance time]]-IGA_BD[[#This Row],[Fault Start TimeStamp]])*24</f>
        <v>0</v>
      </c>
      <c r="R785" s="153"/>
      <c r="S785" s="44"/>
      <c r="T785" s="45" t="str">
        <f>IFERROR(IGA_BD[[#This Row],[Breakdown Time]]*IGA_BD[[#This Row],[Plant Equivalent Weightage]],"")</f>
        <v/>
      </c>
    </row>
    <row r="786" spans="1:20">
      <c r="A786" s="28"/>
      <c r="B786" s="154"/>
      <c r="C786" s="30">
        <f>YEAR(WTG_BD[[#This Row],[Date]])+IF(MONTH(WTG_BD[[#This Row],[Date]])&gt;=4,1,0)</f>
        <v>1900</v>
      </c>
      <c r="D786" s="31">
        <f>YEAR(IGA_BD[[#This Row],[Date]])</f>
        <v>1900</v>
      </c>
      <c r="E786" s="48">
        <f t="shared" si="14"/>
        <v>1</v>
      </c>
      <c r="F786" s="32"/>
      <c r="G786" s="33"/>
      <c r="H786" s="43" t="str">
        <f>IFERROR(VLOOKUP(IGA_BD[[#This Row],[Affected Feeder ]],'Basic Data'!$A$42:$E$53,2,0),"")</f>
        <v/>
      </c>
      <c r="I786" s="43" t="str">
        <f>IFERROR(VLOOKUP(IGA_BD[[#This Row],[Affected Feeder ]],'Basic Data'!$A$42:$E$53,3,0),"")</f>
        <v/>
      </c>
      <c r="J786" s="43" t="str">
        <f>IFERROR(VLOOKUP(IGA_BD[[#This Row],[Affected Feeder ]],'Basic Data'!$A$42:$E$53,5,0),"")</f>
        <v/>
      </c>
      <c r="K786" s="164"/>
      <c r="L786" s="50"/>
      <c r="M786" s="116"/>
      <c r="N786" s="116"/>
      <c r="O786" s="57">
        <f>(IGA_BD[[#This Row],[Work Start TimeStamp]]-IGA_BD[[#This Row],[Fault Start TimeStamp]])*24</f>
        <v>0</v>
      </c>
      <c r="P786" s="44" t="str">
        <f>IF(IGA_BD[[#This Row],[Work Start TimeStamp]]="","",(IGA_BD[[#This Row],[Fault Clearance time]]-IGA_BD[[#This Row],[Work Start TimeStamp]])*24)</f>
        <v/>
      </c>
      <c r="Q786" s="57">
        <f>(IGA_BD[[#This Row],[Fault Clearance time]]-IGA_BD[[#This Row],[Fault Start TimeStamp]])*24</f>
        <v>0</v>
      </c>
      <c r="R786" s="153"/>
      <c r="S786" s="44"/>
      <c r="T786" s="45" t="str">
        <f>IFERROR(IGA_BD[[#This Row],[Breakdown Time]]*IGA_BD[[#This Row],[Plant Equivalent Weightage]],"")</f>
        <v/>
      </c>
    </row>
    <row r="787" spans="1:20">
      <c r="A787" s="28"/>
      <c r="B787" s="154"/>
      <c r="C787" s="30">
        <f>YEAR(WTG_BD[[#This Row],[Date]])+IF(MONTH(WTG_BD[[#This Row],[Date]])&gt;=4,1,0)</f>
        <v>1900</v>
      </c>
      <c r="D787" s="31">
        <f>YEAR(IGA_BD[[#This Row],[Date]])</f>
        <v>1900</v>
      </c>
      <c r="E787" s="48">
        <f t="shared" si="14"/>
        <v>1</v>
      </c>
      <c r="F787" s="32"/>
      <c r="G787" s="33"/>
      <c r="H787" s="43" t="str">
        <f>IFERROR(VLOOKUP(IGA_BD[[#This Row],[Affected Feeder ]],'Basic Data'!$A$42:$E$53,2,0),"")</f>
        <v/>
      </c>
      <c r="I787" s="43" t="str">
        <f>IFERROR(VLOOKUP(IGA_BD[[#This Row],[Affected Feeder ]],'Basic Data'!$A$42:$E$53,3,0),"")</f>
        <v/>
      </c>
      <c r="J787" s="43" t="str">
        <f>IFERROR(VLOOKUP(IGA_BD[[#This Row],[Affected Feeder ]],'Basic Data'!$A$42:$E$53,5,0),"")</f>
        <v/>
      </c>
      <c r="K787" s="164"/>
      <c r="L787" s="50"/>
      <c r="M787" s="116"/>
      <c r="N787" s="116"/>
      <c r="O787" s="57">
        <f>(IGA_BD[[#This Row],[Work Start TimeStamp]]-IGA_BD[[#This Row],[Fault Start TimeStamp]])*24</f>
        <v>0</v>
      </c>
      <c r="P787" s="44" t="str">
        <f>IF(IGA_BD[[#This Row],[Work Start TimeStamp]]="","",(IGA_BD[[#This Row],[Fault Clearance time]]-IGA_BD[[#This Row],[Work Start TimeStamp]])*24)</f>
        <v/>
      </c>
      <c r="Q787" s="57">
        <f>(IGA_BD[[#This Row],[Fault Clearance time]]-IGA_BD[[#This Row],[Fault Start TimeStamp]])*24</f>
        <v>0</v>
      </c>
      <c r="R787" s="153"/>
      <c r="S787" s="44"/>
      <c r="T787" s="45" t="str">
        <f>IFERROR(IGA_BD[[#This Row],[Breakdown Time]]*IGA_BD[[#This Row],[Plant Equivalent Weightage]],"")</f>
        <v/>
      </c>
    </row>
    <row r="788" spans="1:20">
      <c r="A788" s="28"/>
      <c r="B788" s="154"/>
      <c r="C788" s="30">
        <f>YEAR(WTG_BD[[#This Row],[Date]])+IF(MONTH(WTG_BD[[#This Row],[Date]])&gt;=4,1,0)</f>
        <v>1900</v>
      </c>
      <c r="D788" s="31">
        <f>YEAR(IGA_BD[[#This Row],[Date]])</f>
        <v>1900</v>
      </c>
      <c r="E788" s="48">
        <f t="shared" si="14"/>
        <v>1</v>
      </c>
      <c r="F788" s="32"/>
      <c r="G788" s="33"/>
      <c r="H788" s="43" t="str">
        <f>IFERROR(VLOOKUP(IGA_BD[[#This Row],[Affected Feeder ]],'Basic Data'!$A$42:$E$53,2,0),"")</f>
        <v/>
      </c>
      <c r="I788" s="43" t="str">
        <f>IFERROR(VLOOKUP(IGA_BD[[#This Row],[Affected Feeder ]],'Basic Data'!$A$42:$E$53,3,0),"")</f>
        <v/>
      </c>
      <c r="J788" s="43" t="str">
        <f>IFERROR(VLOOKUP(IGA_BD[[#This Row],[Affected Feeder ]],'Basic Data'!$A$42:$E$53,5,0),"")</f>
        <v/>
      </c>
      <c r="K788" s="164"/>
      <c r="L788" s="50"/>
      <c r="M788" s="116"/>
      <c r="N788" s="116"/>
      <c r="O788" s="57">
        <f>(IGA_BD[[#This Row],[Work Start TimeStamp]]-IGA_BD[[#This Row],[Fault Start TimeStamp]])*24</f>
        <v>0</v>
      </c>
      <c r="P788" s="44" t="str">
        <f>IF(IGA_BD[[#This Row],[Work Start TimeStamp]]="","",(IGA_BD[[#This Row],[Fault Clearance time]]-IGA_BD[[#This Row],[Work Start TimeStamp]])*24)</f>
        <v/>
      </c>
      <c r="Q788" s="57">
        <f>(IGA_BD[[#This Row],[Fault Clearance time]]-IGA_BD[[#This Row],[Fault Start TimeStamp]])*24</f>
        <v>0</v>
      </c>
      <c r="R788" s="153"/>
      <c r="S788" s="44"/>
      <c r="T788" s="45" t="str">
        <f>IFERROR(IGA_BD[[#This Row],[Breakdown Time]]*IGA_BD[[#This Row],[Plant Equivalent Weightage]],"")</f>
        <v/>
      </c>
    </row>
    <row r="789" spans="1:20">
      <c r="A789" s="28"/>
      <c r="B789" s="154"/>
      <c r="C789" s="30">
        <f>YEAR(WTG_BD[[#This Row],[Date]])+IF(MONTH(WTG_BD[[#This Row],[Date]])&gt;=4,1,0)</f>
        <v>1900</v>
      </c>
      <c r="D789" s="31">
        <f>YEAR(IGA_BD[[#This Row],[Date]])</f>
        <v>1900</v>
      </c>
      <c r="E789" s="48">
        <f t="shared" si="14"/>
        <v>1</v>
      </c>
      <c r="F789" s="32"/>
      <c r="G789" s="33"/>
      <c r="H789" s="43" t="str">
        <f>IFERROR(VLOOKUP(IGA_BD[[#This Row],[Affected Feeder ]],'Basic Data'!$A$42:$E$53,2,0),"")</f>
        <v/>
      </c>
      <c r="I789" s="43" t="str">
        <f>IFERROR(VLOOKUP(IGA_BD[[#This Row],[Affected Feeder ]],'Basic Data'!$A$42:$E$53,3,0),"")</f>
        <v/>
      </c>
      <c r="J789" s="43" t="str">
        <f>IFERROR(VLOOKUP(IGA_BD[[#This Row],[Affected Feeder ]],'Basic Data'!$A$42:$E$53,5,0),"")</f>
        <v/>
      </c>
      <c r="K789" s="164"/>
      <c r="L789" s="50"/>
      <c r="M789" s="116"/>
      <c r="N789" s="116"/>
      <c r="O789" s="57">
        <f>(IGA_BD[[#This Row],[Work Start TimeStamp]]-IGA_BD[[#This Row],[Fault Start TimeStamp]])*24</f>
        <v>0</v>
      </c>
      <c r="P789" s="44" t="str">
        <f>IF(IGA_BD[[#This Row],[Work Start TimeStamp]]="","",(IGA_BD[[#This Row],[Fault Clearance time]]-IGA_BD[[#This Row],[Work Start TimeStamp]])*24)</f>
        <v/>
      </c>
      <c r="Q789" s="57">
        <f>(IGA_BD[[#This Row],[Fault Clearance time]]-IGA_BD[[#This Row],[Fault Start TimeStamp]])*24</f>
        <v>0</v>
      </c>
      <c r="R789" s="153"/>
      <c r="S789" s="44"/>
      <c r="T789" s="45" t="str">
        <f>IFERROR(IGA_BD[[#This Row],[Breakdown Time]]*IGA_BD[[#This Row],[Plant Equivalent Weightage]],"")</f>
        <v/>
      </c>
    </row>
    <row r="790" spans="1:20">
      <c r="A790" s="28"/>
      <c r="B790" s="154"/>
      <c r="C790" s="30">
        <f>YEAR(WTG_BD[[#This Row],[Date]])+IF(MONTH(WTG_BD[[#This Row],[Date]])&gt;=4,1,0)</f>
        <v>1900</v>
      </c>
      <c r="D790" s="31">
        <f>YEAR(IGA_BD[[#This Row],[Date]])</f>
        <v>1900</v>
      </c>
      <c r="E790" s="48">
        <f t="shared" si="14"/>
        <v>1</v>
      </c>
      <c r="F790" s="32"/>
      <c r="G790" s="33"/>
      <c r="H790" s="43" t="str">
        <f>IFERROR(VLOOKUP(IGA_BD[[#This Row],[Affected Feeder ]],'Basic Data'!$A$42:$E$53,2,0),"")</f>
        <v/>
      </c>
      <c r="I790" s="43" t="str">
        <f>IFERROR(VLOOKUP(IGA_BD[[#This Row],[Affected Feeder ]],'Basic Data'!$A$42:$E$53,3,0),"")</f>
        <v/>
      </c>
      <c r="J790" s="43" t="str">
        <f>IFERROR(VLOOKUP(IGA_BD[[#This Row],[Affected Feeder ]],'Basic Data'!$A$42:$E$53,5,0),"")</f>
        <v/>
      </c>
      <c r="K790" s="164"/>
      <c r="L790" s="50"/>
      <c r="M790" s="116"/>
      <c r="N790" s="116"/>
      <c r="O790" s="57">
        <f>(IGA_BD[[#This Row],[Work Start TimeStamp]]-IGA_BD[[#This Row],[Fault Start TimeStamp]])*24</f>
        <v>0</v>
      </c>
      <c r="P790" s="44" t="str">
        <f>IF(IGA_BD[[#This Row],[Work Start TimeStamp]]="","",(IGA_BD[[#This Row],[Fault Clearance time]]-IGA_BD[[#This Row],[Work Start TimeStamp]])*24)</f>
        <v/>
      </c>
      <c r="Q790" s="57">
        <f>(IGA_BD[[#This Row],[Fault Clearance time]]-IGA_BD[[#This Row],[Fault Start TimeStamp]])*24</f>
        <v>0</v>
      </c>
      <c r="R790" s="153"/>
      <c r="S790" s="44"/>
      <c r="T790" s="45" t="str">
        <f>IFERROR(IGA_BD[[#This Row],[Breakdown Time]]*IGA_BD[[#This Row],[Plant Equivalent Weightage]],"")</f>
        <v/>
      </c>
    </row>
    <row r="791" spans="1:20">
      <c r="A791" s="28"/>
      <c r="B791" s="154"/>
      <c r="C791" s="30">
        <f>YEAR(WTG_BD[[#This Row],[Date]])+IF(MONTH(WTG_BD[[#This Row],[Date]])&gt;=4,1,0)</f>
        <v>1900</v>
      </c>
      <c r="D791" s="31">
        <f>YEAR(IGA_BD[[#This Row],[Date]])</f>
        <v>1900</v>
      </c>
      <c r="E791" s="48">
        <f t="shared" si="14"/>
        <v>1</v>
      </c>
      <c r="F791" s="32"/>
      <c r="G791" s="33"/>
      <c r="H791" s="43" t="str">
        <f>IFERROR(VLOOKUP(IGA_BD[[#This Row],[Affected Feeder ]],'Basic Data'!$A$42:$E$53,2,0),"")</f>
        <v/>
      </c>
      <c r="I791" s="43" t="str">
        <f>IFERROR(VLOOKUP(IGA_BD[[#This Row],[Affected Feeder ]],'Basic Data'!$A$42:$E$53,3,0),"")</f>
        <v/>
      </c>
      <c r="J791" s="43" t="str">
        <f>IFERROR(VLOOKUP(IGA_BD[[#This Row],[Affected Feeder ]],'Basic Data'!$A$42:$E$53,5,0),"")</f>
        <v/>
      </c>
      <c r="K791" s="164"/>
      <c r="L791" s="50"/>
      <c r="M791" s="116"/>
      <c r="N791" s="116"/>
      <c r="O791" s="57">
        <f>(IGA_BD[[#This Row],[Work Start TimeStamp]]-IGA_BD[[#This Row],[Fault Start TimeStamp]])*24</f>
        <v>0</v>
      </c>
      <c r="P791" s="44" t="str">
        <f>IF(IGA_BD[[#This Row],[Work Start TimeStamp]]="","",(IGA_BD[[#This Row],[Fault Clearance time]]-IGA_BD[[#This Row],[Work Start TimeStamp]])*24)</f>
        <v/>
      </c>
      <c r="Q791" s="57">
        <f>(IGA_BD[[#This Row],[Fault Clearance time]]-IGA_BD[[#This Row],[Fault Start TimeStamp]])*24</f>
        <v>0</v>
      </c>
      <c r="R791" s="153"/>
      <c r="S791" s="44"/>
      <c r="T791" s="45" t="str">
        <f>IFERROR(IGA_BD[[#This Row],[Breakdown Time]]*IGA_BD[[#This Row],[Plant Equivalent Weightage]],"")</f>
        <v/>
      </c>
    </row>
    <row r="792" spans="1:20">
      <c r="A792" s="28"/>
      <c r="B792" s="154"/>
      <c r="C792" s="30">
        <f>YEAR(WTG_BD[[#This Row],[Date]])+IF(MONTH(WTG_BD[[#This Row],[Date]])&gt;=4,1,0)</f>
        <v>1900</v>
      </c>
      <c r="D792" s="31">
        <f>YEAR(IGA_BD[[#This Row],[Date]])</f>
        <v>1900</v>
      </c>
      <c r="E792" s="48">
        <f t="shared" si="14"/>
        <v>1</v>
      </c>
      <c r="F792" s="32"/>
      <c r="G792" s="33"/>
      <c r="H792" s="43" t="str">
        <f>IFERROR(VLOOKUP(IGA_BD[[#This Row],[Affected Feeder ]],'Basic Data'!$A$42:$E$53,2,0),"")</f>
        <v/>
      </c>
      <c r="I792" s="43" t="str">
        <f>IFERROR(VLOOKUP(IGA_BD[[#This Row],[Affected Feeder ]],'Basic Data'!$A$42:$E$53,3,0),"")</f>
        <v/>
      </c>
      <c r="J792" s="43" t="str">
        <f>IFERROR(VLOOKUP(IGA_BD[[#This Row],[Affected Feeder ]],'Basic Data'!$A$42:$E$53,5,0),"")</f>
        <v/>
      </c>
      <c r="K792" s="164"/>
      <c r="L792" s="50"/>
      <c r="M792" s="116"/>
      <c r="N792" s="116"/>
      <c r="O792" s="57">
        <f>(IGA_BD[[#This Row],[Work Start TimeStamp]]-IGA_BD[[#This Row],[Fault Start TimeStamp]])*24</f>
        <v>0</v>
      </c>
      <c r="P792" s="44" t="str">
        <f>IF(IGA_BD[[#This Row],[Work Start TimeStamp]]="","",(IGA_BD[[#This Row],[Fault Clearance time]]-IGA_BD[[#This Row],[Work Start TimeStamp]])*24)</f>
        <v/>
      </c>
      <c r="Q792" s="57">
        <f>(IGA_BD[[#This Row],[Fault Clearance time]]-IGA_BD[[#This Row],[Fault Start TimeStamp]])*24</f>
        <v>0</v>
      </c>
      <c r="R792" s="153"/>
      <c r="S792" s="44"/>
      <c r="T792" s="45" t="str">
        <f>IFERROR(IGA_BD[[#This Row],[Breakdown Time]]*IGA_BD[[#This Row],[Plant Equivalent Weightage]],"")</f>
        <v/>
      </c>
    </row>
    <row r="793" spans="1:20">
      <c r="A793" s="28"/>
      <c r="B793" s="154"/>
      <c r="C793" s="30">
        <f>YEAR(WTG_BD[[#This Row],[Date]])+IF(MONTH(WTG_BD[[#This Row],[Date]])&gt;=4,1,0)</f>
        <v>1900</v>
      </c>
      <c r="D793" s="31">
        <f>YEAR(IGA_BD[[#This Row],[Date]])</f>
        <v>1900</v>
      </c>
      <c r="E793" s="48">
        <f t="shared" si="14"/>
        <v>1</v>
      </c>
      <c r="F793" s="32"/>
      <c r="G793" s="33"/>
      <c r="H793" s="43" t="str">
        <f>IFERROR(VLOOKUP(IGA_BD[[#This Row],[Affected Feeder ]],'Basic Data'!$A$42:$E$53,2,0),"")</f>
        <v/>
      </c>
      <c r="I793" s="43" t="str">
        <f>IFERROR(VLOOKUP(IGA_BD[[#This Row],[Affected Feeder ]],'Basic Data'!$A$42:$E$53,3,0),"")</f>
        <v/>
      </c>
      <c r="J793" s="43" t="str">
        <f>IFERROR(VLOOKUP(IGA_BD[[#This Row],[Affected Feeder ]],'Basic Data'!$A$42:$E$53,5,0),"")</f>
        <v/>
      </c>
      <c r="K793" s="164"/>
      <c r="L793" s="50"/>
      <c r="M793" s="116"/>
      <c r="N793" s="116"/>
      <c r="O793" s="57">
        <f>(IGA_BD[[#This Row],[Work Start TimeStamp]]-IGA_BD[[#This Row],[Fault Start TimeStamp]])*24</f>
        <v>0</v>
      </c>
      <c r="P793" s="44" t="str">
        <f>IF(IGA_BD[[#This Row],[Work Start TimeStamp]]="","",(IGA_BD[[#This Row],[Fault Clearance time]]-IGA_BD[[#This Row],[Work Start TimeStamp]])*24)</f>
        <v/>
      </c>
      <c r="Q793" s="57">
        <f>(IGA_BD[[#This Row],[Fault Clearance time]]-IGA_BD[[#This Row],[Fault Start TimeStamp]])*24</f>
        <v>0</v>
      </c>
      <c r="R793" s="153"/>
      <c r="S793" s="44"/>
      <c r="T793" s="45" t="str">
        <f>IFERROR(IGA_BD[[#This Row],[Breakdown Time]]*IGA_BD[[#This Row],[Plant Equivalent Weightage]],"")</f>
        <v/>
      </c>
    </row>
    <row r="794" spans="1:20">
      <c r="A794" s="28"/>
      <c r="B794" s="154"/>
      <c r="C794" s="30">
        <f>YEAR(WTG_BD[[#This Row],[Date]])+IF(MONTH(WTG_BD[[#This Row],[Date]])&gt;=4,1,0)</f>
        <v>1900</v>
      </c>
      <c r="D794" s="31">
        <f>YEAR(IGA_BD[[#This Row],[Date]])</f>
        <v>1900</v>
      </c>
      <c r="E794" s="48">
        <f t="shared" si="14"/>
        <v>1</v>
      </c>
      <c r="F794" s="32"/>
      <c r="G794" s="33"/>
      <c r="H794" s="43" t="str">
        <f>IFERROR(VLOOKUP(IGA_BD[[#This Row],[Affected Feeder ]],'Basic Data'!$A$42:$E$53,2,0),"")</f>
        <v/>
      </c>
      <c r="I794" s="43" t="str">
        <f>IFERROR(VLOOKUP(IGA_BD[[#This Row],[Affected Feeder ]],'Basic Data'!$A$42:$E$53,3,0),"")</f>
        <v/>
      </c>
      <c r="J794" s="43" t="str">
        <f>IFERROR(VLOOKUP(IGA_BD[[#This Row],[Affected Feeder ]],'Basic Data'!$A$42:$E$53,5,0),"")</f>
        <v/>
      </c>
      <c r="K794" s="164"/>
      <c r="L794" s="50"/>
      <c r="M794" s="116"/>
      <c r="N794" s="116"/>
      <c r="O794" s="57">
        <f>(IGA_BD[[#This Row],[Work Start TimeStamp]]-IGA_BD[[#This Row],[Fault Start TimeStamp]])*24</f>
        <v>0</v>
      </c>
      <c r="P794" s="44" t="str">
        <f>IF(IGA_BD[[#This Row],[Work Start TimeStamp]]="","",(IGA_BD[[#This Row],[Fault Clearance time]]-IGA_BD[[#This Row],[Work Start TimeStamp]])*24)</f>
        <v/>
      </c>
      <c r="Q794" s="57">
        <f>(IGA_BD[[#This Row],[Fault Clearance time]]-IGA_BD[[#This Row],[Fault Start TimeStamp]])*24</f>
        <v>0</v>
      </c>
      <c r="R794" s="153"/>
      <c r="S794" s="44"/>
      <c r="T794" s="45" t="str">
        <f>IFERROR(IGA_BD[[#This Row],[Breakdown Time]]*IGA_BD[[#This Row],[Plant Equivalent Weightage]],"")</f>
        <v/>
      </c>
    </row>
    <row r="795" spans="1:20">
      <c r="A795" s="28"/>
      <c r="B795" s="154"/>
      <c r="C795" s="30">
        <f>YEAR(WTG_BD[[#This Row],[Date]])+IF(MONTH(WTG_BD[[#This Row],[Date]])&gt;=4,1,0)</f>
        <v>1900</v>
      </c>
      <c r="D795" s="31">
        <f>YEAR(IGA_BD[[#This Row],[Date]])</f>
        <v>1900</v>
      </c>
      <c r="E795" s="48">
        <f t="shared" si="14"/>
        <v>1</v>
      </c>
      <c r="F795" s="32"/>
      <c r="G795" s="33"/>
      <c r="H795" s="43" t="str">
        <f>IFERROR(VLOOKUP(IGA_BD[[#This Row],[Affected Feeder ]],'Basic Data'!$A$42:$E$53,2,0),"")</f>
        <v/>
      </c>
      <c r="I795" s="43" t="str">
        <f>IFERROR(VLOOKUP(IGA_BD[[#This Row],[Affected Feeder ]],'Basic Data'!$A$42:$E$53,3,0),"")</f>
        <v/>
      </c>
      <c r="J795" s="43" t="str">
        <f>IFERROR(VLOOKUP(IGA_BD[[#This Row],[Affected Feeder ]],'Basic Data'!$A$42:$E$53,5,0),"")</f>
        <v/>
      </c>
      <c r="K795" s="164"/>
      <c r="L795" s="50"/>
      <c r="M795" s="116"/>
      <c r="N795" s="116"/>
      <c r="O795" s="57">
        <f>(IGA_BD[[#This Row],[Work Start TimeStamp]]-IGA_BD[[#This Row],[Fault Start TimeStamp]])*24</f>
        <v>0</v>
      </c>
      <c r="P795" s="44" t="str">
        <f>IF(IGA_BD[[#This Row],[Work Start TimeStamp]]="","",(IGA_BD[[#This Row],[Fault Clearance time]]-IGA_BD[[#This Row],[Work Start TimeStamp]])*24)</f>
        <v/>
      </c>
      <c r="Q795" s="57">
        <f>(IGA_BD[[#This Row],[Fault Clearance time]]-IGA_BD[[#This Row],[Fault Start TimeStamp]])*24</f>
        <v>0</v>
      </c>
      <c r="R795" s="153"/>
      <c r="S795" s="44"/>
      <c r="T795" s="45" t="str">
        <f>IFERROR(IGA_BD[[#This Row],[Breakdown Time]]*IGA_BD[[#This Row],[Plant Equivalent Weightage]],"")</f>
        <v/>
      </c>
    </row>
    <row r="796" spans="1:20">
      <c r="A796" s="28"/>
      <c r="B796" s="154"/>
      <c r="C796" s="30">
        <f>YEAR(WTG_BD[[#This Row],[Date]])+IF(MONTH(WTG_BD[[#This Row],[Date]])&gt;=4,1,0)</f>
        <v>1900</v>
      </c>
      <c r="D796" s="31">
        <f>YEAR(IGA_BD[[#This Row],[Date]])</f>
        <v>1900</v>
      </c>
      <c r="E796" s="48">
        <f t="shared" ref="E796:E859" si="15">B796-DAY(B796)+1</f>
        <v>1</v>
      </c>
      <c r="F796" s="32"/>
      <c r="G796" s="33"/>
      <c r="H796" s="43" t="str">
        <f>IFERROR(VLOOKUP(IGA_BD[[#This Row],[Affected Feeder ]],'Basic Data'!$A$42:$E$53,2,0),"")</f>
        <v/>
      </c>
      <c r="I796" s="43" t="str">
        <f>IFERROR(VLOOKUP(IGA_BD[[#This Row],[Affected Feeder ]],'Basic Data'!$A$42:$E$53,3,0),"")</f>
        <v/>
      </c>
      <c r="J796" s="43" t="str">
        <f>IFERROR(VLOOKUP(IGA_BD[[#This Row],[Affected Feeder ]],'Basic Data'!$A$42:$E$53,5,0),"")</f>
        <v/>
      </c>
      <c r="K796" s="164"/>
      <c r="L796" s="50"/>
      <c r="M796" s="116"/>
      <c r="N796" s="116"/>
      <c r="O796" s="57">
        <f>(IGA_BD[[#This Row],[Work Start TimeStamp]]-IGA_BD[[#This Row],[Fault Start TimeStamp]])*24</f>
        <v>0</v>
      </c>
      <c r="P796" s="44" t="str">
        <f>IF(IGA_BD[[#This Row],[Work Start TimeStamp]]="","",(IGA_BD[[#This Row],[Fault Clearance time]]-IGA_BD[[#This Row],[Work Start TimeStamp]])*24)</f>
        <v/>
      </c>
      <c r="Q796" s="57">
        <f>(IGA_BD[[#This Row],[Fault Clearance time]]-IGA_BD[[#This Row],[Fault Start TimeStamp]])*24</f>
        <v>0</v>
      </c>
      <c r="R796" s="153"/>
      <c r="S796" s="44"/>
      <c r="T796" s="45" t="str">
        <f>IFERROR(IGA_BD[[#This Row],[Breakdown Time]]*IGA_BD[[#This Row],[Plant Equivalent Weightage]],"")</f>
        <v/>
      </c>
    </row>
    <row r="797" spans="1:20">
      <c r="A797" s="28"/>
      <c r="B797" s="154"/>
      <c r="C797" s="30">
        <f>YEAR(WTG_BD[[#This Row],[Date]])+IF(MONTH(WTG_BD[[#This Row],[Date]])&gt;=4,1,0)</f>
        <v>1900</v>
      </c>
      <c r="D797" s="31">
        <f>YEAR(IGA_BD[[#This Row],[Date]])</f>
        <v>1900</v>
      </c>
      <c r="E797" s="48">
        <f t="shared" si="15"/>
        <v>1</v>
      </c>
      <c r="F797" s="32"/>
      <c r="G797" s="33"/>
      <c r="H797" s="43" t="str">
        <f>IFERROR(VLOOKUP(IGA_BD[[#This Row],[Affected Feeder ]],'Basic Data'!$A$42:$E$53,2,0),"")</f>
        <v/>
      </c>
      <c r="I797" s="43" t="str">
        <f>IFERROR(VLOOKUP(IGA_BD[[#This Row],[Affected Feeder ]],'Basic Data'!$A$42:$E$53,3,0),"")</f>
        <v/>
      </c>
      <c r="J797" s="43" t="str">
        <f>IFERROR(VLOOKUP(IGA_BD[[#This Row],[Affected Feeder ]],'Basic Data'!$A$42:$E$53,5,0),"")</f>
        <v/>
      </c>
      <c r="K797" s="164"/>
      <c r="L797" s="50"/>
      <c r="M797" s="116"/>
      <c r="N797" s="116"/>
      <c r="O797" s="57">
        <f>(IGA_BD[[#This Row],[Work Start TimeStamp]]-IGA_BD[[#This Row],[Fault Start TimeStamp]])*24</f>
        <v>0</v>
      </c>
      <c r="P797" s="44" t="str">
        <f>IF(IGA_BD[[#This Row],[Work Start TimeStamp]]="","",(IGA_BD[[#This Row],[Fault Clearance time]]-IGA_BD[[#This Row],[Work Start TimeStamp]])*24)</f>
        <v/>
      </c>
      <c r="Q797" s="57">
        <f>(IGA_BD[[#This Row],[Fault Clearance time]]-IGA_BD[[#This Row],[Fault Start TimeStamp]])*24</f>
        <v>0</v>
      </c>
      <c r="R797" s="153"/>
      <c r="S797" s="44"/>
      <c r="T797" s="45" t="str">
        <f>IFERROR(IGA_BD[[#This Row],[Breakdown Time]]*IGA_BD[[#This Row],[Plant Equivalent Weightage]],"")</f>
        <v/>
      </c>
    </row>
    <row r="798" spans="1:20">
      <c r="A798" s="28"/>
      <c r="B798" s="154"/>
      <c r="C798" s="30">
        <f>YEAR(WTG_BD[[#This Row],[Date]])+IF(MONTH(WTG_BD[[#This Row],[Date]])&gt;=4,1,0)</f>
        <v>1900</v>
      </c>
      <c r="D798" s="31">
        <f>YEAR(IGA_BD[[#This Row],[Date]])</f>
        <v>1900</v>
      </c>
      <c r="E798" s="48">
        <f t="shared" si="15"/>
        <v>1</v>
      </c>
      <c r="F798" s="32"/>
      <c r="G798" s="33"/>
      <c r="H798" s="43" t="str">
        <f>IFERROR(VLOOKUP(IGA_BD[[#This Row],[Affected Feeder ]],'Basic Data'!$A$42:$E$53,2,0),"")</f>
        <v/>
      </c>
      <c r="I798" s="43" t="str">
        <f>IFERROR(VLOOKUP(IGA_BD[[#This Row],[Affected Feeder ]],'Basic Data'!$A$42:$E$53,3,0),"")</f>
        <v/>
      </c>
      <c r="J798" s="43" t="str">
        <f>IFERROR(VLOOKUP(IGA_BD[[#This Row],[Affected Feeder ]],'Basic Data'!$A$42:$E$53,5,0),"")</f>
        <v/>
      </c>
      <c r="K798" s="164"/>
      <c r="L798" s="50"/>
      <c r="M798" s="116"/>
      <c r="N798" s="116"/>
      <c r="O798" s="57">
        <f>(IGA_BD[[#This Row],[Work Start TimeStamp]]-IGA_BD[[#This Row],[Fault Start TimeStamp]])*24</f>
        <v>0</v>
      </c>
      <c r="P798" s="44" t="str">
        <f>IF(IGA_BD[[#This Row],[Work Start TimeStamp]]="","",(IGA_BD[[#This Row],[Fault Clearance time]]-IGA_BD[[#This Row],[Work Start TimeStamp]])*24)</f>
        <v/>
      </c>
      <c r="Q798" s="57">
        <f>(IGA_BD[[#This Row],[Fault Clearance time]]-IGA_BD[[#This Row],[Fault Start TimeStamp]])*24</f>
        <v>0</v>
      </c>
      <c r="R798" s="153"/>
      <c r="S798" s="44"/>
      <c r="T798" s="45" t="str">
        <f>IFERROR(IGA_BD[[#This Row],[Breakdown Time]]*IGA_BD[[#This Row],[Plant Equivalent Weightage]],"")</f>
        <v/>
      </c>
    </row>
    <row r="799" spans="1:20">
      <c r="A799" s="28"/>
      <c r="B799" s="154"/>
      <c r="C799" s="30">
        <f>YEAR(WTG_BD[[#This Row],[Date]])+IF(MONTH(WTG_BD[[#This Row],[Date]])&gt;=4,1,0)</f>
        <v>1900</v>
      </c>
      <c r="D799" s="31">
        <f>YEAR(IGA_BD[[#This Row],[Date]])</f>
        <v>1900</v>
      </c>
      <c r="E799" s="48">
        <f t="shared" si="15"/>
        <v>1</v>
      </c>
      <c r="F799" s="32"/>
      <c r="G799" s="33"/>
      <c r="H799" s="43" t="str">
        <f>IFERROR(VLOOKUP(IGA_BD[[#This Row],[Affected Feeder ]],'Basic Data'!$A$42:$E$53,2,0),"")</f>
        <v/>
      </c>
      <c r="I799" s="43" t="str">
        <f>IFERROR(VLOOKUP(IGA_BD[[#This Row],[Affected Feeder ]],'Basic Data'!$A$42:$E$53,3,0),"")</f>
        <v/>
      </c>
      <c r="J799" s="43" t="str">
        <f>IFERROR(VLOOKUP(IGA_BD[[#This Row],[Affected Feeder ]],'Basic Data'!$A$42:$E$53,5,0),"")</f>
        <v/>
      </c>
      <c r="K799" s="164"/>
      <c r="L799" s="50"/>
      <c r="M799" s="116"/>
      <c r="N799" s="116"/>
      <c r="O799" s="57">
        <f>(IGA_BD[[#This Row],[Work Start TimeStamp]]-IGA_BD[[#This Row],[Fault Start TimeStamp]])*24</f>
        <v>0</v>
      </c>
      <c r="P799" s="44" t="str">
        <f>IF(IGA_BD[[#This Row],[Work Start TimeStamp]]="","",(IGA_BD[[#This Row],[Fault Clearance time]]-IGA_BD[[#This Row],[Work Start TimeStamp]])*24)</f>
        <v/>
      </c>
      <c r="Q799" s="57">
        <f>(IGA_BD[[#This Row],[Fault Clearance time]]-IGA_BD[[#This Row],[Fault Start TimeStamp]])*24</f>
        <v>0</v>
      </c>
      <c r="R799" s="153"/>
      <c r="S799" s="44"/>
      <c r="T799" s="45" t="str">
        <f>IFERROR(IGA_BD[[#This Row],[Breakdown Time]]*IGA_BD[[#This Row],[Plant Equivalent Weightage]],"")</f>
        <v/>
      </c>
    </row>
    <row r="800" spans="1:20">
      <c r="A800" s="28"/>
      <c r="B800" s="154"/>
      <c r="C800" s="30">
        <f>YEAR(WTG_BD[[#This Row],[Date]])+IF(MONTH(WTG_BD[[#This Row],[Date]])&gt;=4,1,0)</f>
        <v>1900</v>
      </c>
      <c r="D800" s="31">
        <f>YEAR(IGA_BD[[#This Row],[Date]])</f>
        <v>1900</v>
      </c>
      <c r="E800" s="48">
        <f t="shared" si="15"/>
        <v>1</v>
      </c>
      <c r="F800" s="32"/>
      <c r="G800" s="33"/>
      <c r="H800" s="43" t="str">
        <f>IFERROR(VLOOKUP(IGA_BD[[#This Row],[Affected Feeder ]],'Basic Data'!$A$42:$E$53,2,0),"")</f>
        <v/>
      </c>
      <c r="I800" s="43" t="str">
        <f>IFERROR(VLOOKUP(IGA_BD[[#This Row],[Affected Feeder ]],'Basic Data'!$A$42:$E$53,3,0),"")</f>
        <v/>
      </c>
      <c r="J800" s="43" t="str">
        <f>IFERROR(VLOOKUP(IGA_BD[[#This Row],[Affected Feeder ]],'Basic Data'!$A$42:$E$53,5,0),"")</f>
        <v/>
      </c>
      <c r="K800" s="164"/>
      <c r="L800" s="50"/>
      <c r="M800" s="116"/>
      <c r="N800" s="116"/>
      <c r="O800" s="57">
        <f>(IGA_BD[[#This Row],[Work Start TimeStamp]]-IGA_BD[[#This Row],[Fault Start TimeStamp]])*24</f>
        <v>0</v>
      </c>
      <c r="P800" s="44" t="str">
        <f>IF(IGA_BD[[#This Row],[Work Start TimeStamp]]="","",(IGA_BD[[#This Row],[Fault Clearance time]]-IGA_BD[[#This Row],[Work Start TimeStamp]])*24)</f>
        <v/>
      </c>
      <c r="Q800" s="57">
        <f>(IGA_BD[[#This Row],[Fault Clearance time]]-IGA_BD[[#This Row],[Fault Start TimeStamp]])*24</f>
        <v>0</v>
      </c>
      <c r="R800" s="153"/>
      <c r="S800" s="44"/>
      <c r="T800" s="45" t="str">
        <f>IFERROR(IGA_BD[[#This Row],[Breakdown Time]]*IGA_BD[[#This Row],[Plant Equivalent Weightage]],"")</f>
        <v/>
      </c>
    </row>
    <row r="801" spans="1:20">
      <c r="A801" s="28"/>
      <c r="B801" s="154"/>
      <c r="C801" s="30">
        <f>YEAR(WTG_BD[[#This Row],[Date]])+IF(MONTH(WTG_BD[[#This Row],[Date]])&gt;=4,1,0)</f>
        <v>1900</v>
      </c>
      <c r="D801" s="31">
        <f>YEAR(IGA_BD[[#This Row],[Date]])</f>
        <v>1900</v>
      </c>
      <c r="E801" s="48">
        <f t="shared" si="15"/>
        <v>1</v>
      </c>
      <c r="F801" s="32"/>
      <c r="G801" s="33"/>
      <c r="H801" s="43" t="str">
        <f>IFERROR(VLOOKUP(IGA_BD[[#This Row],[Affected Feeder ]],'Basic Data'!$A$42:$E$53,2,0),"")</f>
        <v/>
      </c>
      <c r="I801" s="43" t="str">
        <f>IFERROR(VLOOKUP(IGA_BD[[#This Row],[Affected Feeder ]],'Basic Data'!$A$42:$E$53,3,0),"")</f>
        <v/>
      </c>
      <c r="J801" s="43" t="str">
        <f>IFERROR(VLOOKUP(IGA_BD[[#This Row],[Affected Feeder ]],'Basic Data'!$A$42:$E$53,5,0),"")</f>
        <v/>
      </c>
      <c r="K801" s="164"/>
      <c r="L801" s="50"/>
      <c r="M801" s="116"/>
      <c r="N801" s="116"/>
      <c r="O801" s="57">
        <f>(IGA_BD[[#This Row],[Work Start TimeStamp]]-IGA_BD[[#This Row],[Fault Start TimeStamp]])*24</f>
        <v>0</v>
      </c>
      <c r="P801" s="44" t="str">
        <f>IF(IGA_BD[[#This Row],[Work Start TimeStamp]]="","",(IGA_BD[[#This Row],[Fault Clearance time]]-IGA_BD[[#This Row],[Work Start TimeStamp]])*24)</f>
        <v/>
      </c>
      <c r="Q801" s="57">
        <f>(IGA_BD[[#This Row],[Fault Clearance time]]-IGA_BD[[#This Row],[Fault Start TimeStamp]])*24</f>
        <v>0</v>
      </c>
      <c r="R801" s="153"/>
      <c r="S801" s="44"/>
      <c r="T801" s="45" t="str">
        <f>IFERROR(IGA_BD[[#This Row],[Breakdown Time]]*IGA_BD[[#This Row],[Plant Equivalent Weightage]],"")</f>
        <v/>
      </c>
    </row>
    <row r="802" spans="1:20">
      <c r="A802" s="28"/>
      <c r="B802" s="154"/>
      <c r="C802" s="30">
        <f>YEAR(WTG_BD[[#This Row],[Date]])+IF(MONTH(WTG_BD[[#This Row],[Date]])&gt;=4,1,0)</f>
        <v>1900</v>
      </c>
      <c r="D802" s="31">
        <f>YEAR(IGA_BD[[#This Row],[Date]])</f>
        <v>1900</v>
      </c>
      <c r="E802" s="48">
        <f t="shared" si="15"/>
        <v>1</v>
      </c>
      <c r="F802" s="32"/>
      <c r="G802" s="33"/>
      <c r="H802" s="43" t="str">
        <f>IFERROR(VLOOKUP(IGA_BD[[#This Row],[Affected Feeder ]],'Basic Data'!$A$42:$E$53,2,0),"")</f>
        <v/>
      </c>
      <c r="I802" s="43" t="str">
        <f>IFERROR(VLOOKUP(IGA_BD[[#This Row],[Affected Feeder ]],'Basic Data'!$A$42:$E$53,3,0),"")</f>
        <v/>
      </c>
      <c r="J802" s="43" t="str">
        <f>IFERROR(VLOOKUP(IGA_BD[[#This Row],[Affected Feeder ]],'Basic Data'!$A$42:$E$53,5,0),"")</f>
        <v/>
      </c>
      <c r="K802" s="164"/>
      <c r="L802" s="50"/>
      <c r="M802" s="116"/>
      <c r="N802" s="116"/>
      <c r="O802" s="57">
        <f>(IGA_BD[[#This Row],[Work Start TimeStamp]]-IGA_BD[[#This Row],[Fault Start TimeStamp]])*24</f>
        <v>0</v>
      </c>
      <c r="P802" s="44" t="str">
        <f>IF(IGA_BD[[#This Row],[Work Start TimeStamp]]="","",(IGA_BD[[#This Row],[Fault Clearance time]]-IGA_BD[[#This Row],[Work Start TimeStamp]])*24)</f>
        <v/>
      </c>
      <c r="Q802" s="57">
        <f>(IGA_BD[[#This Row],[Fault Clearance time]]-IGA_BD[[#This Row],[Fault Start TimeStamp]])*24</f>
        <v>0</v>
      </c>
      <c r="R802" s="153"/>
      <c r="S802" s="44"/>
      <c r="T802" s="45" t="str">
        <f>IFERROR(IGA_BD[[#This Row],[Breakdown Time]]*IGA_BD[[#This Row],[Plant Equivalent Weightage]],"")</f>
        <v/>
      </c>
    </row>
    <row r="803" spans="1:20">
      <c r="A803" s="28"/>
      <c r="B803" s="154"/>
      <c r="C803" s="30">
        <f>YEAR(WTG_BD[[#This Row],[Date]])+IF(MONTH(WTG_BD[[#This Row],[Date]])&gt;=4,1,0)</f>
        <v>1900</v>
      </c>
      <c r="D803" s="31">
        <f>YEAR(IGA_BD[[#This Row],[Date]])</f>
        <v>1900</v>
      </c>
      <c r="E803" s="48">
        <f t="shared" si="15"/>
        <v>1</v>
      </c>
      <c r="F803" s="32"/>
      <c r="G803" s="33"/>
      <c r="H803" s="43" t="str">
        <f>IFERROR(VLOOKUP(IGA_BD[[#This Row],[Affected Feeder ]],'Basic Data'!$A$42:$E$53,2,0),"")</f>
        <v/>
      </c>
      <c r="I803" s="43" t="str">
        <f>IFERROR(VLOOKUP(IGA_BD[[#This Row],[Affected Feeder ]],'Basic Data'!$A$42:$E$53,3,0),"")</f>
        <v/>
      </c>
      <c r="J803" s="43" t="str">
        <f>IFERROR(VLOOKUP(IGA_BD[[#This Row],[Affected Feeder ]],'Basic Data'!$A$42:$E$53,5,0),"")</f>
        <v/>
      </c>
      <c r="K803" s="164"/>
      <c r="L803" s="50"/>
      <c r="M803" s="116"/>
      <c r="N803" s="116"/>
      <c r="O803" s="57">
        <f>(IGA_BD[[#This Row],[Work Start TimeStamp]]-IGA_BD[[#This Row],[Fault Start TimeStamp]])*24</f>
        <v>0</v>
      </c>
      <c r="P803" s="44" t="str">
        <f>IF(IGA_BD[[#This Row],[Work Start TimeStamp]]="","",(IGA_BD[[#This Row],[Fault Clearance time]]-IGA_BD[[#This Row],[Work Start TimeStamp]])*24)</f>
        <v/>
      </c>
      <c r="Q803" s="57">
        <f>(IGA_BD[[#This Row],[Fault Clearance time]]-IGA_BD[[#This Row],[Fault Start TimeStamp]])*24</f>
        <v>0</v>
      </c>
      <c r="R803" s="153"/>
      <c r="S803" s="44"/>
      <c r="T803" s="45" t="str">
        <f>IFERROR(IGA_BD[[#This Row],[Breakdown Time]]*IGA_BD[[#This Row],[Plant Equivalent Weightage]],"")</f>
        <v/>
      </c>
    </row>
    <row r="804" spans="1:20">
      <c r="A804" s="28"/>
      <c r="B804" s="154"/>
      <c r="C804" s="30">
        <f>YEAR(WTG_BD[[#This Row],[Date]])+IF(MONTH(WTG_BD[[#This Row],[Date]])&gt;=4,1,0)</f>
        <v>1900</v>
      </c>
      <c r="D804" s="31">
        <f>YEAR(IGA_BD[[#This Row],[Date]])</f>
        <v>1900</v>
      </c>
      <c r="E804" s="48">
        <f t="shared" si="15"/>
        <v>1</v>
      </c>
      <c r="F804" s="32"/>
      <c r="G804" s="33"/>
      <c r="H804" s="43" t="str">
        <f>IFERROR(VLOOKUP(IGA_BD[[#This Row],[Affected Feeder ]],'Basic Data'!$A$42:$E$53,2,0),"")</f>
        <v/>
      </c>
      <c r="I804" s="43" t="str">
        <f>IFERROR(VLOOKUP(IGA_BD[[#This Row],[Affected Feeder ]],'Basic Data'!$A$42:$E$53,3,0),"")</f>
        <v/>
      </c>
      <c r="J804" s="43" t="str">
        <f>IFERROR(VLOOKUP(IGA_BD[[#This Row],[Affected Feeder ]],'Basic Data'!$A$42:$E$53,5,0),"")</f>
        <v/>
      </c>
      <c r="K804" s="164"/>
      <c r="L804" s="50"/>
      <c r="M804" s="116"/>
      <c r="N804" s="116"/>
      <c r="O804" s="57">
        <f>(IGA_BD[[#This Row],[Work Start TimeStamp]]-IGA_BD[[#This Row],[Fault Start TimeStamp]])*24</f>
        <v>0</v>
      </c>
      <c r="P804" s="44" t="str">
        <f>IF(IGA_BD[[#This Row],[Work Start TimeStamp]]="","",(IGA_BD[[#This Row],[Fault Clearance time]]-IGA_BD[[#This Row],[Work Start TimeStamp]])*24)</f>
        <v/>
      </c>
      <c r="Q804" s="57">
        <f>(IGA_BD[[#This Row],[Fault Clearance time]]-IGA_BD[[#This Row],[Fault Start TimeStamp]])*24</f>
        <v>0</v>
      </c>
      <c r="R804" s="153"/>
      <c r="S804" s="44"/>
      <c r="T804" s="45" t="str">
        <f>IFERROR(IGA_BD[[#This Row],[Breakdown Time]]*IGA_BD[[#This Row],[Plant Equivalent Weightage]],"")</f>
        <v/>
      </c>
    </row>
    <row r="805" spans="1:20">
      <c r="A805" s="28"/>
      <c r="B805" s="154"/>
      <c r="C805" s="30">
        <f>YEAR(WTG_BD[[#This Row],[Date]])+IF(MONTH(WTG_BD[[#This Row],[Date]])&gt;=4,1,0)</f>
        <v>1900</v>
      </c>
      <c r="D805" s="31">
        <f>YEAR(IGA_BD[[#This Row],[Date]])</f>
        <v>1900</v>
      </c>
      <c r="E805" s="48">
        <f t="shared" si="15"/>
        <v>1</v>
      </c>
      <c r="F805" s="32"/>
      <c r="G805" s="33"/>
      <c r="H805" s="43" t="str">
        <f>IFERROR(VLOOKUP(IGA_BD[[#This Row],[Affected Feeder ]],'Basic Data'!$A$42:$E$53,2,0),"")</f>
        <v/>
      </c>
      <c r="I805" s="43" t="str">
        <f>IFERROR(VLOOKUP(IGA_BD[[#This Row],[Affected Feeder ]],'Basic Data'!$A$42:$E$53,3,0),"")</f>
        <v/>
      </c>
      <c r="J805" s="43" t="str">
        <f>IFERROR(VLOOKUP(IGA_BD[[#This Row],[Affected Feeder ]],'Basic Data'!$A$42:$E$53,5,0),"")</f>
        <v/>
      </c>
      <c r="K805" s="164"/>
      <c r="L805" s="50"/>
      <c r="M805" s="116"/>
      <c r="N805" s="116"/>
      <c r="O805" s="57">
        <f>(IGA_BD[[#This Row],[Work Start TimeStamp]]-IGA_BD[[#This Row],[Fault Start TimeStamp]])*24</f>
        <v>0</v>
      </c>
      <c r="P805" s="44" t="str">
        <f>IF(IGA_BD[[#This Row],[Work Start TimeStamp]]="","",(IGA_BD[[#This Row],[Fault Clearance time]]-IGA_BD[[#This Row],[Work Start TimeStamp]])*24)</f>
        <v/>
      </c>
      <c r="Q805" s="57">
        <f>(IGA_BD[[#This Row],[Fault Clearance time]]-IGA_BD[[#This Row],[Fault Start TimeStamp]])*24</f>
        <v>0</v>
      </c>
      <c r="R805" s="153"/>
      <c r="S805" s="44"/>
      <c r="T805" s="45" t="str">
        <f>IFERROR(IGA_BD[[#This Row],[Breakdown Time]]*IGA_BD[[#This Row],[Plant Equivalent Weightage]],"")</f>
        <v/>
      </c>
    </row>
    <row r="806" spans="1:20">
      <c r="A806" s="28"/>
      <c r="B806" s="154"/>
      <c r="C806" s="30">
        <f>YEAR(WTG_BD[[#This Row],[Date]])+IF(MONTH(WTG_BD[[#This Row],[Date]])&gt;=4,1,0)</f>
        <v>1900</v>
      </c>
      <c r="D806" s="31">
        <f>YEAR(IGA_BD[[#This Row],[Date]])</f>
        <v>1900</v>
      </c>
      <c r="E806" s="48">
        <f t="shared" si="15"/>
        <v>1</v>
      </c>
      <c r="F806" s="32"/>
      <c r="G806" s="33"/>
      <c r="H806" s="43" t="str">
        <f>IFERROR(VLOOKUP(IGA_BD[[#This Row],[Affected Feeder ]],'Basic Data'!$A$42:$E$53,2,0),"")</f>
        <v/>
      </c>
      <c r="I806" s="43" t="str">
        <f>IFERROR(VLOOKUP(IGA_BD[[#This Row],[Affected Feeder ]],'Basic Data'!$A$42:$E$53,3,0),"")</f>
        <v/>
      </c>
      <c r="J806" s="43" t="str">
        <f>IFERROR(VLOOKUP(IGA_BD[[#This Row],[Affected Feeder ]],'Basic Data'!$A$42:$E$53,5,0),"")</f>
        <v/>
      </c>
      <c r="K806" s="164"/>
      <c r="L806" s="50"/>
      <c r="M806" s="116"/>
      <c r="N806" s="116"/>
      <c r="O806" s="57">
        <f>(IGA_BD[[#This Row],[Work Start TimeStamp]]-IGA_BD[[#This Row],[Fault Start TimeStamp]])*24</f>
        <v>0</v>
      </c>
      <c r="P806" s="44" t="str">
        <f>IF(IGA_BD[[#This Row],[Work Start TimeStamp]]="","",(IGA_BD[[#This Row],[Fault Clearance time]]-IGA_BD[[#This Row],[Work Start TimeStamp]])*24)</f>
        <v/>
      </c>
      <c r="Q806" s="57">
        <f>(IGA_BD[[#This Row],[Fault Clearance time]]-IGA_BD[[#This Row],[Fault Start TimeStamp]])*24</f>
        <v>0</v>
      </c>
      <c r="R806" s="153"/>
      <c r="S806" s="44"/>
      <c r="T806" s="45" t="str">
        <f>IFERROR(IGA_BD[[#This Row],[Breakdown Time]]*IGA_BD[[#This Row],[Plant Equivalent Weightage]],"")</f>
        <v/>
      </c>
    </row>
    <row r="807" spans="1:20">
      <c r="A807" s="28"/>
      <c r="B807" s="154"/>
      <c r="C807" s="30">
        <f>YEAR(WTG_BD[[#This Row],[Date]])+IF(MONTH(WTG_BD[[#This Row],[Date]])&gt;=4,1,0)</f>
        <v>1900</v>
      </c>
      <c r="D807" s="31">
        <f>YEAR(IGA_BD[[#This Row],[Date]])</f>
        <v>1900</v>
      </c>
      <c r="E807" s="48">
        <f t="shared" si="15"/>
        <v>1</v>
      </c>
      <c r="F807" s="32"/>
      <c r="G807" s="33"/>
      <c r="H807" s="43" t="str">
        <f>IFERROR(VLOOKUP(IGA_BD[[#This Row],[Affected Feeder ]],'Basic Data'!$A$42:$E$53,2,0),"")</f>
        <v/>
      </c>
      <c r="I807" s="43" t="str">
        <f>IFERROR(VLOOKUP(IGA_BD[[#This Row],[Affected Feeder ]],'Basic Data'!$A$42:$E$53,3,0),"")</f>
        <v/>
      </c>
      <c r="J807" s="43" t="str">
        <f>IFERROR(VLOOKUP(IGA_BD[[#This Row],[Affected Feeder ]],'Basic Data'!$A$42:$E$53,5,0),"")</f>
        <v/>
      </c>
      <c r="K807" s="164"/>
      <c r="L807" s="50"/>
      <c r="M807" s="116"/>
      <c r="N807" s="116"/>
      <c r="O807" s="57">
        <f>(IGA_BD[[#This Row],[Work Start TimeStamp]]-IGA_BD[[#This Row],[Fault Start TimeStamp]])*24</f>
        <v>0</v>
      </c>
      <c r="P807" s="44" t="str">
        <f>IF(IGA_BD[[#This Row],[Work Start TimeStamp]]="","",(IGA_BD[[#This Row],[Fault Clearance time]]-IGA_BD[[#This Row],[Work Start TimeStamp]])*24)</f>
        <v/>
      </c>
      <c r="Q807" s="57">
        <f>(IGA_BD[[#This Row],[Fault Clearance time]]-IGA_BD[[#This Row],[Fault Start TimeStamp]])*24</f>
        <v>0</v>
      </c>
      <c r="R807" s="153"/>
      <c r="S807" s="44"/>
      <c r="T807" s="45" t="str">
        <f>IFERROR(IGA_BD[[#This Row],[Breakdown Time]]*IGA_BD[[#This Row],[Plant Equivalent Weightage]],"")</f>
        <v/>
      </c>
    </row>
    <row r="808" spans="1:20">
      <c r="A808" s="28"/>
      <c r="B808" s="154"/>
      <c r="C808" s="30">
        <f>YEAR(WTG_BD[[#This Row],[Date]])+IF(MONTH(WTG_BD[[#This Row],[Date]])&gt;=4,1,0)</f>
        <v>1900</v>
      </c>
      <c r="D808" s="31">
        <f>YEAR(IGA_BD[[#This Row],[Date]])</f>
        <v>1900</v>
      </c>
      <c r="E808" s="48">
        <f t="shared" si="15"/>
        <v>1</v>
      </c>
      <c r="F808" s="32"/>
      <c r="G808" s="33"/>
      <c r="H808" s="43" t="str">
        <f>IFERROR(VLOOKUP(IGA_BD[[#This Row],[Affected Feeder ]],'Basic Data'!$A$42:$E$53,2,0),"")</f>
        <v/>
      </c>
      <c r="I808" s="43" t="str">
        <f>IFERROR(VLOOKUP(IGA_BD[[#This Row],[Affected Feeder ]],'Basic Data'!$A$42:$E$53,3,0),"")</f>
        <v/>
      </c>
      <c r="J808" s="43" t="str">
        <f>IFERROR(VLOOKUP(IGA_BD[[#This Row],[Affected Feeder ]],'Basic Data'!$A$42:$E$53,5,0),"")</f>
        <v/>
      </c>
      <c r="K808" s="164"/>
      <c r="L808" s="50"/>
      <c r="M808" s="116"/>
      <c r="N808" s="116"/>
      <c r="O808" s="57">
        <f>(IGA_BD[[#This Row],[Work Start TimeStamp]]-IGA_BD[[#This Row],[Fault Start TimeStamp]])*24</f>
        <v>0</v>
      </c>
      <c r="P808" s="44" t="str">
        <f>IF(IGA_BD[[#This Row],[Work Start TimeStamp]]="","",(IGA_BD[[#This Row],[Fault Clearance time]]-IGA_BD[[#This Row],[Work Start TimeStamp]])*24)</f>
        <v/>
      </c>
      <c r="Q808" s="57">
        <f>(IGA_BD[[#This Row],[Fault Clearance time]]-IGA_BD[[#This Row],[Fault Start TimeStamp]])*24</f>
        <v>0</v>
      </c>
      <c r="R808" s="153"/>
      <c r="S808" s="44"/>
      <c r="T808" s="45" t="str">
        <f>IFERROR(IGA_BD[[#This Row],[Breakdown Time]]*IGA_BD[[#This Row],[Plant Equivalent Weightage]],"")</f>
        <v/>
      </c>
    </row>
    <row r="809" spans="1:20">
      <c r="A809" s="28"/>
      <c r="B809" s="154"/>
      <c r="C809" s="30">
        <f>YEAR(WTG_BD[[#This Row],[Date]])+IF(MONTH(WTG_BD[[#This Row],[Date]])&gt;=4,1,0)</f>
        <v>1900</v>
      </c>
      <c r="D809" s="31">
        <f>YEAR(IGA_BD[[#This Row],[Date]])</f>
        <v>1900</v>
      </c>
      <c r="E809" s="48">
        <f t="shared" si="15"/>
        <v>1</v>
      </c>
      <c r="F809" s="32"/>
      <c r="G809" s="33"/>
      <c r="H809" s="43" t="str">
        <f>IFERROR(VLOOKUP(IGA_BD[[#This Row],[Affected Feeder ]],'Basic Data'!$A$42:$E$53,2,0),"")</f>
        <v/>
      </c>
      <c r="I809" s="43" t="str">
        <f>IFERROR(VLOOKUP(IGA_BD[[#This Row],[Affected Feeder ]],'Basic Data'!$A$42:$E$53,3,0),"")</f>
        <v/>
      </c>
      <c r="J809" s="43" t="str">
        <f>IFERROR(VLOOKUP(IGA_BD[[#This Row],[Affected Feeder ]],'Basic Data'!$A$42:$E$53,5,0),"")</f>
        <v/>
      </c>
      <c r="K809" s="164"/>
      <c r="L809" s="50"/>
      <c r="M809" s="116"/>
      <c r="N809" s="116"/>
      <c r="O809" s="57">
        <f>(IGA_BD[[#This Row],[Work Start TimeStamp]]-IGA_BD[[#This Row],[Fault Start TimeStamp]])*24</f>
        <v>0</v>
      </c>
      <c r="P809" s="44" t="str">
        <f>IF(IGA_BD[[#This Row],[Work Start TimeStamp]]="","",(IGA_BD[[#This Row],[Fault Clearance time]]-IGA_BD[[#This Row],[Work Start TimeStamp]])*24)</f>
        <v/>
      </c>
      <c r="Q809" s="57">
        <f>(IGA_BD[[#This Row],[Fault Clearance time]]-IGA_BD[[#This Row],[Fault Start TimeStamp]])*24</f>
        <v>0</v>
      </c>
      <c r="R809" s="153"/>
      <c r="S809" s="44"/>
      <c r="T809" s="45" t="str">
        <f>IFERROR(IGA_BD[[#This Row],[Breakdown Time]]*IGA_BD[[#This Row],[Plant Equivalent Weightage]],"")</f>
        <v/>
      </c>
    </row>
    <row r="810" spans="1:20">
      <c r="A810" s="28"/>
      <c r="B810" s="154"/>
      <c r="C810" s="30">
        <f>YEAR(WTG_BD[[#This Row],[Date]])+IF(MONTH(WTG_BD[[#This Row],[Date]])&gt;=4,1,0)</f>
        <v>1900</v>
      </c>
      <c r="D810" s="31">
        <f>YEAR(IGA_BD[[#This Row],[Date]])</f>
        <v>1900</v>
      </c>
      <c r="E810" s="48">
        <f t="shared" si="15"/>
        <v>1</v>
      </c>
      <c r="F810" s="32"/>
      <c r="G810" s="33"/>
      <c r="H810" s="43" t="str">
        <f>IFERROR(VLOOKUP(IGA_BD[[#This Row],[Affected Feeder ]],'Basic Data'!$A$42:$E$53,2,0),"")</f>
        <v/>
      </c>
      <c r="I810" s="43" t="str">
        <f>IFERROR(VLOOKUP(IGA_BD[[#This Row],[Affected Feeder ]],'Basic Data'!$A$42:$E$53,3,0),"")</f>
        <v/>
      </c>
      <c r="J810" s="43" t="str">
        <f>IFERROR(VLOOKUP(IGA_BD[[#This Row],[Affected Feeder ]],'Basic Data'!$A$42:$E$53,5,0),"")</f>
        <v/>
      </c>
      <c r="K810" s="164"/>
      <c r="L810" s="50"/>
      <c r="M810" s="116"/>
      <c r="N810" s="116"/>
      <c r="O810" s="57">
        <f>(IGA_BD[[#This Row],[Work Start TimeStamp]]-IGA_BD[[#This Row],[Fault Start TimeStamp]])*24</f>
        <v>0</v>
      </c>
      <c r="P810" s="44" t="str">
        <f>IF(IGA_BD[[#This Row],[Work Start TimeStamp]]="","",(IGA_BD[[#This Row],[Fault Clearance time]]-IGA_BD[[#This Row],[Work Start TimeStamp]])*24)</f>
        <v/>
      </c>
      <c r="Q810" s="57">
        <f>(IGA_BD[[#This Row],[Fault Clearance time]]-IGA_BD[[#This Row],[Fault Start TimeStamp]])*24</f>
        <v>0</v>
      </c>
      <c r="R810" s="153"/>
      <c r="S810" s="44"/>
      <c r="T810" s="45" t="str">
        <f>IFERROR(IGA_BD[[#This Row],[Breakdown Time]]*IGA_BD[[#This Row],[Plant Equivalent Weightage]],"")</f>
        <v/>
      </c>
    </row>
    <row r="811" spans="1:20">
      <c r="A811" s="28"/>
      <c r="B811" s="154"/>
      <c r="C811" s="30">
        <f>YEAR(WTG_BD[[#This Row],[Date]])+IF(MONTH(WTG_BD[[#This Row],[Date]])&gt;=4,1,0)</f>
        <v>1900</v>
      </c>
      <c r="D811" s="31">
        <f>YEAR(IGA_BD[[#This Row],[Date]])</f>
        <v>1900</v>
      </c>
      <c r="E811" s="48">
        <f t="shared" si="15"/>
        <v>1</v>
      </c>
      <c r="F811" s="32"/>
      <c r="G811" s="33"/>
      <c r="H811" s="43" t="str">
        <f>IFERROR(VLOOKUP(IGA_BD[[#This Row],[Affected Feeder ]],'Basic Data'!$A$42:$E$53,2,0),"")</f>
        <v/>
      </c>
      <c r="I811" s="43" t="str">
        <f>IFERROR(VLOOKUP(IGA_BD[[#This Row],[Affected Feeder ]],'Basic Data'!$A$42:$E$53,3,0),"")</f>
        <v/>
      </c>
      <c r="J811" s="43" t="str">
        <f>IFERROR(VLOOKUP(IGA_BD[[#This Row],[Affected Feeder ]],'Basic Data'!$A$42:$E$53,5,0),"")</f>
        <v/>
      </c>
      <c r="K811" s="164"/>
      <c r="L811" s="50"/>
      <c r="M811" s="116"/>
      <c r="N811" s="116"/>
      <c r="O811" s="57">
        <f>(IGA_BD[[#This Row],[Work Start TimeStamp]]-IGA_BD[[#This Row],[Fault Start TimeStamp]])*24</f>
        <v>0</v>
      </c>
      <c r="P811" s="44" t="str">
        <f>IF(IGA_BD[[#This Row],[Work Start TimeStamp]]="","",(IGA_BD[[#This Row],[Fault Clearance time]]-IGA_BD[[#This Row],[Work Start TimeStamp]])*24)</f>
        <v/>
      </c>
      <c r="Q811" s="57">
        <f>(IGA_BD[[#This Row],[Fault Clearance time]]-IGA_BD[[#This Row],[Fault Start TimeStamp]])*24</f>
        <v>0</v>
      </c>
      <c r="R811" s="153"/>
      <c r="S811" s="44"/>
      <c r="T811" s="45" t="str">
        <f>IFERROR(IGA_BD[[#This Row],[Breakdown Time]]*IGA_BD[[#This Row],[Plant Equivalent Weightage]],"")</f>
        <v/>
      </c>
    </row>
    <row r="812" spans="1:20">
      <c r="A812" s="28"/>
      <c r="B812" s="154"/>
      <c r="C812" s="30">
        <f>YEAR(WTG_BD[[#This Row],[Date]])+IF(MONTH(WTG_BD[[#This Row],[Date]])&gt;=4,1,0)</f>
        <v>1900</v>
      </c>
      <c r="D812" s="31">
        <f>YEAR(IGA_BD[[#This Row],[Date]])</f>
        <v>1900</v>
      </c>
      <c r="E812" s="48">
        <f t="shared" si="15"/>
        <v>1</v>
      </c>
      <c r="F812" s="32"/>
      <c r="G812" s="33"/>
      <c r="H812" s="43" t="str">
        <f>IFERROR(VLOOKUP(IGA_BD[[#This Row],[Affected Feeder ]],'Basic Data'!$A$42:$E$53,2,0),"")</f>
        <v/>
      </c>
      <c r="I812" s="43" t="str">
        <f>IFERROR(VLOOKUP(IGA_BD[[#This Row],[Affected Feeder ]],'Basic Data'!$A$42:$E$53,3,0),"")</f>
        <v/>
      </c>
      <c r="J812" s="43" t="str">
        <f>IFERROR(VLOOKUP(IGA_BD[[#This Row],[Affected Feeder ]],'Basic Data'!$A$42:$E$53,5,0),"")</f>
        <v/>
      </c>
      <c r="K812" s="164"/>
      <c r="L812" s="50"/>
      <c r="M812" s="116"/>
      <c r="N812" s="116"/>
      <c r="O812" s="57">
        <f>(IGA_BD[[#This Row],[Work Start TimeStamp]]-IGA_BD[[#This Row],[Fault Start TimeStamp]])*24</f>
        <v>0</v>
      </c>
      <c r="P812" s="44" t="str">
        <f>IF(IGA_BD[[#This Row],[Work Start TimeStamp]]="","",(IGA_BD[[#This Row],[Fault Clearance time]]-IGA_BD[[#This Row],[Work Start TimeStamp]])*24)</f>
        <v/>
      </c>
      <c r="Q812" s="57">
        <f>(IGA_BD[[#This Row],[Fault Clearance time]]-IGA_BD[[#This Row],[Fault Start TimeStamp]])*24</f>
        <v>0</v>
      </c>
      <c r="R812" s="153"/>
      <c r="S812" s="44"/>
      <c r="T812" s="45" t="str">
        <f>IFERROR(IGA_BD[[#This Row],[Breakdown Time]]*IGA_BD[[#This Row],[Plant Equivalent Weightage]],"")</f>
        <v/>
      </c>
    </row>
    <row r="813" spans="1:20">
      <c r="A813" s="28"/>
      <c r="B813" s="154"/>
      <c r="C813" s="30">
        <f>YEAR(WTG_BD[[#This Row],[Date]])+IF(MONTH(WTG_BD[[#This Row],[Date]])&gt;=4,1,0)</f>
        <v>1900</v>
      </c>
      <c r="D813" s="31">
        <f>YEAR(IGA_BD[[#This Row],[Date]])</f>
        <v>1900</v>
      </c>
      <c r="E813" s="48">
        <f t="shared" si="15"/>
        <v>1</v>
      </c>
      <c r="F813" s="32"/>
      <c r="G813" s="33"/>
      <c r="H813" s="43" t="str">
        <f>IFERROR(VLOOKUP(IGA_BD[[#This Row],[Affected Feeder ]],'Basic Data'!$A$42:$E$53,2,0),"")</f>
        <v/>
      </c>
      <c r="I813" s="43" t="str">
        <f>IFERROR(VLOOKUP(IGA_BD[[#This Row],[Affected Feeder ]],'Basic Data'!$A$42:$E$53,3,0),"")</f>
        <v/>
      </c>
      <c r="J813" s="43" t="str">
        <f>IFERROR(VLOOKUP(IGA_BD[[#This Row],[Affected Feeder ]],'Basic Data'!$A$42:$E$53,5,0),"")</f>
        <v/>
      </c>
      <c r="K813" s="164"/>
      <c r="L813" s="50"/>
      <c r="M813" s="116"/>
      <c r="N813" s="116"/>
      <c r="O813" s="57">
        <f>(IGA_BD[[#This Row],[Work Start TimeStamp]]-IGA_BD[[#This Row],[Fault Start TimeStamp]])*24</f>
        <v>0</v>
      </c>
      <c r="P813" s="44" t="str">
        <f>IF(IGA_BD[[#This Row],[Work Start TimeStamp]]="","",(IGA_BD[[#This Row],[Fault Clearance time]]-IGA_BD[[#This Row],[Work Start TimeStamp]])*24)</f>
        <v/>
      </c>
      <c r="Q813" s="57">
        <f>(IGA_BD[[#This Row],[Fault Clearance time]]-IGA_BD[[#This Row],[Fault Start TimeStamp]])*24</f>
        <v>0</v>
      </c>
      <c r="R813" s="153"/>
      <c r="S813" s="44"/>
      <c r="T813" s="45" t="str">
        <f>IFERROR(IGA_BD[[#This Row],[Breakdown Time]]*IGA_BD[[#This Row],[Plant Equivalent Weightage]],"")</f>
        <v/>
      </c>
    </row>
    <row r="814" spans="1:20">
      <c r="A814" s="28"/>
      <c r="B814" s="154"/>
      <c r="C814" s="30">
        <f>YEAR(WTG_BD[[#This Row],[Date]])+IF(MONTH(WTG_BD[[#This Row],[Date]])&gt;=4,1,0)</f>
        <v>1900</v>
      </c>
      <c r="D814" s="31">
        <f>YEAR(IGA_BD[[#This Row],[Date]])</f>
        <v>1900</v>
      </c>
      <c r="E814" s="48">
        <f t="shared" si="15"/>
        <v>1</v>
      </c>
      <c r="F814" s="32"/>
      <c r="G814" s="33"/>
      <c r="H814" s="43" t="str">
        <f>IFERROR(VLOOKUP(IGA_BD[[#This Row],[Affected Feeder ]],'Basic Data'!$A$42:$E$53,2,0),"")</f>
        <v/>
      </c>
      <c r="I814" s="43" t="str">
        <f>IFERROR(VLOOKUP(IGA_BD[[#This Row],[Affected Feeder ]],'Basic Data'!$A$42:$E$53,3,0),"")</f>
        <v/>
      </c>
      <c r="J814" s="43" t="str">
        <f>IFERROR(VLOOKUP(IGA_BD[[#This Row],[Affected Feeder ]],'Basic Data'!$A$42:$E$53,5,0),"")</f>
        <v/>
      </c>
      <c r="K814" s="164"/>
      <c r="L814" s="50"/>
      <c r="M814" s="116"/>
      <c r="N814" s="116"/>
      <c r="O814" s="57">
        <f>(IGA_BD[[#This Row],[Work Start TimeStamp]]-IGA_BD[[#This Row],[Fault Start TimeStamp]])*24</f>
        <v>0</v>
      </c>
      <c r="P814" s="44" t="str">
        <f>IF(IGA_BD[[#This Row],[Work Start TimeStamp]]="","",(IGA_BD[[#This Row],[Fault Clearance time]]-IGA_BD[[#This Row],[Work Start TimeStamp]])*24)</f>
        <v/>
      </c>
      <c r="Q814" s="57">
        <f>(IGA_BD[[#This Row],[Fault Clearance time]]-IGA_BD[[#This Row],[Fault Start TimeStamp]])*24</f>
        <v>0</v>
      </c>
      <c r="R814" s="153"/>
      <c r="S814" s="44"/>
      <c r="T814" s="45" t="str">
        <f>IFERROR(IGA_BD[[#This Row],[Breakdown Time]]*IGA_BD[[#This Row],[Plant Equivalent Weightage]],"")</f>
        <v/>
      </c>
    </row>
    <row r="815" spans="1:20">
      <c r="A815" s="28"/>
      <c r="B815" s="154"/>
      <c r="C815" s="30">
        <f>YEAR(WTG_BD[[#This Row],[Date]])+IF(MONTH(WTG_BD[[#This Row],[Date]])&gt;=4,1,0)</f>
        <v>1900</v>
      </c>
      <c r="D815" s="31">
        <f>YEAR(IGA_BD[[#This Row],[Date]])</f>
        <v>1900</v>
      </c>
      <c r="E815" s="48">
        <f t="shared" si="15"/>
        <v>1</v>
      </c>
      <c r="F815" s="32"/>
      <c r="G815" s="33"/>
      <c r="H815" s="43" t="str">
        <f>IFERROR(VLOOKUP(IGA_BD[[#This Row],[Affected Feeder ]],'Basic Data'!$A$42:$E$53,2,0),"")</f>
        <v/>
      </c>
      <c r="I815" s="43" t="str">
        <f>IFERROR(VLOOKUP(IGA_BD[[#This Row],[Affected Feeder ]],'Basic Data'!$A$42:$E$53,3,0),"")</f>
        <v/>
      </c>
      <c r="J815" s="43" t="str">
        <f>IFERROR(VLOOKUP(IGA_BD[[#This Row],[Affected Feeder ]],'Basic Data'!$A$42:$E$53,5,0),"")</f>
        <v/>
      </c>
      <c r="K815" s="164"/>
      <c r="L815" s="50"/>
      <c r="M815" s="116"/>
      <c r="N815" s="116"/>
      <c r="O815" s="57">
        <f>(IGA_BD[[#This Row],[Work Start TimeStamp]]-IGA_BD[[#This Row],[Fault Start TimeStamp]])*24</f>
        <v>0</v>
      </c>
      <c r="P815" s="44" t="str">
        <f>IF(IGA_BD[[#This Row],[Work Start TimeStamp]]="","",(IGA_BD[[#This Row],[Fault Clearance time]]-IGA_BD[[#This Row],[Work Start TimeStamp]])*24)</f>
        <v/>
      </c>
      <c r="Q815" s="57">
        <f>(IGA_BD[[#This Row],[Fault Clearance time]]-IGA_BD[[#This Row],[Fault Start TimeStamp]])*24</f>
        <v>0</v>
      </c>
      <c r="R815" s="153"/>
      <c r="S815" s="44"/>
      <c r="T815" s="45" t="str">
        <f>IFERROR(IGA_BD[[#This Row],[Breakdown Time]]*IGA_BD[[#This Row],[Plant Equivalent Weightage]],"")</f>
        <v/>
      </c>
    </row>
    <row r="816" spans="1:20">
      <c r="A816" s="28"/>
      <c r="B816" s="154"/>
      <c r="C816" s="30">
        <f>YEAR(WTG_BD[[#This Row],[Date]])+IF(MONTH(WTG_BD[[#This Row],[Date]])&gt;=4,1,0)</f>
        <v>1900</v>
      </c>
      <c r="D816" s="31">
        <f>YEAR(IGA_BD[[#This Row],[Date]])</f>
        <v>1900</v>
      </c>
      <c r="E816" s="48">
        <f t="shared" si="15"/>
        <v>1</v>
      </c>
      <c r="F816" s="32"/>
      <c r="G816" s="33"/>
      <c r="H816" s="43" t="str">
        <f>IFERROR(VLOOKUP(IGA_BD[[#This Row],[Affected Feeder ]],'Basic Data'!$A$42:$E$53,2,0),"")</f>
        <v/>
      </c>
      <c r="I816" s="43" t="str">
        <f>IFERROR(VLOOKUP(IGA_BD[[#This Row],[Affected Feeder ]],'Basic Data'!$A$42:$E$53,3,0),"")</f>
        <v/>
      </c>
      <c r="J816" s="43" t="str">
        <f>IFERROR(VLOOKUP(IGA_BD[[#This Row],[Affected Feeder ]],'Basic Data'!$A$42:$E$53,5,0),"")</f>
        <v/>
      </c>
      <c r="K816" s="164"/>
      <c r="L816" s="50"/>
      <c r="M816" s="116"/>
      <c r="N816" s="116"/>
      <c r="O816" s="57">
        <f>(IGA_BD[[#This Row],[Work Start TimeStamp]]-IGA_BD[[#This Row],[Fault Start TimeStamp]])*24</f>
        <v>0</v>
      </c>
      <c r="P816" s="44" t="str">
        <f>IF(IGA_BD[[#This Row],[Work Start TimeStamp]]="","",(IGA_BD[[#This Row],[Fault Clearance time]]-IGA_BD[[#This Row],[Work Start TimeStamp]])*24)</f>
        <v/>
      </c>
      <c r="Q816" s="57">
        <f>(IGA_BD[[#This Row],[Fault Clearance time]]-IGA_BD[[#This Row],[Fault Start TimeStamp]])*24</f>
        <v>0</v>
      </c>
      <c r="R816" s="153"/>
      <c r="S816" s="44"/>
      <c r="T816" s="45" t="str">
        <f>IFERROR(IGA_BD[[#This Row],[Breakdown Time]]*IGA_BD[[#This Row],[Plant Equivalent Weightage]],"")</f>
        <v/>
      </c>
    </row>
    <row r="817" spans="1:20">
      <c r="A817" s="28"/>
      <c r="B817" s="154"/>
      <c r="C817" s="30">
        <f>YEAR(WTG_BD[[#This Row],[Date]])+IF(MONTH(WTG_BD[[#This Row],[Date]])&gt;=4,1,0)</f>
        <v>1900</v>
      </c>
      <c r="D817" s="31">
        <f>YEAR(IGA_BD[[#This Row],[Date]])</f>
        <v>1900</v>
      </c>
      <c r="E817" s="48">
        <f t="shared" si="15"/>
        <v>1</v>
      </c>
      <c r="F817" s="32"/>
      <c r="G817" s="33"/>
      <c r="H817" s="43" t="str">
        <f>IFERROR(VLOOKUP(IGA_BD[[#This Row],[Affected Feeder ]],'Basic Data'!$A$42:$E$53,2,0),"")</f>
        <v/>
      </c>
      <c r="I817" s="43" t="str">
        <f>IFERROR(VLOOKUP(IGA_BD[[#This Row],[Affected Feeder ]],'Basic Data'!$A$42:$E$53,3,0),"")</f>
        <v/>
      </c>
      <c r="J817" s="43" t="str">
        <f>IFERROR(VLOOKUP(IGA_BD[[#This Row],[Affected Feeder ]],'Basic Data'!$A$42:$E$53,5,0),"")</f>
        <v/>
      </c>
      <c r="K817" s="164"/>
      <c r="L817" s="50"/>
      <c r="M817" s="116"/>
      <c r="N817" s="116"/>
      <c r="O817" s="57">
        <f>(IGA_BD[[#This Row],[Work Start TimeStamp]]-IGA_BD[[#This Row],[Fault Start TimeStamp]])*24</f>
        <v>0</v>
      </c>
      <c r="P817" s="44" t="str">
        <f>IF(IGA_BD[[#This Row],[Work Start TimeStamp]]="","",(IGA_BD[[#This Row],[Fault Clearance time]]-IGA_BD[[#This Row],[Work Start TimeStamp]])*24)</f>
        <v/>
      </c>
      <c r="Q817" s="57">
        <f>(IGA_BD[[#This Row],[Fault Clearance time]]-IGA_BD[[#This Row],[Fault Start TimeStamp]])*24</f>
        <v>0</v>
      </c>
      <c r="R817" s="153"/>
      <c r="S817" s="44"/>
      <c r="T817" s="45" t="str">
        <f>IFERROR(IGA_BD[[#This Row],[Breakdown Time]]*IGA_BD[[#This Row],[Plant Equivalent Weightage]],"")</f>
        <v/>
      </c>
    </row>
    <row r="818" spans="1:20">
      <c r="A818" s="28"/>
      <c r="B818" s="154"/>
      <c r="C818" s="30">
        <f>YEAR(WTG_BD[[#This Row],[Date]])+IF(MONTH(WTG_BD[[#This Row],[Date]])&gt;=4,1,0)</f>
        <v>1900</v>
      </c>
      <c r="D818" s="31">
        <f>YEAR(IGA_BD[[#This Row],[Date]])</f>
        <v>1900</v>
      </c>
      <c r="E818" s="48">
        <f t="shared" si="15"/>
        <v>1</v>
      </c>
      <c r="F818" s="32"/>
      <c r="G818" s="33"/>
      <c r="H818" s="43" t="str">
        <f>IFERROR(VLOOKUP(IGA_BD[[#This Row],[Affected Feeder ]],'Basic Data'!$A$42:$E$53,2,0),"")</f>
        <v/>
      </c>
      <c r="I818" s="43" t="str">
        <f>IFERROR(VLOOKUP(IGA_BD[[#This Row],[Affected Feeder ]],'Basic Data'!$A$42:$E$53,3,0),"")</f>
        <v/>
      </c>
      <c r="J818" s="43" t="str">
        <f>IFERROR(VLOOKUP(IGA_BD[[#This Row],[Affected Feeder ]],'Basic Data'!$A$42:$E$53,5,0),"")</f>
        <v/>
      </c>
      <c r="K818" s="164"/>
      <c r="L818" s="50"/>
      <c r="M818" s="116"/>
      <c r="N818" s="116"/>
      <c r="O818" s="57">
        <f>(IGA_BD[[#This Row],[Work Start TimeStamp]]-IGA_BD[[#This Row],[Fault Start TimeStamp]])*24</f>
        <v>0</v>
      </c>
      <c r="P818" s="44" t="str">
        <f>IF(IGA_BD[[#This Row],[Work Start TimeStamp]]="","",(IGA_BD[[#This Row],[Fault Clearance time]]-IGA_BD[[#This Row],[Work Start TimeStamp]])*24)</f>
        <v/>
      </c>
      <c r="Q818" s="57">
        <f>(IGA_BD[[#This Row],[Fault Clearance time]]-IGA_BD[[#This Row],[Fault Start TimeStamp]])*24</f>
        <v>0</v>
      </c>
      <c r="R818" s="153"/>
      <c r="S818" s="44"/>
      <c r="T818" s="45" t="str">
        <f>IFERROR(IGA_BD[[#This Row],[Breakdown Time]]*IGA_BD[[#This Row],[Plant Equivalent Weightage]],"")</f>
        <v/>
      </c>
    </row>
    <row r="819" spans="1:20">
      <c r="A819" s="28"/>
      <c r="B819" s="154"/>
      <c r="C819" s="30">
        <f>YEAR(WTG_BD[[#This Row],[Date]])+IF(MONTH(WTG_BD[[#This Row],[Date]])&gt;=4,1,0)</f>
        <v>1900</v>
      </c>
      <c r="D819" s="31">
        <f>YEAR(IGA_BD[[#This Row],[Date]])</f>
        <v>1900</v>
      </c>
      <c r="E819" s="48">
        <f t="shared" si="15"/>
        <v>1</v>
      </c>
      <c r="F819" s="32"/>
      <c r="G819" s="33"/>
      <c r="H819" s="43" t="str">
        <f>IFERROR(VLOOKUP(IGA_BD[[#This Row],[Affected Feeder ]],'Basic Data'!$A$42:$E$53,2,0),"")</f>
        <v/>
      </c>
      <c r="I819" s="43" t="str">
        <f>IFERROR(VLOOKUP(IGA_BD[[#This Row],[Affected Feeder ]],'Basic Data'!$A$42:$E$53,3,0),"")</f>
        <v/>
      </c>
      <c r="J819" s="43" t="str">
        <f>IFERROR(VLOOKUP(IGA_BD[[#This Row],[Affected Feeder ]],'Basic Data'!$A$42:$E$53,5,0),"")</f>
        <v/>
      </c>
      <c r="K819" s="164"/>
      <c r="L819" s="50"/>
      <c r="M819" s="116"/>
      <c r="N819" s="116"/>
      <c r="O819" s="57">
        <f>(IGA_BD[[#This Row],[Work Start TimeStamp]]-IGA_BD[[#This Row],[Fault Start TimeStamp]])*24</f>
        <v>0</v>
      </c>
      <c r="P819" s="44" t="str">
        <f>IF(IGA_BD[[#This Row],[Work Start TimeStamp]]="","",(IGA_BD[[#This Row],[Fault Clearance time]]-IGA_BD[[#This Row],[Work Start TimeStamp]])*24)</f>
        <v/>
      </c>
      <c r="Q819" s="57">
        <f>(IGA_BD[[#This Row],[Fault Clearance time]]-IGA_BD[[#This Row],[Fault Start TimeStamp]])*24</f>
        <v>0</v>
      </c>
      <c r="R819" s="153"/>
      <c r="S819" s="44"/>
      <c r="T819" s="45" t="str">
        <f>IFERROR(IGA_BD[[#This Row],[Breakdown Time]]*IGA_BD[[#This Row],[Plant Equivalent Weightage]],"")</f>
        <v/>
      </c>
    </row>
    <row r="820" spans="1:20">
      <c r="A820" s="28"/>
      <c r="B820" s="154"/>
      <c r="C820" s="30">
        <f>YEAR(WTG_BD[[#This Row],[Date]])+IF(MONTH(WTG_BD[[#This Row],[Date]])&gt;=4,1,0)</f>
        <v>1900</v>
      </c>
      <c r="D820" s="31">
        <f>YEAR(IGA_BD[[#This Row],[Date]])</f>
        <v>1900</v>
      </c>
      <c r="E820" s="48">
        <f t="shared" si="15"/>
        <v>1</v>
      </c>
      <c r="F820" s="32"/>
      <c r="G820" s="33"/>
      <c r="H820" s="43" t="str">
        <f>IFERROR(VLOOKUP(IGA_BD[[#This Row],[Affected Feeder ]],'Basic Data'!$A$42:$E$53,2,0),"")</f>
        <v/>
      </c>
      <c r="I820" s="43" t="str">
        <f>IFERROR(VLOOKUP(IGA_BD[[#This Row],[Affected Feeder ]],'Basic Data'!$A$42:$E$53,3,0),"")</f>
        <v/>
      </c>
      <c r="J820" s="43" t="str">
        <f>IFERROR(VLOOKUP(IGA_BD[[#This Row],[Affected Feeder ]],'Basic Data'!$A$42:$E$53,5,0),"")</f>
        <v/>
      </c>
      <c r="K820" s="164"/>
      <c r="L820" s="50"/>
      <c r="M820" s="116"/>
      <c r="N820" s="116"/>
      <c r="O820" s="57">
        <f>(IGA_BD[[#This Row],[Work Start TimeStamp]]-IGA_BD[[#This Row],[Fault Start TimeStamp]])*24</f>
        <v>0</v>
      </c>
      <c r="P820" s="44" t="str">
        <f>IF(IGA_BD[[#This Row],[Work Start TimeStamp]]="","",(IGA_BD[[#This Row],[Fault Clearance time]]-IGA_BD[[#This Row],[Work Start TimeStamp]])*24)</f>
        <v/>
      </c>
      <c r="Q820" s="57">
        <f>(IGA_BD[[#This Row],[Fault Clearance time]]-IGA_BD[[#This Row],[Fault Start TimeStamp]])*24</f>
        <v>0</v>
      </c>
      <c r="R820" s="153"/>
      <c r="S820" s="44"/>
      <c r="T820" s="45" t="str">
        <f>IFERROR(IGA_BD[[#This Row],[Breakdown Time]]*IGA_BD[[#This Row],[Plant Equivalent Weightage]],"")</f>
        <v/>
      </c>
    </row>
    <row r="821" spans="1:20">
      <c r="A821" s="28"/>
      <c r="B821" s="154"/>
      <c r="C821" s="30">
        <f>YEAR(WTG_BD[[#This Row],[Date]])+IF(MONTH(WTG_BD[[#This Row],[Date]])&gt;=4,1,0)</f>
        <v>1900</v>
      </c>
      <c r="D821" s="31">
        <f>YEAR(IGA_BD[[#This Row],[Date]])</f>
        <v>1900</v>
      </c>
      <c r="E821" s="48">
        <f t="shared" si="15"/>
        <v>1</v>
      </c>
      <c r="F821" s="32"/>
      <c r="G821" s="33"/>
      <c r="H821" s="43" t="str">
        <f>IFERROR(VLOOKUP(IGA_BD[[#This Row],[Affected Feeder ]],'Basic Data'!$A$42:$E$53,2,0),"")</f>
        <v/>
      </c>
      <c r="I821" s="43" t="str">
        <f>IFERROR(VLOOKUP(IGA_BD[[#This Row],[Affected Feeder ]],'Basic Data'!$A$42:$E$53,3,0),"")</f>
        <v/>
      </c>
      <c r="J821" s="43" t="str">
        <f>IFERROR(VLOOKUP(IGA_BD[[#This Row],[Affected Feeder ]],'Basic Data'!$A$42:$E$53,5,0),"")</f>
        <v/>
      </c>
      <c r="K821" s="164"/>
      <c r="L821" s="50"/>
      <c r="M821" s="116"/>
      <c r="N821" s="116"/>
      <c r="O821" s="57">
        <f>(IGA_BD[[#This Row],[Work Start TimeStamp]]-IGA_BD[[#This Row],[Fault Start TimeStamp]])*24</f>
        <v>0</v>
      </c>
      <c r="P821" s="44" t="str">
        <f>IF(IGA_BD[[#This Row],[Work Start TimeStamp]]="","",(IGA_BD[[#This Row],[Fault Clearance time]]-IGA_BD[[#This Row],[Work Start TimeStamp]])*24)</f>
        <v/>
      </c>
      <c r="Q821" s="57">
        <f>(IGA_BD[[#This Row],[Fault Clearance time]]-IGA_BD[[#This Row],[Fault Start TimeStamp]])*24</f>
        <v>0</v>
      </c>
      <c r="R821" s="153"/>
      <c r="S821" s="44"/>
      <c r="T821" s="45" t="str">
        <f>IFERROR(IGA_BD[[#This Row],[Breakdown Time]]*IGA_BD[[#This Row],[Plant Equivalent Weightage]],"")</f>
        <v/>
      </c>
    </row>
    <row r="822" spans="1:20">
      <c r="A822" s="28"/>
      <c r="B822" s="154"/>
      <c r="C822" s="30">
        <f>YEAR(WTG_BD[[#This Row],[Date]])+IF(MONTH(WTG_BD[[#This Row],[Date]])&gt;=4,1,0)</f>
        <v>1900</v>
      </c>
      <c r="D822" s="31">
        <f>YEAR(IGA_BD[[#This Row],[Date]])</f>
        <v>1900</v>
      </c>
      <c r="E822" s="48">
        <f t="shared" si="15"/>
        <v>1</v>
      </c>
      <c r="F822" s="32"/>
      <c r="G822" s="33"/>
      <c r="H822" s="43" t="str">
        <f>IFERROR(VLOOKUP(IGA_BD[[#This Row],[Affected Feeder ]],'Basic Data'!$A$42:$E$53,2,0),"")</f>
        <v/>
      </c>
      <c r="I822" s="43" t="str">
        <f>IFERROR(VLOOKUP(IGA_BD[[#This Row],[Affected Feeder ]],'Basic Data'!$A$42:$E$53,3,0),"")</f>
        <v/>
      </c>
      <c r="J822" s="43" t="str">
        <f>IFERROR(VLOOKUP(IGA_BD[[#This Row],[Affected Feeder ]],'Basic Data'!$A$42:$E$53,5,0),"")</f>
        <v/>
      </c>
      <c r="K822" s="164"/>
      <c r="L822" s="50"/>
      <c r="M822" s="116"/>
      <c r="N822" s="116"/>
      <c r="O822" s="57">
        <f>(IGA_BD[[#This Row],[Work Start TimeStamp]]-IGA_BD[[#This Row],[Fault Start TimeStamp]])*24</f>
        <v>0</v>
      </c>
      <c r="P822" s="44" t="str">
        <f>IF(IGA_BD[[#This Row],[Work Start TimeStamp]]="","",(IGA_BD[[#This Row],[Fault Clearance time]]-IGA_BD[[#This Row],[Work Start TimeStamp]])*24)</f>
        <v/>
      </c>
      <c r="Q822" s="57">
        <f>(IGA_BD[[#This Row],[Fault Clearance time]]-IGA_BD[[#This Row],[Fault Start TimeStamp]])*24</f>
        <v>0</v>
      </c>
      <c r="R822" s="153"/>
      <c r="S822" s="44"/>
      <c r="T822" s="45" t="str">
        <f>IFERROR(IGA_BD[[#This Row],[Breakdown Time]]*IGA_BD[[#This Row],[Plant Equivalent Weightage]],"")</f>
        <v/>
      </c>
    </row>
    <row r="823" spans="1:20">
      <c r="A823" s="28"/>
      <c r="B823" s="154"/>
      <c r="C823" s="30">
        <f>YEAR(WTG_BD[[#This Row],[Date]])+IF(MONTH(WTG_BD[[#This Row],[Date]])&gt;=4,1,0)</f>
        <v>1900</v>
      </c>
      <c r="D823" s="31">
        <f>YEAR(IGA_BD[[#This Row],[Date]])</f>
        <v>1900</v>
      </c>
      <c r="E823" s="48">
        <f t="shared" si="15"/>
        <v>1</v>
      </c>
      <c r="F823" s="32"/>
      <c r="G823" s="33"/>
      <c r="H823" s="43" t="str">
        <f>IFERROR(VLOOKUP(IGA_BD[[#This Row],[Affected Feeder ]],'Basic Data'!$A$42:$E$53,2,0),"")</f>
        <v/>
      </c>
      <c r="I823" s="43" t="str">
        <f>IFERROR(VLOOKUP(IGA_BD[[#This Row],[Affected Feeder ]],'Basic Data'!$A$42:$E$53,3,0),"")</f>
        <v/>
      </c>
      <c r="J823" s="43" t="str">
        <f>IFERROR(VLOOKUP(IGA_BD[[#This Row],[Affected Feeder ]],'Basic Data'!$A$42:$E$53,5,0),"")</f>
        <v/>
      </c>
      <c r="K823" s="164"/>
      <c r="L823" s="50"/>
      <c r="M823" s="116"/>
      <c r="N823" s="116"/>
      <c r="O823" s="57">
        <f>(IGA_BD[[#This Row],[Work Start TimeStamp]]-IGA_BD[[#This Row],[Fault Start TimeStamp]])*24</f>
        <v>0</v>
      </c>
      <c r="P823" s="44" t="str">
        <f>IF(IGA_BD[[#This Row],[Work Start TimeStamp]]="","",(IGA_BD[[#This Row],[Fault Clearance time]]-IGA_BD[[#This Row],[Work Start TimeStamp]])*24)</f>
        <v/>
      </c>
      <c r="Q823" s="57">
        <f>(IGA_BD[[#This Row],[Fault Clearance time]]-IGA_BD[[#This Row],[Fault Start TimeStamp]])*24</f>
        <v>0</v>
      </c>
      <c r="R823" s="153"/>
      <c r="S823" s="44"/>
      <c r="T823" s="45" t="str">
        <f>IFERROR(IGA_BD[[#This Row],[Breakdown Time]]*IGA_BD[[#This Row],[Plant Equivalent Weightage]],"")</f>
        <v/>
      </c>
    </row>
    <row r="824" spans="1:20">
      <c r="A824" s="28"/>
      <c r="B824" s="154"/>
      <c r="C824" s="30">
        <f>YEAR(WTG_BD[[#This Row],[Date]])+IF(MONTH(WTG_BD[[#This Row],[Date]])&gt;=4,1,0)</f>
        <v>1900</v>
      </c>
      <c r="D824" s="31">
        <f>YEAR(IGA_BD[[#This Row],[Date]])</f>
        <v>1900</v>
      </c>
      <c r="E824" s="48">
        <f t="shared" si="15"/>
        <v>1</v>
      </c>
      <c r="F824" s="32"/>
      <c r="G824" s="33"/>
      <c r="H824" s="43" t="str">
        <f>IFERROR(VLOOKUP(IGA_BD[[#This Row],[Affected Feeder ]],'Basic Data'!$A$42:$E$53,2,0),"")</f>
        <v/>
      </c>
      <c r="I824" s="43" t="str">
        <f>IFERROR(VLOOKUP(IGA_BD[[#This Row],[Affected Feeder ]],'Basic Data'!$A$42:$E$53,3,0),"")</f>
        <v/>
      </c>
      <c r="J824" s="43" t="str">
        <f>IFERROR(VLOOKUP(IGA_BD[[#This Row],[Affected Feeder ]],'Basic Data'!$A$42:$E$53,5,0),"")</f>
        <v/>
      </c>
      <c r="K824" s="164"/>
      <c r="L824" s="50"/>
      <c r="M824" s="116"/>
      <c r="N824" s="116"/>
      <c r="O824" s="57">
        <f>(IGA_BD[[#This Row],[Work Start TimeStamp]]-IGA_BD[[#This Row],[Fault Start TimeStamp]])*24</f>
        <v>0</v>
      </c>
      <c r="P824" s="44" t="str">
        <f>IF(IGA_BD[[#This Row],[Work Start TimeStamp]]="","",(IGA_BD[[#This Row],[Fault Clearance time]]-IGA_BD[[#This Row],[Work Start TimeStamp]])*24)</f>
        <v/>
      </c>
      <c r="Q824" s="57">
        <f>(IGA_BD[[#This Row],[Fault Clearance time]]-IGA_BD[[#This Row],[Fault Start TimeStamp]])*24</f>
        <v>0</v>
      </c>
      <c r="R824" s="153"/>
      <c r="S824" s="44"/>
      <c r="T824" s="45" t="str">
        <f>IFERROR(IGA_BD[[#This Row],[Breakdown Time]]*IGA_BD[[#This Row],[Plant Equivalent Weightage]],"")</f>
        <v/>
      </c>
    </row>
    <row r="825" spans="1:20">
      <c r="A825" s="28"/>
      <c r="B825" s="154"/>
      <c r="C825" s="30">
        <f>YEAR(WTG_BD[[#This Row],[Date]])+IF(MONTH(WTG_BD[[#This Row],[Date]])&gt;=4,1,0)</f>
        <v>1900</v>
      </c>
      <c r="D825" s="31">
        <f>YEAR(IGA_BD[[#This Row],[Date]])</f>
        <v>1900</v>
      </c>
      <c r="E825" s="48">
        <f t="shared" si="15"/>
        <v>1</v>
      </c>
      <c r="F825" s="32"/>
      <c r="G825" s="33"/>
      <c r="H825" s="43" t="str">
        <f>IFERROR(VLOOKUP(IGA_BD[[#This Row],[Affected Feeder ]],'Basic Data'!$A$42:$E$53,2,0),"")</f>
        <v/>
      </c>
      <c r="I825" s="43" t="str">
        <f>IFERROR(VLOOKUP(IGA_BD[[#This Row],[Affected Feeder ]],'Basic Data'!$A$42:$E$53,3,0),"")</f>
        <v/>
      </c>
      <c r="J825" s="43" t="str">
        <f>IFERROR(VLOOKUP(IGA_BD[[#This Row],[Affected Feeder ]],'Basic Data'!$A$42:$E$53,5,0),"")</f>
        <v/>
      </c>
      <c r="K825" s="164"/>
      <c r="L825" s="50"/>
      <c r="M825" s="116"/>
      <c r="N825" s="116"/>
      <c r="O825" s="57">
        <f>(IGA_BD[[#This Row],[Work Start TimeStamp]]-IGA_BD[[#This Row],[Fault Start TimeStamp]])*24</f>
        <v>0</v>
      </c>
      <c r="P825" s="44" t="str">
        <f>IF(IGA_BD[[#This Row],[Work Start TimeStamp]]="","",(IGA_BD[[#This Row],[Fault Clearance time]]-IGA_BD[[#This Row],[Work Start TimeStamp]])*24)</f>
        <v/>
      </c>
      <c r="Q825" s="57">
        <f>(IGA_BD[[#This Row],[Fault Clearance time]]-IGA_BD[[#This Row],[Fault Start TimeStamp]])*24</f>
        <v>0</v>
      </c>
      <c r="R825" s="153"/>
      <c r="S825" s="44"/>
      <c r="T825" s="45" t="str">
        <f>IFERROR(IGA_BD[[#This Row],[Breakdown Time]]*IGA_BD[[#This Row],[Plant Equivalent Weightage]],"")</f>
        <v/>
      </c>
    </row>
    <row r="826" spans="1:20">
      <c r="A826" s="28"/>
      <c r="B826" s="154"/>
      <c r="C826" s="30">
        <f>YEAR(WTG_BD[[#This Row],[Date]])+IF(MONTH(WTG_BD[[#This Row],[Date]])&gt;=4,1,0)</f>
        <v>1900</v>
      </c>
      <c r="D826" s="31">
        <f>YEAR(IGA_BD[[#This Row],[Date]])</f>
        <v>1900</v>
      </c>
      <c r="E826" s="48">
        <f t="shared" si="15"/>
        <v>1</v>
      </c>
      <c r="F826" s="32"/>
      <c r="G826" s="33"/>
      <c r="H826" s="43" t="str">
        <f>IFERROR(VLOOKUP(IGA_BD[[#This Row],[Affected Feeder ]],'Basic Data'!$A$42:$E$53,2,0),"")</f>
        <v/>
      </c>
      <c r="I826" s="43" t="str">
        <f>IFERROR(VLOOKUP(IGA_BD[[#This Row],[Affected Feeder ]],'Basic Data'!$A$42:$E$53,3,0),"")</f>
        <v/>
      </c>
      <c r="J826" s="43" t="str">
        <f>IFERROR(VLOOKUP(IGA_BD[[#This Row],[Affected Feeder ]],'Basic Data'!$A$42:$E$53,5,0),"")</f>
        <v/>
      </c>
      <c r="K826" s="164"/>
      <c r="L826" s="50"/>
      <c r="M826" s="116"/>
      <c r="N826" s="116"/>
      <c r="O826" s="57">
        <f>(IGA_BD[[#This Row],[Work Start TimeStamp]]-IGA_BD[[#This Row],[Fault Start TimeStamp]])*24</f>
        <v>0</v>
      </c>
      <c r="P826" s="44" t="str">
        <f>IF(IGA_BD[[#This Row],[Work Start TimeStamp]]="","",(IGA_BD[[#This Row],[Fault Clearance time]]-IGA_BD[[#This Row],[Work Start TimeStamp]])*24)</f>
        <v/>
      </c>
      <c r="Q826" s="57">
        <f>(IGA_BD[[#This Row],[Fault Clearance time]]-IGA_BD[[#This Row],[Fault Start TimeStamp]])*24</f>
        <v>0</v>
      </c>
      <c r="R826" s="153"/>
      <c r="S826" s="44"/>
      <c r="T826" s="45" t="str">
        <f>IFERROR(IGA_BD[[#This Row],[Breakdown Time]]*IGA_BD[[#This Row],[Plant Equivalent Weightage]],"")</f>
        <v/>
      </c>
    </row>
    <row r="827" spans="1:20">
      <c r="A827" s="28"/>
      <c r="B827" s="154"/>
      <c r="C827" s="30">
        <f>YEAR(WTG_BD[[#This Row],[Date]])+IF(MONTH(WTG_BD[[#This Row],[Date]])&gt;=4,1,0)</f>
        <v>1900</v>
      </c>
      <c r="D827" s="31">
        <f>YEAR(IGA_BD[[#This Row],[Date]])</f>
        <v>1900</v>
      </c>
      <c r="E827" s="48">
        <f t="shared" si="15"/>
        <v>1</v>
      </c>
      <c r="F827" s="32"/>
      <c r="G827" s="33"/>
      <c r="H827" s="43" t="str">
        <f>IFERROR(VLOOKUP(IGA_BD[[#This Row],[Affected Feeder ]],'Basic Data'!$A$42:$E$53,2,0),"")</f>
        <v/>
      </c>
      <c r="I827" s="43" t="str">
        <f>IFERROR(VLOOKUP(IGA_BD[[#This Row],[Affected Feeder ]],'Basic Data'!$A$42:$E$53,3,0),"")</f>
        <v/>
      </c>
      <c r="J827" s="43" t="str">
        <f>IFERROR(VLOOKUP(IGA_BD[[#This Row],[Affected Feeder ]],'Basic Data'!$A$42:$E$53,5,0),"")</f>
        <v/>
      </c>
      <c r="K827" s="164"/>
      <c r="L827" s="50"/>
      <c r="M827" s="116"/>
      <c r="N827" s="116"/>
      <c r="O827" s="57">
        <f>(IGA_BD[[#This Row],[Work Start TimeStamp]]-IGA_BD[[#This Row],[Fault Start TimeStamp]])*24</f>
        <v>0</v>
      </c>
      <c r="P827" s="44" t="str">
        <f>IF(IGA_BD[[#This Row],[Work Start TimeStamp]]="","",(IGA_BD[[#This Row],[Fault Clearance time]]-IGA_BD[[#This Row],[Work Start TimeStamp]])*24)</f>
        <v/>
      </c>
      <c r="Q827" s="57">
        <f>(IGA_BD[[#This Row],[Fault Clearance time]]-IGA_BD[[#This Row],[Fault Start TimeStamp]])*24</f>
        <v>0</v>
      </c>
      <c r="R827" s="153"/>
      <c r="S827" s="44"/>
      <c r="T827" s="45" t="str">
        <f>IFERROR(IGA_BD[[#This Row],[Breakdown Time]]*IGA_BD[[#This Row],[Plant Equivalent Weightage]],"")</f>
        <v/>
      </c>
    </row>
    <row r="828" spans="1:20">
      <c r="A828" s="28"/>
      <c r="B828" s="154"/>
      <c r="C828" s="30">
        <f>YEAR(WTG_BD[[#This Row],[Date]])+IF(MONTH(WTG_BD[[#This Row],[Date]])&gt;=4,1,0)</f>
        <v>1900</v>
      </c>
      <c r="D828" s="31">
        <f>YEAR(IGA_BD[[#This Row],[Date]])</f>
        <v>1900</v>
      </c>
      <c r="E828" s="48">
        <f t="shared" si="15"/>
        <v>1</v>
      </c>
      <c r="F828" s="32"/>
      <c r="G828" s="33"/>
      <c r="H828" s="43" t="str">
        <f>IFERROR(VLOOKUP(IGA_BD[[#This Row],[Affected Feeder ]],'Basic Data'!$A$42:$E$53,2,0),"")</f>
        <v/>
      </c>
      <c r="I828" s="43" t="str">
        <f>IFERROR(VLOOKUP(IGA_BD[[#This Row],[Affected Feeder ]],'Basic Data'!$A$42:$E$53,3,0),"")</f>
        <v/>
      </c>
      <c r="J828" s="43" t="str">
        <f>IFERROR(VLOOKUP(IGA_BD[[#This Row],[Affected Feeder ]],'Basic Data'!$A$42:$E$53,5,0),"")</f>
        <v/>
      </c>
      <c r="K828" s="164"/>
      <c r="L828" s="50"/>
      <c r="M828" s="116"/>
      <c r="N828" s="116"/>
      <c r="O828" s="57">
        <f>(IGA_BD[[#This Row],[Work Start TimeStamp]]-IGA_BD[[#This Row],[Fault Start TimeStamp]])*24</f>
        <v>0</v>
      </c>
      <c r="P828" s="44" t="str">
        <f>IF(IGA_BD[[#This Row],[Work Start TimeStamp]]="","",(IGA_BD[[#This Row],[Fault Clearance time]]-IGA_BD[[#This Row],[Work Start TimeStamp]])*24)</f>
        <v/>
      </c>
      <c r="Q828" s="57">
        <f>(IGA_BD[[#This Row],[Fault Clearance time]]-IGA_BD[[#This Row],[Fault Start TimeStamp]])*24</f>
        <v>0</v>
      </c>
      <c r="R828" s="153"/>
      <c r="S828" s="44"/>
      <c r="T828" s="45" t="str">
        <f>IFERROR(IGA_BD[[#This Row],[Breakdown Time]]*IGA_BD[[#This Row],[Plant Equivalent Weightage]],"")</f>
        <v/>
      </c>
    </row>
    <row r="829" spans="1:20">
      <c r="A829" s="28"/>
      <c r="B829" s="154"/>
      <c r="C829" s="30">
        <f>YEAR(WTG_BD[[#This Row],[Date]])+IF(MONTH(WTG_BD[[#This Row],[Date]])&gt;=4,1,0)</f>
        <v>1900</v>
      </c>
      <c r="D829" s="31">
        <f>YEAR(IGA_BD[[#This Row],[Date]])</f>
        <v>1900</v>
      </c>
      <c r="E829" s="48">
        <f t="shared" si="15"/>
        <v>1</v>
      </c>
      <c r="F829" s="32"/>
      <c r="G829" s="33"/>
      <c r="H829" s="43" t="str">
        <f>IFERROR(VLOOKUP(IGA_BD[[#This Row],[Affected Feeder ]],'Basic Data'!$A$42:$E$53,2,0),"")</f>
        <v/>
      </c>
      <c r="I829" s="43" t="str">
        <f>IFERROR(VLOOKUP(IGA_BD[[#This Row],[Affected Feeder ]],'Basic Data'!$A$42:$E$53,3,0),"")</f>
        <v/>
      </c>
      <c r="J829" s="43" t="str">
        <f>IFERROR(VLOOKUP(IGA_BD[[#This Row],[Affected Feeder ]],'Basic Data'!$A$42:$E$53,5,0),"")</f>
        <v/>
      </c>
      <c r="K829" s="164"/>
      <c r="L829" s="50"/>
      <c r="M829" s="116"/>
      <c r="N829" s="116"/>
      <c r="O829" s="57">
        <f>(IGA_BD[[#This Row],[Work Start TimeStamp]]-IGA_BD[[#This Row],[Fault Start TimeStamp]])*24</f>
        <v>0</v>
      </c>
      <c r="P829" s="44" t="str">
        <f>IF(IGA_BD[[#This Row],[Work Start TimeStamp]]="","",(IGA_BD[[#This Row],[Fault Clearance time]]-IGA_BD[[#This Row],[Work Start TimeStamp]])*24)</f>
        <v/>
      </c>
      <c r="Q829" s="57">
        <f>(IGA_BD[[#This Row],[Fault Clearance time]]-IGA_BD[[#This Row],[Fault Start TimeStamp]])*24</f>
        <v>0</v>
      </c>
      <c r="R829" s="153"/>
      <c r="S829" s="44"/>
      <c r="T829" s="45" t="str">
        <f>IFERROR(IGA_BD[[#This Row],[Breakdown Time]]*IGA_BD[[#This Row],[Plant Equivalent Weightage]],"")</f>
        <v/>
      </c>
    </row>
    <row r="830" spans="1:20">
      <c r="A830" s="28"/>
      <c r="B830" s="154"/>
      <c r="C830" s="30">
        <f>YEAR(WTG_BD[[#This Row],[Date]])+IF(MONTH(WTG_BD[[#This Row],[Date]])&gt;=4,1,0)</f>
        <v>1900</v>
      </c>
      <c r="D830" s="31">
        <f>YEAR(IGA_BD[[#This Row],[Date]])</f>
        <v>1900</v>
      </c>
      <c r="E830" s="48">
        <f t="shared" si="15"/>
        <v>1</v>
      </c>
      <c r="F830" s="32"/>
      <c r="G830" s="33"/>
      <c r="H830" s="43" t="str">
        <f>IFERROR(VLOOKUP(IGA_BD[[#This Row],[Affected Feeder ]],'Basic Data'!$A$42:$E$53,2,0),"")</f>
        <v/>
      </c>
      <c r="I830" s="43" t="str">
        <f>IFERROR(VLOOKUP(IGA_BD[[#This Row],[Affected Feeder ]],'Basic Data'!$A$42:$E$53,3,0),"")</f>
        <v/>
      </c>
      <c r="J830" s="43" t="str">
        <f>IFERROR(VLOOKUP(IGA_BD[[#This Row],[Affected Feeder ]],'Basic Data'!$A$42:$E$53,5,0),"")</f>
        <v/>
      </c>
      <c r="K830" s="164"/>
      <c r="L830" s="50"/>
      <c r="M830" s="116"/>
      <c r="N830" s="116"/>
      <c r="O830" s="57">
        <f>(IGA_BD[[#This Row],[Work Start TimeStamp]]-IGA_BD[[#This Row],[Fault Start TimeStamp]])*24</f>
        <v>0</v>
      </c>
      <c r="P830" s="44" t="str">
        <f>IF(IGA_BD[[#This Row],[Work Start TimeStamp]]="","",(IGA_BD[[#This Row],[Fault Clearance time]]-IGA_BD[[#This Row],[Work Start TimeStamp]])*24)</f>
        <v/>
      </c>
      <c r="Q830" s="57">
        <f>(IGA_BD[[#This Row],[Fault Clearance time]]-IGA_BD[[#This Row],[Fault Start TimeStamp]])*24</f>
        <v>0</v>
      </c>
      <c r="R830" s="153"/>
      <c r="S830" s="44"/>
      <c r="T830" s="45" t="str">
        <f>IFERROR(IGA_BD[[#This Row],[Breakdown Time]]*IGA_BD[[#This Row],[Plant Equivalent Weightage]],"")</f>
        <v/>
      </c>
    </row>
    <row r="831" spans="1:20">
      <c r="A831" s="28"/>
      <c r="B831" s="154"/>
      <c r="C831" s="30">
        <f>YEAR(WTG_BD[[#This Row],[Date]])+IF(MONTH(WTG_BD[[#This Row],[Date]])&gt;=4,1,0)</f>
        <v>1900</v>
      </c>
      <c r="D831" s="31">
        <f>YEAR(IGA_BD[[#This Row],[Date]])</f>
        <v>1900</v>
      </c>
      <c r="E831" s="48">
        <f t="shared" si="15"/>
        <v>1</v>
      </c>
      <c r="F831" s="32"/>
      <c r="G831" s="33"/>
      <c r="H831" s="43" t="str">
        <f>IFERROR(VLOOKUP(IGA_BD[[#This Row],[Affected Feeder ]],'Basic Data'!$A$42:$E$53,2,0),"")</f>
        <v/>
      </c>
      <c r="I831" s="43" t="str">
        <f>IFERROR(VLOOKUP(IGA_BD[[#This Row],[Affected Feeder ]],'Basic Data'!$A$42:$E$53,3,0),"")</f>
        <v/>
      </c>
      <c r="J831" s="43" t="str">
        <f>IFERROR(VLOOKUP(IGA_BD[[#This Row],[Affected Feeder ]],'Basic Data'!$A$42:$E$53,5,0),"")</f>
        <v/>
      </c>
      <c r="K831" s="164"/>
      <c r="L831" s="50"/>
      <c r="M831" s="116"/>
      <c r="N831" s="116"/>
      <c r="O831" s="57">
        <f>(IGA_BD[[#This Row],[Work Start TimeStamp]]-IGA_BD[[#This Row],[Fault Start TimeStamp]])*24</f>
        <v>0</v>
      </c>
      <c r="P831" s="44" t="str">
        <f>IF(IGA_BD[[#This Row],[Work Start TimeStamp]]="","",(IGA_BD[[#This Row],[Fault Clearance time]]-IGA_BD[[#This Row],[Work Start TimeStamp]])*24)</f>
        <v/>
      </c>
      <c r="Q831" s="57">
        <f>(IGA_BD[[#This Row],[Fault Clearance time]]-IGA_BD[[#This Row],[Fault Start TimeStamp]])*24</f>
        <v>0</v>
      </c>
      <c r="R831" s="153"/>
      <c r="S831" s="44"/>
      <c r="T831" s="45" t="str">
        <f>IFERROR(IGA_BD[[#This Row],[Breakdown Time]]*IGA_BD[[#This Row],[Plant Equivalent Weightage]],"")</f>
        <v/>
      </c>
    </row>
    <row r="832" spans="1:20">
      <c r="A832" s="28"/>
      <c r="B832" s="154"/>
      <c r="C832" s="30">
        <f>YEAR(WTG_BD[[#This Row],[Date]])+IF(MONTH(WTG_BD[[#This Row],[Date]])&gt;=4,1,0)</f>
        <v>1900</v>
      </c>
      <c r="D832" s="31">
        <f>YEAR(IGA_BD[[#This Row],[Date]])</f>
        <v>1900</v>
      </c>
      <c r="E832" s="48">
        <f t="shared" si="15"/>
        <v>1</v>
      </c>
      <c r="F832" s="32"/>
      <c r="G832" s="33"/>
      <c r="H832" s="43" t="str">
        <f>IFERROR(VLOOKUP(IGA_BD[[#This Row],[Affected Feeder ]],'Basic Data'!$A$42:$E$53,2,0),"")</f>
        <v/>
      </c>
      <c r="I832" s="43" t="str">
        <f>IFERROR(VLOOKUP(IGA_BD[[#This Row],[Affected Feeder ]],'Basic Data'!$A$42:$E$53,3,0),"")</f>
        <v/>
      </c>
      <c r="J832" s="43" t="str">
        <f>IFERROR(VLOOKUP(IGA_BD[[#This Row],[Affected Feeder ]],'Basic Data'!$A$42:$E$53,5,0),"")</f>
        <v/>
      </c>
      <c r="K832" s="164"/>
      <c r="L832" s="50"/>
      <c r="M832" s="116"/>
      <c r="N832" s="116"/>
      <c r="O832" s="57">
        <f>(IGA_BD[[#This Row],[Work Start TimeStamp]]-IGA_BD[[#This Row],[Fault Start TimeStamp]])*24</f>
        <v>0</v>
      </c>
      <c r="P832" s="44" t="str">
        <f>IF(IGA_BD[[#This Row],[Work Start TimeStamp]]="","",(IGA_BD[[#This Row],[Fault Clearance time]]-IGA_BD[[#This Row],[Work Start TimeStamp]])*24)</f>
        <v/>
      </c>
      <c r="Q832" s="57">
        <f>(IGA_BD[[#This Row],[Fault Clearance time]]-IGA_BD[[#This Row],[Fault Start TimeStamp]])*24</f>
        <v>0</v>
      </c>
      <c r="R832" s="153"/>
      <c r="S832" s="44"/>
      <c r="T832" s="45" t="str">
        <f>IFERROR(IGA_BD[[#This Row],[Breakdown Time]]*IGA_BD[[#This Row],[Plant Equivalent Weightage]],"")</f>
        <v/>
      </c>
    </row>
    <row r="833" spans="1:20">
      <c r="A833" s="28"/>
      <c r="B833" s="154"/>
      <c r="C833" s="30">
        <f>YEAR(WTG_BD[[#This Row],[Date]])+IF(MONTH(WTG_BD[[#This Row],[Date]])&gt;=4,1,0)</f>
        <v>1900</v>
      </c>
      <c r="D833" s="31">
        <f>YEAR(IGA_BD[[#This Row],[Date]])</f>
        <v>1900</v>
      </c>
      <c r="E833" s="48">
        <f t="shared" si="15"/>
        <v>1</v>
      </c>
      <c r="F833" s="32"/>
      <c r="G833" s="33"/>
      <c r="H833" s="43" t="str">
        <f>IFERROR(VLOOKUP(IGA_BD[[#This Row],[Affected Feeder ]],'Basic Data'!$A$42:$E$53,2,0),"")</f>
        <v/>
      </c>
      <c r="I833" s="43" t="str">
        <f>IFERROR(VLOOKUP(IGA_BD[[#This Row],[Affected Feeder ]],'Basic Data'!$A$42:$E$53,3,0),"")</f>
        <v/>
      </c>
      <c r="J833" s="43" t="str">
        <f>IFERROR(VLOOKUP(IGA_BD[[#This Row],[Affected Feeder ]],'Basic Data'!$A$42:$E$53,5,0),"")</f>
        <v/>
      </c>
      <c r="K833" s="164"/>
      <c r="L833" s="50"/>
      <c r="M833" s="116"/>
      <c r="N833" s="116"/>
      <c r="O833" s="57">
        <f>(IGA_BD[[#This Row],[Work Start TimeStamp]]-IGA_BD[[#This Row],[Fault Start TimeStamp]])*24</f>
        <v>0</v>
      </c>
      <c r="P833" s="44" t="str">
        <f>IF(IGA_BD[[#This Row],[Work Start TimeStamp]]="","",(IGA_BD[[#This Row],[Fault Clearance time]]-IGA_BD[[#This Row],[Work Start TimeStamp]])*24)</f>
        <v/>
      </c>
      <c r="Q833" s="57">
        <f>(IGA_BD[[#This Row],[Fault Clearance time]]-IGA_BD[[#This Row],[Fault Start TimeStamp]])*24</f>
        <v>0</v>
      </c>
      <c r="R833" s="153"/>
      <c r="S833" s="44"/>
      <c r="T833" s="45" t="str">
        <f>IFERROR(IGA_BD[[#This Row],[Breakdown Time]]*IGA_BD[[#This Row],[Plant Equivalent Weightage]],"")</f>
        <v/>
      </c>
    </row>
    <row r="834" spans="1:20">
      <c r="A834" s="28"/>
      <c r="B834" s="154"/>
      <c r="C834" s="30">
        <f>YEAR(WTG_BD[[#This Row],[Date]])+IF(MONTH(WTG_BD[[#This Row],[Date]])&gt;=4,1,0)</f>
        <v>1900</v>
      </c>
      <c r="D834" s="31">
        <f>YEAR(IGA_BD[[#This Row],[Date]])</f>
        <v>1900</v>
      </c>
      <c r="E834" s="48">
        <f t="shared" si="15"/>
        <v>1</v>
      </c>
      <c r="F834" s="32"/>
      <c r="G834" s="33"/>
      <c r="H834" s="43" t="str">
        <f>IFERROR(VLOOKUP(IGA_BD[[#This Row],[Affected Feeder ]],'Basic Data'!$A$42:$E$53,2,0),"")</f>
        <v/>
      </c>
      <c r="I834" s="43" t="str">
        <f>IFERROR(VLOOKUP(IGA_BD[[#This Row],[Affected Feeder ]],'Basic Data'!$A$42:$E$53,3,0),"")</f>
        <v/>
      </c>
      <c r="J834" s="43" t="str">
        <f>IFERROR(VLOOKUP(IGA_BD[[#This Row],[Affected Feeder ]],'Basic Data'!$A$42:$E$53,5,0),"")</f>
        <v/>
      </c>
      <c r="K834" s="164"/>
      <c r="L834" s="50"/>
      <c r="M834" s="116"/>
      <c r="N834" s="116"/>
      <c r="O834" s="57">
        <f>(IGA_BD[[#This Row],[Work Start TimeStamp]]-IGA_BD[[#This Row],[Fault Start TimeStamp]])*24</f>
        <v>0</v>
      </c>
      <c r="P834" s="44" t="str">
        <f>IF(IGA_BD[[#This Row],[Work Start TimeStamp]]="","",(IGA_BD[[#This Row],[Fault Clearance time]]-IGA_BD[[#This Row],[Work Start TimeStamp]])*24)</f>
        <v/>
      </c>
      <c r="Q834" s="57">
        <f>(IGA_BD[[#This Row],[Fault Clearance time]]-IGA_BD[[#This Row],[Fault Start TimeStamp]])*24</f>
        <v>0</v>
      </c>
      <c r="R834" s="153"/>
      <c r="S834" s="44"/>
      <c r="T834" s="45" t="str">
        <f>IFERROR(IGA_BD[[#This Row],[Breakdown Time]]*IGA_BD[[#This Row],[Plant Equivalent Weightage]],"")</f>
        <v/>
      </c>
    </row>
    <row r="835" spans="1:20">
      <c r="A835" s="28"/>
      <c r="B835" s="154"/>
      <c r="C835" s="30">
        <f>YEAR(WTG_BD[[#This Row],[Date]])+IF(MONTH(WTG_BD[[#This Row],[Date]])&gt;=4,1,0)</f>
        <v>1900</v>
      </c>
      <c r="D835" s="31">
        <f>YEAR(IGA_BD[[#This Row],[Date]])</f>
        <v>1900</v>
      </c>
      <c r="E835" s="48">
        <f t="shared" si="15"/>
        <v>1</v>
      </c>
      <c r="F835" s="32"/>
      <c r="G835" s="33"/>
      <c r="H835" s="43" t="str">
        <f>IFERROR(VLOOKUP(IGA_BD[[#This Row],[Affected Feeder ]],'Basic Data'!$A$42:$E$53,2,0),"")</f>
        <v/>
      </c>
      <c r="I835" s="43" t="str">
        <f>IFERROR(VLOOKUP(IGA_BD[[#This Row],[Affected Feeder ]],'Basic Data'!$A$42:$E$53,3,0),"")</f>
        <v/>
      </c>
      <c r="J835" s="43" t="str">
        <f>IFERROR(VLOOKUP(IGA_BD[[#This Row],[Affected Feeder ]],'Basic Data'!$A$42:$E$53,5,0),"")</f>
        <v/>
      </c>
      <c r="K835" s="164"/>
      <c r="L835" s="50"/>
      <c r="M835" s="116"/>
      <c r="N835" s="116"/>
      <c r="O835" s="57">
        <f>(IGA_BD[[#This Row],[Work Start TimeStamp]]-IGA_BD[[#This Row],[Fault Start TimeStamp]])*24</f>
        <v>0</v>
      </c>
      <c r="P835" s="44" t="str">
        <f>IF(IGA_BD[[#This Row],[Work Start TimeStamp]]="","",(IGA_BD[[#This Row],[Fault Clearance time]]-IGA_BD[[#This Row],[Work Start TimeStamp]])*24)</f>
        <v/>
      </c>
      <c r="Q835" s="57">
        <f>(IGA_BD[[#This Row],[Fault Clearance time]]-IGA_BD[[#This Row],[Fault Start TimeStamp]])*24</f>
        <v>0</v>
      </c>
      <c r="R835" s="153"/>
      <c r="S835" s="44"/>
      <c r="T835" s="45" t="str">
        <f>IFERROR(IGA_BD[[#This Row],[Breakdown Time]]*IGA_BD[[#This Row],[Plant Equivalent Weightage]],"")</f>
        <v/>
      </c>
    </row>
    <row r="836" spans="1:20">
      <c r="A836" s="28"/>
      <c r="B836" s="154"/>
      <c r="C836" s="30">
        <f>YEAR(WTG_BD[[#This Row],[Date]])+IF(MONTH(WTG_BD[[#This Row],[Date]])&gt;=4,1,0)</f>
        <v>1900</v>
      </c>
      <c r="D836" s="31">
        <f>YEAR(IGA_BD[[#This Row],[Date]])</f>
        <v>1900</v>
      </c>
      <c r="E836" s="48">
        <f t="shared" si="15"/>
        <v>1</v>
      </c>
      <c r="F836" s="32"/>
      <c r="G836" s="33"/>
      <c r="H836" s="43" t="str">
        <f>IFERROR(VLOOKUP(IGA_BD[[#This Row],[Affected Feeder ]],'Basic Data'!$A$42:$E$53,2,0),"")</f>
        <v/>
      </c>
      <c r="I836" s="43" t="str">
        <f>IFERROR(VLOOKUP(IGA_BD[[#This Row],[Affected Feeder ]],'Basic Data'!$A$42:$E$53,3,0),"")</f>
        <v/>
      </c>
      <c r="J836" s="43" t="str">
        <f>IFERROR(VLOOKUP(IGA_BD[[#This Row],[Affected Feeder ]],'Basic Data'!$A$42:$E$53,5,0),"")</f>
        <v/>
      </c>
      <c r="K836" s="164"/>
      <c r="L836" s="50"/>
      <c r="M836" s="116"/>
      <c r="N836" s="116"/>
      <c r="O836" s="57">
        <f>(IGA_BD[[#This Row],[Work Start TimeStamp]]-IGA_BD[[#This Row],[Fault Start TimeStamp]])*24</f>
        <v>0</v>
      </c>
      <c r="P836" s="44" t="str">
        <f>IF(IGA_BD[[#This Row],[Work Start TimeStamp]]="","",(IGA_BD[[#This Row],[Fault Clearance time]]-IGA_BD[[#This Row],[Work Start TimeStamp]])*24)</f>
        <v/>
      </c>
      <c r="Q836" s="57">
        <f>(IGA_BD[[#This Row],[Fault Clearance time]]-IGA_BD[[#This Row],[Fault Start TimeStamp]])*24</f>
        <v>0</v>
      </c>
      <c r="R836" s="153"/>
      <c r="S836" s="44"/>
      <c r="T836" s="45" t="str">
        <f>IFERROR(IGA_BD[[#This Row],[Breakdown Time]]*IGA_BD[[#This Row],[Plant Equivalent Weightage]],"")</f>
        <v/>
      </c>
    </row>
    <row r="837" spans="1:20">
      <c r="A837" s="28"/>
      <c r="B837" s="154"/>
      <c r="C837" s="30">
        <f>YEAR(WTG_BD[[#This Row],[Date]])+IF(MONTH(WTG_BD[[#This Row],[Date]])&gt;=4,1,0)</f>
        <v>1900</v>
      </c>
      <c r="D837" s="31">
        <f>YEAR(IGA_BD[[#This Row],[Date]])</f>
        <v>1900</v>
      </c>
      <c r="E837" s="48">
        <f t="shared" si="15"/>
        <v>1</v>
      </c>
      <c r="F837" s="32"/>
      <c r="G837" s="33"/>
      <c r="H837" s="43" t="str">
        <f>IFERROR(VLOOKUP(IGA_BD[[#This Row],[Affected Feeder ]],'Basic Data'!$A$42:$E$53,2,0),"")</f>
        <v/>
      </c>
      <c r="I837" s="43" t="str">
        <f>IFERROR(VLOOKUP(IGA_BD[[#This Row],[Affected Feeder ]],'Basic Data'!$A$42:$E$53,3,0),"")</f>
        <v/>
      </c>
      <c r="J837" s="43" t="str">
        <f>IFERROR(VLOOKUP(IGA_BD[[#This Row],[Affected Feeder ]],'Basic Data'!$A$42:$E$53,5,0),"")</f>
        <v/>
      </c>
      <c r="K837" s="164"/>
      <c r="L837" s="50"/>
      <c r="M837" s="116"/>
      <c r="N837" s="116"/>
      <c r="O837" s="57">
        <f>(IGA_BD[[#This Row],[Work Start TimeStamp]]-IGA_BD[[#This Row],[Fault Start TimeStamp]])*24</f>
        <v>0</v>
      </c>
      <c r="P837" s="44" t="str">
        <f>IF(IGA_BD[[#This Row],[Work Start TimeStamp]]="","",(IGA_BD[[#This Row],[Fault Clearance time]]-IGA_BD[[#This Row],[Work Start TimeStamp]])*24)</f>
        <v/>
      </c>
      <c r="Q837" s="57">
        <f>(IGA_BD[[#This Row],[Fault Clearance time]]-IGA_BD[[#This Row],[Fault Start TimeStamp]])*24</f>
        <v>0</v>
      </c>
      <c r="R837" s="153"/>
      <c r="S837" s="44"/>
      <c r="T837" s="45" t="str">
        <f>IFERROR(IGA_BD[[#This Row],[Breakdown Time]]*IGA_BD[[#This Row],[Plant Equivalent Weightage]],"")</f>
        <v/>
      </c>
    </row>
    <row r="838" spans="1:20">
      <c r="A838" s="28"/>
      <c r="B838" s="154"/>
      <c r="C838" s="30">
        <f>YEAR(WTG_BD[[#This Row],[Date]])+IF(MONTH(WTG_BD[[#This Row],[Date]])&gt;=4,1,0)</f>
        <v>1900</v>
      </c>
      <c r="D838" s="31">
        <f>YEAR(IGA_BD[[#This Row],[Date]])</f>
        <v>1900</v>
      </c>
      <c r="E838" s="48">
        <f t="shared" si="15"/>
        <v>1</v>
      </c>
      <c r="F838" s="32"/>
      <c r="G838" s="33"/>
      <c r="H838" s="43" t="str">
        <f>IFERROR(VLOOKUP(IGA_BD[[#This Row],[Affected Feeder ]],'Basic Data'!$A$42:$E$53,2,0),"")</f>
        <v/>
      </c>
      <c r="I838" s="43" t="str">
        <f>IFERROR(VLOOKUP(IGA_BD[[#This Row],[Affected Feeder ]],'Basic Data'!$A$42:$E$53,3,0),"")</f>
        <v/>
      </c>
      <c r="J838" s="43" t="str">
        <f>IFERROR(VLOOKUP(IGA_BD[[#This Row],[Affected Feeder ]],'Basic Data'!$A$42:$E$53,5,0),"")</f>
        <v/>
      </c>
      <c r="K838" s="164"/>
      <c r="L838" s="50"/>
      <c r="M838" s="116"/>
      <c r="N838" s="116"/>
      <c r="O838" s="57">
        <f>(IGA_BD[[#This Row],[Work Start TimeStamp]]-IGA_BD[[#This Row],[Fault Start TimeStamp]])*24</f>
        <v>0</v>
      </c>
      <c r="P838" s="44" t="str">
        <f>IF(IGA_BD[[#This Row],[Work Start TimeStamp]]="","",(IGA_BD[[#This Row],[Fault Clearance time]]-IGA_BD[[#This Row],[Work Start TimeStamp]])*24)</f>
        <v/>
      </c>
      <c r="Q838" s="57">
        <f>(IGA_BD[[#This Row],[Fault Clearance time]]-IGA_BD[[#This Row],[Fault Start TimeStamp]])*24</f>
        <v>0</v>
      </c>
      <c r="R838" s="153"/>
      <c r="S838" s="44"/>
      <c r="T838" s="45" t="str">
        <f>IFERROR(IGA_BD[[#This Row],[Breakdown Time]]*IGA_BD[[#This Row],[Plant Equivalent Weightage]],"")</f>
        <v/>
      </c>
    </row>
    <row r="839" spans="1:20">
      <c r="A839" s="28"/>
      <c r="B839" s="154"/>
      <c r="C839" s="30">
        <f>YEAR(WTG_BD[[#This Row],[Date]])+IF(MONTH(WTG_BD[[#This Row],[Date]])&gt;=4,1,0)</f>
        <v>1900</v>
      </c>
      <c r="D839" s="31">
        <f>YEAR(IGA_BD[[#This Row],[Date]])</f>
        <v>1900</v>
      </c>
      <c r="E839" s="48">
        <f t="shared" si="15"/>
        <v>1</v>
      </c>
      <c r="F839" s="32"/>
      <c r="G839" s="33"/>
      <c r="H839" s="43" t="str">
        <f>IFERROR(VLOOKUP(IGA_BD[[#This Row],[Affected Feeder ]],'Basic Data'!$A$42:$E$53,2,0),"")</f>
        <v/>
      </c>
      <c r="I839" s="43" t="str">
        <f>IFERROR(VLOOKUP(IGA_BD[[#This Row],[Affected Feeder ]],'Basic Data'!$A$42:$E$53,3,0),"")</f>
        <v/>
      </c>
      <c r="J839" s="43" t="str">
        <f>IFERROR(VLOOKUP(IGA_BD[[#This Row],[Affected Feeder ]],'Basic Data'!$A$42:$E$53,5,0),"")</f>
        <v/>
      </c>
      <c r="K839" s="164"/>
      <c r="L839" s="50"/>
      <c r="M839" s="116"/>
      <c r="N839" s="116"/>
      <c r="O839" s="57">
        <f>(IGA_BD[[#This Row],[Work Start TimeStamp]]-IGA_BD[[#This Row],[Fault Start TimeStamp]])*24</f>
        <v>0</v>
      </c>
      <c r="P839" s="44" t="str">
        <f>IF(IGA_BD[[#This Row],[Work Start TimeStamp]]="","",(IGA_BD[[#This Row],[Fault Clearance time]]-IGA_BD[[#This Row],[Work Start TimeStamp]])*24)</f>
        <v/>
      </c>
      <c r="Q839" s="57">
        <f>(IGA_BD[[#This Row],[Fault Clearance time]]-IGA_BD[[#This Row],[Fault Start TimeStamp]])*24</f>
        <v>0</v>
      </c>
      <c r="R839" s="153"/>
      <c r="S839" s="44"/>
      <c r="T839" s="45" t="str">
        <f>IFERROR(IGA_BD[[#This Row],[Breakdown Time]]*IGA_BD[[#This Row],[Plant Equivalent Weightage]],"")</f>
        <v/>
      </c>
    </row>
    <row r="840" spans="1:20">
      <c r="A840" s="28"/>
      <c r="B840" s="154"/>
      <c r="C840" s="30">
        <f>YEAR(WTG_BD[[#This Row],[Date]])+IF(MONTH(WTG_BD[[#This Row],[Date]])&gt;=4,1,0)</f>
        <v>1900</v>
      </c>
      <c r="D840" s="31">
        <f>YEAR(IGA_BD[[#This Row],[Date]])</f>
        <v>1900</v>
      </c>
      <c r="E840" s="48">
        <f t="shared" si="15"/>
        <v>1</v>
      </c>
      <c r="F840" s="32"/>
      <c r="G840" s="33"/>
      <c r="H840" s="43" t="str">
        <f>IFERROR(VLOOKUP(IGA_BD[[#This Row],[Affected Feeder ]],'Basic Data'!$A$42:$E$53,2,0),"")</f>
        <v/>
      </c>
      <c r="I840" s="43" t="str">
        <f>IFERROR(VLOOKUP(IGA_BD[[#This Row],[Affected Feeder ]],'Basic Data'!$A$42:$E$53,3,0),"")</f>
        <v/>
      </c>
      <c r="J840" s="43" t="str">
        <f>IFERROR(VLOOKUP(IGA_BD[[#This Row],[Affected Feeder ]],'Basic Data'!$A$42:$E$53,5,0),"")</f>
        <v/>
      </c>
      <c r="K840" s="164"/>
      <c r="L840" s="50"/>
      <c r="M840" s="116"/>
      <c r="N840" s="116"/>
      <c r="O840" s="57">
        <f>(IGA_BD[[#This Row],[Work Start TimeStamp]]-IGA_BD[[#This Row],[Fault Start TimeStamp]])*24</f>
        <v>0</v>
      </c>
      <c r="P840" s="44" t="str">
        <f>IF(IGA_BD[[#This Row],[Work Start TimeStamp]]="","",(IGA_BD[[#This Row],[Fault Clearance time]]-IGA_BD[[#This Row],[Work Start TimeStamp]])*24)</f>
        <v/>
      </c>
      <c r="Q840" s="57">
        <f>(IGA_BD[[#This Row],[Fault Clearance time]]-IGA_BD[[#This Row],[Fault Start TimeStamp]])*24</f>
        <v>0</v>
      </c>
      <c r="R840" s="153"/>
      <c r="S840" s="44"/>
      <c r="T840" s="45" t="str">
        <f>IFERROR(IGA_BD[[#This Row],[Breakdown Time]]*IGA_BD[[#This Row],[Plant Equivalent Weightage]],"")</f>
        <v/>
      </c>
    </row>
    <row r="841" spans="1:20">
      <c r="A841" s="28"/>
      <c r="B841" s="154"/>
      <c r="C841" s="30">
        <f>YEAR(WTG_BD[[#This Row],[Date]])+IF(MONTH(WTG_BD[[#This Row],[Date]])&gt;=4,1,0)</f>
        <v>1900</v>
      </c>
      <c r="D841" s="31">
        <f>YEAR(IGA_BD[[#This Row],[Date]])</f>
        <v>1900</v>
      </c>
      <c r="E841" s="48">
        <f t="shared" si="15"/>
        <v>1</v>
      </c>
      <c r="F841" s="32"/>
      <c r="G841" s="33"/>
      <c r="H841" s="43" t="str">
        <f>IFERROR(VLOOKUP(IGA_BD[[#This Row],[Affected Feeder ]],'Basic Data'!$A$42:$E$53,2,0),"")</f>
        <v/>
      </c>
      <c r="I841" s="43" t="str">
        <f>IFERROR(VLOOKUP(IGA_BD[[#This Row],[Affected Feeder ]],'Basic Data'!$A$42:$E$53,3,0),"")</f>
        <v/>
      </c>
      <c r="J841" s="43" t="str">
        <f>IFERROR(VLOOKUP(IGA_BD[[#This Row],[Affected Feeder ]],'Basic Data'!$A$42:$E$53,5,0),"")</f>
        <v/>
      </c>
      <c r="K841" s="164"/>
      <c r="L841" s="50"/>
      <c r="M841" s="116"/>
      <c r="N841" s="116"/>
      <c r="O841" s="57">
        <f>(IGA_BD[[#This Row],[Work Start TimeStamp]]-IGA_BD[[#This Row],[Fault Start TimeStamp]])*24</f>
        <v>0</v>
      </c>
      <c r="P841" s="44" t="str">
        <f>IF(IGA_BD[[#This Row],[Work Start TimeStamp]]="","",(IGA_BD[[#This Row],[Fault Clearance time]]-IGA_BD[[#This Row],[Work Start TimeStamp]])*24)</f>
        <v/>
      </c>
      <c r="Q841" s="57">
        <f>(IGA_BD[[#This Row],[Fault Clearance time]]-IGA_BD[[#This Row],[Fault Start TimeStamp]])*24</f>
        <v>0</v>
      </c>
      <c r="R841" s="153"/>
      <c r="S841" s="44"/>
      <c r="T841" s="45" t="str">
        <f>IFERROR(IGA_BD[[#This Row],[Breakdown Time]]*IGA_BD[[#This Row],[Plant Equivalent Weightage]],"")</f>
        <v/>
      </c>
    </row>
    <row r="842" spans="1:20">
      <c r="A842" s="28"/>
      <c r="B842" s="154"/>
      <c r="C842" s="30">
        <f>YEAR(WTG_BD[[#This Row],[Date]])+IF(MONTH(WTG_BD[[#This Row],[Date]])&gt;=4,1,0)</f>
        <v>1900</v>
      </c>
      <c r="D842" s="31">
        <f>YEAR(IGA_BD[[#This Row],[Date]])</f>
        <v>1900</v>
      </c>
      <c r="E842" s="48">
        <f t="shared" si="15"/>
        <v>1</v>
      </c>
      <c r="F842" s="32"/>
      <c r="G842" s="33"/>
      <c r="H842" s="43" t="str">
        <f>IFERROR(VLOOKUP(IGA_BD[[#This Row],[Affected Feeder ]],'Basic Data'!$A$42:$E$53,2,0),"")</f>
        <v/>
      </c>
      <c r="I842" s="43" t="str">
        <f>IFERROR(VLOOKUP(IGA_BD[[#This Row],[Affected Feeder ]],'Basic Data'!$A$42:$E$53,3,0),"")</f>
        <v/>
      </c>
      <c r="J842" s="43" t="str">
        <f>IFERROR(VLOOKUP(IGA_BD[[#This Row],[Affected Feeder ]],'Basic Data'!$A$42:$E$53,5,0),"")</f>
        <v/>
      </c>
      <c r="K842" s="164"/>
      <c r="L842" s="50"/>
      <c r="M842" s="116"/>
      <c r="N842" s="116"/>
      <c r="O842" s="57">
        <f>(IGA_BD[[#This Row],[Work Start TimeStamp]]-IGA_BD[[#This Row],[Fault Start TimeStamp]])*24</f>
        <v>0</v>
      </c>
      <c r="P842" s="44" t="str">
        <f>IF(IGA_BD[[#This Row],[Work Start TimeStamp]]="","",(IGA_BD[[#This Row],[Fault Clearance time]]-IGA_BD[[#This Row],[Work Start TimeStamp]])*24)</f>
        <v/>
      </c>
      <c r="Q842" s="57">
        <f>(IGA_BD[[#This Row],[Fault Clearance time]]-IGA_BD[[#This Row],[Fault Start TimeStamp]])*24</f>
        <v>0</v>
      </c>
      <c r="R842" s="153"/>
      <c r="S842" s="44"/>
      <c r="T842" s="45" t="str">
        <f>IFERROR(IGA_BD[[#This Row],[Breakdown Time]]*IGA_BD[[#This Row],[Plant Equivalent Weightage]],"")</f>
        <v/>
      </c>
    </row>
    <row r="843" spans="1:20">
      <c r="A843" s="28"/>
      <c r="B843" s="154"/>
      <c r="C843" s="30">
        <f>YEAR(WTG_BD[[#This Row],[Date]])+IF(MONTH(WTG_BD[[#This Row],[Date]])&gt;=4,1,0)</f>
        <v>1900</v>
      </c>
      <c r="D843" s="31">
        <f>YEAR(IGA_BD[[#This Row],[Date]])</f>
        <v>1900</v>
      </c>
      <c r="E843" s="48">
        <f t="shared" si="15"/>
        <v>1</v>
      </c>
      <c r="F843" s="32"/>
      <c r="G843" s="33"/>
      <c r="H843" s="43" t="str">
        <f>IFERROR(VLOOKUP(IGA_BD[[#This Row],[Affected Feeder ]],'Basic Data'!$A$42:$E$53,2,0),"")</f>
        <v/>
      </c>
      <c r="I843" s="43" t="str">
        <f>IFERROR(VLOOKUP(IGA_BD[[#This Row],[Affected Feeder ]],'Basic Data'!$A$42:$E$53,3,0),"")</f>
        <v/>
      </c>
      <c r="J843" s="43" t="str">
        <f>IFERROR(VLOOKUP(IGA_BD[[#This Row],[Affected Feeder ]],'Basic Data'!$A$42:$E$53,5,0),"")</f>
        <v/>
      </c>
      <c r="K843" s="164"/>
      <c r="L843" s="50"/>
      <c r="M843" s="116"/>
      <c r="N843" s="116"/>
      <c r="O843" s="57">
        <f>(IGA_BD[[#This Row],[Work Start TimeStamp]]-IGA_BD[[#This Row],[Fault Start TimeStamp]])*24</f>
        <v>0</v>
      </c>
      <c r="P843" s="44" t="str">
        <f>IF(IGA_BD[[#This Row],[Work Start TimeStamp]]="","",(IGA_BD[[#This Row],[Fault Clearance time]]-IGA_BD[[#This Row],[Work Start TimeStamp]])*24)</f>
        <v/>
      </c>
      <c r="Q843" s="57">
        <f>(IGA_BD[[#This Row],[Fault Clearance time]]-IGA_BD[[#This Row],[Fault Start TimeStamp]])*24</f>
        <v>0</v>
      </c>
      <c r="R843" s="153"/>
      <c r="S843" s="44"/>
      <c r="T843" s="45" t="str">
        <f>IFERROR(IGA_BD[[#This Row],[Breakdown Time]]*IGA_BD[[#This Row],[Plant Equivalent Weightage]],"")</f>
        <v/>
      </c>
    </row>
    <row r="844" spans="1:20">
      <c r="A844" s="28"/>
      <c r="B844" s="154"/>
      <c r="C844" s="30">
        <f>YEAR(WTG_BD[[#This Row],[Date]])+IF(MONTH(WTG_BD[[#This Row],[Date]])&gt;=4,1,0)</f>
        <v>1900</v>
      </c>
      <c r="D844" s="31">
        <f>YEAR(IGA_BD[[#This Row],[Date]])</f>
        <v>1900</v>
      </c>
      <c r="E844" s="48">
        <f t="shared" si="15"/>
        <v>1</v>
      </c>
      <c r="F844" s="32"/>
      <c r="G844" s="33"/>
      <c r="H844" s="43" t="str">
        <f>IFERROR(VLOOKUP(IGA_BD[[#This Row],[Affected Feeder ]],'Basic Data'!$A$42:$E$53,2,0),"")</f>
        <v/>
      </c>
      <c r="I844" s="43" t="str">
        <f>IFERROR(VLOOKUP(IGA_BD[[#This Row],[Affected Feeder ]],'Basic Data'!$A$42:$E$53,3,0),"")</f>
        <v/>
      </c>
      <c r="J844" s="43" t="str">
        <f>IFERROR(VLOOKUP(IGA_BD[[#This Row],[Affected Feeder ]],'Basic Data'!$A$42:$E$53,5,0),"")</f>
        <v/>
      </c>
      <c r="K844" s="164"/>
      <c r="L844" s="50"/>
      <c r="M844" s="116"/>
      <c r="N844" s="116"/>
      <c r="O844" s="57">
        <f>(IGA_BD[[#This Row],[Work Start TimeStamp]]-IGA_BD[[#This Row],[Fault Start TimeStamp]])*24</f>
        <v>0</v>
      </c>
      <c r="P844" s="44" t="str">
        <f>IF(IGA_BD[[#This Row],[Work Start TimeStamp]]="","",(IGA_BD[[#This Row],[Fault Clearance time]]-IGA_BD[[#This Row],[Work Start TimeStamp]])*24)</f>
        <v/>
      </c>
      <c r="Q844" s="57">
        <f>(IGA_BD[[#This Row],[Fault Clearance time]]-IGA_BD[[#This Row],[Fault Start TimeStamp]])*24</f>
        <v>0</v>
      </c>
      <c r="R844" s="153"/>
      <c r="S844" s="44"/>
      <c r="T844" s="45" t="str">
        <f>IFERROR(IGA_BD[[#This Row],[Breakdown Time]]*IGA_BD[[#This Row],[Plant Equivalent Weightage]],"")</f>
        <v/>
      </c>
    </row>
    <row r="845" spans="1:20">
      <c r="A845" s="28"/>
      <c r="B845" s="154"/>
      <c r="C845" s="30">
        <f>YEAR(WTG_BD[[#This Row],[Date]])+IF(MONTH(WTG_BD[[#This Row],[Date]])&gt;=4,1,0)</f>
        <v>1900</v>
      </c>
      <c r="D845" s="31">
        <f>YEAR(IGA_BD[[#This Row],[Date]])</f>
        <v>1900</v>
      </c>
      <c r="E845" s="48">
        <f t="shared" si="15"/>
        <v>1</v>
      </c>
      <c r="F845" s="32"/>
      <c r="G845" s="33"/>
      <c r="H845" s="43" t="str">
        <f>IFERROR(VLOOKUP(IGA_BD[[#This Row],[Affected Feeder ]],'Basic Data'!$A$42:$E$53,2,0),"")</f>
        <v/>
      </c>
      <c r="I845" s="43" t="str">
        <f>IFERROR(VLOOKUP(IGA_BD[[#This Row],[Affected Feeder ]],'Basic Data'!$A$42:$E$53,3,0),"")</f>
        <v/>
      </c>
      <c r="J845" s="43" t="str">
        <f>IFERROR(VLOOKUP(IGA_BD[[#This Row],[Affected Feeder ]],'Basic Data'!$A$42:$E$53,5,0),"")</f>
        <v/>
      </c>
      <c r="K845" s="164"/>
      <c r="L845" s="50"/>
      <c r="M845" s="116"/>
      <c r="N845" s="116"/>
      <c r="O845" s="57">
        <f>(IGA_BD[[#This Row],[Work Start TimeStamp]]-IGA_BD[[#This Row],[Fault Start TimeStamp]])*24</f>
        <v>0</v>
      </c>
      <c r="P845" s="44" t="str">
        <f>IF(IGA_BD[[#This Row],[Work Start TimeStamp]]="","",(IGA_BD[[#This Row],[Fault Clearance time]]-IGA_BD[[#This Row],[Work Start TimeStamp]])*24)</f>
        <v/>
      </c>
      <c r="Q845" s="57">
        <f>(IGA_BD[[#This Row],[Fault Clearance time]]-IGA_BD[[#This Row],[Fault Start TimeStamp]])*24</f>
        <v>0</v>
      </c>
      <c r="R845" s="153"/>
      <c r="S845" s="44"/>
      <c r="T845" s="45" t="str">
        <f>IFERROR(IGA_BD[[#This Row],[Breakdown Time]]*IGA_BD[[#This Row],[Plant Equivalent Weightage]],"")</f>
        <v/>
      </c>
    </row>
    <row r="846" spans="1:20">
      <c r="A846" s="28"/>
      <c r="B846" s="154"/>
      <c r="C846" s="30">
        <f>YEAR(WTG_BD[[#This Row],[Date]])+IF(MONTH(WTG_BD[[#This Row],[Date]])&gt;=4,1,0)</f>
        <v>1900</v>
      </c>
      <c r="D846" s="31">
        <f>YEAR(IGA_BD[[#This Row],[Date]])</f>
        <v>1900</v>
      </c>
      <c r="E846" s="48">
        <f t="shared" si="15"/>
        <v>1</v>
      </c>
      <c r="F846" s="32"/>
      <c r="G846" s="33"/>
      <c r="H846" s="43" t="str">
        <f>IFERROR(VLOOKUP(IGA_BD[[#This Row],[Affected Feeder ]],'Basic Data'!$A$42:$E$53,2,0),"")</f>
        <v/>
      </c>
      <c r="I846" s="43" t="str">
        <f>IFERROR(VLOOKUP(IGA_BD[[#This Row],[Affected Feeder ]],'Basic Data'!$A$42:$E$53,3,0),"")</f>
        <v/>
      </c>
      <c r="J846" s="43" t="str">
        <f>IFERROR(VLOOKUP(IGA_BD[[#This Row],[Affected Feeder ]],'Basic Data'!$A$42:$E$53,5,0),"")</f>
        <v/>
      </c>
      <c r="K846" s="164"/>
      <c r="L846" s="50"/>
      <c r="M846" s="116"/>
      <c r="N846" s="116"/>
      <c r="O846" s="57">
        <f>(IGA_BD[[#This Row],[Work Start TimeStamp]]-IGA_BD[[#This Row],[Fault Start TimeStamp]])*24</f>
        <v>0</v>
      </c>
      <c r="P846" s="44" t="str">
        <f>IF(IGA_BD[[#This Row],[Work Start TimeStamp]]="","",(IGA_BD[[#This Row],[Fault Clearance time]]-IGA_BD[[#This Row],[Work Start TimeStamp]])*24)</f>
        <v/>
      </c>
      <c r="Q846" s="57">
        <f>(IGA_BD[[#This Row],[Fault Clearance time]]-IGA_BD[[#This Row],[Fault Start TimeStamp]])*24</f>
        <v>0</v>
      </c>
      <c r="R846" s="153"/>
      <c r="S846" s="44"/>
      <c r="T846" s="45" t="str">
        <f>IFERROR(IGA_BD[[#This Row],[Breakdown Time]]*IGA_BD[[#This Row],[Plant Equivalent Weightage]],"")</f>
        <v/>
      </c>
    </row>
    <row r="847" spans="1:20">
      <c r="A847" s="28"/>
      <c r="B847" s="154"/>
      <c r="C847" s="30">
        <f>YEAR(WTG_BD[[#This Row],[Date]])+IF(MONTH(WTG_BD[[#This Row],[Date]])&gt;=4,1,0)</f>
        <v>1900</v>
      </c>
      <c r="D847" s="31">
        <f>YEAR(IGA_BD[[#This Row],[Date]])</f>
        <v>1900</v>
      </c>
      <c r="E847" s="48">
        <f t="shared" si="15"/>
        <v>1</v>
      </c>
      <c r="F847" s="32"/>
      <c r="G847" s="33"/>
      <c r="H847" s="43" t="str">
        <f>IFERROR(VLOOKUP(IGA_BD[[#This Row],[Affected Feeder ]],'Basic Data'!$A$42:$E$53,2,0),"")</f>
        <v/>
      </c>
      <c r="I847" s="43" t="str">
        <f>IFERROR(VLOOKUP(IGA_BD[[#This Row],[Affected Feeder ]],'Basic Data'!$A$42:$E$53,3,0),"")</f>
        <v/>
      </c>
      <c r="J847" s="43" t="str">
        <f>IFERROR(VLOOKUP(IGA_BD[[#This Row],[Affected Feeder ]],'Basic Data'!$A$42:$E$53,5,0),"")</f>
        <v/>
      </c>
      <c r="K847" s="164"/>
      <c r="L847" s="50"/>
      <c r="M847" s="116"/>
      <c r="N847" s="116"/>
      <c r="O847" s="57">
        <f>(IGA_BD[[#This Row],[Work Start TimeStamp]]-IGA_BD[[#This Row],[Fault Start TimeStamp]])*24</f>
        <v>0</v>
      </c>
      <c r="P847" s="44" t="str">
        <f>IF(IGA_BD[[#This Row],[Work Start TimeStamp]]="","",(IGA_BD[[#This Row],[Fault Clearance time]]-IGA_BD[[#This Row],[Work Start TimeStamp]])*24)</f>
        <v/>
      </c>
      <c r="Q847" s="57">
        <f>(IGA_BD[[#This Row],[Fault Clearance time]]-IGA_BD[[#This Row],[Fault Start TimeStamp]])*24</f>
        <v>0</v>
      </c>
      <c r="R847" s="153"/>
      <c r="S847" s="44"/>
      <c r="T847" s="45" t="str">
        <f>IFERROR(IGA_BD[[#This Row],[Breakdown Time]]*IGA_BD[[#This Row],[Plant Equivalent Weightage]],"")</f>
        <v/>
      </c>
    </row>
    <row r="848" spans="1:20">
      <c r="A848" s="28"/>
      <c r="B848" s="154"/>
      <c r="C848" s="30">
        <f>YEAR(WTG_BD[[#This Row],[Date]])+IF(MONTH(WTG_BD[[#This Row],[Date]])&gt;=4,1,0)</f>
        <v>1900</v>
      </c>
      <c r="D848" s="31">
        <f>YEAR(IGA_BD[[#This Row],[Date]])</f>
        <v>1900</v>
      </c>
      <c r="E848" s="48">
        <f t="shared" si="15"/>
        <v>1</v>
      </c>
      <c r="F848" s="32"/>
      <c r="G848" s="33"/>
      <c r="H848" s="43" t="str">
        <f>IFERROR(VLOOKUP(IGA_BD[[#This Row],[Affected Feeder ]],'Basic Data'!$A$42:$E$53,2,0),"")</f>
        <v/>
      </c>
      <c r="I848" s="43" t="str">
        <f>IFERROR(VLOOKUP(IGA_BD[[#This Row],[Affected Feeder ]],'Basic Data'!$A$42:$E$53,3,0),"")</f>
        <v/>
      </c>
      <c r="J848" s="43" t="str">
        <f>IFERROR(VLOOKUP(IGA_BD[[#This Row],[Affected Feeder ]],'Basic Data'!$A$42:$E$53,5,0),"")</f>
        <v/>
      </c>
      <c r="K848" s="164"/>
      <c r="L848" s="50"/>
      <c r="M848" s="116"/>
      <c r="N848" s="116"/>
      <c r="O848" s="57">
        <f>(IGA_BD[[#This Row],[Work Start TimeStamp]]-IGA_BD[[#This Row],[Fault Start TimeStamp]])*24</f>
        <v>0</v>
      </c>
      <c r="P848" s="44" t="str">
        <f>IF(IGA_BD[[#This Row],[Work Start TimeStamp]]="","",(IGA_BD[[#This Row],[Fault Clearance time]]-IGA_BD[[#This Row],[Work Start TimeStamp]])*24)</f>
        <v/>
      </c>
      <c r="Q848" s="57">
        <f>(IGA_BD[[#This Row],[Fault Clearance time]]-IGA_BD[[#This Row],[Fault Start TimeStamp]])*24</f>
        <v>0</v>
      </c>
      <c r="R848" s="153"/>
      <c r="S848" s="44"/>
      <c r="T848" s="45" t="str">
        <f>IFERROR(IGA_BD[[#This Row],[Breakdown Time]]*IGA_BD[[#This Row],[Plant Equivalent Weightage]],"")</f>
        <v/>
      </c>
    </row>
    <row r="849" spans="1:20">
      <c r="A849" s="28"/>
      <c r="B849" s="154"/>
      <c r="C849" s="30">
        <f>YEAR(WTG_BD[[#This Row],[Date]])+IF(MONTH(WTG_BD[[#This Row],[Date]])&gt;=4,1,0)</f>
        <v>1900</v>
      </c>
      <c r="D849" s="31">
        <f>YEAR(IGA_BD[[#This Row],[Date]])</f>
        <v>1900</v>
      </c>
      <c r="E849" s="48">
        <f t="shared" si="15"/>
        <v>1</v>
      </c>
      <c r="F849" s="32"/>
      <c r="G849" s="33"/>
      <c r="H849" s="43" t="str">
        <f>IFERROR(VLOOKUP(IGA_BD[[#This Row],[Affected Feeder ]],'Basic Data'!$A$42:$E$53,2,0),"")</f>
        <v/>
      </c>
      <c r="I849" s="43" t="str">
        <f>IFERROR(VLOOKUP(IGA_BD[[#This Row],[Affected Feeder ]],'Basic Data'!$A$42:$E$53,3,0),"")</f>
        <v/>
      </c>
      <c r="J849" s="43" t="str">
        <f>IFERROR(VLOOKUP(IGA_BD[[#This Row],[Affected Feeder ]],'Basic Data'!$A$42:$E$53,5,0),"")</f>
        <v/>
      </c>
      <c r="K849" s="164"/>
      <c r="L849" s="50"/>
      <c r="M849" s="116"/>
      <c r="N849" s="116"/>
      <c r="O849" s="57">
        <f>(IGA_BD[[#This Row],[Work Start TimeStamp]]-IGA_BD[[#This Row],[Fault Start TimeStamp]])*24</f>
        <v>0</v>
      </c>
      <c r="P849" s="44" t="str">
        <f>IF(IGA_BD[[#This Row],[Work Start TimeStamp]]="","",(IGA_BD[[#This Row],[Fault Clearance time]]-IGA_BD[[#This Row],[Work Start TimeStamp]])*24)</f>
        <v/>
      </c>
      <c r="Q849" s="57">
        <f>(IGA_BD[[#This Row],[Fault Clearance time]]-IGA_BD[[#This Row],[Fault Start TimeStamp]])*24</f>
        <v>0</v>
      </c>
      <c r="R849" s="153"/>
      <c r="S849" s="44"/>
      <c r="T849" s="45" t="str">
        <f>IFERROR(IGA_BD[[#This Row],[Breakdown Time]]*IGA_BD[[#This Row],[Plant Equivalent Weightage]],"")</f>
        <v/>
      </c>
    </row>
    <row r="850" spans="1:20">
      <c r="A850" s="28"/>
      <c r="B850" s="154"/>
      <c r="C850" s="30">
        <f>YEAR(WTG_BD[[#This Row],[Date]])+IF(MONTH(WTG_BD[[#This Row],[Date]])&gt;=4,1,0)</f>
        <v>1900</v>
      </c>
      <c r="D850" s="31">
        <f>YEAR(IGA_BD[[#This Row],[Date]])</f>
        <v>1900</v>
      </c>
      <c r="E850" s="48">
        <f t="shared" si="15"/>
        <v>1</v>
      </c>
      <c r="F850" s="32"/>
      <c r="G850" s="33"/>
      <c r="H850" s="43" t="str">
        <f>IFERROR(VLOOKUP(IGA_BD[[#This Row],[Affected Feeder ]],'Basic Data'!$A$42:$E$53,2,0),"")</f>
        <v/>
      </c>
      <c r="I850" s="43" t="str">
        <f>IFERROR(VLOOKUP(IGA_BD[[#This Row],[Affected Feeder ]],'Basic Data'!$A$42:$E$53,3,0),"")</f>
        <v/>
      </c>
      <c r="J850" s="43" t="str">
        <f>IFERROR(VLOOKUP(IGA_BD[[#This Row],[Affected Feeder ]],'Basic Data'!$A$42:$E$53,5,0),"")</f>
        <v/>
      </c>
      <c r="K850" s="164"/>
      <c r="L850" s="50"/>
      <c r="M850" s="116"/>
      <c r="N850" s="116"/>
      <c r="O850" s="57">
        <f>(IGA_BD[[#This Row],[Work Start TimeStamp]]-IGA_BD[[#This Row],[Fault Start TimeStamp]])*24</f>
        <v>0</v>
      </c>
      <c r="P850" s="44" t="str">
        <f>IF(IGA_BD[[#This Row],[Work Start TimeStamp]]="","",(IGA_BD[[#This Row],[Fault Clearance time]]-IGA_BD[[#This Row],[Work Start TimeStamp]])*24)</f>
        <v/>
      </c>
      <c r="Q850" s="57">
        <f>(IGA_BD[[#This Row],[Fault Clearance time]]-IGA_BD[[#This Row],[Fault Start TimeStamp]])*24</f>
        <v>0</v>
      </c>
      <c r="R850" s="153"/>
      <c r="S850" s="44"/>
      <c r="T850" s="45" t="str">
        <f>IFERROR(IGA_BD[[#This Row],[Breakdown Time]]*IGA_BD[[#This Row],[Plant Equivalent Weightage]],"")</f>
        <v/>
      </c>
    </row>
    <row r="851" spans="1:20">
      <c r="A851" s="28"/>
      <c r="B851" s="154"/>
      <c r="C851" s="30">
        <f>YEAR(WTG_BD[[#This Row],[Date]])+IF(MONTH(WTG_BD[[#This Row],[Date]])&gt;=4,1,0)</f>
        <v>1900</v>
      </c>
      <c r="D851" s="31">
        <f>YEAR(IGA_BD[[#This Row],[Date]])</f>
        <v>1900</v>
      </c>
      <c r="E851" s="48">
        <f t="shared" si="15"/>
        <v>1</v>
      </c>
      <c r="F851" s="32"/>
      <c r="G851" s="33"/>
      <c r="H851" s="43" t="str">
        <f>IFERROR(VLOOKUP(IGA_BD[[#This Row],[Affected Feeder ]],'Basic Data'!$A$42:$E$53,2,0),"")</f>
        <v/>
      </c>
      <c r="I851" s="43" t="str">
        <f>IFERROR(VLOOKUP(IGA_BD[[#This Row],[Affected Feeder ]],'Basic Data'!$A$42:$E$53,3,0),"")</f>
        <v/>
      </c>
      <c r="J851" s="43" t="str">
        <f>IFERROR(VLOOKUP(IGA_BD[[#This Row],[Affected Feeder ]],'Basic Data'!$A$42:$E$53,5,0),"")</f>
        <v/>
      </c>
      <c r="K851" s="164"/>
      <c r="L851" s="50"/>
      <c r="M851" s="116"/>
      <c r="N851" s="116"/>
      <c r="O851" s="57">
        <f>(IGA_BD[[#This Row],[Work Start TimeStamp]]-IGA_BD[[#This Row],[Fault Start TimeStamp]])*24</f>
        <v>0</v>
      </c>
      <c r="P851" s="44" t="str">
        <f>IF(IGA_BD[[#This Row],[Work Start TimeStamp]]="","",(IGA_BD[[#This Row],[Fault Clearance time]]-IGA_BD[[#This Row],[Work Start TimeStamp]])*24)</f>
        <v/>
      </c>
      <c r="Q851" s="57">
        <f>(IGA_BD[[#This Row],[Fault Clearance time]]-IGA_BD[[#This Row],[Fault Start TimeStamp]])*24</f>
        <v>0</v>
      </c>
      <c r="R851" s="153"/>
      <c r="S851" s="44"/>
      <c r="T851" s="45" t="str">
        <f>IFERROR(IGA_BD[[#This Row],[Breakdown Time]]*IGA_BD[[#This Row],[Plant Equivalent Weightage]],"")</f>
        <v/>
      </c>
    </row>
    <row r="852" spans="1:20">
      <c r="A852" s="28"/>
      <c r="B852" s="154"/>
      <c r="C852" s="30">
        <f>YEAR(WTG_BD[[#This Row],[Date]])+IF(MONTH(WTG_BD[[#This Row],[Date]])&gt;=4,1,0)</f>
        <v>1900</v>
      </c>
      <c r="D852" s="31">
        <f>YEAR(IGA_BD[[#This Row],[Date]])</f>
        <v>1900</v>
      </c>
      <c r="E852" s="48">
        <f t="shared" si="15"/>
        <v>1</v>
      </c>
      <c r="F852" s="32"/>
      <c r="G852" s="33"/>
      <c r="H852" s="43" t="str">
        <f>IFERROR(VLOOKUP(IGA_BD[[#This Row],[Affected Feeder ]],'Basic Data'!$A$42:$E$53,2,0),"")</f>
        <v/>
      </c>
      <c r="I852" s="43" t="str">
        <f>IFERROR(VLOOKUP(IGA_BD[[#This Row],[Affected Feeder ]],'Basic Data'!$A$42:$E$53,3,0),"")</f>
        <v/>
      </c>
      <c r="J852" s="43" t="str">
        <f>IFERROR(VLOOKUP(IGA_BD[[#This Row],[Affected Feeder ]],'Basic Data'!$A$42:$E$53,5,0),"")</f>
        <v/>
      </c>
      <c r="K852" s="164"/>
      <c r="L852" s="50"/>
      <c r="M852" s="116"/>
      <c r="N852" s="116"/>
      <c r="O852" s="57">
        <f>(IGA_BD[[#This Row],[Work Start TimeStamp]]-IGA_BD[[#This Row],[Fault Start TimeStamp]])*24</f>
        <v>0</v>
      </c>
      <c r="P852" s="44" t="str">
        <f>IF(IGA_BD[[#This Row],[Work Start TimeStamp]]="","",(IGA_BD[[#This Row],[Fault Clearance time]]-IGA_BD[[#This Row],[Work Start TimeStamp]])*24)</f>
        <v/>
      </c>
      <c r="Q852" s="57">
        <f>(IGA_BD[[#This Row],[Fault Clearance time]]-IGA_BD[[#This Row],[Fault Start TimeStamp]])*24</f>
        <v>0</v>
      </c>
      <c r="R852" s="153"/>
      <c r="S852" s="44"/>
      <c r="T852" s="45" t="str">
        <f>IFERROR(IGA_BD[[#This Row],[Breakdown Time]]*IGA_BD[[#This Row],[Plant Equivalent Weightage]],"")</f>
        <v/>
      </c>
    </row>
    <row r="853" spans="1:20">
      <c r="A853" s="28"/>
      <c r="B853" s="154"/>
      <c r="C853" s="30">
        <f>YEAR(WTG_BD[[#This Row],[Date]])+IF(MONTH(WTG_BD[[#This Row],[Date]])&gt;=4,1,0)</f>
        <v>1900</v>
      </c>
      <c r="D853" s="31">
        <f>YEAR(IGA_BD[[#This Row],[Date]])</f>
        <v>1900</v>
      </c>
      <c r="E853" s="48">
        <f t="shared" si="15"/>
        <v>1</v>
      </c>
      <c r="F853" s="32"/>
      <c r="G853" s="33"/>
      <c r="H853" s="43" t="str">
        <f>IFERROR(VLOOKUP(IGA_BD[[#This Row],[Affected Feeder ]],'Basic Data'!$A$42:$E$53,2,0),"")</f>
        <v/>
      </c>
      <c r="I853" s="43" t="str">
        <f>IFERROR(VLOOKUP(IGA_BD[[#This Row],[Affected Feeder ]],'Basic Data'!$A$42:$E$53,3,0),"")</f>
        <v/>
      </c>
      <c r="J853" s="43" t="str">
        <f>IFERROR(VLOOKUP(IGA_BD[[#This Row],[Affected Feeder ]],'Basic Data'!$A$42:$E$53,5,0),"")</f>
        <v/>
      </c>
      <c r="K853" s="164"/>
      <c r="L853" s="50"/>
      <c r="M853" s="116"/>
      <c r="N853" s="116"/>
      <c r="O853" s="57">
        <f>(IGA_BD[[#This Row],[Work Start TimeStamp]]-IGA_BD[[#This Row],[Fault Start TimeStamp]])*24</f>
        <v>0</v>
      </c>
      <c r="P853" s="44" t="str">
        <f>IF(IGA_BD[[#This Row],[Work Start TimeStamp]]="","",(IGA_BD[[#This Row],[Fault Clearance time]]-IGA_BD[[#This Row],[Work Start TimeStamp]])*24)</f>
        <v/>
      </c>
      <c r="Q853" s="57">
        <f>(IGA_BD[[#This Row],[Fault Clearance time]]-IGA_BD[[#This Row],[Fault Start TimeStamp]])*24</f>
        <v>0</v>
      </c>
      <c r="R853" s="153"/>
      <c r="S853" s="44"/>
      <c r="T853" s="45" t="str">
        <f>IFERROR(IGA_BD[[#This Row],[Breakdown Time]]*IGA_BD[[#This Row],[Plant Equivalent Weightage]],"")</f>
        <v/>
      </c>
    </row>
    <row r="854" spans="1:20">
      <c r="A854" s="28"/>
      <c r="B854" s="154"/>
      <c r="C854" s="30">
        <f>YEAR(WTG_BD[[#This Row],[Date]])+IF(MONTH(WTG_BD[[#This Row],[Date]])&gt;=4,1,0)</f>
        <v>1900</v>
      </c>
      <c r="D854" s="31">
        <f>YEAR(IGA_BD[[#This Row],[Date]])</f>
        <v>1900</v>
      </c>
      <c r="E854" s="48">
        <f t="shared" si="15"/>
        <v>1</v>
      </c>
      <c r="F854" s="32"/>
      <c r="G854" s="33"/>
      <c r="H854" s="43" t="str">
        <f>IFERROR(VLOOKUP(IGA_BD[[#This Row],[Affected Feeder ]],'Basic Data'!$A$42:$E$53,2,0),"")</f>
        <v/>
      </c>
      <c r="I854" s="43" t="str">
        <f>IFERROR(VLOOKUP(IGA_BD[[#This Row],[Affected Feeder ]],'Basic Data'!$A$42:$E$53,3,0),"")</f>
        <v/>
      </c>
      <c r="J854" s="43" t="str">
        <f>IFERROR(VLOOKUP(IGA_BD[[#This Row],[Affected Feeder ]],'Basic Data'!$A$42:$E$53,5,0),"")</f>
        <v/>
      </c>
      <c r="K854" s="164"/>
      <c r="L854" s="50"/>
      <c r="M854" s="116"/>
      <c r="N854" s="116"/>
      <c r="O854" s="57">
        <f>(IGA_BD[[#This Row],[Work Start TimeStamp]]-IGA_BD[[#This Row],[Fault Start TimeStamp]])*24</f>
        <v>0</v>
      </c>
      <c r="P854" s="44" t="str">
        <f>IF(IGA_BD[[#This Row],[Work Start TimeStamp]]="","",(IGA_BD[[#This Row],[Fault Clearance time]]-IGA_BD[[#This Row],[Work Start TimeStamp]])*24)</f>
        <v/>
      </c>
      <c r="Q854" s="57">
        <f>(IGA_BD[[#This Row],[Fault Clearance time]]-IGA_BD[[#This Row],[Fault Start TimeStamp]])*24</f>
        <v>0</v>
      </c>
      <c r="R854" s="153"/>
      <c r="S854" s="44"/>
      <c r="T854" s="45" t="str">
        <f>IFERROR(IGA_BD[[#This Row],[Breakdown Time]]*IGA_BD[[#This Row],[Plant Equivalent Weightage]],"")</f>
        <v/>
      </c>
    </row>
    <row r="855" spans="1:20">
      <c r="A855" s="28"/>
      <c r="B855" s="154"/>
      <c r="C855" s="30">
        <f>YEAR(WTG_BD[[#This Row],[Date]])+IF(MONTH(WTG_BD[[#This Row],[Date]])&gt;=4,1,0)</f>
        <v>1900</v>
      </c>
      <c r="D855" s="31">
        <f>YEAR(IGA_BD[[#This Row],[Date]])</f>
        <v>1900</v>
      </c>
      <c r="E855" s="48">
        <f t="shared" si="15"/>
        <v>1</v>
      </c>
      <c r="F855" s="32"/>
      <c r="G855" s="33"/>
      <c r="H855" s="43" t="str">
        <f>IFERROR(VLOOKUP(IGA_BD[[#This Row],[Affected Feeder ]],'Basic Data'!$A$42:$E$53,2,0),"")</f>
        <v/>
      </c>
      <c r="I855" s="43" t="str">
        <f>IFERROR(VLOOKUP(IGA_BD[[#This Row],[Affected Feeder ]],'Basic Data'!$A$42:$E$53,3,0),"")</f>
        <v/>
      </c>
      <c r="J855" s="43" t="str">
        <f>IFERROR(VLOOKUP(IGA_BD[[#This Row],[Affected Feeder ]],'Basic Data'!$A$42:$E$53,5,0),"")</f>
        <v/>
      </c>
      <c r="K855" s="164"/>
      <c r="L855" s="50"/>
      <c r="M855" s="116"/>
      <c r="N855" s="116"/>
      <c r="O855" s="57">
        <f>(IGA_BD[[#This Row],[Work Start TimeStamp]]-IGA_BD[[#This Row],[Fault Start TimeStamp]])*24</f>
        <v>0</v>
      </c>
      <c r="P855" s="44" t="str">
        <f>IF(IGA_BD[[#This Row],[Work Start TimeStamp]]="","",(IGA_BD[[#This Row],[Fault Clearance time]]-IGA_BD[[#This Row],[Work Start TimeStamp]])*24)</f>
        <v/>
      </c>
      <c r="Q855" s="57">
        <f>(IGA_BD[[#This Row],[Fault Clearance time]]-IGA_BD[[#This Row],[Fault Start TimeStamp]])*24</f>
        <v>0</v>
      </c>
      <c r="R855" s="153"/>
      <c r="S855" s="44"/>
      <c r="T855" s="45" t="str">
        <f>IFERROR(IGA_BD[[#This Row],[Breakdown Time]]*IGA_BD[[#This Row],[Plant Equivalent Weightage]],"")</f>
        <v/>
      </c>
    </row>
    <row r="856" spans="1:20">
      <c r="A856" s="28"/>
      <c r="B856" s="154"/>
      <c r="C856" s="30">
        <f>YEAR(WTG_BD[[#This Row],[Date]])+IF(MONTH(WTG_BD[[#This Row],[Date]])&gt;=4,1,0)</f>
        <v>1900</v>
      </c>
      <c r="D856" s="31">
        <f>YEAR(IGA_BD[[#This Row],[Date]])</f>
        <v>1900</v>
      </c>
      <c r="E856" s="48">
        <f t="shared" si="15"/>
        <v>1</v>
      </c>
      <c r="F856" s="32"/>
      <c r="G856" s="33"/>
      <c r="H856" s="43" t="str">
        <f>IFERROR(VLOOKUP(IGA_BD[[#This Row],[Affected Feeder ]],'Basic Data'!$A$42:$E$53,2,0),"")</f>
        <v/>
      </c>
      <c r="I856" s="43" t="str">
        <f>IFERROR(VLOOKUP(IGA_BD[[#This Row],[Affected Feeder ]],'Basic Data'!$A$42:$E$53,3,0),"")</f>
        <v/>
      </c>
      <c r="J856" s="43" t="str">
        <f>IFERROR(VLOOKUP(IGA_BD[[#This Row],[Affected Feeder ]],'Basic Data'!$A$42:$E$53,5,0),"")</f>
        <v/>
      </c>
      <c r="K856" s="164"/>
      <c r="L856" s="50"/>
      <c r="M856" s="116"/>
      <c r="N856" s="116"/>
      <c r="O856" s="57">
        <f>(IGA_BD[[#This Row],[Work Start TimeStamp]]-IGA_BD[[#This Row],[Fault Start TimeStamp]])*24</f>
        <v>0</v>
      </c>
      <c r="P856" s="44" t="str">
        <f>IF(IGA_BD[[#This Row],[Work Start TimeStamp]]="","",(IGA_BD[[#This Row],[Fault Clearance time]]-IGA_BD[[#This Row],[Work Start TimeStamp]])*24)</f>
        <v/>
      </c>
      <c r="Q856" s="57">
        <f>(IGA_BD[[#This Row],[Fault Clearance time]]-IGA_BD[[#This Row],[Fault Start TimeStamp]])*24</f>
        <v>0</v>
      </c>
      <c r="R856" s="153"/>
      <c r="S856" s="44"/>
      <c r="T856" s="45" t="str">
        <f>IFERROR(IGA_BD[[#This Row],[Breakdown Time]]*IGA_BD[[#This Row],[Plant Equivalent Weightage]],"")</f>
        <v/>
      </c>
    </row>
    <row r="857" spans="1:20">
      <c r="A857" s="28"/>
      <c r="B857" s="154"/>
      <c r="C857" s="30">
        <f>YEAR(WTG_BD[[#This Row],[Date]])+IF(MONTH(WTG_BD[[#This Row],[Date]])&gt;=4,1,0)</f>
        <v>1900</v>
      </c>
      <c r="D857" s="31">
        <f>YEAR(IGA_BD[[#This Row],[Date]])</f>
        <v>1900</v>
      </c>
      <c r="E857" s="48">
        <f t="shared" si="15"/>
        <v>1</v>
      </c>
      <c r="F857" s="32"/>
      <c r="G857" s="33"/>
      <c r="H857" s="43" t="str">
        <f>IFERROR(VLOOKUP(IGA_BD[[#This Row],[Affected Feeder ]],'Basic Data'!$A$42:$E$53,2,0),"")</f>
        <v/>
      </c>
      <c r="I857" s="43" t="str">
        <f>IFERROR(VLOOKUP(IGA_BD[[#This Row],[Affected Feeder ]],'Basic Data'!$A$42:$E$53,3,0),"")</f>
        <v/>
      </c>
      <c r="J857" s="43" t="str">
        <f>IFERROR(VLOOKUP(IGA_BD[[#This Row],[Affected Feeder ]],'Basic Data'!$A$42:$E$53,5,0),"")</f>
        <v/>
      </c>
      <c r="K857" s="164"/>
      <c r="L857" s="50"/>
      <c r="M857" s="116"/>
      <c r="N857" s="116"/>
      <c r="O857" s="57">
        <f>(IGA_BD[[#This Row],[Work Start TimeStamp]]-IGA_BD[[#This Row],[Fault Start TimeStamp]])*24</f>
        <v>0</v>
      </c>
      <c r="P857" s="44" t="str">
        <f>IF(IGA_BD[[#This Row],[Work Start TimeStamp]]="","",(IGA_BD[[#This Row],[Fault Clearance time]]-IGA_BD[[#This Row],[Work Start TimeStamp]])*24)</f>
        <v/>
      </c>
      <c r="Q857" s="57">
        <f>(IGA_BD[[#This Row],[Fault Clearance time]]-IGA_BD[[#This Row],[Fault Start TimeStamp]])*24</f>
        <v>0</v>
      </c>
      <c r="R857" s="153"/>
      <c r="S857" s="44"/>
      <c r="T857" s="45" t="str">
        <f>IFERROR(IGA_BD[[#This Row],[Breakdown Time]]*IGA_BD[[#This Row],[Plant Equivalent Weightage]],"")</f>
        <v/>
      </c>
    </row>
    <row r="858" spans="1:20">
      <c r="A858" s="28"/>
      <c r="B858" s="154"/>
      <c r="C858" s="30">
        <f>YEAR(WTG_BD[[#This Row],[Date]])+IF(MONTH(WTG_BD[[#This Row],[Date]])&gt;=4,1,0)</f>
        <v>1900</v>
      </c>
      <c r="D858" s="31">
        <f>YEAR(IGA_BD[[#This Row],[Date]])</f>
        <v>1900</v>
      </c>
      <c r="E858" s="48">
        <f t="shared" si="15"/>
        <v>1</v>
      </c>
      <c r="F858" s="32"/>
      <c r="G858" s="33"/>
      <c r="H858" s="43" t="str">
        <f>IFERROR(VLOOKUP(IGA_BD[[#This Row],[Affected Feeder ]],'Basic Data'!$A$42:$E$53,2,0),"")</f>
        <v/>
      </c>
      <c r="I858" s="43" t="str">
        <f>IFERROR(VLOOKUP(IGA_BD[[#This Row],[Affected Feeder ]],'Basic Data'!$A$42:$E$53,3,0),"")</f>
        <v/>
      </c>
      <c r="J858" s="43" t="str">
        <f>IFERROR(VLOOKUP(IGA_BD[[#This Row],[Affected Feeder ]],'Basic Data'!$A$42:$E$53,5,0),"")</f>
        <v/>
      </c>
      <c r="K858" s="164"/>
      <c r="L858" s="50"/>
      <c r="M858" s="116"/>
      <c r="N858" s="116"/>
      <c r="O858" s="57">
        <f>(IGA_BD[[#This Row],[Work Start TimeStamp]]-IGA_BD[[#This Row],[Fault Start TimeStamp]])*24</f>
        <v>0</v>
      </c>
      <c r="P858" s="44" t="str">
        <f>IF(IGA_BD[[#This Row],[Work Start TimeStamp]]="","",(IGA_BD[[#This Row],[Fault Clearance time]]-IGA_BD[[#This Row],[Work Start TimeStamp]])*24)</f>
        <v/>
      </c>
      <c r="Q858" s="57">
        <f>(IGA_BD[[#This Row],[Fault Clearance time]]-IGA_BD[[#This Row],[Fault Start TimeStamp]])*24</f>
        <v>0</v>
      </c>
      <c r="R858" s="153"/>
      <c r="S858" s="44"/>
      <c r="T858" s="45" t="str">
        <f>IFERROR(IGA_BD[[#This Row],[Breakdown Time]]*IGA_BD[[#This Row],[Plant Equivalent Weightage]],"")</f>
        <v/>
      </c>
    </row>
    <row r="859" spans="1:20">
      <c r="A859" s="28"/>
      <c r="B859" s="154"/>
      <c r="C859" s="30">
        <f>YEAR(WTG_BD[[#This Row],[Date]])+IF(MONTH(WTG_BD[[#This Row],[Date]])&gt;=4,1,0)</f>
        <v>1900</v>
      </c>
      <c r="D859" s="31">
        <f>YEAR(IGA_BD[[#This Row],[Date]])</f>
        <v>1900</v>
      </c>
      <c r="E859" s="48">
        <f t="shared" si="15"/>
        <v>1</v>
      </c>
      <c r="F859" s="32"/>
      <c r="G859" s="33"/>
      <c r="H859" s="43" t="str">
        <f>IFERROR(VLOOKUP(IGA_BD[[#This Row],[Affected Feeder ]],'Basic Data'!$A$42:$E$53,2,0),"")</f>
        <v/>
      </c>
      <c r="I859" s="43" t="str">
        <f>IFERROR(VLOOKUP(IGA_BD[[#This Row],[Affected Feeder ]],'Basic Data'!$A$42:$E$53,3,0),"")</f>
        <v/>
      </c>
      <c r="J859" s="43" t="str">
        <f>IFERROR(VLOOKUP(IGA_BD[[#This Row],[Affected Feeder ]],'Basic Data'!$A$42:$E$53,5,0),"")</f>
        <v/>
      </c>
      <c r="K859" s="164"/>
      <c r="L859" s="50"/>
      <c r="M859" s="116"/>
      <c r="N859" s="116"/>
      <c r="O859" s="57">
        <f>(IGA_BD[[#This Row],[Work Start TimeStamp]]-IGA_BD[[#This Row],[Fault Start TimeStamp]])*24</f>
        <v>0</v>
      </c>
      <c r="P859" s="44" t="str">
        <f>IF(IGA_BD[[#This Row],[Work Start TimeStamp]]="","",(IGA_BD[[#This Row],[Fault Clearance time]]-IGA_BD[[#This Row],[Work Start TimeStamp]])*24)</f>
        <v/>
      </c>
      <c r="Q859" s="57">
        <f>(IGA_BD[[#This Row],[Fault Clearance time]]-IGA_BD[[#This Row],[Fault Start TimeStamp]])*24</f>
        <v>0</v>
      </c>
      <c r="R859" s="153"/>
      <c r="S859" s="44"/>
      <c r="T859" s="45" t="str">
        <f>IFERROR(IGA_BD[[#This Row],[Breakdown Time]]*IGA_BD[[#This Row],[Plant Equivalent Weightage]],"")</f>
        <v/>
      </c>
    </row>
    <row r="860" spans="1:20">
      <c r="A860" s="28"/>
      <c r="B860" s="154"/>
      <c r="C860" s="30">
        <f>YEAR(WTG_BD[[#This Row],[Date]])+IF(MONTH(WTG_BD[[#This Row],[Date]])&gt;=4,1,0)</f>
        <v>1900</v>
      </c>
      <c r="D860" s="31">
        <f>YEAR(IGA_BD[[#This Row],[Date]])</f>
        <v>1900</v>
      </c>
      <c r="E860" s="48">
        <f t="shared" ref="E860:E923" si="16">B860-DAY(B860)+1</f>
        <v>1</v>
      </c>
      <c r="F860" s="32"/>
      <c r="G860" s="33"/>
      <c r="H860" s="43" t="str">
        <f>IFERROR(VLOOKUP(IGA_BD[[#This Row],[Affected Feeder ]],'Basic Data'!$A$42:$E$53,2,0),"")</f>
        <v/>
      </c>
      <c r="I860" s="43" t="str">
        <f>IFERROR(VLOOKUP(IGA_BD[[#This Row],[Affected Feeder ]],'Basic Data'!$A$42:$E$53,3,0),"")</f>
        <v/>
      </c>
      <c r="J860" s="43" t="str">
        <f>IFERROR(VLOOKUP(IGA_BD[[#This Row],[Affected Feeder ]],'Basic Data'!$A$42:$E$53,5,0),"")</f>
        <v/>
      </c>
      <c r="K860" s="164"/>
      <c r="L860" s="50"/>
      <c r="M860" s="116"/>
      <c r="N860" s="116"/>
      <c r="O860" s="57">
        <f>(IGA_BD[[#This Row],[Work Start TimeStamp]]-IGA_BD[[#This Row],[Fault Start TimeStamp]])*24</f>
        <v>0</v>
      </c>
      <c r="P860" s="44" t="str">
        <f>IF(IGA_BD[[#This Row],[Work Start TimeStamp]]="","",(IGA_BD[[#This Row],[Fault Clearance time]]-IGA_BD[[#This Row],[Work Start TimeStamp]])*24)</f>
        <v/>
      </c>
      <c r="Q860" s="57">
        <f>(IGA_BD[[#This Row],[Fault Clearance time]]-IGA_BD[[#This Row],[Fault Start TimeStamp]])*24</f>
        <v>0</v>
      </c>
      <c r="R860" s="153"/>
      <c r="S860" s="44"/>
      <c r="T860" s="45" t="str">
        <f>IFERROR(IGA_BD[[#This Row],[Breakdown Time]]*IGA_BD[[#This Row],[Plant Equivalent Weightage]],"")</f>
        <v/>
      </c>
    </row>
    <row r="861" spans="1:20">
      <c r="A861" s="28"/>
      <c r="B861" s="154"/>
      <c r="C861" s="30">
        <f>YEAR(WTG_BD[[#This Row],[Date]])+IF(MONTH(WTG_BD[[#This Row],[Date]])&gt;=4,1,0)</f>
        <v>1900</v>
      </c>
      <c r="D861" s="31">
        <f>YEAR(IGA_BD[[#This Row],[Date]])</f>
        <v>1900</v>
      </c>
      <c r="E861" s="48">
        <f t="shared" si="16"/>
        <v>1</v>
      </c>
      <c r="F861" s="32"/>
      <c r="G861" s="33"/>
      <c r="H861" s="43" t="str">
        <f>IFERROR(VLOOKUP(IGA_BD[[#This Row],[Affected Feeder ]],'Basic Data'!$A$42:$E$53,2,0),"")</f>
        <v/>
      </c>
      <c r="I861" s="43" t="str">
        <f>IFERROR(VLOOKUP(IGA_BD[[#This Row],[Affected Feeder ]],'Basic Data'!$A$42:$E$53,3,0),"")</f>
        <v/>
      </c>
      <c r="J861" s="43" t="str">
        <f>IFERROR(VLOOKUP(IGA_BD[[#This Row],[Affected Feeder ]],'Basic Data'!$A$42:$E$53,5,0),"")</f>
        <v/>
      </c>
      <c r="K861" s="164"/>
      <c r="L861" s="50"/>
      <c r="M861" s="116"/>
      <c r="N861" s="116"/>
      <c r="O861" s="57">
        <f>(IGA_BD[[#This Row],[Work Start TimeStamp]]-IGA_BD[[#This Row],[Fault Start TimeStamp]])*24</f>
        <v>0</v>
      </c>
      <c r="P861" s="44" t="str">
        <f>IF(IGA_BD[[#This Row],[Work Start TimeStamp]]="","",(IGA_BD[[#This Row],[Fault Clearance time]]-IGA_BD[[#This Row],[Work Start TimeStamp]])*24)</f>
        <v/>
      </c>
      <c r="Q861" s="57">
        <f>(IGA_BD[[#This Row],[Fault Clearance time]]-IGA_BD[[#This Row],[Fault Start TimeStamp]])*24</f>
        <v>0</v>
      </c>
      <c r="R861" s="153"/>
      <c r="S861" s="44"/>
      <c r="T861" s="45" t="str">
        <f>IFERROR(IGA_BD[[#This Row],[Breakdown Time]]*IGA_BD[[#This Row],[Plant Equivalent Weightage]],"")</f>
        <v/>
      </c>
    </row>
    <row r="862" spans="1:20">
      <c r="A862" s="28"/>
      <c r="B862" s="154"/>
      <c r="C862" s="30">
        <f>YEAR(WTG_BD[[#This Row],[Date]])+IF(MONTH(WTG_BD[[#This Row],[Date]])&gt;=4,1,0)</f>
        <v>1900</v>
      </c>
      <c r="D862" s="31">
        <f>YEAR(IGA_BD[[#This Row],[Date]])</f>
        <v>1900</v>
      </c>
      <c r="E862" s="48">
        <f t="shared" si="16"/>
        <v>1</v>
      </c>
      <c r="F862" s="32"/>
      <c r="G862" s="33"/>
      <c r="H862" s="43" t="str">
        <f>IFERROR(VLOOKUP(IGA_BD[[#This Row],[Affected Feeder ]],'Basic Data'!$A$42:$E$53,2,0),"")</f>
        <v/>
      </c>
      <c r="I862" s="43" t="str">
        <f>IFERROR(VLOOKUP(IGA_BD[[#This Row],[Affected Feeder ]],'Basic Data'!$A$42:$E$53,3,0),"")</f>
        <v/>
      </c>
      <c r="J862" s="43" t="str">
        <f>IFERROR(VLOOKUP(IGA_BD[[#This Row],[Affected Feeder ]],'Basic Data'!$A$42:$E$53,5,0),"")</f>
        <v/>
      </c>
      <c r="K862" s="164"/>
      <c r="L862" s="50"/>
      <c r="M862" s="116"/>
      <c r="N862" s="116"/>
      <c r="O862" s="57">
        <f>(IGA_BD[[#This Row],[Work Start TimeStamp]]-IGA_BD[[#This Row],[Fault Start TimeStamp]])*24</f>
        <v>0</v>
      </c>
      <c r="P862" s="44" t="str">
        <f>IF(IGA_BD[[#This Row],[Work Start TimeStamp]]="","",(IGA_BD[[#This Row],[Fault Clearance time]]-IGA_BD[[#This Row],[Work Start TimeStamp]])*24)</f>
        <v/>
      </c>
      <c r="Q862" s="57">
        <f>(IGA_BD[[#This Row],[Fault Clearance time]]-IGA_BD[[#This Row],[Fault Start TimeStamp]])*24</f>
        <v>0</v>
      </c>
      <c r="R862" s="153"/>
      <c r="S862" s="44"/>
      <c r="T862" s="45" t="str">
        <f>IFERROR(IGA_BD[[#This Row],[Breakdown Time]]*IGA_BD[[#This Row],[Plant Equivalent Weightage]],"")</f>
        <v/>
      </c>
    </row>
    <row r="863" spans="1:20">
      <c r="A863" s="28"/>
      <c r="B863" s="154"/>
      <c r="C863" s="30">
        <f>YEAR(WTG_BD[[#This Row],[Date]])+IF(MONTH(WTG_BD[[#This Row],[Date]])&gt;=4,1,0)</f>
        <v>1900</v>
      </c>
      <c r="D863" s="31">
        <f>YEAR(IGA_BD[[#This Row],[Date]])</f>
        <v>1900</v>
      </c>
      <c r="E863" s="48">
        <f t="shared" si="16"/>
        <v>1</v>
      </c>
      <c r="F863" s="32"/>
      <c r="G863" s="33"/>
      <c r="H863" s="43" t="str">
        <f>IFERROR(VLOOKUP(IGA_BD[[#This Row],[Affected Feeder ]],'Basic Data'!$A$42:$E$53,2,0),"")</f>
        <v/>
      </c>
      <c r="I863" s="43" t="str">
        <f>IFERROR(VLOOKUP(IGA_BD[[#This Row],[Affected Feeder ]],'Basic Data'!$A$42:$E$53,3,0),"")</f>
        <v/>
      </c>
      <c r="J863" s="43" t="str">
        <f>IFERROR(VLOOKUP(IGA_BD[[#This Row],[Affected Feeder ]],'Basic Data'!$A$42:$E$53,5,0),"")</f>
        <v/>
      </c>
      <c r="K863" s="164"/>
      <c r="L863" s="50"/>
      <c r="M863" s="116"/>
      <c r="N863" s="116"/>
      <c r="O863" s="57">
        <f>(IGA_BD[[#This Row],[Work Start TimeStamp]]-IGA_BD[[#This Row],[Fault Start TimeStamp]])*24</f>
        <v>0</v>
      </c>
      <c r="P863" s="44" t="str">
        <f>IF(IGA_BD[[#This Row],[Work Start TimeStamp]]="","",(IGA_BD[[#This Row],[Fault Clearance time]]-IGA_BD[[#This Row],[Work Start TimeStamp]])*24)</f>
        <v/>
      </c>
      <c r="Q863" s="57">
        <f>(IGA_BD[[#This Row],[Fault Clearance time]]-IGA_BD[[#This Row],[Fault Start TimeStamp]])*24</f>
        <v>0</v>
      </c>
      <c r="R863" s="153"/>
      <c r="S863" s="44"/>
      <c r="T863" s="45" t="str">
        <f>IFERROR(IGA_BD[[#This Row],[Breakdown Time]]*IGA_BD[[#This Row],[Plant Equivalent Weightage]],"")</f>
        <v/>
      </c>
    </row>
    <row r="864" spans="1:20">
      <c r="A864" s="28"/>
      <c r="B864" s="154"/>
      <c r="C864" s="30">
        <f>YEAR(WTG_BD[[#This Row],[Date]])+IF(MONTH(WTG_BD[[#This Row],[Date]])&gt;=4,1,0)</f>
        <v>1900</v>
      </c>
      <c r="D864" s="31">
        <f>YEAR(IGA_BD[[#This Row],[Date]])</f>
        <v>1900</v>
      </c>
      <c r="E864" s="48">
        <f t="shared" si="16"/>
        <v>1</v>
      </c>
      <c r="F864" s="32"/>
      <c r="G864" s="33"/>
      <c r="H864" s="43" t="str">
        <f>IFERROR(VLOOKUP(IGA_BD[[#This Row],[Affected Feeder ]],'Basic Data'!$A$42:$E$53,2,0),"")</f>
        <v/>
      </c>
      <c r="I864" s="43" t="str">
        <f>IFERROR(VLOOKUP(IGA_BD[[#This Row],[Affected Feeder ]],'Basic Data'!$A$42:$E$53,3,0),"")</f>
        <v/>
      </c>
      <c r="J864" s="43" t="str">
        <f>IFERROR(VLOOKUP(IGA_BD[[#This Row],[Affected Feeder ]],'Basic Data'!$A$42:$E$53,5,0),"")</f>
        <v/>
      </c>
      <c r="K864" s="164"/>
      <c r="L864" s="50"/>
      <c r="M864" s="116"/>
      <c r="N864" s="116"/>
      <c r="O864" s="57">
        <f>(IGA_BD[[#This Row],[Work Start TimeStamp]]-IGA_BD[[#This Row],[Fault Start TimeStamp]])*24</f>
        <v>0</v>
      </c>
      <c r="P864" s="44" t="str">
        <f>IF(IGA_BD[[#This Row],[Work Start TimeStamp]]="","",(IGA_BD[[#This Row],[Fault Clearance time]]-IGA_BD[[#This Row],[Work Start TimeStamp]])*24)</f>
        <v/>
      </c>
      <c r="Q864" s="57">
        <f>(IGA_BD[[#This Row],[Fault Clearance time]]-IGA_BD[[#This Row],[Fault Start TimeStamp]])*24</f>
        <v>0</v>
      </c>
      <c r="R864" s="153"/>
      <c r="S864" s="44"/>
      <c r="T864" s="45" t="str">
        <f>IFERROR(IGA_BD[[#This Row],[Breakdown Time]]*IGA_BD[[#This Row],[Plant Equivalent Weightage]],"")</f>
        <v/>
      </c>
    </row>
    <row r="865" spans="1:20">
      <c r="A865" s="28"/>
      <c r="B865" s="154"/>
      <c r="C865" s="30">
        <f>YEAR(WTG_BD[[#This Row],[Date]])+IF(MONTH(WTG_BD[[#This Row],[Date]])&gt;=4,1,0)</f>
        <v>1900</v>
      </c>
      <c r="D865" s="31">
        <f>YEAR(IGA_BD[[#This Row],[Date]])</f>
        <v>1900</v>
      </c>
      <c r="E865" s="48">
        <f t="shared" si="16"/>
        <v>1</v>
      </c>
      <c r="F865" s="32"/>
      <c r="G865" s="33"/>
      <c r="H865" s="43" t="str">
        <f>IFERROR(VLOOKUP(IGA_BD[[#This Row],[Affected Feeder ]],'Basic Data'!$A$42:$E$53,2,0),"")</f>
        <v/>
      </c>
      <c r="I865" s="43" t="str">
        <f>IFERROR(VLOOKUP(IGA_BD[[#This Row],[Affected Feeder ]],'Basic Data'!$A$42:$E$53,3,0),"")</f>
        <v/>
      </c>
      <c r="J865" s="43" t="str">
        <f>IFERROR(VLOOKUP(IGA_BD[[#This Row],[Affected Feeder ]],'Basic Data'!$A$42:$E$53,5,0),"")</f>
        <v/>
      </c>
      <c r="K865" s="164"/>
      <c r="L865" s="50"/>
      <c r="M865" s="116"/>
      <c r="N865" s="116"/>
      <c r="O865" s="57">
        <f>(IGA_BD[[#This Row],[Work Start TimeStamp]]-IGA_BD[[#This Row],[Fault Start TimeStamp]])*24</f>
        <v>0</v>
      </c>
      <c r="P865" s="44" t="str">
        <f>IF(IGA_BD[[#This Row],[Work Start TimeStamp]]="","",(IGA_BD[[#This Row],[Fault Clearance time]]-IGA_BD[[#This Row],[Work Start TimeStamp]])*24)</f>
        <v/>
      </c>
      <c r="Q865" s="57">
        <f>(IGA_BD[[#This Row],[Fault Clearance time]]-IGA_BD[[#This Row],[Fault Start TimeStamp]])*24</f>
        <v>0</v>
      </c>
      <c r="R865" s="153"/>
      <c r="S865" s="44"/>
      <c r="T865" s="45" t="str">
        <f>IFERROR(IGA_BD[[#This Row],[Breakdown Time]]*IGA_BD[[#This Row],[Plant Equivalent Weightage]],"")</f>
        <v/>
      </c>
    </row>
    <row r="866" spans="1:20">
      <c r="A866" s="28"/>
      <c r="B866" s="154"/>
      <c r="C866" s="30">
        <f>YEAR(WTG_BD[[#This Row],[Date]])+IF(MONTH(WTG_BD[[#This Row],[Date]])&gt;=4,1,0)</f>
        <v>1900</v>
      </c>
      <c r="D866" s="31">
        <f>YEAR(IGA_BD[[#This Row],[Date]])</f>
        <v>1900</v>
      </c>
      <c r="E866" s="48">
        <f t="shared" si="16"/>
        <v>1</v>
      </c>
      <c r="F866" s="32"/>
      <c r="G866" s="33"/>
      <c r="H866" s="43" t="str">
        <f>IFERROR(VLOOKUP(IGA_BD[[#This Row],[Affected Feeder ]],'Basic Data'!$A$42:$E$53,2,0),"")</f>
        <v/>
      </c>
      <c r="I866" s="43" t="str">
        <f>IFERROR(VLOOKUP(IGA_BD[[#This Row],[Affected Feeder ]],'Basic Data'!$A$42:$E$53,3,0),"")</f>
        <v/>
      </c>
      <c r="J866" s="43" t="str">
        <f>IFERROR(VLOOKUP(IGA_BD[[#This Row],[Affected Feeder ]],'Basic Data'!$A$42:$E$53,5,0),"")</f>
        <v/>
      </c>
      <c r="K866" s="164"/>
      <c r="L866" s="50"/>
      <c r="M866" s="116"/>
      <c r="N866" s="116"/>
      <c r="O866" s="57">
        <f>(IGA_BD[[#This Row],[Work Start TimeStamp]]-IGA_BD[[#This Row],[Fault Start TimeStamp]])*24</f>
        <v>0</v>
      </c>
      <c r="P866" s="44" t="str">
        <f>IF(IGA_BD[[#This Row],[Work Start TimeStamp]]="","",(IGA_BD[[#This Row],[Fault Clearance time]]-IGA_BD[[#This Row],[Work Start TimeStamp]])*24)</f>
        <v/>
      </c>
      <c r="Q866" s="57">
        <f>(IGA_BD[[#This Row],[Fault Clearance time]]-IGA_BD[[#This Row],[Fault Start TimeStamp]])*24</f>
        <v>0</v>
      </c>
      <c r="R866" s="153"/>
      <c r="S866" s="44"/>
      <c r="T866" s="45" t="str">
        <f>IFERROR(IGA_BD[[#This Row],[Breakdown Time]]*IGA_BD[[#This Row],[Plant Equivalent Weightage]],"")</f>
        <v/>
      </c>
    </row>
    <row r="867" spans="1:20">
      <c r="A867" s="28"/>
      <c r="B867" s="154"/>
      <c r="C867" s="30">
        <f>YEAR(WTG_BD[[#This Row],[Date]])+IF(MONTH(WTG_BD[[#This Row],[Date]])&gt;=4,1,0)</f>
        <v>1900</v>
      </c>
      <c r="D867" s="31">
        <f>YEAR(IGA_BD[[#This Row],[Date]])</f>
        <v>1900</v>
      </c>
      <c r="E867" s="48">
        <f t="shared" si="16"/>
        <v>1</v>
      </c>
      <c r="F867" s="32"/>
      <c r="G867" s="33"/>
      <c r="H867" s="43" t="str">
        <f>IFERROR(VLOOKUP(IGA_BD[[#This Row],[Affected Feeder ]],'Basic Data'!$A$42:$E$53,2,0),"")</f>
        <v/>
      </c>
      <c r="I867" s="43" t="str">
        <f>IFERROR(VLOOKUP(IGA_BD[[#This Row],[Affected Feeder ]],'Basic Data'!$A$42:$E$53,3,0),"")</f>
        <v/>
      </c>
      <c r="J867" s="43" t="str">
        <f>IFERROR(VLOOKUP(IGA_BD[[#This Row],[Affected Feeder ]],'Basic Data'!$A$42:$E$53,5,0),"")</f>
        <v/>
      </c>
      <c r="K867" s="164"/>
      <c r="L867" s="50"/>
      <c r="M867" s="116"/>
      <c r="N867" s="116"/>
      <c r="O867" s="57">
        <f>(IGA_BD[[#This Row],[Work Start TimeStamp]]-IGA_BD[[#This Row],[Fault Start TimeStamp]])*24</f>
        <v>0</v>
      </c>
      <c r="P867" s="44" t="str">
        <f>IF(IGA_BD[[#This Row],[Work Start TimeStamp]]="","",(IGA_BD[[#This Row],[Fault Clearance time]]-IGA_BD[[#This Row],[Work Start TimeStamp]])*24)</f>
        <v/>
      </c>
      <c r="Q867" s="57">
        <f>(IGA_BD[[#This Row],[Fault Clearance time]]-IGA_BD[[#This Row],[Fault Start TimeStamp]])*24</f>
        <v>0</v>
      </c>
      <c r="R867" s="153"/>
      <c r="S867" s="44"/>
      <c r="T867" s="45" t="str">
        <f>IFERROR(IGA_BD[[#This Row],[Breakdown Time]]*IGA_BD[[#This Row],[Plant Equivalent Weightage]],"")</f>
        <v/>
      </c>
    </row>
    <row r="868" spans="1:20">
      <c r="A868" s="28"/>
      <c r="B868" s="154"/>
      <c r="C868" s="30">
        <f>YEAR(WTG_BD[[#This Row],[Date]])+IF(MONTH(WTG_BD[[#This Row],[Date]])&gt;=4,1,0)</f>
        <v>1900</v>
      </c>
      <c r="D868" s="31">
        <f>YEAR(IGA_BD[[#This Row],[Date]])</f>
        <v>1900</v>
      </c>
      <c r="E868" s="48">
        <f t="shared" si="16"/>
        <v>1</v>
      </c>
      <c r="F868" s="32"/>
      <c r="G868" s="33"/>
      <c r="H868" s="43" t="str">
        <f>IFERROR(VLOOKUP(IGA_BD[[#This Row],[Affected Feeder ]],'Basic Data'!$A$42:$E$53,2,0),"")</f>
        <v/>
      </c>
      <c r="I868" s="43" t="str">
        <f>IFERROR(VLOOKUP(IGA_BD[[#This Row],[Affected Feeder ]],'Basic Data'!$A$42:$E$53,3,0),"")</f>
        <v/>
      </c>
      <c r="J868" s="43" t="str">
        <f>IFERROR(VLOOKUP(IGA_BD[[#This Row],[Affected Feeder ]],'Basic Data'!$A$42:$E$53,5,0),"")</f>
        <v/>
      </c>
      <c r="K868" s="164"/>
      <c r="L868" s="50"/>
      <c r="M868" s="116"/>
      <c r="N868" s="116"/>
      <c r="O868" s="57">
        <f>(IGA_BD[[#This Row],[Work Start TimeStamp]]-IGA_BD[[#This Row],[Fault Start TimeStamp]])*24</f>
        <v>0</v>
      </c>
      <c r="P868" s="44" t="str">
        <f>IF(IGA_BD[[#This Row],[Work Start TimeStamp]]="","",(IGA_BD[[#This Row],[Fault Clearance time]]-IGA_BD[[#This Row],[Work Start TimeStamp]])*24)</f>
        <v/>
      </c>
      <c r="Q868" s="57">
        <f>(IGA_BD[[#This Row],[Fault Clearance time]]-IGA_BD[[#This Row],[Fault Start TimeStamp]])*24</f>
        <v>0</v>
      </c>
      <c r="R868" s="153"/>
      <c r="S868" s="44"/>
      <c r="T868" s="45" t="str">
        <f>IFERROR(IGA_BD[[#This Row],[Breakdown Time]]*IGA_BD[[#This Row],[Plant Equivalent Weightage]],"")</f>
        <v/>
      </c>
    </row>
    <row r="869" spans="1:20">
      <c r="A869" s="28"/>
      <c r="B869" s="154"/>
      <c r="C869" s="30">
        <f>YEAR(WTG_BD[[#This Row],[Date]])+IF(MONTH(WTG_BD[[#This Row],[Date]])&gt;=4,1,0)</f>
        <v>1900</v>
      </c>
      <c r="D869" s="31">
        <f>YEAR(IGA_BD[[#This Row],[Date]])</f>
        <v>1900</v>
      </c>
      <c r="E869" s="48">
        <f t="shared" si="16"/>
        <v>1</v>
      </c>
      <c r="F869" s="32"/>
      <c r="G869" s="33"/>
      <c r="H869" s="43" t="str">
        <f>IFERROR(VLOOKUP(IGA_BD[[#This Row],[Affected Feeder ]],'Basic Data'!$A$42:$E$53,2,0),"")</f>
        <v/>
      </c>
      <c r="I869" s="43" t="str">
        <f>IFERROR(VLOOKUP(IGA_BD[[#This Row],[Affected Feeder ]],'Basic Data'!$A$42:$E$53,3,0),"")</f>
        <v/>
      </c>
      <c r="J869" s="43" t="str">
        <f>IFERROR(VLOOKUP(IGA_BD[[#This Row],[Affected Feeder ]],'Basic Data'!$A$42:$E$53,5,0),"")</f>
        <v/>
      </c>
      <c r="K869" s="164"/>
      <c r="L869" s="50"/>
      <c r="M869" s="116"/>
      <c r="N869" s="116"/>
      <c r="O869" s="57">
        <f>(IGA_BD[[#This Row],[Work Start TimeStamp]]-IGA_BD[[#This Row],[Fault Start TimeStamp]])*24</f>
        <v>0</v>
      </c>
      <c r="P869" s="44" t="str">
        <f>IF(IGA_BD[[#This Row],[Work Start TimeStamp]]="","",(IGA_BD[[#This Row],[Fault Clearance time]]-IGA_BD[[#This Row],[Work Start TimeStamp]])*24)</f>
        <v/>
      </c>
      <c r="Q869" s="57">
        <f>(IGA_BD[[#This Row],[Fault Clearance time]]-IGA_BD[[#This Row],[Fault Start TimeStamp]])*24</f>
        <v>0</v>
      </c>
      <c r="R869" s="153"/>
      <c r="S869" s="44"/>
      <c r="T869" s="45" t="str">
        <f>IFERROR(IGA_BD[[#This Row],[Breakdown Time]]*IGA_BD[[#This Row],[Plant Equivalent Weightage]],"")</f>
        <v/>
      </c>
    </row>
    <row r="870" spans="1:20">
      <c r="A870" s="28"/>
      <c r="B870" s="154"/>
      <c r="C870" s="30">
        <f>YEAR(WTG_BD[[#This Row],[Date]])+IF(MONTH(WTG_BD[[#This Row],[Date]])&gt;=4,1,0)</f>
        <v>1900</v>
      </c>
      <c r="D870" s="31">
        <f>YEAR(IGA_BD[[#This Row],[Date]])</f>
        <v>1900</v>
      </c>
      <c r="E870" s="48">
        <f t="shared" si="16"/>
        <v>1</v>
      </c>
      <c r="F870" s="32"/>
      <c r="G870" s="33"/>
      <c r="H870" s="43" t="str">
        <f>IFERROR(VLOOKUP(IGA_BD[[#This Row],[Affected Feeder ]],'Basic Data'!$A$42:$E$53,2,0),"")</f>
        <v/>
      </c>
      <c r="I870" s="43" t="str">
        <f>IFERROR(VLOOKUP(IGA_BD[[#This Row],[Affected Feeder ]],'Basic Data'!$A$42:$E$53,3,0),"")</f>
        <v/>
      </c>
      <c r="J870" s="43" t="str">
        <f>IFERROR(VLOOKUP(IGA_BD[[#This Row],[Affected Feeder ]],'Basic Data'!$A$42:$E$53,5,0),"")</f>
        <v/>
      </c>
      <c r="K870" s="164"/>
      <c r="L870" s="50"/>
      <c r="M870" s="116"/>
      <c r="N870" s="116"/>
      <c r="O870" s="57">
        <f>(IGA_BD[[#This Row],[Work Start TimeStamp]]-IGA_BD[[#This Row],[Fault Start TimeStamp]])*24</f>
        <v>0</v>
      </c>
      <c r="P870" s="44" t="str">
        <f>IF(IGA_BD[[#This Row],[Work Start TimeStamp]]="","",(IGA_BD[[#This Row],[Fault Clearance time]]-IGA_BD[[#This Row],[Work Start TimeStamp]])*24)</f>
        <v/>
      </c>
      <c r="Q870" s="57">
        <f>(IGA_BD[[#This Row],[Fault Clearance time]]-IGA_BD[[#This Row],[Fault Start TimeStamp]])*24</f>
        <v>0</v>
      </c>
      <c r="R870" s="153"/>
      <c r="S870" s="44"/>
      <c r="T870" s="45" t="str">
        <f>IFERROR(IGA_BD[[#This Row],[Breakdown Time]]*IGA_BD[[#This Row],[Plant Equivalent Weightage]],"")</f>
        <v/>
      </c>
    </row>
    <row r="871" spans="1:20">
      <c r="A871" s="28"/>
      <c r="B871" s="154"/>
      <c r="C871" s="30">
        <f>YEAR(WTG_BD[[#This Row],[Date]])+IF(MONTH(WTG_BD[[#This Row],[Date]])&gt;=4,1,0)</f>
        <v>1900</v>
      </c>
      <c r="D871" s="31">
        <f>YEAR(IGA_BD[[#This Row],[Date]])</f>
        <v>1900</v>
      </c>
      <c r="E871" s="48">
        <f t="shared" si="16"/>
        <v>1</v>
      </c>
      <c r="F871" s="32"/>
      <c r="G871" s="33"/>
      <c r="H871" s="43" t="str">
        <f>IFERROR(VLOOKUP(IGA_BD[[#This Row],[Affected Feeder ]],'Basic Data'!$A$42:$E$53,2,0),"")</f>
        <v/>
      </c>
      <c r="I871" s="43" t="str">
        <f>IFERROR(VLOOKUP(IGA_BD[[#This Row],[Affected Feeder ]],'Basic Data'!$A$42:$E$53,3,0),"")</f>
        <v/>
      </c>
      <c r="J871" s="43" t="str">
        <f>IFERROR(VLOOKUP(IGA_BD[[#This Row],[Affected Feeder ]],'Basic Data'!$A$42:$E$53,5,0),"")</f>
        <v/>
      </c>
      <c r="K871" s="164"/>
      <c r="L871" s="50"/>
      <c r="M871" s="116"/>
      <c r="N871" s="116"/>
      <c r="O871" s="57">
        <f>(IGA_BD[[#This Row],[Work Start TimeStamp]]-IGA_BD[[#This Row],[Fault Start TimeStamp]])*24</f>
        <v>0</v>
      </c>
      <c r="P871" s="44" t="str">
        <f>IF(IGA_BD[[#This Row],[Work Start TimeStamp]]="","",(IGA_BD[[#This Row],[Fault Clearance time]]-IGA_BD[[#This Row],[Work Start TimeStamp]])*24)</f>
        <v/>
      </c>
      <c r="Q871" s="57">
        <f>(IGA_BD[[#This Row],[Fault Clearance time]]-IGA_BD[[#This Row],[Fault Start TimeStamp]])*24</f>
        <v>0</v>
      </c>
      <c r="R871" s="153"/>
      <c r="S871" s="44"/>
      <c r="T871" s="45" t="str">
        <f>IFERROR(IGA_BD[[#This Row],[Breakdown Time]]*IGA_BD[[#This Row],[Plant Equivalent Weightage]],"")</f>
        <v/>
      </c>
    </row>
    <row r="872" spans="1:20">
      <c r="A872" s="28"/>
      <c r="B872" s="154"/>
      <c r="C872" s="30">
        <f>YEAR(WTG_BD[[#This Row],[Date]])+IF(MONTH(WTG_BD[[#This Row],[Date]])&gt;=4,1,0)</f>
        <v>1900</v>
      </c>
      <c r="D872" s="31">
        <f>YEAR(IGA_BD[[#This Row],[Date]])</f>
        <v>1900</v>
      </c>
      <c r="E872" s="48">
        <f t="shared" si="16"/>
        <v>1</v>
      </c>
      <c r="F872" s="32"/>
      <c r="G872" s="33"/>
      <c r="H872" s="43" t="str">
        <f>IFERROR(VLOOKUP(IGA_BD[[#This Row],[Affected Feeder ]],'Basic Data'!$A$42:$E$53,2,0),"")</f>
        <v/>
      </c>
      <c r="I872" s="43" t="str">
        <f>IFERROR(VLOOKUP(IGA_BD[[#This Row],[Affected Feeder ]],'Basic Data'!$A$42:$E$53,3,0),"")</f>
        <v/>
      </c>
      <c r="J872" s="43" t="str">
        <f>IFERROR(VLOOKUP(IGA_BD[[#This Row],[Affected Feeder ]],'Basic Data'!$A$42:$E$53,5,0),"")</f>
        <v/>
      </c>
      <c r="K872" s="164"/>
      <c r="L872" s="50"/>
      <c r="M872" s="116"/>
      <c r="N872" s="116"/>
      <c r="O872" s="57">
        <f>(IGA_BD[[#This Row],[Work Start TimeStamp]]-IGA_BD[[#This Row],[Fault Start TimeStamp]])*24</f>
        <v>0</v>
      </c>
      <c r="P872" s="44" t="str">
        <f>IF(IGA_BD[[#This Row],[Work Start TimeStamp]]="","",(IGA_BD[[#This Row],[Fault Clearance time]]-IGA_BD[[#This Row],[Work Start TimeStamp]])*24)</f>
        <v/>
      </c>
      <c r="Q872" s="57">
        <f>(IGA_BD[[#This Row],[Fault Clearance time]]-IGA_BD[[#This Row],[Fault Start TimeStamp]])*24</f>
        <v>0</v>
      </c>
      <c r="R872" s="153"/>
      <c r="S872" s="44"/>
      <c r="T872" s="45" t="str">
        <f>IFERROR(IGA_BD[[#This Row],[Breakdown Time]]*IGA_BD[[#This Row],[Plant Equivalent Weightage]],"")</f>
        <v/>
      </c>
    </row>
    <row r="873" spans="1:20">
      <c r="A873" s="28"/>
      <c r="B873" s="154"/>
      <c r="C873" s="30">
        <f>YEAR(WTG_BD[[#This Row],[Date]])+IF(MONTH(WTG_BD[[#This Row],[Date]])&gt;=4,1,0)</f>
        <v>1900</v>
      </c>
      <c r="D873" s="31">
        <f>YEAR(IGA_BD[[#This Row],[Date]])</f>
        <v>1900</v>
      </c>
      <c r="E873" s="48">
        <f t="shared" si="16"/>
        <v>1</v>
      </c>
      <c r="F873" s="32"/>
      <c r="G873" s="33"/>
      <c r="H873" s="43" t="str">
        <f>IFERROR(VLOOKUP(IGA_BD[[#This Row],[Affected Feeder ]],'Basic Data'!$A$42:$E$53,2,0),"")</f>
        <v/>
      </c>
      <c r="I873" s="43" t="str">
        <f>IFERROR(VLOOKUP(IGA_BD[[#This Row],[Affected Feeder ]],'Basic Data'!$A$42:$E$53,3,0),"")</f>
        <v/>
      </c>
      <c r="J873" s="43" t="str">
        <f>IFERROR(VLOOKUP(IGA_BD[[#This Row],[Affected Feeder ]],'Basic Data'!$A$42:$E$53,5,0),"")</f>
        <v/>
      </c>
      <c r="K873" s="164"/>
      <c r="L873" s="50"/>
      <c r="M873" s="116"/>
      <c r="N873" s="116"/>
      <c r="O873" s="57">
        <f>(IGA_BD[[#This Row],[Work Start TimeStamp]]-IGA_BD[[#This Row],[Fault Start TimeStamp]])*24</f>
        <v>0</v>
      </c>
      <c r="P873" s="44" t="str">
        <f>IF(IGA_BD[[#This Row],[Work Start TimeStamp]]="","",(IGA_BD[[#This Row],[Fault Clearance time]]-IGA_BD[[#This Row],[Work Start TimeStamp]])*24)</f>
        <v/>
      </c>
      <c r="Q873" s="57">
        <f>(IGA_BD[[#This Row],[Fault Clearance time]]-IGA_BD[[#This Row],[Fault Start TimeStamp]])*24</f>
        <v>0</v>
      </c>
      <c r="R873" s="153"/>
      <c r="S873" s="44"/>
      <c r="T873" s="45" t="str">
        <f>IFERROR(IGA_BD[[#This Row],[Breakdown Time]]*IGA_BD[[#This Row],[Plant Equivalent Weightage]],"")</f>
        <v/>
      </c>
    </row>
    <row r="874" spans="1:20">
      <c r="A874" s="28"/>
      <c r="B874" s="154"/>
      <c r="C874" s="30">
        <f>YEAR(WTG_BD[[#This Row],[Date]])+IF(MONTH(WTG_BD[[#This Row],[Date]])&gt;=4,1,0)</f>
        <v>1900</v>
      </c>
      <c r="D874" s="31">
        <f>YEAR(IGA_BD[[#This Row],[Date]])</f>
        <v>1900</v>
      </c>
      <c r="E874" s="48">
        <f t="shared" si="16"/>
        <v>1</v>
      </c>
      <c r="F874" s="32"/>
      <c r="G874" s="33"/>
      <c r="H874" s="43" t="str">
        <f>IFERROR(VLOOKUP(IGA_BD[[#This Row],[Affected Feeder ]],'Basic Data'!$A$42:$E$53,2,0),"")</f>
        <v/>
      </c>
      <c r="I874" s="43" t="str">
        <f>IFERROR(VLOOKUP(IGA_BD[[#This Row],[Affected Feeder ]],'Basic Data'!$A$42:$E$53,3,0),"")</f>
        <v/>
      </c>
      <c r="J874" s="43" t="str">
        <f>IFERROR(VLOOKUP(IGA_BD[[#This Row],[Affected Feeder ]],'Basic Data'!$A$42:$E$53,5,0),"")</f>
        <v/>
      </c>
      <c r="K874" s="164"/>
      <c r="L874" s="50"/>
      <c r="M874" s="116"/>
      <c r="N874" s="116"/>
      <c r="O874" s="57">
        <f>(IGA_BD[[#This Row],[Work Start TimeStamp]]-IGA_BD[[#This Row],[Fault Start TimeStamp]])*24</f>
        <v>0</v>
      </c>
      <c r="P874" s="44" t="str">
        <f>IF(IGA_BD[[#This Row],[Work Start TimeStamp]]="","",(IGA_BD[[#This Row],[Fault Clearance time]]-IGA_BD[[#This Row],[Work Start TimeStamp]])*24)</f>
        <v/>
      </c>
      <c r="Q874" s="57">
        <f>(IGA_BD[[#This Row],[Fault Clearance time]]-IGA_BD[[#This Row],[Fault Start TimeStamp]])*24</f>
        <v>0</v>
      </c>
      <c r="R874" s="153"/>
      <c r="S874" s="44"/>
      <c r="T874" s="45" t="str">
        <f>IFERROR(IGA_BD[[#This Row],[Breakdown Time]]*IGA_BD[[#This Row],[Plant Equivalent Weightage]],"")</f>
        <v/>
      </c>
    </row>
    <row r="875" spans="1:20">
      <c r="A875" s="28"/>
      <c r="B875" s="154"/>
      <c r="C875" s="30">
        <f>YEAR(WTG_BD[[#This Row],[Date]])+IF(MONTH(WTG_BD[[#This Row],[Date]])&gt;=4,1,0)</f>
        <v>1900</v>
      </c>
      <c r="D875" s="31">
        <f>YEAR(IGA_BD[[#This Row],[Date]])</f>
        <v>1900</v>
      </c>
      <c r="E875" s="48">
        <f t="shared" si="16"/>
        <v>1</v>
      </c>
      <c r="F875" s="32"/>
      <c r="G875" s="33"/>
      <c r="H875" s="43" t="str">
        <f>IFERROR(VLOOKUP(IGA_BD[[#This Row],[Affected Feeder ]],'Basic Data'!$A$42:$E$53,2,0),"")</f>
        <v/>
      </c>
      <c r="I875" s="43" t="str">
        <f>IFERROR(VLOOKUP(IGA_BD[[#This Row],[Affected Feeder ]],'Basic Data'!$A$42:$E$53,3,0),"")</f>
        <v/>
      </c>
      <c r="J875" s="43" t="str">
        <f>IFERROR(VLOOKUP(IGA_BD[[#This Row],[Affected Feeder ]],'Basic Data'!$A$42:$E$53,5,0),"")</f>
        <v/>
      </c>
      <c r="K875" s="164"/>
      <c r="L875" s="50"/>
      <c r="M875" s="116"/>
      <c r="N875" s="116"/>
      <c r="O875" s="57">
        <f>(IGA_BD[[#This Row],[Work Start TimeStamp]]-IGA_BD[[#This Row],[Fault Start TimeStamp]])*24</f>
        <v>0</v>
      </c>
      <c r="P875" s="44" t="str">
        <f>IF(IGA_BD[[#This Row],[Work Start TimeStamp]]="","",(IGA_BD[[#This Row],[Fault Clearance time]]-IGA_BD[[#This Row],[Work Start TimeStamp]])*24)</f>
        <v/>
      </c>
      <c r="Q875" s="57">
        <f>(IGA_BD[[#This Row],[Fault Clearance time]]-IGA_BD[[#This Row],[Fault Start TimeStamp]])*24</f>
        <v>0</v>
      </c>
      <c r="R875" s="153"/>
      <c r="S875" s="44"/>
      <c r="T875" s="45" t="str">
        <f>IFERROR(IGA_BD[[#This Row],[Breakdown Time]]*IGA_BD[[#This Row],[Plant Equivalent Weightage]],"")</f>
        <v/>
      </c>
    </row>
    <row r="876" spans="1:20">
      <c r="A876" s="28"/>
      <c r="B876" s="154"/>
      <c r="C876" s="30">
        <f>YEAR(WTG_BD[[#This Row],[Date]])+IF(MONTH(WTG_BD[[#This Row],[Date]])&gt;=4,1,0)</f>
        <v>1900</v>
      </c>
      <c r="D876" s="31">
        <f>YEAR(IGA_BD[[#This Row],[Date]])</f>
        <v>1900</v>
      </c>
      <c r="E876" s="48">
        <f t="shared" si="16"/>
        <v>1</v>
      </c>
      <c r="F876" s="32"/>
      <c r="G876" s="33"/>
      <c r="H876" s="43" t="str">
        <f>IFERROR(VLOOKUP(IGA_BD[[#This Row],[Affected Feeder ]],'Basic Data'!$A$42:$E$53,2,0),"")</f>
        <v/>
      </c>
      <c r="I876" s="43" t="str">
        <f>IFERROR(VLOOKUP(IGA_BD[[#This Row],[Affected Feeder ]],'Basic Data'!$A$42:$E$53,3,0),"")</f>
        <v/>
      </c>
      <c r="J876" s="43" t="str">
        <f>IFERROR(VLOOKUP(IGA_BD[[#This Row],[Affected Feeder ]],'Basic Data'!$A$42:$E$53,5,0),"")</f>
        <v/>
      </c>
      <c r="K876" s="164"/>
      <c r="L876" s="50"/>
      <c r="M876" s="116"/>
      <c r="N876" s="116"/>
      <c r="O876" s="57">
        <f>(IGA_BD[[#This Row],[Work Start TimeStamp]]-IGA_BD[[#This Row],[Fault Start TimeStamp]])*24</f>
        <v>0</v>
      </c>
      <c r="P876" s="44" t="str">
        <f>IF(IGA_BD[[#This Row],[Work Start TimeStamp]]="","",(IGA_BD[[#This Row],[Fault Clearance time]]-IGA_BD[[#This Row],[Work Start TimeStamp]])*24)</f>
        <v/>
      </c>
      <c r="Q876" s="57">
        <f>(IGA_BD[[#This Row],[Fault Clearance time]]-IGA_BD[[#This Row],[Fault Start TimeStamp]])*24</f>
        <v>0</v>
      </c>
      <c r="R876" s="153"/>
      <c r="S876" s="44"/>
      <c r="T876" s="45" t="str">
        <f>IFERROR(IGA_BD[[#This Row],[Breakdown Time]]*IGA_BD[[#This Row],[Plant Equivalent Weightage]],"")</f>
        <v/>
      </c>
    </row>
    <row r="877" spans="1:20">
      <c r="A877" s="28"/>
      <c r="B877" s="154"/>
      <c r="C877" s="30">
        <f>YEAR(WTG_BD[[#This Row],[Date]])+IF(MONTH(WTG_BD[[#This Row],[Date]])&gt;=4,1,0)</f>
        <v>1900</v>
      </c>
      <c r="D877" s="31">
        <f>YEAR(IGA_BD[[#This Row],[Date]])</f>
        <v>1900</v>
      </c>
      <c r="E877" s="48">
        <f t="shared" si="16"/>
        <v>1</v>
      </c>
      <c r="F877" s="32"/>
      <c r="G877" s="33"/>
      <c r="H877" s="43" t="str">
        <f>IFERROR(VLOOKUP(IGA_BD[[#This Row],[Affected Feeder ]],'Basic Data'!$A$42:$E$53,2,0),"")</f>
        <v/>
      </c>
      <c r="I877" s="43" t="str">
        <f>IFERROR(VLOOKUP(IGA_BD[[#This Row],[Affected Feeder ]],'Basic Data'!$A$42:$E$53,3,0),"")</f>
        <v/>
      </c>
      <c r="J877" s="43" t="str">
        <f>IFERROR(VLOOKUP(IGA_BD[[#This Row],[Affected Feeder ]],'Basic Data'!$A$42:$E$53,5,0),"")</f>
        <v/>
      </c>
      <c r="K877" s="164"/>
      <c r="L877" s="50"/>
      <c r="M877" s="116"/>
      <c r="N877" s="116"/>
      <c r="O877" s="57">
        <f>(IGA_BD[[#This Row],[Work Start TimeStamp]]-IGA_BD[[#This Row],[Fault Start TimeStamp]])*24</f>
        <v>0</v>
      </c>
      <c r="P877" s="44" t="str">
        <f>IF(IGA_BD[[#This Row],[Work Start TimeStamp]]="","",(IGA_BD[[#This Row],[Fault Clearance time]]-IGA_BD[[#This Row],[Work Start TimeStamp]])*24)</f>
        <v/>
      </c>
      <c r="Q877" s="57">
        <f>(IGA_BD[[#This Row],[Fault Clearance time]]-IGA_BD[[#This Row],[Fault Start TimeStamp]])*24</f>
        <v>0</v>
      </c>
      <c r="R877" s="153"/>
      <c r="S877" s="44"/>
      <c r="T877" s="45" t="str">
        <f>IFERROR(IGA_BD[[#This Row],[Breakdown Time]]*IGA_BD[[#This Row],[Plant Equivalent Weightage]],"")</f>
        <v/>
      </c>
    </row>
    <row r="878" spans="1:20">
      <c r="A878" s="28"/>
      <c r="B878" s="154"/>
      <c r="C878" s="30">
        <f>YEAR(WTG_BD[[#This Row],[Date]])+IF(MONTH(WTG_BD[[#This Row],[Date]])&gt;=4,1,0)</f>
        <v>1900</v>
      </c>
      <c r="D878" s="31">
        <f>YEAR(IGA_BD[[#This Row],[Date]])</f>
        <v>1900</v>
      </c>
      <c r="E878" s="48">
        <f t="shared" si="16"/>
        <v>1</v>
      </c>
      <c r="F878" s="32"/>
      <c r="G878" s="33"/>
      <c r="H878" s="43" t="str">
        <f>IFERROR(VLOOKUP(IGA_BD[[#This Row],[Affected Feeder ]],'Basic Data'!$A$42:$E$53,2,0),"")</f>
        <v/>
      </c>
      <c r="I878" s="43" t="str">
        <f>IFERROR(VLOOKUP(IGA_BD[[#This Row],[Affected Feeder ]],'Basic Data'!$A$42:$E$53,3,0),"")</f>
        <v/>
      </c>
      <c r="J878" s="43" t="str">
        <f>IFERROR(VLOOKUP(IGA_BD[[#This Row],[Affected Feeder ]],'Basic Data'!$A$42:$E$53,5,0),"")</f>
        <v/>
      </c>
      <c r="K878" s="164"/>
      <c r="L878" s="50"/>
      <c r="M878" s="116"/>
      <c r="N878" s="116"/>
      <c r="O878" s="57">
        <f>(IGA_BD[[#This Row],[Work Start TimeStamp]]-IGA_BD[[#This Row],[Fault Start TimeStamp]])*24</f>
        <v>0</v>
      </c>
      <c r="P878" s="44" t="str">
        <f>IF(IGA_BD[[#This Row],[Work Start TimeStamp]]="","",(IGA_BD[[#This Row],[Fault Clearance time]]-IGA_BD[[#This Row],[Work Start TimeStamp]])*24)</f>
        <v/>
      </c>
      <c r="Q878" s="57">
        <f>(IGA_BD[[#This Row],[Fault Clearance time]]-IGA_BD[[#This Row],[Fault Start TimeStamp]])*24</f>
        <v>0</v>
      </c>
      <c r="R878" s="153"/>
      <c r="S878" s="44"/>
      <c r="T878" s="45" t="str">
        <f>IFERROR(IGA_BD[[#This Row],[Breakdown Time]]*IGA_BD[[#This Row],[Plant Equivalent Weightage]],"")</f>
        <v/>
      </c>
    </row>
    <row r="879" spans="1:20">
      <c r="A879" s="28"/>
      <c r="B879" s="154"/>
      <c r="C879" s="30">
        <f>YEAR(WTG_BD[[#This Row],[Date]])+IF(MONTH(WTG_BD[[#This Row],[Date]])&gt;=4,1,0)</f>
        <v>1900</v>
      </c>
      <c r="D879" s="31">
        <f>YEAR(IGA_BD[[#This Row],[Date]])</f>
        <v>1900</v>
      </c>
      <c r="E879" s="48">
        <f t="shared" si="16"/>
        <v>1</v>
      </c>
      <c r="F879" s="32"/>
      <c r="G879" s="33"/>
      <c r="H879" s="43" t="str">
        <f>IFERROR(VLOOKUP(IGA_BD[[#This Row],[Affected Feeder ]],'Basic Data'!$A$42:$E$53,2,0),"")</f>
        <v/>
      </c>
      <c r="I879" s="43" t="str">
        <f>IFERROR(VLOOKUP(IGA_BD[[#This Row],[Affected Feeder ]],'Basic Data'!$A$42:$E$53,3,0),"")</f>
        <v/>
      </c>
      <c r="J879" s="43" t="str">
        <f>IFERROR(VLOOKUP(IGA_BD[[#This Row],[Affected Feeder ]],'Basic Data'!$A$42:$E$53,5,0),"")</f>
        <v/>
      </c>
      <c r="K879" s="164"/>
      <c r="L879" s="50"/>
      <c r="M879" s="116"/>
      <c r="N879" s="116"/>
      <c r="O879" s="57">
        <f>(IGA_BD[[#This Row],[Work Start TimeStamp]]-IGA_BD[[#This Row],[Fault Start TimeStamp]])*24</f>
        <v>0</v>
      </c>
      <c r="P879" s="44" t="str">
        <f>IF(IGA_BD[[#This Row],[Work Start TimeStamp]]="","",(IGA_BD[[#This Row],[Fault Clearance time]]-IGA_BD[[#This Row],[Work Start TimeStamp]])*24)</f>
        <v/>
      </c>
      <c r="Q879" s="57">
        <f>(IGA_BD[[#This Row],[Fault Clearance time]]-IGA_BD[[#This Row],[Fault Start TimeStamp]])*24</f>
        <v>0</v>
      </c>
      <c r="R879" s="153"/>
      <c r="S879" s="44"/>
      <c r="T879" s="45" t="str">
        <f>IFERROR(IGA_BD[[#This Row],[Breakdown Time]]*IGA_BD[[#This Row],[Plant Equivalent Weightage]],"")</f>
        <v/>
      </c>
    </row>
    <row r="880" spans="1:20">
      <c r="A880" s="28"/>
      <c r="B880" s="154"/>
      <c r="C880" s="30">
        <f>YEAR(WTG_BD[[#This Row],[Date]])+IF(MONTH(WTG_BD[[#This Row],[Date]])&gt;=4,1,0)</f>
        <v>1900</v>
      </c>
      <c r="D880" s="31">
        <f>YEAR(IGA_BD[[#This Row],[Date]])</f>
        <v>1900</v>
      </c>
      <c r="E880" s="48">
        <f t="shared" si="16"/>
        <v>1</v>
      </c>
      <c r="F880" s="32"/>
      <c r="G880" s="33"/>
      <c r="H880" s="43" t="str">
        <f>IFERROR(VLOOKUP(IGA_BD[[#This Row],[Affected Feeder ]],'Basic Data'!$A$42:$E$53,2,0),"")</f>
        <v/>
      </c>
      <c r="I880" s="43" t="str">
        <f>IFERROR(VLOOKUP(IGA_BD[[#This Row],[Affected Feeder ]],'Basic Data'!$A$42:$E$53,3,0),"")</f>
        <v/>
      </c>
      <c r="J880" s="43" t="str">
        <f>IFERROR(VLOOKUP(IGA_BD[[#This Row],[Affected Feeder ]],'Basic Data'!$A$42:$E$53,5,0),"")</f>
        <v/>
      </c>
      <c r="K880" s="164"/>
      <c r="L880" s="50"/>
      <c r="M880" s="116"/>
      <c r="N880" s="116"/>
      <c r="O880" s="57">
        <f>(IGA_BD[[#This Row],[Work Start TimeStamp]]-IGA_BD[[#This Row],[Fault Start TimeStamp]])*24</f>
        <v>0</v>
      </c>
      <c r="P880" s="44" t="str">
        <f>IF(IGA_BD[[#This Row],[Work Start TimeStamp]]="","",(IGA_BD[[#This Row],[Fault Clearance time]]-IGA_BD[[#This Row],[Work Start TimeStamp]])*24)</f>
        <v/>
      </c>
      <c r="Q880" s="57">
        <f>(IGA_BD[[#This Row],[Fault Clearance time]]-IGA_BD[[#This Row],[Fault Start TimeStamp]])*24</f>
        <v>0</v>
      </c>
      <c r="R880" s="153"/>
      <c r="S880" s="44"/>
      <c r="T880" s="45" t="str">
        <f>IFERROR(IGA_BD[[#This Row],[Breakdown Time]]*IGA_BD[[#This Row],[Plant Equivalent Weightage]],"")</f>
        <v/>
      </c>
    </row>
    <row r="881" spans="1:20">
      <c r="A881" s="28"/>
      <c r="B881" s="154"/>
      <c r="C881" s="30">
        <f>YEAR(WTG_BD[[#This Row],[Date]])+IF(MONTH(WTG_BD[[#This Row],[Date]])&gt;=4,1,0)</f>
        <v>1900</v>
      </c>
      <c r="D881" s="31">
        <f>YEAR(IGA_BD[[#This Row],[Date]])</f>
        <v>1900</v>
      </c>
      <c r="E881" s="48">
        <f t="shared" si="16"/>
        <v>1</v>
      </c>
      <c r="F881" s="32"/>
      <c r="G881" s="33"/>
      <c r="H881" s="43" t="str">
        <f>IFERROR(VLOOKUP(IGA_BD[[#This Row],[Affected Feeder ]],'Basic Data'!$A$42:$E$53,2,0),"")</f>
        <v/>
      </c>
      <c r="I881" s="43" t="str">
        <f>IFERROR(VLOOKUP(IGA_BD[[#This Row],[Affected Feeder ]],'Basic Data'!$A$42:$E$53,3,0),"")</f>
        <v/>
      </c>
      <c r="J881" s="43" t="str">
        <f>IFERROR(VLOOKUP(IGA_BD[[#This Row],[Affected Feeder ]],'Basic Data'!$A$42:$E$53,5,0),"")</f>
        <v/>
      </c>
      <c r="K881" s="164"/>
      <c r="L881" s="50"/>
      <c r="M881" s="116"/>
      <c r="N881" s="116"/>
      <c r="O881" s="57">
        <f>(IGA_BD[[#This Row],[Work Start TimeStamp]]-IGA_BD[[#This Row],[Fault Start TimeStamp]])*24</f>
        <v>0</v>
      </c>
      <c r="P881" s="44" t="str">
        <f>IF(IGA_BD[[#This Row],[Work Start TimeStamp]]="","",(IGA_BD[[#This Row],[Fault Clearance time]]-IGA_BD[[#This Row],[Work Start TimeStamp]])*24)</f>
        <v/>
      </c>
      <c r="Q881" s="57">
        <f>(IGA_BD[[#This Row],[Fault Clearance time]]-IGA_BD[[#This Row],[Fault Start TimeStamp]])*24</f>
        <v>0</v>
      </c>
      <c r="R881" s="153"/>
      <c r="S881" s="44"/>
      <c r="T881" s="45" t="str">
        <f>IFERROR(IGA_BD[[#This Row],[Breakdown Time]]*IGA_BD[[#This Row],[Plant Equivalent Weightage]],"")</f>
        <v/>
      </c>
    </row>
    <row r="882" spans="1:20">
      <c r="A882" s="28"/>
      <c r="B882" s="154"/>
      <c r="C882" s="30">
        <f>YEAR(WTG_BD[[#This Row],[Date]])+IF(MONTH(WTG_BD[[#This Row],[Date]])&gt;=4,1,0)</f>
        <v>1900</v>
      </c>
      <c r="D882" s="31">
        <f>YEAR(IGA_BD[[#This Row],[Date]])</f>
        <v>1900</v>
      </c>
      <c r="E882" s="48">
        <f t="shared" si="16"/>
        <v>1</v>
      </c>
      <c r="F882" s="32"/>
      <c r="G882" s="33"/>
      <c r="H882" s="43" t="str">
        <f>IFERROR(VLOOKUP(IGA_BD[[#This Row],[Affected Feeder ]],'Basic Data'!$A$42:$E$53,2,0),"")</f>
        <v/>
      </c>
      <c r="I882" s="43" t="str">
        <f>IFERROR(VLOOKUP(IGA_BD[[#This Row],[Affected Feeder ]],'Basic Data'!$A$42:$E$53,3,0),"")</f>
        <v/>
      </c>
      <c r="J882" s="43" t="str">
        <f>IFERROR(VLOOKUP(IGA_BD[[#This Row],[Affected Feeder ]],'Basic Data'!$A$42:$E$53,5,0),"")</f>
        <v/>
      </c>
      <c r="K882" s="164"/>
      <c r="L882" s="50"/>
      <c r="M882" s="116"/>
      <c r="N882" s="116"/>
      <c r="O882" s="57">
        <f>(IGA_BD[[#This Row],[Work Start TimeStamp]]-IGA_BD[[#This Row],[Fault Start TimeStamp]])*24</f>
        <v>0</v>
      </c>
      <c r="P882" s="44" t="str">
        <f>IF(IGA_BD[[#This Row],[Work Start TimeStamp]]="","",(IGA_BD[[#This Row],[Fault Clearance time]]-IGA_BD[[#This Row],[Work Start TimeStamp]])*24)</f>
        <v/>
      </c>
      <c r="Q882" s="57">
        <f>(IGA_BD[[#This Row],[Fault Clearance time]]-IGA_BD[[#This Row],[Fault Start TimeStamp]])*24</f>
        <v>0</v>
      </c>
      <c r="R882" s="153"/>
      <c r="S882" s="44"/>
      <c r="T882" s="45" t="str">
        <f>IFERROR(IGA_BD[[#This Row],[Breakdown Time]]*IGA_BD[[#This Row],[Plant Equivalent Weightage]],"")</f>
        <v/>
      </c>
    </row>
    <row r="883" spans="1:20">
      <c r="A883" s="28"/>
      <c r="B883" s="154"/>
      <c r="C883" s="30">
        <f>YEAR(WTG_BD[[#This Row],[Date]])+IF(MONTH(WTG_BD[[#This Row],[Date]])&gt;=4,1,0)</f>
        <v>1900</v>
      </c>
      <c r="D883" s="31">
        <f>YEAR(IGA_BD[[#This Row],[Date]])</f>
        <v>1900</v>
      </c>
      <c r="E883" s="48">
        <f t="shared" si="16"/>
        <v>1</v>
      </c>
      <c r="F883" s="32"/>
      <c r="G883" s="33"/>
      <c r="H883" s="43" t="str">
        <f>IFERROR(VLOOKUP(IGA_BD[[#This Row],[Affected Feeder ]],'Basic Data'!$A$42:$E$53,2,0),"")</f>
        <v/>
      </c>
      <c r="I883" s="43" t="str">
        <f>IFERROR(VLOOKUP(IGA_BD[[#This Row],[Affected Feeder ]],'Basic Data'!$A$42:$E$53,3,0),"")</f>
        <v/>
      </c>
      <c r="J883" s="43" t="str">
        <f>IFERROR(VLOOKUP(IGA_BD[[#This Row],[Affected Feeder ]],'Basic Data'!$A$42:$E$53,5,0),"")</f>
        <v/>
      </c>
      <c r="K883" s="164"/>
      <c r="L883" s="50"/>
      <c r="M883" s="116"/>
      <c r="N883" s="116"/>
      <c r="O883" s="57">
        <f>(IGA_BD[[#This Row],[Work Start TimeStamp]]-IGA_BD[[#This Row],[Fault Start TimeStamp]])*24</f>
        <v>0</v>
      </c>
      <c r="P883" s="44" t="str">
        <f>IF(IGA_BD[[#This Row],[Work Start TimeStamp]]="","",(IGA_BD[[#This Row],[Fault Clearance time]]-IGA_BD[[#This Row],[Work Start TimeStamp]])*24)</f>
        <v/>
      </c>
      <c r="Q883" s="57">
        <f>(IGA_BD[[#This Row],[Fault Clearance time]]-IGA_BD[[#This Row],[Fault Start TimeStamp]])*24</f>
        <v>0</v>
      </c>
      <c r="R883" s="153"/>
      <c r="S883" s="44"/>
      <c r="T883" s="45" t="str">
        <f>IFERROR(IGA_BD[[#This Row],[Breakdown Time]]*IGA_BD[[#This Row],[Plant Equivalent Weightage]],"")</f>
        <v/>
      </c>
    </row>
    <row r="884" spans="1:20">
      <c r="A884" s="28"/>
      <c r="B884" s="154"/>
      <c r="C884" s="30">
        <f>YEAR(WTG_BD[[#This Row],[Date]])+IF(MONTH(WTG_BD[[#This Row],[Date]])&gt;=4,1,0)</f>
        <v>1900</v>
      </c>
      <c r="D884" s="31">
        <f>YEAR(IGA_BD[[#This Row],[Date]])</f>
        <v>1900</v>
      </c>
      <c r="E884" s="48">
        <f t="shared" si="16"/>
        <v>1</v>
      </c>
      <c r="F884" s="32"/>
      <c r="G884" s="33"/>
      <c r="H884" s="43" t="str">
        <f>IFERROR(VLOOKUP(IGA_BD[[#This Row],[Affected Feeder ]],'Basic Data'!$A$42:$E$53,2,0),"")</f>
        <v/>
      </c>
      <c r="I884" s="43" t="str">
        <f>IFERROR(VLOOKUP(IGA_BD[[#This Row],[Affected Feeder ]],'Basic Data'!$A$42:$E$53,3,0),"")</f>
        <v/>
      </c>
      <c r="J884" s="43" t="str">
        <f>IFERROR(VLOOKUP(IGA_BD[[#This Row],[Affected Feeder ]],'Basic Data'!$A$42:$E$53,5,0),"")</f>
        <v/>
      </c>
      <c r="K884" s="164"/>
      <c r="L884" s="50"/>
      <c r="M884" s="116"/>
      <c r="N884" s="116"/>
      <c r="O884" s="57">
        <f>(IGA_BD[[#This Row],[Work Start TimeStamp]]-IGA_BD[[#This Row],[Fault Start TimeStamp]])*24</f>
        <v>0</v>
      </c>
      <c r="P884" s="44" t="str">
        <f>IF(IGA_BD[[#This Row],[Work Start TimeStamp]]="","",(IGA_BD[[#This Row],[Fault Clearance time]]-IGA_BD[[#This Row],[Work Start TimeStamp]])*24)</f>
        <v/>
      </c>
      <c r="Q884" s="57">
        <f>(IGA_BD[[#This Row],[Fault Clearance time]]-IGA_BD[[#This Row],[Fault Start TimeStamp]])*24</f>
        <v>0</v>
      </c>
      <c r="R884" s="153"/>
      <c r="S884" s="44"/>
      <c r="T884" s="45" t="str">
        <f>IFERROR(IGA_BD[[#This Row],[Breakdown Time]]*IGA_BD[[#This Row],[Plant Equivalent Weightage]],"")</f>
        <v/>
      </c>
    </row>
    <row r="885" spans="1:20">
      <c r="A885" s="28"/>
      <c r="B885" s="154"/>
      <c r="C885" s="30">
        <f>YEAR(WTG_BD[[#This Row],[Date]])+IF(MONTH(WTG_BD[[#This Row],[Date]])&gt;=4,1,0)</f>
        <v>1900</v>
      </c>
      <c r="D885" s="31">
        <f>YEAR(IGA_BD[[#This Row],[Date]])</f>
        <v>1900</v>
      </c>
      <c r="E885" s="48">
        <f t="shared" si="16"/>
        <v>1</v>
      </c>
      <c r="F885" s="32"/>
      <c r="G885" s="33"/>
      <c r="H885" s="43" t="str">
        <f>IFERROR(VLOOKUP(IGA_BD[[#This Row],[Affected Feeder ]],'Basic Data'!$A$42:$E$53,2,0),"")</f>
        <v/>
      </c>
      <c r="I885" s="43" t="str">
        <f>IFERROR(VLOOKUP(IGA_BD[[#This Row],[Affected Feeder ]],'Basic Data'!$A$42:$E$53,3,0),"")</f>
        <v/>
      </c>
      <c r="J885" s="43" t="str">
        <f>IFERROR(VLOOKUP(IGA_BD[[#This Row],[Affected Feeder ]],'Basic Data'!$A$42:$E$53,5,0),"")</f>
        <v/>
      </c>
      <c r="K885" s="164"/>
      <c r="L885" s="50"/>
      <c r="M885" s="116"/>
      <c r="N885" s="116"/>
      <c r="O885" s="57">
        <f>(IGA_BD[[#This Row],[Work Start TimeStamp]]-IGA_BD[[#This Row],[Fault Start TimeStamp]])*24</f>
        <v>0</v>
      </c>
      <c r="P885" s="44" t="str">
        <f>IF(IGA_BD[[#This Row],[Work Start TimeStamp]]="","",(IGA_BD[[#This Row],[Fault Clearance time]]-IGA_BD[[#This Row],[Work Start TimeStamp]])*24)</f>
        <v/>
      </c>
      <c r="Q885" s="57">
        <f>(IGA_BD[[#This Row],[Fault Clearance time]]-IGA_BD[[#This Row],[Fault Start TimeStamp]])*24</f>
        <v>0</v>
      </c>
      <c r="R885" s="153"/>
      <c r="S885" s="44"/>
      <c r="T885" s="45" t="str">
        <f>IFERROR(IGA_BD[[#This Row],[Breakdown Time]]*IGA_BD[[#This Row],[Plant Equivalent Weightage]],"")</f>
        <v/>
      </c>
    </row>
    <row r="886" spans="1:20">
      <c r="A886" s="28"/>
      <c r="B886" s="154"/>
      <c r="C886" s="30">
        <f>YEAR(WTG_BD[[#This Row],[Date]])+IF(MONTH(WTG_BD[[#This Row],[Date]])&gt;=4,1,0)</f>
        <v>1900</v>
      </c>
      <c r="D886" s="31">
        <f>YEAR(IGA_BD[[#This Row],[Date]])</f>
        <v>1900</v>
      </c>
      <c r="E886" s="48">
        <f t="shared" si="16"/>
        <v>1</v>
      </c>
      <c r="F886" s="32"/>
      <c r="G886" s="33"/>
      <c r="H886" s="43" t="str">
        <f>IFERROR(VLOOKUP(IGA_BD[[#This Row],[Affected Feeder ]],'Basic Data'!$A$42:$E$53,2,0),"")</f>
        <v/>
      </c>
      <c r="I886" s="43" t="str">
        <f>IFERROR(VLOOKUP(IGA_BD[[#This Row],[Affected Feeder ]],'Basic Data'!$A$42:$E$53,3,0),"")</f>
        <v/>
      </c>
      <c r="J886" s="43" t="str">
        <f>IFERROR(VLOOKUP(IGA_BD[[#This Row],[Affected Feeder ]],'Basic Data'!$A$42:$E$53,5,0),"")</f>
        <v/>
      </c>
      <c r="K886" s="164"/>
      <c r="L886" s="50"/>
      <c r="M886" s="116"/>
      <c r="N886" s="116"/>
      <c r="O886" s="57">
        <f>(IGA_BD[[#This Row],[Work Start TimeStamp]]-IGA_BD[[#This Row],[Fault Start TimeStamp]])*24</f>
        <v>0</v>
      </c>
      <c r="P886" s="44" t="str">
        <f>IF(IGA_BD[[#This Row],[Work Start TimeStamp]]="","",(IGA_BD[[#This Row],[Fault Clearance time]]-IGA_BD[[#This Row],[Work Start TimeStamp]])*24)</f>
        <v/>
      </c>
      <c r="Q886" s="57">
        <f>(IGA_BD[[#This Row],[Fault Clearance time]]-IGA_BD[[#This Row],[Fault Start TimeStamp]])*24</f>
        <v>0</v>
      </c>
      <c r="R886" s="153"/>
      <c r="S886" s="44"/>
      <c r="T886" s="45" t="str">
        <f>IFERROR(IGA_BD[[#This Row],[Breakdown Time]]*IGA_BD[[#This Row],[Plant Equivalent Weightage]],"")</f>
        <v/>
      </c>
    </row>
    <row r="887" spans="1:20">
      <c r="A887" s="28"/>
      <c r="B887" s="154"/>
      <c r="C887" s="30">
        <f>YEAR(WTG_BD[[#This Row],[Date]])+IF(MONTH(WTG_BD[[#This Row],[Date]])&gt;=4,1,0)</f>
        <v>1900</v>
      </c>
      <c r="D887" s="31">
        <f>YEAR(IGA_BD[[#This Row],[Date]])</f>
        <v>1900</v>
      </c>
      <c r="E887" s="48">
        <f t="shared" si="16"/>
        <v>1</v>
      </c>
      <c r="F887" s="32"/>
      <c r="G887" s="33"/>
      <c r="H887" s="43" t="str">
        <f>IFERROR(VLOOKUP(IGA_BD[[#This Row],[Affected Feeder ]],'Basic Data'!$A$42:$E$53,2,0),"")</f>
        <v/>
      </c>
      <c r="I887" s="43" t="str">
        <f>IFERROR(VLOOKUP(IGA_BD[[#This Row],[Affected Feeder ]],'Basic Data'!$A$42:$E$53,3,0),"")</f>
        <v/>
      </c>
      <c r="J887" s="43" t="str">
        <f>IFERROR(VLOOKUP(IGA_BD[[#This Row],[Affected Feeder ]],'Basic Data'!$A$42:$E$53,5,0),"")</f>
        <v/>
      </c>
      <c r="K887" s="164"/>
      <c r="L887" s="50"/>
      <c r="M887" s="116"/>
      <c r="N887" s="116"/>
      <c r="O887" s="57">
        <f>(IGA_BD[[#This Row],[Work Start TimeStamp]]-IGA_BD[[#This Row],[Fault Start TimeStamp]])*24</f>
        <v>0</v>
      </c>
      <c r="P887" s="44" t="str">
        <f>IF(IGA_BD[[#This Row],[Work Start TimeStamp]]="","",(IGA_BD[[#This Row],[Fault Clearance time]]-IGA_BD[[#This Row],[Work Start TimeStamp]])*24)</f>
        <v/>
      </c>
      <c r="Q887" s="57">
        <f>(IGA_BD[[#This Row],[Fault Clearance time]]-IGA_BD[[#This Row],[Fault Start TimeStamp]])*24</f>
        <v>0</v>
      </c>
      <c r="R887" s="153"/>
      <c r="S887" s="44"/>
      <c r="T887" s="45" t="str">
        <f>IFERROR(IGA_BD[[#This Row],[Breakdown Time]]*IGA_BD[[#This Row],[Plant Equivalent Weightage]],"")</f>
        <v/>
      </c>
    </row>
    <row r="888" spans="1:20">
      <c r="A888" s="28"/>
      <c r="B888" s="154"/>
      <c r="C888" s="30">
        <f>YEAR(WTG_BD[[#This Row],[Date]])+IF(MONTH(WTG_BD[[#This Row],[Date]])&gt;=4,1,0)</f>
        <v>1900</v>
      </c>
      <c r="D888" s="31">
        <f>YEAR(IGA_BD[[#This Row],[Date]])</f>
        <v>1900</v>
      </c>
      <c r="E888" s="48">
        <f t="shared" si="16"/>
        <v>1</v>
      </c>
      <c r="F888" s="32"/>
      <c r="G888" s="33"/>
      <c r="H888" s="43" t="str">
        <f>IFERROR(VLOOKUP(IGA_BD[[#This Row],[Affected Feeder ]],'Basic Data'!$A$42:$E$53,2,0),"")</f>
        <v/>
      </c>
      <c r="I888" s="43" t="str">
        <f>IFERROR(VLOOKUP(IGA_BD[[#This Row],[Affected Feeder ]],'Basic Data'!$A$42:$E$53,3,0),"")</f>
        <v/>
      </c>
      <c r="J888" s="43" t="str">
        <f>IFERROR(VLOOKUP(IGA_BD[[#This Row],[Affected Feeder ]],'Basic Data'!$A$42:$E$53,5,0),"")</f>
        <v/>
      </c>
      <c r="K888" s="164"/>
      <c r="L888" s="50"/>
      <c r="M888" s="116"/>
      <c r="N888" s="116"/>
      <c r="O888" s="57">
        <f>(IGA_BD[[#This Row],[Work Start TimeStamp]]-IGA_BD[[#This Row],[Fault Start TimeStamp]])*24</f>
        <v>0</v>
      </c>
      <c r="P888" s="44" t="str">
        <f>IF(IGA_BD[[#This Row],[Work Start TimeStamp]]="","",(IGA_BD[[#This Row],[Fault Clearance time]]-IGA_BD[[#This Row],[Work Start TimeStamp]])*24)</f>
        <v/>
      </c>
      <c r="Q888" s="57">
        <f>(IGA_BD[[#This Row],[Fault Clearance time]]-IGA_BD[[#This Row],[Fault Start TimeStamp]])*24</f>
        <v>0</v>
      </c>
      <c r="R888" s="153"/>
      <c r="S888" s="44"/>
      <c r="T888" s="45" t="str">
        <f>IFERROR(IGA_BD[[#This Row],[Breakdown Time]]*IGA_BD[[#This Row],[Plant Equivalent Weightage]],"")</f>
        <v/>
      </c>
    </row>
    <row r="889" spans="1:20">
      <c r="A889" s="28"/>
      <c r="B889" s="154"/>
      <c r="C889" s="30">
        <f>YEAR(WTG_BD[[#This Row],[Date]])+IF(MONTH(WTG_BD[[#This Row],[Date]])&gt;=4,1,0)</f>
        <v>1900</v>
      </c>
      <c r="D889" s="31">
        <f>YEAR(IGA_BD[[#This Row],[Date]])</f>
        <v>1900</v>
      </c>
      <c r="E889" s="48">
        <f t="shared" si="16"/>
        <v>1</v>
      </c>
      <c r="F889" s="32"/>
      <c r="G889" s="33"/>
      <c r="H889" s="43" t="str">
        <f>IFERROR(VLOOKUP(IGA_BD[[#This Row],[Affected Feeder ]],'Basic Data'!$A$42:$E$53,2,0),"")</f>
        <v/>
      </c>
      <c r="I889" s="43" t="str">
        <f>IFERROR(VLOOKUP(IGA_BD[[#This Row],[Affected Feeder ]],'Basic Data'!$A$42:$E$53,3,0),"")</f>
        <v/>
      </c>
      <c r="J889" s="43" t="str">
        <f>IFERROR(VLOOKUP(IGA_BD[[#This Row],[Affected Feeder ]],'Basic Data'!$A$42:$E$53,5,0),"")</f>
        <v/>
      </c>
      <c r="K889" s="164"/>
      <c r="L889" s="50"/>
      <c r="M889" s="116"/>
      <c r="N889" s="116"/>
      <c r="O889" s="57">
        <f>(IGA_BD[[#This Row],[Work Start TimeStamp]]-IGA_BD[[#This Row],[Fault Start TimeStamp]])*24</f>
        <v>0</v>
      </c>
      <c r="P889" s="44" t="str">
        <f>IF(IGA_BD[[#This Row],[Work Start TimeStamp]]="","",(IGA_BD[[#This Row],[Fault Clearance time]]-IGA_BD[[#This Row],[Work Start TimeStamp]])*24)</f>
        <v/>
      </c>
      <c r="Q889" s="57">
        <f>(IGA_BD[[#This Row],[Fault Clearance time]]-IGA_BD[[#This Row],[Fault Start TimeStamp]])*24</f>
        <v>0</v>
      </c>
      <c r="R889" s="153"/>
      <c r="S889" s="44"/>
      <c r="T889" s="45" t="str">
        <f>IFERROR(IGA_BD[[#This Row],[Breakdown Time]]*IGA_BD[[#This Row],[Plant Equivalent Weightage]],"")</f>
        <v/>
      </c>
    </row>
    <row r="890" spans="1:20">
      <c r="A890" s="28"/>
      <c r="B890" s="154"/>
      <c r="C890" s="30">
        <f>YEAR(WTG_BD[[#This Row],[Date]])+IF(MONTH(WTG_BD[[#This Row],[Date]])&gt;=4,1,0)</f>
        <v>1900</v>
      </c>
      <c r="D890" s="31">
        <f>YEAR(IGA_BD[[#This Row],[Date]])</f>
        <v>1900</v>
      </c>
      <c r="E890" s="48">
        <f t="shared" si="16"/>
        <v>1</v>
      </c>
      <c r="F890" s="32"/>
      <c r="G890" s="33"/>
      <c r="H890" s="43" t="str">
        <f>IFERROR(VLOOKUP(IGA_BD[[#This Row],[Affected Feeder ]],'Basic Data'!$A$42:$E$53,2,0),"")</f>
        <v/>
      </c>
      <c r="I890" s="43" t="str">
        <f>IFERROR(VLOOKUP(IGA_BD[[#This Row],[Affected Feeder ]],'Basic Data'!$A$42:$E$53,3,0),"")</f>
        <v/>
      </c>
      <c r="J890" s="43" t="str">
        <f>IFERROR(VLOOKUP(IGA_BD[[#This Row],[Affected Feeder ]],'Basic Data'!$A$42:$E$53,5,0),"")</f>
        <v/>
      </c>
      <c r="K890" s="164"/>
      <c r="L890" s="50"/>
      <c r="M890" s="116"/>
      <c r="N890" s="116"/>
      <c r="O890" s="57">
        <f>(IGA_BD[[#This Row],[Work Start TimeStamp]]-IGA_BD[[#This Row],[Fault Start TimeStamp]])*24</f>
        <v>0</v>
      </c>
      <c r="P890" s="44" t="str">
        <f>IF(IGA_BD[[#This Row],[Work Start TimeStamp]]="","",(IGA_BD[[#This Row],[Fault Clearance time]]-IGA_BD[[#This Row],[Work Start TimeStamp]])*24)</f>
        <v/>
      </c>
      <c r="Q890" s="57">
        <f>(IGA_BD[[#This Row],[Fault Clearance time]]-IGA_BD[[#This Row],[Fault Start TimeStamp]])*24</f>
        <v>0</v>
      </c>
      <c r="R890" s="153"/>
      <c r="S890" s="44"/>
      <c r="T890" s="45" t="str">
        <f>IFERROR(IGA_BD[[#This Row],[Breakdown Time]]*IGA_BD[[#This Row],[Plant Equivalent Weightage]],"")</f>
        <v/>
      </c>
    </row>
    <row r="891" spans="1:20">
      <c r="A891" s="28"/>
      <c r="B891" s="154"/>
      <c r="C891" s="30">
        <f>YEAR(WTG_BD[[#This Row],[Date]])+IF(MONTH(WTG_BD[[#This Row],[Date]])&gt;=4,1,0)</f>
        <v>1900</v>
      </c>
      <c r="D891" s="31">
        <f>YEAR(IGA_BD[[#This Row],[Date]])</f>
        <v>1900</v>
      </c>
      <c r="E891" s="48">
        <f t="shared" si="16"/>
        <v>1</v>
      </c>
      <c r="F891" s="32"/>
      <c r="G891" s="33"/>
      <c r="H891" s="43" t="str">
        <f>IFERROR(VLOOKUP(IGA_BD[[#This Row],[Affected Feeder ]],'Basic Data'!$A$42:$E$53,2,0),"")</f>
        <v/>
      </c>
      <c r="I891" s="43" t="str">
        <f>IFERROR(VLOOKUP(IGA_BD[[#This Row],[Affected Feeder ]],'Basic Data'!$A$42:$E$53,3,0),"")</f>
        <v/>
      </c>
      <c r="J891" s="43" t="str">
        <f>IFERROR(VLOOKUP(IGA_BD[[#This Row],[Affected Feeder ]],'Basic Data'!$A$42:$E$53,5,0),"")</f>
        <v/>
      </c>
      <c r="K891" s="164"/>
      <c r="L891" s="50"/>
      <c r="M891" s="116"/>
      <c r="N891" s="116"/>
      <c r="O891" s="57">
        <f>(IGA_BD[[#This Row],[Work Start TimeStamp]]-IGA_BD[[#This Row],[Fault Start TimeStamp]])*24</f>
        <v>0</v>
      </c>
      <c r="P891" s="44" t="str">
        <f>IF(IGA_BD[[#This Row],[Work Start TimeStamp]]="","",(IGA_BD[[#This Row],[Fault Clearance time]]-IGA_BD[[#This Row],[Work Start TimeStamp]])*24)</f>
        <v/>
      </c>
      <c r="Q891" s="57">
        <f>(IGA_BD[[#This Row],[Fault Clearance time]]-IGA_BD[[#This Row],[Fault Start TimeStamp]])*24</f>
        <v>0</v>
      </c>
      <c r="R891" s="153"/>
      <c r="S891" s="44"/>
      <c r="T891" s="45" t="str">
        <f>IFERROR(IGA_BD[[#This Row],[Breakdown Time]]*IGA_BD[[#This Row],[Plant Equivalent Weightage]],"")</f>
        <v/>
      </c>
    </row>
    <row r="892" spans="1:20">
      <c r="A892" s="28"/>
      <c r="B892" s="154"/>
      <c r="C892" s="30">
        <f>YEAR(WTG_BD[[#This Row],[Date]])+IF(MONTH(WTG_BD[[#This Row],[Date]])&gt;=4,1,0)</f>
        <v>1900</v>
      </c>
      <c r="D892" s="31">
        <f>YEAR(IGA_BD[[#This Row],[Date]])</f>
        <v>1900</v>
      </c>
      <c r="E892" s="48">
        <f t="shared" si="16"/>
        <v>1</v>
      </c>
      <c r="F892" s="32"/>
      <c r="G892" s="33"/>
      <c r="H892" s="43" t="str">
        <f>IFERROR(VLOOKUP(IGA_BD[[#This Row],[Affected Feeder ]],'Basic Data'!$A$42:$E$53,2,0),"")</f>
        <v/>
      </c>
      <c r="I892" s="43" t="str">
        <f>IFERROR(VLOOKUP(IGA_BD[[#This Row],[Affected Feeder ]],'Basic Data'!$A$42:$E$53,3,0),"")</f>
        <v/>
      </c>
      <c r="J892" s="43" t="str">
        <f>IFERROR(VLOOKUP(IGA_BD[[#This Row],[Affected Feeder ]],'Basic Data'!$A$42:$E$53,5,0),"")</f>
        <v/>
      </c>
      <c r="K892" s="164"/>
      <c r="L892" s="50"/>
      <c r="M892" s="116"/>
      <c r="N892" s="116"/>
      <c r="O892" s="57">
        <f>(IGA_BD[[#This Row],[Work Start TimeStamp]]-IGA_BD[[#This Row],[Fault Start TimeStamp]])*24</f>
        <v>0</v>
      </c>
      <c r="P892" s="44" t="str">
        <f>IF(IGA_BD[[#This Row],[Work Start TimeStamp]]="","",(IGA_BD[[#This Row],[Fault Clearance time]]-IGA_BD[[#This Row],[Work Start TimeStamp]])*24)</f>
        <v/>
      </c>
      <c r="Q892" s="57">
        <f>(IGA_BD[[#This Row],[Fault Clearance time]]-IGA_BD[[#This Row],[Fault Start TimeStamp]])*24</f>
        <v>0</v>
      </c>
      <c r="R892" s="153"/>
      <c r="S892" s="44"/>
      <c r="T892" s="45" t="str">
        <f>IFERROR(IGA_BD[[#This Row],[Breakdown Time]]*IGA_BD[[#This Row],[Plant Equivalent Weightage]],"")</f>
        <v/>
      </c>
    </row>
    <row r="893" spans="1:20">
      <c r="A893" s="28"/>
      <c r="B893" s="154"/>
      <c r="C893" s="30">
        <f>YEAR(WTG_BD[[#This Row],[Date]])+IF(MONTH(WTG_BD[[#This Row],[Date]])&gt;=4,1,0)</f>
        <v>1900</v>
      </c>
      <c r="D893" s="31">
        <f>YEAR(IGA_BD[[#This Row],[Date]])</f>
        <v>1900</v>
      </c>
      <c r="E893" s="48">
        <f t="shared" si="16"/>
        <v>1</v>
      </c>
      <c r="F893" s="32"/>
      <c r="G893" s="33"/>
      <c r="H893" s="43" t="str">
        <f>IFERROR(VLOOKUP(IGA_BD[[#This Row],[Affected Feeder ]],'Basic Data'!$A$42:$E$53,2,0),"")</f>
        <v/>
      </c>
      <c r="I893" s="43" t="str">
        <f>IFERROR(VLOOKUP(IGA_BD[[#This Row],[Affected Feeder ]],'Basic Data'!$A$42:$E$53,3,0),"")</f>
        <v/>
      </c>
      <c r="J893" s="43" t="str">
        <f>IFERROR(VLOOKUP(IGA_BD[[#This Row],[Affected Feeder ]],'Basic Data'!$A$42:$E$53,5,0),"")</f>
        <v/>
      </c>
      <c r="K893" s="164"/>
      <c r="L893" s="50"/>
      <c r="M893" s="116"/>
      <c r="N893" s="116"/>
      <c r="O893" s="57">
        <f>(IGA_BD[[#This Row],[Work Start TimeStamp]]-IGA_BD[[#This Row],[Fault Start TimeStamp]])*24</f>
        <v>0</v>
      </c>
      <c r="P893" s="44" t="str">
        <f>IF(IGA_BD[[#This Row],[Work Start TimeStamp]]="","",(IGA_BD[[#This Row],[Fault Clearance time]]-IGA_BD[[#This Row],[Work Start TimeStamp]])*24)</f>
        <v/>
      </c>
      <c r="Q893" s="57">
        <f>(IGA_BD[[#This Row],[Fault Clearance time]]-IGA_BD[[#This Row],[Fault Start TimeStamp]])*24</f>
        <v>0</v>
      </c>
      <c r="R893" s="153"/>
      <c r="S893" s="44"/>
      <c r="T893" s="45" t="str">
        <f>IFERROR(IGA_BD[[#This Row],[Breakdown Time]]*IGA_BD[[#This Row],[Plant Equivalent Weightage]],"")</f>
        <v/>
      </c>
    </row>
    <row r="894" spans="1:20">
      <c r="A894" s="28"/>
      <c r="B894" s="154"/>
      <c r="C894" s="30">
        <f>YEAR(WTG_BD[[#This Row],[Date]])+IF(MONTH(WTG_BD[[#This Row],[Date]])&gt;=4,1,0)</f>
        <v>1900</v>
      </c>
      <c r="D894" s="31">
        <f>YEAR(IGA_BD[[#This Row],[Date]])</f>
        <v>1900</v>
      </c>
      <c r="E894" s="48">
        <f t="shared" si="16"/>
        <v>1</v>
      </c>
      <c r="F894" s="32"/>
      <c r="G894" s="33"/>
      <c r="H894" s="43" t="str">
        <f>IFERROR(VLOOKUP(IGA_BD[[#This Row],[Affected Feeder ]],'Basic Data'!$A$42:$E$53,2,0),"")</f>
        <v/>
      </c>
      <c r="I894" s="43" t="str">
        <f>IFERROR(VLOOKUP(IGA_BD[[#This Row],[Affected Feeder ]],'Basic Data'!$A$42:$E$53,3,0),"")</f>
        <v/>
      </c>
      <c r="J894" s="43" t="str">
        <f>IFERROR(VLOOKUP(IGA_BD[[#This Row],[Affected Feeder ]],'Basic Data'!$A$42:$E$53,5,0),"")</f>
        <v/>
      </c>
      <c r="K894" s="164"/>
      <c r="L894" s="50"/>
      <c r="M894" s="116"/>
      <c r="N894" s="116"/>
      <c r="O894" s="57">
        <f>(IGA_BD[[#This Row],[Work Start TimeStamp]]-IGA_BD[[#This Row],[Fault Start TimeStamp]])*24</f>
        <v>0</v>
      </c>
      <c r="P894" s="44" t="str">
        <f>IF(IGA_BD[[#This Row],[Work Start TimeStamp]]="","",(IGA_BD[[#This Row],[Fault Clearance time]]-IGA_BD[[#This Row],[Work Start TimeStamp]])*24)</f>
        <v/>
      </c>
      <c r="Q894" s="57">
        <f>(IGA_BD[[#This Row],[Fault Clearance time]]-IGA_BD[[#This Row],[Fault Start TimeStamp]])*24</f>
        <v>0</v>
      </c>
      <c r="R894" s="153"/>
      <c r="S894" s="44"/>
      <c r="T894" s="45" t="str">
        <f>IFERROR(IGA_BD[[#This Row],[Breakdown Time]]*IGA_BD[[#This Row],[Plant Equivalent Weightage]],"")</f>
        <v/>
      </c>
    </row>
    <row r="895" spans="1:20">
      <c r="A895" s="28"/>
      <c r="B895" s="154"/>
      <c r="C895" s="30">
        <f>YEAR(WTG_BD[[#This Row],[Date]])+IF(MONTH(WTG_BD[[#This Row],[Date]])&gt;=4,1,0)</f>
        <v>1900</v>
      </c>
      <c r="D895" s="31">
        <f>YEAR(IGA_BD[[#This Row],[Date]])</f>
        <v>1900</v>
      </c>
      <c r="E895" s="48">
        <f t="shared" si="16"/>
        <v>1</v>
      </c>
      <c r="F895" s="32"/>
      <c r="G895" s="33"/>
      <c r="H895" s="43" t="str">
        <f>IFERROR(VLOOKUP(IGA_BD[[#This Row],[Affected Feeder ]],'Basic Data'!$A$42:$E$53,2,0),"")</f>
        <v/>
      </c>
      <c r="I895" s="43" t="str">
        <f>IFERROR(VLOOKUP(IGA_BD[[#This Row],[Affected Feeder ]],'Basic Data'!$A$42:$E$53,3,0),"")</f>
        <v/>
      </c>
      <c r="J895" s="43" t="str">
        <f>IFERROR(VLOOKUP(IGA_BD[[#This Row],[Affected Feeder ]],'Basic Data'!$A$42:$E$53,5,0),"")</f>
        <v/>
      </c>
      <c r="K895" s="164"/>
      <c r="L895" s="50"/>
      <c r="M895" s="116"/>
      <c r="N895" s="116"/>
      <c r="O895" s="57">
        <f>(IGA_BD[[#This Row],[Work Start TimeStamp]]-IGA_BD[[#This Row],[Fault Start TimeStamp]])*24</f>
        <v>0</v>
      </c>
      <c r="P895" s="44" t="str">
        <f>IF(IGA_BD[[#This Row],[Work Start TimeStamp]]="","",(IGA_BD[[#This Row],[Fault Clearance time]]-IGA_BD[[#This Row],[Work Start TimeStamp]])*24)</f>
        <v/>
      </c>
      <c r="Q895" s="57">
        <f>(IGA_BD[[#This Row],[Fault Clearance time]]-IGA_BD[[#This Row],[Fault Start TimeStamp]])*24</f>
        <v>0</v>
      </c>
      <c r="R895" s="153"/>
      <c r="S895" s="44"/>
      <c r="T895" s="45" t="str">
        <f>IFERROR(IGA_BD[[#This Row],[Breakdown Time]]*IGA_BD[[#This Row],[Plant Equivalent Weightage]],"")</f>
        <v/>
      </c>
    </row>
    <row r="896" spans="1:20">
      <c r="A896" s="28"/>
      <c r="B896" s="154"/>
      <c r="C896" s="30">
        <f>YEAR(WTG_BD[[#This Row],[Date]])+IF(MONTH(WTG_BD[[#This Row],[Date]])&gt;=4,1,0)</f>
        <v>1900</v>
      </c>
      <c r="D896" s="31">
        <f>YEAR(IGA_BD[[#This Row],[Date]])</f>
        <v>1900</v>
      </c>
      <c r="E896" s="48">
        <f t="shared" si="16"/>
        <v>1</v>
      </c>
      <c r="F896" s="32"/>
      <c r="G896" s="33"/>
      <c r="H896" s="43" t="str">
        <f>IFERROR(VLOOKUP(IGA_BD[[#This Row],[Affected Feeder ]],'Basic Data'!$A$42:$E$53,2,0),"")</f>
        <v/>
      </c>
      <c r="I896" s="43" t="str">
        <f>IFERROR(VLOOKUP(IGA_BD[[#This Row],[Affected Feeder ]],'Basic Data'!$A$42:$E$53,3,0),"")</f>
        <v/>
      </c>
      <c r="J896" s="43" t="str">
        <f>IFERROR(VLOOKUP(IGA_BD[[#This Row],[Affected Feeder ]],'Basic Data'!$A$42:$E$53,5,0),"")</f>
        <v/>
      </c>
      <c r="K896" s="164"/>
      <c r="L896" s="50"/>
      <c r="M896" s="116"/>
      <c r="N896" s="116"/>
      <c r="O896" s="57">
        <f>(IGA_BD[[#This Row],[Work Start TimeStamp]]-IGA_BD[[#This Row],[Fault Start TimeStamp]])*24</f>
        <v>0</v>
      </c>
      <c r="P896" s="44" t="str">
        <f>IF(IGA_BD[[#This Row],[Work Start TimeStamp]]="","",(IGA_BD[[#This Row],[Fault Clearance time]]-IGA_BD[[#This Row],[Work Start TimeStamp]])*24)</f>
        <v/>
      </c>
      <c r="Q896" s="57">
        <f>(IGA_BD[[#This Row],[Fault Clearance time]]-IGA_BD[[#This Row],[Fault Start TimeStamp]])*24</f>
        <v>0</v>
      </c>
      <c r="R896" s="153"/>
      <c r="S896" s="44"/>
      <c r="T896" s="45" t="str">
        <f>IFERROR(IGA_BD[[#This Row],[Breakdown Time]]*IGA_BD[[#This Row],[Plant Equivalent Weightage]],"")</f>
        <v/>
      </c>
    </row>
    <row r="897" spans="1:20">
      <c r="A897" s="28"/>
      <c r="B897" s="154"/>
      <c r="C897" s="30">
        <f>YEAR(WTG_BD[[#This Row],[Date]])+IF(MONTH(WTG_BD[[#This Row],[Date]])&gt;=4,1,0)</f>
        <v>1900</v>
      </c>
      <c r="D897" s="31">
        <f>YEAR(IGA_BD[[#This Row],[Date]])</f>
        <v>1900</v>
      </c>
      <c r="E897" s="48">
        <f t="shared" si="16"/>
        <v>1</v>
      </c>
      <c r="F897" s="32"/>
      <c r="G897" s="33"/>
      <c r="H897" s="43" t="str">
        <f>IFERROR(VLOOKUP(IGA_BD[[#This Row],[Affected Feeder ]],'Basic Data'!$A$42:$E$53,2,0),"")</f>
        <v/>
      </c>
      <c r="I897" s="43" t="str">
        <f>IFERROR(VLOOKUP(IGA_BD[[#This Row],[Affected Feeder ]],'Basic Data'!$A$42:$E$53,3,0),"")</f>
        <v/>
      </c>
      <c r="J897" s="43" t="str">
        <f>IFERROR(VLOOKUP(IGA_BD[[#This Row],[Affected Feeder ]],'Basic Data'!$A$42:$E$53,5,0),"")</f>
        <v/>
      </c>
      <c r="K897" s="164"/>
      <c r="L897" s="50"/>
      <c r="M897" s="116"/>
      <c r="N897" s="116"/>
      <c r="O897" s="57">
        <f>(IGA_BD[[#This Row],[Work Start TimeStamp]]-IGA_BD[[#This Row],[Fault Start TimeStamp]])*24</f>
        <v>0</v>
      </c>
      <c r="P897" s="44" t="str">
        <f>IF(IGA_BD[[#This Row],[Work Start TimeStamp]]="","",(IGA_BD[[#This Row],[Fault Clearance time]]-IGA_BD[[#This Row],[Work Start TimeStamp]])*24)</f>
        <v/>
      </c>
      <c r="Q897" s="57">
        <f>(IGA_BD[[#This Row],[Fault Clearance time]]-IGA_BD[[#This Row],[Fault Start TimeStamp]])*24</f>
        <v>0</v>
      </c>
      <c r="R897" s="153"/>
      <c r="S897" s="44"/>
      <c r="T897" s="45" t="str">
        <f>IFERROR(IGA_BD[[#This Row],[Breakdown Time]]*IGA_BD[[#This Row],[Plant Equivalent Weightage]],"")</f>
        <v/>
      </c>
    </row>
    <row r="898" spans="1:20">
      <c r="A898" s="28"/>
      <c r="B898" s="154"/>
      <c r="C898" s="30">
        <f>YEAR(WTG_BD[[#This Row],[Date]])+IF(MONTH(WTG_BD[[#This Row],[Date]])&gt;=4,1,0)</f>
        <v>1900</v>
      </c>
      <c r="D898" s="31">
        <f>YEAR(IGA_BD[[#This Row],[Date]])</f>
        <v>1900</v>
      </c>
      <c r="E898" s="48">
        <f t="shared" si="16"/>
        <v>1</v>
      </c>
      <c r="F898" s="32"/>
      <c r="G898" s="33"/>
      <c r="H898" s="43" t="str">
        <f>IFERROR(VLOOKUP(IGA_BD[[#This Row],[Affected Feeder ]],'Basic Data'!$A$42:$E$53,2,0),"")</f>
        <v/>
      </c>
      <c r="I898" s="43" t="str">
        <f>IFERROR(VLOOKUP(IGA_BD[[#This Row],[Affected Feeder ]],'Basic Data'!$A$42:$E$53,3,0),"")</f>
        <v/>
      </c>
      <c r="J898" s="43" t="str">
        <f>IFERROR(VLOOKUP(IGA_BD[[#This Row],[Affected Feeder ]],'Basic Data'!$A$42:$E$53,5,0),"")</f>
        <v/>
      </c>
      <c r="K898" s="164"/>
      <c r="L898" s="50"/>
      <c r="M898" s="116"/>
      <c r="N898" s="116"/>
      <c r="O898" s="57">
        <f>(IGA_BD[[#This Row],[Work Start TimeStamp]]-IGA_BD[[#This Row],[Fault Start TimeStamp]])*24</f>
        <v>0</v>
      </c>
      <c r="P898" s="44" t="str">
        <f>IF(IGA_BD[[#This Row],[Work Start TimeStamp]]="","",(IGA_BD[[#This Row],[Fault Clearance time]]-IGA_BD[[#This Row],[Work Start TimeStamp]])*24)</f>
        <v/>
      </c>
      <c r="Q898" s="57">
        <f>(IGA_BD[[#This Row],[Fault Clearance time]]-IGA_BD[[#This Row],[Fault Start TimeStamp]])*24</f>
        <v>0</v>
      </c>
      <c r="R898" s="153"/>
      <c r="S898" s="44"/>
      <c r="T898" s="45" t="str">
        <f>IFERROR(IGA_BD[[#This Row],[Breakdown Time]]*IGA_BD[[#This Row],[Plant Equivalent Weightage]],"")</f>
        <v/>
      </c>
    </row>
    <row r="899" spans="1:20">
      <c r="A899" s="28"/>
      <c r="B899" s="154"/>
      <c r="C899" s="30">
        <f>YEAR(WTG_BD[[#This Row],[Date]])+IF(MONTH(WTG_BD[[#This Row],[Date]])&gt;=4,1,0)</f>
        <v>1900</v>
      </c>
      <c r="D899" s="31">
        <f>YEAR(IGA_BD[[#This Row],[Date]])</f>
        <v>1900</v>
      </c>
      <c r="E899" s="48">
        <f t="shared" si="16"/>
        <v>1</v>
      </c>
      <c r="F899" s="32"/>
      <c r="G899" s="33"/>
      <c r="H899" s="43" t="str">
        <f>IFERROR(VLOOKUP(IGA_BD[[#This Row],[Affected Feeder ]],'Basic Data'!$A$42:$E$53,2,0),"")</f>
        <v/>
      </c>
      <c r="I899" s="43" t="str">
        <f>IFERROR(VLOOKUP(IGA_BD[[#This Row],[Affected Feeder ]],'Basic Data'!$A$42:$E$53,3,0),"")</f>
        <v/>
      </c>
      <c r="J899" s="43" t="str">
        <f>IFERROR(VLOOKUP(IGA_BD[[#This Row],[Affected Feeder ]],'Basic Data'!$A$42:$E$53,5,0),"")</f>
        <v/>
      </c>
      <c r="K899" s="164"/>
      <c r="L899" s="50"/>
      <c r="M899" s="116"/>
      <c r="N899" s="116"/>
      <c r="O899" s="57">
        <f>(IGA_BD[[#This Row],[Work Start TimeStamp]]-IGA_BD[[#This Row],[Fault Start TimeStamp]])*24</f>
        <v>0</v>
      </c>
      <c r="P899" s="44" t="str">
        <f>IF(IGA_BD[[#This Row],[Work Start TimeStamp]]="","",(IGA_BD[[#This Row],[Fault Clearance time]]-IGA_BD[[#This Row],[Work Start TimeStamp]])*24)</f>
        <v/>
      </c>
      <c r="Q899" s="57">
        <f>(IGA_BD[[#This Row],[Fault Clearance time]]-IGA_BD[[#This Row],[Fault Start TimeStamp]])*24</f>
        <v>0</v>
      </c>
      <c r="R899" s="153"/>
      <c r="S899" s="44"/>
      <c r="T899" s="45" t="str">
        <f>IFERROR(IGA_BD[[#This Row],[Breakdown Time]]*IGA_BD[[#This Row],[Plant Equivalent Weightage]],"")</f>
        <v/>
      </c>
    </row>
    <row r="900" spans="1:20">
      <c r="A900" s="28"/>
      <c r="B900" s="154"/>
      <c r="C900" s="30">
        <f>YEAR(WTG_BD[[#This Row],[Date]])+IF(MONTH(WTG_BD[[#This Row],[Date]])&gt;=4,1,0)</f>
        <v>1900</v>
      </c>
      <c r="D900" s="31">
        <f>YEAR(IGA_BD[[#This Row],[Date]])</f>
        <v>1900</v>
      </c>
      <c r="E900" s="48">
        <f t="shared" si="16"/>
        <v>1</v>
      </c>
      <c r="F900" s="32"/>
      <c r="G900" s="33"/>
      <c r="H900" s="43" t="str">
        <f>IFERROR(VLOOKUP(IGA_BD[[#This Row],[Affected Feeder ]],'Basic Data'!$A$42:$E$53,2,0),"")</f>
        <v/>
      </c>
      <c r="I900" s="43" t="str">
        <f>IFERROR(VLOOKUP(IGA_BD[[#This Row],[Affected Feeder ]],'Basic Data'!$A$42:$E$53,3,0),"")</f>
        <v/>
      </c>
      <c r="J900" s="43" t="str">
        <f>IFERROR(VLOOKUP(IGA_BD[[#This Row],[Affected Feeder ]],'Basic Data'!$A$42:$E$53,5,0),"")</f>
        <v/>
      </c>
      <c r="K900" s="164"/>
      <c r="L900" s="50"/>
      <c r="M900" s="116"/>
      <c r="N900" s="116"/>
      <c r="O900" s="57">
        <f>(IGA_BD[[#This Row],[Work Start TimeStamp]]-IGA_BD[[#This Row],[Fault Start TimeStamp]])*24</f>
        <v>0</v>
      </c>
      <c r="P900" s="44" t="str">
        <f>IF(IGA_BD[[#This Row],[Work Start TimeStamp]]="","",(IGA_BD[[#This Row],[Fault Clearance time]]-IGA_BD[[#This Row],[Work Start TimeStamp]])*24)</f>
        <v/>
      </c>
      <c r="Q900" s="57">
        <f>(IGA_BD[[#This Row],[Fault Clearance time]]-IGA_BD[[#This Row],[Fault Start TimeStamp]])*24</f>
        <v>0</v>
      </c>
      <c r="R900" s="153"/>
      <c r="S900" s="44"/>
      <c r="T900" s="45" t="str">
        <f>IFERROR(IGA_BD[[#This Row],[Breakdown Time]]*IGA_BD[[#This Row],[Plant Equivalent Weightage]],"")</f>
        <v/>
      </c>
    </row>
    <row r="901" spans="1:20">
      <c r="A901" s="28"/>
      <c r="B901" s="154"/>
      <c r="C901" s="30">
        <f>YEAR(WTG_BD[[#This Row],[Date]])+IF(MONTH(WTG_BD[[#This Row],[Date]])&gt;=4,1,0)</f>
        <v>1900</v>
      </c>
      <c r="D901" s="31">
        <f>YEAR(IGA_BD[[#This Row],[Date]])</f>
        <v>1900</v>
      </c>
      <c r="E901" s="48">
        <f t="shared" si="16"/>
        <v>1</v>
      </c>
      <c r="F901" s="32"/>
      <c r="G901" s="33"/>
      <c r="H901" s="43" t="str">
        <f>IFERROR(VLOOKUP(IGA_BD[[#This Row],[Affected Feeder ]],'Basic Data'!$A$42:$E$53,2,0),"")</f>
        <v/>
      </c>
      <c r="I901" s="43" t="str">
        <f>IFERROR(VLOOKUP(IGA_BD[[#This Row],[Affected Feeder ]],'Basic Data'!$A$42:$E$53,3,0),"")</f>
        <v/>
      </c>
      <c r="J901" s="43" t="str">
        <f>IFERROR(VLOOKUP(IGA_BD[[#This Row],[Affected Feeder ]],'Basic Data'!$A$42:$E$53,5,0),"")</f>
        <v/>
      </c>
      <c r="K901" s="164"/>
      <c r="L901" s="50"/>
      <c r="M901" s="116"/>
      <c r="N901" s="116"/>
      <c r="O901" s="57">
        <f>(IGA_BD[[#This Row],[Work Start TimeStamp]]-IGA_BD[[#This Row],[Fault Start TimeStamp]])*24</f>
        <v>0</v>
      </c>
      <c r="P901" s="44" t="str">
        <f>IF(IGA_BD[[#This Row],[Work Start TimeStamp]]="","",(IGA_BD[[#This Row],[Fault Clearance time]]-IGA_BD[[#This Row],[Work Start TimeStamp]])*24)</f>
        <v/>
      </c>
      <c r="Q901" s="57">
        <f>(IGA_BD[[#This Row],[Fault Clearance time]]-IGA_BD[[#This Row],[Fault Start TimeStamp]])*24</f>
        <v>0</v>
      </c>
      <c r="R901" s="153"/>
      <c r="S901" s="44"/>
      <c r="T901" s="45" t="str">
        <f>IFERROR(IGA_BD[[#This Row],[Breakdown Time]]*IGA_BD[[#This Row],[Plant Equivalent Weightage]],"")</f>
        <v/>
      </c>
    </row>
    <row r="902" spans="1:20">
      <c r="A902" s="28"/>
      <c r="B902" s="154"/>
      <c r="C902" s="30">
        <f>YEAR(WTG_BD[[#This Row],[Date]])+IF(MONTH(WTG_BD[[#This Row],[Date]])&gt;=4,1,0)</f>
        <v>1900</v>
      </c>
      <c r="D902" s="31">
        <f>YEAR(IGA_BD[[#This Row],[Date]])</f>
        <v>1900</v>
      </c>
      <c r="E902" s="48">
        <f t="shared" si="16"/>
        <v>1</v>
      </c>
      <c r="F902" s="32"/>
      <c r="G902" s="33"/>
      <c r="H902" s="43" t="str">
        <f>IFERROR(VLOOKUP(IGA_BD[[#This Row],[Affected Feeder ]],'Basic Data'!$A$42:$E$53,2,0),"")</f>
        <v/>
      </c>
      <c r="I902" s="43" t="str">
        <f>IFERROR(VLOOKUP(IGA_BD[[#This Row],[Affected Feeder ]],'Basic Data'!$A$42:$E$53,3,0),"")</f>
        <v/>
      </c>
      <c r="J902" s="43" t="str">
        <f>IFERROR(VLOOKUP(IGA_BD[[#This Row],[Affected Feeder ]],'Basic Data'!$A$42:$E$53,5,0),"")</f>
        <v/>
      </c>
      <c r="K902" s="164"/>
      <c r="L902" s="50"/>
      <c r="M902" s="116"/>
      <c r="N902" s="116"/>
      <c r="O902" s="57">
        <f>(IGA_BD[[#This Row],[Work Start TimeStamp]]-IGA_BD[[#This Row],[Fault Start TimeStamp]])*24</f>
        <v>0</v>
      </c>
      <c r="P902" s="44" t="str">
        <f>IF(IGA_BD[[#This Row],[Work Start TimeStamp]]="","",(IGA_BD[[#This Row],[Fault Clearance time]]-IGA_BD[[#This Row],[Work Start TimeStamp]])*24)</f>
        <v/>
      </c>
      <c r="Q902" s="57">
        <f>(IGA_BD[[#This Row],[Fault Clearance time]]-IGA_BD[[#This Row],[Fault Start TimeStamp]])*24</f>
        <v>0</v>
      </c>
      <c r="R902" s="153"/>
      <c r="S902" s="44"/>
      <c r="T902" s="45" t="str">
        <f>IFERROR(IGA_BD[[#This Row],[Breakdown Time]]*IGA_BD[[#This Row],[Plant Equivalent Weightage]],"")</f>
        <v/>
      </c>
    </row>
    <row r="903" spans="1:20">
      <c r="A903" s="28"/>
      <c r="B903" s="154"/>
      <c r="C903" s="30">
        <f>YEAR(WTG_BD[[#This Row],[Date]])+IF(MONTH(WTG_BD[[#This Row],[Date]])&gt;=4,1,0)</f>
        <v>1900</v>
      </c>
      <c r="D903" s="31">
        <f>YEAR(IGA_BD[[#This Row],[Date]])</f>
        <v>1900</v>
      </c>
      <c r="E903" s="48">
        <f t="shared" si="16"/>
        <v>1</v>
      </c>
      <c r="F903" s="32"/>
      <c r="G903" s="33"/>
      <c r="H903" s="43" t="str">
        <f>IFERROR(VLOOKUP(IGA_BD[[#This Row],[Affected Feeder ]],'Basic Data'!$A$42:$E$53,2,0),"")</f>
        <v/>
      </c>
      <c r="I903" s="43" t="str">
        <f>IFERROR(VLOOKUP(IGA_BD[[#This Row],[Affected Feeder ]],'Basic Data'!$A$42:$E$53,3,0),"")</f>
        <v/>
      </c>
      <c r="J903" s="43" t="str">
        <f>IFERROR(VLOOKUP(IGA_BD[[#This Row],[Affected Feeder ]],'Basic Data'!$A$42:$E$53,5,0),"")</f>
        <v/>
      </c>
      <c r="K903" s="164"/>
      <c r="L903" s="50"/>
      <c r="M903" s="116"/>
      <c r="N903" s="116"/>
      <c r="O903" s="57">
        <f>(IGA_BD[[#This Row],[Work Start TimeStamp]]-IGA_BD[[#This Row],[Fault Start TimeStamp]])*24</f>
        <v>0</v>
      </c>
      <c r="P903" s="44" t="str">
        <f>IF(IGA_BD[[#This Row],[Work Start TimeStamp]]="","",(IGA_BD[[#This Row],[Fault Clearance time]]-IGA_BD[[#This Row],[Work Start TimeStamp]])*24)</f>
        <v/>
      </c>
      <c r="Q903" s="57">
        <f>(IGA_BD[[#This Row],[Fault Clearance time]]-IGA_BD[[#This Row],[Fault Start TimeStamp]])*24</f>
        <v>0</v>
      </c>
      <c r="R903" s="153"/>
      <c r="S903" s="44"/>
      <c r="T903" s="45" t="str">
        <f>IFERROR(IGA_BD[[#This Row],[Breakdown Time]]*IGA_BD[[#This Row],[Plant Equivalent Weightage]],"")</f>
        <v/>
      </c>
    </row>
    <row r="904" spans="1:20">
      <c r="A904" s="28"/>
      <c r="B904" s="154"/>
      <c r="C904" s="30">
        <f>YEAR(WTG_BD[[#This Row],[Date]])+IF(MONTH(WTG_BD[[#This Row],[Date]])&gt;=4,1,0)</f>
        <v>1900</v>
      </c>
      <c r="D904" s="31">
        <f>YEAR(IGA_BD[[#This Row],[Date]])</f>
        <v>1900</v>
      </c>
      <c r="E904" s="48">
        <f t="shared" si="16"/>
        <v>1</v>
      </c>
      <c r="F904" s="32"/>
      <c r="G904" s="33"/>
      <c r="H904" s="43" t="str">
        <f>IFERROR(VLOOKUP(IGA_BD[[#This Row],[Affected Feeder ]],'Basic Data'!$A$42:$E$53,2,0),"")</f>
        <v/>
      </c>
      <c r="I904" s="43" t="str">
        <f>IFERROR(VLOOKUP(IGA_BD[[#This Row],[Affected Feeder ]],'Basic Data'!$A$42:$E$53,3,0),"")</f>
        <v/>
      </c>
      <c r="J904" s="43" t="str">
        <f>IFERROR(VLOOKUP(IGA_BD[[#This Row],[Affected Feeder ]],'Basic Data'!$A$42:$E$53,5,0),"")</f>
        <v/>
      </c>
      <c r="K904" s="164"/>
      <c r="L904" s="50"/>
      <c r="M904" s="116"/>
      <c r="N904" s="116"/>
      <c r="O904" s="57">
        <f>(IGA_BD[[#This Row],[Work Start TimeStamp]]-IGA_BD[[#This Row],[Fault Start TimeStamp]])*24</f>
        <v>0</v>
      </c>
      <c r="P904" s="44" t="str">
        <f>IF(IGA_BD[[#This Row],[Work Start TimeStamp]]="","",(IGA_BD[[#This Row],[Fault Clearance time]]-IGA_BD[[#This Row],[Work Start TimeStamp]])*24)</f>
        <v/>
      </c>
      <c r="Q904" s="57">
        <f>(IGA_BD[[#This Row],[Fault Clearance time]]-IGA_BD[[#This Row],[Fault Start TimeStamp]])*24</f>
        <v>0</v>
      </c>
      <c r="R904" s="153"/>
      <c r="S904" s="44"/>
      <c r="T904" s="45" t="str">
        <f>IFERROR(IGA_BD[[#This Row],[Breakdown Time]]*IGA_BD[[#This Row],[Plant Equivalent Weightage]],"")</f>
        <v/>
      </c>
    </row>
    <row r="905" spans="1:20">
      <c r="A905" s="28"/>
      <c r="B905" s="154"/>
      <c r="C905" s="30">
        <f>YEAR(WTG_BD[[#This Row],[Date]])+IF(MONTH(WTG_BD[[#This Row],[Date]])&gt;=4,1,0)</f>
        <v>1900</v>
      </c>
      <c r="D905" s="31">
        <f>YEAR(IGA_BD[[#This Row],[Date]])</f>
        <v>1900</v>
      </c>
      <c r="E905" s="48">
        <f t="shared" si="16"/>
        <v>1</v>
      </c>
      <c r="F905" s="32"/>
      <c r="G905" s="33"/>
      <c r="H905" s="43" t="str">
        <f>IFERROR(VLOOKUP(IGA_BD[[#This Row],[Affected Feeder ]],'Basic Data'!$A$42:$E$53,2,0),"")</f>
        <v/>
      </c>
      <c r="I905" s="43" t="str">
        <f>IFERROR(VLOOKUP(IGA_BD[[#This Row],[Affected Feeder ]],'Basic Data'!$A$42:$E$53,3,0),"")</f>
        <v/>
      </c>
      <c r="J905" s="43" t="str">
        <f>IFERROR(VLOOKUP(IGA_BD[[#This Row],[Affected Feeder ]],'Basic Data'!$A$42:$E$53,5,0),"")</f>
        <v/>
      </c>
      <c r="K905" s="164"/>
      <c r="L905" s="50"/>
      <c r="M905" s="116"/>
      <c r="N905" s="116"/>
      <c r="O905" s="57">
        <f>(IGA_BD[[#This Row],[Work Start TimeStamp]]-IGA_BD[[#This Row],[Fault Start TimeStamp]])*24</f>
        <v>0</v>
      </c>
      <c r="P905" s="44" t="str">
        <f>IF(IGA_BD[[#This Row],[Work Start TimeStamp]]="","",(IGA_BD[[#This Row],[Fault Clearance time]]-IGA_BD[[#This Row],[Work Start TimeStamp]])*24)</f>
        <v/>
      </c>
      <c r="Q905" s="57">
        <f>(IGA_BD[[#This Row],[Fault Clearance time]]-IGA_BD[[#This Row],[Fault Start TimeStamp]])*24</f>
        <v>0</v>
      </c>
      <c r="R905" s="153"/>
      <c r="S905" s="44"/>
      <c r="T905" s="45" t="str">
        <f>IFERROR(IGA_BD[[#This Row],[Breakdown Time]]*IGA_BD[[#This Row],[Plant Equivalent Weightage]],"")</f>
        <v/>
      </c>
    </row>
    <row r="906" spans="1:20">
      <c r="A906" s="28"/>
      <c r="B906" s="154"/>
      <c r="C906" s="30">
        <f>YEAR(WTG_BD[[#This Row],[Date]])+IF(MONTH(WTG_BD[[#This Row],[Date]])&gt;=4,1,0)</f>
        <v>1900</v>
      </c>
      <c r="D906" s="31">
        <f>YEAR(IGA_BD[[#This Row],[Date]])</f>
        <v>1900</v>
      </c>
      <c r="E906" s="48">
        <f t="shared" si="16"/>
        <v>1</v>
      </c>
      <c r="F906" s="32"/>
      <c r="G906" s="33"/>
      <c r="H906" s="43" t="str">
        <f>IFERROR(VLOOKUP(IGA_BD[[#This Row],[Affected Feeder ]],'Basic Data'!$A$42:$E$53,2,0),"")</f>
        <v/>
      </c>
      <c r="I906" s="43" t="str">
        <f>IFERROR(VLOOKUP(IGA_BD[[#This Row],[Affected Feeder ]],'Basic Data'!$A$42:$E$53,3,0),"")</f>
        <v/>
      </c>
      <c r="J906" s="43" t="str">
        <f>IFERROR(VLOOKUP(IGA_BD[[#This Row],[Affected Feeder ]],'Basic Data'!$A$42:$E$53,5,0),"")</f>
        <v/>
      </c>
      <c r="K906" s="164"/>
      <c r="L906" s="50"/>
      <c r="M906" s="116"/>
      <c r="N906" s="116"/>
      <c r="O906" s="57">
        <f>(IGA_BD[[#This Row],[Work Start TimeStamp]]-IGA_BD[[#This Row],[Fault Start TimeStamp]])*24</f>
        <v>0</v>
      </c>
      <c r="P906" s="44" t="str">
        <f>IF(IGA_BD[[#This Row],[Work Start TimeStamp]]="","",(IGA_BD[[#This Row],[Fault Clearance time]]-IGA_BD[[#This Row],[Work Start TimeStamp]])*24)</f>
        <v/>
      </c>
      <c r="Q906" s="57">
        <f>(IGA_BD[[#This Row],[Fault Clearance time]]-IGA_BD[[#This Row],[Fault Start TimeStamp]])*24</f>
        <v>0</v>
      </c>
      <c r="R906" s="153"/>
      <c r="S906" s="44"/>
      <c r="T906" s="45" t="str">
        <f>IFERROR(IGA_BD[[#This Row],[Breakdown Time]]*IGA_BD[[#This Row],[Plant Equivalent Weightage]],"")</f>
        <v/>
      </c>
    </row>
    <row r="907" spans="1:20">
      <c r="A907" s="28"/>
      <c r="B907" s="154"/>
      <c r="C907" s="30">
        <f>YEAR(WTG_BD[[#This Row],[Date]])+IF(MONTH(WTG_BD[[#This Row],[Date]])&gt;=4,1,0)</f>
        <v>1900</v>
      </c>
      <c r="D907" s="31">
        <f>YEAR(IGA_BD[[#This Row],[Date]])</f>
        <v>1900</v>
      </c>
      <c r="E907" s="48">
        <f t="shared" si="16"/>
        <v>1</v>
      </c>
      <c r="F907" s="32"/>
      <c r="G907" s="33"/>
      <c r="H907" s="43" t="str">
        <f>IFERROR(VLOOKUP(IGA_BD[[#This Row],[Affected Feeder ]],'Basic Data'!$A$42:$E$53,2,0),"")</f>
        <v/>
      </c>
      <c r="I907" s="43" t="str">
        <f>IFERROR(VLOOKUP(IGA_BD[[#This Row],[Affected Feeder ]],'Basic Data'!$A$42:$E$53,3,0),"")</f>
        <v/>
      </c>
      <c r="J907" s="43" t="str">
        <f>IFERROR(VLOOKUP(IGA_BD[[#This Row],[Affected Feeder ]],'Basic Data'!$A$42:$E$53,5,0),"")</f>
        <v/>
      </c>
      <c r="K907" s="164"/>
      <c r="L907" s="50"/>
      <c r="M907" s="116"/>
      <c r="N907" s="116"/>
      <c r="O907" s="57">
        <f>(IGA_BD[[#This Row],[Work Start TimeStamp]]-IGA_BD[[#This Row],[Fault Start TimeStamp]])*24</f>
        <v>0</v>
      </c>
      <c r="P907" s="44" t="str">
        <f>IF(IGA_BD[[#This Row],[Work Start TimeStamp]]="","",(IGA_BD[[#This Row],[Fault Clearance time]]-IGA_BD[[#This Row],[Work Start TimeStamp]])*24)</f>
        <v/>
      </c>
      <c r="Q907" s="57">
        <f>(IGA_BD[[#This Row],[Fault Clearance time]]-IGA_BD[[#This Row],[Fault Start TimeStamp]])*24</f>
        <v>0</v>
      </c>
      <c r="R907" s="153"/>
      <c r="S907" s="44"/>
      <c r="T907" s="45" t="str">
        <f>IFERROR(IGA_BD[[#This Row],[Breakdown Time]]*IGA_BD[[#This Row],[Plant Equivalent Weightage]],"")</f>
        <v/>
      </c>
    </row>
    <row r="908" spans="1:20">
      <c r="A908" s="28"/>
      <c r="B908" s="154"/>
      <c r="C908" s="30">
        <f>YEAR(WTG_BD[[#This Row],[Date]])+IF(MONTH(WTG_BD[[#This Row],[Date]])&gt;=4,1,0)</f>
        <v>1900</v>
      </c>
      <c r="D908" s="31">
        <f>YEAR(IGA_BD[[#This Row],[Date]])</f>
        <v>1900</v>
      </c>
      <c r="E908" s="48">
        <f t="shared" si="16"/>
        <v>1</v>
      </c>
      <c r="F908" s="32"/>
      <c r="G908" s="33"/>
      <c r="H908" s="43" t="str">
        <f>IFERROR(VLOOKUP(IGA_BD[[#This Row],[Affected Feeder ]],'Basic Data'!$A$42:$E$53,2,0),"")</f>
        <v/>
      </c>
      <c r="I908" s="43" t="str">
        <f>IFERROR(VLOOKUP(IGA_BD[[#This Row],[Affected Feeder ]],'Basic Data'!$A$42:$E$53,3,0),"")</f>
        <v/>
      </c>
      <c r="J908" s="43" t="str">
        <f>IFERROR(VLOOKUP(IGA_BD[[#This Row],[Affected Feeder ]],'Basic Data'!$A$42:$E$53,5,0),"")</f>
        <v/>
      </c>
      <c r="K908" s="164"/>
      <c r="L908" s="50"/>
      <c r="M908" s="116"/>
      <c r="N908" s="116"/>
      <c r="O908" s="57">
        <f>(IGA_BD[[#This Row],[Work Start TimeStamp]]-IGA_BD[[#This Row],[Fault Start TimeStamp]])*24</f>
        <v>0</v>
      </c>
      <c r="P908" s="44" t="str">
        <f>IF(IGA_BD[[#This Row],[Work Start TimeStamp]]="","",(IGA_BD[[#This Row],[Fault Clearance time]]-IGA_BD[[#This Row],[Work Start TimeStamp]])*24)</f>
        <v/>
      </c>
      <c r="Q908" s="57">
        <f>(IGA_BD[[#This Row],[Fault Clearance time]]-IGA_BD[[#This Row],[Fault Start TimeStamp]])*24</f>
        <v>0</v>
      </c>
      <c r="R908" s="153"/>
      <c r="S908" s="44"/>
      <c r="T908" s="45" t="str">
        <f>IFERROR(IGA_BD[[#This Row],[Breakdown Time]]*IGA_BD[[#This Row],[Plant Equivalent Weightage]],"")</f>
        <v/>
      </c>
    </row>
    <row r="909" spans="1:20">
      <c r="A909" s="28"/>
      <c r="B909" s="154"/>
      <c r="C909" s="30">
        <f>YEAR(WTG_BD[[#This Row],[Date]])+IF(MONTH(WTG_BD[[#This Row],[Date]])&gt;=4,1,0)</f>
        <v>1900</v>
      </c>
      <c r="D909" s="31">
        <f>YEAR(IGA_BD[[#This Row],[Date]])</f>
        <v>1900</v>
      </c>
      <c r="E909" s="48">
        <f t="shared" si="16"/>
        <v>1</v>
      </c>
      <c r="F909" s="32"/>
      <c r="G909" s="33"/>
      <c r="H909" s="43" t="str">
        <f>IFERROR(VLOOKUP(IGA_BD[[#This Row],[Affected Feeder ]],'Basic Data'!$A$42:$E$53,2,0),"")</f>
        <v/>
      </c>
      <c r="I909" s="43" t="str">
        <f>IFERROR(VLOOKUP(IGA_BD[[#This Row],[Affected Feeder ]],'Basic Data'!$A$42:$E$53,3,0),"")</f>
        <v/>
      </c>
      <c r="J909" s="43" t="str">
        <f>IFERROR(VLOOKUP(IGA_BD[[#This Row],[Affected Feeder ]],'Basic Data'!$A$42:$E$53,5,0),"")</f>
        <v/>
      </c>
      <c r="K909" s="164"/>
      <c r="L909" s="50"/>
      <c r="M909" s="116"/>
      <c r="N909" s="116"/>
      <c r="O909" s="57">
        <f>(IGA_BD[[#This Row],[Work Start TimeStamp]]-IGA_BD[[#This Row],[Fault Start TimeStamp]])*24</f>
        <v>0</v>
      </c>
      <c r="P909" s="44" t="str">
        <f>IF(IGA_BD[[#This Row],[Work Start TimeStamp]]="","",(IGA_BD[[#This Row],[Fault Clearance time]]-IGA_BD[[#This Row],[Work Start TimeStamp]])*24)</f>
        <v/>
      </c>
      <c r="Q909" s="57">
        <f>(IGA_BD[[#This Row],[Fault Clearance time]]-IGA_BD[[#This Row],[Fault Start TimeStamp]])*24</f>
        <v>0</v>
      </c>
      <c r="R909" s="153"/>
      <c r="S909" s="44"/>
      <c r="T909" s="45" t="str">
        <f>IFERROR(IGA_BD[[#This Row],[Breakdown Time]]*IGA_BD[[#This Row],[Plant Equivalent Weightage]],"")</f>
        <v/>
      </c>
    </row>
    <row r="910" spans="1:20">
      <c r="A910" s="28"/>
      <c r="B910" s="154"/>
      <c r="C910" s="30">
        <f>YEAR(WTG_BD[[#This Row],[Date]])+IF(MONTH(WTG_BD[[#This Row],[Date]])&gt;=4,1,0)</f>
        <v>1900</v>
      </c>
      <c r="D910" s="31">
        <f>YEAR(IGA_BD[[#This Row],[Date]])</f>
        <v>1900</v>
      </c>
      <c r="E910" s="48">
        <f t="shared" si="16"/>
        <v>1</v>
      </c>
      <c r="F910" s="32"/>
      <c r="G910" s="33"/>
      <c r="H910" s="43" t="str">
        <f>IFERROR(VLOOKUP(IGA_BD[[#This Row],[Affected Feeder ]],'Basic Data'!$A$42:$E$53,2,0),"")</f>
        <v/>
      </c>
      <c r="I910" s="43" t="str">
        <f>IFERROR(VLOOKUP(IGA_BD[[#This Row],[Affected Feeder ]],'Basic Data'!$A$42:$E$53,3,0),"")</f>
        <v/>
      </c>
      <c r="J910" s="43" t="str">
        <f>IFERROR(VLOOKUP(IGA_BD[[#This Row],[Affected Feeder ]],'Basic Data'!$A$42:$E$53,5,0),"")</f>
        <v/>
      </c>
      <c r="K910" s="164"/>
      <c r="L910" s="50"/>
      <c r="M910" s="116"/>
      <c r="N910" s="116"/>
      <c r="O910" s="57">
        <f>(IGA_BD[[#This Row],[Work Start TimeStamp]]-IGA_BD[[#This Row],[Fault Start TimeStamp]])*24</f>
        <v>0</v>
      </c>
      <c r="P910" s="44" t="str">
        <f>IF(IGA_BD[[#This Row],[Work Start TimeStamp]]="","",(IGA_BD[[#This Row],[Fault Clearance time]]-IGA_BD[[#This Row],[Work Start TimeStamp]])*24)</f>
        <v/>
      </c>
      <c r="Q910" s="57">
        <f>(IGA_BD[[#This Row],[Fault Clearance time]]-IGA_BD[[#This Row],[Fault Start TimeStamp]])*24</f>
        <v>0</v>
      </c>
      <c r="R910" s="153"/>
      <c r="S910" s="44"/>
      <c r="T910" s="45" t="str">
        <f>IFERROR(IGA_BD[[#This Row],[Breakdown Time]]*IGA_BD[[#This Row],[Plant Equivalent Weightage]],"")</f>
        <v/>
      </c>
    </row>
    <row r="911" spans="1:20">
      <c r="A911" s="28"/>
      <c r="B911" s="154"/>
      <c r="C911" s="30">
        <f>YEAR(WTG_BD[[#This Row],[Date]])+IF(MONTH(WTG_BD[[#This Row],[Date]])&gt;=4,1,0)</f>
        <v>1900</v>
      </c>
      <c r="D911" s="31">
        <f>YEAR(IGA_BD[[#This Row],[Date]])</f>
        <v>1900</v>
      </c>
      <c r="E911" s="48">
        <f t="shared" si="16"/>
        <v>1</v>
      </c>
      <c r="F911" s="32"/>
      <c r="G911" s="33"/>
      <c r="H911" s="43" t="str">
        <f>IFERROR(VLOOKUP(IGA_BD[[#This Row],[Affected Feeder ]],'Basic Data'!$A$42:$E$53,2,0),"")</f>
        <v/>
      </c>
      <c r="I911" s="43" t="str">
        <f>IFERROR(VLOOKUP(IGA_BD[[#This Row],[Affected Feeder ]],'Basic Data'!$A$42:$E$53,3,0),"")</f>
        <v/>
      </c>
      <c r="J911" s="43" t="str">
        <f>IFERROR(VLOOKUP(IGA_BD[[#This Row],[Affected Feeder ]],'Basic Data'!$A$42:$E$53,5,0),"")</f>
        <v/>
      </c>
      <c r="K911" s="164"/>
      <c r="L911" s="50"/>
      <c r="M911" s="116"/>
      <c r="N911" s="116"/>
      <c r="O911" s="57">
        <f>(IGA_BD[[#This Row],[Work Start TimeStamp]]-IGA_BD[[#This Row],[Fault Start TimeStamp]])*24</f>
        <v>0</v>
      </c>
      <c r="P911" s="44" t="str">
        <f>IF(IGA_BD[[#This Row],[Work Start TimeStamp]]="","",(IGA_BD[[#This Row],[Fault Clearance time]]-IGA_BD[[#This Row],[Work Start TimeStamp]])*24)</f>
        <v/>
      </c>
      <c r="Q911" s="57">
        <f>(IGA_BD[[#This Row],[Fault Clearance time]]-IGA_BD[[#This Row],[Fault Start TimeStamp]])*24</f>
        <v>0</v>
      </c>
      <c r="R911" s="153"/>
      <c r="S911" s="44"/>
      <c r="T911" s="45" t="str">
        <f>IFERROR(IGA_BD[[#This Row],[Breakdown Time]]*IGA_BD[[#This Row],[Plant Equivalent Weightage]],"")</f>
        <v/>
      </c>
    </row>
    <row r="912" spans="1:20">
      <c r="A912" s="28"/>
      <c r="B912" s="154"/>
      <c r="C912" s="30">
        <f>YEAR(WTG_BD[[#This Row],[Date]])+IF(MONTH(WTG_BD[[#This Row],[Date]])&gt;=4,1,0)</f>
        <v>1900</v>
      </c>
      <c r="D912" s="31">
        <f>YEAR(IGA_BD[[#This Row],[Date]])</f>
        <v>1900</v>
      </c>
      <c r="E912" s="48">
        <f t="shared" si="16"/>
        <v>1</v>
      </c>
      <c r="F912" s="32"/>
      <c r="G912" s="33"/>
      <c r="H912" s="43" t="str">
        <f>IFERROR(VLOOKUP(IGA_BD[[#This Row],[Affected Feeder ]],'Basic Data'!$A$42:$E$53,2,0),"")</f>
        <v/>
      </c>
      <c r="I912" s="43" t="str">
        <f>IFERROR(VLOOKUP(IGA_BD[[#This Row],[Affected Feeder ]],'Basic Data'!$A$42:$E$53,3,0),"")</f>
        <v/>
      </c>
      <c r="J912" s="43" t="str">
        <f>IFERROR(VLOOKUP(IGA_BD[[#This Row],[Affected Feeder ]],'Basic Data'!$A$42:$E$53,5,0),"")</f>
        <v/>
      </c>
      <c r="K912" s="164"/>
      <c r="L912" s="50"/>
      <c r="M912" s="116"/>
      <c r="N912" s="116"/>
      <c r="O912" s="57">
        <f>(IGA_BD[[#This Row],[Work Start TimeStamp]]-IGA_BD[[#This Row],[Fault Start TimeStamp]])*24</f>
        <v>0</v>
      </c>
      <c r="P912" s="44" t="str">
        <f>IF(IGA_BD[[#This Row],[Work Start TimeStamp]]="","",(IGA_BD[[#This Row],[Fault Clearance time]]-IGA_BD[[#This Row],[Work Start TimeStamp]])*24)</f>
        <v/>
      </c>
      <c r="Q912" s="57">
        <f>(IGA_BD[[#This Row],[Fault Clearance time]]-IGA_BD[[#This Row],[Fault Start TimeStamp]])*24</f>
        <v>0</v>
      </c>
      <c r="R912" s="153"/>
      <c r="S912" s="44"/>
      <c r="T912" s="45" t="str">
        <f>IFERROR(IGA_BD[[#This Row],[Breakdown Time]]*IGA_BD[[#This Row],[Plant Equivalent Weightage]],"")</f>
        <v/>
      </c>
    </row>
    <row r="913" spans="1:20">
      <c r="A913" s="28"/>
      <c r="B913" s="154"/>
      <c r="C913" s="30">
        <f>YEAR(WTG_BD[[#This Row],[Date]])+IF(MONTH(WTG_BD[[#This Row],[Date]])&gt;=4,1,0)</f>
        <v>1900</v>
      </c>
      <c r="D913" s="31">
        <f>YEAR(IGA_BD[[#This Row],[Date]])</f>
        <v>1900</v>
      </c>
      <c r="E913" s="48">
        <f t="shared" si="16"/>
        <v>1</v>
      </c>
      <c r="F913" s="32"/>
      <c r="G913" s="33"/>
      <c r="H913" s="43" t="str">
        <f>IFERROR(VLOOKUP(IGA_BD[[#This Row],[Affected Feeder ]],'Basic Data'!$A$42:$E$53,2,0),"")</f>
        <v/>
      </c>
      <c r="I913" s="43" t="str">
        <f>IFERROR(VLOOKUP(IGA_BD[[#This Row],[Affected Feeder ]],'Basic Data'!$A$42:$E$53,3,0),"")</f>
        <v/>
      </c>
      <c r="J913" s="43" t="str">
        <f>IFERROR(VLOOKUP(IGA_BD[[#This Row],[Affected Feeder ]],'Basic Data'!$A$42:$E$53,5,0),"")</f>
        <v/>
      </c>
      <c r="K913" s="164"/>
      <c r="L913" s="50"/>
      <c r="M913" s="116"/>
      <c r="N913" s="116"/>
      <c r="O913" s="57">
        <f>(IGA_BD[[#This Row],[Work Start TimeStamp]]-IGA_BD[[#This Row],[Fault Start TimeStamp]])*24</f>
        <v>0</v>
      </c>
      <c r="P913" s="44" t="str">
        <f>IF(IGA_BD[[#This Row],[Work Start TimeStamp]]="","",(IGA_BD[[#This Row],[Fault Clearance time]]-IGA_BD[[#This Row],[Work Start TimeStamp]])*24)</f>
        <v/>
      </c>
      <c r="Q913" s="57">
        <f>(IGA_BD[[#This Row],[Fault Clearance time]]-IGA_BD[[#This Row],[Fault Start TimeStamp]])*24</f>
        <v>0</v>
      </c>
      <c r="R913" s="153"/>
      <c r="S913" s="44"/>
      <c r="T913" s="45" t="str">
        <f>IFERROR(IGA_BD[[#This Row],[Breakdown Time]]*IGA_BD[[#This Row],[Plant Equivalent Weightage]],"")</f>
        <v/>
      </c>
    </row>
    <row r="914" spans="1:20">
      <c r="A914" s="28"/>
      <c r="B914" s="154"/>
      <c r="C914" s="30">
        <f>YEAR(WTG_BD[[#This Row],[Date]])+IF(MONTH(WTG_BD[[#This Row],[Date]])&gt;=4,1,0)</f>
        <v>1900</v>
      </c>
      <c r="D914" s="31">
        <f>YEAR(IGA_BD[[#This Row],[Date]])</f>
        <v>1900</v>
      </c>
      <c r="E914" s="48">
        <f t="shared" si="16"/>
        <v>1</v>
      </c>
      <c r="F914" s="32"/>
      <c r="G914" s="33"/>
      <c r="H914" s="43" t="str">
        <f>IFERROR(VLOOKUP(IGA_BD[[#This Row],[Affected Feeder ]],'Basic Data'!$A$42:$E$53,2,0),"")</f>
        <v/>
      </c>
      <c r="I914" s="43" t="str">
        <f>IFERROR(VLOOKUP(IGA_BD[[#This Row],[Affected Feeder ]],'Basic Data'!$A$42:$E$53,3,0),"")</f>
        <v/>
      </c>
      <c r="J914" s="43" t="str">
        <f>IFERROR(VLOOKUP(IGA_BD[[#This Row],[Affected Feeder ]],'Basic Data'!$A$42:$E$53,5,0),"")</f>
        <v/>
      </c>
      <c r="K914" s="164"/>
      <c r="L914" s="50"/>
      <c r="M914" s="116"/>
      <c r="N914" s="116"/>
      <c r="O914" s="57">
        <f>(IGA_BD[[#This Row],[Work Start TimeStamp]]-IGA_BD[[#This Row],[Fault Start TimeStamp]])*24</f>
        <v>0</v>
      </c>
      <c r="P914" s="44" t="str">
        <f>IF(IGA_BD[[#This Row],[Work Start TimeStamp]]="","",(IGA_BD[[#This Row],[Fault Clearance time]]-IGA_BD[[#This Row],[Work Start TimeStamp]])*24)</f>
        <v/>
      </c>
      <c r="Q914" s="57">
        <f>(IGA_BD[[#This Row],[Fault Clearance time]]-IGA_BD[[#This Row],[Fault Start TimeStamp]])*24</f>
        <v>0</v>
      </c>
      <c r="R914" s="153"/>
      <c r="S914" s="44"/>
      <c r="T914" s="45" t="str">
        <f>IFERROR(IGA_BD[[#This Row],[Breakdown Time]]*IGA_BD[[#This Row],[Plant Equivalent Weightage]],"")</f>
        <v/>
      </c>
    </row>
    <row r="915" spans="1:20">
      <c r="A915" s="28"/>
      <c r="B915" s="154"/>
      <c r="C915" s="30">
        <f>YEAR(WTG_BD[[#This Row],[Date]])+IF(MONTH(WTG_BD[[#This Row],[Date]])&gt;=4,1,0)</f>
        <v>1900</v>
      </c>
      <c r="D915" s="31">
        <f>YEAR(IGA_BD[[#This Row],[Date]])</f>
        <v>1900</v>
      </c>
      <c r="E915" s="48">
        <f t="shared" si="16"/>
        <v>1</v>
      </c>
      <c r="F915" s="32"/>
      <c r="G915" s="33"/>
      <c r="H915" s="43" t="str">
        <f>IFERROR(VLOOKUP(IGA_BD[[#This Row],[Affected Feeder ]],'Basic Data'!$A$42:$E$53,2,0),"")</f>
        <v/>
      </c>
      <c r="I915" s="43" t="str">
        <f>IFERROR(VLOOKUP(IGA_BD[[#This Row],[Affected Feeder ]],'Basic Data'!$A$42:$E$53,3,0),"")</f>
        <v/>
      </c>
      <c r="J915" s="43" t="str">
        <f>IFERROR(VLOOKUP(IGA_BD[[#This Row],[Affected Feeder ]],'Basic Data'!$A$42:$E$53,5,0),"")</f>
        <v/>
      </c>
      <c r="K915" s="164"/>
      <c r="L915" s="50"/>
      <c r="M915" s="116"/>
      <c r="N915" s="116"/>
      <c r="O915" s="57">
        <f>(IGA_BD[[#This Row],[Work Start TimeStamp]]-IGA_BD[[#This Row],[Fault Start TimeStamp]])*24</f>
        <v>0</v>
      </c>
      <c r="P915" s="44" t="str">
        <f>IF(IGA_BD[[#This Row],[Work Start TimeStamp]]="","",(IGA_BD[[#This Row],[Fault Clearance time]]-IGA_BD[[#This Row],[Work Start TimeStamp]])*24)</f>
        <v/>
      </c>
      <c r="Q915" s="57">
        <f>(IGA_BD[[#This Row],[Fault Clearance time]]-IGA_BD[[#This Row],[Fault Start TimeStamp]])*24</f>
        <v>0</v>
      </c>
      <c r="R915" s="153"/>
      <c r="S915" s="44"/>
      <c r="T915" s="45" t="str">
        <f>IFERROR(IGA_BD[[#This Row],[Breakdown Time]]*IGA_BD[[#This Row],[Plant Equivalent Weightage]],"")</f>
        <v/>
      </c>
    </row>
    <row r="916" spans="1:20">
      <c r="A916" s="28"/>
      <c r="B916" s="154"/>
      <c r="C916" s="30">
        <f>YEAR(WTG_BD[[#This Row],[Date]])+IF(MONTH(WTG_BD[[#This Row],[Date]])&gt;=4,1,0)</f>
        <v>1900</v>
      </c>
      <c r="D916" s="31">
        <f>YEAR(IGA_BD[[#This Row],[Date]])</f>
        <v>1900</v>
      </c>
      <c r="E916" s="48">
        <f t="shared" si="16"/>
        <v>1</v>
      </c>
      <c r="F916" s="32"/>
      <c r="G916" s="33"/>
      <c r="H916" s="43" t="str">
        <f>IFERROR(VLOOKUP(IGA_BD[[#This Row],[Affected Feeder ]],'Basic Data'!$A$42:$E$53,2,0),"")</f>
        <v/>
      </c>
      <c r="I916" s="43" t="str">
        <f>IFERROR(VLOOKUP(IGA_BD[[#This Row],[Affected Feeder ]],'Basic Data'!$A$42:$E$53,3,0),"")</f>
        <v/>
      </c>
      <c r="J916" s="43" t="str">
        <f>IFERROR(VLOOKUP(IGA_BD[[#This Row],[Affected Feeder ]],'Basic Data'!$A$42:$E$53,5,0),"")</f>
        <v/>
      </c>
      <c r="K916" s="164"/>
      <c r="L916" s="50"/>
      <c r="M916" s="116"/>
      <c r="N916" s="116"/>
      <c r="O916" s="57">
        <f>(IGA_BD[[#This Row],[Work Start TimeStamp]]-IGA_BD[[#This Row],[Fault Start TimeStamp]])*24</f>
        <v>0</v>
      </c>
      <c r="P916" s="44" t="str">
        <f>IF(IGA_BD[[#This Row],[Work Start TimeStamp]]="","",(IGA_BD[[#This Row],[Fault Clearance time]]-IGA_BD[[#This Row],[Work Start TimeStamp]])*24)</f>
        <v/>
      </c>
      <c r="Q916" s="57">
        <f>(IGA_BD[[#This Row],[Fault Clearance time]]-IGA_BD[[#This Row],[Fault Start TimeStamp]])*24</f>
        <v>0</v>
      </c>
      <c r="R916" s="153"/>
      <c r="S916" s="44"/>
      <c r="T916" s="45" t="str">
        <f>IFERROR(IGA_BD[[#This Row],[Breakdown Time]]*IGA_BD[[#This Row],[Plant Equivalent Weightage]],"")</f>
        <v/>
      </c>
    </row>
    <row r="917" spans="1:20">
      <c r="A917" s="28"/>
      <c r="B917" s="154"/>
      <c r="C917" s="30">
        <f>YEAR(WTG_BD[[#This Row],[Date]])+IF(MONTH(WTG_BD[[#This Row],[Date]])&gt;=4,1,0)</f>
        <v>1900</v>
      </c>
      <c r="D917" s="31">
        <f>YEAR(IGA_BD[[#This Row],[Date]])</f>
        <v>1900</v>
      </c>
      <c r="E917" s="48">
        <f t="shared" si="16"/>
        <v>1</v>
      </c>
      <c r="F917" s="32"/>
      <c r="G917" s="33"/>
      <c r="H917" s="43" t="str">
        <f>IFERROR(VLOOKUP(IGA_BD[[#This Row],[Affected Feeder ]],'Basic Data'!$A$42:$E$53,2,0),"")</f>
        <v/>
      </c>
      <c r="I917" s="43" t="str">
        <f>IFERROR(VLOOKUP(IGA_BD[[#This Row],[Affected Feeder ]],'Basic Data'!$A$42:$E$53,3,0),"")</f>
        <v/>
      </c>
      <c r="J917" s="43" t="str">
        <f>IFERROR(VLOOKUP(IGA_BD[[#This Row],[Affected Feeder ]],'Basic Data'!$A$42:$E$53,5,0),"")</f>
        <v/>
      </c>
      <c r="K917" s="164"/>
      <c r="L917" s="50"/>
      <c r="M917" s="116"/>
      <c r="N917" s="116"/>
      <c r="O917" s="57">
        <f>(IGA_BD[[#This Row],[Work Start TimeStamp]]-IGA_BD[[#This Row],[Fault Start TimeStamp]])*24</f>
        <v>0</v>
      </c>
      <c r="P917" s="44" t="str">
        <f>IF(IGA_BD[[#This Row],[Work Start TimeStamp]]="","",(IGA_BD[[#This Row],[Fault Clearance time]]-IGA_BD[[#This Row],[Work Start TimeStamp]])*24)</f>
        <v/>
      </c>
      <c r="Q917" s="57">
        <f>(IGA_BD[[#This Row],[Fault Clearance time]]-IGA_BD[[#This Row],[Fault Start TimeStamp]])*24</f>
        <v>0</v>
      </c>
      <c r="R917" s="153"/>
      <c r="S917" s="44"/>
      <c r="T917" s="45" t="str">
        <f>IFERROR(IGA_BD[[#This Row],[Breakdown Time]]*IGA_BD[[#This Row],[Plant Equivalent Weightage]],"")</f>
        <v/>
      </c>
    </row>
    <row r="918" spans="1:20">
      <c r="A918" s="28"/>
      <c r="B918" s="154"/>
      <c r="C918" s="30">
        <f>YEAR(WTG_BD[[#This Row],[Date]])+IF(MONTH(WTG_BD[[#This Row],[Date]])&gt;=4,1,0)</f>
        <v>1900</v>
      </c>
      <c r="D918" s="31">
        <f>YEAR(IGA_BD[[#This Row],[Date]])</f>
        <v>1900</v>
      </c>
      <c r="E918" s="48">
        <f t="shared" si="16"/>
        <v>1</v>
      </c>
      <c r="F918" s="32"/>
      <c r="G918" s="33"/>
      <c r="H918" s="43" t="str">
        <f>IFERROR(VLOOKUP(IGA_BD[[#This Row],[Affected Feeder ]],'Basic Data'!$A$42:$E$53,2,0),"")</f>
        <v/>
      </c>
      <c r="I918" s="43" t="str">
        <f>IFERROR(VLOOKUP(IGA_BD[[#This Row],[Affected Feeder ]],'Basic Data'!$A$42:$E$53,3,0),"")</f>
        <v/>
      </c>
      <c r="J918" s="43" t="str">
        <f>IFERROR(VLOOKUP(IGA_BD[[#This Row],[Affected Feeder ]],'Basic Data'!$A$42:$E$53,5,0),"")</f>
        <v/>
      </c>
      <c r="K918" s="164"/>
      <c r="L918" s="50"/>
      <c r="M918" s="116"/>
      <c r="N918" s="116"/>
      <c r="O918" s="57">
        <f>(IGA_BD[[#This Row],[Work Start TimeStamp]]-IGA_BD[[#This Row],[Fault Start TimeStamp]])*24</f>
        <v>0</v>
      </c>
      <c r="P918" s="44" t="str">
        <f>IF(IGA_BD[[#This Row],[Work Start TimeStamp]]="","",(IGA_BD[[#This Row],[Fault Clearance time]]-IGA_BD[[#This Row],[Work Start TimeStamp]])*24)</f>
        <v/>
      </c>
      <c r="Q918" s="57">
        <f>(IGA_BD[[#This Row],[Fault Clearance time]]-IGA_BD[[#This Row],[Fault Start TimeStamp]])*24</f>
        <v>0</v>
      </c>
      <c r="R918" s="153"/>
      <c r="S918" s="44"/>
      <c r="T918" s="45" t="str">
        <f>IFERROR(IGA_BD[[#This Row],[Breakdown Time]]*IGA_BD[[#This Row],[Plant Equivalent Weightage]],"")</f>
        <v/>
      </c>
    </row>
    <row r="919" spans="1:20">
      <c r="A919" s="28"/>
      <c r="B919" s="154"/>
      <c r="C919" s="30">
        <f>YEAR(WTG_BD[[#This Row],[Date]])+IF(MONTH(WTG_BD[[#This Row],[Date]])&gt;=4,1,0)</f>
        <v>1900</v>
      </c>
      <c r="D919" s="31">
        <f>YEAR(IGA_BD[[#This Row],[Date]])</f>
        <v>1900</v>
      </c>
      <c r="E919" s="48">
        <f t="shared" si="16"/>
        <v>1</v>
      </c>
      <c r="F919" s="32"/>
      <c r="G919" s="33"/>
      <c r="H919" s="43" t="str">
        <f>IFERROR(VLOOKUP(IGA_BD[[#This Row],[Affected Feeder ]],'Basic Data'!$A$42:$E$53,2,0),"")</f>
        <v/>
      </c>
      <c r="I919" s="43" t="str">
        <f>IFERROR(VLOOKUP(IGA_BD[[#This Row],[Affected Feeder ]],'Basic Data'!$A$42:$E$53,3,0),"")</f>
        <v/>
      </c>
      <c r="J919" s="43" t="str">
        <f>IFERROR(VLOOKUP(IGA_BD[[#This Row],[Affected Feeder ]],'Basic Data'!$A$42:$E$53,5,0),"")</f>
        <v/>
      </c>
      <c r="K919" s="164"/>
      <c r="L919" s="50"/>
      <c r="M919" s="116"/>
      <c r="N919" s="116"/>
      <c r="O919" s="57">
        <f>(IGA_BD[[#This Row],[Work Start TimeStamp]]-IGA_BD[[#This Row],[Fault Start TimeStamp]])*24</f>
        <v>0</v>
      </c>
      <c r="P919" s="44" t="str">
        <f>IF(IGA_BD[[#This Row],[Work Start TimeStamp]]="","",(IGA_BD[[#This Row],[Fault Clearance time]]-IGA_BD[[#This Row],[Work Start TimeStamp]])*24)</f>
        <v/>
      </c>
      <c r="Q919" s="57">
        <f>(IGA_BD[[#This Row],[Fault Clearance time]]-IGA_BD[[#This Row],[Fault Start TimeStamp]])*24</f>
        <v>0</v>
      </c>
      <c r="R919" s="153"/>
      <c r="S919" s="44"/>
      <c r="T919" s="45" t="str">
        <f>IFERROR(IGA_BD[[#This Row],[Breakdown Time]]*IGA_BD[[#This Row],[Plant Equivalent Weightage]],"")</f>
        <v/>
      </c>
    </row>
    <row r="920" spans="1:20">
      <c r="A920" s="28"/>
      <c r="B920" s="154"/>
      <c r="C920" s="30">
        <f>YEAR(WTG_BD[[#This Row],[Date]])+IF(MONTH(WTG_BD[[#This Row],[Date]])&gt;=4,1,0)</f>
        <v>1900</v>
      </c>
      <c r="D920" s="31">
        <f>YEAR(IGA_BD[[#This Row],[Date]])</f>
        <v>1900</v>
      </c>
      <c r="E920" s="48">
        <f t="shared" si="16"/>
        <v>1</v>
      </c>
      <c r="F920" s="32"/>
      <c r="G920" s="33"/>
      <c r="H920" s="43" t="str">
        <f>IFERROR(VLOOKUP(IGA_BD[[#This Row],[Affected Feeder ]],'Basic Data'!$A$42:$E$53,2,0),"")</f>
        <v/>
      </c>
      <c r="I920" s="43" t="str">
        <f>IFERROR(VLOOKUP(IGA_BD[[#This Row],[Affected Feeder ]],'Basic Data'!$A$42:$E$53,3,0),"")</f>
        <v/>
      </c>
      <c r="J920" s="43" t="str">
        <f>IFERROR(VLOOKUP(IGA_BD[[#This Row],[Affected Feeder ]],'Basic Data'!$A$42:$E$53,5,0),"")</f>
        <v/>
      </c>
      <c r="K920" s="164"/>
      <c r="L920" s="50"/>
      <c r="M920" s="116"/>
      <c r="N920" s="116"/>
      <c r="O920" s="57">
        <f>(IGA_BD[[#This Row],[Work Start TimeStamp]]-IGA_BD[[#This Row],[Fault Start TimeStamp]])*24</f>
        <v>0</v>
      </c>
      <c r="P920" s="44" t="str">
        <f>IF(IGA_BD[[#This Row],[Work Start TimeStamp]]="","",(IGA_BD[[#This Row],[Fault Clearance time]]-IGA_BD[[#This Row],[Work Start TimeStamp]])*24)</f>
        <v/>
      </c>
      <c r="Q920" s="57">
        <f>(IGA_BD[[#This Row],[Fault Clearance time]]-IGA_BD[[#This Row],[Fault Start TimeStamp]])*24</f>
        <v>0</v>
      </c>
      <c r="R920" s="153"/>
      <c r="S920" s="44"/>
      <c r="T920" s="45" t="str">
        <f>IFERROR(IGA_BD[[#This Row],[Breakdown Time]]*IGA_BD[[#This Row],[Plant Equivalent Weightage]],"")</f>
        <v/>
      </c>
    </row>
    <row r="921" spans="1:20">
      <c r="A921" s="28"/>
      <c r="B921" s="154"/>
      <c r="C921" s="30">
        <f>YEAR(WTG_BD[[#This Row],[Date]])+IF(MONTH(WTG_BD[[#This Row],[Date]])&gt;=4,1,0)</f>
        <v>1900</v>
      </c>
      <c r="D921" s="31">
        <f>YEAR(IGA_BD[[#This Row],[Date]])</f>
        <v>1900</v>
      </c>
      <c r="E921" s="48">
        <f t="shared" si="16"/>
        <v>1</v>
      </c>
      <c r="F921" s="32"/>
      <c r="G921" s="33"/>
      <c r="H921" s="43" t="str">
        <f>IFERROR(VLOOKUP(IGA_BD[[#This Row],[Affected Feeder ]],'Basic Data'!$A$42:$E$53,2,0),"")</f>
        <v/>
      </c>
      <c r="I921" s="43" t="str">
        <f>IFERROR(VLOOKUP(IGA_BD[[#This Row],[Affected Feeder ]],'Basic Data'!$A$42:$E$53,3,0),"")</f>
        <v/>
      </c>
      <c r="J921" s="43" t="str">
        <f>IFERROR(VLOOKUP(IGA_BD[[#This Row],[Affected Feeder ]],'Basic Data'!$A$42:$E$53,5,0),"")</f>
        <v/>
      </c>
      <c r="K921" s="164"/>
      <c r="L921" s="50"/>
      <c r="M921" s="116"/>
      <c r="N921" s="116"/>
      <c r="O921" s="57">
        <f>(IGA_BD[[#This Row],[Work Start TimeStamp]]-IGA_BD[[#This Row],[Fault Start TimeStamp]])*24</f>
        <v>0</v>
      </c>
      <c r="P921" s="44" t="str">
        <f>IF(IGA_BD[[#This Row],[Work Start TimeStamp]]="","",(IGA_BD[[#This Row],[Fault Clearance time]]-IGA_BD[[#This Row],[Work Start TimeStamp]])*24)</f>
        <v/>
      </c>
      <c r="Q921" s="57">
        <f>(IGA_BD[[#This Row],[Fault Clearance time]]-IGA_BD[[#This Row],[Fault Start TimeStamp]])*24</f>
        <v>0</v>
      </c>
      <c r="R921" s="153"/>
      <c r="S921" s="44"/>
      <c r="T921" s="45" t="str">
        <f>IFERROR(IGA_BD[[#This Row],[Breakdown Time]]*IGA_BD[[#This Row],[Plant Equivalent Weightage]],"")</f>
        <v/>
      </c>
    </row>
    <row r="922" spans="1:20">
      <c r="A922" s="28"/>
      <c r="B922" s="154"/>
      <c r="C922" s="30">
        <f>YEAR(WTG_BD[[#This Row],[Date]])+IF(MONTH(WTG_BD[[#This Row],[Date]])&gt;=4,1,0)</f>
        <v>1900</v>
      </c>
      <c r="D922" s="31">
        <f>YEAR(IGA_BD[[#This Row],[Date]])</f>
        <v>1900</v>
      </c>
      <c r="E922" s="48">
        <f t="shared" si="16"/>
        <v>1</v>
      </c>
      <c r="F922" s="32"/>
      <c r="G922" s="33"/>
      <c r="H922" s="43" t="str">
        <f>IFERROR(VLOOKUP(IGA_BD[[#This Row],[Affected Feeder ]],'Basic Data'!$A$42:$E$53,2,0),"")</f>
        <v/>
      </c>
      <c r="I922" s="43" t="str">
        <f>IFERROR(VLOOKUP(IGA_BD[[#This Row],[Affected Feeder ]],'Basic Data'!$A$42:$E$53,3,0),"")</f>
        <v/>
      </c>
      <c r="J922" s="43" t="str">
        <f>IFERROR(VLOOKUP(IGA_BD[[#This Row],[Affected Feeder ]],'Basic Data'!$A$42:$E$53,5,0),"")</f>
        <v/>
      </c>
      <c r="K922" s="164"/>
      <c r="L922" s="50"/>
      <c r="M922" s="116"/>
      <c r="N922" s="116"/>
      <c r="O922" s="57">
        <f>(IGA_BD[[#This Row],[Work Start TimeStamp]]-IGA_BD[[#This Row],[Fault Start TimeStamp]])*24</f>
        <v>0</v>
      </c>
      <c r="P922" s="44" t="str">
        <f>IF(IGA_BD[[#This Row],[Work Start TimeStamp]]="","",(IGA_BD[[#This Row],[Fault Clearance time]]-IGA_BD[[#This Row],[Work Start TimeStamp]])*24)</f>
        <v/>
      </c>
      <c r="Q922" s="57">
        <f>(IGA_BD[[#This Row],[Fault Clearance time]]-IGA_BD[[#This Row],[Fault Start TimeStamp]])*24</f>
        <v>0</v>
      </c>
      <c r="R922" s="153"/>
      <c r="S922" s="44"/>
      <c r="T922" s="45" t="str">
        <f>IFERROR(IGA_BD[[#This Row],[Breakdown Time]]*IGA_BD[[#This Row],[Plant Equivalent Weightage]],"")</f>
        <v/>
      </c>
    </row>
    <row r="923" spans="1:20">
      <c r="A923" s="28"/>
      <c r="B923" s="154"/>
      <c r="C923" s="30">
        <f>YEAR(WTG_BD[[#This Row],[Date]])+IF(MONTH(WTG_BD[[#This Row],[Date]])&gt;=4,1,0)</f>
        <v>1900</v>
      </c>
      <c r="D923" s="31">
        <f>YEAR(IGA_BD[[#This Row],[Date]])</f>
        <v>1900</v>
      </c>
      <c r="E923" s="48">
        <f t="shared" si="16"/>
        <v>1</v>
      </c>
      <c r="F923" s="32"/>
      <c r="G923" s="33"/>
      <c r="H923" s="43" t="str">
        <f>IFERROR(VLOOKUP(IGA_BD[[#This Row],[Affected Feeder ]],'Basic Data'!$A$42:$E$53,2,0),"")</f>
        <v/>
      </c>
      <c r="I923" s="43" t="str">
        <f>IFERROR(VLOOKUP(IGA_BD[[#This Row],[Affected Feeder ]],'Basic Data'!$A$42:$E$53,3,0),"")</f>
        <v/>
      </c>
      <c r="J923" s="43" t="str">
        <f>IFERROR(VLOOKUP(IGA_BD[[#This Row],[Affected Feeder ]],'Basic Data'!$A$42:$E$53,5,0),"")</f>
        <v/>
      </c>
      <c r="K923" s="164"/>
      <c r="L923" s="50"/>
      <c r="M923" s="116"/>
      <c r="N923" s="116"/>
      <c r="O923" s="57">
        <f>(IGA_BD[[#This Row],[Work Start TimeStamp]]-IGA_BD[[#This Row],[Fault Start TimeStamp]])*24</f>
        <v>0</v>
      </c>
      <c r="P923" s="44" t="str">
        <f>IF(IGA_BD[[#This Row],[Work Start TimeStamp]]="","",(IGA_BD[[#This Row],[Fault Clearance time]]-IGA_BD[[#This Row],[Work Start TimeStamp]])*24)</f>
        <v/>
      </c>
      <c r="Q923" s="57">
        <f>(IGA_BD[[#This Row],[Fault Clearance time]]-IGA_BD[[#This Row],[Fault Start TimeStamp]])*24</f>
        <v>0</v>
      </c>
      <c r="R923" s="153"/>
      <c r="S923" s="44"/>
      <c r="T923" s="45" t="str">
        <f>IFERROR(IGA_BD[[#This Row],[Breakdown Time]]*IGA_BD[[#This Row],[Plant Equivalent Weightage]],"")</f>
        <v/>
      </c>
    </row>
    <row r="924" spans="1:20">
      <c r="A924" s="28"/>
      <c r="B924" s="154"/>
      <c r="C924" s="30">
        <f>YEAR(WTG_BD[[#This Row],[Date]])+IF(MONTH(WTG_BD[[#This Row],[Date]])&gt;=4,1,0)</f>
        <v>1900</v>
      </c>
      <c r="D924" s="31">
        <f>YEAR(IGA_BD[[#This Row],[Date]])</f>
        <v>1900</v>
      </c>
      <c r="E924" s="48">
        <f t="shared" ref="E924:E987" si="17">B924-DAY(B924)+1</f>
        <v>1</v>
      </c>
      <c r="F924" s="32"/>
      <c r="G924" s="33"/>
      <c r="H924" s="43" t="str">
        <f>IFERROR(VLOOKUP(IGA_BD[[#This Row],[Affected Feeder ]],'Basic Data'!$A$42:$E$53,2,0),"")</f>
        <v/>
      </c>
      <c r="I924" s="43" t="str">
        <f>IFERROR(VLOOKUP(IGA_BD[[#This Row],[Affected Feeder ]],'Basic Data'!$A$42:$E$53,3,0),"")</f>
        <v/>
      </c>
      <c r="J924" s="43" t="str">
        <f>IFERROR(VLOOKUP(IGA_BD[[#This Row],[Affected Feeder ]],'Basic Data'!$A$42:$E$53,5,0),"")</f>
        <v/>
      </c>
      <c r="K924" s="164"/>
      <c r="L924" s="50"/>
      <c r="M924" s="116"/>
      <c r="N924" s="116"/>
      <c r="O924" s="57">
        <f>(IGA_BD[[#This Row],[Work Start TimeStamp]]-IGA_BD[[#This Row],[Fault Start TimeStamp]])*24</f>
        <v>0</v>
      </c>
      <c r="P924" s="44" t="str">
        <f>IF(IGA_BD[[#This Row],[Work Start TimeStamp]]="","",(IGA_BD[[#This Row],[Fault Clearance time]]-IGA_BD[[#This Row],[Work Start TimeStamp]])*24)</f>
        <v/>
      </c>
      <c r="Q924" s="57">
        <f>(IGA_BD[[#This Row],[Fault Clearance time]]-IGA_BD[[#This Row],[Fault Start TimeStamp]])*24</f>
        <v>0</v>
      </c>
      <c r="R924" s="153"/>
      <c r="S924" s="44"/>
      <c r="T924" s="45" t="str">
        <f>IFERROR(IGA_BD[[#This Row],[Breakdown Time]]*IGA_BD[[#This Row],[Plant Equivalent Weightage]],"")</f>
        <v/>
      </c>
    </row>
    <row r="925" spans="1:20">
      <c r="A925" s="28"/>
      <c r="B925" s="154"/>
      <c r="C925" s="30">
        <f>YEAR(WTG_BD[[#This Row],[Date]])+IF(MONTH(WTG_BD[[#This Row],[Date]])&gt;=4,1,0)</f>
        <v>1900</v>
      </c>
      <c r="D925" s="31">
        <f>YEAR(IGA_BD[[#This Row],[Date]])</f>
        <v>1900</v>
      </c>
      <c r="E925" s="48">
        <f t="shared" si="17"/>
        <v>1</v>
      </c>
      <c r="F925" s="32"/>
      <c r="G925" s="33"/>
      <c r="H925" s="43" t="str">
        <f>IFERROR(VLOOKUP(IGA_BD[[#This Row],[Affected Feeder ]],'Basic Data'!$A$42:$E$53,2,0),"")</f>
        <v/>
      </c>
      <c r="I925" s="43" t="str">
        <f>IFERROR(VLOOKUP(IGA_BD[[#This Row],[Affected Feeder ]],'Basic Data'!$A$42:$E$53,3,0),"")</f>
        <v/>
      </c>
      <c r="J925" s="43" t="str">
        <f>IFERROR(VLOOKUP(IGA_BD[[#This Row],[Affected Feeder ]],'Basic Data'!$A$42:$E$53,5,0),"")</f>
        <v/>
      </c>
      <c r="K925" s="164"/>
      <c r="L925" s="50"/>
      <c r="M925" s="116"/>
      <c r="N925" s="116"/>
      <c r="O925" s="57">
        <f>(IGA_BD[[#This Row],[Work Start TimeStamp]]-IGA_BD[[#This Row],[Fault Start TimeStamp]])*24</f>
        <v>0</v>
      </c>
      <c r="P925" s="44" t="str">
        <f>IF(IGA_BD[[#This Row],[Work Start TimeStamp]]="","",(IGA_BD[[#This Row],[Fault Clearance time]]-IGA_BD[[#This Row],[Work Start TimeStamp]])*24)</f>
        <v/>
      </c>
      <c r="Q925" s="57">
        <f>(IGA_BD[[#This Row],[Fault Clearance time]]-IGA_BD[[#This Row],[Fault Start TimeStamp]])*24</f>
        <v>0</v>
      </c>
      <c r="R925" s="153"/>
      <c r="S925" s="44"/>
      <c r="T925" s="45" t="str">
        <f>IFERROR(IGA_BD[[#This Row],[Breakdown Time]]*IGA_BD[[#This Row],[Plant Equivalent Weightage]],"")</f>
        <v/>
      </c>
    </row>
    <row r="926" spans="1:20">
      <c r="A926" s="28"/>
      <c r="B926" s="154"/>
      <c r="C926" s="30">
        <f>YEAR(WTG_BD[[#This Row],[Date]])+IF(MONTH(WTG_BD[[#This Row],[Date]])&gt;=4,1,0)</f>
        <v>1900</v>
      </c>
      <c r="D926" s="31">
        <f>YEAR(IGA_BD[[#This Row],[Date]])</f>
        <v>1900</v>
      </c>
      <c r="E926" s="48">
        <f t="shared" si="17"/>
        <v>1</v>
      </c>
      <c r="F926" s="32"/>
      <c r="G926" s="33"/>
      <c r="H926" s="43" t="str">
        <f>IFERROR(VLOOKUP(IGA_BD[[#This Row],[Affected Feeder ]],'Basic Data'!$A$42:$E$53,2,0),"")</f>
        <v/>
      </c>
      <c r="I926" s="43" t="str">
        <f>IFERROR(VLOOKUP(IGA_BD[[#This Row],[Affected Feeder ]],'Basic Data'!$A$42:$E$53,3,0),"")</f>
        <v/>
      </c>
      <c r="J926" s="43" t="str">
        <f>IFERROR(VLOOKUP(IGA_BD[[#This Row],[Affected Feeder ]],'Basic Data'!$A$42:$E$53,5,0),"")</f>
        <v/>
      </c>
      <c r="K926" s="164"/>
      <c r="L926" s="50"/>
      <c r="M926" s="116"/>
      <c r="N926" s="116"/>
      <c r="O926" s="57">
        <f>(IGA_BD[[#This Row],[Work Start TimeStamp]]-IGA_BD[[#This Row],[Fault Start TimeStamp]])*24</f>
        <v>0</v>
      </c>
      <c r="P926" s="44" t="str">
        <f>IF(IGA_BD[[#This Row],[Work Start TimeStamp]]="","",(IGA_BD[[#This Row],[Fault Clearance time]]-IGA_BD[[#This Row],[Work Start TimeStamp]])*24)</f>
        <v/>
      </c>
      <c r="Q926" s="57">
        <f>(IGA_BD[[#This Row],[Fault Clearance time]]-IGA_BD[[#This Row],[Fault Start TimeStamp]])*24</f>
        <v>0</v>
      </c>
      <c r="R926" s="153"/>
      <c r="S926" s="44"/>
      <c r="T926" s="45" t="str">
        <f>IFERROR(IGA_BD[[#This Row],[Breakdown Time]]*IGA_BD[[#This Row],[Plant Equivalent Weightage]],"")</f>
        <v/>
      </c>
    </row>
    <row r="927" spans="1:20">
      <c r="A927" s="28"/>
      <c r="B927" s="154"/>
      <c r="C927" s="30">
        <f>YEAR(WTG_BD[[#This Row],[Date]])+IF(MONTH(WTG_BD[[#This Row],[Date]])&gt;=4,1,0)</f>
        <v>1900</v>
      </c>
      <c r="D927" s="31">
        <f>YEAR(IGA_BD[[#This Row],[Date]])</f>
        <v>1900</v>
      </c>
      <c r="E927" s="48">
        <f t="shared" si="17"/>
        <v>1</v>
      </c>
      <c r="F927" s="32"/>
      <c r="G927" s="33"/>
      <c r="H927" s="43" t="str">
        <f>IFERROR(VLOOKUP(IGA_BD[[#This Row],[Affected Feeder ]],'Basic Data'!$A$42:$E$53,2,0),"")</f>
        <v/>
      </c>
      <c r="I927" s="43" t="str">
        <f>IFERROR(VLOOKUP(IGA_BD[[#This Row],[Affected Feeder ]],'Basic Data'!$A$42:$E$53,3,0),"")</f>
        <v/>
      </c>
      <c r="J927" s="43" t="str">
        <f>IFERROR(VLOOKUP(IGA_BD[[#This Row],[Affected Feeder ]],'Basic Data'!$A$42:$E$53,5,0),"")</f>
        <v/>
      </c>
      <c r="K927" s="164"/>
      <c r="L927" s="50"/>
      <c r="M927" s="116"/>
      <c r="N927" s="116"/>
      <c r="O927" s="57">
        <f>(IGA_BD[[#This Row],[Work Start TimeStamp]]-IGA_BD[[#This Row],[Fault Start TimeStamp]])*24</f>
        <v>0</v>
      </c>
      <c r="P927" s="44" t="str">
        <f>IF(IGA_BD[[#This Row],[Work Start TimeStamp]]="","",(IGA_BD[[#This Row],[Fault Clearance time]]-IGA_BD[[#This Row],[Work Start TimeStamp]])*24)</f>
        <v/>
      </c>
      <c r="Q927" s="57">
        <f>(IGA_BD[[#This Row],[Fault Clearance time]]-IGA_BD[[#This Row],[Fault Start TimeStamp]])*24</f>
        <v>0</v>
      </c>
      <c r="R927" s="153"/>
      <c r="S927" s="44"/>
      <c r="T927" s="45" t="str">
        <f>IFERROR(IGA_BD[[#This Row],[Breakdown Time]]*IGA_BD[[#This Row],[Plant Equivalent Weightage]],"")</f>
        <v/>
      </c>
    </row>
    <row r="928" spans="1:20">
      <c r="A928" s="28"/>
      <c r="B928" s="154"/>
      <c r="C928" s="30">
        <f>YEAR(WTG_BD[[#This Row],[Date]])+IF(MONTH(WTG_BD[[#This Row],[Date]])&gt;=4,1,0)</f>
        <v>1900</v>
      </c>
      <c r="D928" s="31">
        <f>YEAR(IGA_BD[[#This Row],[Date]])</f>
        <v>1900</v>
      </c>
      <c r="E928" s="48">
        <f t="shared" si="17"/>
        <v>1</v>
      </c>
      <c r="F928" s="32"/>
      <c r="G928" s="33"/>
      <c r="H928" s="43" t="str">
        <f>IFERROR(VLOOKUP(IGA_BD[[#This Row],[Affected Feeder ]],'Basic Data'!$A$42:$E$53,2,0),"")</f>
        <v/>
      </c>
      <c r="I928" s="43" t="str">
        <f>IFERROR(VLOOKUP(IGA_BD[[#This Row],[Affected Feeder ]],'Basic Data'!$A$42:$E$53,3,0),"")</f>
        <v/>
      </c>
      <c r="J928" s="43" t="str">
        <f>IFERROR(VLOOKUP(IGA_BD[[#This Row],[Affected Feeder ]],'Basic Data'!$A$42:$E$53,5,0),"")</f>
        <v/>
      </c>
      <c r="K928" s="164"/>
      <c r="L928" s="50"/>
      <c r="M928" s="116"/>
      <c r="N928" s="116"/>
      <c r="O928" s="57">
        <f>(IGA_BD[[#This Row],[Work Start TimeStamp]]-IGA_BD[[#This Row],[Fault Start TimeStamp]])*24</f>
        <v>0</v>
      </c>
      <c r="P928" s="44" t="str">
        <f>IF(IGA_BD[[#This Row],[Work Start TimeStamp]]="","",(IGA_BD[[#This Row],[Fault Clearance time]]-IGA_BD[[#This Row],[Work Start TimeStamp]])*24)</f>
        <v/>
      </c>
      <c r="Q928" s="57">
        <f>(IGA_BD[[#This Row],[Fault Clearance time]]-IGA_BD[[#This Row],[Fault Start TimeStamp]])*24</f>
        <v>0</v>
      </c>
      <c r="R928" s="153"/>
      <c r="S928" s="44"/>
      <c r="T928" s="45" t="str">
        <f>IFERROR(IGA_BD[[#This Row],[Breakdown Time]]*IGA_BD[[#This Row],[Plant Equivalent Weightage]],"")</f>
        <v/>
      </c>
    </row>
    <row r="929" spans="1:20">
      <c r="A929" s="28"/>
      <c r="B929" s="154"/>
      <c r="C929" s="30">
        <f>YEAR(WTG_BD[[#This Row],[Date]])+IF(MONTH(WTG_BD[[#This Row],[Date]])&gt;=4,1,0)</f>
        <v>1900</v>
      </c>
      <c r="D929" s="31">
        <f>YEAR(IGA_BD[[#This Row],[Date]])</f>
        <v>1900</v>
      </c>
      <c r="E929" s="48">
        <f t="shared" si="17"/>
        <v>1</v>
      </c>
      <c r="F929" s="32"/>
      <c r="G929" s="33"/>
      <c r="H929" s="43" t="str">
        <f>IFERROR(VLOOKUP(IGA_BD[[#This Row],[Affected Feeder ]],'Basic Data'!$A$42:$E$53,2,0),"")</f>
        <v/>
      </c>
      <c r="I929" s="43" t="str">
        <f>IFERROR(VLOOKUP(IGA_BD[[#This Row],[Affected Feeder ]],'Basic Data'!$A$42:$E$53,3,0),"")</f>
        <v/>
      </c>
      <c r="J929" s="43" t="str">
        <f>IFERROR(VLOOKUP(IGA_BD[[#This Row],[Affected Feeder ]],'Basic Data'!$A$42:$E$53,5,0),"")</f>
        <v/>
      </c>
      <c r="K929" s="164"/>
      <c r="L929" s="50"/>
      <c r="M929" s="116"/>
      <c r="N929" s="116"/>
      <c r="O929" s="57">
        <f>(IGA_BD[[#This Row],[Work Start TimeStamp]]-IGA_BD[[#This Row],[Fault Start TimeStamp]])*24</f>
        <v>0</v>
      </c>
      <c r="P929" s="44" t="str">
        <f>IF(IGA_BD[[#This Row],[Work Start TimeStamp]]="","",(IGA_BD[[#This Row],[Fault Clearance time]]-IGA_BD[[#This Row],[Work Start TimeStamp]])*24)</f>
        <v/>
      </c>
      <c r="Q929" s="57">
        <f>(IGA_BD[[#This Row],[Fault Clearance time]]-IGA_BD[[#This Row],[Fault Start TimeStamp]])*24</f>
        <v>0</v>
      </c>
      <c r="R929" s="153"/>
      <c r="S929" s="44"/>
      <c r="T929" s="45" t="str">
        <f>IFERROR(IGA_BD[[#This Row],[Breakdown Time]]*IGA_BD[[#This Row],[Plant Equivalent Weightage]],"")</f>
        <v/>
      </c>
    </row>
    <row r="930" spans="1:20">
      <c r="A930" s="28"/>
      <c r="B930" s="154"/>
      <c r="C930" s="30">
        <f>YEAR(WTG_BD[[#This Row],[Date]])+IF(MONTH(WTG_BD[[#This Row],[Date]])&gt;=4,1,0)</f>
        <v>1900</v>
      </c>
      <c r="D930" s="31">
        <f>YEAR(IGA_BD[[#This Row],[Date]])</f>
        <v>1900</v>
      </c>
      <c r="E930" s="48">
        <f t="shared" si="17"/>
        <v>1</v>
      </c>
      <c r="F930" s="32"/>
      <c r="G930" s="33"/>
      <c r="H930" s="43" t="str">
        <f>IFERROR(VLOOKUP(IGA_BD[[#This Row],[Affected Feeder ]],'Basic Data'!$A$42:$E$53,2,0),"")</f>
        <v/>
      </c>
      <c r="I930" s="43" t="str">
        <f>IFERROR(VLOOKUP(IGA_BD[[#This Row],[Affected Feeder ]],'Basic Data'!$A$42:$E$53,3,0),"")</f>
        <v/>
      </c>
      <c r="J930" s="43" t="str">
        <f>IFERROR(VLOOKUP(IGA_BD[[#This Row],[Affected Feeder ]],'Basic Data'!$A$42:$E$53,5,0),"")</f>
        <v/>
      </c>
      <c r="K930" s="164"/>
      <c r="L930" s="50"/>
      <c r="M930" s="116"/>
      <c r="N930" s="116"/>
      <c r="O930" s="57">
        <f>(IGA_BD[[#This Row],[Work Start TimeStamp]]-IGA_BD[[#This Row],[Fault Start TimeStamp]])*24</f>
        <v>0</v>
      </c>
      <c r="P930" s="44" t="str">
        <f>IF(IGA_BD[[#This Row],[Work Start TimeStamp]]="","",(IGA_BD[[#This Row],[Fault Clearance time]]-IGA_BD[[#This Row],[Work Start TimeStamp]])*24)</f>
        <v/>
      </c>
      <c r="Q930" s="57">
        <f>(IGA_BD[[#This Row],[Fault Clearance time]]-IGA_BD[[#This Row],[Fault Start TimeStamp]])*24</f>
        <v>0</v>
      </c>
      <c r="R930" s="153"/>
      <c r="S930" s="44"/>
      <c r="T930" s="45" t="str">
        <f>IFERROR(IGA_BD[[#This Row],[Breakdown Time]]*IGA_BD[[#This Row],[Plant Equivalent Weightage]],"")</f>
        <v/>
      </c>
    </row>
    <row r="931" spans="1:20">
      <c r="A931" s="28"/>
      <c r="B931" s="154"/>
      <c r="C931" s="30">
        <f>YEAR(WTG_BD[[#This Row],[Date]])+IF(MONTH(WTG_BD[[#This Row],[Date]])&gt;=4,1,0)</f>
        <v>1900</v>
      </c>
      <c r="D931" s="31">
        <f>YEAR(IGA_BD[[#This Row],[Date]])</f>
        <v>1900</v>
      </c>
      <c r="E931" s="48">
        <f t="shared" si="17"/>
        <v>1</v>
      </c>
      <c r="F931" s="32"/>
      <c r="G931" s="33"/>
      <c r="H931" s="43" t="str">
        <f>IFERROR(VLOOKUP(IGA_BD[[#This Row],[Affected Feeder ]],'Basic Data'!$A$42:$E$53,2,0),"")</f>
        <v/>
      </c>
      <c r="I931" s="43" t="str">
        <f>IFERROR(VLOOKUP(IGA_BD[[#This Row],[Affected Feeder ]],'Basic Data'!$A$42:$E$53,3,0),"")</f>
        <v/>
      </c>
      <c r="J931" s="43" t="str">
        <f>IFERROR(VLOOKUP(IGA_BD[[#This Row],[Affected Feeder ]],'Basic Data'!$A$42:$E$53,5,0),"")</f>
        <v/>
      </c>
      <c r="K931" s="164"/>
      <c r="L931" s="50"/>
      <c r="M931" s="116"/>
      <c r="N931" s="116"/>
      <c r="O931" s="57">
        <f>(IGA_BD[[#This Row],[Work Start TimeStamp]]-IGA_BD[[#This Row],[Fault Start TimeStamp]])*24</f>
        <v>0</v>
      </c>
      <c r="P931" s="44" t="str">
        <f>IF(IGA_BD[[#This Row],[Work Start TimeStamp]]="","",(IGA_BD[[#This Row],[Fault Clearance time]]-IGA_BD[[#This Row],[Work Start TimeStamp]])*24)</f>
        <v/>
      </c>
      <c r="Q931" s="57">
        <f>(IGA_BD[[#This Row],[Fault Clearance time]]-IGA_BD[[#This Row],[Fault Start TimeStamp]])*24</f>
        <v>0</v>
      </c>
      <c r="R931" s="153"/>
      <c r="S931" s="44"/>
      <c r="T931" s="45" t="str">
        <f>IFERROR(IGA_BD[[#This Row],[Breakdown Time]]*IGA_BD[[#This Row],[Plant Equivalent Weightage]],"")</f>
        <v/>
      </c>
    </row>
    <row r="932" spans="1:20">
      <c r="A932" s="28"/>
      <c r="B932" s="154"/>
      <c r="C932" s="30">
        <f>YEAR(WTG_BD[[#This Row],[Date]])+IF(MONTH(WTG_BD[[#This Row],[Date]])&gt;=4,1,0)</f>
        <v>1900</v>
      </c>
      <c r="D932" s="31">
        <f>YEAR(IGA_BD[[#This Row],[Date]])</f>
        <v>1900</v>
      </c>
      <c r="E932" s="48">
        <f t="shared" si="17"/>
        <v>1</v>
      </c>
      <c r="F932" s="32"/>
      <c r="G932" s="33"/>
      <c r="H932" s="43" t="str">
        <f>IFERROR(VLOOKUP(IGA_BD[[#This Row],[Affected Feeder ]],'Basic Data'!$A$42:$E$53,2,0),"")</f>
        <v/>
      </c>
      <c r="I932" s="43" t="str">
        <f>IFERROR(VLOOKUP(IGA_BD[[#This Row],[Affected Feeder ]],'Basic Data'!$A$42:$E$53,3,0),"")</f>
        <v/>
      </c>
      <c r="J932" s="43" t="str">
        <f>IFERROR(VLOOKUP(IGA_BD[[#This Row],[Affected Feeder ]],'Basic Data'!$A$42:$E$53,5,0),"")</f>
        <v/>
      </c>
      <c r="K932" s="164"/>
      <c r="L932" s="50"/>
      <c r="M932" s="116"/>
      <c r="N932" s="116"/>
      <c r="O932" s="57">
        <f>(IGA_BD[[#This Row],[Work Start TimeStamp]]-IGA_BD[[#This Row],[Fault Start TimeStamp]])*24</f>
        <v>0</v>
      </c>
      <c r="P932" s="44" t="str">
        <f>IF(IGA_BD[[#This Row],[Work Start TimeStamp]]="","",(IGA_BD[[#This Row],[Fault Clearance time]]-IGA_BD[[#This Row],[Work Start TimeStamp]])*24)</f>
        <v/>
      </c>
      <c r="Q932" s="57">
        <f>(IGA_BD[[#This Row],[Fault Clearance time]]-IGA_BD[[#This Row],[Fault Start TimeStamp]])*24</f>
        <v>0</v>
      </c>
      <c r="R932" s="153"/>
      <c r="S932" s="44"/>
      <c r="T932" s="45" t="str">
        <f>IFERROR(IGA_BD[[#This Row],[Breakdown Time]]*IGA_BD[[#This Row],[Plant Equivalent Weightage]],"")</f>
        <v/>
      </c>
    </row>
    <row r="933" spans="1:20">
      <c r="A933" s="28"/>
      <c r="B933" s="154"/>
      <c r="C933" s="30">
        <f>YEAR(WTG_BD[[#This Row],[Date]])+IF(MONTH(WTG_BD[[#This Row],[Date]])&gt;=4,1,0)</f>
        <v>1900</v>
      </c>
      <c r="D933" s="31">
        <f>YEAR(IGA_BD[[#This Row],[Date]])</f>
        <v>1900</v>
      </c>
      <c r="E933" s="48">
        <f t="shared" si="17"/>
        <v>1</v>
      </c>
      <c r="F933" s="32"/>
      <c r="G933" s="33"/>
      <c r="H933" s="43" t="str">
        <f>IFERROR(VLOOKUP(IGA_BD[[#This Row],[Affected Feeder ]],'Basic Data'!$A$42:$E$53,2,0),"")</f>
        <v/>
      </c>
      <c r="I933" s="43" t="str">
        <f>IFERROR(VLOOKUP(IGA_BD[[#This Row],[Affected Feeder ]],'Basic Data'!$A$42:$E$53,3,0),"")</f>
        <v/>
      </c>
      <c r="J933" s="43" t="str">
        <f>IFERROR(VLOOKUP(IGA_BD[[#This Row],[Affected Feeder ]],'Basic Data'!$A$42:$E$53,5,0),"")</f>
        <v/>
      </c>
      <c r="K933" s="164"/>
      <c r="L933" s="50"/>
      <c r="M933" s="116"/>
      <c r="N933" s="116"/>
      <c r="O933" s="57">
        <f>(IGA_BD[[#This Row],[Work Start TimeStamp]]-IGA_BD[[#This Row],[Fault Start TimeStamp]])*24</f>
        <v>0</v>
      </c>
      <c r="P933" s="44" t="str">
        <f>IF(IGA_BD[[#This Row],[Work Start TimeStamp]]="","",(IGA_BD[[#This Row],[Fault Clearance time]]-IGA_BD[[#This Row],[Work Start TimeStamp]])*24)</f>
        <v/>
      </c>
      <c r="Q933" s="57">
        <f>(IGA_BD[[#This Row],[Fault Clearance time]]-IGA_BD[[#This Row],[Fault Start TimeStamp]])*24</f>
        <v>0</v>
      </c>
      <c r="R933" s="153"/>
      <c r="S933" s="44"/>
      <c r="T933" s="45" t="str">
        <f>IFERROR(IGA_BD[[#This Row],[Breakdown Time]]*IGA_BD[[#This Row],[Plant Equivalent Weightage]],"")</f>
        <v/>
      </c>
    </row>
    <row r="934" spans="1:20">
      <c r="A934" s="28"/>
      <c r="B934" s="154"/>
      <c r="C934" s="30">
        <f>YEAR(WTG_BD[[#This Row],[Date]])+IF(MONTH(WTG_BD[[#This Row],[Date]])&gt;=4,1,0)</f>
        <v>1900</v>
      </c>
      <c r="D934" s="31">
        <f>YEAR(IGA_BD[[#This Row],[Date]])</f>
        <v>1900</v>
      </c>
      <c r="E934" s="48">
        <f t="shared" si="17"/>
        <v>1</v>
      </c>
      <c r="F934" s="32"/>
      <c r="G934" s="33"/>
      <c r="H934" s="43" t="str">
        <f>IFERROR(VLOOKUP(IGA_BD[[#This Row],[Affected Feeder ]],'Basic Data'!$A$42:$E$53,2,0),"")</f>
        <v/>
      </c>
      <c r="I934" s="43" t="str">
        <f>IFERROR(VLOOKUP(IGA_BD[[#This Row],[Affected Feeder ]],'Basic Data'!$A$42:$E$53,3,0),"")</f>
        <v/>
      </c>
      <c r="J934" s="43" t="str">
        <f>IFERROR(VLOOKUP(IGA_BD[[#This Row],[Affected Feeder ]],'Basic Data'!$A$42:$E$53,5,0),"")</f>
        <v/>
      </c>
      <c r="K934" s="164"/>
      <c r="L934" s="50"/>
      <c r="M934" s="116"/>
      <c r="N934" s="116"/>
      <c r="O934" s="57">
        <f>(IGA_BD[[#This Row],[Work Start TimeStamp]]-IGA_BD[[#This Row],[Fault Start TimeStamp]])*24</f>
        <v>0</v>
      </c>
      <c r="P934" s="44" t="str">
        <f>IF(IGA_BD[[#This Row],[Work Start TimeStamp]]="","",(IGA_BD[[#This Row],[Fault Clearance time]]-IGA_BD[[#This Row],[Work Start TimeStamp]])*24)</f>
        <v/>
      </c>
      <c r="Q934" s="57">
        <f>(IGA_BD[[#This Row],[Fault Clearance time]]-IGA_BD[[#This Row],[Fault Start TimeStamp]])*24</f>
        <v>0</v>
      </c>
      <c r="R934" s="153"/>
      <c r="S934" s="44"/>
      <c r="T934" s="45" t="str">
        <f>IFERROR(IGA_BD[[#This Row],[Breakdown Time]]*IGA_BD[[#This Row],[Plant Equivalent Weightage]],"")</f>
        <v/>
      </c>
    </row>
    <row r="935" spans="1:20">
      <c r="A935" s="28"/>
      <c r="B935" s="154"/>
      <c r="C935" s="30">
        <f>YEAR(WTG_BD[[#This Row],[Date]])+IF(MONTH(WTG_BD[[#This Row],[Date]])&gt;=4,1,0)</f>
        <v>1900</v>
      </c>
      <c r="D935" s="31">
        <f>YEAR(IGA_BD[[#This Row],[Date]])</f>
        <v>1900</v>
      </c>
      <c r="E935" s="48">
        <f t="shared" si="17"/>
        <v>1</v>
      </c>
      <c r="F935" s="32"/>
      <c r="G935" s="33"/>
      <c r="H935" s="43" t="str">
        <f>IFERROR(VLOOKUP(IGA_BD[[#This Row],[Affected Feeder ]],'Basic Data'!$A$42:$E$53,2,0),"")</f>
        <v/>
      </c>
      <c r="I935" s="43" t="str">
        <f>IFERROR(VLOOKUP(IGA_BD[[#This Row],[Affected Feeder ]],'Basic Data'!$A$42:$E$53,3,0),"")</f>
        <v/>
      </c>
      <c r="J935" s="43" t="str">
        <f>IFERROR(VLOOKUP(IGA_BD[[#This Row],[Affected Feeder ]],'Basic Data'!$A$42:$E$53,5,0),"")</f>
        <v/>
      </c>
      <c r="K935" s="164"/>
      <c r="L935" s="50"/>
      <c r="M935" s="116"/>
      <c r="N935" s="116"/>
      <c r="O935" s="57">
        <f>(IGA_BD[[#This Row],[Work Start TimeStamp]]-IGA_BD[[#This Row],[Fault Start TimeStamp]])*24</f>
        <v>0</v>
      </c>
      <c r="P935" s="44" t="str">
        <f>IF(IGA_BD[[#This Row],[Work Start TimeStamp]]="","",(IGA_BD[[#This Row],[Fault Clearance time]]-IGA_BD[[#This Row],[Work Start TimeStamp]])*24)</f>
        <v/>
      </c>
      <c r="Q935" s="57">
        <f>(IGA_BD[[#This Row],[Fault Clearance time]]-IGA_BD[[#This Row],[Fault Start TimeStamp]])*24</f>
        <v>0</v>
      </c>
      <c r="R935" s="153"/>
      <c r="S935" s="44"/>
      <c r="T935" s="45" t="str">
        <f>IFERROR(IGA_BD[[#This Row],[Breakdown Time]]*IGA_BD[[#This Row],[Plant Equivalent Weightage]],"")</f>
        <v/>
      </c>
    </row>
    <row r="936" spans="1:20">
      <c r="A936" s="28"/>
      <c r="B936" s="154"/>
      <c r="C936" s="30">
        <f>YEAR(WTG_BD[[#This Row],[Date]])+IF(MONTH(WTG_BD[[#This Row],[Date]])&gt;=4,1,0)</f>
        <v>1900</v>
      </c>
      <c r="D936" s="31">
        <f>YEAR(IGA_BD[[#This Row],[Date]])</f>
        <v>1900</v>
      </c>
      <c r="E936" s="48">
        <f t="shared" si="17"/>
        <v>1</v>
      </c>
      <c r="F936" s="32"/>
      <c r="G936" s="33"/>
      <c r="H936" s="43" t="str">
        <f>IFERROR(VLOOKUP(IGA_BD[[#This Row],[Affected Feeder ]],'Basic Data'!$A$42:$E$53,2,0),"")</f>
        <v/>
      </c>
      <c r="I936" s="43" t="str">
        <f>IFERROR(VLOOKUP(IGA_BD[[#This Row],[Affected Feeder ]],'Basic Data'!$A$42:$E$53,3,0),"")</f>
        <v/>
      </c>
      <c r="J936" s="43" t="str">
        <f>IFERROR(VLOOKUP(IGA_BD[[#This Row],[Affected Feeder ]],'Basic Data'!$A$42:$E$53,5,0),"")</f>
        <v/>
      </c>
      <c r="K936" s="164"/>
      <c r="L936" s="50"/>
      <c r="M936" s="116"/>
      <c r="N936" s="116"/>
      <c r="O936" s="57">
        <f>(IGA_BD[[#This Row],[Work Start TimeStamp]]-IGA_BD[[#This Row],[Fault Start TimeStamp]])*24</f>
        <v>0</v>
      </c>
      <c r="P936" s="44" t="str">
        <f>IF(IGA_BD[[#This Row],[Work Start TimeStamp]]="","",(IGA_BD[[#This Row],[Fault Clearance time]]-IGA_BD[[#This Row],[Work Start TimeStamp]])*24)</f>
        <v/>
      </c>
      <c r="Q936" s="57">
        <f>(IGA_BD[[#This Row],[Fault Clearance time]]-IGA_BD[[#This Row],[Fault Start TimeStamp]])*24</f>
        <v>0</v>
      </c>
      <c r="R936" s="153"/>
      <c r="S936" s="44"/>
      <c r="T936" s="45" t="str">
        <f>IFERROR(IGA_BD[[#This Row],[Breakdown Time]]*IGA_BD[[#This Row],[Plant Equivalent Weightage]],"")</f>
        <v/>
      </c>
    </row>
    <row r="937" spans="1:20">
      <c r="A937" s="28"/>
      <c r="B937" s="154"/>
      <c r="C937" s="30">
        <f>YEAR(WTG_BD[[#This Row],[Date]])+IF(MONTH(WTG_BD[[#This Row],[Date]])&gt;=4,1,0)</f>
        <v>1900</v>
      </c>
      <c r="D937" s="31">
        <f>YEAR(IGA_BD[[#This Row],[Date]])</f>
        <v>1900</v>
      </c>
      <c r="E937" s="48">
        <f t="shared" si="17"/>
        <v>1</v>
      </c>
      <c r="F937" s="32"/>
      <c r="G937" s="33"/>
      <c r="H937" s="43" t="str">
        <f>IFERROR(VLOOKUP(IGA_BD[[#This Row],[Affected Feeder ]],'Basic Data'!$A$42:$E$53,2,0),"")</f>
        <v/>
      </c>
      <c r="I937" s="43" t="str">
        <f>IFERROR(VLOOKUP(IGA_BD[[#This Row],[Affected Feeder ]],'Basic Data'!$A$42:$E$53,3,0),"")</f>
        <v/>
      </c>
      <c r="J937" s="43" t="str">
        <f>IFERROR(VLOOKUP(IGA_BD[[#This Row],[Affected Feeder ]],'Basic Data'!$A$42:$E$53,5,0),"")</f>
        <v/>
      </c>
      <c r="K937" s="164"/>
      <c r="L937" s="50"/>
      <c r="M937" s="116"/>
      <c r="N937" s="116"/>
      <c r="O937" s="57">
        <f>(IGA_BD[[#This Row],[Work Start TimeStamp]]-IGA_BD[[#This Row],[Fault Start TimeStamp]])*24</f>
        <v>0</v>
      </c>
      <c r="P937" s="44" t="str">
        <f>IF(IGA_BD[[#This Row],[Work Start TimeStamp]]="","",(IGA_BD[[#This Row],[Fault Clearance time]]-IGA_BD[[#This Row],[Work Start TimeStamp]])*24)</f>
        <v/>
      </c>
      <c r="Q937" s="57">
        <f>(IGA_BD[[#This Row],[Fault Clearance time]]-IGA_BD[[#This Row],[Fault Start TimeStamp]])*24</f>
        <v>0</v>
      </c>
      <c r="R937" s="153"/>
      <c r="S937" s="44"/>
      <c r="T937" s="45" t="str">
        <f>IFERROR(IGA_BD[[#This Row],[Breakdown Time]]*IGA_BD[[#This Row],[Plant Equivalent Weightage]],"")</f>
        <v/>
      </c>
    </row>
    <row r="938" spans="1:20">
      <c r="A938" s="28"/>
      <c r="B938" s="154"/>
      <c r="C938" s="30">
        <f>YEAR(WTG_BD[[#This Row],[Date]])+IF(MONTH(WTG_BD[[#This Row],[Date]])&gt;=4,1,0)</f>
        <v>1900</v>
      </c>
      <c r="D938" s="31">
        <f>YEAR(IGA_BD[[#This Row],[Date]])</f>
        <v>1900</v>
      </c>
      <c r="E938" s="48">
        <f t="shared" si="17"/>
        <v>1</v>
      </c>
      <c r="F938" s="32"/>
      <c r="G938" s="33"/>
      <c r="H938" s="43" t="str">
        <f>IFERROR(VLOOKUP(IGA_BD[[#This Row],[Affected Feeder ]],'Basic Data'!$A$42:$E$53,2,0),"")</f>
        <v/>
      </c>
      <c r="I938" s="43" t="str">
        <f>IFERROR(VLOOKUP(IGA_BD[[#This Row],[Affected Feeder ]],'Basic Data'!$A$42:$E$53,3,0),"")</f>
        <v/>
      </c>
      <c r="J938" s="43" t="str">
        <f>IFERROR(VLOOKUP(IGA_BD[[#This Row],[Affected Feeder ]],'Basic Data'!$A$42:$E$53,5,0),"")</f>
        <v/>
      </c>
      <c r="K938" s="164"/>
      <c r="L938" s="50"/>
      <c r="M938" s="116"/>
      <c r="N938" s="116"/>
      <c r="O938" s="57">
        <f>(IGA_BD[[#This Row],[Work Start TimeStamp]]-IGA_BD[[#This Row],[Fault Start TimeStamp]])*24</f>
        <v>0</v>
      </c>
      <c r="P938" s="44" t="str">
        <f>IF(IGA_BD[[#This Row],[Work Start TimeStamp]]="","",(IGA_BD[[#This Row],[Fault Clearance time]]-IGA_BD[[#This Row],[Work Start TimeStamp]])*24)</f>
        <v/>
      </c>
      <c r="Q938" s="57">
        <f>(IGA_BD[[#This Row],[Fault Clearance time]]-IGA_BD[[#This Row],[Fault Start TimeStamp]])*24</f>
        <v>0</v>
      </c>
      <c r="R938" s="153"/>
      <c r="S938" s="44"/>
      <c r="T938" s="45" t="str">
        <f>IFERROR(IGA_BD[[#This Row],[Breakdown Time]]*IGA_BD[[#This Row],[Plant Equivalent Weightage]],"")</f>
        <v/>
      </c>
    </row>
    <row r="939" spans="1:20">
      <c r="A939" s="28"/>
      <c r="B939" s="154"/>
      <c r="C939" s="30">
        <f>YEAR(WTG_BD[[#This Row],[Date]])+IF(MONTH(WTG_BD[[#This Row],[Date]])&gt;=4,1,0)</f>
        <v>1900</v>
      </c>
      <c r="D939" s="31">
        <f>YEAR(IGA_BD[[#This Row],[Date]])</f>
        <v>1900</v>
      </c>
      <c r="E939" s="48">
        <f t="shared" si="17"/>
        <v>1</v>
      </c>
      <c r="F939" s="32"/>
      <c r="G939" s="33"/>
      <c r="H939" s="43" t="str">
        <f>IFERROR(VLOOKUP(IGA_BD[[#This Row],[Affected Feeder ]],'Basic Data'!$A$42:$E$53,2,0),"")</f>
        <v/>
      </c>
      <c r="I939" s="43" t="str">
        <f>IFERROR(VLOOKUP(IGA_BD[[#This Row],[Affected Feeder ]],'Basic Data'!$A$42:$E$53,3,0),"")</f>
        <v/>
      </c>
      <c r="J939" s="43" t="str">
        <f>IFERROR(VLOOKUP(IGA_BD[[#This Row],[Affected Feeder ]],'Basic Data'!$A$42:$E$53,5,0),"")</f>
        <v/>
      </c>
      <c r="K939" s="164"/>
      <c r="L939" s="50"/>
      <c r="M939" s="116"/>
      <c r="N939" s="116"/>
      <c r="O939" s="57">
        <f>(IGA_BD[[#This Row],[Work Start TimeStamp]]-IGA_BD[[#This Row],[Fault Start TimeStamp]])*24</f>
        <v>0</v>
      </c>
      <c r="P939" s="44" t="str">
        <f>IF(IGA_BD[[#This Row],[Work Start TimeStamp]]="","",(IGA_BD[[#This Row],[Fault Clearance time]]-IGA_BD[[#This Row],[Work Start TimeStamp]])*24)</f>
        <v/>
      </c>
      <c r="Q939" s="57">
        <f>(IGA_BD[[#This Row],[Fault Clearance time]]-IGA_BD[[#This Row],[Fault Start TimeStamp]])*24</f>
        <v>0</v>
      </c>
      <c r="R939" s="153"/>
      <c r="S939" s="44"/>
      <c r="T939" s="45" t="str">
        <f>IFERROR(IGA_BD[[#This Row],[Breakdown Time]]*IGA_BD[[#This Row],[Plant Equivalent Weightage]],"")</f>
        <v/>
      </c>
    </row>
    <row r="940" spans="1:20">
      <c r="A940" s="28"/>
      <c r="B940" s="154"/>
      <c r="C940" s="30">
        <f>YEAR(WTG_BD[[#This Row],[Date]])+IF(MONTH(WTG_BD[[#This Row],[Date]])&gt;=4,1,0)</f>
        <v>1900</v>
      </c>
      <c r="D940" s="31">
        <f>YEAR(IGA_BD[[#This Row],[Date]])</f>
        <v>1900</v>
      </c>
      <c r="E940" s="48">
        <f t="shared" si="17"/>
        <v>1</v>
      </c>
      <c r="F940" s="32"/>
      <c r="G940" s="33"/>
      <c r="H940" s="43" t="str">
        <f>IFERROR(VLOOKUP(IGA_BD[[#This Row],[Affected Feeder ]],'Basic Data'!$A$42:$E$53,2,0),"")</f>
        <v/>
      </c>
      <c r="I940" s="43" t="str">
        <f>IFERROR(VLOOKUP(IGA_BD[[#This Row],[Affected Feeder ]],'Basic Data'!$A$42:$E$53,3,0),"")</f>
        <v/>
      </c>
      <c r="J940" s="43" t="str">
        <f>IFERROR(VLOOKUP(IGA_BD[[#This Row],[Affected Feeder ]],'Basic Data'!$A$42:$E$53,5,0),"")</f>
        <v/>
      </c>
      <c r="K940" s="164"/>
      <c r="L940" s="50"/>
      <c r="M940" s="116"/>
      <c r="N940" s="116"/>
      <c r="O940" s="57">
        <f>(IGA_BD[[#This Row],[Work Start TimeStamp]]-IGA_BD[[#This Row],[Fault Start TimeStamp]])*24</f>
        <v>0</v>
      </c>
      <c r="P940" s="44" t="str">
        <f>IF(IGA_BD[[#This Row],[Work Start TimeStamp]]="","",(IGA_BD[[#This Row],[Fault Clearance time]]-IGA_BD[[#This Row],[Work Start TimeStamp]])*24)</f>
        <v/>
      </c>
      <c r="Q940" s="57">
        <f>(IGA_BD[[#This Row],[Fault Clearance time]]-IGA_BD[[#This Row],[Fault Start TimeStamp]])*24</f>
        <v>0</v>
      </c>
      <c r="R940" s="153"/>
      <c r="S940" s="44"/>
      <c r="T940" s="45" t="str">
        <f>IFERROR(IGA_BD[[#This Row],[Breakdown Time]]*IGA_BD[[#This Row],[Plant Equivalent Weightage]],"")</f>
        <v/>
      </c>
    </row>
    <row r="941" spans="1:20">
      <c r="A941" s="28"/>
      <c r="B941" s="154"/>
      <c r="C941" s="30">
        <f>YEAR(WTG_BD[[#This Row],[Date]])+IF(MONTH(WTG_BD[[#This Row],[Date]])&gt;=4,1,0)</f>
        <v>1900</v>
      </c>
      <c r="D941" s="31">
        <f>YEAR(IGA_BD[[#This Row],[Date]])</f>
        <v>1900</v>
      </c>
      <c r="E941" s="48">
        <f t="shared" si="17"/>
        <v>1</v>
      </c>
      <c r="F941" s="32"/>
      <c r="G941" s="33"/>
      <c r="H941" s="43" t="str">
        <f>IFERROR(VLOOKUP(IGA_BD[[#This Row],[Affected Feeder ]],'Basic Data'!$A$42:$E$53,2,0),"")</f>
        <v/>
      </c>
      <c r="I941" s="43" t="str">
        <f>IFERROR(VLOOKUP(IGA_BD[[#This Row],[Affected Feeder ]],'Basic Data'!$A$42:$E$53,3,0),"")</f>
        <v/>
      </c>
      <c r="J941" s="43" t="str">
        <f>IFERROR(VLOOKUP(IGA_BD[[#This Row],[Affected Feeder ]],'Basic Data'!$A$42:$E$53,5,0),"")</f>
        <v/>
      </c>
      <c r="K941" s="164"/>
      <c r="L941" s="50"/>
      <c r="M941" s="116"/>
      <c r="N941" s="116"/>
      <c r="O941" s="57">
        <f>(IGA_BD[[#This Row],[Work Start TimeStamp]]-IGA_BD[[#This Row],[Fault Start TimeStamp]])*24</f>
        <v>0</v>
      </c>
      <c r="P941" s="44" t="str">
        <f>IF(IGA_BD[[#This Row],[Work Start TimeStamp]]="","",(IGA_BD[[#This Row],[Fault Clearance time]]-IGA_BD[[#This Row],[Work Start TimeStamp]])*24)</f>
        <v/>
      </c>
      <c r="Q941" s="57">
        <f>(IGA_BD[[#This Row],[Fault Clearance time]]-IGA_BD[[#This Row],[Fault Start TimeStamp]])*24</f>
        <v>0</v>
      </c>
      <c r="R941" s="153"/>
      <c r="S941" s="44"/>
      <c r="T941" s="45" t="str">
        <f>IFERROR(IGA_BD[[#This Row],[Breakdown Time]]*IGA_BD[[#This Row],[Plant Equivalent Weightage]],"")</f>
        <v/>
      </c>
    </row>
    <row r="942" spans="1:20">
      <c r="A942" s="28"/>
      <c r="B942" s="154"/>
      <c r="C942" s="30">
        <f>YEAR(WTG_BD[[#This Row],[Date]])+IF(MONTH(WTG_BD[[#This Row],[Date]])&gt;=4,1,0)</f>
        <v>1900</v>
      </c>
      <c r="D942" s="31">
        <f>YEAR(IGA_BD[[#This Row],[Date]])</f>
        <v>1900</v>
      </c>
      <c r="E942" s="48">
        <f t="shared" si="17"/>
        <v>1</v>
      </c>
      <c r="F942" s="32"/>
      <c r="G942" s="33"/>
      <c r="H942" s="43" t="str">
        <f>IFERROR(VLOOKUP(IGA_BD[[#This Row],[Affected Feeder ]],'Basic Data'!$A$42:$E$53,2,0),"")</f>
        <v/>
      </c>
      <c r="I942" s="43" t="str">
        <f>IFERROR(VLOOKUP(IGA_BD[[#This Row],[Affected Feeder ]],'Basic Data'!$A$42:$E$53,3,0),"")</f>
        <v/>
      </c>
      <c r="J942" s="43" t="str">
        <f>IFERROR(VLOOKUP(IGA_BD[[#This Row],[Affected Feeder ]],'Basic Data'!$A$42:$E$53,5,0),"")</f>
        <v/>
      </c>
      <c r="K942" s="164"/>
      <c r="L942" s="50"/>
      <c r="M942" s="116"/>
      <c r="N942" s="116"/>
      <c r="O942" s="57">
        <f>(IGA_BD[[#This Row],[Work Start TimeStamp]]-IGA_BD[[#This Row],[Fault Start TimeStamp]])*24</f>
        <v>0</v>
      </c>
      <c r="P942" s="44" t="str">
        <f>IF(IGA_BD[[#This Row],[Work Start TimeStamp]]="","",(IGA_BD[[#This Row],[Fault Clearance time]]-IGA_BD[[#This Row],[Work Start TimeStamp]])*24)</f>
        <v/>
      </c>
      <c r="Q942" s="57">
        <f>(IGA_BD[[#This Row],[Fault Clearance time]]-IGA_BD[[#This Row],[Fault Start TimeStamp]])*24</f>
        <v>0</v>
      </c>
      <c r="R942" s="153"/>
      <c r="S942" s="44"/>
      <c r="T942" s="45" t="str">
        <f>IFERROR(IGA_BD[[#This Row],[Breakdown Time]]*IGA_BD[[#This Row],[Plant Equivalent Weightage]],"")</f>
        <v/>
      </c>
    </row>
    <row r="943" spans="1:20">
      <c r="A943" s="28"/>
      <c r="B943" s="154"/>
      <c r="C943" s="30">
        <f>YEAR(WTG_BD[[#This Row],[Date]])+IF(MONTH(WTG_BD[[#This Row],[Date]])&gt;=4,1,0)</f>
        <v>1900</v>
      </c>
      <c r="D943" s="31">
        <f>YEAR(IGA_BD[[#This Row],[Date]])</f>
        <v>1900</v>
      </c>
      <c r="E943" s="48">
        <f t="shared" si="17"/>
        <v>1</v>
      </c>
      <c r="F943" s="32"/>
      <c r="G943" s="33"/>
      <c r="H943" s="43" t="str">
        <f>IFERROR(VLOOKUP(IGA_BD[[#This Row],[Affected Feeder ]],'Basic Data'!$A$42:$E$53,2,0),"")</f>
        <v/>
      </c>
      <c r="I943" s="43" t="str">
        <f>IFERROR(VLOOKUP(IGA_BD[[#This Row],[Affected Feeder ]],'Basic Data'!$A$42:$E$53,3,0),"")</f>
        <v/>
      </c>
      <c r="J943" s="43" t="str">
        <f>IFERROR(VLOOKUP(IGA_BD[[#This Row],[Affected Feeder ]],'Basic Data'!$A$42:$E$53,5,0),"")</f>
        <v/>
      </c>
      <c r="K943" s="164"/>
      <c r="L943" s="50"/>
      <c r="M943" s="116"/>
      <c r="N943" s="116"/>
      <c r="O943" s="57">
        <f>(IGA_BD[[#This Row],[Work Start TimeStamp]]-IGA_BD[[#This Row],[Fault Start TimeStamp]])*24</f>
        <v>0</v>
      </c>
      <c r="P943" s="44" t="str">
        <f>IF(IGA_BD[[#This Row],[Work Start TimeStamp]]="","",(IGA_BD[[#This Row],[Fault Clearance time]]-IGA_BD[[#This Row],[Work Start TimeStamp]])*24)</f>
        <v/>
      </c>
      <c r="Q943" s="57">
        <f>(IGA_BD[[#This Row],[Fault Clearance time]]-IGA_BD[[#This Row],[Fault Start TimeStamp]])*24</f>
        <v>0</v>
      </c>
      <c r="R943" s="153"/>
      <c r="S943" s="44"/>
      <c r="T943" s="45" t="str">
        <f>IFERROR(IGA_BD[[#This Row],[Breakdown Time]]*IGA_BD[[#This Row],[Plant Equivalent Weightage]],"")</f>
        <v/>
      </c>
    </row>
    <row r="944" spans="1:20">
      <c r="A944" s="28"/>
      <c r="B944" s="154"/>
      <c r="C944" s="30">
        <f>YEAR(WTG_BD[[#This Row],[Date]])+IF(MONTH(WTG_BD[[#This Row],[Date]])&gt;=4,1,0)</f>
        <v>1900</v>
      </c>
      <c r="D944" s="31">
        <f>YEAR(IGA_BD[[#This Row],[Date]])</f>
        <v>1900</v>
      </c>
      <c r="E944" s="48">
        <f t="shared" si="17"/>
        <v>1</v>
      </c>
      <c r="F944" s="32"/>
      <c r="G944" s="33"/>
      <c r="H944" s="43" t="str">
        <f>IFERROR(VLOOKUP(IGA_BD[[#This Row],[Affected Feeder ]],'Basic Data'!$A$42:$E$53,2,0),"")</f>
        <v/>
      </c>
      <c r="I944" s="43" t="str">
        <f>IFERROR(VLOOKUP(IGA_BD[[#This Row],[Affected Feeder ]],'Basic Data'!$A$42:$E$53,3,0),"")</f>
        <v/>
      </c>
      <c r="J944" s="43" t="str">
        <f>IFERROR(VLOOKUP(IGA_BD[[#This Row],[Affected Feeder ]],'Basic Data'!$A$42:$E$53,5,0),"")</f>
        <v/>
      </c>
      <c r="K944" s="164"/>
      <c r="L944" s="50"/>
      <c r="M944" s="116"/>
      <c r="N944" s="116"/>
      <c r="O944" s="57">
        <f>(IGA_BD[[#This Row],[Work Start TimeStamp]]-IGA_BD[[#This Row],[Fault Start TimeStamp]])*24</f>
        <v>0</v>
      </c>
      <c r="P944" s="44" t="str">
        <f>IF(IGA_BD[[#This Row],[Work Start TimeStamp]]="","",(IGA_BD[[#This Row],[Fault Clearance time]]-IGA_BD[[#This Row],[Work Start TimeStamp]])*24)</f>
        <v/>
      </c>
      <c r="Q944" s="57">
        <f>(IGA_BD[[#This Row],[Fault Clearance time]]-IGA_BD[[#This Row],[Fault Start TimeStamp]])*24</f>
        <v>0</v>
      </c>
      <c r="R944" s="153"/>
      <c r="S944" s="44"/>
      <c r="T944" s="45" t="str">
        <f>IFERROR(IGA_BD[[#This Row],[Breakdown Time]]*IGA_BD[[#This Row],[Plant Equivalent Weightage]],"")</f>
        <v/>
      </c>
    </row>
    <row r="945" spans="1:20">
      <c r="A945" s="28"/>
      <c r="B945" s="154"/>
      <c r="C945" s="30">
        <f>YEAR(WTG_BD[[#This Row],[Date]])+IF(MONTH(WTG_BD[[#This Row],[Date]])&gt;=4,1,0)</f>
        <v>1900</v>
      </c>
      <c r="D945" s="31">
        <f>YEAR(IGA_BD[[#This Row],[Date]])</f>
        <v>1900</v>
      </c>
      <c r="E945" s="48">
        <f t="shared" si="17"/>
        <v>1</v>
      </c>
      <c r="F945" s="32"/>
      <c r="G945" s="33"/>
      <c r="H945" s="43" t="str">
        <f>IFERROR(VLOOKUP(IGA_BD[[#This Row],[Affected Feeder ]],'Basic Data'!$A$42:$E$53,2,0),"")</f>
        <v/>
      </c>
      <c r="I945" s="43" t="str">
        <f>IFERROR(VLOOKUP(IGA_BD[[#This Row],[Affected Feeder ]],'Basic Data'!$A$42:$E$53,3,0),"")</f>
        <v/>
      </c>
      <c r="J945" s="43" t="str">
        <f>IFERROR(VLOOKUP(IGA_BD[[#This Row],[Affected Feeder ]],'Basic Data'!$A$42:$E$53,5,0),"")</f>
        <v/>
      </c>
      <c r="K945" s="164"/>
      <c r="L945" s="50"/>
      <c r="M945" s="116"/>
      <c r="N945" s="116"/>
      <c r="O945" s="57">
        <f>(IGA_BD[[#This Row],[Work Start TimeStamp]]-IGA_BD[[#This Row],[Fault Start TimeStamp]])*24</f>
        <v>0</v>
      </c>
      <c r="P945" s="44" t="str">
        <f>IF(IGA_BD[[#This Row],[Work Start TimeStamp]]="","",(IGA_BD[[#This Row],[Fault Clearance time]]-IGA_BD[[#This Row],[Work Start TimeStamp]])*24)</f>
        <v/>
      </c>
      <c r="Q945" s="57">
        <f>(IGA_BD[[#This Row],[Fault Clearance time]]-IGA_BD[[#This Row],[Fault Start TimeStamp]])*24</f>
        <v>0</v>
      </c>
      <c r="R945" s="153"/>
      <c r="S945" s="44"/>
      <c r="T945" s="45" t="str">
        <f>IFERROR(IGA_BD[[#This Row],[Breakdown Time]]*IGA_BD[[#This Row],[Plant Equivalent Weightage]],"")</f>
        <v/>
      </c>
    </row>
    <row r="946" spans="1:20">
      <c r="A946" s="28"/>
      <c r="B946" s="154"/>
      <c r="C946" s="30">
        <f>YEAR(WTG_BD[[#This Row],[Date]])+IF(MONTH(WTG_BD[[#This Row],[Date]])&gt;=4,1,0)</f>
        <v>1900</v>
      </c>
      <c r="D946" s="31">
        <f>YEAR(IGA_BD[[#This Row],[Date]])</f>
        <v>1900</v>
      </c>
      <c r="E946" s="48">
        <f t="shared" si="17"/>
        <v>1</v>
      </c>
      <c r="F946" s="32"/>
      <c r="G946" s="33"/>
      <c r="H946" s="43" t="str">
        <f>IFERROR(VLOOKUP(IGA_BD[[#This Row],[Affected Feeder ]],'Basic Data'!$A$42:$E$53,2,0),"")</f>
        <v/>
      </c>
      <c r="I946" s="43" t="str">
        <f>IFERROR(VLOOKUP(IGA_BD[[#This Row],[Affected Feeder ]],'Basic Data'!$A$42:$E$53,3,0),"")</f>
        <v/>
      </c>
      <c r="J946" s="43" t="str">
        <f>IFERROR(VLOOKUP(IGA_BD[[#This Row],[Affected Feeder ]],'Basic Data'!$A$42:$E$53,5,0),"")</f>
        <v/>
      </c>
      <c r="K946" s="164"/>
      <c r="L946" s="50"/>
      <c r="M946" s="116"/>
      <c r="N946" s="116"/>
      <c r="O946" s="57">
        <f>(IGA_BD[[#This Row],[Work Start TimeStamp]]-IGA_BD[[#This Row],[Fault Start TimeStamp]])*24</f>
        <v>0</v>
      </c>
      <c r="P946" s="44" t="str">
        <f>IF(IGA_BD[[#This Row],[Work Start TimeStamp]]="","",(IGA_BD[[#This Row],[Fault Clearance time]]-IGA_BD[[#This Row],[Work Start TimeStamp]])*24)</f>
        <v/>
      </c>
      <c r="Q946" s="57">
        <f>(IGA_BD[[#This Row],[Fault Clearance time]]-IGA_BD[[#This Row],[Fault Start TimeStamp]])*24</f>
        <v>0</v>
      </c>
      <c r="R946" s="153"/>
      <c r="S946" s="44"/>
      <c r="T946" s="45" t="str">
        <f>IFERROR(IGA_BD[[#This Row],[Breakdown Time]]*IGA_BD[[#This Row],[Plant Equivalent Weightage]],"")</f>
        <v/>
      </c>
    </row>
    <row r="947" spans="1:20">
      <c r="A947" s="28"/>
      <c r="B947" s="154"/>
      <c r="C947" s="30">
        <f>YEAR(WTG_BD[[#This Row],[Date]])+IF(MONTH(WTG_BD[[#This Row],[Date]])&gt;=4,1,0)</f>
        <v>1900</v>
      </c>
      <c r="D947" s="31">
        <f>YEAR(IGA_BD[[#This Row],[Date]])</f>
        <v>1900</v>
      </c>
      <c r="E947" s="48">
        <f t="shared" si="17"/>
        <v>1</v>
      </c>
      <c r="F947" s="32"/>
      <c r="G947" s="33"/>
      <c r="H947" s="43" t="str">
        <f>IFERROR(VLOOKUP(IGA_BD[[#This Row],[Affected Feeder ]],'Basic Data'!$A$42:$E$53,2,0),"")</f>
        <v/>
      </c>
      <c r="I947" s="43" t="str">
        <f>IFERROR(VLOOKUP(IGA_BD[[#This Row],[Affected Feeder ]],'Basic Data'!$A$42:$E$53,3,0),"")</f>
        <v/>
      </c>
      <c r="J947" s="43" t="str">
        <f>IFERROR(VLOOKUP(IGA_BD[[#This Row],[Affected Feeder ]],'Basic Data'!$A$42:$E$53,5,0),"")</f>
        <v/>
      </c>
      <c r="K947" s="164"/>
      <c r="L947" s="50"/>
      <c r="M947" s="116"/>
      <c r="N947" s="116"/>
      <c r="O947" s="57">
        <f>(IGA_BD[[#This Row],[Work Start TimeStamp]]-IGA_BD[[#This Row],[Fault Start TimeStamp]])*24</f>
        <v>0</v>
      </c>
      <c r="P947" s="44" t="str">
        <f>IF(IGA_BD[[#This Row],[Work Start TimeStamp]]="","",(IGA_BD[[#This Row],[Fault Clearance time]]-IGA_BD[[#This Row],[Work Start TimeStamp]])*24)</f>
        <v/>
      </c>
      <c r="Q947" s="57">
        <f>(IGA_BD[[#This Row],[Fault Clearance time]]-IGA_BD[[#This Row],[Fault Start TimeStamp]])*24</f>
        <v>0</v>
      </c>
      <c r="R947" s="153"/>
      <c r="S947" s="44"/>
      <c r="T947" s="45" t="str">
        <f>IFERROR(IGA_BD[[#This Row],[Breakdown Time]]*IGA_BD[[#This Row],[Plant Equivalent Weightage]],"")</f>
        <v/>
      </c>
    </row>
    <row r="948" spans="1:20">
      <c r="A948" s="28"/>
      <c r="B948" s="154"/>
      <c r="C948" s="30">
        <f>YEAR(WTG_BD[[#This Row],[Date]])+IF(MONTH(WTG_BD[[#This Row],[Date]])&gt;=4,1,0)</f>
        <v>1900</v>
      </c>
      <c r="D948" s="31">
        <f>YEAR(IGA_BD[[#This Row],[Date]])</f>
        <v>1900</v>
      </c>
      <c r="E948" s="48">
        <f t="shared" si="17"/>
        <v>1</v>
      </c>
      <c r="F948" s="32"/>
      <c r="G948" s="33"/>
      <c r="H948" s="43" t="str">
        <f>IFERROR(VLOOKUP(IGA_BD[[#This Row],[Affected Feeder ]],'Basic Data'!$A$42:$E$53,2,0),"")</f>
        <v/>
      </c>
      <c r="I948" s="43" t="str">
        <f>IFERROR(VLOOKUP(IGA_BD[[#This Row],[Affected Feeder ]],'Basic Data'!$A$42:$E$53,3,0),"")</f>
        <v/>
      </c>
      <c r="J948" s="43" t="str">
        <f>IFERROR(VLOOKUP(IGA_BD[[#This Row],[Affected Feeder ]],'Basic Data'!$A$42:$E$53,5,0),"")</f>
        <v/>
      </c>
      <c r="K948" s="164"/>
      <c r="L948" s="50"/>
      <c r="M948" s="116"/>
      <c r="N948" s="116"/>
      <c r="O948" s="57">
        <f>(IGA_BD[[#This Row],[Work Start TimeStamp]]-IGA_BD[[#This Row],[Fault Start TimeStamp]])*24</f>
        <v>0</v>
      </c>
      <c r="P948" s="44" t="str">
        <f>IF(IGA_BD[[#This Row],[Work Start TimeStamp]]="","",(IGA_BD[[#This Row],[Fault Clearance time]]-IGA_BD[[#This Row],[Work Start TimeStamp]])*24)</f>
        <v/>
      </c>
      <c r="Q948" s="57">
        <f>(IGA_BD[[#This Row],[Fault Clearance time]]-IGA_BD[[#This Row],[Fault Start TimeStamp]])*24</f>
        <v>0</v>
      </c>
      <c r="R948" s="153"/>
      <c r="S948" s="44"/>
      <c r="T948" s="45" t="str">
        <f>IFERROR(IGA_BD[[#This Row],[Breakdown Time]]*IGA_BD[[#This Row],[Plant Equivalent Weightage]],"")</f>
        <v/>
      </c>
    </row>
    <row r="949" spans="1:20">
      <c r="A949" s="28"/>
      <c r="B949" s="154"/>
      <c r="C949" s="30">
        <f>YEAR(WTG_BD[[#This Row],[Date]])+IF(MONTH(WTG_BD[[#This Row],[Date]])&gt;=4,1,0)</f>
        <v>1900</v>
      </c>
      <c r="D949" s="31">
        <f>YEAR(IGA_BD[[#This Row],[Date]])</f>
        <v>1900</v>
      </c>
      <c r="E949" s="48">
        <f t="shared" si="17"/>
        <v>1</v>
      </c>
      <c r="F949" s="32"/>
      <c r="G949" s="33"/>
      <c r="H949" s="43" t="str">
        <f>IFERROR(VLOOKUP(IGA_BD[[#This Row],[Affected Feeder ]],'Basic Data'!$A$42:$E$53,2,0),"")</f>
        <v/>
      </c>
      <c r="I949" s="43" t="str">
        <f>IFERROR(VLOOKUP(IGA_BD[[#This Row],[Affected Feeder ]],'Basic Data'!$A$42:$E$53,3,0),"")</f>
        <v/>
      </c>
      <c r="J949" s="43" t="str">
        <f>IFERROR(VLOOKUP(IGA_BD[[#This Row],[Affected Feeder ]],'Basic Data'!$A$42:$E$53,5,0),"")</f>
        <v/>
      </c>
      <c r="K949" s="164"/>
      <c r="L949" s="50"/>
      <c r="M949" s="116"/>
      <c r="N949" s="116"/>
      <c r="O949" s="57">
        <f>(IGA_BD[[#This Row],[Work Start TimeStamp]]-IGA_BD[[#This Row],[Fault Start TimeStamp]])*24</f>
        <v>0</v>
      </c>
      <c r="P949" s="44" t="str">
        <f>IF(IGA_BD[[#This Row],[Work Start TimeStamp]]="","",(IGA_BD[[#This Row],[Fault Clearance time]]-IGA_BD[[#This Row],[Work Start TimeStamp]])*24)</f>
        <v/>
      </c>
      <c r="Q949" s="57">
        <f>(IGA_BD[[#This Row],[Fault Clearance time]]-IGA_BD[[#This Row],[Fault Start TimeStamp]])*24</f>
        <v>0</v>
      </c>
      <c r="R949" s="153"/>
      <c r="S949" s="44"/>
      <c r="T949" s="45" t="str">
        <f>IFERROR(IGA_BD[[#This Row],[Breakdown Time]]*IGA_BD[[#This Row],[Plant Equivalent Weightage]],"")</f>
        <v/>
      </c>
    </row>
    <row r="950" spans="1:20">
      <c r="A950" s="28"/>
      <c r="B950" s="154"/>
      <c r="C950" s="30">
        <f>YEAR(WTG_BD[[#This Row],[Date]])+IF(MONTH(WTG_BD[[#This Row],[Date]])&gt;=4,1,0)</f>
        <v>1900</v>
      </c>
      <c r="D950" s="31">
        <f>YEAR(IGA_BD[[#This Row],[Date]])</f>
        <v>1900</v>
      </c>
      <c r="E950" s="48">
        <f t="shared" si="17"/>
        <v>1</v>
      </c>
      <c r="F950" s="32"/>
      <c r="G950" s="33"/>
      <c r="H950" s="43" t="str">
        <f>IFERROR(VLOOKUP(IGA_BD[[#This Row],[Affected Feeder ]],'Basic Data'!$A$42:$E$53,2,0),"")</f>
        <v/>
      </c>
      <c r="I950" s="43" t="str">
        <f>IFERROR(VLOOKUP(IGA_BD[[#This Row],[Affected Feeder ]],'Basic Data'!$A$42:$E$53,3,0),"")</f>
        <v/>
      </c>
      <c r="J950" s="43" t="str">
        <f>IFERROR(VLOOKUP(IGA_BD[[#This Row],[Affected Feeder ]],'Basic Data'!$A$42:$E$53,5,0),"")</f>
        <v/>
      </c>
      <c r="K950" s="164"/>
      <c r="L950" s="50"/>
      <c r="M950" s="116"/>
      <c r="N950" s="116"/>
      <c r="O950" s="57">
        <f>(IGA_BD[[#This Row],[Work Start TimeStamp]]-IGA_BD[[#This Row],[Fault Start TimeStamp]])*24</f>
        <v>0</v>
      </c>
      <c r="P950" s="44" t="str">
        <f>IF(IGA_BD[[#This Row],[Work Start TimeStamp]]="","",(IGA_BD[[#This Row],[Fault Clearance time]]-IGA_BD[[#This Row],[Work Start TimeStamp]])*24)</f>
        <v/>
      </c>
      <c r="Q950" s="57">
        <f>(IGA_BD[[#This Row],[Fault Clearance time]]-IGA_BD[[#This Row],[Fault Start TimeStamp]])*24</f>
        <v>0</v>
      </c>
      <c r="R950" s="153"/>
      <c r="S950" s="44"/>
      <c r="T950" s="45" t="str">
        <f>IFERROR(IGA_BD[[#This Row],[Breakdown Time]]*IGA_BD[[#This Row],[Plant Equivalent Weightage]],"")</f>
        <v/>
      </c>
    </row>
    <row r="951" spans="1:20">
      <c r="A951" s="28"/>
      <c r="B951" s="154"/>
      <c r="C951" s="30">
        <f>YEAR(WTG_BD[[#This Row],[Date]])+IF(MONTH(WTG_BD[[#This Row],[Date]])&gt;=4,1,0)</f>
        <v>1900</v>
      </c>
      <c r="D951" s="31">
        <f>YEAR(IGA_BD[[#This Row],[Date]])</f>
        <v>1900</v>
      </c>
      <c r="E951" s="48">
        <f t="shared" si="17"/>
        <v>1</v>
      </c>
      <c r="F951" s="32"/>
      <c r="G951" s="33"/>
      <c r="H951" s="43" t="str">
        <f>IFERROR(VLOOKUP(IGA_BD[[#This Row],[Affected Feeder ]],'Basic Data'!$A$42:$E$53,2,0),"")</f>
        <v/>
      </c>
      <c r="I951" s="43" t="str">
        <f>IFERROR(VLOOKUP(IGA_BD[[#This Row],[Affected Feeder ]],'Basic Data'!$A$42:$E$53,3,0),"")</f>
        <v/>
      </c>
      <c r="J951" s="43" t="str">
        <f>IFERROR(VLOOKUP(IGA_BD[[#This Row],[Affected Feeder ]],'Basic Data'!$A$42:$E$53,5,0),"")</f>
        <v/>
      </c>
      <c r="K951" s="164"/>
      <c r="L951" s="50"/>
      <c r="M951" s="116"/>
      <c r="N951" s="116"/>
      <c r="O951" s="57">
        <f>(IGA_BD[[#This Row],[Work Start TimeStamp]]-IGA_BD[[#This Row],[Fault Start TimeStamp]])*24</f>
        <v>0</v>
      </c>
      <c r="P951" s="44" t="str">
        <f>IF(IGA_BD[[#This Row],[Work Start TimeStamp]]="","",(IGA_BD[[#This Row],[Fault Clearance time]]-IGA_BD[[#This Row],[Work Start TimeStamp]])*24)</f>
        <v/>
      </c>
      <c r="Q951" s="57">
        <f>(IGA_BD[[#This Row],[Fault Clearance time]]-IGA_BD[[#This Row],[Fault Start TimeStamp]])*24</f>
        <v>0</v>
      </c>
      <c r="R951" s="153"/>
      <c r="S951" s="44"/>
      <c r="T951" s="45" t="str">
        <f>IFERROR(IGA_BD[[#This Row],[Breakdown Time]]*IGA_BD[[#This Row],[Plant Equivalent Weightage]],"")</f>
        <v/>
      </c>
    </row>
    <row r="952" spans="1:20">
      <c r="A952" s="28"/>
      <c r="B952" s="154"/>
      <c r="C952" s="30">
        <f>YEAR(WTG_BD[[#This Row],[Date]])+IF(MONTH(WTG_BD[[#This Row],[Date]])&gt;=4,1,0)</f>
        <v>1900</v>
      </c>
      <c r="D952" s="31">
        <f>YEAR(IGA_BD[[#This Row],[Date]])</f>
        <v>1900</v>
      </c>
      <c r="E952" s="48">
        <f t="shared" si="17"/>
        <v>1</v>
      </c>
      <c r="F952" s="32"/>
      <c r="G952" s="33"/>
      <c r="H952" s="43" t="str">
        <f>IFERROR(VLOOKUP(IGA_BD[[#This Row],[Affected Feeder ]],'Basic Data'!$A$42:$E$53,2,0),"")</f>
        <v/>
      </c>
      <c r="I952" s="43" t="str">
        <f>IFERROR(VLOOKUP(IGA_BD[[#This Row],[Affected Feeder ]],'Basic Data'!$A$42:$E$53,3,0),"")</f>
        <v/>
      </c>
      <c r="J952" s="43" t="str">
        <f>IFERROR(VLOOKUP(IGA_BD[[#This Row],[Affected Feeder ]],'Basic Data'!$A$42:$E$53,5,0),"")</f>
        <v/>
      </c>
      <c r="K952" s="164"/>
      <c r="L952" s="50"/>
      <c r="M952" s="116"/>
      <c r="N952" s="116"/>
      <c r="O952" s="57">
        <f>(IGA_BD[[#This Row],[Work Start TimeStamp]]-IGA_BD[[#This Row],[Fault Start TimeStamp]])*24</f>
        <v>0</v>
      </c>
      <c r="P952" s="44" t="str">
        <f>IF(IGA_BD[[#This Row],[Work Start TimeStamp]]="","",(IGA_BD[[#This Row],[Fault Clearance time]]-IGA_BD[[#This Row],[Work Start TimeStamp]])*24)</f>
        <v/>
      </c>
      <c r="Q952" s="57">
        <f>(IGA_BD[[#This Row],[Fault Clearance time]]-IGA_BD[[#This Row],[Fault Start TimeStamp]])*24</f>
        <v>0</v>
      </c>
      <c r="R952" s="153"/>
      <c r="S952" s="44"/>
      <c r="T952" s="45" t="str">
        <f>IFERROR(IGA_BD[[#This Row],[Breakdown Time]]*IGA_BD[[#This Row],[Plant Equivalent Weightage]],"")</f>
        <v/>
      </c>
    </row>
    <row r="953" spans="1:20">
      <c r="A953" s="28"/>
      <c r="B953" s="154"/>
      <c r="C953" s="30">
        <f>YEAR(WTG_BD[[#This Row],[Date]])+IF(MONTH(WTG_BD[[#This Row],[Date]])&gt;=4,1,0)</f>
        <v>1900</v>
      </c>
      <c r="D953" s="31">
        <f>YEAR(IGA_BD[[#This Row],[Date]])</f>
        <v>1900</v>
      </c>
      <c r="E953" s="48">
        <f t="shared" si="17"/>
        <v>1</v>
      </c>
      <c r="F953" s="32"/>
      <c r="G953" s="33"/>
      <c r="H953" s="43" t="str">
        <f>IFERROR(VLOOKUP(IGA_BD[[#This Row],[Affected Feeder ]],'Basic Data'!$A$42:$E$53,2,0),"")</f>
        <v/>
      </c>
      <c r="I953" s="43" t="str">
        <f>IFERROR(VLOOKUP(IGA_BD[[#This Row],[Affected Feeder ]],'Basic Data'!$A$42:$E$53,3,0),"")</f>
        <v/>
      </c>
      <c r="J953" s="43" t="str">
        <f>IFERROR(VLOOKUP(IGA_BD[[#This Row],[Affected Feeder ]],'Basic Data'!$A$42:$E$53,5,0),"")</f>
        <v/>
      </c>
      <c r="K953" s="164"/>
      <c r="L953" s="50"/>
      <c r="M953" s="116"/>
      <c r="N953" s="116"/>
      <c r="O953" s="57">
        <f>(IGA_BD[[#This Row],[Work Start TimeStamp]]-IGA_BD[[#This Row],[Fault Start TimeStamp]])*24</f>
        <v>0</v>
      </c>
      <c r="P953" s="44" t="str">
        <f>IF(IGA_BD[[#This Row],[Work Start TimeStamp]]="","",(IGA_BD[[#This Row],[Fault Clearance time]]-IGA_BD[[#This Row],[Work Start TimeStamp]])*24)</f>
        <v/>
      </c>
      <c r="Q953" s="57">
        <f>(IGA_BD[[#This Row],[Fault Clearance time]]-IGA_BD[[#This Row],[Fault Start TimeStamp]])*24</f>
        <v>0</v>
      </c>
      <c r="R953" s="153"/>
      <c r="S953" s="44"/>
      <c r="T953" s="45" t="str">
        <f>IFERROR(IGA_BD[[#This Row],[Breakdown Time]]*IGA_BD[[#This Row],[Plant Equivalent Weightage]],"")</f>
        <v/>
      </c>
    </row>
    <row r="954" spans="1:20">
      <c r="A954" s="28"/>
      <c r="B954" s="154"/>
      <c r="C954" s="30">
        <f>YEAR(WTG_BD[[#This Row],[Date]])+IF(MONTH(WTG_BD[[#This Row],[Date]])&gt;=4,1,0)</f>
        <v>1900</v>
      </c>
      <c r="D954" s="31">
        <f>YEAR(IGA_BD[[#This Row],[Date]])</f>
        <v>1900</v>
      </c>
      <c r="E954" s="48">
        <f t="shared" si="17"/>
        <v>1</v>
      </c>
      <c r="F954" s="32"/>
      <c r="G954" s="33"/>
      <c r="H954" s="43" t="str">
        <f>IFERROR(VLOOKUP(IGA_BD[[#This Row],[Affected Feeder ]],'Basic Data'!$A$42:$E$53,2,0),"")</f>
        <v/>
      </c>
      <c r="I954" s="43" t="str">
        <f>IFERROR(VLOOKUP(IGA_BD[[#This Row],[Affected Feeder ]],'Basic Data'!$A$42:$E$53,3,0),"")</f>
        <v/>
      </c>
      <c r="J954" s="43" t="str">
        <f>IFERROR(VLOOKUP(IGA_BD[[#This Row],[Affected Feeder ]],'Basic Data'!$A$42:$E$53,5,0),"")</f>
        <v/>
      </c>
      <c r="K954" s="164"/>
      <c r="L954" s="50"/>
      <c r="M954" s="116"/>
      <c r="N954" s="116"/>
      <c r="O954" s="57">
        <f>(IGA_BD[[#This Row],[Work Start TimeStamp]]-IGA_BD[[#This Row],[Fault Start TimeStamp]])*24</f>
        <v>0</v>
      </c>
      <c r="P954" s="44" t="str">
        <f>IF(IGA_BD[[#This Row],[Work Start TimeStamp]]="","",(IGA_BD[[#This Row],[Fault Clearance time]]-IGA_BD[[#This Row],[Work Start TimeStamp]])*24)</f>
        <v/>
      </c>
      <c r="Q954" s="57">
        <f>(IGA_BD[[#This Row],[Fault Clearance time]]-IGA_BD[[#This Row],[Fault Start TimeStamp]])*24</f>
        <v>0</v>
      </c>
      <c r="R954" s="153"/>
      <c r="S954" s="44"/>
      <c r="T954" s="45" t="str">
        <f>IFERROR(IGA_BD[[#This Row],[Breakdown Time]]*IGA_BD[[#This Row],[Plant Equivalent Weightage]],"")</f>
        <v/>
      </c>
    </row>
    <row r="955" spans="1:20">
      <c r="A955" s="28"/>
      <c r="B955" s="154"/>
      <c r="C955" s="30">
        <f>YEAR(WTG_BD[[#This Row],[Date]])+IF(MONTH(WTG_BD[[#This Row],[Date]])&gt;=4,1,0)</f>
        <v>1900</v>
      </c>
      <c r="D955" s="31">
        <f>YEAR(IGA_BD[[#This Row],[Date]])</f>
        <v>1900</v>
      </c>
      <c r="E955" s="48">
        <f t="shared" si="17"/>
        <v>1</v>
      </c>
      <c r="F955" s="32"/>
      <c r="G955" s="33"/>
      <c r="H955" s="43" t="str">
        <f>IFERROR(VLOOKUP(IGA_BD[[#This Row],[Affected Feeder ]],'Basic Data'!$A$42:$E$53,2,0),"")</f>
        <v/>
      </c>
      <c r="I955" s="43" t="str">
        <f>IFERROR(VLOOKUP(IGA_BD[[#This Row],[Affected Feeder ]],'Basic Data'!$A$42:$E$53,3,0),"")</f>
        <v/>
      </c>
      <c r="J955" s="43" t="str">
        <f>IFERROR(VLOOKUP(IGA_BD[[#This Row],[Affected Feeder ]],'Basic Data'!$A$42:$E$53,5,0),"")</f>
        <v/>
      </c>
      <c r="K955" s="164"/>
      <c r="L955" s="50"/>
      <c r="M955" s="116"/>
      <c r="N955" s="116"/>
      <c r="O955" s="57">
        <f>(IGA_BD[[#This Row],[Work Start TimeStamp]]-IGA_BD[[#This Row],[Fault Start TimeStamp]])*24</f>
        <v>0</v>
      </c>
      <c r="P955" s="44" t="str">
        <f>IF(IGA_BD[[#This Row],[Work Start TimeStamp]]="","",(IGA_BD[[#This Row],[Fault Clearance time]]-IGA_BD[[#This Row],[Work Start TimeStamp]])*24)</f>
        <v/>
      </c>
      <c r="Q955" s="57">
        <f>(IGA_BD[[#This Row],[Fault Clearance time]]-IGA_BD[[#This Row],[Fault Start TimeStamp]])*24</f>
        <v>0</v>
      </c>
      <c r="R955" s="153"/>
      <c r="S955" s="44"/>
      <c r="T955" s="45" t="str">
        <f>IFERROR(IGA_BD[[#This Row],[Breakdown Time]]*IGA_BD[[#This Row],[Plant Equivalent Weightage]],"")</f>
        <v/>
      </c>
    </row>
    <row r="956" spans="1:20">
      <c r="A956" s="28"/>
      <c r="B956" s="154"/>
      <c r="C956" s="30">
        <f>YEAR(WTG_BD[[#This Row],[Date]])+IF(MONTH(WTG_BD[[#This Row],[Date]])&gt;=4,1,0)</f>
        <v>1900</v>
      </c>
      <c r="D956" s="31">
        <f>YEAR(IGA_BD[[#This Row],[Date]])</f>
        <v>1900</v>
      </c>
      <c r="E956" s="48">
        <f t="shared" si="17"/>
        <v>1</v>
      </c>
      <c r="F956" s="32"/>
      <c r="G956" s="33"/>
      <c r="H956" s="43" t="str">
        <f>IFERROR(VLOOKUP(IGA_BD[[#This Row],[Affected Feeder ]],'Basic Data'!$A$42:$E$53,2,0),"")</f>
        <v/>
      </c>
      <c r="I956" s="43" t="str">
        <f>IFERROR(VLOOKUP(IGA_BD[[#This Row],[Affected Feeder ]],'Basic Data'!$A$42:$E$53,3,0),"")</f>
        <v/>
      </c>
      <c r="J956" s="43" t="str">
        <f>IFERROR(VLOOKUP(IGA_BD[[#This Row],[Affected Feeder ]],'Basic Data'!$A$42:$E$53,5,0),"")</f>
        <v/>
      </c>
      <c r="K956" s="164"/>
      <c r="L956" s="50"/>
      <c r="M956" s="116"/>
      <c r="N956" s="116"/>
      <c r="O956" s="57">
        <f>(IGA_BD[[#This Row],[Work Start TimeStamp]]-IGA_BD[[#This Row],[Fault Start TimeStamp]])*24</f>
        <v>0</v>
      </c>
      <c r="P956" s="44" t="str">
        <f>IF(IGA_BD[[#This Row],[Work Start TimeStamp]]="","",(IGA_BD[[#This Row],[Fault Clearance time]]-IGA_BD[[#This Row],[Work Start TimeStamp]])*24)</f>
        <v/>
      </c>
      <c r="Q956" s="57">
        <f>(IGA_BD[[#This Row],[Fault Clearance time]]-IGA_BD[[#This Row],[Fault Start TimeStamp]])*24</f>
        <v>0</v>
      </c>
      <c r="R956" s="153"/>
      <c r="S956" s="44"/>
      <c r="T956" s="45" t="str">
        <f>IFERROR(IGA_BD[[#This Row],[Breakdown Time]]*IGA_BD[[#This Row],[Plant Equivalent Weightage]],"")</f>
        <v/>
      </c>
    </row>
    <row r="957" spans="1:20">
      <c r="A957" s="28"/>
      <c r="B957" s="154"/>
      <c r="C957" s="30">
        <f>YEAR(WTG_BD[[#This Row],[Date]])+IF(MONTH(WTG_BD[[#This Row],[Date]])&gt;=4,1,0)</f>
        <v>1900</v>
      </c>
      <c r="D957" s="31">
        <f>YEAR(IGA_BD[[#This Row],[Date]])</f>
        <v>1900</v>
      </c>
      <c r="E957" s="48">
        <f t="shared" si="17"/>
        <v>1</v>
      </c>
      <c r="F957" s="32"/>
      <c r="G957" s="33"/>
      <c r="H957" s="43" t="str">
        <f>IFERROR(VLOOKUP(IGA_BD[[#This Row],[Affected Feeder ]],'Basic Data'!$A$42:$E$53,2,0),"")</f>
        <v/>
      </c>
      <c r="I957" s="43" t="str">
        <f>IFERROR(VLOOKUP(IGA_BD[[#This Row],[Affected Feeder ]],'Basic Data'!$A$42:$E$53,3,0),"")</f>
        <v/>
      </c>
      <c r="J957" s="43" t="str">
        <f>IFERROR(VLOOKUP(IGA_BD[[#This Row],[Affected Feeder ]],'Basic Data'!$A$42:$E$53,5,0),"")</f>
        <v/>
      </c>
      <c r="K957" s="164"/>
      <c r="L957" s="50"/>
      <c r="M957" s="116"/>
      <c r="N957" s="116"/>
      <c r="O957" s="57">
        <f>(IGA_BD[[#This Row],[Work Start TimeStamp]]-IGA_BD[[#This Row],[Fault Start TimeStamp]])*24</f>
        <v>0</v>
      </c>
      <c r="P957" s="44" t="str">
        <f>IF(IGA_BD[[#This Row],[Work Start TimeStamp]]="","",(IGA_BD[[#This Row],[Fault Clearance time]]-IGA_BD[[#This Row],[Work Start TimeStamp]])*24)</f>
        <v/>
      </c>
      <c r="Q957" s="57">
        <f>(IGA_BD[[#This Row],[Fault Clearance time]]-IGA_BD[[#This Row],[Fault Start TimeStamp]])*24</f>
        <v>0</v>
      </c>
      <c r="R957" s="153"/>
      <c r="S957" s="44"/>
      <c r="T957" s="45" t="str">
        <f>IFERROR(IGA_BD[[#This Row],[Breakdown Time]]*IGA_BD[[#This Row],[Plant Equivalent Weightage]],"")</f>
        <v/>
      </c>
    </row>
    <row r="958" spans="1:20">
      <c r="A958" s="28"/>
      <c r="B958" s="154"/>
      <c r="C958" s="30">
        <f>YEAR(WTG_BD[[#This Row],[Date]])+IF(MONTH(WTG_BD[[#This Row],[Date]])&gt;=4,1,0)</f>
        <v>1900</v>
      </c>
      <c r="D958" s="31">
        <f>YEAR(IGA_BD[[#This Row],[Date]])</f>
        <v>1900</v>
      </c>
      <c r="E958" s="48">
        <f t="shared" si="17"/>
        <v>1</v>
      </c>
      <c r="F958" s="32"/>
      <c r="G958" s="33"/>
      <c r="H958" s="43" t="str">
        <f>IFERROR(VLOOKUP(IGA_BD[[#This Row],[Affected Feeder ]],'Basic Data'!$A$42:$E$53,2,0),"")</f>
        <v/>
      </c>
      <c r="I958" s="43" t="str">
        <f>IFERROR(VLOOKUP(IGA_BD[[#This Row],[Affected Feeder ]],'Basic Data'!$A$42:$E$53,3,0),"")</f>
        <v/>
      </c>
      <c r="J958" s="43" t="str">
        <f>IFERROR(VLOOKUP(IGA_BD[[#This Row],[Affected Feeder ]],'Basic Data'!$A$42:$E$53,5,0),"")</f>
        <v/>
      </c>
      <c r="K958" s="164"/>
      <c r="L958" s="50"/>
      <c r="M958" s="116"/>
      <c r="N958" s="116"/>
      <c r="O958" s="57">
        <f>(IGA_BD[[#This Row],[Work Start TimeStamp]]-IGA_BD[[#This Row],[Fault Start TimeStamp]])*24</f>
        <v>0</v>
      </c>
      <c r="P958" s="44" t="str">
        <f>IF(IGA_BD[[#This Row],[Work Start TimeStamp]]="","",(IGA_BD[[#This Row],[Fault Clearance time]]-IGA_BD[[#This Row],[Work Start TimeStamp]])*24)</f>
        <v/>
      </c>
      <c r="Q958" s="57">
        <f>(IGA_BD[[#This Row],[Fault Clearance time]]-IGA_BD[[#This Row],[Fault Start TimeStamp]])*24</f>
        <v>0</v>
      </c>
      <c r="R958" s="153"/>
      <c r="S958" s="44"/>
      <c r="T958" s="45" t="str">
        <f>IFERROR(IGA_BD[[#This Row],[Breakdown Time]]*IGA_BD[[#This Row],[Plant Equivalent Weightage]],"")</f>
        <v/>
      </c>
    </row>
    <row r="959" spans="1:20">
      <c r="A959" s="28"/>
      <c r="B959" s="154"/>
      <c r="C959" s="30">
        <f>YEAR(WTG_BD[[#This Row],[Date]])+IF(MONTH(WTG_BD[[#This Row],[Date]])&gt;=4,1,0)</f>
        <v>1900</v>
      </c>
      <c r="D959" s="31">
        <f>YEAR(IGA_BD[[#This Row],[Date]])</f>
        <v>1900</v>
      </c>
      <c r="E959" s="48">
        <f t="shared" si="17"/>
        <v>1</v>
      </c>
      <c r="F959" s="32"/>
      <c r="G959" s="33"/>
      <c r="H959" s="43" t="str">
        <f>IFERROR(VLOOKUP(IGA_BD[[#This Row],[Affected Feeder ]],'Basic Data'!$A$42:$E$53,2,0),"")</f>
        <v/>
      </c>
      <c r="I959" s="43" t="str">
        <f>IFERROR(VLOOKUP(IGA_BD[[#This Row],[Affected Feeder ]],'Basic Data'!$A$42:$E$53,3,0),"")</f>
        <v/>
      </c>
      <c r="J959" s="43" t="str">
        <f>IFERROR(VLOOKUP(IGA_BD[[#This Row],[Affected Feeder ]],'Basic Data'!$A$42:$E$53,5,0),"")</f>
        <v/>
      </c>
      <c r="K959" s="164"/>
      <c r="L959" s="50"/>
      <c r="M959" s="116"/>
      <c r="N959" s="116"/>
      <c r="O959" s="57">
        <f>(IGA_BD[[#This Row],[Work Start TimeStamp]]-IGA_BD[[#This Row],[Fault Start TimeStamp]])*24</f>
        <v>0</v>
      </c>
      <c r="P959" s="44" t="str">
        <f>IF(IGA_BD[[#This Row],[Work Start TimeStamp]]="","",(IGA_BD[[#This Row],[Fault Clearance time]]-IGA_BD[[#This Row],[Work Start TimeStamp]])*24)</f>
        <v/>
      </c>
      <c r="Q959" s="57">
        <f>(IGA_BD[[#This Row],[Fault Clearance time]]-IGA_BD[[#This Row],[Fault Start TimeStamp]])*24</f>
        <v>0</v>
      </c>
      <c r="R959" s="153"/>
      <c r="S959" s="44"/>
      <c r="T959" s="45" t="str">
        <f>IFERROR(IGA_BD[[#This Row],[Breakdown Time]]*IGA_BD[[#This Row],[Plant Equivalent Weightage]],"")</f>
        <v/>
      </c>
    </row>
    <row r="960" spans="1:20">
      <c r="A960" s="28"/>
      <c r="B960" s="154"/>
      <c r="C960" s="30">
        <f>YEAR(WTG_BD[[#This Row],[Date]])+IF(MONTH(WTG_BD[[#This Row],[Date]])&gt;=4,1,0)</f>
        <v>1900</v>
      </c>
      <c r="D960" s="31">
        <f>YEAR(IGA_BD[[#This Row],[Date]])</f>
        <v>1900</v>
      </c>
      <c r="E960" s="48">
        <f t="shared" si="17"/>
        <v>1</v>
      </c>
      <c r="F960" s="32"/>
      <c r="G960" s="33"/>
      <c r="H960" s="43" t="str">
        <f>IFERROR(VLOOKUP(IGA_BD[[#This Row],[Affected Feeder ]],'Basic Data'!$A$42:$E$53,2,0),"")</f>
        <v/>
      </c>
      <c r="I960" s="43" t="str">
        <f>IFERROR(VLOOKUP(IGA_BD[[#This Row],[Affected Feeder ]],'Basic Data'!$A$42:$E$53,3,0),"")</f>
        <v/>
      </c>
      <c r="J960" s="43" t="str">
        <f>IFERROR(VLOOKUP(IGA_BD[[#This Row],[Affected Feeder ]],'Basic Data'!$A$42:$E$53,5,0),"")</f>
        <v/>
      </c>
      <c r="K960" s="164"/>
      <c r="L960" s="50"/>
      <c r="M960" s="116"/>
      <c r="N960" s="116"/>
      <c r="O960" s="57">
        <f>(IGA_BD[[#This Row],[Work Start TimeStamp]]-IGA_BD[[#This Row],[Fault Start TimeStamp]])*24</f>
        <v>0</v>
      </c>
      <c r="P960" s="44" t="str">
        <f>IF(IGA_BD[[#This Row],[Work Start TimeStamp]]="","",(IGA_BD[[#This Row],[Fault Clearance time]]-IGA_BD[[#This Row],[Work Start TimeStamp]])*24)</f>
        <v/>
      </c>
      <c r="Q960" s="57">
        <f>(IGA_BD[[#This Row],[Fault Clearance time]]-IGA_BD[[#This Row],[Fault Start TimeStamp]])*24</f>
        <v>0</v>
      </c>
      <c r="R960" s="153"/>
      <c r="S960" s="44"/>
      <c r="T960" s="45" t="str">
        <f>IFERROR(IGA_BD[[#This Row],[Breakdown Time]]*IGA_BD[[#This Row],[Plant Equivalent Weightage]],"")</f>
        <v/>
      </c>
    </row>
    <row r="961" spans="1:20">
      <c r="A961" s="28"/>
      <c r="B961" s="154"/>
      <c r="C961" s="30">
        <f>YEAR(WTG_BD[[#This Row],[Date]])+IF(MONTH(WTG_BD[[#This Row],[Date]])&gt;=4,1,0)</f>
        <v>1900</v>
      </c>
      <c r="D961" s="31">
        <f>YEAR(IGA_BD[[#This Row],[Date]])</f>
        <v>1900</v>
      </c>
      <c r="E961" s="48">
        <f t="shared" si="17"/>
        <v>1</v>
      </c>
      <c r="F961" s="32"/>
      <c r="G961" s="33"/>
      <c r="H961" s="43" t="str">
        <f>IFERROR(VLOOKUP(IGA_BD[[#This Row],[Affected Feeder ]],'Basic Data'!$A$42:$E$53,2,0),"")</f>
        <v/>
      </c>
      <c r="I961" s="43" t="str">
        <f>IFERROR(VLOOKUP(IGA_BD[[#This Row],[Affected Feeder ]],'Basic Data'!$A$42:$E$53,3,0),"")</f>
        <v/>
      </c>
      <c r="J961" s="43" t="str">
        <f>IFERROR(VLOOKUP(IGA_BD[[#This Row],[Affected Feeder ]],'Basic Data'!$A$42:$E$53,5,0),"")</f>
        <v/>
      </c>
      <c r="K961" s="164"/>
      <c r="L961" s="50"/>
      <c r="M961" s="116"/>
      <c r="N961" s="116"/>
      <c r="O961" s="57">
        <f>(IGA_BD[[#This Row],[Work Start TimeStamp]]-IGA_BD[[#This Row],[Fault Start TimeStamp]])*24</f>
        <v>0</v>
      </c>
      <c r="P961" s="44" t="str">
        <f>IF(IGA_BD[[#This Row],[Work Start TimeStamp]]="","",(IGA_BD[[#This Row],[Fault Clearance time]]-IGA_BD[[#This Row],[Work Start TimeStamp]])*24)</f>
        <v/>
      </c>
      <c r="Q961" s="57">
        <f>(IGA_BD[[#This Row],[Fault Clearance time]]-IGA_BD[[#This Row],[Fault Start TimeStamp]])*24</f>
        <v>0</v>
      </c>
      <c r="R961" s="153"/>
      <c r="S961" s="44"/>
      <c r="T961" s="45" t="str">
        <f>IFERROR(IGA_BD[[#This Row],[Breakdown Time]]*IGA_BD[[#This Row],[Plant Equivalent Weightage]],"")</f>
        <v/>
      </c>
    </row>
    <row r="962" spans="1:20">
      <c r="A962" s="28"/>
      <c r="B962" s="154"/>
      <c r="C962" s="30">
        <f>YEAR(WTG_BD[[#This Row],[Date]])+IF(MONTH(WTG_BD[[#This Row],[Date]])&gt;=4,1,0)</f>
        <v>1900</v>
      </c>
      <c r="D962" s="31">
        <f>YEAR(IGA_BD[[#This Row],[Date]])</f>
        <v>1900</v>
      </c>
      <c r="E962" s="48">
        <f t="shared" si="17"/>
        <v>1</v>
      </c>
      <c r="F962" s="32"/>
      <c r="G962" s="33"/>
      <c r="H962" s="43" t="str">
        <f>IFERROR(VLOOKUP(IGA_BD[[#This Row],[Affected Feeder ]],'Basic Data'!$A$42:$E$53,2,0),"")</f>
        <v/>
      </c>
      <c r="I962" s="43" t="str">
        <f>IFERROR(VLOOKUP(IGA_BD[[#This Row],[Affected Feeder ]],'Basic Data'!$A$42:$E$53,3,0),"")</f>
        <v/>
      </c>
      <c r="J962" s="43" t="str">
        <f>IFERROR(VLOOKUP(IGA_BD[[#This Row],[Affected Feeder ]],'Basic Data'!$A$42:$E$53,5,0),"")</f>
        <v/>
      </c>
      <c r="K962" s="164"/>
      <c r="L962" s="50"/>
      <c r="M962" s="116"/>
      <c r="N962" s="116"/>
      <c r="O962" s="57">
        <f>(IGA_BD[[#This Row],[Work Start TimeStamp]]-IGA_BD[[#This Row],[Fault Start TimeStamp]])*24</f>
        <v>0</v>
      </c>
      <c r="P962" s="44" t="str">
        <f>IF(IGA_BD[[#This Row],[Work Start TimeStamp]]="","",(IGA_BD[[#This Row],[Fault Clearance time]]-IGA_BD[[#This Row],[Work Start TimeStamp]])*24)</f>
        <v/>
      </c>
      <c r="Q962" s="57">
        <f>(IGA_BD[[#This Row],[Fault Clearance time]]-IGA_BD[[#This Row],[Fault Start TimeStamp]])*24</f>
        <v>0</v>
      </c>
      <c r="R962" s="153"/>
      <c r="S962" s="44"/>
      <c r="T962" s="45" t="str">
        <f>IFERROR(IGA_BD[[#This Row],[Breakdown Time]]*IGA_BD[[#This Row],[Plant Equivalent Weightage]],"")</f>
        <v/>
      </c>
    </row>
    <row r="963" spans="1:20">
      <c r="A963" s="28"/>
      <c r="B963" s="154"/>
      <c r="C963" s="30">
        <f>YEAR(WTG_BD[[#This Row],[Date]])+IF(MONTH(WTG_BD[[#This Row],[Date]])&gt;=4,1,0)</f>
        <v>1900</v>
      </c>
      <c r="D963" s="31">
        <f>YEAR(IGA_BD[[#This Row],[Date]])</f>
        <v>1900</v>
      </c>
      <c r="E963" s="48">
        <f t="shared" si="17"/>
        <v>1</v>
      </c>
      <c r="F963" s="32"/>
      <c r="G963" s="33"/>
      <c r="H963" s="43" t="str">
        <f>IFERROR(VLOOKUP(IGA_BD[[#This Row],[Affected Feeder ]],'Basic Data'!$A$42:$E$53,2,0),"")</f>
        <v/>
      </c>
      <c r="I963" s="43" t="str">
        <f>IFERROR(VLOOKUP(IGA_BD[[#This Row],[Affected Feeder ]],'Basic Data'!$A$42:$E$53,3,0),"")</f>
        <v/>
      </c>
      <c r="J963" s="43" t="str">
        <f>IFERROR(VLOOKUP(IGA_BD[[#This Row],[Affected Feeder ]],'Basic Data'!$A$42:$E$53,5,0),"")</f>
        <v/>
      </c>
      <c r="K963" s="164"/>
      <c r="L963" s="50"/>
      <c r="M963" s="116"/>
      <c r="N963" s="116"/>
      <c r="O963" s="57">
        <f>(IGA_BD[[#This Row],[Work Start TimeStamp]]-IGA_BD[[#This Row],[Fault Start TimeStamp]])*24</f>
        <v>0</v>
      </c>
      <c r="P963" s="44" t="str">
        <f>IF(IGA_BD[[#This Row],[Work Start TimeStamp]]="","",(IGA_BD[[#This Row],[Fault Clearance time]]-IGA_BD[[#This Row],[Work Start TimeStamp]])*24)</f>
        <v/>
      </c>
      <c r="Q963" s="57">
        <f>(IGA_BD[[#This Row],[Fault Clearance time]]-IGA_BD[[#This Row],[Fault Start TimeStamp]])*24</f>
        <v>0</v>
      </c>
      <c r="R963" s="153"/>
      <c r="S963" s="44"/>
      <c r="T963" s="45" t="str">
        <f>IFERROR(IGA_BD[[#This Row],[Breakdown Time]]*IGA_BD[[#This Row],[Plant Equivalent Weightage]],"")</f>
        <v/>
      </c>
    </row>
    <row r="964" spans="1:20">
      <c r="A964" s="28"/>
      <c r="B964" s="154"/>
      <c r="C964" s="30">
        <f>YEAR(WTG_BD[[#This Row],[Date]])+IF(MONTH(WTG_BD[[#This Row],[Date]])&gt;=4,1,0)</f>
        <v>1900</v>
      </c>
      <c r="D964" s="31">
        <f>YEAR(IGA_BD[[#This Row],[Date]])</f>
        <v>1900</v>
      </c>
      <c r="E964" s="48">
        <f t="shared" si="17"/>
        <v>1</v>
      </c>
      <c r="F964" s="32"/>
      <c r="G964" s="33"/>
      <c r="H964" s="43" t="str">
        <f>IFERROR(VLOOKUP(IGA_BD[[#This Row],[Affected Feeder ]],'Basic Data'!$A$42:$E$53,2,0),"")</f>
        <v/>
      </c>
      <c r="I964" s="43" t="str">
        <f>IFERROR(VLOOKUP(IGA_BD[[#This Row],[Affected Feeder ]],'Basic Data'!$A$42:$E$53,3,0),"")</f>
        <v/>
      </c>
      <c r="J964" s="43" t="str">
        <f>IFERROR(VLOOKUP(IGA_BD[[#This Row],[Affected Feeder ]],'Basic Data'!$A$42:$E$53,5,0),"")</f>
        <v/>
      </c>
      <c r="K964" s="164"/>
      <c r="L964" s="50"/>
      <c r="M964" s="116"/>
      <c r="N964" s="116"/>
      <c r="O964" s="57">
        <f>(IGA_BD[[#This Row],[Work Start TimeStamp]]-IGA_BD[[#This Row],[Fault Start TimeStamp]])*24</f>
        <v>0</v>
      </c>
      <c r="P964" s="44" t="str">
        <f>IF(IGA_BD[[#This Row],[Work Start TimeStamp]]="","",(IGA_BD[[#This Row],[Fault Clearance time]]-IGA_BD[[#This Row],[Work Start TimeStamp]])*24)</f>
        <v/>
      </c>
      <c r="Q964" s="57">
        <f>(IGA_BD[[#This Row],[Fault Clearance time]]-IGA_BD[[#This Row],[Fault Start TimeStamp]])*24</f>
        <v>0</v>
      </c>
      <c r="R964" s="153"/>
      <c r="S964" s="44"/>
      <c r="T964" s="45" t="str">
        <f>IFERROR(IGA_BD[[#This Row],[Breakdown Time]]*IGA_BD[[#This Row],[Plant Equivalent Weightage]],"")</f>
        <v/>
      </c>
    </row>
    <row r="965" spans="1:20">
      <c r="A965" s="28"/>
      <c r="B965" s="154"/>
      <c r="C965" s="30">
        <f>YEAR(WTG_BD[[#This Row],[Date]])+IF(MONTH(WTG_BD[[#This Row],[Date]])&gt;=4,1,0)</f>
        <v>1900</v>
      </c>
      <c r="D965" s="31">
        <f>YEAR(IGA_BD[[#This Row],[Date]])</f>
        <v>1900</v>
      </c>
      <c r="E965" s="48">
        <f t="shared" si="17"/>
        <v>1</v>
      </c>
      <c r="F965" s="32"/>
      <c r="G965" s="33"/>
      <c r="H965" s="43" t="str">
        <f>IFERROR(VLOOKUP(IGA_BD[[#This Row],[Affected Feeder ]],'Basic Data'!$A$42:$E$53,2,0),"")</f>
        <v/>
      </c>
      <c r="I965" s="43" t="str">
        <f>IFERROR(VLOOKUP(IGA_BD[[#This Row],[Affected Feeder ]],'Basic Data'!$A$42:$E$53,3,0),"")</f>
        <v/>
      </c>
      <c r="J965" s="43" t="str">
        <f>IFERROR(VLOOKUP(IGA_BD[[#This Row],[Affected Feeder ]],'Basic Data'!$A$42:$E$53,5,0),"")</f>
        <v/>
      </c>
      <c r="K965" s="164"/>
      <c r="L965" s="50"/>
      <c r="M965" s="116"/>
      <c r="N965" s="116"/>
      <c r="O965" s="57">
        <f>(IGA_BD[[#This Row],[Work Start TimeStamp]]-IGA_BD[[#This Row],[Fault Start TimeStamp]])*24</f>
        <v>0</v>
      </c>
      <c r="P965" s="44" t="str">
        <f>IF(IGA_BD[[#This Row],[Work Start TimeStamp]]="","",(IGA_BD[[#This Row],[Fault Clearance time]]-IGA_BD[[#This Row],[Work Start TimeStamp]])*24)</f>
        <v/>
      </c>
      <c r="Q965" s="57">
        <f>(IGA_BD[[#This Row],[Fault Clearance time]]-IGA_BD[[#This Row],[Fault Start TimeStamp]])*24</f>
        <v>0</v>
      </c>
      <c r="R965" s="153"/>
      <c r="S965" s="44"/>
      <c r="T965" s="45" t="str">
        <f>IFERROR(IGA_BD[[#This Row],[Breakdown Time]]*IGA_BD[[#This Row],[Plant Equivalent Weightage]],"")</f>
        <v/>
      </c>
    </row>
    <row r="966" spans="1:20">
      <c r="A966" s="28"/>
      <c r="B966" s="154"/>
      <c r="C966" s="30">
        <f>YEAR(WTG_BD[[#This Row],[Date]])+IF(MONTH(WTG_BD[[#This Row],[Date]])&gt;=4,1,0)</f>
        <v>1900</v>
      </c>
      <c r="D966" s="31">
        <f>YEAR(IGA_BD[[#This Row],[Date]])</f>
        <v>1900</v>
      </c>
      <c r="E966" s="48">
        <f t="shared" si="17"/>
        <v>1</v>
      </c>
      <c r="F966" s="32"/>
      <c r="G966" s="33"/>
      <c r="H966" s="43" t="str">
        <f>IFERROR(VLOOKUP(IGA_BD[[#This Row],[Affected Feeder ]],'Basic Data'!$A$42:$E$53,2,0),"")</f>
        <v/>
      </c>
      <c r="I966" s="43" t="str">
        <f>IFERROR(VLOOKUP(IGA_BD[[#This Row],[Affected Feeder ]],'Basic Data'!$A$42:$E$53,3,0),"")</f>
        <v/>
      </c>
      <c r="J966" s="43" t="str">
        <f>IFERROR(VLOOKUP(IGA_BD[[#This Row],[Affected Feeder ]],'Basic Data'!$A$42:$E$53,5,0),"")</f>
        <v/>
      </c>
      <c r="K966" s="164"/>
      <c r="L966" s="50"/>
      <c r="M966" s="116"/>
      <c r="N966" s="116"/>
      <c r="O966" s="57">
        <f>(IGA_BD[[#This Row],[Work Start TimeStamp]]-IGA_BD[[#This Row],[Fault Start TimeStamp]])*24</f>
        <v>0</v>
      </c>
      <c r="P966" s="44" t="str">
        <f>IF(IGA_BD[[#This Row],[Work Start TimeStamp]]="","",(IGA_BD[[#This Row],[Fault Clearance time]]-IGA_BD[[#This Row],[Work Start TimeStamp]])*24)</f>
        <v/>
      </c>
      <c r="Q966" s="57">
        <f>(IGA_BD[[#This Row],[Fault Clearance time]]-IGA_BD[[#This Row],[Fault Start TimeStamp]])*24</f>
        <v>0</v>
      </c>
      <c r="R966" s="153"/>
      <c r="S966" s="44"/>
      <c r="T966" s="45" t="str">
        <f>IFERROR(IGA_BD[[#This Row],[Breakdown Time]]*IGA_BD[[#This Row],[Plant Equivalent Weightage]],"")</f>
        <v/>
      </c>
    </row>
    <row r="967" spans="1:20">
      <c r="A967" s="28"/>
      <c r="B967" s="154"/>
      <c r="C967" s="30">
        <f>YEAR(WTG_BD[[#This Row],[Date]])+IF(MONTH(WTG_BD[[#This Row],[Date]])&gt;=4,1,0)</f>
        <v>1900</v>
      </c>
      <c r="D967" s="31">
        <f>YEAR(IGA_BD[[#This Row],[Date]])</f>
        <v>1900</v>
      </c>
      <c r="E967" s="48">
        <f t="shared" si="17"/>
        <v>1</v>
      </c>
      <c r="F967" s="32"/>
      <c r="G967" s="33"/>
      <c r="H967" s="43" t="str">
        <f>IFERROR(VLOOKUP(IGA_BD[[#This Row],[Affected Feeder ]],'Basic Data'!$A$42:$E$53,2,0),"")</f>
        <v/>
      </c>
      <c r="I967" s="43" t="str">
        <f>IFERROR(VLOOKUP(IGA_BD[[#This Row],[Affected Feeder ]],'Basic Data'!$A$42:$E$53,3,0),"")</f>
        <v/>
      </c>
      <c r="J967" s="43" t="str">
        <f>IFERROR(VLOOKUP(IGA_BD[[#This Row],[Affected Feeder ]],'Basic Data'!$A$42:$E$53,5,0),"")</f>
        <v/>
      </c>
      <c r="K967" s="164"/>
      <c r="L967" s="50"/>
      <c r="M967" s="116"/>
      <c r="N967" s="116"/>
      <c r="O967" s="57">
        <f>(IGA_BD[[#This Row],[Work Start TimeStamp]]-IGA_BD[[#This Row],[Fault Start TimeStamp]])*24</f>
        <v>0</v>
      </c>
      <c r="P967" s="44" t="str">
        <f>IF(IGA_BD[[#This Row],[Work Start TimeStamp]]="","",(IGA_BD[[#This Row],[Fault Clearance time]]-IGA_BD[[#This Row],[Work Start TimeStamp]])*24)</f>
        <v/>
      </c>
      <c r="Q967" s="57">
        <f>(IGA_BD[[#This Row],[Fault Clearance time]]-IGA_BD[[#This Row],[Fault Start TimeStamp]])*24</f>
        <v>0</v>
      </c>
      <c r="R967" s="153"/>
      <c r="S967" s="44"/>
      <c r="T967" s="45" t="str">
        <f>IFERROR(IGA_BD[[#This Row],[Breakdown Time]]*IGA_BD[[#This Row],[Plant Equivalent Weightage]],"")</f>
        <v/>
      </c>
    </row>
    <row r="968" spans="1:20">
      <c r="A968" s="28"/>
      <c r="B968" s="154"/>
      <c r="C968" s="30">
        <f>YEAR(WTG_BD[[#This Row],[Date]])+IF(MONTH(WTG_BD[[#This Row],[Date]])&gt;=4,1,0)</f>
        <v>1900</v>
      </c>
      <c r="D968" s="31">
        <f>YEAR(IGA_BD[[#This Row],[Date]])</f>
        <v>1900</v>
      </c>
      <c r="E968" s="48">
        <f t="shared" si="17"/>
        <v>1</v>
      </c>
      <c r="F968" s="32"/>
      <c r="G968" s="33"/>
      <c r="H968" s="43" t="str">
        <f>IFERROR(VLOOKUP(IGA_BD[[#This Row],[Affected Feeder ]],'Basic Data'!$A$42:$E$53,2,0),"")</f>
        <v/>
      </c>
      <c r="I968" s="43" t="str">
        <f>IFERROR(VLOOKUP(IGA_BD[[#This Row],[Affected Feeder ]],'Basic Data'!$A$42:$E$53,3,0),"")</f>
        <v/>
      </c>
      <c r="J968" s="43" t="str">
        <f>IFERROR(VLOOKUP(IGA_BD[[#This Row],[Affected Feeder ]],'Basic Data'!$A$42:$E$53,5,0),"")</f>
        <v/>
      </c>
      <c r="K968" s="164"/>
      <c r="L968" s="50"/>
      <c r="M968" s="116"/>
      <c r="N968" s="116"/>
      <c r="O968" s="57">
        <f>(IGA_BD[[#This Row],[Work Start TimeStamp]]-IGA_BD[[#This Row],[Fault Start TimeStamp]])*24</f>
        <v>0</v>
      </c>
      <c r="P968" s="44" t="str">
        <f>IF(IGA_BD[[#This Row],[Work Start TimeStamp]]="","",(IGA_BD[[#This Row],[Fault Clearance time]]-IGA_BD[[#This Row],[Work Start TimeStamp]])*24)</f>
        <v/>
      </c>
      <c r="Q968" s="57">
        <f>(IGA_BD[[#This Row],[Fault Clearance time]]-IGA_BD[[#This Row],[Fault Start TimeStamp]])*24</f>
        <v>0</v>
      </c>
      <c r="R968" s="153"/>
      <c r="S968" s="44"/>
      <c r="T968" s="45" t="str">
        <f>IFERROR(IGA_BD[[#This Row],[Breakdown Time]]*IGA_BD[[#This Row],[Plant Equivalent Weightage]],"")</f>
        <v/>
      </c>
    </row>
    <row r="969" spans="1:20">
      <c r="A969" s="28"/>
      <c r="B969" s="154"/>
      <c r="C969" s="30">
        <f>YEAR(WTG_BD[[#This Row],[Date]])+IF(MONTH(WTG_BD[[#This Row],[Date]])&gt;=4,1,0)</f>
        <v>1900</v>
      </c>
      <c r="D969" s="31">
        <f>YEAR(IGA_BD[[#This Row],[Date]])</f>
        <v>1900</v>
      </c>
      <c r="E969" s="48">
        <f t="shared" si="17"/>
        <v>1</v>
      </c>
      <c r="F969" s="32"/>
      <c r="G969" s="33"/>
      <c r="H969" s="43" t="str">
        <f>IFERROR(VLOOKUP(IGA_BD[[#This Row],[Affected Feeder ]],'Basic Data'!$A$42:$E$53,2,0),"")</f>
        <v/>
      </c>
      <c r="I969" s="43" t="str">
        <f>IFERROR(VLOOKUP(IGA_BD[[#This Row],[Affected Feeder ]],'Basic Data'!$A$42:$E$53,3,0),"")</f>
        <v/>
      </c>
      <c r="J969" s="43" t="str">
        <f>IFERROR(VLOOKUP(IGA_BD[[#This Row],[Affected Feeder ]],'Basic Data'!$A$42:$E$53,5,0),"")</f>
        <v/>
      </c>
      <c r="K969" s="164"/>
      <c r="L969" s="50"/>
      <c r="M969" s="116"/>
      <c r="N969" s="116"/>
      <c r="O969" s="57">
        <f>(IGA_BD[[#This Row],[Work Start TimeStamp]]-IGA_BD[[#This Row],[Fault Start TimeStamp]])*24</f>
        <v>0</v>
      </c>
      <c r="P969" s="44" t="str">
        <f>IF(IGA_BD[[#This Row],[Work Start TimeStamp]]="","",(IGA_BD[[#This Row],[Fault Clearance time]]-IGA_BD[[#This Row],[Work Start TimeStamp]])*24)</f>
        <v/>
      </c>
      <c r="Q969" s="57">
        <f>(IGA_BD[[#This Row],[Fault Clearance time]]-IGA_BD[[#This Row],[Fault Start TimeStamp]])*24</f>
        <v>0</v>
      </c>
      <c r="R969" s="153"/>
      <c r="S969" s="44"/>
      <c r="T969" s="45" t="str">
        <f>IFERROR(IGA_BD[[#This Row],[Breakdown Time]]*IGA_BD[[#This Row],[Plant Equivalent Weightage]],"")</f>
        <v/>
      </c>
    </row>
    <row r="970" spans="1:20">
      <c r="A970" s="28"/>
      <c r="B970" s="154"/>
      <c r="C970" s="30">
        <f>YEAR(WTG_BD[[#This Row],[Date]])+IF(MONTH(WTG_BD[[#This Row],[Date]])&gt;=4,1,0)</f>
        <v>1900</v>
      </c>
      <c r="D970" s="31">
        <f>YEAR(IGA_BD[[#This Row],[Date]])</f>
        <v>1900</v>
      </c>
      <c r="E970" s="48">
        <f t="shared" si="17"/>
        <v>1</v>
      </c>
      <c r="F970" s="32"/>
      <c r="G970" s="33"/>
      <c r="H970" s="43" t="str">
        <f>IFERROR(VLOOKUP(IGA_BD[[#This Row],[Affected Feeder ]],'Basic Data'!$A$42:$E$53,2,0),"")</f>
        <v/>
      </c>
      <c r="I970" s="43" t="str">
        <f>IFERROR(VLOOKUP(IGA_BD[[#This Row],[Affected Feeder ]],'Basic Data'!$A$42:$E$53,3,0),"")</f>
        <v/>
      </c>
      <c r="J970" s="43" t="str">
        <f>IFERROR(VLOOKUP(IGA_BD[[#This Row],[Affected Feeder ]],'Basic Data'!$A$42:$E$53,5,0),"")</f>
        <v/>
      </c>
      <c r="K970" s="164"/>
      <c r="L970" s="50"/>
      <c r="M970" s="116"/>
      <c r="N970" s="116"/>
      <c r="O970" s="57">
        <f>(IGA_BD[[#This Row],[Work Start TimeStamp]]-IGA_BD[[#This Row],[Fault Start TimeStamp]])*24</f>
        <v>0</v>
      </c>
      <c r="P970" s="44" t="str">
        <f>IF(IGA_BD[[#This Row],[Work Start TimeStamp]]="","",(IGA_BD[[#This Row],[Fault Clearance time]]-IGA_BD[[#This Row],[Work Start TimeStamp]])*24)</f>
        <v/>
      </c>
      <c r="Q970" s="57">
        <f>(IGA_BD[[#This Row],[Fault Clearance time]]-IGA_BD[[#This Row],[Fault Start TimeStamp]])*24</f>
        <v>0</v>
      </c>
      <c r="R970" s="153"/>
      <c r="S970" s="44"/>
      <c r="T970" s="45" t="str">
        <f>IFERROR(IGA_BD[[#This Row],[Breakdown Time]]*IGA_BD[[#This Row],[Plant Equivalent Weightage]],"")</f>
        <v/>
      </c>
    </row>
    <row r="971" spans="1:20">
      <c r="A971" s="28"/>
      <c r="B971" s="154"/>
      <c r="C971" s="30">
        <f>YEAR(WTG_BD[[#This Row],[Date]])+IF(MONTH(WTG_BD[[#This Row],[Date]])&gt;=4,1,0)</f>
        <v>1900</v>
      </c>
      <c r="D971" s="31">
        <f>YEAR(IGA_BD[[#This Row],[Date]])</f>
        <v>1900</v>
      </c>
      <c r="E971" s="48">
        <f t="shared" si="17"/>
        <v>1</v>
      </c>
      <c r="F971" s="32"/>
      <c r="G971" s="33"/>
      <c r="H971" s="43" t="str">
        <f>IFERROR(VLOOKUP(IGA_BD[[#This Row],[Affected Feeder ]],'Basic Data'!$A$42:$E$53,2,0),"")</f>
        <v/>
      </c>
      <c r="I971" s="43" t="str">
        <f>IFERROR(VLOOKUP(IGA_BD[[#This Row],[Affected Feeder ]],'Basic Data'!$A$42:$E$53,3,0),"")</f>
        <v/>
      </c>
      <c r="J971" s="43" t="str">
        <f>IFERROR(VLOOKUP(IGA_BD[[#This Row],[Affected Feeder ]],'Basic Data'!$A$42:$E$53,5,0),"")</f>
        <v/>
      </c>
      <c r="K971" s="164"/>
      <c r="L971" s="50"/>
      <c r="M971" s="116"/>
      <c r="N971" s="116"/>
      <c r="O971" s="57">
        <f>(IGA_BD[[#This Row],[Work Start TimeStamp]]-IGA_BD[[#This Row],[Fault Start TimeStamp]])*24</f>
        <v>0</v>
      </c>
      <c r="P971" s="44" t="str">
        <f>IF(IGA_BD[[#This Row],[Work Start TimeStamp]]="","",(IGA_BD[[#This Row],[Fault Clearance time]]-IGA_BD[[#This Row],[Work Start TimeStamp]])*24)</f>
        <v/>
      </c>
      <c r="Q971" s="57">
        <f>(IGA_BD[[#This Row],[Fault Clearance time]]-IGA_BD[[#This Row],[Fault Start TimeStamp]])*24</f>
        <v>0</v>
      </c>
      <c r="R971" s="153"/>
      <c r="S971" s="44"/>
      <c r="T971" s="45" t="str">
        <f>IFERROR(IGA_BD[[#This Row],[Breakdown Time]]*IGA_BD[[#This Row],[Plant Equivalent Weightage]],"")</f>
        <v/>
      </c>
    </row>
    <row r="972" spans="1:20">
      <c r="A972" s="28"/>
      <c r="B972" s="154"/>
      <c r="C972" s="30">
        <f>YEAR(WTG_BD[[#This Row],[Date]])+IF(MONTH(WTG_BD[[#This Row],[Date]])&gt;=4,1,0)</f>
        <v>1900</v>
      </c>
      <c r="D972" s="31">
        <f>YEAR(IGA_BD[[#This Row],[Date]])</f>
        <v>1900</v>
      </c>
      <c r="E972" s="48">
        <f t="shared" si="17"/>
        <v>1</v>
      </c>
      <c r="F972" s="32"/>
      <c r="G972" s="33"/>
      <c r="H972" s="43" t="str">
        <f>IFERROR(VLOOKUP(IGA_BD[[#This Row],[Affected Feeder ]],'Basic Data'!$A$42:$E$53,2,0),"")</f>
        <v/>
      </c>
      <c r="I972" s="43" t="str">
        <f>IFERROR(VLOOKUP(IGA_BD[[#This Row],[Affected Feeder ]],'Basic Data'!$A$42:$E$53,3,0),"")</f>
        <v/>
      </c>
      <c r="J972" s="43" t="str">
        <f>IFERROR(VLOOKUP(IGA_BD[[#This Row],[Affected Feeder ]],'Basic Data'!$A$42:$E$53,5,0),"")</f>
        <v/>
      </c>
      <c r="K972" s="164"/>
      <c r="L972" s="50"/>
      <c r="M972" s="116"/>
      <c r="N972" s="116"/>
      <c r="O972" s="57">
        <f>(IGA_BD[[#This Row],[Work Start TimeStamp]]-IGA_BD[[#This Row],[Fault Start TimeStamp]])*24</f>
        <v>0</v>
      </c>
      <c r="P972" s="44" t="str">
        <f>IF(IGA_BD[[#This Row],[Work Start TimeStamp]]="","",(IGA_BD[[#This Row],[Fault Clearance time]]-IGA_BD[[#This Row],[Work Start TimeStamp]])*24)</f>
        <v/>
      </c>
      <c r="Q972" s="57">
        <f>(IGA_BD[[#This Row],[Fault Clearance time]]-IGA_BD[[#This Row],[Fault Start TimeStamp]])*24</f>
        <v>0</v>
      </c>
      <c r="R972" s="153"/>
      <c r="S972" s="44"/>
      <c r="T972" s="45" t="str">
        <f>IFERROR(IGA_BD[[#This Row],[Breakdown Time]]*IGA_BD[[#This Row],[Plant Equivalent Weightage]],"")</f>
        <v/>
      </c>
    </row>
    <row r="973" spans="1:20">
      <c r="A973" s="28"/>
      <c r="B973" s="154"/>
      <c r="C973" s="30">
        <f>YEAR(WTG_BD[[#This Row],[Date]])+IF(MONTH(WTG_BD[[#This Row],[Date]])&gt;=4,1,0)</f>
        <v>1900</v>
      </c>
      <c r="D973" s="31">
        <f>YEAR(IGA_BD[[#This Row],[Date]])</f>
        <v>1900</v>
      </c>
      <c r="E973" s="48">
        <f t="shared" si="17"/>
        <v>1</v>
      </c>
      <c r="F973" s="32"/>
      <c r="G973" s="33"/>
      <c r="H973" s="43" t="str">
        <f>IFERROR(VLOOKUP(IGA_BD[[#This Row],[Affected Feeder ]],'Basic Data'!$A$42:$E$53,2,0),"")</f>
        <v/>
      </c>
      <c r="I973" s="43" t="str">
        <f>IFERROR(VLOOKUP(IGA_BD[[#This Row],[Affected Feeder ]],'Basic Data'!$A$42:$E$53,3,0),"")</f>
        <v/>
      </c>
      <c r="J973" s="43" t="str">
        <f>IFERROR(VLOOKUP(IGA_BD[[#This Row],[Affected Feeder ]],'Basic Data'!$A$42:$E$53,5,0),"")</f>
        <v/>
      </c>
      <c r="K973" s="164"/>
      <c r="L973" s="50"/>
      <c r="M973" s="116"/>
      <c r="N973" s="116"/>
      <c r="O973" s="57">
        <f>(IGA_BD[[#This Row],[Work Start TimeStamp]]-IGA_BD[[#This Row],[Fault Start TimeStamp]])*24</f>
        <v>0</v>
      </c>
      <c r="P973" s="44" t="str">
        <f>IF(IGA_BD[[#This Row],[Work Start TimeStamp]]="","",(IGA_BD[[#This Row],[Fault Clearance time]]-IGA_BD[[#This Row],[Work Start TimeStamp]])*24)</f>
        <v/>
      </c>
      <c r="Q973" s="57">
        <f>(IGA_BD[[#This Row],[Fault Clearance time]]-IGA_BD[[#This Row],[Fault Start TimeStamp]])*24</f>
        <v>0</v>
      </c>
      <c r="R973" s="153"/>
      <c r="S973" s="44"/>
      <c r="T973" s="45" t="str">
        <f>IFERROR(IGA_BD[[#This Row],[Breakdown Time]]*IGA_BD[[#This Row],[Plant Equivalent Weightage]],"")</f>
        <v/>
      </c>
    </row>
    <row r="974" spans="1:20">
      <c r="A974" s="28"/>
      <c r="B974" s="154"/>
      <c r="C974" s="30">
        <f>YEAR(WTG_BD[[#This Row],[Date]])+IF(MONTH(WTG_BD[[#This Row],[Date]])&gt;=4,1,0)</f>
        <v>1900</v>
      </c>
      <c r="D974" s="31">
        <f>YEAR(IGA_BD[[#This Row],[Date]])</f>
        <v>1900</v>
      </c>
      <c r="E974" s="48">
        <f t="shared" si="17"/>
        <v>1</v>
      </c>
      <c r="F974" s="32"/>
      <c r="G974" s="33"/>
      <c r="H974" s="43" t="str">
        <f>IFERROR(VLOOKUP(IGA_BD[[#This Row],[Affected Feeder ]],'Basic Data'!$A$42:$E$53,2,0),"")</f>
        <v/>
      </c>
      <c r="I974" s="43" t="str">
        <f>IFERROR(VLOOKUP(IGA_BD[[#This Row],[Affected Feeder ]],'Basic Data'!$A$42:$E$53,3,0),"")</f>
        <v/>
      </c>
      <c r="J974" s="43" t="str">
        <f>IFERROR(VLOOKUP(IGA_BD[[#This Row],[Affected Feeder ]],'Basic Data'!$A$42:$E$53,5,0),"")</f>
        <v/>
      </c>
      <c r="K974" s="164"/>
      <c r="L974" s="50"/>
      <c r="M974" s="116"/>
      <c r="N974" s="116"/>
      <c r="O974" s="57">
        <f>(IGA_BD[[#This Row],[Work Start TimeStamp]]-IGA_BD[[#This Row],[Fault Start TimeStamp]])*24</f>
        <v>0</v>
      </c>
      <c r="P974" s="44" t="str">
        <f>IF(IGA_BD[[#This Row],[Work Start TimeStamp]]="","",(IGA_BD[[#This Row],[Fault Clearance time]]-IGA_BD[[#This Row],[Work Start TimeStamp]])*24)</f>
        <v/>
      </c>
      <c r="Q974" s="57">
        <f>(IGA_BD[[#This Row],[Fault Clearance time]]-IGA_BD[[#This Row],[Fault Start TimeStamp]])*24</f>
        <v>0</v>
      </c>
      <c r="R974" s="153"/>
      <c r="S974" s="44"/>
      <c r="T974" s="45" t="str">
        <f>IFERROR(IGA_BD[[#This Row],[Breakdown Time]]*IGA_BD[[#This Row],[Plant Equivalent Weightage]],"")</f>
        <v/>
      </c>
    </row>
    <row r="975" spans="1:20">
      <c r="A975" s="28"/>
      <c r="B975" s="154"/>
      <c r="C975" s="30">
        <f>YEAR(WTG_BD[[#This Row],[Date]])+IF(MONTH(WTG_BD[[#This Row],[Date]])&gt;=4,1,0)</f>
        <v>1900</v>
      </c>
      <c r="D975" s="31">
        <f>YEAR(IGA_BD[[#This Row],[Date]])</f>
        <v>1900</v>
      </c>
      <c r="E975" s="48">
        <f t="shared" si="17"/>
        <v>1</v>
      </c>
      <c r="F975" s="32"/>
      <c r="G975" s="33"/>
      <c r="H975" s="43" t="str">
        <f>IFERROR(VLOOKUP(IGA_BD[[#This Row],[Affected Feeder ]],'Basic Data'!$A$42:$E$53,2,0),"")</f>
        <v/>
      </c>
      <c r="I975" s="43" t="str">
        <f>IFERROR(VLOOKUP(IGA_BD[[#This Row],[Affected Feeder ]],'Basic Data'!$A$42:$E$53,3,0),"")</f>
        <v/>
      </c>
      <c r="J975" s="43" t="str">
        <f>IFERROR(VLOOKUP(IGA_BD[[#This Row],[Affected Feeder ]],'Basic Data'!$A$42:$E$53,5,0),"")</f>
        <v/>
      </c>
      <c r="K975" s="164"/>
      <c r="L975" s="50"/>
      <c r="M975" s="116"/>
      <c r="N975" s="116"/>
      <c r="O975" s="57">
        <f>(IGA_BD[[#This Row],[Work Start TimeStamp]]-IGA_BD[[#This Row],[Fault Start TimeStamp]])*24</f>
        <v>0</v>
      </c>
      <c r="P975" s="44" t="str">
        <f>IF(IGA_BD[[#This Row],[Work Start TimeStamp]]="","",(IGA_BD[[#This Row],[Fault Clearance time]]-IGA_BD[[#This Row],[Work Start TimeStamp]])*24)</f>
        <v/>
      </c>
      <c r="Q975" s="57">
        <f>(IGA_BD[[#This Row],[Fault Clearance time]]-IGA_BD[[#This Row],[Fault Start TimeStamp]])*24</f>
        <v>0</v>
      </c>
      <c r="R975" s="153"/>
      <c r="S975" s="44"/>
      <c r="T975" s="45" t="str">
        <f>IFERROR(IGA_BD[[#This Row],[Breakdown Time]]*IGA_BD[[#This Row],[Plant Equivalent Weightage]],"")</f>
        <v/>
      </c>
    </row>
    <row r="976" spans="1:20">
      <c r="A976" s="28"/>
      <c r="B976" s="154"/>
      <c r="C976" s="30">
        <f>YEAR(WTG_BD[[#This Row],[Date]])+IF(MONTH(WTG_BD[[#This Row],[Date]])&gt;=4,1,0)</f>
        <v>1900</v>
      </c>
      <c r="D976" s="31">
        <f>YEAR(IGA_BD[[#This Row],[Date]])</f>
        <v>1900</v>
      </c>
      <c r="E976" s="48">
        <f t="shared" si="17"/>
        <v>1</v>
      </c>
      <c r="F976" s="32"/>
      <c r="G976" s="33"/>
      <c r="H976" s="43" t="str">
        <f>IFERROR(VLOOKUP(IGA_BD[[#This Row],[Affected Feeder ]],'Basic Data'!$A$42:$E$53,2,0),"")</f>
        <v/>
      </c>
      <c r="I976" s="43" t="str">
        <f>IFERROR(VLOOKUP(IGA_BD[[#This Row],[Affected Feeder ]],'Basic Data'!$A$42:$E$53,3,0),"")</f>
        <v/>
      </c>
      <c r="J976" s="43" t="str">
        <f>IFERROR(VLOOKUP(IGA_BD[[#This Row],[Affected Feeder ]],'Basic Data'!$A$42:$E$53,5,0),"")</f>
        <v/>
      </c>
      <c r="K976" s="164"/>
      <c r="L976" s="50"/>
      <c r="M976" s="116"/>
      <c r="N976" s="116"/>
      <c r="O976" s="57">
        <f>(IGA_BD[[#This Row],[Work Start TimeStamp]]-IGA_BD[[#This Row],[Fault Start TimeStamp]])*24</f>
        <v>0</v>
      </c>
      <c r="P976" s="44" t="str">
        <f>IF(IGA_BD[[#This Row],[Work Start TimeStamp]]="","",(IGA_BD[[#This Row],[Fault Clearance time]]-IGA_BD[[#This Row],[Work Start TimeStamp]])*24)</f>
        <v/>
      </c>
      <c r="Q976" s="57">
        <f>(IGA_BD[[#This Row],[Fault Clearance time]]-IGA_BD[[#This Row],[Fault Start TimeStamp]])*24</f>
        <v>0</v>
      </c>
      <c r="R976" s="153"/>
      <c r="S976" s="44"/>
      <c r="T976" s="45" t="str">
        <f>IFERROR(IGA_BD[[#This Row],[Breakdown Time]]*IGA_BD[[#This Row],[Plant Equivalent Weightage]],"")</f>
        <v/>
      </c>
    </row>
    <row r="977" spans="1:20">
      <c r="A977" s="28"/>
      <c r="B977" s="154"/>
      <c r="C977" s="30">
        <f>YEAR(WTG_BD[[#This Row],[Date]])+IF(MONTH(WTG_BD[[#This Row],[Date]])&gt;=4,1,0)</f>
        <v>1900</v>
      </c>
      <c r="D977" s="31">
        <f>YEAR(IGA_BD[[#This Row],[Date]])</f>
        <v>1900</v>
      </c>
      <c r="E977" s="48">
        <f t="shared" si="17"/>
        <v>1</v>
      </c>
      <c r="F977" s="32"/>
      <c r="G977" s="33"/>
      <c r="H977" s="43" t="str">
        <f>IFERROR(VLOOKUP(IGA_BD[[#This Row],[Affected Feeder ]],'Basic Data'!$A$42:$E$53,2,0),"")</f>
        <v/>
      </c>
      <c r="I977" s="43" t="str">
        <f>IFERROR(VLOOKUP(IGA_BD[[#This Row],[Affected Feeder ]],'Basic Data'!$A$42:$E$53,3,0),"")</f>
        <v/>
      </c>
      <c r="J977" s="43" t="str">
        <f>IFERROR(VLOOKUP(IGA_BD[[#This Row],[Affected Feeder ]],'Basic Data'!$A$42:$E$53,5,0),"")</f>
        <v/>
      </c>
      <c r="K977" s="164"/>
      <c r="L977" s="50"/>
      <c r="M977" s="116"/>
      <c r="N977" s="116"/>
      <c r="O977" s="57">
        <f>(IGA_BD[[#This Row],[Work Start TimeStamp]]-IGA_BD[[#This Row],[Fault Start TimeStamp]])*24</f>
        <v>0</v>
      </c>
      <c r="P977" s="44" t="str">
        <f>IF(IGA_BD[[#This Row],[Work Start TimeStamp]]="","",(IGA_BD[[#This Row],[Fault Clearance time]]-IGA_BD[[#This Row],[Work Start TimeStamp]])*24)</f>
        <v/>
      </c>
      <c r="Q977" s="57">
        <f>(IGA_BD[[#This Row],[Fault Clearance time]]-IGA_BD[[#This Row],[Fault Start TimeStamp]])*24</f>
        <v>0</v>
      </c>
      <c r="R977" s="153"/>
      <c r="S977" s="44"/>
      <c r="T977" s="45" t="str">
        <f>IFERROR(IGA_BD[[#This Row],[Breakdown Time]]*IGA_BD[[#This Row],[Plant Equivalent Weightage]],"")</f>
        <v/>
      </c>
    </row>
    <row r="978" spans="1:20">
      <c r="A978" s="28"/>
      <c r="B978" s="154"/>
      <c r="C978" s="30">
        <f>YEAR(WTG_BD[[#This Row],[Date]])+IF(MONTH(WTG_BD[[#This Row],[Date]])&gt;=4,1,0)</f>
        <v>1900</v>
      </c>
      <c r="D978" s="31">
        <f>YEAR(IGA_BD[[#This Row],[Date]])</f>
        <v>1900</v>
      </c>
      <c r="E978" s="48">
        <f t="shared" si="17"/>
        <v>1</v>
      </c>
      <c r="F978" s="32"/>
      <c r="G978" s="33"/>
      <c r="H978" s="43" t="str">
        <f>IFERROR(VLOOKUP(IGA_BD[[#This Row],[Affected Feeder ]],'Basic Data'!$A$42:$E$53,2,0),"")</f>
        <v/>
      </c>
      <c r="I978" s="43" t="str">
        <f>IFERROR(VLOOKUP(IGA_BD[[#This Row],[Affected Feeder ]],'Basic Data'!$A$42:$E$53,3,0),"")</f>
        <v/>
      </c>
      <c r="J978" s="43" t="str">
        <f>IFERROR(VLOOKUP(IGA_BD[[#This Row],[Affected Feeder ]],'Basic Data'!$A$42:$E$53,5,0),"")</f>
        <v/>
      </c>
      <c r="K978" s="164"/>
      <c r="L978" s="50"/>
      <c r="M978" s="116"/>
      <c r="N978" s="116"/>
      <c r="O978" s="57">
        <f>(IGA_BD[[#This Row],[Work Start TimeStamp]]-IGA_BD[[#This Row],[Fault Start TimeStamp]])*24</f>
        <v>0</v>
      </c>
      <c r="P978" s="44" t="str">
        <f>IF(IGA_BD[[#This Row],[Work Start TimeStamp]]="","",(IGA_BD[[#This Row],[Fault Clearance time]]-IGA_BD[[#This Row],[Work Start TimeStamp]])*24)</f>
        <v/>
      </c>
      <c r="Q978" s="57">
        <f>(IGA_BD[[#This Row],[Fault Clearance time]]-IGA_BD[[#This Row],[Fault Start TimeStamp]])*24</f>
        <v>0</v>
      </c>
      <c r="R978" s="153"/>
      <c r="S978" s="44"/>
      <c r="T978" s="45" t="str">
        <f>IFERROR(IGA_BD[[#This Row],[Breakdown Time]]*IGA_BD[[#This Row],[Plant Equivalent Weightage]],"")</f>
        <v/>
      </c>
    </row>
    <row r="979" spans="1:20">
      <c r="A979" s="28"/>
      <c r="B979" s="154"/>
      <c r="C979" s="30">
        <f>YEAR(WTG_BD[[#This Row],[Date]])+IF(MONTH(WTG_BD[[#This Row],[Date]])&gt;=4,1,0)</f>
        <v>1900</v>
      </c>
      <c r="D979" s="31">
        <f>YEAR(IGA_BD[[#This Row],[Date]])</f>
        <v>1900</v>
      </c>
      <c r="E979" s="48">
        <f t="shared" si="17"/>
        <v>1</v>
      </c>
      <c r="F979" s="32"/>
      <c r="G979" s="33"/>
      <c r="H979" s="43" t="str">
        <f>IFERROR(VLOOKUP(IGA_BD[[#This Row],[Affected Feeder ]],'Basic Data'!$A$42:$E$53,2,0),"")</f>
        <v/>
      </c>
      <c r="I979" s="43" t="str">
        <f>IFERROR(VLOOKUP(IGA_BD[[#This Row],[Affected Feeder ]],'Basic Data'!$A$42:$E$53,3,0),"")</f>
        <v/>
      </c>
      <c r="J979" s="43" t="str">
        <f>IFERROR(VLOOKUP(IGA_BD[[#This Row],[Affected Feeder ]],'Basic Data'!$A$42:$E$53,5,0),"")</f>
        <v/>
      </c>
      <c r="K979" s="164"/>
      <c r="L979" s="50"/>
      <c r="M979" s="116"/>
      <c r="N979" s="116"/>
      <c r="O979" s="57">
        <f>(IGA_BD[[#This Row],[Work Start TimeStamp]]-IGA_BD[[#This Row],[Fault Start TimeStamp]])*24</f>
        <v>0</v>
      </c>
      <c r="P979" s="44" t="str">
        <f>IF(IGA_BD[[#This Row],[Work Start TimeStamp]]="","",(IGA_BD[[#This Row],[Fault Clearance time]]-IGA_BD[[#This Row],[Work Start TimeStamp]])*24)</f>
        <v/>
      </c>
      <c r="Q979" s="57">
        <f>(IGA_BD[[#This Row],[Fault Clearance time]]-IGA_BD[[#This Row],[Fault Start TimeStamp]])*24</f>
        <v>0</v>
      </c>
      <c r="R979" s="153"/>
      <c r="S979" s="44"/>
      <c r="T979" s="45" t="str">
        <f>IFERROR(IGA_BD[[#This Row],[Breakdown Time]]*IGA_BD[[#This Row],[Plant Equivalent Weightage]],"")</f>
        <v/>
      </c>
    </row>
    <row r="980" spans="1:20">
      <c r="A980" s="28"/>
      <c r="B980" s="154"/>
      <c r="C980" s="30">
        <f>YEAR(WTG_BD[[#This Row],[Date]])+IF(MONTH(WTG_BD[[#This Row],[Date]])&gt;=4,1,0)</f>
        <v>1900</v>
      </c>
      <c r="D980" s="31">
        <f>YEAR(IGA_BD[[#This Row],[Date]])</f>
        <v>1900</v>
      </c>
      <c r="E980" s="48">
        <f t="shared" si="17"/>
        <v>1</v>
      </c>
      <c r="F980" s="32"/>
      <c r="G980" s="33"/>
      <c r="H980" s="43" t="str">
        <f>IFERROR(VLOOKUP(IGA_BD[[#This Row],[Affected Feeder ]],'Basic Data'!$A$42:$E$53,2,0),"")</f>
        <v/>
      </c>
      <c r="I980" s="43" t="str">
        <f>IFERROR(VLOOKUP(IGA_BD[[#This Row],[Affected Feeder ]],'Basic Data'!$A$42:$E$53,3,0),"")</f>
        <v/>
      </c>
      <c r="J980" s="43" t="str">
        <f>IFERROR(VLOOKUP(IGA_BD[[#This Row],[Affected Feeder ]],'Basic Data'!$A$42:$E$53,5,0),"")</f>
        <v/>
      </c>
      <c r="K980" s="164"/>
      <c r="L980" s="50"/>
      <c r="M980" s="116"/>
      <c r="N980" s="116"/>
      <c r="O980" s="57">
        <f>(IGA_BD[[#This Row],[Work Start TimeStamp]]-IGA_BD[[#This Row],[Fault Start TimeStamp]])*24</f>
        <v>0</v>
      </c>
      <c r="P980" s="44" t="str">
        <f>IF(IGA_BD[[#This Row],[Work Start TimeStamp]]="","",(IGA_BD[[#This Row],[Fault Clearance time]]-IGA_BD[[#This Row],[Work Start TimeStamp]])*24)</f>
        <v/>
      </c>
      <c r="Q980" s="57">
        <f>(IGA_BD[[#This Row],[Fault Clearance time]]-IGA_BD[[#This Row],[Fault Start TimeStamp]])*24</f>
        <v>0</v>
      </c>
      <c r="R980" s="153"/>
      <c r="S980" s="44"/>
      <c r="T980" s="45" t="str">
        <f>IFERROR(IGA_BD[[#This Row],[Breakdown Time]]*IGA_BD[[#This Row],[Plant Equivalent Weightage]],"")</f>
        <v/>
      </c>
    </row>
    <row r="981" spans="1:20">
      <c r="A981" s="28"/>
      <c r="B981" s="154"/>
      <c r="C981" s="30">
        <f>YEAR(WTG_BD[[#This Row],[Date]])+IF(MONTH(WTG_BD[[#This Row],[Date]])&gt;=4,1,0)</f>
        <v>1900</v>
      </c>
      <c r="D981" s="31">
        <f>YEAR(IGA_BD[[#This Row],[Date]])</f>
        <v>1900</v>
      </c>
      <c r="E981" s="48">
        <f t="shared" si="17"/>
        <v>1</v>
      </c>
      <c r="F981" s="32"/>
      <c r="G981" s="33"/>
      <c r="H981" s="43" t="str">
        <f>IFERROR(VLOOKUP(IGA_BD[[#This Row],[Affected Feeder ]],'Basic Data'!$A$42:$E$53,2,0),"")</f>
        <v/>
      </c>
      <c r="I981" s="43" t="str">
        <f>IFERROR(VLOOKUP(IGA_BD[[#This Row],[Affected Feeder ]],'Basic Data'!$A$42:$E$53,3,0),"")</f>
        <v/>
      </c>
      <c r="J981" s="43" t="str">
        <f>IFERROR(VLOOKUP(IGA_BD[[#This Row],[Affected Feeder ]],'Basic Data'!$A$42:$E$53,5,0),"")</f>
        <v/>
      </c>
      <c r="K981" s="164"/>
      <c r="L981" s="50"/>
      <c r="M981" s="116"/>
      <c r="N981" s="116"/>
      <c r="O981" s="57">
        <f>(IGA_BD[[#This Row],[Work Start TimeStamp]]-IGA_BD[[#This Row],[Fault Start TimeStamp]])*24</f>
        <v>0</v>
      </c>
      <c r="P981" s="44" t="str">
        <f>IF(IGA_BD[[#This Row],[Work Start TimeStamp]]="","",(IGA_BD[[#This Row],[Fault Clearance time]]-IGA_BD[[#This Row],[Work Start TimeStamp]])*24)</f>
        <v/>
      </c>
      <c r="Q981" s="57">
        <f>(IGA_BD[[#This Row],[Fault Clearance time]]-IGA_BD[[#This Row],[Fault Start TimeStamp]])*24</f>
        <v>0</v>
      </c>
      <c r="R981" s="153"/>
      <c r="S981" s="44"/>
      <c r="T981" s="45" t="str">
        <f>IFERROR(IGA_BD[[#This Row],[Breakdown Time]]*IGA_BD[[#This Row],[Plant Equivalent Weightage]],"")</f>
        <v/>
      </c>
    </row>
    <row r="982" spans="1:20">
      <c r="A982" s="28"/>
      <c r="B982" s="154"/>
      <c r="C982" s="30">
        <f>YEAR(WTG_BD[[#This Row],[Date]])+IF(MONTH(WTG_BD[[#This Row],[Date]])&gt;=4,1,0)</f>
        <v>1900</v>
      </c>
      <c r="D982" s="31">
        <f>YEAR(IGA_BD[[#This Row],[Date]])</f>
        <v>1900</v>
      </c>
      <c r="E982" s="48">
        <f t="shared" si="17"/>
        <v>1</v>
      </c>
      <c r="F982" s="32"/>
      <c r="G982" s="33"/>
      <c r="H982" s="43" t="str">
        <f>IFERROR(VLOOKUP(IGA_BD[[#This Row],[Affected Feeder ]],'Basic Data'!$A$42:$E$53,2,0),"")</f>
        <v/>
      </c>
      <c r="I982" s="43" t="str">
        <f>IFERROR(VLOOKUP(IGA_BD[[#This Row],[Affected Feeder ]],'Basic Data'!$A$42:$E$53,3,0),"")</f>
        <v/>
      </c>
      <c r="J982" s="43" t="str">
        <f>IFERROR(VLOOKUP(IGA_BD[[#This Row],[Affected Feeder ]],'Basic Data'!$A$42:$E$53,5,0),"")</f>
        <v/>
      </c>
      <c r="K982" s="164"/>
      <c r="L982" s="50"/>
      <c r="M982" s="116"/>
      <c r="N982" s="116"/>
      <c r="O982" s="57">
        <f>(IGA_BD[[#This Row],[Work Start TimeStamp]]-IGA_BD[[#This Row],[Fault Start TimeStamp]])*24</f>
        <v>0</v>
      </c>
      <c r="P982" s="44" t="str">
        <f>IF(IGA_BD[[#This Row],[Work Start TimeStamp]]="","",(IGA_BD[[#This Row],[Fault Clearance time]]-IGA_BD[[#This Row],[Work Start TimeStamp]])*24)</f>
        <v/>
      </c>
      <c r="Q982" s="57">
        <f>(IGA_BD[[#This Row],[Fault Clearance time]]-IGA_BD[[#This Row],[Fault Start TimeStamp]])*24</f>
        <v>0</v>
      </c>
      <c r="R982" s="153"/>
      <c r="S982" s="44"/>
      <c r="T982" s="45" t="str">
        <f>IFERROR(IGA_BD[[#This Row],[Breakdown Time]]*IGA_BD[[#This Row],[Plant Equivalent Weightage]],"")</f>
        <v/>
      </c>
    </row>
    <row r="983" spans="1:20">
      <c r="A983" s="28"/>
      <c r="B983" s="154"/>
      <c r="C983" s="30">
        <f>YEAR(WTG_BD[[#This Row],[Date]])+IF(MONTH(WTG_BD[[#This Row],[Date]])&gt;=4,1,0)</f>
        <v>1900</v>
      </c>
      <c r="D983" s="31">
        <f>YEAR(IGA_BD[[#This Row],[Date]])</f>
        <v>1900</v>
      </c>
      <c r="E983" s="48">
        <f t="shared" si="17"/>
        <v>1</v>
      </c>
      <c r="F983" s="32"/>
      <c r="G983" s="33"/>
      <c r="H983" s="43" t="str">
        <f>IFERROR(VLOOKUP(IGA_BD[[#This Row],[Affected Feeder ]],'Basic Data'!$A$42:$E$53,2,0),"")</f>
        <v/>
      </c>
      <c r="I983" s="43" t="str">
        <f>IFERROR(VLOOKUP(IGA_BD[[#This Row],[Affected Feeder ]],'Basic Data'!$A$42:$E$53,3,0),"")</f>
        <v/>
      </c>
      <c r="J983" s="43" t="str">
        <f>IFERROR(VLOOKUP(IGA_BD[[#This Row],[Affected Feeder ]],'Basic Data'!$A$42:$E$53,5,0),"")</f>
        <v/>
      </c>
      <c r="K983" s="164"/>
      <c r="L983" s="50"/>
      <c r="M983" s="116"/>
      <c r="N983" s="116"/>
      <c r="O983" s="57">
        <f>(IGA_BD[[#This Row],[Work Start TimeStamp]]-IGA_BD[[#This Row],[Fault Start TimeStamp]])*24</f>
        <v>0</v>
      </c>
      <c r="P983" s="44" t="str">
        <f>IF(IGA_BD[[#This Row],[Work Start TimeStamp]]="","",(IGA_BD[[#This Row],[Fault Clearance time]]-IGA_BD[[#This Row],[Work Start TimeStamp]])*24)</f>
        <v/>
      </c>
      <c r="Q983" s="57">
        <f>(IGA_BD[[#This Row],[Fault Clearance time]]-IGA_BD[[#This Row],[Fault Start TimeStamp]])*24</f>
        <v>0</v>
      </c>
      <c r="R983" s="153"/>
      <c r="S983" s="44"/>
      <c r="T983" s="45" t="str">
        <f>IFERROR(IGA_BD[[#This Row],[Breakdown Time]]*IGA_BD[[#This Row],[Plant Equivalent Weightage]],"")</f>
        <v/>
      </c>
    </row>
    <row r="984" spans="1:20">
      <c r="A984" s="28"/>
      <c r="B984" s="154"/>
      <c r="C984" s="30">
        <f>YEAR(WTG_BD[[#This Row],[Date]])+IF(MONTH(WTG_BD[[#This Row],[Date]])&gt;=4,1,0)</f>
        <v>1900</v>
      </c>
      <c r="D984" s="31">
        <f>YEAR(IGA_BD[[#This Row],[Date]])</f>
        <v>1900</v>
      </c>
      <c r="E984" s="48">
        <f t="shared" si="17"/>
        <v>1</v>
      </c>
      <c r="F984" s="32"/>
      <c r="G984" s="33"/>
      <c r="H984" s="43" t="str">
        <f>IFERROR(VLOOKUP(IGA_BD[[#This Row],[Affected Feeder ]],'Basic Data'!$A$42:$E$53,2,0),"")</f>
        <v/>
      </c>
      <c r="I984" s="43" t="str">
        <f>IFERROR(VLOOKUP(IGA_BD[[#This Row],[Affected Feeder ]],'Basic Data'!$A$42:$E$53,3,0),"")</f>
        <v/>
      </c>
      <c r="J984" s="43" t="str">
        <f>IFERROR(VLOOKUP(IGA_BD[[#This Row],[Affected Feeder ]],'Basic Data'!$A$42:$E$53,5,0),"")</f>
        <v/>
      </c>
      <c r="K984" s="164"/>
      <c r="L984" s="50"/>
      <c r="M984" s="116"/>
      <c r="N984" s="116"/>
      <c r="O984" s="57">
        <f>(IGA_BD[[#This Row],[Work Start TimeStamp]]-IGA_BD[[#This Row],[Fault Start TimeStamp]])*24</f>
        <v>0</v>
      </c>
      <c r="P984" s="44" t="str">
        <f>IF(IGA_BD[[#This Row],[Work Start TimeStamp]]="","",(IGA_BD[[#This Row],[Fault Clearance time]]-IGA_BD[[#This Row],[Work Start TimeStamp]])*24)</f>
        <v/>
      </c>
      <c r="Q984" s="57">
        <f>(IGA_BD[[#This Row],[Fault Clearance time]]-IGA_BD[[#This Row],[Fault Start TimeStamp]])*24</f>
        <v>0</v>
      </c>
      <c r="R984" s="153"/>
      <c r="S984" s="44"/>
      <c r="T984" s="45" t="str">
        <f>IFERROR(IGA_BD[[#This Row],[Breakdown Time]]*IGA_BD[[#This Row],[Plant Equivalent Weightage]],"")</f>
        <v/>
      </c>
    </row>
    <row r="985" spans="1:20">
      <c r="A985" s="28"/>
      <c r="B985" s="154"/>
      <c r="C985" s="30">
        <f>YEAR(WTG_BD[[#This Row],[Date]])+IF(MONTH(WTG_BD[[#This Row],[Date]])&gt;=4,1,0)</f>
        <v>1900</v>
      </c>
      <c r="D985" s="31">
        <f>YEAR(IGA_BD[[#This Row],[Date]])</f>
        <v>1900</v>
      </c>
      <c r="E985" s="48">
        <f t="shared" si="17"/>
        <v>1</v>
      </c>
      <c r="F985" s="32"/>
      <c r="G985" s="33"/>
      <c r="H985" s="43" t="str">
        <f>IFERROR(VLOOKUP(IGA_BD[[#This Row],[Affected Feeder ]],'Basic Data'!$A$42:$E$53,2,0),"")</f>
        <v/>
      </c>
      <c r="I985" s="43" t="str">
        <f>IFERROR(VLOOKUP(IGA_BD[[#This Row],[Affected Feeder ]],'Basic Data'!$A$42:$E$53,3,0),"")</f>
        <v/>
      </c>
      <c r="J985" s="43" t="str">
        <f>IFERROR(VLOOKUP(IGA_BD[[#This Row],[Affected Feeder ]],'Basic Data'!$A$42:$E$53,5,0),"")</f>
        <v/>
      </c>
      <c r="K985" s="164"/>
      <c r="L985" s="50"/>
      <c r="M985" s="116"/>
      <c r="N985" s="116"/>
      <c r="O985" s="57">
        <f>(IGA_BD[[#This Row],[Work Start TimeStamp]]-IGA_BD[[#This Row],[Fault Start TimeStamp]])*24</f>
        <v>0</v>
      </c>
      <c r="P985" s="44" t="str">
        <f>IF(IGA_BD[[#This Row],[Work Start TimeStamp]]="","",(IGA_BD[[#This Row],[Fault Clearance time]]-IGA_BD[[#This Row],[Work Start TimeStamp]])*24)</f>
        <v/>
      </c>
      <c r="Q985" s="57">
        <f>(IGA_BD[[#This Row],[Fault Clearance time]]-IGA_BD[[#This Row],[Fault Start TimeStamp]])*24</f>
        <v>0</v>
      </c>
      <c r="R985" s="153"/>
      <c r="S985" s="44"/>
      <c r="T985" s="45" t="str">
        <f>IFERROR(IGA_BD[[#This Row],[Breakdown Time]]*IGA_BD[[#This Row],[Plant Equivalent Weightage]],"")</f>
        <v/>
      </c>
    </row>
    <row r="986" spans="1:20">
      <c r="A986" s="28"/>
      <c r="B986" s="154"/>
      <c r="C986" s="30">
        <f>YEAR(WTG_BD[[#This Row],[Date]])+IF(MONTH(WTG_BD[[#This Row],[Date]])&gt;=4,1,0)</f>
        <v>1900</v>
      </c>
      <c r="D986" s="31">
        <f>YEAR(IGA_BD[[#This Row],[Date]])</f>
        <v>1900</v>
      </c>
      <c r="E986" s="48">
        <f t="shared" si="17"/>
        <v>1</v>
      </c>
      <c r="F986" s="32"/>
      <c r="G986" s="33"/>
      <c r="H986" s="43" t="str">
        <f>IFERROR(VLOOKUP(IGA_BD[[#This Row],[Affected Feeder ]],'Basic Data'!$A$42:$E$53,2,0),"")</f>
        <v/>
      </c>
      <c r="I986" s="43" t="str">
        <f>IFERROR(VLOOKUP(IGA_BD[[#This Row],[Affected Feeder ]],'Basic Data'!$A$42:$E$53,3,0),"")</f>
        <v/>
      </c>
      <c r="J986" s="43" t="str">
        <f>IFERROR(VLOOKUP(IGA_BD[[#This Row],[Affected Feeder ]],'Basic Data'!$A$42:$E$53,5,0),"")</f>
        <v/>
      </c>
      <c r="K986" s="164"/>
      <c r="L986" s="50"/>
      <c r="M986" s="116"/>
      <c r="N986" s="116"/>
      <c r="O986" s="57">
        <f>(IGA_BD[[#This Row],[Work Start TimeStamp]]-IGA_BD[[#This Row],[Fault Start TimeStamp]])*24</f>
        <v>0</v>
      </c>
      <c r="P986" s="44" t="str">
        <f>IF(IGA_BD[[#This Row],[Work Start TimeStamp]]="","",(IGA_BD[[#This Row],[Fault Clearance time]]-IGA_BD[[#This Row],[Work Start TimeStamp]])*24)</f>
        <v/>
      </c>
      <c r="Q986" s="57">
        <f>(IGA_BD[[#This Row],[Fault Clearance time]]-IGA_BD[[#This Row],[Fault Start TimeStamp]])*24</f>
        <v>0</v>
      </c>
      <c r="R986" s="153"/>
      <c r="S986" s="44"/>
      <c r="T986" s="45" t="str">
        <f>IFERROR(IGA_BD[[#This Row],[Breakdown Time]]*IGA_BD[[#This Row],[Plant Equivalent Weightage]],"")</f>
        <v/>
      </c>
    </row>
    <row r="987" spans="1:20">
      <c r="A987" s="28"/>
      <c r="B987" s="154"/>
      <c r="C987" s="30">
        <f>YEAR(WTG_BD[[#This Row],[Date]])+IF(MONTH(WTG_BD[[#This Row],[Date]])&gt;=4,1,0)</f>
        <v>1900</v>
      </c>
      <c r="D987" s="31">
        <f>YEAR(IGA_BD[[#This Row],[Date]])</f>
        <v>1900</v>
      </c>
      <c r="E987" s="48">
        <f t="shared" si="17"/>
        <v>1</v>
      </c>
      <c r="F987" s="32"/>
      <c r="G987" s="33"/>
      <c r="H987" s="43" t="str">
        <f>IFERROR(VLOOKUP(IGA_BD[[#This Row],[Affected Feeder ]],'Basic Data'!$A$42:$E$53,2,0),"")</f>
        <v/>
      </c>
      <c r="I987" s="43" t="str">
        <f>IFERROR(VLOOKUP(IGA_BD[[#This Row],[Affected Feeder ]],'Basic Data'!$A$42:$E$53,3,0),"")</f>
        <v/>
      </c>
      <c r="J987" s="43" t="str">
        <f>IFERROR(VLOOKUP(IGA_BD[[#This Row],[Affected Feeder ]],'Basic Data'!$A$42:$E$53,5,0),"")</f>
        <v/>
      </c>
      <c r="K987" s="164"/>
      <c r="L987" s="50"/>
      <c r="M987" s="116"/>
      <c r="N987" s="116"/>
      <c r="O987" s="57">
        <f>(IGA_BD[[#This Row],[Work Start TimeStamp]]-IGA_BD[[#This Row],[Fault Start TimeStamp]])*24</f>
        <v>0</v>
      </c>
      <c r="P987" s="44" t="str">
        <f>IF(IGA_BD[[#This Row],[Work Start TimeStamp]]="","",(IGA_BD[[#This Row],[Fault Clearance time]]-IGA_BD[[#This Row],[Work Start TimeStamp]])*24)</f>
        <v/>
      </c>
      <c r="Q987" s="57">
        <f>(IGA_BD[[#This Row],[Fault Clearance time]]-IGA_BD[[#This Row],[Fault Start TimeStamp]])*24</f>
        <v>0</v>
      </c>
      <c r="R987" s="153"/>
      <c r="S987" s="44"/>
      <c r="T987" s="45" t="str">
        <f>IFERROR(IGA_BD[[#This Row],[Breakdown Time]]*IGA_BD[[#This Row],[Plant Equivalent Weightage]],"")</f>
        <v/>
      </c>
    </row>
    <row r="988" spans="1:20">
      <c r="A988" s="28"/>
      <c r="B988" s="154"/>
      <c r="C988" s="30">
        <f>YEAR(WTG_BD[[#This Row],[Date]])+IF(MONTH(WTG_BD[[#This Row],[Date]])&gt;=4,1,0)</f>
        <v>1900</v>
      </c>
      <c r="D988" s="31">
        <f>YEAR(IGA_BD[[#This Row],[Date]])</f>
        <v>1900</v>
      </c>
      <c r="E988" s="48">
        <f t="shared" ref="E988:E1051" si="18">B988-DAY(B988)+1</f>
        <v>1</v>
      </c>
      <c r="F988" s="32"/>
      <c r="G988" s="33"/>
      <c r="H988" s="43" t="str">
        <f>IFERROR(VLOOKUP(IGA_BD[[#This Row],[Affected Feeder ]],'Basic Data'!$A$42:$E$53,2,0),"")</f>
        <v/>
      </c>
      <c r="I988" s="43" t="str">
        <f>IFERROR(VLOOKUP(IGA_BD[[#This Row],[Affected Feeder ]],'Basic Data'!$A$42:$E$53,3,0),"")</f>
        <v/>
      </c>
      <c r="J988" s="43" t="str">
        <f>IFERROR(VLOOKUP(IGA_BD[[#This Row],[Affected Feeder ]],'Basic Data'!$A$42:$E$53,5,0),"")</f>
        <v/>
      </c>
      <c r="K988" s="164"/>
      <c r="L988" s="50"/>
      <c r="M988" s="116"/>
      <c r="N988" s="116"/>
      <c r="O988" s="57">
        <f>(IGA_BD[[#This Row],[Work Start TimeStamp]]-IGA_BD[[#This Row],[Fault Start TimeStamp]])*24</f>
        <v>0</v>
      </c>
      <c r="P988" s="44" t="str">
        <f>IF(IGA_BD[[#This Row],[Work Start TimeStamp]]="","",(IGA_BD[[#This Row],[Fault Clearance time]]-IGA_BD[[#This Row],[Work Start TimeStamp]])*24)</f>
        <v/>
      </c>
      <c r="Q988" s="57">
        <f>(IGA_BD[[#This Row],[Fault Clearance time]]-IGA_BD[[#This Row],[Fault Start TimeStamp]])*24</f>
        <v>0</v>
      </c>
      <c r="R988" s="153"/>
      <c r="S988" s="44"/>
      <c r="T988" s="45" t="str">
        <f>IFERROR(IGA_BD[[#This Row],[Breakdown Time]]*IGA_BD[[#This Row],[Plant Equivalent Weightage]],"")</f>
        <v/>
      </c>
    </row>
    <row r="989" spans="1:20">
      <c r="A989" s="28"/>
      <c r="B989" s="154"/>
      <c r="C989" s="30">
        <f>YEAR(WTG_BD[[#This Row],[Date]])+IF(MONTH(WTG_BD[[#This Row],[Date]])&gt;=4,1,0)</f>
        <v>1900</v>
      </c>
      <c r="D989" s="31">
        <f>YEAR(IGA_BD[[#This Row],[Date]])</f>
        <v>1900</v>
      </c>
      <c r="E989" s="48">
        <f t="shared" si="18"/>
        <v>1</v>
      </c>
      <c r="F989" s="32"/>
      <c r="G989" s="33"/>
      <c r="H989" s="43" t="str">
        <f>IFERROR(VLOOKUP(IGA_BD[[#This Row],[Affected Feeder ]],'Basic Data'!$A$42:$E$53,2,0),"")</f>
        <v/>
      </c>
      <c r="I989" s="43" t="str">
        <f>IFERROR(VLOOKUP(IGA_BD[[#This Row],[Affected Feeder ]],'Basic Data'!$A$42:$E$53,3,0),"")</f>
        <v/>
      </c>
      <c r="J989" s="43" t="str">
        <f>IFERROR(VLOOKUP(IGA_BD[[#This Row],[Affected Feeder ]],'Basic Data'!$A$42:$E$53,5,0),"")</f>
        <v/>
      </c>
      <c r="K989" s="164"/>
      <c r="L989" s="50"/>
      <c r="M989" s="116"/>
      <c r="N989" s="116"/>
      <c r="O989" s="57">
        <f>(IGA_BD[[#This Row],[Work Start TimeStamp]]-IGA_BD[[#This Row],[Fault Start TimeStamp]])*24</f>
        <v>0</v>
      </c>
      <c r="P989" s="44" t="str">
        <f>IF(IGA_BD[[#This Row],[Work Start TimeStamp]]="","",(IGA_BD[[#This Row],[Fault Clearance time]]-IGA_BD[[#This Row],[Work Start TimeStamp]])*24)</f>
        <v/>
      </c>
      <c r="Q989" s="57">
        <f>(IGA_BD[[#This Row],[Fault Clearance time]]-IGA_BD[[#This Row],[Fault Start TimeStamp]])*24</f>
        <v>0</v>
      </c>
      <c r="R989" s="153"/>
      <c r="S989" s="44"/>
      <c r="T989" s="45" t="str">
        <f>IFERROR(IGA_BD[[#This Row],[Breakdown Time]]*IGA_BD[[#This Row],[Plant Equivalent Weightage]],"")</f>
        <v/>
      </c>
    </row>
    <row r="990" spans="1:20">
      <c r="A990" s="28"/>
      <c r="B990" s="154"/>
      <c r="C990" s="30">
        <f>YEAR(WTG_BD[[#This Row],[Date]])+IF(MONTH(WTG_BD[[#This Row],[Date]])&gt;=4,1,0)</f>
        <v>1900</v>
      </c>
      <c r="D990" s="31">
        <f>YEAR(IGA_BD[[#This Row],[Date]])</f>
        <v>1900</v>
      </c>
      <c r="E990" s="48">
        <f t="shared" si="18"/>
        <v>1</v>
      </c>
      <c r="F990" s="32"/>
      <c r="G990" s="33"/>
      <c r="H990" s="43" t="str">
        <f>IFERROR(VLOOKUP(IGA_BD[[#This Row],[Affected Feeder ]],'Basic Data'!$A$42:$E$53,2,0),"")</f>
        <v/>
      </c>
      <c r="I990" s="43" t="str">
        <f>IFERROR(VLOOKUP(IGA_BD[[#This Row],[Affected Feeder ]],'Basic Data'!$A$42:$E$53,3,0),"")</f>
        <v/>
      </c>
      <c r="J990" s="43" t="str">
        <f>IFERROR(VLOOKUP(IGA_BD[[#This Row],[Affected Feeder ]],'Basic Data'!$A$42:$E$53,5,0),"")</f>
        <v/>
      </c>
      <c r="K990" s="164"/>
      <c r="L990" s="50"/>
      <c r="M990" s="116"/>
      <c r="N990" s="116"/>
      <c r="O990" s="57">
        <f>(IGA_BD[[#This Row],[Work Start TimeStamp]]-IGA_BD[[#This Row],[Fault Start TimeStamp]])*24</f>
        <v>0</v>
      </c>
      <c r="P990" s="44" t="str">
        <f>IF(IGA_BD[[#This Row],[Work Start TimeStamp]]="","",(IGA_BD[[#This Row],[Fault Clearance time]]-IGA_BD[[#This Row],[Work Start TimeStamp]])*24)</f>
        <v/>
      </c>
      <c r="Q990" s="57">
        <f>(IGA_BD[[#This Row],[Fault Clearance time]]-IGA_BD[[#This Row],[Fault Start TimeStamp]])*24</f>
        <v>0</v>
      </c>
      <c r="R990" s="153"/>
      <c r="S990" s="44"/>
      <c r="T990" s="45" t="str">
        <f>IFERROR(IGA_BD[[#This Row],[Breakdown Time]]*IGA_BD[[#This Row],[Plant Equivalent Weightage]],"")</f>
        <v/>
      </c>
    </row>
    <row r="991" spans="1:20">
      <c r="A991" s="28"/>
      <c r="B991" s="154"/>
      <c r="C991" s="30">
        <f>YEAR(WTG_BD[[#This Row],[Date]])+IF(MONTH(WTG_BD[[#This Row],[Date]])&gt;=4,1,0)</f>
        <v>1900</v>
      </c>
      <c r="D991" s="31">
        <f>YEAR(IGA_BD[[#This Row],[Date]])</f>
        <v>1900</v>
      </c>
      <c r="E991" s="48">
        <f t="shared" si="18"/>
        <v>1</v>
      </c>
      <c r="F991" s="32"/>
      <c r="G991" s="33"/>
      <c r="H991" s="43" t="str">
        <f>IFERROR(VLOOKUP(IGA_BD[[#This Row],[Affected Feeder ]],'Basic Data'!$A$42:$E$53,2,0),"")</f>
        <v/>
      </c>
      <c r="I991" s="43" t="str">
        <f>IFERROR(VLOOKUP(IGA_BD[[#This Row],[Affected Feeder ]],'Basic Data'!$A$42:$E$53,3,0),"")</f>
        <v/>
      </c>
      <c r="J991" s="43" t="str">
        <f>IFERROR(VLOOKUP(IGA_BD[[#This Row],[Affected Feeder ]],'Basic Data'!$A$42:$E$53,5,0),"")</f>
        <v/>
      </c>
      <c r="K991" s="164"/>
      <c r="L991" s="50"/>
      <c r="M991" s="116"/>
      <c r="N991" s="116"/>
      <c r="O991" s="57">
        <f>(IGA_BD[[#This Row],[Work Start TimeStamp]]-IGA_BD[[#This Row],[Fault Start TimeStamp]])*24</f>
        <v>0</v>
      </c>
      <c r="P991" s="44" t="str">
        <f>IF(IGA_BD[[#This Row],[Work Start TimeStamp]]="","",(IGA_BD[[#This Row],[Fault Clearance time]]-IGA_BD[[#This Row],[Work Start TimeStamp]])*24)</f>
        <v/>
      </c>
      <c r="Q991" s="57">
        <f>(IGA_BD[[#This Row],[Fault Clearance time]]-IGA_BD[[#This Row],[Fault Start TimeStamp]])*24</f>
        <v>0</v>
      </c>
      <c r="R991" s="153"/>
      <c r="S991" s="44"/>
      <c r="T991" s="45" t="str">
        <f>IFERROR(IGA_BD[[#This Row],[Breakdown Time]]*IGA_BD[[#This Row],[Plant Equivalent Weightage]],"")</f>
        <v/>
      </c>
    </row>
    <row r="992" spans="1:20">
      <c r="A992" s="28"/>
      <c r="B992" s="154"/>
      <c r="C992" s="30">
        <f>YEAR(WTG_BD[[#This Row],[Date]])+IF(MONTH(WTG_BD[[#This Row],[Date]])&gt;=4,1,0)</f>
        <v>1900</v>
      </c>
      <c r="D992" s="31">
        <f>YEAR(IGA_BD[[#This Row],[Date]])</f>
        <v>1900</v>
      </c>
      <c r="E992" s="48">
        <f t="shared" si="18"/>
        <v>1</v>
      </c>
      <c r="F992" s="32"/>
      <c r="G992" s="33"/>
      <c r="H992" s="43" t="str">
        <f>IFERROR(VLOOKUP(IGA_BD[[#This Row],[Affected Feeder ]],'Basic Data'!$A$42:$E$53,2,0),"")</f>
        <v/>
      </c>
      <c r="I992" s="43" t="str">
        <f>IFERROR(VLOOKUP(IGA_BD[[#This Row],[Affected Feeder ]],'Basic Data'!$A$42:$E$53,3,0),"")</f>
        <v/>
      </c>
      <c r="J992" s="43" t="str">
        <f>IFERROR(VLOOKUP(IGA_BD[[#This Row],[Affected Feeder ]],'Basic Data'!$A$42:$E$53,5,0),"")</f>
        <v/>
      </c>
      <c r="K992" s="164"/>
      <c r="L992" s="50"/>
      <c r="M992" s="116"/>
      <c r="N992" s="116"/>
      <c r="O992" s="57">
        <f>(IGA_BD[[#This Row],[Work Start TimeStamp]]-IGA_BD[[#This Row],[Fault Start TimeStamp]])*24</f>
        <v>0</v>
      </c>
      <c r="P992" s="44" t="str">
        <f>IF(IGA_BD[[#This Row],[Work Start TimeStamp]]="","",(IGA_BD[[#This Row],[Fault Clearance time]]-IGA_BD[[#This Row],[Work Start TimeStamp]])*24)</f>
        <v/>
      </c>
      <c r="Q992" s="57">
        <f>(IGA_BD[[#This Row],[Fault Clearance time]]-IGA_BD[[#This Row],[Fault Start TimeStamp]])*24</f>
        <v>0</v>
      </c>
      <c r="R992" s="153"/>
      <c r="S992" s="44"/>
      <c r="T992" s="45" t="str">
        <f>IFERROR(IGA_BD[[#This Row],[Breakdown Time]]*IGA_BD[[#This Row],[Plant Equivalent Weightage]],"")</f>
        <v/>
      </c>
    </row>
    <row r="993" spans="1:20">
      <c r="A993" s="28"/>
      <c r="B993" s="154"/>
      <c r="C993" s="30">
        <f>YEAR(WTG_BD[[#This Row],[Date]])+IF(MONTH(WTG_BD[[#This Row],[Date]])&gt;=4,1,0)</f>
        <v>1900</v>
      </c>
      <c r="D993" s="31">
        <f>YEAR(IGA_BD[[#This Row],[Date]])</f>
        <v>1900</v>
      </c>
      <c r="E993" s="48">
        <f t="shared" si="18"/>
        <v>1</v>
      </c>
      <c r="F993" s="32"/>
      <c r="G993" s="33"/>
      <c r="H993" s="43" t="str">
        <f>IFERROR(VLOOKUP(IGA_BD[[#This Row],[Affected Feeder ]],'Basic Data'!$A$42:$E$53,2,0),"")</f>
        <v/>
      </c>
      <c r="I993" s="43" t="str">
        <f>IFERROR(VLOOKUP(IGA_BD[[#This Row],[Affected Feeder ]],'Basic Data'!$A$42:$E$53,3,0),"")</f>
        <v/>
      </c>
      <c r="J993" s="43" t="str">
        <f>IFERROR(VLOOKUP(IGA_BD[[#This Row],[Affected Feeder ]],'Basic Data'!$A$42:$E$53,5,0),"")</f>
        <v/>
      </c>
      <c r="K993" s="164"/>
      <c r="L993" s="50"/>
      <c r="M993" s="116"/>
      <c r="N993" s="116"/>
      <c r="O993" s="57">
        <f>(IGA_BD[[#This Row],[Work Start TimeStamp]]-IGA_BD[[#This Row],[Fault Start TimeStamp]])*24</f>
        <v>0</v>
      </c>
      <c r="P993" s="44" t="str">
        <f>IF(IGA_BD[[#This Row],[Work Start TimeStamp]]="","",(IGA_BD[[#This Row],[Fault Clearance time]]-IGA_BD[[#This Row],[Work Start TimeStamp]])*24)</f>
        <v/>
      </c>
      <c r="Q993" s="57">
        <f>(IGA_BD[[#This Row],[Fault Clearance time]]-IGA_BD[[#This Row],[Fault Start TimeStamp]])*24</f>
        <v>0</v>
      </c>
      <c r="R993" s="153"/>
      <c r="S993" s="44"/>
      <c r="T993" s="45" t="str">
        <f>IFERROR(IGA_BD[[#This Row],[Breakdown Time]]*IGA_BD[[#This Row],[Plant Equivalent Weightage]],"")</f>
        <v/>
      </c>
    </row>
    <row r="994" spans="1:20">
      <c r="A994" s="28"/>
      <c r="B994" s="154"/>
      <c r="C994" s="30">
        <f>YEAR(WTG_BD[[#This Row],[Date]])+IF(MONTH(WTG_BD[[#This Row],[Date]])&gt;=4,1,0)</f>
        <v>1900</v>
      </c>
      <c r="D994" s="31">
        <f>YEAR(IGA_BD[[#This Row],[Date]])</f>
        <v>1900</v>
      </c>
      <c r="E994" s="48">
        <f t="shared" si="18"/>
        <v>1</v>
      </c>
      <c r="F994" s="32"/>
      <c r="G994" s="33"/>
      <c r="H994" s="43" t="str">
        <f>IFERROR(VLOOKUP(IGA_BD[[#This Row],[Affected Feeder ]],'Basic Data'!$A$42:$E$53,2,0),"")</f>
        <v/>
      </c>
      <c r="I994" s="43" t="str">
        <f>IFERROR(VLOOKUP(IGA_BD[[#This Row],[Affected Feeder ]],'Basic Data'!$A$42:$E$53,3,0),"")</f>
        <v/>
      </c>
      <c r="J994" s="43" t="str">
        <f>IFERROR(VLOOKUP(IGA_BD[[#This Row],[Affected Feeder ]],'Basic Data'!$A$42:$E$53,5,0),"")</f>
        <v/>
      </c>
      <c r="K994" s="164"/>
      <c r="L994" s="50"/>
      <c r="M994" s="116"/>
      <c r="N994" s="116"/>
      <c r="O994" s="57">
        <f>(IGA_BD[[#This Row],[Work Start TimeStamp]]-IGA_BD[[#This Row],[Fault Start TimeStamp]])*24</f>
        <v>0</v>
      </c>
      <c r="P994" s="44" t="str">
        <f>IF(IGA_BD[[#This Row],[Work Start TimeStamp]]="","",(IGA_BD[[#This Row],[Fault Clearance time]]-IGA_BD[[#This Row],[Work Start TimeStamp]])*24)</f>
        <v/>
      </c>
      <c r="Q994" s="57">
        <f>(IGA_BD[[#This Row],[Fault Clearance time]]-IGA_BD[[#This Row],[Fault Start TimeStamp]])*24</f>
        <v>0</v>
      </c>
      <c r="R994" s="153"/>
      <c r="S994" s="44"/>
      <c r="T994" s="45" t="str">
        <f>IFERROR(IGA_BD[[#This Row],[Breakdown Time]]*IGA_BD[[#This Row],[Plant Equivalent Weightage]],"")</f>
        <v/>
      </c>
    </row>
    <row r="995" spans="1:20">
      <c r="A995" s="28"/>
      <c r="B995" s="154"/>
      <c r="C995" s="30">
        <f>YEAR(WTG_BD[[#This Row],[Date]])+IF(MONTH(WTG_BD[[#This Row],[Date]])&gt;=4,1,0)</f>
        <v>1900</v>
      </c>
      <c r="D995" s="31">
        <f>YEAR(IGA_BD[[#This Row],[Date]])</f>
        <v>1900</v>
      </c>
      <c r="E995" s="48">
        <f t="shared" si="18"/>
        <v>1</v>
      </c>
      <c r="F995" s="32"/>
      <c r="G995" s="33"/>
      <c r="H995" s="43" t="str">
        <f>IFERROR(VLOOKUP(IGA_BD[[#This Row],[Affected Feeder ]],'Basic Data'!$A$42:$E$53,2,0),"")</f>
        <v/>
      </c>
      <c r="I995" s="43" t="str">
        <f>IFERROR(VLOOKUP(IGA_BD[[#This Row],[Affected Feeder ]],'Basic Data'!$A$42:$E$53,3,0),"")</f>
        <v/>
      </c>
      <c r="J995" s="43" t="str">
        <f>IFERROR(VLOOKUP(IGA_BD[[#This Row],[Affected Feeder ]],'Basic Data'!$A$42:$E$53,5,0),"")</f>
        <v/>
      </c>
      <c r="K995" s="164"/>
      <c r="L995" s="50"/>
      <c r="M995" s="116"/>
      <c r="N995" s="116"/>
      <c r="O995" s="57">
        <f>(IGA_BD[[#This Row],[Work Start TimeStamp]]-IGA_BD[[#This Row],[Fault Start TimeStamp]])*24</f>
        <v>0</v>
      </c>
      <c r="P995" s="44" t="str">
        <f>IF(IGA_BD[[#This Row],[Work Start TimeStamp]]="","",(IGA_BD[[#This Row],[Fault Clearance time]]-IGA_BD[[#This Row],[Work Start TimeStamp]])*24)</f>
        <v/>
      </c>
      <c r="Q995" s="57">
        <f>(IGA_BD[[#This Row],[Fault Clearance time]]-IGA_BD[[#This Row],[Fault Start TimeStamp]])*24</f>
        <v>0</v>
      </c>
      <c r="R995" s="153"/>
      <c r="S995" s="44"/>
      <c r="T995" s="45" t="str">
        <f>IFERROR(IGA_BD[[#This Row],[Breakdown Time]]*IGA_BD[[#This Row],[Plant Equivalent Weightage]],"")</f>
        <v/>
      </c>
    </row>
    <row r="996" spans="1:20">
      <c r="A996" s="28"/>
      <c r="B996" s="154"/>
      <c r="C996" s="30">
        <f>YEAR(WTG_BD[[#This Row],[Date]])+IF(MONTH(WTG_BD[[#This Row],[Date]])&gt;=4,1,0)</f>
        <v>1900</v>
      </c>
      <c r="D996" s="31">
        <f>YEAR(IGA_BD[[#This Row],[Date]])</f>
        <v>1900</v>
      </c>
      <c r="E996" s="48">
        <f t="shared" si="18"/>
        <v>1</v>
      </c>
      <c r="F996" s="32"/>
      <c r="G996" s="33"/>
      <c r="H996" s="43" t="str">
        <f>IFERROR(VLOOKUP(IGA_BD[[#This Row],[Affected Feeder ]],'Basic Data'!$A$42:$E$53,2,0),"")</f>
        <v/>
      </c>
      <c r="I996" s="43" t="str">
        <f>IFERROR(VLOOKUP(IGA_BD[[#This Row],[Affected Feeder ]],'Basic Data'!$A$42:$E$53,3,0),"")</f>
        <v/>
      </c>
      <c r="J996" s="43" t="str">
        <f>IFERROR(VLOOKUP(IGA_BD[[#This Row],[Affected Feeder ]],'Basic Data'!$A$42:$E$53,5,0),"")</f>
        <v/>
      </c>
      <c r="K996" s="164"/>
      <c r="L996" s="50"/>
      <c r="M996" s="116"/>
      <c r="N996" s="116"/>
      <c r="O996" s="57">
        <f>(IGA_BD[[#This Row],[Work Start TimeStamp]]-IGA_BD[[#This Row],[Fault Start TimeStamp]])*24</f>
        <v>0</v>
      </c>
      <c r="P996" s="44" t="str">
        <f>IF(IGA_BD[[#This Row],[Work Start TimeStamp]]="","",(IGA_BD[[#This Row],[Fault Clearance time]]-IGA_BD[[#This Row],[Work Start TimeStamp]])*24)</f>
        <v/>
      </c>
      <c r="Q996" s="57">
        <f>(IGA_BD[[#This Row],[Fault Clearance time]]-IGA_BD[[#This Row],[Fault Start TimeStamp]])*24</f>
        <v>0</v>
      </c>
      <c r="R996" s="153"/>
      <c r="S996" s="44"/>
      <c r="T996" s="45" t="str">
        <f>IFERROR(IGA_BD[[#This Row],[Breakdown Time]]*IGA_BD[[#This Row],[Plant Equivalent Weightage]],"")</f>
        <v/>
      </c>
    </row>
    <row r="997" spans="1:20">
      <c r="A997" s="28"/>
      <c r="B997" s="154"/>
      <c r="C997" s="30">
        <f>YEAR(WTG_BD[[#This Row],[Date]])+IF(MONTH(WTG_BD[[#This Row],[Date]])&gt;=4,1,0)</f>
        <v>1900</v>
      </c>
      <c r="D997" s="31">
        <f>YEAR(IGA_BD[[#This Row],[Date]])</f>
        <v>1900</v>
      </c>
      <c r="E997" s="48">
        <f t="shared" si="18"/>
        <v>1</v>
      </c>
      <c r="F997" s="32"/>
      <c r="G997" s="33"/>
      <c r="H997" s="43" t="str">
        <f>IFERROR(VLOOKUP(IGA_BD[[#This Row],[Affected Feeder ]],'Basic Data'!$A$42:$E$53,2,0),"")</f>
        <v/>
      </c>
      <c r="I997" s="43" t="str">
        <f>IFERROR(VLOOKUP(IGA_BD[[#This Row],[Affected Feeder ]],'Basic Data'!$A$42:$E$53,3,0),"")</f>
        <v/>
      </c>
      <c r="J997" s="43" t="str">
        <f>IFERROR(VLOOKUP(IGA_BD[[#This Row],[Affected Feeder ]],'Basic Data'!$A$42:$E$53,5,0),"")</f>
        <v/>
      </c>
      <c r="K997" s="164"/>
      <c r="L997" s="50"/>
      <c r="M997" s="116"/>
      <c r="N997" s="116"/>
      <c r="O997" s="57">
        <f>(IGA_BD[[#This Row],[Work Start TimeStamp]]-IGA_BD[[#This Row],[Fault Start TimeStamp]])*24</f>
        <v>0</v>
      </c>
      <c r="P997" s="44" t="str">
        <f>IF(IGA_BD[[#This Row],[Work Start TimeStamp]]="","",(IGA_BD[[#This Row],[Fault Clearance time]]-IGA_BD[[#This Row],[Work Start TimeStamp]])*24)</f>
        <v/>
      </c>
      <c r="Q997" s="57">
        <f>(IGA_BD[[#This Row],[Fault Clearance time]]-IGA_BD[[#This Row],[Fault Start TimeStamp]])*24</f>
        <v>0</v>
      </c>
      <c r="R997" s="153"/>
      <c r="S997" s="44"/>
      <c r="T997" s="45" t="str">
        <f>IFERROR(IGA_BD[[#This Row],[Breakdown Time]]*IGA_BD[[#This Row],[Plant Equivalent Weightage]],"")</f>
        <v/>
      </c>
    </row>
    <row r="998" spans="1:20">
      <c r="A998" s="28"/>
      <c r="B998" s="154"/>
      <c r="C998" s="30">
        <f>YEAR(WTG_BD[[#This Row],[Date]])+IF(MONTH(WTG_BD[[#This Row],[Date]])&gt;=4,1,0)</f>
        <v>1900</v>
      </c>
      <c r="D998" s="31">
        <f>YEAR(IGA_BD[[#This Row],[Date]])</f>
        <v>1900</v>
      </c>
      <c r="E998" s="48">
        <f t="shared" si="18"/>
        <v>1</v>
      </c>
      <c r="F998" s="32"/>
      <c r="G998" s="33"/>
      <c r="H998" s="43" t="str">
        <f>IFERROR(VLOOKUP(IGA_BD[[#This Row],[Affected Feeder ]],'Basic Data'!$A$42:$E$53,2,0),"")</f>
        <v/>
      </c>
      <c r="I998" s="43" t="str">
        <f>IFERROR(VLOOKUP(IGA_BD[[#This Row],[Affected Feeder ]],'Basic Data'!$A$42:$E$53,3,0),"")</f>
        <v/>
      </c>
      <c r="J998" s="43" t="str">
        <f>IFERROR(VLOOKUP(IGA_BD[[#This Row],[Affected Feeder ]],'Basic Data'!$A$42:$E$53,5,0),"")</f>
        <v/>
      </c>
      <c r="K998" s="164"/>
      <c r="L998" s="50"/>
      <c r="M998" s="116"/>
      <c r="N998" s="116"/>
      <c r="O998" s="57">
        <f>(IGA_BD[[#This Row],[Work Start TimeStamp]]-IGA_BD[[#This Row],[Fault Start TimeStamp]])*24</f>
        <v>0</v>
      </c>
      <c r="P998" s="44" t="str">
        <f>IF(IGA_BD[[#This Row],[Work Start TimeStamp]]="","",(IGA_BD[[#This Row],[Fault Clearance time]]-IGA_BD[[#This Row],[Work Start TimeStamp]])*24)</f>
        <v/>
      </c>
      <c r="Q998" s="57">
        <f>(IGA_BD[[#This Row],[Fault Clearance time]]-IGA_BD[[#This Row],[Fault Start TimeStamp]])*24</f>
        <v>0</v>
      </c>
      <c r="R998" s="153"/>
      <c r="S998" s="44"/>
      <c r="T998" s="45" t="str">
        <f>IFERROR(IGA_BD[[#This Row],[Breakdown Time]]*IGA_BD[[#This Row],[Plant Equivalent Weightage]],"")</f>
        <v/>
      </c>
    </row>
    <row r="999" spans="1:20">
      <c r="A999" s="28"/>
      <c r="B999" s="154"/>
      <c r="C999" s="30">
        <f>YEAR(WTG_BD[[#This Row],[Date]])+IF(MONTH(WTG_BD[[#This Row],[Date]])&gt;=4,1,0)</f>
        <v>1900</v>
      </c>
      <c r="D999" s="31">
        <f>YEAR(IGA_BD[[#This Row],[Date]])</f>
        <v>1900</v>
      </c>
      <c r="E999" s="48">
        <f t="shared" si="18"/>
        <v>1</v>
      </c>
      <c r="F999" s="32"/>
      <c r="G999" s="33"/>
      <c r="H999" s="43" t="str">
        <f>IFERROR(VLOOKUP(IGA_BD[[#This Row],[Affected Feeder ]],'Basic Data'!$A$42:$E$53,2,0),"")</f>
        <v/>
      </c>
      <c r="I999" s="43" t="str">
        <f>IFERROR(VLOOKUP(IGA_BD[[#This Row],[Affected Feeder ]],'Basic Data'!$A$42:$E$53,3,0),"")</f>
        <v/>
      </c>
      <c r="J999" s="43" t="str">
        <f>IFERROR(VLOOKUP(IGA_BD[[#This Row],[Affected Feeder ]],'Basic Data'!$A$42:$E$53,5,0),"")</f>
        <v/>
      </c>
      <c r="K999" s="164"/>
      <c r="L999" s="50"/>
      <c r="M999" s="116"/>
      <c r="N999" s="116"/>
      <c r="O999" s="57">
        <f>(IGA_BD[[#This Row],[Work Start TimeStamp]]-IGA_BD[[#This Row],[Fault Start TimeStamp]])*24</f>
        <v>0</v>
      </c>
      <c r="P999" s="44" t="str">
        <f>IF(IGA_BD[[#This Row],[Work Start TimeStamp]]="","",(IGA_BD[[#This Row],[Fault Clearance time]]-IGA_BD[[#This Row],[Work Start TimeStamp]])*24)</f>
        <v/>
      </c>
      <c r="Q999" s="57">
        <f>(IGA_BD[[#This Row],[Fault Clearance time]]-IGA_BD[[#This Row],[Fault Start TimeStamp]])*24</f>
        <v>0</v>
      </c>
      <c r="R999" s="153"/>
      <c r="S999" s="44"/>
      <c r="T999" s="45" t="str">
        <f>IFERROR(IGA_BD[[#This Row],[Breakdown Time]]*IGA_BD[[#This Row],[Plant Equivalent Weightage]],"")</f>
        <v/>
      </c>
    </row>
    <row r="1000" spans="1:20">
      <c r="A1000" s="28"/>
      <c r="B1000" s="154"/>
      <c r="C1000" s="30">
        <f>YEAR(WTG_BD[[#This Row],[Date]])+IF(MONTH(WTG_BD[[#This Row],[Date]])&gt;=4,1,0)</f>
        <v>1900</v>
      </c>
      <c r="D1000" s="31">
        <f>YEAR(IGA_BD[[#This Row],[Date]])</f>
        <v>1900</v>
      </c>
      <c r="E1000" s="48">
        <f t="shared" si="18"/>
        <v>1</v>
      </c>
      <c r="F1000" s="32"/>
      <c r="G1000" s="33"/>
      <c r="H1000" s="43" t="str">
        <f>IFERROR(VLOOKUP(IGA_BD[[#This Row],[Affected Feeder ]],'Basic Data'!$A$42:$E$53,2,0),"")</f>
        <v/>
      </c>
      <c r="I1000" s="43" t="str">
        <f>IFERROR(VLOOKUP(IGA_BD[[#This Row],[Affected Feeder ]],'Basic Data'!$A$42:$E$53,3,0),"")</f>
        <v/>
      </c>
      <c r="J1000" s="43" t="str">
        <f>IFERROR(VLOOKUP(IGA_BD[[#This Row],[Affected Feeder ]],'Basic Data'!$A$42:$E$53,5,0),"")</f>
        <v/>
      </c>
      <c r="K1000" s="164"/>
      <c r="L1000" s="50"/>
      <c r="M1000" s="116"/>
      <c r="N1000" s="116"/>
      <c r="O1000" s="57">
        <f>(IGA_BD[[#This Row],[Work Start TimeStamp]]-IGA_BD[[#This Row],[Fault Start TimeStamp]])*24</f>
        <v>0</v>
      </c>
      <c r="P1000" s="44" t="str">
        <f>IF(IGA_BD[[#This Row],[Work Start TimeStamp]]="","",(IGA_BD[[#This Row],[Fault Clearance time]]-IGA_BD[[#This Row],[Work Start TimeStamp]])*24)</f>
        <v/>
      </c>
      <c r="Q1000" s="57">
        <f>(IGA_BD[[#This Row],[Fault Clearance time]]-IGA_BD[[#This Row],[Fault Start TimeStamp]])*24</f>
        <v>0</v>
      </c>
      <c r="R1000" s="153"/>
      <c r="S1000" s="44"/>
      <c r="T1000" s="45" t="str">
        <f>IFERROR(IGA_BD[[#This Row],[Breakdown Time]]*IGA_BD[[#This Row],[Plant Equivalent Weightage]],"")</f>
        <v/>
      </c>
    </row>
    <row r="1001" spans="1:20">
      <c r="A1001" s="28"/>
      <c r="B1001" s="154"/>
      <c r="C1001" s="30">
        <f>YEAR(WTG_BD[[#This Row],[Date]])+IF(MONTH(WTG_BD[[#This Row],[Date]])&gt;=4,1,0)</f>
        <v>1900</v>
      </c>
      <c r="D1001" s="31">
        <f>YEAR(IGA_BD[[#This Row],[Date]])</f>
        <v>1900</v>
      </c>
      <c r="E1001" s="48">
        <f t="shared" si="18"/>
        <v>1</v>
      </c>
      <c r="F1001" s="32"/>
      <c r="G1001" s="33"/>
      <c r="H1001" s="43" t="str">
        <f>IFERROR(VLOOKUP(IGA_BD[[#This Row],[Affected Feeder ]],'Basic Data'!$A$42:$E$53,2,0),"")</f>
        <v/>
      </c>
      <c r="I1001" s="43" t="str">
        <f>IFERROR(VLOOKUP(IGA_BD[[#This Row],[Affected Feeder ]],'Basic Data'!$A$42:$E$53,3,0),"")</f>
        <v/>
      </c>
      <c r="J1001" s="43" t="str">
        <f>IFERROR(VLOOKUP(IGA_BD[[#This Row],[Affected Feeder ]],'Basic Data'!$A$42:$E$53,5,0),"")</f>
        <v/>
      </c>
      <c r="K1001" s="164"/>
      <c r="L1001" s="50"/>
      <c r="M1001" s="116"/>
      <c r="N1001" s="116"/>
      <c r="O1001" s="57">
        <f>(IGA_BD[[#This Row],[Work Start TimeStamp]]-IGA_BD[[#This Row],[Fault Start TimeStamp]])*24</f>
        <v>0</v>
      </c>
      <c r="P1001" s="44" t="str">
        <f>IF(IGA_BD[[#This Row],[Work Start TimeStamp]]="","",(IGA_BD[[#This Row],[Fault Clearance time]]-IGA_BD[[#This Row],[Work Start TimeStamp]])*24)</f>
        <v/>
      </c>
      <c r="Q1001" s="57">
        <f>(IGA_BD[[#This Row],[Fault Clearance time]]-IGA_BD[[#This Row],[Fault Start TimeStamp]])*24</f>
        <v>0</v>
      </c>
      <c r="R1001" s="153"/>
      <c r="S1001" s="44"/>
      <c r="T1001" s="45" t="str">
        <f>IFERROR(IGA_BD[[#This Row],[Breakdown Time]]*IGA_BD[[#This Row],[Plant Equivalent Weightage]],"")</f>
        <v/>
      </c>
    </row>
    <row r="1002" spans="1:20">
      <c r="A1002" s="28"/>
      <c r="B1002" s="154"/>
      <c r="C1002" s="30">
        <f>YEAR(WTG_BD[[#This Row],[Date]])+IF(MONTH(WTG_BD[[#This Row],[Date]])&gt;=4,1,0)</f>
        <v>1900</v>
      </c>
      <c r="D1002" s="31">
        <f>YEAR(IGA_BD[[#This Row],[Date]])</f>
        <v>1900</v>
      </c>
      <c r="E1002" s="48">
        <f t="shared" si="18"/>
        <v>1</v>
      </c>
      <c r="F1002" s="32"/>
      <c r="G1002" s="33"/>
      <c r="H1002" s="43" t="str">
        <f>IFERROR(VLOOKUP(IGA_BD[[#This Row],[Affected Feeder ]],'Basic Data'!$A$42:$E$53,2,0),"")</f>
        <v/>
      </c>
      <c r="I1002" s="43" t="str">
        <f>IFERROR(VLOOKUP(IGA_BD[[#This Row],[Affected Feeder ]],'Basic Data'!$A$42:$E$53,3,0),"")</f>
        <v/>
      </c>
      <c r="J1002" s="43" t="str">
        <f>IFERROR(VLOOKUP(IGA_BD[[#This Row],[Affected Feeder ]],'Basic Data'!$A$42:$E$53,5,0),"")</f>
        <v/>
      </c>
      <c r="K1002" s="164"/>
      <c r="L1002" s="50"/>
      <c r="M1002" s="116"/>
      <c r="N1002" s="116"/>
      <c r="O1002" s="57">
        <f>(IGA_BD[[#This Row],[Work Start TimeStamp]]-IGA_BD[[#This Row],[Fault Start TimeStamp]])*24</f>
        <v>0</v>
      </c>
      <c r="P1002" s="44" t="str">
        <f>IF(IGA_BD[[#This Row],[Work Start TimeStamp]]="","",(IGA_BD[[#This Row],[Fault Clearance time]]-IGA_BD[[#This Row],[Work Start TimeStamp]])*24)</f>
        <v/>
      </c>
      <c r="Q1002" s="57">
        <f>(IGA_BD[[#This Row],[Fault Clearance time]]-IGA_BD[[#This Row],[Fault Start TimeStamp]])*24</f>
        <v>0</v>
      </c>
      <c r="R1002" s="153"/>
      <c r="S1002" s="44"/>
      <c r="T1002" s="45" t="str">
        <f>IFERROR(IGA_BD[[#This Row],[Breakdown Time]]*IGA_BD[[#This Row],[Plant Equivalent Weightage]],"")</f>
        <v/>
      </c>
    </row>
    <row r="1003" spans="1:20">
      <c r="A1003" s="28"/>
      <c r="B1003" s="154"/>
      <c r="C1003" s="30">
        <f>YEAR(WTG_BD[[#This Row],[Date]])+IF(MONTH(WTG_BD[[#This Row],[Date]])&gt;=4,1,0)</f>
        <v>1900</v>
      </c>
      <c r="D1003" s="31">
        <f>YEAR(IGA_BD[[#This Row],[Date]])</f>
        <v>1900</v>
      </c>
      <c r="E1003" s="48">
        <f t="shared" si="18"/>
        <v>1</v>
      </c>
      <c r="F1003" s="32"/>
      <c r="G1003" s="33"/>
      <c r="H1003" s="43" t="str">
        <f>IFERROR(VLOOKUP(IGA_BD[[#This Row],[Affected Feeder ]],'Basic Data'!$A$42:$E$53,2,0),"")</f>
        <v/>
      </c>
      <c r="I1003" s="43" t="str">
        <f>IFERROR(VLOOKUP(IGA_BD[[#This Row],[Affected Feeder ]],'Basic Data'!$A$42:$E$53,3,0),"")</f>
        <v/>
      </c>
      <c r="J1003" s="43" t="str">
        <f>IFERROR(VLOOKUP(IGA_BD[[#This Row],[Affected Feeder ]],'Basic Data'!$A$42:$E$53,5,0),"")</f>
        <v/>
      </c>
      <c r="K1003" s="164"/>
      <c r="L1003" s="50"/>
      <c r="M1003" s="116"/>
      <c r="N1003" s="116"/>
      <c r="O1003" s="57">
        <f>(IGA_BD[[#This Row],[Work Start TimeStamp]]-IGA_BD[[#This Row],[Fault Start TimeStamp]])*24</f>
        <v>0</v>
      </c>
      <c r="P1003" s="44" t="str">
        <f>IF(IGA_BD[[#This Row],[Work Start TimeStamp]]="","",(IGA_BD[[#This Row],[Fault Clearance time]]-IGA_BD[[#This Row],[Work Start TimeStamp]])*24)</f>
        <v/>
      </c>
      <c r="Q1003" s="57">
        <f>(IGA_BD[[#This Row],[Fault Clearance time]]-IGA_BD[[#This Row],[Fault Start TimeStamp]])*24</f>
        <v>0</v>
      </c>
      <c r="R1003" s="153"/>
      <c r="S1003" s="44"/>
      <c r="T1003" s="45" t="str">
        <f>IFERROR(IGA_BD[[#This Row],[Breakdown Time]]*IGA_BD[[#This Row],[Plant Equivalent Weightage]],"")</f>
        <v/>
      </c>
    </row>
    <row r="1004" spans="1:20">
      <c r="A1004" s="28"/>
      <c r="B1004" s="154"/>
      <c r="C1004" s="30">
        <f>YEAR(WTG_BD[[#This Row],[Date]])+IF(MONTH(WTG_BD[[#This Row],[Date]])&gt;=4,1,0)</f>
        <v>1900</v>
      </c>
      <c r="D1004" s="31">
        <f>YEAR(IGA_BD[[#This Row],[Date]])</f>
        <v>1900</v>
      </c>
      <c r="E1004" s="48">
        <f t="shared" si="18"/>
        <v>1</v>
      </c>
      <c r="F1004" s="32"/>
      <c r="G1004" s="33"/>
      <c r="H1004" s="43" t="str">
        <f>IFERROR(VLOOKUP(IGA_BD[[#This Row],[Affected Feeder ]],'Basic Data'!$A$42:$E$53,2,0),"")</f>
        <v/>
      </c>
      <c r="I1004" s="43" t="str">
        <f>IFERROR(VLOOKUP(IGA_BD[[#This Row],[Affected Feeder ]],'Basic Data'!$A$42:$E$53,3,0),"")</f>
        <v/>
      </c>
      <c r="J1004" s="43" t="str">
        <f>IFERROR(VLOOKUP(IGA_BD[[#This Row],[Affected Feeder ]],'Basic Data'!$A$42:$E$53,5,0),"")</f>
        <v/>
      </c>
      <c r="K1004" s="164"/>
      <c r="L1004" s="50"/>
      <c r="M1004" s="116"/>
      <c r="N1004" s="116"/>
      <c r="O1004" s="57">
        <f>(IGA_BD[[#This Row],[Work Start TimeStamp]]-IGA_BD[[#This Row],[Fault Start TimeStamp]])*24</f>
        <v>0</v>
      </c>
      <c r="P1004" s="44" t="str">
        <f>IF(IGA_BD[[#This Row],[Work Start TimeStamp]]="","",(IGA_BD[[#This Row],[Fault Clearance time]]-IGA_BD[[#This Row],[Work Start TimeStamp]])*24)</f>
        <v/>
      </c>
      <c r="Q1004" s="57">
        <f>(IGA_BD[[#This Row],[Fault Clearance time]]-IGA_BD[[#This Row],[Fault Start TimeStamp]])*24</f>
        <v>0</v>
      </c>
      <c r="R1004" s="153"/>
      <c r="S1004" s="44"/>
      <c r="T1004" s="45" t="str">
        <f>IFERROR(IGA_BD[[#This Row],[Breakdown Time]]*IGA_BD[[#This Row],[Plant Equivalent Weightage]],"")</f>
        <v/>
      </c>
    </row>
    <row r="1005" spans="1:20">
      <c r="A1005" s="28"/>
      <c r="B1005" s="154"/>
      <c r="C1005" s="30">
        <f>YEAR(WTG_BD[[#This Row],[Date]])+IF(MONTH(WTG_BD[[#This Row],[Date]])&gt;=4,1,0)</f>
        <v>1900</v>
      </c>
      <c r="D1005" s="31">
        <f>YEAR(IGA_BD[[#This Row],[Date]])</f>
        <v>1900</v>
      </c>
      <c r="E1005" s="48">
        <f t="shared" si="18"/>
        <v>1</v>
      </c>
      <c r="F1005" s="32"/>
      <c r="G1005" s="33"/>
      <c r="H1005" s="43" t="str">
        <f>IFERROR(VLOOKUP(IGA_BD[[#This Row],[Affected Feeder ]],'Basic Data'!$A$42:$E$53,2,0),"")</f>
        <v/>
      </c>
      <c r="I1005" s="43" t="str">
        <f>IFERROR(VLOOKUP(IGA_BD[[#This Row],[Affected Feeder ]],'Basic Data'!$A$42:$E$53,3,0),"")</f>
        <v/>
      </c>
      <c r="J1005" s="43" t="str">
        <f>IFERROR(VLOOKUP(IGA_BD[[#This Row],[Affected Feeder ]],'Basic Data'!$A$42:$E$53,5,0),"")</f>
        <v/>
      </c>
      <c r="K1005" s="164"/>
      <c r="L1005" s="50"/>
      <c r="M1005" s="116"/>
      <c r="N1005" s="116"/>
      <c r="O1005" s="57">
        <f>(IGA_BD[[#This Row],[Work Start TimeStamp]]-IGA_BD[[#This Row],[Fault Start TimeStamp]])*24</f>
        <v>0</v>
      </c>
      <c r="P1005" s="44" t="str">
        <f>IF(IGA_BD[[#This Row],[Work Start TimeStamp]]="","",(IGA_BD[[#This Row],[Fault Clearance time]]-IGA_BD[[#This Row],[Work Start TimeStamp]])*24)</f>
        <v/>
      </c>
      <c r="Q1005" s="57">
        <f>(IGA_BD[[#This Row],[Fault Clearance time]]-IGA_BD[[#This Row],[Fault Start TimeStamp]])*24</f>
        <v>0</v>
      </c>
      <c r="R1005" s="153"/>
      <c r="S1005" s="44"/>
      <c r="T1005" s="45" t="str">
        <f>IFERROR(IGA_BD[[#This Row],[Breakdown Time]]*IGA_BD[[#This Row],[Plant Equivalent Weightage]],"")</f>
        <v/>
      </c>
    </row>
    <row r="1006" spans="1:20">
      <c r="A1006" s="28"/>
      <c r="B1006" s="154"/>
      <c r="C1006" s="30">
        <f>YEAR(WTG_BD[[#This Row],[Date]])+IF(MONTH(WTG_BD[[#This Row],[Date]])&gt;=4,1,0)</f>
        <v>1900</v>
      </c>
      <c r="D1006" s="31">
        <f>YEAR(IGA_BD[[#This Row],[Date]])</f>
        <v>1900</v>
      </c>
      <c r="E1006" s="48">
        <f t="shared" si="18"/>
        <v>1</v>
      </c>
      <c r="F1006" s="32"/>
      <c r="G1006" s="33"/>
      <c r="H1006" s="43" t="str">
        <f>IFERROR(VLOOKUP(IGA_BD[[#This Row],[Affected Feeder ]],'Basic Data'!$A$42:$E$53,2,0),"")</f>
        <v/>
      </c>
      <c r="I1006" s="43" t="str">
        <f>IFERROR(VLOOKUP(IGA_BD[[#This Row],[Affected Feeder ]],'Basic Data'!$A$42:$E$53,3,0),"")</f>
        <v/>
      </c>
      <c r="J1006" s="43" t="str">
        <f>IFERROR(VLOOKUP(IGA_BD[[#This Row],[Affected Feeder ]],'Basic Data'!$A$42:$E$53,5,0),"")</f>
        <v/>
      </c>
      <c r="K1006" s="164"/>
      <c r="L1006" s="50"/>
      <c r="M1006" s="116"/>
      <c r="N1006" s="116"/>
      <c r="O1006" s="57">
        <f>(IGA_BD[[#This Row],[Work Start TimeStamp]]-IGA_BD[[#This Row],[Fault Start TimeStamp]])*24</f>
        <v>0</v>
      </c>
      <c r="P1006" s="44" t="str">
        <f>IF(IGA_BD[[#This Row],[Work Start TimeStamp]]="","",(IGA_BD[[#This Row],[Fault Clearance time]]-IGA_BD[[#This Row],[Work Start TimeStamp]])*24)</f>
        <v/>
      </c>
      <c r="Q1006" s="57">
        <f>(IGA_BD[[#This Row],[Fault Clearance time]]-IGA_BD[[#This Row],[Fault Start TimeStamp]])*24</f>
        <v>0</v>
      </c>
      <c r="R1006" s="153"/>
      <c r="S1006" s="44"/>
      <c r="T1006" s="45" t="str">
        <f>IFERROR(IGA_BD[[#This Row],[Breakdown Time]]*IGA_BD[[#This Row],[Plant Equivalent Weightage]],"")</f>
        <v/>
      </c>
    </row>
    <row r="1007" spans="1:20">
      <c r="A1007" s="28"/>
      <c r="B1007" s="154"/>
      <c r="C1007" s="30">
        <f>YEAR(WTG_BD[[#This Row],[Date]])+IF(MONTH(WTG_BD[[#This Row],[Date]])&gt;=4,1,0)</f>
        <v>1900</v>
      </c>
      <c r="D1007" s="31">
        <f>YEAR(IGA_BD[[#This Row],[Date]])</f>
        <v>1900</v>
      </c>
      <c r="E1007" s="48">
        <f t="shared" si="18"/>
        <v>1</v>
      </c>
      <c r="F1007" s="32"/>
      <c r="G1007" s="33"/>
      <c r="H1007" s="43" t="str">
        <f>IFERROR(VLOOKUP(IGA_BD[[#This Row],[Affected Feeder ]],'Basic Data'!$A$42:$E$53,2,0),"")</f>
        <v/>
      </c>
      <c r="I1007" s="43" t="str">
        <f>IFERROR(VLOOKUP(IGA_BD[[#This Row],[Affected Feeder ]],'Basic Data'!$A$42:$E$53,3,0),"")</f>
        <v/>
      </c>
      <c r="J1007" s="43" t="str">
        <f>IFERROR(VLOOKUP(IGA_BD[[#This Row],[Affected Feeder ]],'Basic Data'!$A$42:$E$53,5,0),"")</f>
        <v/>
      </c>
      <c r="K1007" s="164"/>
      <c r="L1007" s="50"/>
      <c r="M1007" s="116"/>
      <c r="N1007" s="116"/>
      <c r="O1007" s="57">
        <f>(IGA_BD[[#This Row],[Work Start TimeStamp]]-IGA_BD[[#This Row],[Fault Start TimeStamp]])*24</f>
        <v>0</v>
      </c>
      <c r="P1007" s="44" t="str">
        <f>IF(IGA_BD[[#This Row],[Work Start TimeStamp]]="","",(IGA_BD[[#This Row],[Fault Clearance time]]-IGA_BD[[#This Row],[Work Start TimeStamp]])*24)</f>
        <v/>
      </c>
      <c r="Q1007" s="57">
        <f>(IGA_BD[[#This Row],[Fault Clearance time]]-IGA_BD[[#This Row],[Fault Start TimeStamp]])*24</f>
        <v>0</v>
      </c>
      <c r="R1007" s="153"/>
      <c r="S1007" s="44"/>
      <c r="T1007" s="45" t="str">
        <f>IFERROR(IGA_BD[[#This Row],[Breakdown Time]]*IGA_BD[[#This Row],[Plant Equivalent Weightage]],"")</f>
        <v/>
      </c>
    </row>
    <row r="1008" spans="1:20">
      <c r="A1008" s="28"/>
      <c r="B1008" s="154"/>
      <c r="C1008" s="30">
        <f>YEAR(WTG_BD[[#This Row],[Date]])+IF(MONTH(WTG_BD[[#This Row],[Date]])&gt;=4,1,0)</f>
        <v>1900</v>
      </c>
      <c r="D1008" s="31">
        <f>YEAR(IGA_BD[[#This Row],[Date]])</f>
        <v>1900</v>
      </c>
      <c r="E1008" s="48">
        <f t="shared" si="18"/>
        <v>1</v>
      </c>
      <c r="F1008" s="32"/>
      <c r="G1008" s="33"/>
      <c r="H1008" s="43" t="str">
        <f>IFERROR(VLOOKUP(IGA_BD[[#This Row],[Affected Feeder ]],'Basic Data'!$A$42:$E$53,2,0),"")</f>
        <v/>
      </c>
      <c r="I1008" s="43" t="str">
        <f>IFERROR(VLOOKUP(IGA_BD[[#This Row],[Affected Feeder ]],'Basic Data'!$A$42:$E$53,3,0),"")</f>
        <v/>
      </c>
      <c r="J1008" s="43" t="str">
        <f>IFERROR(VLOOKUP(IGA_BD[[#This Row],[Affected Feeder ]],'Basic Data'!$A$42:$E$53,5,0),"")</f>
        <v/>
      </c>
      <c r="K1008" s="164"/>
      <c r="L1008" s="50"/>
      <c r="M1008" s="116"/>
      <c r="N1008" s="116"/>
      <c r="O1008" s="57">
        <f>(IGA_BD[[#This Row],[Work Start TimeStamp]]-IGA_BD[[#This Row],[Fault Start TimeStamp]])*24</f>
        <v>0</v>
      </c>
      <c r="P1008" s="44" t="str">
        <f>IF(IGA_BD[[#This Row],[Work Start TimeStamp]]="","",(IGA_BD[[#This Row],[Fault Clearance time]]-IGA_BD[[#This Row],[Work Start TimeStamp]])*24)</f>
        <v/>
      </c>
      <c r="Q1008" s="57">
        <f>(IGA_BD[[#This Row],[Fault Clearance time]]-IGA_BD[[#This Row],[Fault Start TimeStamp]])*24</f>
        <v>0</v>
      </c>
      <c r="R1008" s="153"/>
      <c r="S1008" s="44"/>
      <c r="T1008" s="45" t="str">
        <f>IFERROR(IGA_BD[[#This Row],[Breakdown Time]]*IGA_BD[[#This Row],[Plant Equivalent Weightage]],"")</f>
        <v/>
      </c>
    </row>
    <row r="1009" spans="1:20">
      <c r="A1009" s="28"/>
      <c r="B1009" s="154"/>
      <c r="C1009" s="30">
        <f>YEAR(WTG_BD[[#This Row],[Date]])+IF(MONTH(WTG_BD[[#This Row],[Date]])&gt;=4,1,0)</f>
        <v>1900</v>
      </c>
      <c r="D1009" s="31">
        <f>YEAR(IGA_BD[[#This Row],[Date]])</f>
        <v>1900</v>
      </c>
      <c r="E1009" s="48">
        <f t="shared" si="18"/>
        <v>1</v>
      </c>
      <c r="F1009" s="32"/>
      <c r="G1009" s="33"/>
      <c r="H1009" s="43" t="str">
        <f>IFERROR(VLOOKUP(IGA_BD[[#This Row],[Affected Feeder ]],'Basic Data'!$A$42:$E$53,2,0),"")</f>
        <v/>
      </c>
      <c r="I1009" s="43" t="str">
        <f>IFERROR(VLOOKUP(IGA_BD[[#This Row],[Affected Feeder ]],'Basic Data'!$A$42:$E$53,3,0),"")</f>
        <v/>
      </c>
      <c r="J1009" s="43" t="str">
        <f>IFERROR(VLOOKUP(IGA_BD[[#This Row],[Affected Feeder ]],'Basic Data'!$A$42:$E$53,5,0),"")</f>
        <v/>
      </c>
      <c r="K1009" s="164"/>
      <c r="L1009" s="50"/>
      <c r="M1009" s="116"/>
      <c r="N1009" s="116"/>
      <c r="O1009" s="57">
        <f>(IGA_BD[[#This Row],[Work Start TimeStamp]]-IGA_BD[[#This Row],[Fault Start TimeStamp]])*24</f>
        <v>0</v>
      </c>
      <c r="P1009" s="44" t="str">
        <f>IF(IGA_BD[[#This Row],[Work Start TimeStamp]]="","",(IGA_BD[[#This Row],[Fault Clearance time]]-IGA_BD[[#This Row],[Work Start TimeStamp]])*24)</f>
        <v/>
      </c>
      <c r="Q1009" s="57">
        <f>(IGA_BD[[#This Row],[Fault Clearance time]]-IGA_BD[[#This Row],[Fault Start TimeStamp]])*24</f>
        <v>0</v>
      </c>
      <c r="R1009" s="153"/>
      <c r="S1009" s="44"/>
      <c r="T1009" s="45" t="str">
        <f>IFERROR(IGA_BD[[#This Row],[Breakdown Time]]*IGA_BD[[#This Row],[Plant Equivalent Weightage]],"")</f>
        <v/>
      </c>
    </row>
    <row r="1010" spans="1:20">
      <c r="A1010" s="28"/>
      <c r="B1010" s="154"/>
      <c r="C1010" s="30">
        <f>YEAR(WTG_BD[[#This Row],[Date]])+IF(MONTH(WTG_BD[[#This Row],[Date]])&gt;=4,1,0)</f>
        <v>1900</v>
      </c>
      <c r="D1010" s="31">
        <f>YEAR(IGA_BD[[#This Row],[Date]])</f>
        <v>1900</v>
      </c>
      <c r="E1010" s="48">
        <f t="shared" si="18"/>
        <v>1</v>
      </c>
      <c r="F1010" s="32"/>
      <c r="G1010" s="33"/>
      <c r="H1010" s="43" t="str">
        <f>IFERROR(VLOOKUP(IGA_BD[[#This Row],[Affected Feeder ]],'Basic Data'!$A$42:$E$53,2,0),"")</f>
        <v/>
      </c>
      <c r="I1010" s="43" t="str">
        <f>IFERROR(VLOOKUP(IGA_BD[[#This Row],[Affected Feeder ]],'Basic Data'!$A$42:$E$53,3,0),"")</f>
        <v/>
      </c>
      <c r="J1010" s="43" t="str">
        <f>IFERROR(VLOOKUP(IGA_BD[[#This Row],[Affected Feeder ]],'Basic Data'!$A$42:$E$53,5,0),"")</f>
        <v/>
      </c>
      <c r="K1010" s="164"/>
      <c r="L1010" s="50"/>
      <c r="M1010" s="116"/>
      <c r="N1010" s="116"/>
      <c r="O1010" s="57">
        <f>(IGA_BD[[#This Row],[Work Start TimeStamp]]-IGA_BD[[#This Row],[Fault Start TimeStamp]])*24</f>
        <v>0</v>
      </c>
      <c r="P1010" s="44" t="str">
        <f>IF(IGA_BD[[#This Row],[Work Start TimeStamp]]="","",(IGA_BD[[#This Row],[Fault Clearance time]]-IGA_BD[[#This Row],[Work Start TimeStamp]])*24)</f>
        <v/>
      </c>
      <c r="Q1010" s="57">
        <f>(IGA_BD[[#This Row],[Fault Clearance time]]-IGA_BD[[#This Row],[Fault Start TimeStamp]])*24</f>
        <v>0</v>
      </c>
      <c r="R1010" s="153"/>
      <c r="S1010" s="44"/>
      <c r="T1010" s="45" t="str">
        <f>IFERROR(IGA_BD[[#This Row],[Breakdown Time]]*IGA_BD[[#This Row],[Plant Equivalent Weightage]],"")</f>
        <v/>
      </c>
    </row>
    <row r="1011" spans="1:20">
      <c r="A1011" s="28"/>
      <c r="B1011" s="154"/>
      <c r="C1011" s="30">
        <f>YEAR(WTG_BD[[#This Row],[Date]])+IF(MONTH(WTG_BD[[#This Row],[Date]])&gt;=4,1,0)</f>
        <v>1900</v>
      </c>
      <c r="D1011" s="31">
        <f>YEAR(IGA_BD[[#This Row],[Date]])</f>
        <v>1900</v>
      </c>
      <c r="E1011" s="48">
        <f t="shared" si="18"/>
        <v>1</v>
      </c>
      <c r="F1011" s="32"/>
      <c r="G1011" s="33"/>
      <c r="H1011" s="43" t="str">
        <f>IFERROR(VLOOKUP(IGA_BD[[#This Row],[Affected Feeder ]],'Basic Data'!$A$42:$E$53,2,0),"")</f>
        <v/>
      </c>
      <c r="I1011" s="43" t="str">
        <f>IFERROR(VLOOKUP(IGA_BD[[#This Row],[Affected Feeder ]],'Basic Data'!$A$42:$E$53,3,0),"")</f>
        <v/>
      </c>
      <c r="J1011" s="43" t="str">
        <f>IFERROR(VLOOKUP(IGA_BD[[#This Row],[Affected Feeder ]],'Basic Data'!$A$42:$E$53,5,0),"")</f>
        <v/>
      </c>
      <c r="K1011" s="164"/>
      <c r="L1011" s="50"/>
      <c r="M1011" s="116"/>
      <c r="N1011" s="116"/>
      <c r="O1011" s="57">
        <f>(IGA_BD[[#This Row],[Work Start TimeStamp]]-IGA_BD[[#This Row],[Fault Start TimeStamp]])*24</f>
        <v>0</v>
      </c>
      <c r="P1011" s="44" t="str">
        <f>IF(IGA_BD[[#This Row],[Work Start TimeStamp]]="","",(IGA_BD[[#This Row],[Fault Clearance time]]-IGA_BD[[#This Row],[Work Start TimeStamp]])*24)</f>
        <v/>
      </c>
      <c r="Q1011" s="57">
        <f>(IGA_BD[[#This Row],[Fault Clearance time]]-IGA_BD[[#This Row],[Fault Start TimeStamp]])*24</f>
        <v>0</v>
      </c>
      <c r="R1011" s="153"/>
      <c r="S1011" s="44"/>
      <c r="T1011" s="45" t="str">
        <f>IFERROR(IGA_BD[[#This Row],[Breakdown Time]]*IGA_BD[[#This Row],[Plant Equivalent Weightage]],"")</f>
        <v/>
      </c>
    </row>
    <row r="1012" spans="1:20">
      <c r="A1012" s="28"/>
      <c r="B1012" s="154"/>
      <c r="C1012" s="30">
        <f>YEAR(WTG_BD[[#This Row],[Date]])+IF(MONTH(WTG_BD[[#This Row],[Date]])&gt;=4,1,0)</f>
        <v>1900</v>
      </c>
      <c r="D1012" s="31">
        <f>YEAR(IGA_BD[[#This Row],[Date]])</f>
        <v>1900</v>
      </c>
      <c r="E1012" s="48">
        <f t="shared" si="18"/>
        <v>1</v>
      </c>
      <c r="F1012" s="32"/>
      <c r="G1012" s="33"/>
      <c r="H1012" s="43" t="str">
        <f>IFERROR(VLOOKUP(IGA_BD[[#This Row],[Affected Feeder ]],'Basic Data'!$A$42:$E$53,2,0),"")</f>
        <v/>
      </c>
      <c r="I1012" s="43" t="str">
        <f>IFERROR(VLOOKUP(IGA_BD[[#This Row],[Affected Feeder ]],'Basic Data'!$A$42:$E$53,3,0),"")</f>
        <v/>
      </c>
      <c r="J1012" s="43" t="str">
        <f>IFERROR(VLOOKUP(IGA_BD[[#This Row],[Affected Feeder ]],'Basic Data'!$A$42:$E$53,5,0),"")</f>
        <v/>
      </c>
      <c r="K1012" s="164"/>
      <c r="L1012" s="50"/>
      <c r="M1012" s="116"/>
      <c r="N1012" s="116"/>
      <c r="O1012" s="57">
        <f>(IGA_BD[[#This Row],[Work Start TimeStamp]]-IGA_BD[[#This Row],[Fault Start TimeStamp]])*24</f>
        <v>0</v>
      </c>
      <c r="P1012" s="44" t="str">
        <f>IF(IGA_BD[[#This Row],[Work Start TimeStamp]]="","",(IGA_BD[[#This Row],[Fault Clearance time]]-IGA_BD[[#This Row],[Work Start TimeStamp]])*24)</f>
        <v/>
      </c>
      <c r="Q1012" s="57">
        <f>(IGA_BD[[#This Row],[Fault Clearance time]]-IGA_BD[[#This Row],[Fault Start TimeStamp]])*24</f>
        <v>0</v>
      </c>
      <c r="R1012" s="153"/>
      <c r="S1012" s="44"/>
      <c r="T1012" s="45" t="str">
        <f>IFERROR(IGA_BD[[#This Row],[Breakdown Time]]*IGA_BD[[#This Row],[Plant Equivalent Weightage]],"")</f>
        <v/>
      </c>
    </row>
    <row r="1013" spans="1:20">
      <c r="A1013" s="28"/>
      <c r="B1013" s="154"/>
      <c r="C1013" s="30">
        <f>YEAR(WTG_BD[[#This Row],[Date]])+IF(MONTH(WTG_BD[[#This Row],[Date]])&gt;=4,1,0)</f>
        <v>1900</v>
      </c>
      <c r="D1013" s="31">
        <f>YEAR(IGA_BD[[#This Row],[Date]])</f>
        <v>1900</v>
      </c>
      <c r="E1013" s="48">
        <f t="shared" si="18"/>
        <v>1</v>
      </c>
      <c r="F1013" s="32"/>
      <c r="G1013" s="33"/>
      <c r="H1013" s="43" t="str">
        <f>IFERROR(VLOOKUP(IGA_BD[[#This Row],[Affected Feeder ]],'Basic Data'!$A$42:$E$53,2,0),"")</f>
        <v/>
      </c>
      <c r="I1013" s="43" t="str">
        <f>IFERROR(VLOOKUP(IGA_BD[[#This Row],[Affected Feeder ]],'Basic Data'!$A$42:$E$53,3,0),"")</f>
        <v/>
      </c>
      <c r="J1013" s="43" t="str">
        <f>IFERROR(VLOOKUP(IGA_BD[[#This Row],[Affected Feeder ]],'Basic Data'!$A$42:$E$53,5,0),"")</f>
        <v/>
      </c>
      <c r="K1013" s="164"/>
      <c r="L1013" s="50"/>
      <c r="M1013" s="116"/>
      <c r="N1013" s="116"/>
      <c r="O1013" s="57">
        <f>(IGA_BD[[#This Row],[Work Start TimeStamp]]-IGA_BD[[#This Row],[Fault Start TimeStamp]])*24</f>
        <v>0</v>
      </c>
      <c r="P1013" s="44" t="str">
        <f>IF(IGA_BD[[#This Row],[Work Start TimeStamp]]="","",(IGA_BD[[#This Row],[Fault Clearance time]]-IGA_BD[[#This Row],[Work Start TimeStamp]])*24)</f>
        <v/>
      </c>
      <c r="Q1013" s="57">
        <f>(IGA_BD[[#This Row],[Fault Clearance time]]-IGA_BD[[#This Row],[Fault Start TimeStamp]])*24</f>
        <v>0</v>
      </c>
      <c r="R1013" s="153"/>
      <c r="S1013" s="44"/>
      <c r="T1013" s="45" t="str">
        <f>IFERROR(IGA_BD[[#This Row],[Breakdown Time]]*IGA_BD[[#This Row],[Plant Equivalent Weightage]],"")</f>
        <v/>
      </c>
    </row>
    <row r="1014" spans="1:20">
      <c r="A1014" s="28"/>
      <c r="B1014" s="154"/>
      <c r="C1014" s="30">
        <f>YEAR(WTG_BD[[#This Row],[Date]])+IF(MONTH(WTG_BD[[#This Row],[Date]])&gt;=4,1,0)</f>
        <v>1900</v>
      </c>
      <c r="D1014" s="31">
        <f>YEAR(IGA_BD[[#This Row],[Date]])</f>
        <v>1900</v>
      </c>
      <c r="E1014" s="48">
        <f t="shared" si="18"/>
        <v>1</v>
      </c>
      <c r="F1014" s="32"/>
      <c r="G1014" s="33"/>
      <c r="H1014" s="43" t="str">
        <f>IFERROR(VLOOKUP(IGA_BD[[#This Row],[Affected Feeder ]],'Basic Data'!$A$42:$E$53,2,0),"")</f>
        <v/>
      </c>
      <c r="I1014" s="43" t="str">
        <f>IFERROR(VLOOKUP(IGA_BD[[#This Row],[Affected Feeder ]],'Basic Data'!$A$42:$E$53,3,0),"")</f>
        <v/>
      </c>
      <c r="J1014" s="43" t="str">
        <f>IFERROR(VLOOKUP(IGA_BD[[#This Row],[Affected Feeder ]],'Basic Data'!$A$42:$E$53,5,0),"")</f>
        <v/>
      </c>
      <c r="K1014" s="164"/>
      <c r="L1014" s="50"/>
      <c r="M1014" s="116"/>
      <c r="N1014" s="116"/>
      <c r="O1014" s="57">
        <f>(IGA_BD[[#This Row],[Work Start TimeStamp]]-IGA_BD[[#This Row],[Fault Start TimeStamp]])*24</f>
        <v>0</v>
      </c>
      <c r="P1014" s="44" t="str">
        <f>IF(IGA_BD[[#This Row],[Work Start TimeStamp]]="","",(IGA_BD[[#This Row],[Fault Clearance time]]-IGA_BD[[#This Row],[Work Start TimeStamp]])*24)</f>
        <v/>
      </c>
      <c r="Q1014" s="57">
        <f>(IGA_BD[[#This Row],[Fault Clearance time]]-IGA_BD[[#This Row],[Fault Start TimeStamp]])*24</f>
        <v>0</v>
      </c>
      <c r="R1014" s="153"/>
      <c r="S1014" s="44"/>
      <c r="T1014" s="45" t="str">
        <f>IFERROR(IGA_BD[[#This Row],[Breakdown Time]]*IGA_BD[[#This Row],[Plant Equivalent Weightage]],"")</f>
        <v/>
      </c>
    </row>
    <row r="1015" spans="1:20">
      <c r="A1015" s="28"/>
      <c r="B1015" s="154"/>
      <c r="C1015" s="30">
        <f>YEAR(WTG_BD[[#This Row],[Date]])+IF(MONTH(WTG_BD[[#This Row],[Date]])&gt;=4,1,0)</f>
        <v>1900</v>
      </c>
      <c r="D1015" s="31">
        <f>YEAR(IGA_BD[[#This Row],[Date]])</f>
        <v>1900</v>
      </c>
      <c r="E1015" s="48">
        <f t="shared" si="18"/>
        <v>1</v>
      </c>
      <c r="F1015" s="32"/>
      <c r="G1015" s="33"/>
      <c r="H1015" s="43" t="str">
        <f>IFERROR(VLOOKUP(IGA_BD[[#This Row],[Affected Feeder ]],'Basic Data'!$A$42:$E$53,2,0),"")</f>
        <v/>
      </c>
      <c r="I1015" s="43" t="str">
        <f>IFERROR(VLOOKUP(IGA_BD[[#This Row],[Affected Feeder ]],'Basic Data'!$A$42:$E$53,3,0),"")</f>
        <v/>
      </c>
      <c r="J1015" s="43" t="str">
        <f>IFERROR(VLOOKUP(IGA_BD[[#This Row],[Affected Feeder ]],'Basic Data'!$A$42:$E$53,5,0),"")</f>
        <v/>
      </c>
      <c r="K1015" s="164"/>
      <c r="L1015" s="50"/>
      <c r="M1015" s="116"/>
      <c r="N1015" s="116"/>
      <c r="O1015" s="57">
        <f>(IGA_BD[[#This Row],[Work Start TimeStamp]]-IGA_BD[[#This Row],[Fault Start TimeStamp]])*24</f>
        <v>0</v>
      </c>
      <c r="P1015" s="44" t="str">
        <f>IF(IGA_BD[[#This Row],[Work Start TimeStamp]]="","",(IGA_BD[[#This Row],[Fault Clearance time]]-IGA_BD[[#This Row],[Work Start TimeStamp]])*24)</f>
        <v/>
      </c>
      <c r="Q1015" s="57">
        <f>(IGA_BD[[#This Row],[Fault Clearance time]]-IGA_BD[[#This Row],[Fault Start TimeStamp]])*24</f>
        <v>0</v>
      </c>
      <c r="R1015" s="153"/>
      <c r="S1015" s="44"/>
      <c r="T1015" s="45" t="str">
        <f>IFERROR(IGA_BD[[#This Row],[Breakdown Time]]*IGA_BD[[#This Row],[Plant Equivalent Weightage]],"")</f>
        <v/>
      </c>
    </row>
    <row r="1016" spans="1:20">
      <c r="A1016" s="28"/>
      <c r="B1016" s="154"/>
      <c r="C1016" s="30">
        <f>YEAR(WTG_BD[[#This Row],[Date]])+IF(MONTH(WTG_BD[[#This Row],[Date]])&gt;=4,1,0)</f>
        <v>1900</v>
      </c>
      <c r="D1016" s="31">
        <f>YEAR(IGA_BD[[#This Row],[Date]])</f>
        <v>1900</v>
      </c>
      <c r="E1016" s="48">
        <f t="shared" si="18"/>
        <v>1</v>
      </c>
      <c r="F1016" s="32"/>
      <c r="G1016" s="33"/>
      <c r="H1016" s="43" t="str">
        <f>IFERROR(VLOOKUP(IGA_BD[[#This Row],[Affected Feeder ]],'Basic Data'!$A$42:$E$53,2,0),"")</f>
        <v/>
      </c>
      <c r="I1016" s="43" t="str">
        <f>IFERROR(VLOOKUP(IGA_BD[[#This Row],[Affected Feeder ]],'Basic Data'!$A$42:$E$53,3,0),"")</f>
        <v/>
      </c>
      <c r="J1016" s="43" t="str">
        <f>IFERROR(VLOOKUP(IGA_BD[[#This Row],[Affected Feeder ]],'Basic Data'!$A$42:$E$53,5,0),"")</f>
        <v/>
      </c>
      <c r="K1016" s="164"/>
      <c r="L1016" s="50"/>
      <c r="M1016" s="116"/>
      <c r="N1016" s="116"/>
      <c r="O1016" s="57">
        <f>(IGA_BD[[#This Row],[Work Start TimeStamp]]-IGA_BD[[#This Row],[Fault Start TimeStamp]])*24</f>
        <v>0</v>
      </c>
      <c r="P1016" s="44" t="str">
        <f>IF(IGA_BD[[#This Row],[Work Start TimeStamp]]="","",(IGA_BD[[#This Row],[Fault Clearance time]]-IGA_BD[[#This Row],[Work Start TimeStamp]])*24)</f>
        <v/>
      </c>
      <c r="Q1016" s="57">
        <f>(IGA_BD[[#This Row],[Fault Clearance time]]-IGA_BD[[#This Row],[Fault Start TimeStamp]])*24</f>
        <v>0</v>
      </c>
      <c r="R1016" s="153"/>
      <c r="S1016" s="44"/>
      <c r="T1016" s="45" t="str">
        <f>IFERROR(IGA_BD[[#This Row],[Breakdown Time]]*IGA_BD[[#This Row],[Plant Equivalent Weightage]],"")</f>
        <v/>
      </c>
    </row>
    <row r="1017" spans="1:20">
      <c r="A1017" s="28"/>
      <c r="B1017" s="154"/>
      <c r="C1017" s="30">
        <f>YEAR(WTG_BD[[#This Row],[Date]])+IF(MONTH(WTG_BD[[#This Row],[Date]])&gt;=4,1,0)</f>
        <v>1900</v>
      </c>
      <c r="D1017" s="31">
        <f>YEAR(IGA_BD[[#This Row],[Date]])</f>
        <v>1900</v>
      </c>
      <c r="E1017" s="48">
        <f t="shared" si="18"/>
        <v>1</v>
      </c>
      <c r="F1017" s="32"/>
      <c r="G1017" s="33"/>
      <c r="H1017" s="43" t="str">
        <f>IFERROR(VLOOKUP(IGA_BD[[#This Row],[Affected Feeder ]],'Basic Data'!$A$42:$E$53,2,0),"")</f>
        <v/>
      </c>
      <c r="I1017" s="43" t="str">
        <f>IFERROR(VLOOKUP(IGA_BD[[#This Row],[Affected Feeder ]],'Basic Data'!$A$42:$E$53,3,0),"")</f>
        <v/>
      </c>
      <c r="J1017" s="43" t="str">
        <f>IFERROR(VLOOKUP(IGA_BD[[#This Row],[Affected Feeder ]],'Basic Data'!$A$42:$E$53,5,0),"")</f>
        <v/>
      </c>
      <c r="K1017" s="164"/>
      <c r="L1017" s="50"/>
      <c r="M1017" s="116"/>
      <c r="N1017" s="116"/>
      <c r="O1017" s="57">
        <f>(IGA_BD[[#This Row],[Work Start TimeStamp]]-IGA_BD[[#This Row],[Fault Start TimeStamp]])*24</f>
        <v>0</v>
      </c>
      <c r="P1017" s="44" t="str">
        <f>IF(IGA_BD[[#This Row],[Work Start TimeStamp]]="","",(IGA_BD[[#This Row],[Fault Clearance time]]-IGA_BD[[#This Row],[Work Start TimeStamp]])*24)</f>
        <v/>
      </c>
      <c r="Q1017" s="57">
        <f>(IGA_BD[[#This Row],[Fault Clearance time]]-IGA_BD[[#This Row],[Fault Start TimeStamp]])*24</f>
        <v>0</v>
      </c>
      <c r="R1017" s="153"/>
      <c r="S1017" s="44"/>
      <c r="T1017" s="45" t="str">
        <f>IFERROR(IGA_BD[[#This Row],[Breakdown Time]]*IGA_BD[[#This Row],[Plant Equivalent Weightage]],"")</f>
        <v/>
      </c>
    </row>
    <row r="1018" spans="1:20">
      <c r="A1018" s="28"/>
      <c r="B1018" s="154"/>
      <c r="C1018" s="30">
        <f>YEAR(WTG_BD[[#This Row],[Date]])+IF(MONTH(WTG_BD[[#This Row],[Date]])&gt;=4,1,0)</f>
        <v>1900</v>
      </c>
      <c r="D1018" s="31">
        <f>YEAR(IGA_BD[[#This Row],[Date]])</f>
        <v>1900</v>
      </c>
      <c r="E1018" s="48">
        <f t="shared" si="18"/>
        <v>1</v>
      </c>
      <c r="F1018" s="32"/>
      <c r="G1018" s="33"/>
      <c r="H1018" s="43" t="str">
        <f>IFERROR(VLOOKUP(IGA_BD[[#This Row],[Affected Feeder ]],'Basic Data'!$A$42:$E$53,2,0),"")</f>
        <v/>
      </c>
      <c r="I1018" s="43" t="str">
        <f>IFERROR(VLOOKUP(IGA_BD[[#This Row],[Affected Feeder ]],'Basic Data'!$A$42:$E$53,3,0),"")</f>
        <v/>
      </c>
      <c r="J1018" s="43" t="str">
        <f>IFERROR(VLOOKUP(IGA_BD[[#This Row],[Affected Feeder ]],'Basic Data'!$A$42:$E$53,5,0),"")</f>
        <v/>
      </c>
      <c r="K1018" s="164"/>
      <c r="L1018" s="50"/>
      <c r="M1018" s="116"/>
      <c r="N1018" s="116"/>
      <c r="O1018" s="57">
        <f>(IGA_BD[[#This Row],[Work Start TimeStamp]]-IGA_BD[[#This Row],[Fault Start TimeStamp]])*24</f>
        <v>0</v>
      </c>
      <c r="P1018" s="44" t="str">
        <f>IF(IGA_BD[[#This Row],[Work Start TimeStamp]]="","",(IGA_BD[[#This Row],[Fault Clearance time]]-IGA_BD[[#This Row],[Work Start TimeStamp]])*24)</f>
        <v/>
      </c>
      <c r="Q1018" s="57">
        <f>(IGA_BD[[#This Row],[Fault Clearance time]]-IGA_BD[[#This Row],[Fault Start TimeStamp]])*24</f>
        <v>0</v>
      </c>
      <c r="R1018" s="153"/>
      <c r="S1018" s="44"/>
      <c r="T1018" s="45" t="str">
        <f>IFERROR(IGA_BD[[#This Row],[Breakdown Time]]*IGA_BD[[#This Row],[Plant Equivalent Weightage]],"")</f>
        <v/>
      </c>
    </row>
    <row r="1019" spans="1:20">
      <c r="A1019" s="28"/>
      <c r="B1019" s="154"/>
      <c r="C1019" s="30">
        <f>YEAR(WTG_BD[[#This Row],[Date]])+IF(MONTH(WTG_BD[[#This Row],[Date]])&gt;=4,1,0)</f>
        <v>1900</v>
      </c>
      <c r="D1019" s="31">
        <f>YEAR(IGA_BD[[#This Row],[Date]])</f>
        <v>1900</v>
      </c>
      <c r="E1019" s="48">
        <f t="shared" si="18"/>
        <v>1</v>
      </c>
      <c r="F1019" s="32"/>
      <c r="G1019" s="33"/>
      <c r="H1019" s="43" t="str">
        <f>IFERROR(VLOOKUP(IGA_BD[[#This Row],[Affected Feeder ]],'Basic Data'!$A$42:$E$53,2,0),"")</f>
        <v/>
      </c>
      <c r="I1019" s="43" t="str">
        <f>IFERROR(VLOOKUP(IGA_BD[[#This Row],[Affected Feeder ]],'Basic Data'!$A$42:$E$53,3,0),"")</f>
        <v/>
      </c>
      <c r="J1019" s="43" t="str">
        <f>IFERROR(VLOOKUP(IGA_BD[[#This Row],[Affected Feeder ]],'Basic Data'!$A$42:$E$53,5,0),"")</f>
        <v/>
      </c>
      <c r="K1019" s="164"/>
      <c r="L1019" s="50"/>
      <c r="M1019" s="116"/>
      <c r="N1019" s="116"/>
      <c r="O1019" s="57">
        <f>(IGA_BD[[#This Row],[Work Start TimeStamp]]-IGA_BD[[#This Row],[Fault Start TimeStamp]])*24</f>
        <v>0</v>
      </c>
      <c r="P1019" s="44" t="str">
        <f>IF(IGA_BD[[#This Row],[Work Start TimeStamp]]="","",(IGA_BD[[#This Row],[Fault Clearance time]]-IGA_BD[[#This Row],[Work Start TimeStamp]])*24)</f>
        <v/>
      </c>
      <c r="Q1019" s="57">
        <f>(IGA_BD[[#This Row],[Fault Clearance time]]-IGA_BD[[#This Row],[Fault Start TimeStamp]])*24</f>
        <v>0</v>
      </c>
      <c r="R1019" s="153"/>
      <c r="S1019" s="44"/>
      <c r="T1019" s="45" t="str">
        <f>IFERROR(IGA_BD[[#This Row],[Breakdown Time]]*IGA_BD[[#This Row],[Plant Equivalent Weightage]],"")</f>
        <v/>
      </c>
    </row>
    <row r="1020" spans="1:20">
      <c r="A1020" s="28"/>
      <c r="B1020" s="154"/>
      <c r="C1020" s="30">
        <f>YEAR(WTG_BD[[#This Row],[Date]])+IF(MONTH(WTG_BD[[#This Row],[Date]])&gt;=4,1,0)</f>
        <v>1900</v>
      </c>
      <c r="D1020" s="31">
        <f>YEAR(IGA_BD[[#This Row],[Date]])</f>
        <v>1900</v>
      </c>
      <c r="E1020" s="48">
        <f t="shared" si="18"/>
        <v>1</v>
      </c>
      <c r="F1020" s="32"/>
      <c r="G1020" s="33"/>
      <c r="H1020" s="43" t="str">
        <f>IFERROR(VLOOKUP(IGA_BD[[#This Row],[Affected Feeder ]],'Basic Data'!$A$42:$E$53,2,0),"")</f>
        <v/>
      </c>
      <c r="I1020" s="43" t="str">
        <f>IFERROR(VLOOKUP(IGA_BD[[#This Row],[Affected Feeder ]],'Basic Data'!$A$42:$E$53,3,0),"")</f>
        <v/>
      </c>
      <c r="J1020" s="43" t="str">
        <f>IFERROR(VLOOKUP(IGA_BD[[#This Row],[Affected Feeder ]],'Basic Data'!$A$42:$E$53,5,0),"")</f>
        <v/>
      </c>
      <c r="K1020" s="164"/>
      <c r="L1020" s="50"/>
      <c r="M1020" s="116"/>
      <c r="N1020" s="116"/>
      <c r="O1020" s="57">
        <f>(IGA_BD[[#This Row],[Work Start TimeStamp]]-IGA_BD[[#This Row],[Fault Start TimeStamp]])*24</f>
        <v>0</v>
      </c>
      <c r="P1020" s="44" t="str">
        <f>IF(IGA_BD[[#This Row],[Work Start TimeStamp]]="","",(IGA_BD[[#This Row],[Fault Clearance time]]-IGA_BD[[#This Row],[Work Start TimeStamp]])*24)</f>
        <v/>
      </c>
      <c r="Q1020" s="57">
        <f>(IGA_BD[[#This Row],[Fault Clearance time]]-IGA_BD[[#This Row],[Fault Start TimeStamp]])*24</f>
        <v>0</v>
      </c>
      <c r="R1020" s="153"/>
      <c r="S1020" s="44"/>
      <c r="T1020" s="45" t="str">
        <f>IFERROR(IGA_BD[[#This Row],[Breakdown Time]]*IGA_BD[[#This Row],[Plant Equivalent Weightage]],"")</f>
        <v/>
      </c>
    </row>
    <row r="1021" spans="1:20">
      <c r="A1021" s="28"/>
      <c r="B1021" s="154"/>
      <c r="C1021" s="30">
        <f>YEAR(WTG_BD[[#This Row],[Date]])+IF(MONTH(WTG_BD[[#This Row],[Date]])&gt;=4,1,0)</f>
        <v>1900</v>
      </c>
      <c r="D1021" s="31">
        <f>YEAR(IGA_BD[[#This Row],[Date]])</f>
        <v>1900</v>
      </c>
      <c r="E1021" s="48">
        <f t="shared" si="18"/>
        <v>1</v>
      </c>
      <c r="F1021" s="32"/>
      <c r="G1021" s="33"/>
      <c r="H1021" s="43" t="str">
        <f>IFERROR(VLOOKUP(IGA_BD[[#This Row],[Affected Feeder ]],'Basic Data'!$A$42:$E$53,2,0),"")</f>
        <v/>
      </c>
      <c r="I1021" s="43" t="str">
        <f>IFERROR(VLOOKUP(IGA_BD[[#This Row],[Affected Feeder ]],'Basic Data'!$A$42:$E$53,3,0),"")</f>
        <v/>
      </c>
      <c r="J1021" s="43" t="str">
        <f>IFERROR(VLOOKUP(IGA_BD[[#This Row],[Affected Feeder ]],'Basic Data'!$A$42:$E$53,5,0),"")</f>
        <v/>
      </c>
      <c r="K1021" s="164"/>
      <c r="L1021" s="50"/>
      <c r="M1021" s="116"/>
      <c r="N1021" s="116"/>
      <c r="O1021" s="57">
        <f>(IGA_BD[[#This Row],[Work Start TimeStamp]]-IGA_BD[[#This Row],[Fault Start TimeStamp]])*24</f>
        <v>0</v>
      </c>
      <c r="P1021" s="44" t="str">
        <f>IF(IGA_BD[[#This Row],[Work Start TimeStamp]]="","",(IGA_BD[[#This Row],[Fault Clearance time]]-IGA_BD[[#This Row],[Work Start TimeStamp]])*24)</f>
        <v/>
      </c>
      <c r="Q1021" s="57">
        <f>(IGA_BD[[#This Row],[Fault Clearance time]]-IGA_BD[[#This Row],[Fault Start TimeStamp]])*24</f>
        <v>0</v>
      </c>
      <c r="R1021" s="153"/>
      <c r="S1021" s="44"/>
      <c r="T1021" s="45" t="str">
        <f>IFERROR(IGA_BD[[#This Row],[Breakdown Time]]*IGA_BD[[#This Row],[Plant Equivalent Weightage]],"")</f>
        <v/>
      </c>
    </row>
    <row r="1022" spans="1:20">
      <c r="A1022" s="28"/>
      <c r="B1022" s="154"/>
      <c r="C1022" s="30">
        <f>YEAR(WTG_BD[[#This Row],[Date]])+IF(MONTH(WTG_BD[[#This Row],[Date]])&gt;=4,1,0)</f>
        <v>1900</v>
      </c>
      <c r="D1022" s="31">
        <f>YEAR(IGA_BD[[#This Row],[Date]])</f>
        <v>1900</v>
      </c>
      <c r="E1022" s="48">
        <f t="shared" si="18"/>
        <v>1</v>
      </c>
      <c r="F1022" s="32"/>
      <c r="G1022" s="33"/>
      <c r="H1022" s="43" t="str">
        <f>IFERROR(VLOOKUP(IGA_BD[[#This Row],[Affected Feeder ]],'Basic Data'!$A$42:$E$53,2,0),"")</f>
        <v/>
      </c>
      <c r="I1022" s="43" t="str">
        <f>IFERROR(VLOOKUP(IGA_BD[[#This Row],[Affected Feeder ]],'Basic Data'!$A$42:$E$53,3,0),"")</f>
        <v/>
      </c>
      <c r="J1022" s="43" t="str">
        <f>IFERROR(VLOOKUP(IGA_BD[[#This Row],[Affected Feeder ]],'Basic Data'!$A$42:$E$53,5,0),"")</f>
        <v/>
      </c>
      <c r="K1022" s="164"/>
      <c r="L1022" s="50"/>
      <c r="M1022" s="116"/>
      <c r="N1022" s="116"/>
      <c r="O1022" s="57">
        <f>(IGA_BD[[#This Row],[Work Start TimeStamp]]-IGA_BD[[#This Row],[Fault Start TimeStamp]])*24</f>
        <v>0</v>
      </c>
      <c r="P1022" s="44" t="str">
        <f>IF(IGA_BD[[#This Row],[Work Start TimeStamp]]="","",(IGA_BD[[#This Row],[Fault Clearance time]]-IGA_BD[[#This Row],[Work Start TimeStamp]])*24)</f>
        <v/>
      </c>
      <c r="Q1022" s="57">
        <f>(IGA_BD[[#This Row],[Fault Clearance time]]-IGA_BD[[#This Row],[Fault Start TimeStamp]])*24</f>
        <v>0</v>
      </c>
      <c r="R1022" s="153"/>
      <c r="S1022" s="44"/>
      <c r="T1022" s="45" t="str">
        <f>IFERROR(IGA_BD[[#This Row],[Breakdown Time]]*IGA_BD[[#This Row],[Plant Equivalent Weightage]],"")</f>
        <v/>
      </c>
    </row>
    <row r="1023" spans="1:20">
      <c r="A1023" s="28"/>
      <c r="B1023" s="154"/>
      <c r="C1023" s="30">
        <f>YEAR(WTG_BD[[#This Row],[Date]])+IF(MONTH(WTG_BD[[#This Row],[Date]])&gt;=4,1,0)</f>
        <v>1900</v>
      </c>
      <c r="D1023" s="31">
        <f>YEAR(IGA_BD[[#This Row],[Date]])</f>
        <v>1900</v>
      </c>
      <c r="E1023" s="48">
        <f t="shared" si="18"/>
        <v>1</v>
      </c>
      <c r="F1023" s="32"/>
      <c r="G1023" s="33"/>
      <c r="H1023" s="43" t="str">
        <f>IFERROR(VLOOKUP(IGA_BD[[#This Row],[Affected Feeder ]],'Basic Data'!$A$42:$E$53,2,0),"")</f>
        <v/>
      </c>
      <c r="I1023" s="43" t="str">
        <f>IFERROR(VLOOKUP(IGA_BD[[#This Row],[Affected Feeder ]],'Basic Data'!$A$42:$E$53,3,0),"")</f>
        <v/>
      </c>
      <c r="J1023" s="43" t="str">
        <f>IFERROR(VLOOKUP(IGA_BD[[#This Row],[Affected Feeder ]],'Basic Data'!$A$42:$E$53,5,0),"")</f>
        <v/>
      </c>
      <c r="K1023" s="164"/>
      <c r="L1023" s="50"/>
      <c r="M1023" s="116"/>
      <c r="N1023" s="116"/>
      <c r="O1023" s="57">
        <f>(IGA_BD[[#This Row],[Work Start TimeStamp]]-IGA_BD[[#This Row],[Fault Start TimeStamp]])*24</f>
        <v>0</v>
      </c>
      <c r="P1023" s="44" t="str">
        <f>IF(IGA_BD[[#This Row],[Work Start TimeStamp]]="","",(IGA_BD[[#This Row],[Fault Clearance time]]-IGA_BD[[#This Row],[Work Start TimeStamp]])*24)</f>
        <v/>
      </c>
      <c r="Q1023" s="57">
        <f>(IGA_BD[[#This Row],[Fault Clearance time]]-IGA_BD[[#This Row],[Fault Start TimeStamp]])*24</f>
        <v>0</v>
      </c>
      <c r="R1023" s="153"/>
      <c r="S1023" s="44"/>
      <c r="T1023" s="45" t="str">
        <f>IFERROR(IGA_BD[[#This Row],[Breakdown Time]]*IGA_BD[[#This Row],[Plant Equivalent Weightage]],"")</f>
        <v/>
      </c>
    </row>
    <row r="1024" spans="1:20">
      <c r="A1024" s="28"/>
      <c r="B1024" s="154"/>
      <c r="C1024" s="30">
        <f>YEAR(WTG_BD[[#This Row],[Date]])+IF(MONTH(WTG_BD[[#This Row],[Date]])&gt;=4,1,0)</f>
        <v>1900</v>
      </c>
      <c r="D1024" s="31">
        <f>YEAR(IGA_BD[[#This Row],[Date]])</f>
        <v>1900</v>
      </c>
      <c r="E1024" s="48">
        <f t="shared" si="18"/>
        <v>1</v>
      </c>
      <c r="F1024" s="32"/>
      <c r="G1024" s="33"/>
      <c r="H1024" s="43" t="str">
        <f>IFERROR(VLOOKUP(IGA_BD[[#This Row],[Affected Feeder ]],'Basic Data'!$A$42:$E$53,2,0),"")</f>
        <v/>
      </c>
      <c r="I1024" s="43" t="str">
        <f>IFERROR(VLOOKUP(IGA_BD[[#This Row],[Affected Feeder ]],'Basic Data'!$A$42:$E$53,3,0),"")</f>
        <v/>
      </c>
      <c r="J1024" s="43" t="str">
        <f>IFERROR(VLOOKUP(IGA_BD[[#This Row],[Affected Feeder ]],'Basic Data'!$A$42:$E$53,5,0),"")</f>
        <v/>
      </c>
      <c r="K1024" s="164"/>
      <c r="L1024" s="50"/>
      <c r="M1024" s="116"/>
      <c r="N1024" s="116"/>
      <c r="O1024" s="57">
        <f>(IGA_BD[[#This Row],[Work Start TimeStamp]]-IGA_BD[[#This Row],[Fault Start TimeStamp]])*24</f>
        <v>0</v>
      </c>
      <c r="P1024" s="44" t="str">
        <f>IF(IGA_BD[[#This Row],[Work Start TimeStamp]]="","",(IGA_BD[[#This Row],[Fault Clearance time]]-IGA_BD[[#This Row],[Work Start TimeStamp]])*24)</f>
        <v/>
      </c>
      <c r="Q1024" s="57">
        <f>(IGA_BD[[#This Row],[Fault Clearance time]]-IGA_BD[[#This Row],[Fault Start TimeStamp]])*24</f>
        <v>0</v>
      </c>
      <c r="R1024" s="153"/>
      <c r="S1024" s="44"/>
      <c r="T1024" s="45" t="str">
        <f>IFERROR(IGA_BD[[#This Row],[Breakdown Time]]*IGA_BD[[#This Row],[Plant Equivalent Weightage]],"")</f>
        <v/>
      </c>
    </row>
    <row r="1025" spans="1:20">
      <c r="A1025" s="28"/>
      <c r="B1025" s="154"/>
      <c r="C1025" s="30">
        <f>YEAR(WTG_BD[[#This Row],[Date]])+IF(MONTH(WTG_BD[[#This Row],[Date]])&gt;=4,1,0)</f>
        <v>1900</v>
      </c>
      <c r="D1025" s="31">
        <f>YEAR(IGA_BD[[#This Row],[Date]])</f>
        <v>1900</v>
      </c>
      <c r="E1025" s="48">
        <f t="shared" si="18"/>
        <v>1</v>
      </c>
      <c r="F1025" s="32"/>
      <c r="G1025" s="33"/>
      <c r="H1025" s="43" t="str">
        <f>IFERROR(VLOOKUP(IGA_BD[[#This Row],[Affected Feeder ]],'Basic Data'!$A$42:$E$53,2,0),"")</f>
        <v/>
      </c>
      <c r="I1025" s="43" t="str">
        <f>IFERROR(VLOOKUP(IGA_BD[[#This Row],[Affected Feeder ]],'Basic Data'!$A$42:$E$53,3,0),"")</f>
        <v/>
      </c>
      <c r="J1025" s="43" t="str">
        <f>IFERROR(VLOOKUP(IGA_BD[[#This Row],[Affected Feeder ]],'Basic Data'!$A$42:$E$53,5,0),"")</f>
        <v/>
      </c>
      <c r="K1025" s="164"/>
      <c r="L1025" s="50"/>
      <c r="M1025" s="116"/>
      <c r="N1025" s="116"/>
      <c r="O1025" s="57">
        <f>(IGA_BD[[#This Row],[Work Start TimeStamp]]-IGA_BD[[#This Row],[Fault Start TimeStamp]])*24</f>
        <v>0</v>
      </c>
      <c r="P1025" s="44" t="str">
        <f>IF(IGA_BD[[#This Row],[Work Start TimeStamp]]="","",(IGA_BD[[#This Row],[Fault Clearance time]]-IGA_BD[[#This Row],[Work Start TimeStamp]])*24)</f>
        <v/>
      </c>
      <c r="Q1025" s="57">
        <f>(IGA_BD[[#This Row],[Fault Clearance time]]-IGA_BD[[#This Row],[Fault Start TimeStamp]])*24</f>
        <v>0</v>
      </c>
      <c r="R1025" s="153"/>
      <c r="S1025" s="44"/>
      <c r="T1025" s="45" t="str">
        <f>IFERROR(IGA_BD[[#This Row],[Breakdown Time]]*IGA_BD[[#This Row],[Plant Equivalent Weightage]],"")</f>
        <v/>
      </c>
    </row>
    <row r="1026" spans="1:20">
      <c r="A1026" s="28"/>
      <c r="B1026" s="154"/>
      <c r="C1026" s="30">
        <f>YEAR(WTG_BD[[#This Row],[Date]])+IF(MONTH(WTG_BD[[#This Row],[Date]])&gt;=4,1,0)</f>
        <v>1900</v>
      </c>
      <c r="D1026" s="31">
        <f>YEAR(IGA_BD[[#This Row],[Date]])</f>
        <v>1900</v>
      </c>
      <c r="E1026" s="48">
        <f t="shared" si="18"/>
        <v>1</v>
      </c>
      <c r="F1026" s="32"/>
      <c r="G1026" s="33"/>
      <c r="H1026" s="43" t="str">
        <f>IFERROR(VLOOKUP(IGA_BD[[#This Row],[Affected Feeder ]],'Basic Data'!$A$42:$E$53,2,0),"")</f>
        <v/>
      </c>
      <c r="I1026" s="43" t="str">
        <f>IFERROR(VLOOKUP(IGA_BD[[#This Row],[Affected Feeder ]],'Basic Data'!$A$42:$E$53,3,0),"")</f>
        <v/>
      </c>
      <c r="J1026" s="43" t="str">
        <f>IFERROR(VLOOKUP(IGA_BD[[#This Row],[Affected Feeder ]],'Basic Data'!$A$42:$E$53,5,0),"")</f>
        <v/>
      </c>
      <c r="K1026" s="164"/>
      <c r="L1026" s="50"/>
      <c r="M1026" s="116"/>
      <c r="N1026" s="116"/>
      <c r="O1026" s="57">
        <f>(IGA_BD[[#This Row],[Work Start TimeStamp]]-IGA_BD[[#This Row],[Fault Start TimeStamp]])*24</f>
        <v>0</v>
      </c>
      <c r="P1026" s="44" t="str">
        <f>IF(IGA_BD[[#This Row],[Work Start TimeStamp]]="","",(IGA_BD[[#This Row],[Fault Clearance time]]-IGA_BD[[#This Row],[Work Start TimeStamp]])*24)</f>
        <v/>
      </c>
      <c r="Q1026" s="57">
        <f>(IGA_BD[[#This Row],[Fault Clearance time]]-IGA_BD[[#This Row],[Fault Start TimeStamp]])*24</f>
        <v>0</v>
      </c>
      <c r="R1026" s="153"/>
      <c r="S1026" s="44"/>
      <c r="T1026" s="45" t="str">
        <f>IFERROR(IGA_BD[[#This Row],[Breakdown Time]]*IGA_BD[[#This Row],[Plant Equivalent Weightage]],"")</f>
        <v/>
      </c>
    </row>
    <row r="1027" spans="1:20">
      <c r="A1027" s="28"/>
      <c r="B1027" s="154"/>
      <c r="C1027" s="30">
        <f>YEAR(WTG_BD[[#This Row],[Date]])+IF(MONTH(WTG_BD[[#This Row],[Date]])&gt;=4,1,0)</f>
        <v>1900</v>
      </c>
      <c r="D1027" s="31">
        <f>YEAR(IGA_BD[[#This Row],[Date]])</f>
        <v>1900</v>
      </c>
      <c r="E1027" s="48">
        <f t="shared" si="18"/>
        <v>1</v>
      </c>
      <c r="F1027" s="32"/>
      <c r="G1027" s="33"/>
      <c r="H1027" s="43" t="str">
        <f>IFERROR(VLOOKUP(IGA_BD[[#This Row],[Affected Feeder ]],'Basic Data'!$A$42:$E$53,2,0),"")</f>
        <v/>
      </c>
      <c r="I1027" s="43" t="str">
        <f>IFERROR(VLOOKUP(IGA_BD[[#This Row],[Affected Feeder ]],'Basic Data'!$A$42:$E$53,3,0),"")</f>
        <v/>
      </c>
      <c r="J1027" s="43" t="str">
        <f>IFERROR(VLOOKUP(IGA_BD[[#This Row],[Affected Feeder ]],'Basic Data'!$A$42:$E$53,5,0),"")</f>
        <v/>
      </c>
      <c r="K1027" s="164"/>
      <c r="L1027" s="50"/>
      <c r="M1027" s="116"/>
      <c r="N1027" s="116"/>
      <c r="O1027" s="57">
        <f>(IGA_BD[[#This Row],[Work Start TimeStamp]]-IGA_BD[[#This Row],[Fault Start TimeStamp]])*24</f>
        <v>0</v>
      </c>
      <c r="P1027" s="44" t="str">
        <f>IF(IGA_BD[[#This Row],[Work Start TimeStamp]]="","",(IGA_BD[[#This Row],[Fault Clearance time]]-IGA_BD[[#This Row],[Work Start TimeStamp]])*24)</f>
        <v/>
      </c>
      <c r="Q1027" s="57">
        <f>(IGA_BD[[#This Row],[Fault Clearance time]]-IGA_BD[[#This Row],[Fault Start TimeStamp]])*24</f>
        <v>0</v>
      </c>
      <c r="R1027" s="153"/>
      <c r="S1027" s="44"/>
      <c r="T1027" s="45" t="str">
        <f>IFERROR(IGA_BD[[#This Row],[Breakdown Time]]*IGA_BD[[#This Row],[Plant Equivalent Weightage]],"")</f>
        <v/>
      </c>
    </row>
    <row r="1028" spans="1:20">
      <c r="A1028" s="28"/>
      <c r="B1028" s="154"/>
      <c r="C1028" s="30">
        <f>YEAR(WTG_BD[[#This Row],[Date]])+IF(MONTH(WTG_BD[[#This Row],[Date]])&gt;=4,1,0)</f>
        <v>1900</v>
      </c>
      <c r="D1028" s="31">
        <f>YEAR(IGA_BD[[#This Row],[Date]])</f>
        <v>1900</v>
      </c>
      <c r="E1028" s="48">
        <f t="shared" si="18"/>
        <v>1</v>
      </c>
      <c r="F1028" s="32"/>
      <c r="G1028" s="33"/>
      <c r="H1028" s="43" t="str">
        <f>IFERROR(VLOOKUP(IGA_BD[[#This Row],[Affected Feeder ]],'Basic Data'!$A$42:$E$53,2,0),"")</f>
        <v/>
      </c>
      <c r="I1028" s="43" t="str">
        <f>IFERROR(VLOOKUP(IGA_BD[[#This Row],[Affected Feeder ]],'Basic Data'!$A$42:$E$53,3,0),"")</f>
        <v/>
      </c>
      <c r="J1028" s="43" t="str">
        <f>IFERROR(VLOOKUP(IGA_BD[[#This Row],[Affected Feeder ]],'Basic Data'!$A$42:$E$53,5,0),"")</f>
        <v/>
      </c>
      <c r="K1028" s="164"/>
      <c r="L1028" s="50"/>
      <c r="M1028" s="116"/>
      <c r="N1028" s="116"/>
      <c r="O1028" s="57">
        <f>(IGA_BD[[#This Row],[Work Start TimeStamp]]-IGA_BD[[#This Row],[Fault Start TimeStamp]])*24</f>
        <v>0</v>
      </c>
      <c r="P1028" s="44" t="str">
        <f>IF(IGA_BD[[#This Row],[Work Start TimeStamp]]="","",(IGA_BD[[#This Row],[Fault Clearance time]]-IGA_BD[[#This Row],[Work Start TimeStamp]])*24)</f>
        <v/>
      </c>
      <c r="Q1028" s="57">
        <f>(IGA_BD[[#This Row],[Fault Clearance time]]-IGA_BD[[#This Row],[Fault Start TimeStamp]])*24</f>
        <v>0</v>
      </c>
      <c r="R1028" s="153"/>
      <c r="S1028" s="44"/>
      <c r="T1028" s="45" t="str">
        <f>IFERROR(IGA_BD[[#This Row],[Breakdown Time]]*IGA_BD[[#This Row],[Plant Equivalent Weightage]],"")</f>
        <v/>
      </c>
    </row>
    <row r="1029" spans="1:20">
      <c r="A1029" s="28"/>
      <c r="B1029" s="154"/>
      <c r="C1029" s="30">
        <f>YEAR(WTG_BD[[#This Row],[Date]])+IF(MONTH(WTG_BD[[#This Row],[Date]])&gt;=4,1,0)</f>
        <v>1900</v>
      </c>
      <c r="D1029" s="31">
        <f>YEAR(IGA_BD[[#This Row],[Date]])</f>
        <v>1900</v>
      </c>
      <c r="E1029" s="48">
        <f t="shared" si="18"/>
        <v>1</v>
      </c>
      <c r="F1029" s="32"/>
      <c r="G1029" s="33"/>
      <c r="H1029" s="43" t="str">
        <f>IFERROR(VLOOKUP(IGA_BD[[#This Row],[Affected Feeder ]],'Basic Data'!$A$42:$E$53,2,0),"")</f>
        <v/>
      </c>
      <c r="I1029" s="43" t="str">
        <f>IFERROR(VLOOKUP(IGA_BD[[#This Row],[Affected Feeder ]],'Basic Data'!$A$42:$E$53,3,0),"")</f>
        <v/>
      </c>
      <c r="J1029" s="43" t="str">
        <f>IFERROR(VLOOKUP(IGA_BD[[#This Row],[Affected Feeder ]],'Basic Data'!$A$42:$E$53,5,0),"")</f>
        <v/>
      </c>
      <c r="K1029" s="164"/>
      <c r="L1029" s="50"/>
      <c r="M1029" s="116"/>
      <c r="N1029" s="116"/>
      <c r="O1029" s="57">
        <f>(IGA_BD[[#This Row],[Work Start TimeStamp]]-IGA_BD[[#This Row],[Fault Start TimeStamp]])*24</f>
        <v>0</v>
      </c>
      <c r="P1029" s="44" t="str">
        <f>IF(IGA_BD[[#This Row],[Work Start TimeStamp]]="","",(IGA_BD[[#This Row],[Fault Clearance time]]-IGA_BD[[#This Row],[Work Start TimeStamp]])*24)</f>
        <v/>
      </c>
      <c r="Q1029" s="57">
        <f>(IGA_BD[[#This Row],[Fault Clearance time]]-IGA_BD[[#This Row],[Fault Start TimeStamp]])*24</f>
        <v>0</v>
      </c>
      <c r="R1029" s="153"/>
      <c r="S1029" s="44"/>
      <c r="T1029" s="45" t="str">
        <f>IFERROR(IGA_BD[[#This Row],[Breakdown Time]]*IGA_BD[[#This Row],[Plant Equivalent Weightage]],"")</f>
        <v/>
      </c>
    </row>
    <row r="1030" spans="1:20">
      <c r="A1030" s="28"/>
      <c r="B1030" s="154"/>
      <c r="C1030" s="30">
        <f>YEAR(WTG_BD[[#This Row],[Date]])+IF(MONTH(WTG_BD[[#This Row],[Date]])&gt;=4,1,0)</f>
        <v>1900</v>
      </c>
      <c r="D1030" s="31">
        <f>YEAR(IGA_BD[[#This Row],[Date]])</f>
        <v>1900</v>
      </c>
      <c r="E1030" s="48">
        <f t="shared" si="18"/>
        <v>1</v>
      </c>
      <c r="F1030" s="32"/>
      <c r="G1030" s="33"/>
      <c r="H1030" s="43" t="str">
        <f>IFERROR(VLOOKUP(IGA_BD[[#This Row],[Affected Feeder ]],'Basic Data'!$A$42:$E$53,2,0),"")</f>
        <v/>
      </c>
      <c r="I1030" s="43" t="str">
        <f>IFERROR(VLOOKUP(IGA_BD[[#This Row],[Affected Feeder ]],'Basic Data'!$A$42:$E$53,3,0),"")</f>
        <v/>
      </c>
      <c r="J1030" s="43" t="str">
        <f>IFERROR(VLOOKUP(IGA_BD[[#This Row],[Affected Feeder ]],'Basic Data'!$A$42:$E$53,5,0),"")</f>
        <v/>
      </c>
      <c r="K1030" s="164"/>
      <c r="L1030" s="50"/>
      <c r="M1030" s="116"/>
      <c r="N1030" s="116"/>
      <c r="O1030" s="57">
        <f>(IGA_BD[[#This Row],[Work Start TimeStamp]]-IGA_BD[[#This Row],[Fault Start TimeStamp]])*24</f>
        <v>0</v>
      </c>
      <c r="P1030" s="44" t="str">
        <f>IF(IGA_BD[[#This Row],[Work Start TimeStamp]]="","",(IGA_BD[[#This Row],[Fault Clearance time]]-IGA_BD[[#This Row],[Work Start TimeStamp]])*24)</f>
        <v/>
      </c>
      <c r="Q1030" s="57">
        <f>(IGA_BD[[#This Row],[Fault Clearance time]]-IGA_BD[[#This Row],[Fault Start TimeStamp]])*24</f>
        <v>0</v>
      </c>
      <c r="R1030" s="153"/>
      <c r="S1030" s="44"/>
      <c r="T1030" s="45" t="str">
        <f>IFERROR(IGA_BD[[#This Row],[Breakdown Time]]*IGA_BD[[#This Row],[Plant Equivalent Weightage]],"")</f>
        <v/>
      </c>
    </row>
    <row r="1031" spans="1:20">
      <c r="A1031" s="28"/>
      <c r="B1031" s="154"/>
      <c r="C1031" s="30">
        <f>YEAR(WTG_BD[[#This Row],[Date]])+IF(MONTH(WTG_BD[[#This Row],[Date]])&gt;=4,1,0)</f>
        <v>1900</v>
      </c>
      <c r="D1031" s="31">
        <f>YEAR(IGA_BD[[#This Row],[Date]])</f>
        <v>1900</v>
      </c>
      <c r="E1031" s="48">
        <f t="shared" si="18"/>
        <v>1</v>
      </c>
      <c r="F1031" s="32"/>
      <c r="G1031" s="33"/>
      <c r="H1031" s="43" t="str">
        <f>IFERROR(VLOOKUP(IGA_BD[[#This Row],[Affected Feeder ]],'Basic Data'!$A$42:$E$53,2,0),"")</f>
        <v/>
      </c>
      <c r="I1031" s="43" t="str">
        <f>IFERROR(VLOOKUP(IGA_BD[[#This Row],[Affected Feeder ]],'Basic Data'!$A$42:$E$53,3,0),"")</f>
        <v/>
      </c>
      <c r="J1031" s="43" t="str">
        <f>IFERROR(VLOOKUP(IGA_BD[[#This Row],[Affected Feeder ]],'Basic Data'!$A$42:$E$53,5,0),"")</f>
        <v/>
      </c>
      <c r="K1031" s="164"/>
      <c r="L1031" s="50"/>
      <c r="M1031" s="116"/>
      <c r="N1031" s="116"/>
      <c r="O1031" s="57">
        <f>(IGA_BD[[#This Row],[Work Start TimeStamp]]-IGA_BD[[#This Row],[Fault Start TimeStamp]])*24</f>
        <v>0</v>
      </c>
      <c r="P1031" s="44" t="str">
        <f>IF(IGA_BD[[#This Row],[Work Start TimeStamp]]="","",(IGA_BD[[#This Row],[Fault Clearance time]]-IGA_BD[[#This Row],[Work Start TimeStamp]])*24)</f>
        <v/>
      </c>
      <c r="Q1031" s="57">
        <f>(IGA_BD[[#This Row],[Fault Clearance time]]-IGA_BD[[#This Row],[Fault Start TimeStamp]])*24</f>
        <v>0</v>
      </c>
      <c r="R1031" s="153"/>
      <c r="S1031" s="44"/>
      <c r="T1031" s="45" t="str">
        <f>IFERROR(IGA_BD[[#This Row],[Breakdown Time]]*IGA_BD[[#This Row],[Plant Equivalent Weightage]],"")</f>
        <v/>
      </c>
    </row>
    <row r="1032" spans="1:20">
      <c r="A1032" s="28"/>
      <c r="B1032" s="154"/>
      <c r="C1032" s="30">
        <f>YEAR(WTG_BD[[#This Row],[Date]])+IF(MONTH(WTG_BD[[#This Row],[Date]])&gt;=4,1,0)</f>
        <v>1900</v>
      </c>
      <c r="D1032" s="31">
        <f>YEAR(IGA_BD[[#This Row],[Date]])</f>
        <v>1900</v>
      </c>
      <c r="E1032" s="48">
        <f t="shared" si="18"/>
        <v>1</v>
      </c>
      <c r="F1032" s="32"/>
      <c r="G1032" s="33"/>
      <c r="H1032" s="43" t="str">
        <f>IFERROR(VLOOKUP(IGA_BD[[#This Row],[Affected Feeder ]],'Basic Data'!$A$42:$E$53,2,0),"")</f>
        <v/>
      </c>
      <c r="I1032" s="43" t="str">
        <f>IFERROR(VLOOKUP(IGA_BD[[#This Row],[Affected Feeder ]],'Basic Data'!$A$42:$E$53,3,0),"")</f>
        <v/>
      </c>
      <c r="J1032" s="43" t="str">
        <f>IFERROR(VLOOKUP(IGA_BD[[#This Row],[Affected Feeder ]],'Basic Data'!$A$42:$E$53,5,0),"")</f>
        <v/>
      </c>
      <c r="K1032" s="164"/>
      <c r="L1032" s="50"/>
      <c r="M1032" s="116"/>
      <c r="N1032" s="116"/>
      <c r="O1032" s="57">
        <f>(IGA_BD[[#This Row],[Work Start TimeStamp]]-IGA_BD[[#This Row],[Fault Start TimeStamp]])*24</f>
        <v>0</v>
      </c>
      <c r="P1032" s="44" t="str">
        <f>IF(IGA_BD[[#This Row],[Work Start TimeStamp]]="","",(IGA_BD[[#This Row],[Fault Clearance time]]-IGA_BD[[#This Row],[Work Start TimeStamp]])*24)</f>
        <v/>
      </c>
      <c r="Q1032" s="57">
        <f>(IGA_BD[[#This Row],[Fault Clearance time]]-IGA_BD[[#This Row],[Fault Start TimeStamp]])*24</f>
        <v>0</v>
      </c>
      <c r="R1032" s="153"/>
      <c r="S1032" s="44"/>
      <c r="T1032" s="45" t="str">
        <f>IFERROR(IGA_BD[[#This Row],[Breakdown Time]]*IGA_BD[[#This Row],[Plant Equivalent Weightage]],"")</f>
        <v/>
      </c>
    </row>
    <row r="1033" spans="1:20">
      <c r="A1033" s="28"/>
      <c r="B1033" s="154"/>
      <c r="C1033" s="30">
        <f>YEAR(WTG_BD[[#This Row],[Date]])+IF(MONTH(WTG_BD[[#This Row],[Date]])&gt;=4,1,0)</f>
        <v>1900</v>
      </c>
      <c r="D1033" s="31">
        <f>YEAR(IGA_BD[[#This Row],[Date]])</f>
        <v>1900</v>
      </c>
      <c r="E1033" s="48">
        <f t="shared" si="18"/>
        <v>1</v>
      </c>
      <c r="F1033" s="32"/>
      <c r="G1033" s="33"/>
      <c r="H1033" s="43" t="str">
        <f>IFERROR(VLOOKUP(IGA_BD[[#This Row],[Affected Feeder ]],'Basic Data'!$A$42:$E$53,2,0),"")</f>
        <v/>
      </c>
      <c r="I1033" s="43" t="str">
        <f>IFERROR(VLOOKUP(IGA_BD[[#This Row],[Affected Feeder ]],'Basic Data'!$A$42:$E$53,3,0),"")</f>
        <v/>
      </c>
      <c r="J1033" s="43" t="str">
        <f>IFERROR(VLOOKUP(IGA_BD[[#This Row],[Affected Feeder ]],'Basic Data'!$A$42:$E$53,5,0),"")</f>
        <v/>
      </c>
      <c r="K1033" s="164"/>
      <c r="L1033" s="50"/>
      <c r="M1033" s="116"/>
      <c r="N1033" s="116"/>
      <c r="O1033" s="57">
        <f>(IGA_BD[[#This Row],[Work Start TimeStamp]]-IGA_BD[[#This Row],[Fault Start TimeStamp]])*24</f>
        <v>0</v>
      </c>
      <c r="P1033" s="44" t="str">
        <f>IF(IGA_BD[[#This Row],[Work Start TimeStamp]]="","",(IGA_BD[[#This Row],[Fault Clearance time]]-IGA_BD[[#This Row],[Work Start TimeStamp]])*24)</f>
        <v/>
      </c>
      <c r="Q1033" s="57">
        <f>(IGA_BD[[#This Row],[Fault Clearance time]]-IGA_BD[[#This Row],[Fault Start TimeStamp]])*24</f>
        <v>0</v>
      </c>
      <c r="R1033" s="153"/>
      <c r="S1033" s="44"/>
      <c r="T1033" s="45" t="str">
        <f>IFERROR(IGA_BD[[#This Row],[Breakdown Time]]*IGA_BD[[#This Row],[Plant Equivalent Weightage]],"")</f>
        <v/>
      </c>
    </row>
    <row r="1034" spans="1:20">
      <c r="A1034" s="28"/>
      <c r="B1034" s="154"/>
      <c r="C1034" s="30">
        <f>YEAR(WTG_BD[[#This Row],[Date]])+IF(MONTH(WTG_BD[[#This Row],[Date]])&gt;=4,1,0)</f>
        <v>1900</v>
      </c>
      <c r="D1034" s="31">
        <f>YEAR(IGA_BD[[#This Row],[Date]])</f>
        <v>1900</v>
      </c>
      <c r="E1034" s="48">
        <f t="shared" si="18"/>
        <v>1</v>
      </c>
      <c r="F1034" s="32"/>
      <c r="G1034" s="33"/>
      <c r="H1034" s="43" t="str">
        <f>IFERROR(VLOOKUP(IGA_BD[[#This Row],[Affected Feeder ]],'Basic Data'!$A$42:$E$53,2,0),"")</f>
        <v/>
      </c>
      <c r="I1034" s="43" t="str">
        <f>IFERROR(VLOOKUP(IGA_BD[[#This Row],[Affected Feeder ]],'Basic Data'!$A$42:$E$53,3,0),"")</f>
        <v/>
      </c>
      <c r="J1034" s="43" t="str">
        <f>IFERROR(VLOOKUP(IGA_BD[[#This Row],[Affected Feeder ]],'Basic Data'!$A$42:$E$53,5,0),"")</f>
        <v/>
      </c>
      <c r="K1034" s="164"/>
      <c r="L1034" s="50"/>
      <c r="M1034" s="116"/>
      <c r="N1034" s="116"/>
      <c r="O1034" s="57">
        <f>(IGA_BD[[#This Row],[Work Start TimeStamp]]-IGA_BD[[#This Row],[Fault Start TimeStamp]])*24</f>
        <v>0</v>
      </c>
      <c r="P1034" s="44" t="str">
        <f>IF(IGA_BD[[#This Row],[Work Start TimeStamp]]="","",(IGA_BD[[#This Row],[Fault Clearance time]]-IGA_BD[[#This Row],[Work Start TimeStamp]])*24)</f>
        <v/>
      </c>
      <c r="Q1034" s="57">
        <f>(IGA_BD[[#This Row],[Fault Clearance time]]-IGA_BD[[#This Row],[Fault Start TimeStamp]])*24</f>
        <v>0</v>
      </c>
      <c r="R1034" s="153"/>
      <c r="S1034" s="44"/>
      <c r="T1034" s="45" t="str">
        <f>IFERROR(IGA_BD[[#This Row],[Breakdown Time]]*IGA_BD[[#This Row],[Plant Equivalent Weightage]],"")</f>
        <v/>
      </c>
    </row>
    <row r="1035" spans="1:20">
      <c r="A1035" s="28"/>
      <c r="B1035" s="154"/>
      <c r="C1035" s="30">
        <f>YEAR(WTG_BD[[#This Row],[Date]])+IF(MONTH(WTG_BD[[#This Row],[Date]])&gt;=4,1,0)</f>
        <v>1900</v>
      </c>
      <c r="D1035" s="31">
        <f>YEAR(IGA_BD[[#This Row],[Date]])</f>
        <v>1900</v>
      </c>
      <c r="E1035" s="48">
        <f t="shared" si="18"/>
        <v>1</v>
      </c>
      <c r="F1035" s="32"/>
      <c r="G1035" s="33"/>
      <c r="H1035" s="43" t="str">
        <f>IFERROR(VLOOKUP(IGA_BD[[#This Row],[Affected Feeder ]],'Basic Data'!$A$42:$E$53,2,0),"")</f>
        <v/>
      </c>
      <c r="I1035" s="43" t="str">
        <f>IFERROR(VLOOKUP(IGA_BD[[#This Row],[Affected Feeder ]],'Basic Data'!$A$42:$E$53,3,0),"")</f>
        <v/>
      </c>
      <c r="J1035" s="43" t="str">
        <f>IFERROR(VLOOKUP(IGA_BD[[#This Row],[Affected Feeder ]],'Basic Data'!$A$42:$E$53,5,0),"")</f>
        <v/>
      </c>
      <c r="K1035" s="164"/>
      <c r="L1035" s="50"/>
      <c r="M1035" s="116"/>
      <c r="N1035" s="116"/>
      <c r="O1035" s="57">
        <f>(IGA_BD[[#This Row],[Work Start TimeStamp]]-IGA_BD[[#This Row],[Fault Start TimeStamp]])*24</f>
        <v>0</v>
      </c>
      <c r="P1035" s="44" t="str">
        <f>IF(IGA_BD[[#This Row],[Work Start TimeStamp]]="","",(IGA_BD[[#This Row],[Fault Clearance time]]-IGA_BD[[#This Row],[Work Start TimeStamp]])*24)</f>
        <v/>
      </c>
      <c r="Q1035" s="57">
        <f>(IGA_BD[[#This Row],[Fault Clearance time]]-IGA_BD[[#This Row],[Fault Start TimeStamp]])*24</f>
        <v>0</v>
      </c>
      <c r="R1035" s="153"/>
      <c r="S1035" s="44"/>
      <c r="T1035" s="45" t="str">
        <f>IFERROR(IGA_BD[[#This Row],[Breakdown Time]]*IGA_BD[[#This Row],[Plant Equivalent Weightage]],"")</f>
        <v/>
      </c>
    </row>
    <row r="1036" spans="1:20">
      <c r="A1036" s="28"/>
      <c r="B1036" s="154"/>
      <c r="C1036" s="30">
        <f>YEAR(WTG_BD[[#This Row],[Date]])+IF(MONTH(WTG_BD[[#This Row],[Date]])&gt;=4,1,0)</f>
        <v>1900</v>
      </c>
      <c r="D1036" s="31">
        <f>YEAR(IGA_BD[[#This Row],[Date]])</f>
        <v>1900</v>
      </c>
      <c r="E1036" s="48">
        <f t="shared" si="18"/>
        <v>1</v>
      </c>
      <c r="F1036" s="32"/>
      <c r="G1036" s="33"/>
      <c r="H1036" s="43" t="str">
        <f>IFERROR(VLOOKUP(IGA_BD[[#This Row],[Affected Feeder ]],'Basic Data'!$A$42:$E$53,2,0),"")</f>
        <v/>
      </c>
      <c r="I1036" s="43" t="str">
        <f>IFERROR(VLOOKUP(IGA_BD[[#This Row],[Affected Feeder ]],'Basic Data'!$A$42:$E$53,3,0),"")</f>
        <v/>
      </c>
      <c r="J1036" s="43" t="str">
        <f>IFERROR(VLOOKUP(IGA_BD[[#This Row],[Affected Feeder ]],'Basic Data'!$A$42:$E$53,5,0),"")</f>
        <v/>
      </c>
      <c r="K1036" s="164"/>
      <c r="L1036" s="50"/>
      <c r="M1036" s="116"/>
      <c r="N1036" s="116"/>
      <c r="O1036" s="57">
        <f>(IGA_BD[[#This Row],[Work Start TimeStamp]]-IGA_BD[[#This Row],[Fault Start TimeStamp]])*24</f>
        <v>0</v>
      </c>
      <c r="P1036" s="44" t="str">
        <f>IF(IGA_BD[[#This Row],[Work Start TimeStamp]]="","",(IGA_BD[[#This Row],[Fault Clearance time]]-IGA_BD[[#This Row],[Work Start TimeStamp]])*24)</f>
        <v/>
      </c>
      <c r="Q1036" s="57">
        <f>(IGA_BD[[#This Row],[Fault Clearance time]]-IGA_BD[[#This Row],[Fault Start TimeStamp]])*24</f>
        <v>0</v>
      </c>
      <c r="R1036" s="153"/>
      <c r="S1036" s="44"/>
      <c r="T1036" s="45" t="str">
        <f>IFERROR(IGA_BD[[#This Row],[Breakdown Time]]*IGA_BD[[#This Row],[Plant Equivalent Weightage]],"")</f>
        <v/>
      </c>
    </row>
    <row r="1037" spans="1:20">
      <c r="A1037" s="28"/>
      <c r="B1037" s="154"/>
      <c r="C1037" s="30">
        <f>YEAR(WTG_BD[[#This Row],[Date]])+IF(MONTH(WTG_BD[[#This Row],[Date]])&gt;=4,1,0)</f>
        <v>1900</v>
      </c>
      <c r="D1037" s="31">
        <f>YEAR(IGA_BD[[#This Row],[Date]])</f>
        <v>1900</v>
      </c>
      <c r="E1037" s="48">
        <f t="shared" si="18"/>
        <v>1</v>
      </c>
      <c r="F1037" s="32"/>
      <c r="G1037" s="33"/>
      <c r="H1037" s="43" t="str">
        <f>IFERROR(VLOOKUP(IGA_BD[[#This Row],[Affected Feeder ]],'Basic Data'!$A$42:$E$53,2,0),"")</f>
        <v/>
      </c>
      <c r="I1037" s="43" t="str">
        <f>IFERROR(VLOOKUP(IGA_BD[[#This Row],[Affected Feeder ]],'Basic Data'!$A$42:$E$53,3,0),"")</f>
        <v/>
      </c>
      <c r="J1037" s="43" t="str">
        <f>IFERROR(VLOOKUP(IGA_BD[[#This Row],[Affected Feeder ]],'Basic Data'!$A$42:$E$53,5,0),"")</f>
        <v/>
      </c>
      <c r="K1037" s="164"/>
      <c r="L1037" s="50"/>
      <c r="M1037" s="116"/>
      <c r="N1037" s="116"/>
      <c r="O1037" s="57">
        <f>(IGA_BD[[#This Row],[Work Start TimeStamp]]-IGA_BD[[#This Row],[Fault Start TimeStamp]])*24</f>
        <v>0</v>
      </c>
      <c r="P1037" s="44" t="str">
        <f>IF(IGA_BD[[#This Row],[Work Start TimeStamp]]="","",(IGA_BD[[#This Row],[Fault Clearance time]]-IGA_BD[[#This Row],[Work Start TimeStamp]])*24)</f>
        <v/>
      </c>
      <c r="Q1037" s="57">
        <f>(IGA_BD[[#This Row],[Fault Clearance time]]-IGA_BD[[#This Row],[Fault Start TimeStamp]])*24</f>
        <v>0</v>
      </c>
      <c r="R1037" s="153"/>
      <c r="S1037" s="44"/>
      <c r="T1037" s="45" t="str">
        <f>IFERROR(IGA_BD[[#This Row],[Breakdown Time]]*IGA_BD[[#This Row],[Plant Equivalent Weightage]],"")</f>
        <v/>
      </c>
    </row>
    <row r="1038" spans="1:20">
      <c r="A1038" s="28"/>
      <c r="B1038" s="154"/>
      <c r="C1038" s="30">
        <f>YEAR(WTG_BD[[#This Row],[Date]])+IF(MONTH(WTG_BD[[#This Row],[Date]])&gt;=4,1,0)</f>
        <v>1900</v>
      </c>
      <c r="D1038" s="31">
        <f>YEAR(IGA_BD[[#This Row],[Date]])</f>
        <v>1900</v>
      </c>
      <c r="E1038" s="48">
        <f t="shared" si="18"/>
        <v>1</v>
      </c>
      <c r="F1038" s="32"/>
      <c r="G1038" s="33"/>
      <c r="H1038" s="43" t="str">
        <f>IFERROR(VLOOKUP(IGA_BD[[#This Row],[Affected Feeder ]],'Basic Data'!$A$42:$E$53,2,0),"")</f>
        <v/>
      </c>
      <c r="I1038" s="43" t="str">
        <f>IFERROR(VLOOKUP(IGA_BD[[#This Row],[Affected Feeder ]],'Basic Data'!$A$42:$E$53,3,0),"")</f>
        <v/>
      </c>
      <c r="J1038" s="43" t="str">
        <f>IFERROR(VLOOKUP(IGA_BD[[#This Row],[Affected Feeder ]],'Basic Data'!$A$42:$E$53,5,0),"")</f>
        <v/>
      </c>
      <c r="K1038" s="164"/>
      <c r="L1038" s="50"/>
      <c r="M1038" s="116"/>
      <c r="N1038" s="116"/>
      <c r="O1038" s="57">
        <f>(IGA_BD[[#This Row],[Work Start TimeStamp]]-IGA_BD[[#This Row],[Fault Start TimeStamp]])*24</f>
        <v>0</v>
      </c>
      <c r="P1038" s="44" t="str">
        <f>IF(IGA_BD[[#This Row],[Work Start TimeStamp]]="","",(IGA_BD[[#This Row],[Fault Clearance time]]-IGA_BD[[#This Row],[Work Start TimeStamp]])*24)</f>
        <v/>
      </c>
      <c r="Q1038" s="57">
        <f>(IGA_BD[[#This Row],[Fault Clearance time]]-IGA_BD[[#This Row],[Fault Start TimeStamp]])*24</f>
        <v>0</v>
      </c>
      <c r="R1038" s="153"/>
      <c r="S1038" s="44"/>
      <c r="T1038" s="45" t="str">
        <f>IFERROR(IGA_BD[[#This Row],[Breakdown Time]]*IGA_BD[[#This Row],[Plant Equivalent Weightage]],"")</f>
        <v/>
      </c>
    </row>
    <row r="1039" spans="1:20">
      <c r="A1039" s="28"/>
      <c r="B1039" s="154"/>
      <c r="C1039" s="30">
        <f>YEAR(WTG_BD[[#This Row],[Date]])+IF(MONTH(WTG_BD[[#This Row],[Date]])&gt;=4,1,0)</f>
        <v>1900</v>
      </c>
      <c r="D1039" s="31">
        <f>YEAR(IGA_BD[[#This Row],[Date]])</f>
        <v>1900</v>
      </c>
      <c r="E1039" s="48">
        <f t="shared" si="18"/>
        <v>1</v>
      </c>
      <c r="F1039" s="32"/>
      <c r="G1039" s="33"/>
      <c r="H1039" s="43" t="str">
        <f>IFERROR(VLOOKUP(IGA_BD[[#This Row],[Affected Feeder ]],'Basic Data'!$A$42:$E$53,2,0),"")</f>
        <v/>
      </c>
      <c r="I1039" s="43" t="str">
        <f>IFERROR(VLOOKUP(IGA_BD[[#This Row],[Affected Feeder ]],'Basic Data'!$A$42:$E$53,3,0),"")</f>
        <v/>
      </c>
      <c r="J1039" s="43" t="str">
        <f>IFERROR(VLOOKUP(IGA_BD[[#This Row],[Affected Feeder ]],'Basic Data'!$A$42:$E$53,5,0),"")</f>
        <v/>
      </c>
      <c r="K1039" s="164"/>
      <c r="L1039" s="50"/>
      <c r="M1039" s="116"/>
      <c r="N1039" s="116"/>
      <c r="O1039" s="57">
        <f>(IGA_BD[[#This Row],[Work Start TimeStamp]]-IGA_BD[[#This Row],[Fault Start TimeStamp]])*24</f>
        <v>0</v>
      </c>
      <c r="P1039" s="44" t="str">
        <f>IF(IGA_BD[[#This Row],[Work Start TimeStamp]]="","",(IGA_BD[[#This Row],[Fault Clearance time]]-IGA_BD[[#This Row],[Work Start TimeStamp]])*24)</f>
        <v/>
      </c>
      <c r="Q1039" s="57">
        <f>(IGA_BD[[#This Row],[Fault Clearance time]]-IGA_BD[[#This Row],[Fault Start TimeStamp]])*24</f>
        <v>0</v>
      </c>
      <c r="R1039" s="153"/>
      <c r="S1039" s="44"/>
      <c r="T1039" s="45" t="str">
        <f>IFERROR(IGA_BD[[#This Row],[Breakdown Time]]*IGA_BD[[#This Row],[Plant Equivalent Weightage]],"")</f>
        <v/>
      </c>
    </row>
    <row r="1040" spans="1:20">
      <c r="A1040" s="28"/>
      <c r="B1040" s="154"/>
      <c r="C1040" s="30">
        <f>YEAR(WTG_BD[[#This Row],[Date]])+IF(MONTH(WTG_BD[[#This Row],[Date]])&gt;=4,1,0)</f>
        <v>1900</v>
      </c>
      <c r="D1040" s="31">
        <f>YEAR(IGA_BD[[#This Row],[Date]])</f>
        <v>1900</v>
      </c>
      <c r="E1040" s="48">
        <f t="shared" si="18"/>
        <v>1</v>
      </c>
      <c r="F1040" s="32"/>
      <c r="G1040" s="33"/>
      <c r="H1040" s="43" t="str">
        <f>IFERROR(VLOOKUP(IGA_BD[[#This Row],[Affected Feeder ]],'Basic Data'!$A$42:$E$53,2,0),"")</f>
        <v/>
      </c>
      <c r="I1040" s="43" t="str">
        <f>IFERROR(VLOOKUP(IGA_BD[[#This Row],[Affected Feeder ]],'Basic Data'!$A$42:$E$53,3,0),"")</f>
        <v/>
      </c>
      <c r="J1040" s="43" t="str">
        <f>IFERROR(VLOOKUP(IGA_BD[[#This Row],[Affected Feeder ]],'Basic Data'!$A$42:$E$53,5,0),"")</f>
        <v/>
      </c>
      <c r="K1040" s="164"/>
      <c r="L1040" s="50"/>
      <c r="M1040" s="116"/>
      <c r="N1040" s="116"/>
      <c r="O1040" s="57">
        <f>(IGA_BD[[#This Row],[Work Start TimeStamp]]-IGA_BD[[#This Row],[Fault Start TimeStamp]])*24</f>
        <v>0</v>
      </c>
      <c r="P1040" s="44" t="str">
        <f>IF(IGA_BD[[#This Row],[Work Start TimeStamp]]="","",(IGA_BD[[#This Row],[Fault Clearance time]]-IGA_BD[[#This Row],[Work Start TimeStamp]])*24)</f>
        <v/>
      </c>
      <c r="Q1040" s="57">
        <f>(IGA_BD[[#This Row],[Fault Clearance time]]-IGA_BD[[#This Row],[Fault Start TimeStamp]])*24</f>
        <v>0</v>
      </c>
      <c r="R1040" s="153"/>
      <c r="S1040" s="44"/>
      <c r="T1040" s="45" t="str">
        <f>IFERROR(IGA_BD[[#This Row],[Breakdown Time]]*IGA_BD[[#This Row],[Plant Equivalent Weightage]],"")</f>
        <v/>
      </c>
    </row>
    <row r="1041" spans="1:20">
      <c r="A1041" s="28"/>
      <c r="B1041" s="154"/>
      <c r="C1041" s="30">
        <f>YEAR(WTG_BD[[#This Row],[Date]])+IF(MONTH(WTG_BD[[#This Row],[Date]])&gt;=4,1,0)</f>
        <v>1900</v>
      </c>
      <c r="D1041" s="31">
        <f>YEAR(IGA_BD[[#This Row],[Date]])</f>
        <v>1900</v>
      </c>
      <c r="E1041" s="48">
        <f t="shared" si="18"/>
        <v>1</v>
      </c>
      <c r="F1041" s="32"/>
      <c r="G1041" s="33"/>
      <c r="H1041" s="43" t="str">
        <f>IFERROR(VLOOKUP(IGA_BD[[#This Row],[Affected Feeder ]],'Basic Data'!$A$42:$E$53,2,0),"")</f>
        <v/>
      </c>
      <c r="I1041" s="43" t="str">
        <f>IFERROR(VLOOKUP(IGA_BD[[#This Row],[Affected Feeder ]],'Basic Data'!$A$42:$E$53,3,0),"")</f>
        <v/>
      </c>
      <c r="J1041" s="43" t="str">
        <f>IFERROR(VLOOKUP(IGA_BD[[#This Row],[Affected Feeder ]],'Basic Data'!$A$42:$E$53,5,0),"")</f>
        <v/>
      </c>
      <c r="K1041" s="164"/>
      <c r="L1041" s="50"/>
      <c r="M1041" s="116"/>
      <c r="N1041" s="116"/>
      <c r="O1041" s="57">
        <f>(IGA_BD[[#This Row],[Work Start TimeStamp]]-IGA_BD[[#This Row],[Fault Start TimeStamp]])*24</f>
        <v>0</v>
      </c>
      <c r="P1041" s="44" t="str">
        <f>IF(IGA_BD[[#This Row],[Work Start TimeStamp]]="","",(IGA_BD[[#This Row],[Fault Clearance time]]-IGA_BD[[#This Row],[Work Start TimeStamp]])*24)</f>
        <v/>
      </c>
      <c r="Q1041" s="57">
        <f>(IGA_BD[[#This Row],[Fault Clearance time]]-IGA_BD[[#This Row],[Fault Start TimeStamp]])*24</f>
        <v>0</v>
      </c>
      <c r="R1041" s="153"/>
      <c r="S1041" s="44"/>
      <c r="T1041" s="45" t="str">
        <f>IFERROR(IGA_BD[[#This Row],[Breakdown Time]]*IGA_BD[[#This Row],[Plant Equivalent Weightage]],"")</f>
        <v/>
      </c>
    </row>
    <row r="1042" spans="1:20">
      <c r="A1042" s="28"/>
      <c r="B1042" s="154"/>
      <c r="C1042" s="30">
        <f>YEAR(WTG_BD[[#This Row],[Date]])+IF(MONTH(WTG_BD[[#This Row],[Date]])&gt;=4,1,0)</f>
        <v>1900</v>
      </c>
      <c r="D1042" s="31">
        <f>YEAR(IGA_BD[[#This Row],[Date]])</f>
        <v>1900</v>
      </c>
      <c r="E1042" s="48">
        <f t="shared" si="18"/>
        <v>1</v>
      </c>
      <c r="F1042" s="32"/>
      <c r="G1042" s="33"/>
      <c r="H1042" s="43" t="str">
        <f>IFERROR(VLOOKUP(IGA_BD[[#This Row],[Affected Feeder ]],'Basic Data'!$A$42:$E$53,2,0),"")</f>
        <v/>
      </c>
      <c r="I1042" s="43" t="str">
        <f>IFERROR(VLOOKUP(IGA_BD[[#This Row],[Affected Feeder ]],'Basic Data'!$A$42:$E$53,3,0),"")</f>
        <v/>
      </c>
      <c r="J1042" s="43" t="str">
        <f>IFERROR(VLOOKUP(IGA_BD[[#This Row],[Affected Feeder ]],'Basic Data'!$A$42:$E$53,5,0),"")</f>
        <v/>
      </c>
      <c r="K1042" s="164"/>
      <c r="L1042" s="50"/>
      <c r="M1042" s="116"/>
      <c r="N1042" s="116"/>
      <c r="O1042" s="57">
        <f>(IGA_BD[[#This Row],[Work Start TimeStamp]]-IGA_BD[[#This Row],[Fault Start TimeStamp]])*24</f>
        <v>0</v>
      </c>
      <c r="P1042" s="44" t="str">
        <f>IF(IGA_BD[[#This Row],[Work Start TimeStamp]]="","",(IGA_BD[[#This Row],[Fault Clearance time]]-IGA_BD[[#This Row],[Work Start TimeStamp]])*24)</f>
        <v/>
      </c>
      <c r="Q1042" s="57">
        <f>(IGA_BD[[#This Row],[Fault Clearance time]]-IGA_BD[[#This Row],[Fault Start TimeStamp]])*24</f>
        <v>0</v>
      </c>
      <c r="R1042" s="153"/>
      <c r="S1042" s="44"/>
      <c r="T1042" s="45" t="str">
        <f>IFERROR(IGA_BD[[#This Row],[Breakdown Time]]*IGA_BD[[#This Row],[Plant Equivalent Weightage]],"")</f>
        <v/>
      </c>
    </row>
    <row r="1043" spans="1:20">
      <c r="A1043" s="28"/>
      <c r="B1043" s="154"/>
      <c r="C1043" s="30">
        <f>YEAR(WTG_BD[[#This Row],[Date]])+IF(MONTH(WTG_BD[[#This Row],[Date]])&gt;=4,1,0)</f>
        <v>1900</v>
      </c>
      <c r="D1043" s="31">
        <f>YEAR(IGA_BD[[#This Row],[Date]])</f>
        <v>1900</v>
      </c>
      <c r="E1043" s="48">
        <f t="shared" si="18"/>
        <v>1</v>
      </c>
      <c r="F1043" s="32"/>
      <c r="G1043" s="33"/>
      <c r="H1043" s="43" t="str">
        <f>IFERROR(VLOOKUP(IGA_BD[[#This Row],[Affected Feeder ]],'Basic Data'!$A$42:$E$53,2,0),"")</f>
        <v/>
      </c>
      <c r="I1043" s="43" t="str">
        <f>IFERROR(VLOOKUP(IGA_BD[[#This Row],[Affected Feeder ]],'Basic Data'!$A$42:$E$53,3,0),"")</f>
        <v/>
      </c>
      <c r="J1043" s="43" t="str">
        <f>IFERROR(VLOOKUP(IGA_BD[[#This Row],[Affected Feeder ]],'Basic Data'!$A$42:$E$53,5,0),"")</f>
        <v/>
      </c>
      <c r="K1043" s="164"/>
      <c r="L1043" s="50"/>
      <c r="M1043" s="116"/>
      <c r="N1043" s="116"/>
      <c r="O1043" s="57">
        <f>(IGA_BD[[#This Row],[Work Start TimeStamp]]-IGA_BD[[#This Row],[Fault Start TimeStamp]])*24</f>
        <v>0</v>
      </c>
      <c r="P1043" s="44" t="str">
        <f>IF(IGA_BD[[#This Row],[Work Start TimeStamp]]="","",(IGA_BD[[#This Row],[Fault Clearance time]]-IGA_BD[[#This Row],[Work Start TimeStamp]])*24)</f>
        <v/>
      </c>
      <c r="Q1043" s="57">
        <f>(IGA_BD[[#This Row],[Fault Clearance time]]-IGA_BD[[#This Row],[Fault Start TimeStamp]])*24</f>
        <v>0</v>
      </c>
      <c r="R1043" s="153"/>
      <c r="S1043" s="44"/>
      <c r="T1043" s="45" t="str">
        <f>IFERROR(IGA_BD[[#This Row],[Breakdown Time]]*IGA_BD[[#This Row],[Plant Equivalent Weightage]],"")</f>
        <v/>
      </c>
    </row>
    <row r="1044" spans="1:20">
      <c r="A1044" s="28"/>
      <c r="B1044" s="154"/>
      <c r="C1044" s="30">
        <f>YEAR(WTG_BD[[#This Row],[Date]])+IF(MONTH(WTG_BD[[#This Row],[Date]])&gt;=4,1,0)</f>
        <v>1900</v>
      </c>
      <c r="D1044" s="31">
        <f>YEAR(IGA_BD[[#This Row],[Date]])</f>
        <v>1900</v>
      </c>
      <c r="E1044" s="48">
        <f t="shared" si="18"/>
        <v>1</v>
      </c>
      <c r="F1044" s="32"/>
      <c r="G1044" s="33"/>
      <c r="H1044" s="43" t="str">
        <f>IFERROR(VLOOKUP(IGA_BD[[#This Row],[Affected Feeder ]],'Basic Data'!$A$42:$E$53,2,0),"")</f>
        <v/>
      </c>
      <c r="I1044" s="43" t="str">
        <f>IFERROR(VLOOKUP(IGA_BD[[#This Row],[Affected Feeder ]],'Basic Data'!$A$42:$E$53,3,0),"")</f>
        <v/>
      </c>
      <c r="J1044" s="43" t="str">
        <f>IFERROR(VLOOKUP(IGA_BD[[#This Row],[Affected Feeder ]],'Basic Data'!$A$42:$E$53,5,0),"")</f>
        <v/>
      </c>
      <c r="K1044" s="164"/>
      <c r="L1044" s="50"/>
      <c r="M1044" s="116"/>
      <c r="N1044" s="116"/>
      <c r="O1044" s="57">
        <f>(IGA_BD[[#This Row],[Work Start TimeStamp]]-IGA_BD[[#This Row],[Fault Start TimeStamp]])*24</f>
        <v>0</v>
      </c>
      <c r="P1044" s="44" t="str">
        <f>IF(IGA_BD[[#This Row],[Work Start TimeStamp]]="","",(IGA_BD[[#This Row],[Fault Clearance time]]-IGA_BD[[#This Row],[Work Start TimeStamp]])*24)</f>
        <v/>
      </c>
      <c r="Q1044" s="57">
        <f>(IGA_BD[[#This Row],[Fault Clearance time]]-IGA_BD[[#This Row],[Fault Start TimeStamp]])*24</f>
        <v>0</v>
      </c>
      <c r="R1044" s="153"/>
      <c r="S1044" s="44"/>
      <c r="T1044" s="45" t="str">
        <f>IFERROR(IGA_BD[[#This Row],[Breakdown Time]]*IGA_BD[[#This Row],[Plant Equivalent Weightage]],"")</f>
        <v/>
      </c>
    </row>
    <row r="1045" spans="1:20">
      <c r="A1045" s="28"/>
      <c r="B1045" s="154"/>
      <c r="C1045" s="30">
        <f>YEAR(WTG_BD[[#This Row],[Date]])+IF(MONTH(WTG_BD[[#This Row],[Date]])&gt;=4,1,0)</f>
        <v>1900</v>
      </c>
      <c r="D1045" s="31">
        <f>YEAR(IGA_BD[[#This Row],[Date]])</f>
        <v>1900</v>
      </c>
      <c r="E1045" s="48">
        <f t="shared" si="18"/>
        <v>1</v>
      </c>
      <c r="F1045" s="32"/>
      <c r="G1045" s="33"/>
      <c r="H1045" s="43" t="str">
        <f>IFERROR(VLOOKUP(IGA_BD[[#This Row],[Affected Feeder ]],'Basic Data'!$A$42:$E$53,2,0),"")</f>
        <v/>
      </c>
      <c r="I1045" s="43" t="str">
        <f>IFERROR(VLOOKUP(IGA_BD[[#This Row],[Affected Feeder ]],'Basic Data'!$A$42:$E$53,3,0),"")</f>
        <v/>
      </c>
      <c r="J1045" s="43" t="str">
        <f>IFERROR(VLOOKUP(IGA_BD[[#This Row],[Affected Feeder ]],'Basic Data'!$A$42:$E$53,5,0),"")</f>
        <v/>
      </c>
      <c r="K1045" s="164"/>
      <c r="L1045" s="50"/>
      <c r="M1045" s="116"/>
      <c r="N1045" s="116"/>
      <c r="O1045" s="57">
        <f>(IGA_BD[[#This Row],[Work Start TimeStamp]]-IGA_BD[[#This Row],[Fault Start TimeStamp]])*24</f>
        <v>0</v>
      </c>
      <c r="P1045" s="44" t="str">
        <f>IF(IGA_BD[[#This Row],[Work Start TimeStamp]]="","",(IGA_BD[[#This Row],[Fault Clearance time]]-IGA_BD[[#This Row],[Work Start TimeStamp]])*24)</f>
        <v/>
      </c>
      <c r="Q1045" s="57">
        <f>(IGA_BD[[#This Row],[Fault Clearance time]]-IGA_BD[[#This Row],[Fault Start TimeStamp]])*24</f>
        <v>0</v>
      </c>
      <c r="R1045" s="153"/>
      <c r="S1045" s="44"/>
      <c r="T1045" s="45" t="str">
        <f>IFERROR(IGA_BD[[#This Row],[Breakdown Time]]*IGA_BD[[#This Row],[Plant Equivalent Weightage]],"")</f>
        <v/>
      </c>
    </row>
    <row r="1046" spans="1:20">
      <c r="A1046" s="28"/>
      <c r="B1046" s="154"/>
      <c r="C1046" s="30">
        <f>YEAR(WTG_BD[[#This Row],[Date]])+IF(MONTH(WTG_BD[[#This Row],[Date]])&gt;=4,1,0)</f>
        <v>1900</v>
      </c>
      <c r="D1046" s="31">
        <f>YEAR(IGA_BD[[#This Row],[Date]])</f>
        <v>1900</v>
      </c>
      <c r="E1046" s="48">
        <f t="shared" si="18"/>
        <v>1</v>
      </c>
      <c r="F1046" s="32"/>
      <c r="G1046" s="33"/>
      <c r="H1046" s="43" t="str">
        <f>IFERROR(VLOOKUP(IGA_BD[[#This Row],[Affected Feeder ]],'Basic Data'!$A$42:$E$53,2,0),"")</f>
        <v/>
      </c>
      <c r="I1046" s="43" t="str">
        <f>IFERROR(VLOOKUP(IGA_BD[[#This Row],[Affected Feeder ]],'Basic Data'!$A$42:$E$53,3,0),"")</f>
        <v/>
      </c>
      <c r="J1046" s="43" t="str">
        <f>IFERROR(VLOOKUP(IGA_BD[[#This Row],[Affected Feeder ]],'Basic Data'!$A$42:$E$53,5,0),"")</f>
        <v/>
      </c>
      <c r="K1046" s="164"/>
      <c r="L1046" s="50"/>
      <c r="M1046" s="116"/>
      <c r="N1046" s="116"/>
      <c r="O1046" s="57">
        <f>(IGA_BD[[#This Row],[Work Start TimeStamp]]-IGA_BD[[#This Row],[Fault Start TimeStamp]])*24</f>
        <v>0</v>
      </c>
      <c r="P1046" s="44" t="str">
        <f>IF(IGA_BD[[#This Row],[Work Start TimeStamp]]="","",(IGA_BD[[#This Row],[Fault Clearance time]]-IGA_BD[[#This Row],[Work Start TimeStamp]])*24)</f>
        <v/>
      </c>
      <c r="Q1046" s="57">
        <f>(IGA_BD[[#This Row],[Fault Clearance time]]-IGA_BD[[#This Row],[Fault Start TimeStamp]])*24</f>
        <v>0</v>
      </c>
      <c r="R1046" s="153"/>
      <c r="S1046" s="44"/>
      <c r="T1046" s="45" t="str">
        <f>IFERROR(IGA_BD[[#This Row],[Breakdown Time]]*IGA_BD[[#This Row],[Plant Equivalent Weightage]],"")</f>
        <v/>
      </c>
    </row>
    <row r="1047" spans="1:20">
      <c r="A1047" s="28"/>
      <c r="B1047" s="154"/>
      <c r="C1047" s="30">
        <f>YEAR(WTG_BD[[#This Row],[Date]])+IF(MONTH(WTG_BD[[#This Row],[Date]])&gt;=4,1,0)</f>
        <v>1900</v>
      </c>
      <c r="D1047" s="31">
        <f>YEAR(IGA_BD[[#This Row],[Date]])</f>
        <v>1900</v>
      </c>
      <c r="E1047" s="48">
        <f t="shared" si="18"/>
        <v>1</v>
      </c>
      <c r="F1047" s="32"/>
      <c r="G1047" s="33"/>
      <c r="H1047" s="43" t="str">
        <f>IFERROR(VLOOKUP(IGA_BD[[#This Row],[Affected Feeder ]],'Basic Data'!$A$42:$E$53,2,0),"")</f>
        <v/>
      </c>
      <c r="I1047" s="43" t="str">
        <f>IFERROR(VLOOKUP(IGA_BD[[#This Row],[Affected Feeder ]],'Basic Data'!$A$42:$E$53,3,0),"")</f>
        <v/>
      </c>
      <c r="J1047" s="43" t="str">
        <f>IFERROR(VLOOKUP(IGA_BD[[#This Row],[Affected Feeder ]],'Basic Data'!$A$42:$E$53,5,0),"")</f>
        <v/>
      </c>
      <c r="K1047" s="164"/>
      <c r="L1047" s="50"/>
      <c r="M1047" s="116"/>
      <c r="N1047" s="116"/>
      <c r="O1047" s="57">
        <f>(IGA_BD[[#This Row],[Work Start TimeStamp]]-IGA_BD[[#This Row],[Fault Start TimeStamp]])*24</f>
        <v>0</v>
      </c>
      <c r="P1047" s="44" t="str">
        <f>IF(IGA_BD[[#This Row],[Work Start TimeStamp]]="","",(IGA_BD[[#This Row],[Fault Clearance time]]-IGA_BD[[#This Row],[Work Start TimeStamp]])*24)</f>
        <v/>
      </c>
      <c r="Q1047" s="57">
        <f>(IGA_BD[[#This Row],[Fault Clearance time]]-IGA_BD[[#This Row],[Fault Start TimeStamp]])*24</f>
        <v>0</v>
      </c>
      <c r="R1047" s="153"/>
      <c r="S1047" s="44"/>
      <c r="T1047" s="45" t="str">
        <f>IFERROR(IGA_BD[[#This Row],[Breakdown Time]]*IGA_BD[[#This Row],[Plant Equivalent Weightage]],"")</f>
        <v/>
      </c>
    </row>
    <row r="1048" spans="1:20">
      <c r="A1048" s="28"/>
      <c r="B1048" s="154"/>
      <c r="C1048" s="30">
        <f>YEAR(WTG_BD[[#This Row],[Date]])+IF(MONTH(WTG_BD[[#This Row],[Date]])&gt;=4,1,0)</f>
        <v>1900</v>
      </c>
      <c r="D1048" s="31">
        <f>YEAR(IGA_BD[[#This Row],[Date]])</f>
        <v>1900</v>
      </c>
      <c r="E1048" s="48">
        <f t="shared" si="18"/>
        <v>1</v>
      </c>
      <c r="F1048" s="32"/>
      <c r="G1048" s="33"/>
      <c r="H1048" s="43" t="str">
        <f>IFERROR(VLOOKUP(IGA_BD[[#This Row],[Affected Feeder ]],'Basic Data'!$A$42:$E$53,2,0),"")</f>
        <v/>
      </c>
      <c r="I1048" s="43" t="str">
        <f>IFERROR(VLOOKUP(IGA_BD[[#This Row],[Affected Feeder ]],'Basic Data'!$A$42:$E$53,3,0),"")</f>
        <v/>
      </c>
      <c r="J1048" s="43" t="str">
        <f>IFERROR(VLOOKUP(IGA_BD[[#This Row],[Affected Feeder ]],'Basic Data'!$A$42:$E$53,5,0),"")</f>
        <v/>
      </c>
      <c r="K1048" s="164"/>
      <c r="L1048" s="50"/>
      <c r="M1048" s="116"/>
      <c r="N1048" s="116"/>
      <c r="O1048" s="57">
        <f>(IGA_BD[[#This Row],[Work Start TimeStamp]]-IGA_BD[[#This Row],[Fault Start TimeStamp]])*24</f>
        <v>0</v>
      </c>
      <c r="P1048" s="44" t="str">
        <f>IF(IGA_BD[[#This Row],[Work Start TimeStamp]]="","",(IGA_BD[[#This Row],[Fault Clearance time]]-IGA_BD[[#This Row],[Work Start TimeStamp]])*24)</f>
        <v/>
      </c>
      <c r="Q1048" s="57">
        <f>(IGA_BD[[#This Row],[Fault Clearance time]]-IGA_BD[[#This Row],[Fault Start TimeStamp]])*24</f>
        <v>0</v>
      </c>
      <c r="R1048" s="153"/>
      <c r="S1048" s="44"/>
      <c r="T1048" s="45" t="str">
        <f>IFERROR(IGA_BD[[#This Row],[Breakdown Time]]*IGA_BD[[#This Row],[Plant Equivalent Weightage]],"")</f>
        <v/>
      </c>
    </row>
    <row r="1049" spans="1:20">
      <c r="A1049" s="28"/>
      <c r="B1049" s="154"/>
      <c r="C1049" s="30">
        <f>YEAR(WTG_BD[[#This Row],[Date]])+IF(MONTH(WTG_BD[[#This Row],[Date]])&gt;=4,1,0)</f>
        <v>1900</v>
      </c>
      <c r="D1049" s="31">
        <f>YEAR(IGA_BD[[#This Row],[Date]])</f>
        <v>1900</v>
      </c>
      <c r="E1049" s="48">
        <f t="shared" si="18"/>
        <v>1</v>
      </c>
      <c r="F1049" s="32"/>
      <c r="G1049" s="33"/>
      <c r="H1049" s="43" t="str">
        <f>IFERROR(VLOOKUP(IGA_BD[[#This Row],[Affected Feeder ]],'Basic Data'!$A$42:$E$53,2,0),"")</f>
        <v/>
      </c>
      <c r="I1049" s="43" t="str">
        <f>IFERROR(VLOOKUP(IGA_BD[[#This Row],[Affected Feeder ]],'Basic Data'!$A$42:$E$53,3,0),"")</f>
        <v/>
      </c>
      <c r="J1049" s="43" t="str">
        <f>IFERROR(VLOOKUP(IGA_BD[[#This Row],[Affected Feeder ]],'Basic Data'!$A$42:$E$53,5,0),"")</f>
        <v/>
      </c>
      <c r="K1049" s="164"/>
      <c r="L1049" s="50"/>
      <c r="M1049" s="116"/>
      <c r="N1049" s="116"/>
      <c r="O1049" s="57">
        <f>(IGA_BD[[#This Row],[Work Start TimeStamp]]-IGA_BD[[#This Row],[Fault Start TimeStamp]])*24</f>
        <v>0</v>
      </c>
      <c r="P1049" s="44" t="str">
        <f>IF(IGA_BD[[#This Row],[Work Start TimeStamp]]="","",(IGA_BD[[#This Row],[Fault Clearance time]]-IGA_BD[[#This Row],[Work Start TimeStamp]])*24)</f>
        <v/>
      </c>
      <c r="Q1049" s="57">
        <f>(IGA_BD[[#This Row],[Fault Clearance time]]-IGA_BD[[#This Row],[Fault Start TimeStamp]])*24</f>
        <v>0</v>
      </c>
      <c r="R1049" s="153"/>
      <c r="S1049" s="44"/>
      <c r="T1049" s="45" t="str">
        <f>IFERROR(IGA_BD[[#This Row],[Breakdown Time]]*IGA_BD[[#This Row],[Plant Equivalent Weightage]],"")</f>
        <v/>
      </c>
    </row>
    <row r="1050" spans="1:20">
      <c r="A1050" s="28"/>
      <c r="B1050" s="154"/>
      <c r="C1050" s="30">
        <f>YEAR(WTG_BD[[#This Row],[Date]])+IF(MONTH(WTG_BD[[#This Row],[Date]])&gt;=4,1,0)</f>
        <v>1900</v>
      </c>
      <c r="D1050" s="31">
        <f>YEAR(IGA_BD[[#This Row],[Date]])</f>
        <v>1900</v>
      </c>
      <c r="E1050" s="48">
        <f t="shared" si="18"/>
        <v>1</v>
      </c>
      <c r="F1050" s="32"/>
      <c r="G1050" s="33"/>
      <c r="H1050" s="43" t="str">
        <f>IFERROR(VLOOKUP(IGA_BD[[#This Row],[Affected Feeder ]],'Basic Data'!$A$42:$E$53,2,0),"")</f>
        <v/>
      </c>
      <c r="I1050" s="43" t="str">
        <f>IFERROR(VLOOKUP(IGA_BD[[#This Row],[Affected Feeder ]],'Basic Data'!$A$42:$E$53,3,0),"")</f>
        <v/>
      </c>
      <c r="J1050" s="43" t="str">
        <f>IFERROR(VLOOKUP(IGA_BD[[#This Row],[Affected Feeder ]],'Basic Data'!$A$42:$E$53,5,0),"")</f>
        <v/>
      </c>
      <c r="K1050" s="164"/>
      <c r="L1050" s="50"/>
      <c r="M1050" s="116"/>
      <c r="N1050" s="116"/>
      <c r="O1050" s="57">
        <f>(IGA_BD[[#This Row],[Work Start TimeStamp]]-IGA_BD[[#This Row],[Fault Start TimeStamp]])*24</f>
        <v>0</v>
      </c>
      <c r="P1050" s="44" t="str">
        <f>IF(IGA_BD[[#This Row],[Work Start TimeStamp]]="","",(IGA_BD[[#This Row],[Fault Clearance time]]-IGA_BD[[#This Row],[Work Start TimeStamp]])*24)</f>
        <v/>
      </c>
      <c r="Q1050" s="57">
        <f>(IGA_BD[[#This Row],[Fault Clearance time]]-IGA_BD[[#This Row],[Fault Start TimeStamp]])*24</f>
        <v>0</v>
      </c>
      <c r="R1050" s="153"/>
      <c r="S1050" s="44"/>
      <c r="T1050" s="45" t="str">
        <f>IFERROR(IGA_BD[[#This Row],[Breakdown Time]]*IGA_BD[[#This Row],[Plant Equivalent Weightage]],"")</f>
        <v/>
      </c>
    </row>
    <row r="1051" spans="1:20">
      <c r="A1051" s="28"/>
      <c r="B1051" s="154"/>
      <c r="C1051" s="30">
        <f>YEAR(WTG_BD[[#This Row],[Date]])+IF(MONTH(WTG_BD[[#This Row],[Date]])&gt;=4,1,0)</f>
        <v>1900</v>
      </c>
      <c r="D1051" s="31">
        <f>YEAR(IGA_BD[[#This Row],[Date]])</f>
        <v>1900</v>
      </c>
      <c r="E1051" s="48">
        <f t="shared" si="18"/>
        <v>1</v>
      </c>
      <c r="F1051" s="32"/>
      <c r="G1051" s="33"/>
      <c r="H1051" s="43" t="str">
        <f>IFERROR(VLOOKUP(IGA_BD[[#This Row],[Affected Feeder ]],'Basic Data'!$A$42:$E$53,2,0),"")</f>
        <v/>
      </c>
      <c r="I1051" s="43" t="str">
        <f>IFERROR(VLOOKUP(IGA_BD[[#This Row],[Affected Feeder ]],'Basic Data'!$A$42:$E$53,3,0),"")</f>
        <v/>
      </c>
      <c r="J1051" s="43" t="str">
        <f>IFERROR(VLOOKUP(IGA_BD[[#This Row],[Affected Feeder ]],'Basic Data'!$A$42:$E$53,5,0),"")</f>
        <v/>
      </c>
      <c r="K1051" s="164"/>
      <c r="L1051" s="50"/>
      <c r="M1051" s="116"/>
      <c r="N1051" s="116"/>
      <c r="O1051" s="57">
        <f>(IGA_BD[[#This Row],[Work Start TimeStamp]]-IGA_BD[[#This Row],[Fault Start TimeStamp]])*24</f>
        <v>0</v>
      </c>
      <c r="P1051" s="44" t="str">
        <f>IF(IGA_BD[[#This Row],[Work Start TimeStamp]]="","",(IGA_BD[[#This Row],[Fault Clearance time]]-IGA_BD[[#This Row],[Work Start TimeStamp]])*24)</f>
        <v/>
      </c>
      <c r="Q1051" s="57">
        <f>(IGA_BD[[#This Row],[Fault Clearance time]]-IGA_BD[[#This Row],[Fault Start TimeStamp]])*24</f>
        <v>0</v>
      </c>
      <c r="R1051" s="153"/>
      <c r="S1051" s="44"/>
      <c r="T1051" s="45" t="str">
        <f>IFERROR(IGA_BD[[#This Row],[Breakdown Time]]*IGA_BD[[#This Row],[Plant Equivalent Weightage]],"")</f>
        <v/>
      </c>
    </row>
    <row r="1052" spans="1:20">
      <c r="A1052" s="28"/>
      <c r="B1052" s="154"/>
      <c r="C1052" s="30">
        <f>YEAR(WTG_BD[[#This Row],[Date]])+IF(MONTH(WTG_BD[[#This Row],[Date]])&gt;=4,1,0)</f>
        <v>1900</v>
      </c>
      <c r="D1052" s="31">
        <f>YEAR(IGA_BD[[#This Row],[Date]])</f>
        <v>1900</v>
      </c>
      <c r="E1052" s="48">
        <f t="shared" ref="E1052:E1115" si="19">B1052-DAY(B1052)+1</f>
        <v>1</v>
      </c>
      <c r="F1052" s="32"/>
      <c r="G1052" s="33"/>
      <c r="H1052" s="43" t="str">
        <f>IFERROR(VLOOKUP(IGA_BD[[#This Row],[Affected Feeder ]],'Basic Data'!$A$42:$E$53,2,0),"")</f>
        <v/>
      </c>
      <c r="I1052" s="43" t="str">
        <f>IFERROR(VLOOKUP(IGA_BD[[#This Row],[Affected Feeder ]],'Basic Data'!$A$42:$E$53,3,0),"")</f>
        <v/>
      </c>
      <c r="J1052" s="43" t="str">
        <f>IFERROR(VLOOKUP(IGA_BD[[#This Row],[Affected Feeder ]],'Basic Data'!$A$42:$E$53,5,0),"")</f>
        <v/>
      </c>
      <c r="K1052" s="164"/>
      <c r="L1052" s="50"/>
      <c r="M1052" s="116"/>
      <c r="N1052" s="116"/>
      <c r="O1052" s="57">
        <f>(IGA_BD[[#This Row],[Work Start TimeStamp]]-IGA_BD[[#This Row],[Fault Start TimeStamp]])*24</f>
        <v>0</v>
      </c>
      <c r="P1052" s="44" t="str">
        <f>IF(IGA_BD[[#This Row],[Work Start TimeStamp]]="","",(IGA_BD[[#This Row],[Fault Clearance time]]-IGA_BD[[#This Row],[Work Start TimeStamp]])*24)</f>
        <v/>
      </c>
      <c r="Q1052" s="57">
        <f>(IGA_BD[[#This Row],[Fault Clearance time]]-IGA_BD[[#This Row],[Fault Start TimeStamp]])*24</f>
        <v>0</v>
      </c>
      <c r="R1052" s="153"/>
      <c r="S1052" s="44"/>
      <c r="T1052" s="45" t="str">
        <f>IFERROR(IGA_BD[[#This Row],[Breakdown Time]]*IGA_BD[[#This Row],[Plant Equivalent Weightage]],"")</f>
        <v/>
      </c>
    </row>
    <row r="1053" spans="1:20">
      <c r="A1053" s="28"/>
      <c r="B1053" s="154"/>
      <c r="C1053" s="30">
        <f>YEAR(WTG_BD[[#This Row],[Date]])+IF(MONTH(WTG_BD[[#This Row],[Date]])&gt;=4,1,0)</f>
        <v>1900</v>
      </c>
      <c r="D1053" s="31">
        <f>YEAR(IGA_BD[[#This Row],[Date]])</f>
        <v>1900</v>
      </c>
      <c r="E1053" s="48">
        <f t="shared" si="19"/>
        <v>1</v>
      </c>
      <c r="F1053" s="32"/>
      <c r="G1053" s="33"/>
      <c r="H1053" s="43" t="str">
        <f>IFERROR(VLOOKUP(IGA_BD[[#This Row],[Affected Feeder ]],'Basic Data'!$A$42:$E$53,2,0),"")</f>
        <v/>
      </c>
      <c r="I1053" s="43" t="str">
        <f>IFERROR(VLOOKUP(IGA_BD[[#This Row],[Affected Feeder ]],'Basic Data'!$A$42:$E$53,3,0),"")</f>
        <v/>
      </c>
      <c r="J1053" s="43" t="str">
        <f>IFERROR(VLOOKUP(IGA_BD[[#This Row],[Affected Feeder ]],'Basic Data'!$A$42:$E$53,5,0),"")</f>
        <v/>
      </c>
      <c r="K1053" s="164"/>
      <c r="L1053" s="50"/>
      <c r="M1053" s="116"/>
      <c r="N1053" s="116"/>
      <c r="O1053" s="57">
        <f>(IGA_BD[[#This Row],[Work Start TimeStamp]]-IGA_BD[[#This Row],[Fault Start TimeStamp]])*24</f>
        <v>0</v>
      </c>
      <c r="P1053" s="44" t="str">
        <f>IF(IGA_BD[[#This Row],[Work Start TimeStamp]]="","",(IGA_BD[[#This Row],[Fault Clearance time]]-IGA_BD[[#This Row],[Work Start TimeStamp]])*24)</f>
        <v/>
      </c>
      <c r="Q1053" s="57">
        <f>(IGA_BD[[#This Row],[Fault Clearance time]]-IGA_BD[[#This Row],[Fault Start TimeStamp]])*24</f>
        <v>0</v>
      </c>
      <c r="R1053" s="153"/>
      <c r="S1053" s="44"/>
      <c r="T1053" s="45" t="str">
        <f>IFERROR(IGA_BD[[#This Row],[Breakdown Time]]*IGA_BD[[#This Row],[Plant Equivalent Weightage]],"")</f>
        <v/>
      </c>
    </row>
    <row r="1054" spans="1:20">
      <c r="A1054" s="28"/>
      <c r="B1054" s="154"/>
      <c r="C1054" s="30">
        <f>YEAR(WTG_BD[[#This Row],[Date]])+IF(MONTH(WTG_BD[[#This Row],[Date]])&gt;=4,1,0)</f>
        <v>1900</v>
      </c>
      <c r="D1054" s="31">
        <f>YEAR(IGA_BD[[#This Row],[Date]])</f>
        <v>1900</v>
      </c>
      <c r="E1054" s="48">
        <f t="shared" si="19"/>
        <v>1</v>
      </c>
      <c r="F1054" s="32"/>
      <c r="G1054" s="33"/>
      <c r="H1054" s="43" t="str">
        <f>IFERROR(VLOOKUP(IGA_BD[[#This Row],[Affected Feeder ]],'Basic Data'!$A$42:$E$53,2,0),"")</f>
        <v/>
      </c>
      <c r="I1054" s="43" t="str">
        <f>IFERROR(VLOOKUP(IGA_BD[[#This Row],[Affected Feeder ]],'Basic Data'!$A$42:$E$53,3,0),"")</f>
        <v/>
      </c>
      <c r="J1054" s="43" t="str">
        <f>IFERROR(VLOOKUP(IGA_BD[[#This Row],[Affected Feeder ]],'Basic Data'!$A$42:$E$53,5,0),"")</f>
        <v/>
      </c>
      <c r="K1054" s="164"/>
      <c r="L1054" s="50"/>
      <c r="M1054" s="116"/>
      <c r="N1054" s="116"/>
      <c r="O1054" s="57">
        <f>(IGA_BD[[#This Row],[Work Start TimeStamp]]-IGA_BD[[#This Row],[Fault Start TimeStamp]])*24</f>
        <v>0</v>
      </c>
      <c r="P1054" s="44" t="str">
        <f>IF(IGA_BD[[#This Row],[Work Start TimeStamp]]="","",(IGA_BD[[#This Row],[Fault Clearance time]]-IGA_BD[[#This Row],[Work Start TimeStamp]])*24)</f>
        <v/>
      </c>
      <c r="Q1054" s="57">
        <f>(IGA_BD[[#This Row],[Fault Clearance time]]-IGA_BD[[#This Row],[Fault Start TimeStamp]])*24</f>
        <v>0</v>
      </c>
      <c r="R1054" s="153"/>
      <c r="S1054" s="44"/>
      <c r="T1054" s="45" t="str">
        <f>IFERROR(IGA_BD[[#This Row],[Breakdown Time]]*IGA_BD[[#This Row],[Plant Equivalent Weightage]],"")</f>
        <v/>
      </c>
    </row>
    <row r="1055" spans="1:20">
      <c r="A1055" s="28"/>
      <c r="B1055" s="154"/>
      <c r="C1055" s="30">
        <f>YEAR(WTG_BD[[#This Row],[Date]])+IF(MONTH(WTG_BD[[#This Row],[Date]])&gt;=4,1,0)</f>
        <v>1900</v>
      </c>
      <c r="D1055" s="31">
        <f>YEAR(IGA_BD[[#This Row],[Date]])</f>
        <v>1900</v>
      </c>
      <c r="E1055" s="48">
        <f t="shared" si="19"/>
        <v>1</v>
      </c>
      <c r="F1055" s="32"/>
      <c r="G1055" s="33"/>
      <c r="H1055" s="43" t="str">
        <f>IFERROR(VLOOKUP(IGA_BD[[#This Row],[Affected Feeder ]],'Basic Data'!$A$42:$E$53,2,0),"")</f>
        <v/>
      </c>
      <c r="I1055" s="43" t="str">
        <f>IFERROR(VLOOKUP(IGA_BD[[#This Row],[Affected Feeder ]],'Basic Data'!$A$42:$E$53,3,0),"")</f>
        <v/>
      </c>
      <c r="J1055" s="43" t="str">
        <f>IFERROR(VLOOKUP(IGA_BD[[#This Row],[Affected Feeder ]],'Basic Data'!$A$42:$E$53,5,0),"")</f>
        <v/>
      </c>
      <c r="K1055" s="164"/>
      <c r="L1055" s="50"/>
      <c r="M1055" s="116"/>
      <c r="N1055" s="116"/>
      <c r="O1055" s="57">
        <f>(IGA_BD[[#This Row],[Work Start TimeStamp]]-IGA_BD[[#This Row],[Fault Start TimeStamp]])*24</f>
        <v>0</v>
      </c>
      <c r="P1055" s="44" t="str">
        <f>IF(IGA_BD[[#This Row],[Work Start TimeStamp]]="","",(IGA_BD[[#This Row],[Fault Clearance time]]-IGA_BD[[#This Row],[Work Start TimeStamp]])*24)</f>
        <v/>
      </c>
      <c r="Q1055" s="57">
        <f>(IGA_BD[[#This Row],[Fault Clearance time]]-IGA_BD[[#This Row],[Fault Start TimeStamp]])*24</f>
        <v>0</v>
      </c>
      <c r="R1055" s="153"/>
      <c r="S1055" s="44"/>
      <c r="T1055" s="45" t="str">
        <f>IFERROR(IGA_BD[[#This Row],[Breakdown Time]]*IGA_BD[[#This Row],[Plant Equivalent Weightage]],"")</f>
        <v/>
      </c>
    </row>
    <row r="1056" spans="1:20">
      <c r="A1056" s="28"/>
      <c r="B1056" s="154"/>
      <c r="C1056" s="30">
        <f>YEAR(WTG_BD[[#This Row],[Date]])+IF(MONTH(WTG_BD[[#This Row],[Date]])&gt;=4,1,0)</f>
        <v>1900</v>
      </c>
      <c r="D1056" s="31">
        <f>YEAR(IGA_BD[[#This Row],[Date]])</f>
        <v>1900</v>
      </c>
      <c r="E1056" s="48">
        <f t="shared" si="19"/>
        <v>1</v>
      </c>
      <c r="F1056" s="32"/>
      <c r="G1056" s="33"/>
      <c r="H1056" s="43" t="str">
        <f>IFERROR(VLOOKUP(IGA_BD[[#This Row],[Affected Feeder ]],'Basic Data'!$A$42:$E$53,2,0),"")</f>
        <v/>
      </c>
      <c r="I1056" s="43" t="str">
        <f>IFERROR(VLOOKUP(IGA_BD[[#This Row],[Affected Feeder ]],'Basic Data'!$A$42:$E$53,3,0),"")</f>
        <v/>
      </c>
      <c r="J1056" s="43" t="str">
        <f>IFERROR(VLOOKUP(IGA_BD[[#This Row],[Affected Feeder ]],'Basic Data'!$A$42:$E$53,5,0),"")</f>
        <v/>
      </c>
      <c r="K1056" s="164"/>
      <c r="L1056" s="50"/>
      <c r="M1056" s="116"/>
      <c r="N1056" s="116"/>
      <c r="O1056" s="57">
        <f>(IGA_BD[[#This Row],[Work Start TimeStamp]]-IGA_BD[[#This Row],[Fault Start TimeStamp]])*24</f>
        <v>0</v>
      </c>
      <c r="P1056" s="44" t="str">
        <f>IF(IGA_BD[[#This Row],[Work Start TimeStamp]]="","",(IGA_BD[[#This Row],[Fault Clearance time]]-IGA_BD[[#This Row],[Work Start TimeStamp]])*24)</f>
        <v/>
      </c>
      <c r="Q1056" s="57">
        <f>(IGA_BD[[#This Row],[Fault Clearance time]]-IGA_BD[[#This Row],[Fault Start TimeStamp]])*24</f>
        <v>0</v>
      </c>
      <c r="R1056" s="153"/>
      <c r="S1056" s="44"/>
      <c r="T1056" s="45" t="str">
        <f>IFERROR(IGA_BD[[#This Row],[Breakdown Time]]*IGA_BD[[#This Row],[Plant Equivalent Weightage]],"")</f>
        <v/>
      </c>
    </row>
    <row r="1057" spans="1:20">
      <c r="A1057" s="28"/>
      <c r="B1057" s="154"/>
      <c r="C1057" s="30">
        <f>YEAR(WTG_BD[[#This Row],[Date]])+IF(MONTH(WTG_BD[[#This Row],[Date]])&gt;=4,1,0)</f>
        <v>1900</v>
      </c>
      <c r="D1057" s="31">
        <f>YEAR(IGA_BD[[#This Row],[Date]])</f>
        <v>1900</v>
      </c>
      <c r="E1057" s="48">
        <f t="shared" si="19"/>
        <v>1</v>
      </c>
      <c r="F1057" s="32"/>
      <c r="G1057" s="33"/>
      <c r="H1057" s="43" t="str">
        <f>IFERROR(VLOOKUP(IGA_BD[[#This Row],[Affected Feeder ]],'Basic Data'!$A$42:$E$53,2,0),"")</f>
        <v/>
      </c>
      <c r="I1057" s="43" t="str">
        <f>IFERROR(VLOOKUP(IGA_BD[[#This Row],[Affected Feeder ]],'Basic Data'!$A$42:$E$53,3,0),"")</f>
        <v/>
      </c>
      <c r="J1057" s="43" t="str">
        <f>IFERROR(VLOOKUP(IGA_BD[[#This Row],[Affected Feeder ]],'Basic Data'!$A$42:$E$53,5,0),"")</f>
        <v/>
      </c>
      <c r="K1057" s="164"/>
      <c r="L1057" s="50"/>
      <c r="M1057" s="116"/>
      <c r="N1057" s="116"/>
      <c r="O1057" s="57">
        <f>(IGA_BD[[#This Row],[Work Start TimeStamp]]-IGA_BD[[#This Row],[Fault Start TimeStamp]])*24</f>
        <v>0</v>
      </c>
      <c r="P1057" s="44" t="str">
        <f>IF(IGA_BD[[#This Row],[Work Start TimeStamp]]="","",(IGA_BD[[#This Row],[Fault Clearance time]]-IGA_BD[[#This Row],[Work Start TimeStamp]])*24)</f>
        <v/>
      </c>
      <c r="Q1057" s="57">
        <f>(IGA_BD[[#This Row],[Fault Clearance time]]-IGA_BD[[#This Row],[Fault Start TimeStamp]])*24</f>
        <v>0</v>
      </c>
      <c r="R1057" s="153"/>
      <c r="S1057" s="44"/>
      <c r="T1057" s="45" t="str">
        <f>IFERROR(IGA_BD[[#This Row],[Breakdown Time]]*IGA_BD[[#This Row],[Plant Equivalent Weightage]],"")</f>
        <v/>
      </c>
    </row>
    <row r="1058" spans="1:20">
      <c r="A1058" s="28"/>
      <c r="B1058" s="154"/>
      <c r="C1058" s="30">
        <f>YEAR(WTG_BD[[#This Row],[Date]])+IF(MONTH(WTG_BD[[#This Row],[Date]])&gt;=4,1,0)</f>
        <v>1900</v>
      </c>
      <c r="D1058" s="31">
        <f>YEAR(IGA_BD[[#This Row],[Date]])</f>
        <v>1900</v>
      </c>
      <c r="E1058" s="48">
        <f t="shared" si="19"/>
        <v>1</v>
      </c>
      <c r="F1058" s="32"/>
      <c r="G1058" s="33"/>
      <c r="H1058" s="43" t="str">
        <f>IFERROR(VLOOKUP(IGA_BD[[#This Row],[Affected Feeder ]],'Basic Data'!$A$42:$E$53,2,0),"")</f>
        <v/>
      </c>
      <c r="I1058" s="43" t="str">
        <f>IFERROR(VLOOKUP(IGA_BD[[#This Row],[Affected Feeder ]],'Basic Data'!$A$42:$E$53,3,0),"")</f>
        <v/>
      </c>
      <c r="J1058" s="43" t="str">
        <f>IFERROR(VLOOKUP(IGA_BD[[#This Row],[Affected Feeder ]],'Basic Data'!$A$42:$E$53,5,0),"")</f>
        <v/>
      </c>
      <c r="K1058" s="164"/>
      <c r="L1058" s="50"/>
      <c r="M1058" s="116"/>
      <c r="N1058" s="116"/>
      <c r="O1058" s="57">
        <f>(IGA_BD[[#This Row],[Work Start TimeStamp]]-IGA_BD[[#This Row],[Fault Start TimeStamp]])*24</f>
        <v>0</v>
      </c>
      <c r="P1058" s="44" t="str">
        <f>IF(IGA_BD[[#This Row],[Work Start TimeStamp]]="","",(IGA_BD[[#This Row],[Fault Clearance time]]-IGA_BD[[#This Row],[Work Start TimeStamp]])*24)</f>
        <v/>
      </c>
      <c r="Q1058" s="57">
        <f>(IGA_BD[[#This Row],[Fault Clearance time]]-IGA_BD[[#This Row],[Fault Start TimeStamp]])*24</f>
        <v>0</v>
      </c>
      <c r="R1058" s="153"/>
      <c r="S1058" s="44"/>
      <c r="T1058" s="45" t="str">
        <f>IFERROR(IGA_BD[[#This Row],[Breakdown Time]]*IGA_BD[[#This Row],[Plant Equivalent Weightage]],"")</f>
        <v/>
      </c>
    </row>
    <row r="1059" spans="1:20">
      <c r="A1059" s="28"/>
      <c r="B1059" s="154"/>
      <c r="C1059" s="30">
        <f>YEAR(WTG_BD[[#This Row],[Date]])+IF(MONTH(WTG_BD[[#This Row],[Date]])&gt;=4,1,0)</f>
        <v>1900</v>
      </c>
      <c r="D1059" s="31">
        <f>YEAR(IGA_BD[[#This Row],[Date]])</f>
        <v>1900</v>
      </c>
      <c r="E1059" s="48">
        <f t="shared" si="19"/>
        <v>1</v>
      </c>
      <c r="F1059" s="32"/>
      <c r="G1059" s="33"/>
      <c r="H1059" s="43" t="str">
        <f>IFERROR(VLOOKUP(IGA_BD[[#This Row],[Affected Feeder ]],'Basic Data'!$A$42:$E$53,2,0),"")</f>
        <v/>
      </c>
      <c r="I1059" s="43" t="str">
        <f>IFERROR(VLOOKUP(IGA_BD[[#This Row],[Affected Feeder ]],'Basic Data'!$A$42:$E$53,3,0),"")</f>
        <v/>
      </c>
      <c r="J1059" s="43" t="str">
        <f>IFERROR(VLOOKUP(IGA_BD[[#This Row],[Affected Feeder ]],'Basic Data'!$A$42:$E$53,5,0),"")</f>
        <v/>
      </c>
      <c r="K1059" s="164"/>
      <c r="L1059" s="50"/>
      <c r="M1059" s="116"/>
      <c r="N1059" s="116"/>
      <c r="O1059" s="57">
        <f>(IGA_BD[[#This Row],[Work Start TimeStamp]]-IGA_BD[[#This Row],[Fault Start TimeStamp]])*24</f>
        <v>0</v>
      </c>
      <c r="P1059" s="44" t="str">
        <f>IF(IGA_BD[[#This Row],[Work Start TimeStamp]]="","",(IGA_BD[[#This Row],[Fault Clearance time]]-IGA_BD[[#This Row],[Work Start TimeStamp]])*24)</f>
        <v/>
      </c>
      <c r="Q1059" s="57">
        <f>(IGA_BD[[#This Row],[Fault Clearance time]]-IGA_BD[[#This Row],[Fault Start TimeStamp]])*24</f>
        <v>0</v>
      </c>
      <c r="R1059" s="153"/>
      <c r="S1059" s="44"/>
      <c r="T1059" s="45" t="str">
        <f>IFERROR(IGA_BD[[#This Row],[Breakdown Time]]*IGA_BD[[#This Row],[Plant Equivalent Weightage]],"")</f>
        <v/>
      </c>
    </row>
    <row r="1060" spans="1:20">
      <c r="A1060" s="28"/>
      <c r="B1060" s="154"/>
      <c r="C1060" s="30">
        <f>YEAR(WTG_BD[[#This Row],[Date]])+IF(MONTH(WTG_BD[[#This Row],[Date]])&gt;=4,1,0)</f>
        <v>1900</v>
      </c>
      <c r="D1060" s="31">
        <f>YEAR(IGA_BD[[#This Row],[Date]])</f>
        <v>1900</v>
      </c>
      <c r="E1060" s="48">
        <f t="shared" si="19"/>
        <v>1</v>
      </c>
      <c r="F1060" s="32"/>
      <c r="G1060" s="33"/>
      <c r="H1060" s="43" t="str">
        <f>IFERROR(VLOOKUP(IGA_BD[[#This Row],[Affected Feeder ]],'Basic Data'!$A$42:$E$53,2,0),"")</f>
        <v/>
      </c>
      <c r="I1060" s="43" t="str">
        <f>IFERROR(VLOOKUP(IGA_BD[[#This Row],[Affected Feeder ]],'Basic Data'!$A$42:$E$53,3,0),"")</f>
        <v/>
      </c>
      <c r="J1060" s="43" t="str">
        <f>IFERROR(VLOOKUP(IGA_BD[[#This Row],[Affected Feeder ]],'Basic Data'!$A$42:$E$53,5,0),"")</f>
        <v/>
      </c>
      <c r="K1060" s="164"/>
      <c r="L1060" s="50"/>
      <c r="M1060" s="116"/>
      <c r="N1060" s="116"/>
      <c r="O1060" s="57">
        <f>(IGA_BD[[#This Row],[Work Start TimeStamp]]-IGA_BD[[#This Row],[Fault Start TimeStamp]])*24</f>
        <v>0</v>
      </c>
      <c r="P1060" s="44" t="str">
        <f>IF(IGA_BD[[#This Row],[Work Start TimeStamp]]="","",(IGA_BD[[#This Row],[Fault Clearance time]]-IGA_BD[[#This Row],[Work Start TimeStamp]])*24)</f>
        <v/>
      </c>
      <c r="Q1060" s="57">
        <f>(IGA_BD[[#This Row],[Fault Clearance time]]-IGA_BD[[#This Row],[Fault Start TimeStamp]])*24</f>
        <v>0</v>
      </c>
      <c r="R1060" s="153"/>
      <c r="S1060" s="44"/>
      <c r="T1060" s="45" t="str">
        <f>IFERROR(IGA_BD[[#This Row],[Breakdown Time]]*IGA_BD[[#This Row],[Plant Equivalent Weightage]],"")</f>
        <v/>
      </c>
    </row>
    <row r="1061" spans="1:20">
      <c r="A1061" s="28"/>
      <c r="B1061" s="154"/>
      <c r="C1061" s="30" t="e">
        <f>YEAR(WTG_BD[[#This Row],[Date]])+IF(MONTH(WTG_BD[[#This Row],[Date]])&gt;=4,1,0)</f>
        <v>#VALUE!</v>
      </c>
      <c r="D1061" s="31">
        <f>YEAR(IGA_BD[[#This Row],[Date]])</f>
        <v>1900</v>
      </c>
      <c r="E1061" s="48">
        <f t="shared" si="19"/>
        <v>1</v>
      </c>
      <c r="F1061" s="32"/>
      <c r="G1061" s="33"/>
      <c r="H1061" s="43" t="str">
        <f>IFERROR(VLOOKUP(IGA_BD[[#This Row],[Affected Feeder ]],'Basic Data'!$A$42:$E$53,2,0),"")</f>
        <v/>
      </c>
      <c r="I1061" s="43" t="str">
        <f>IFERROR(VLOOKUP(IGA_BD[[#This Row],[Affected Feeder ]],'Basic Data'!$A$42:$E$53,3,0),"")</f>
        <v/>
      </c>
      <c r="J1061" s="43" t="str">
        <f>IFERROR(VLOOKUP(IGA_BD[[#This Row],[Affected Feeder ]],'Basic Data'!$A$42:$E$53,5,0),"")</f>
        <v/>
      </c>
      <c r="K1061" s="164"/>
      <c r="L1061" s="50"/>
      <c r="M1061" s="116"/>
      <c r="N1061" s="116"/>
      <c r="O1061" s="57">
        <f>(IGA_BD[[#This Row],[Work Start TimeStamp]]-IGA_BD[[#This Row],[Fault Start TimeStamp]])*24</f>
        <v>0</v>
      </c>
      <c r="P1061" s="44" t="str">
        <f>IF(IGA_BD[[#This Row],[Work Start TimeStamp]]="","",(IGA_BD[[#This Row],[Fault Clearance time]]-IGA_BD[[#This Row],[Work Start TimeStamp]])*24)</f>
        <v/>
      </c>
      <c r="Q1061" s="57">
        <f>(IGA_BD[[#This Row],[Fault Clearance time]]-IGA_BD[[#This Row],[Fault Start TimeStamp]])*24</f>
        <v>0</v>
      </c>
      <c r="R1061" s="153"/>
      <c r="S1061" s="44"/>
      <c r="T1061" s="45" t="str">
        <f>IFERROR(IGA_BD[[#This Row],[Breakdown Time]]*IGA_BD[[#This Row],[Plant Equivalent Weightage]],"")</f>
        <v/>
      </c>
    </row>
    <row r="1062" spans="1:20">
      <c r="A1062" s="28"/>
      <c r="B1062" s="154"/>
      <c r="C1062" s="30" t="e">
        <f>YEAR(WTG_BD[[#This Row],[Date]])+IF(MONTH(WTG_BD[[#This Row],[Date]])&gt;=4,1,0)</f>
        <v>#VALUE!</v>
      </c>
      <c r="D1062" s="31">
        <f>YEAR(IGA_BD[[#This Row],[Date]])</f>
        <v>1900</v>
      </c>
      <c r="E1062" s="48">
        <f t="shared" si="19"/>
        <v>1</v>
      </c>
      <c r="F1062" s="32"/>
      <c r="G1062" s="33"/>
      <c r="H1062" s="43" t="str">
        <f>IFERROR(VLOOKUP(IGA_BD[[#This Row],[Affected Feeder ]],'Basic Data'!$A$42:$E$53,2,0),"")</f>
        <v/>
      </c>
      <c r="I1062" s="43" t="str">
        <f>IFERROR(VLOOKUP(IGA_BD[[#This Row],[Affected Feeder ]],'Basic Data'!$A$42:$E$53,3,0),"")</f>
        <v/>
      </c>
      <c r="J1062" s="43" t="str">
        <f>IFERROR(VLOOKUP(IGA_BD[[#This Row],[Affected Feeder ]],'Basic Data'!$A$42:$E$53,5,0),"")</f>
        <v/>
      </c>
      <c r="K1062" s="164"/>
      <c r="L1062" s="50"/>
      <c r="M1062" s="116"/>
      <c r="N1062" s="116"/>
      <c r="O1062" s="57">
        <f>(IGA_BD[[#This Row],[Work Start TimeStamp]]-IGA_BD[[#This Row],[Fault Start TimeStamp]])*24</f>
        <v>0</v>
      </c>
      <c r="P1062" s="44" t="str">
        <f>IF(IGA_BD[[#This Row],[Work Start TimeStamp]]="","",(IGA_BD[[#This Row],[Fault Clearance time]]-IGA_BD[[#This Row],[Work Start TimeStamp]])*24)</f>
        <v/>
      </c>
      <c r="Q1062" s="57">
        <f>(IGA_BD[[#This Row],[Fault Clearance time]]-IGA_BD[[#This Row],[Fault Start TimeStamp]])*24</f>
        <v>0</v>
      </c>
      <c r="R1062" s="153"/>
      <c r="S1062" s="44"/>
      <c r="T1062" s="45" t="str">
        <f>IFERROR(IGA_BD[[#This Row],[Breakdown Time]]*IGA_BD[[#This Row],[Plant Equivalent Weightage]],"")</f>
        <v/>
      </c>
    </row>
    <row r="1063" spans="1:20">
      <c r="A1063" s="28"/>
      <c r="B1063" s="154"/>
      <c r="C1063" s="30" t="e">
        <f>YEAR(WTG_BD[[#This Row],[Date]])+IF(MONTH(WTG_BD[[#This Row],[Date]])&gt;=4,1,0)</f>
        <v>#VALUE!</v>
      </c>
      <c r="D1063" s="31">
        <f>YEAR(IGA_BD[[#This Row],[Date]])</f>
        <v>1900</v>
      </c>
      <c r="E1063" s="48">
        <f t="shared" si="19"/>
        <v>1</v>
      </c>
      <c r="F1063" s="32"/>
      <c r="G1063" s="33"/>
      <c r="H1063" s="43" t="str">
        <f>IFERROR(VLOOKUP(IGA_BD[[#This Row],[Affected Feeder ]],'Basic Data'!$A$42:$E$53,2,0),"")</f>
        <v/>
      </c>
      <c r="I1063" s="43" t="str">
        <f>IFERROR(VLOOKUP(IGA_BD[[#This Row],[Affected Feeder ]],'Basic Data'!$A$42:$E$53,3,0),"")</f>
        <v/>
      </c>
      <c r="J1063" s="43" t="str">
        <f>IFERROR(VLOOKUP(IGA_BD[[#This Row],[Affected Feeder ]],'Basic Data'!$A$42:$E$53,5,0),"")</f>
        <v/>
      </c>
      <c r="K1063" s="164"/>
      <c r="L1063" s="50"/>
      <c r="M1063" s="116"/>
      <c r="N1063" s="116"/>
      <c r="O1063" s="57">
        <f>(IGA_BD[[#This Row],[Work Start TimeStamp]]-IGA_BD[[#This Row],[Fault Start TimeStamp]])*24</f>
        <v>0</v>
      </c>
      <c r="P1063" s="44" t="str">
        <f>IF(IGA_BD[[#This Row],[Work Start TimeStamp]]="","",(IGA_BD[[#This Row],[Fault Clearance time]]-IGA_BD[[#This Row],[Work Start TimeStamp]])*24)</f>
        <v/>
      </c>
      <c r="Q1063" s="57">
        <f>(IGA_BD[[#This Row],[Fault Clearance time]]-IGA_BD[[#This Row],[Fault Start TimeStamp]])*24</f>
        <v>0</v>
      </c>
      <c r="R1063" s="153"/>
      <c r="S1063" s="44"/>
      <c r="T1063" s="45" t="str">
        <f>IFERROR(IGA_BD[[#This Row],[Breakdown Time]]*IGA_BD[[#This Row],[Plant Equivalent Weightage]],"")</f>
        <v/>
      </c>
    </row>
    <row r="1064" spans="1:20">
      <c r="A1064" s="28"/>
      <c r="B1064" s="154"/>
      <c r="C1064" s="30" t="e">
        <f>YEAR(WTG_BD[[#This Row],[Date]])+IF(MONTH(WTG_BD[[#This Row],[Date]])&gt;=4,1,0)</f>
        <v>#VALUE!</v>
      </c>
      <c r="D1064" s="31">
        <f>YEAR(IGA_BD[[#This Row],[Date]])</f>
        <v>1900</v>
      </c>
      <c r="E1064" s="48">
        <f t="shared" si="19"/>
        <v>1</v>
      </c>
      <c r="F1064" s="32"/>
      <c r="G1064" s="33"/>
      <c r="H1064" s="43" t="str">
        <f>IFERROR(VLOOKUP(IGA_BD[[#This Row],[Affected Feeder ]],'Basic Data'!$A$42:$E$53,2,0),"")</f>
        <v/>
      </c>
      <c r="I1064" s="43" t="str">
        <f>IFERROR(VLOOKUP(IGA_BD[[#This Row],[Affected Feeder ]],'Basic Data'!$A$42:$E$53,3,0),"")</f>
        <v/>
      </c>
      <c r="J1064" s="43" t="str">
        <f>IFERROR(VLOOKUP(IGA_BD[[#This Row],[Affected Feeder ]],'Basic Data'!$A$42:$E$53,5,0),"")</f>
        <v/>
      </c>
      <c r="K1064" s="164"/>
      <c r="L1064" s="50"/>
      <c r="M1064" s="116"/>
      <c r="N1064" s="116"/>
      <c r="O1064" s="57">
        <f>(IGA_BD[[#This Row],[Work Start TimeStamp]]-IGA_BD[[#This Row],[Fault Start TimeStamp]])*24</f>
        <v>0</v>
      </c>
      <c r="P1064" s="44" t="str">
        <f>IF(IGA_BD[[#This Row],[Work Start TimeStamp]]="","",(IGA_BD[[#This Row],[Fault Clearance time]]-IGA_BD[[#This Row],[Work Start TimeStamp]])*24)</f>
        <v/>
      </c>
      <c r="Q1064" s="57">
        <f>(IGA_BD[[#This Row],[Fault Clearance time]]-IGA_BD[[#This Row],[Fault Start TimeStamp]])*24</f>
        <v>0</v>
      </c>
      <c r="R1064" s="153"/>
      <c r="S1064" s="44"/>
      <c r="T1064" s="45" t="str">
        <f>IFERROR(IGA_BD[[#This Row],[Breakdown Time]]*IGA_BD[[#This Row],[Plant Equivalent Weightage]],"")</f>
        <v/>
      </c>
    </row>
    <row r="1065" spans="1:20">
      <c r="A1065" s="28"/>
      <c r="B1065" s="154"/>
      <c r="C1065" s="30" t="e">
        <f>YEAR(WTG_BD[[#This Row],[Date]])+IF(MONTH(WTG_BD[[#This Row],[Date]])&gt;=4,1,0)</f>
        <v>#VALUE!</v>
      </c>
      <c r="D1065" s="31">
        <f>YEAR(IGA_BD[[#This Row],[Date]])</f>
        <v>1900</v>
      </c>
      <c r="E1065" s="48">
        <f t="shared" si="19"/>
        <v>1</v>
      </c>
      <c r="F1065" s="32"/>
      <c r="G1065" s="33"/>
      <c r="H1065" s="43" t="str">
        <f>IFERROR(VLOOKUP(IGA_BD[[#This Row],[Affected Feeder ]],'Basic Data'!$A$42:$E$53,2,0),"")</f>
        <v/>
      </c>
      <c r="I1065" s="43" t="str">
        <f>IFERROR(VLOOKUP(IGA_BD[[#This Row],[Affected Feeder ]],'Basic Data'!$A$42:$E$53,3,0),"")</f>
        <v/>
      </c>
      <c r="J1065" s="43" t="str">
        <f>IFERROR(VLOOKUP(IGA_BD[[#This Row],[Affected Feeder ]],'Basic Data'!$A$42:$E$53,5,0),"")</f>
        <v/>
      </c>
      <c r="K1065" s="164"/>
      <c r="L1065" s="50"/>
      <c r="M1065" s="116"/>
      <c r="N1065" s="116"/>
      <c r="O1065" s="57">
        <f>(IGA_BD[[#This Row],[Work Start TimeStamp]]-IGA_BD[[#This Row],[Fault Start TimeStamp]])*24</f>
        <v>0</v>
      </c>
      <c r="P1065" s="44" t="str">
        <f>IF(IGA_BD[[#This Row],[Work Start TimeStamp]]="","",(IGA_BD[[#This Row],[Fault Clearance time]]-IGA_BD[[#This Row],[Work Start TimeStamp]])*24)</f>
        <v/>
      </c>
      <c r="Q1065" s="57">
        <f>(IGA_BD[[#This Row],[Fault Clearance time]]-IGA_BD[[#This Row],[Fault Start TimeStamp]])*24</f>
        <v>0</v>
      </c>
      <c r="R1065" s="153"/>
      <c r="S1065" s="44"/>
      <c r="T1065" s="45" t="str">
        <f>IFERROR(IGA_BD[[#This Row],[Breakdown Time]]*IGA_BD[[#This Row],[Plant Equivalent Weightage]],"")</f>
        <v/>
      </c>
    </row>
    <row r="1066" spans="1:20">
      <c r="A1066" s="28"/>
      <c r="B1066" s="154"/>
      <c r="C1066" s="30" t="e">
        <f>YEAR(WTG_BD[[#This Row],[Date]])+IF(MONTH(WTG_BD[[#This Row],[Date]])&gt;=4,1,0)</f>
        <v>#VALUE!</v>
      </c>
      <c r="D1066" s="31">
        <f>YEAR(IGA_BD[[#This Row],[Date]])</f>
        <v>1900</v>
      </c>
      <c r="E1066" s="48">
        <f t="shared" si="19"/>
        <v>1</v>
      </c>
      <c r="F1066" s="32"/>
      <c r="G1066" s="33"/>
      <c r="H1066" s="43" t="str">
        <f>IFERROR(VLOOKUP(IGA_BD[[#This Row],[Affected Feeder ]],'Basic Data'!$A$42:$E$53,2,0),"")</f>
        <v/>
      </c>
      <c r="I1066" s="43" t="str">
        <f>IFERROR(VLOOKUP(IGA_BD[[#This Row],[Affected Feeder ]],'Basic Data'!$A$42:$E$53,3,0),"")</f>
        <v/>
      </c>
      <c r="J1066" s="43" t="str">
        <f>IFERROR(VLOOKUP(IGA_BD[[#This Row],[Affected Feeder ]],'Basic Data'!$A$42:$E$53,5,0),"")</f>
        <v/>
      </c>
      <c r="K1066" s="164"/>
      <c r="L1066" s="50"/>
      <c r="M1066" s="116"/>
      <c r="N1066" s="116"/>
      <c r="O1066" s="57">
        <f>(IGA_BD[[#This Row],[Work Start TimeStamp]]-IGA_BD[[#This Row],[Fault Start TimeStamp]])*24</f>
        <v>0</v>
      </c>
      <c r="P1066" s="44" t="str">
        <f>IF(IGA_BD[[#This Row],[Work Start TimeStamp]]="","",(IGA_BD[[#This Row],[Fault Clearance time]]-IGA_BD[[#This Row],[Work Start TimeStamp]])*24)</f>
        <v/>
      </c>
      <c r="Q1066" s="57">
        <f>(IGA_BD[[#This Row],[Fault Clearance time]]-IGA_BD[[#This Row],[Fault Start TimeStamp]])*24</f>
        <v>0</v>
      </c>
      <c r="R1066" s="153"/>
      <c r="S1066" s="44"/>
      <c r="T1066" s="45" t="str">
        <f>IFERROR(IGA_BD[[#This Row],[Breakdown Time]]*IGA_BD[[#This Row],[Plant Equivalent Weightage]],"")</f>
        <v/>
      </c>
    </row>
    <row r="1067" spans="1:20">
      <c r="A1067" s="28"/>
      <c r="B1067" s="154"/>
      <c r="C1067" s="30" t="e">
        <f>YEAR(WTG_BD[[#This Row],[Date]])+IF(MONTH(WTG_BD[[#This Row],[Date]])&gt;=4,1,0)</f>
        <v>#VALUE!</v>
      </c>
      <c r="D1067" s="31">
        <f>YEAR(IGA_BD[[#This Row],[Date]])</f>
        <v>1900</v>
      </c>
      <c r="E1067" s="48">
        <f t="shared" si="19"/>
        <v>1</v>
      </c>
      <c r="F1067" s="32"/>
      <c r="G1067" s="33"/>
      <c r="H1067" s="43" t="str">
        <f>IFERROR(VLOOKUP(IGA_BD[[#This Row],[Affected Feeder ]],'Basic Data'!$A$42:$E$53,2,0),"")</f>
        <v/>
      </c>
      <c r="I1067" s="43" t="str">
        <f>IFERROR(VLOOKUP(IGA_BD[[#This Row],[Affected Feeder ]],'Basic Data'!$A$42:$E$53,3,0),"")</f>
        <v/>
      </c>
      <c r="J1067" s="43" t="str">
        <f>IFERROR(VLOOKUP(IGA_BD[[#This Row],[Affected Feeder ]],'Basic Data'!$A$42:$E$53,5,0),"")</f>
        <v/>
      </c>
      <c r="K1067" s="164"/>
      <c r="L1067" s="50"/>
      <c r="M1067" s="116"/>
      <c r="N1067" s="116"/>
      <c r="O1067" s="57">
        <f>(IGA_BD[[#This Row],[Work Start TimeStamp]]-IGA_BD[[#This Row],[Fault Start TimeStamp]])*24</f>
        <v>0</v>
      </c>
      <c r="P1067" s="44" t="str">
        <f>IF(IGA_BD[[#This Row],[Work Start TimeStamp]]="","",(IGA_BD[[#This Row],[Fault Clearance time]]-IGA_BD[[#This Row],[Work Start TimeStamp]])*24)</f>
        <v/>
      </c>
      <c r="Q1067" s="57">
        <f>(IGA_BD[[#This Row],[Fault Clearance time]]-IGA_BD[[#This Row],[Fault Start TimeStamp]])*24</f>
        <v>0</v>
      </c>
      <c r="R1067" s="153"/>
      <c r="S1067" s="44"/>
      <c r="T1067" s="45" t="str">
        <f>IFERROR(IGA_BD[[#This Row],[Breakdown Time]]*IGA_BD[[#This Row],[Plant Equivalent Weightage]],"")</f>
        <v/>
      </c>
    </row>
    <row r="1068" spans="1:20">
      <c r="A1068" s="28"/>
      <c r="B1068" s="154"/>
      <c r="C1068" s="30" t="e">
        <f>YEAR(WTG_BD[[#This Row],[Date]])+IF(MONTH(WTG_BD[[#This Row],[Date]])&gt;=4,1,0)</f>
        <v>#VALUE!</v>
      </c>
      <c r="D1068" s="31">
        <f>YEAR(IGA_BD[[#This Row],[Date]])</f>
        <v>1900</v>
      </c>
      <c r="E1068" s="48">
        <f t="shared" si="19"/>
        <v>1</v>
      </c>
      <c r="F1068" s="32"/>
      <c r="G1068" s="33"/>
      <c r="H1068" s="43" t="str">
        <f>IFERROR(VLOOKUP(IGA_BD[[#This Row],[Affected Feeder ]],'Basic Data'!$A$42:$E$53,2,0),"")</f>
        <v/>
      </c>
      <c r="I1068" s="43" t="str">
        <f>IFERROR(VLOOKUP(IGA_BD[[#This Row],[Affected Feeder ]],'Basic Data'!$A$42:$E$53,3,0),"")</f>
        <v/>
      </c>
      <c r="J1068" s="43" t="str">
        <f>IFERROR(VLOOKUP(IGA_BD[[#This Row],[Affected Feeder ]],'Basic Data'!$A$42:$E$53,5,0),"")</f>
        <v/>
      </c>
      <c r="K1068" s="164"/>
      <c r="L1068" s="50"/>
      <c r="M1068" s="116"/>
      <c r="N1068" s="116"/>
      <c r="O1068" s="57">
        <f>(IGA_BD[[#This Row],[Work Start TimeStamp]]-IGA_BD[[#This Row],[Fault Start TimeStamp]])*24</f>
        <v>0</v>
      </c>
      <c r="P1068" s="44" t="str">
        <f>IF(IGA_BD[[#This Row],[Work Start TimeStamp]]="","",(IGA_BD[[#This Row],[Fault Clearance time]]-IGA_BD[[#This Row],[Work Start TimeStamp]])*24)</f>
        <v/>
      </c>
      <c r="Q1068" s="57">
        <f>(IGA_BD[[#This Row],[Fault Clearance time]]-IGA_BD[[#This Row],[Fault Start TimeStamp]])*24</f>
        <v>0</v>
      </c>
      <c r="R1068" s="153"/>
      <c r="S1068" s="44"/>
      <c r="T1068" s="45" t="str">
        <f>IFERROR(IGA_BD[[#This Row],[Breakdown Time]]*IGA_BD[[#This Row],[Plant Equivalent Weightage]],"")</f>
        <v/>
      </c>
    </row>
    <row r="1069" spans="1:20">
      <c r="A1069" s="28"/>
      <c r="B1069" s="154"/>
      <c r="C1069" s="30" t="e">
        <f>YEAR(WTG_BD[[#This Row],[Date]])+IF(MONTH(WTG_BD[[#This Row],[Date]])&gt;=4,1,0)</f>
        <v>#VALUE!</v>
      </c>
      <c r="D1069" s="31">
        <f>YEAR(IGA_BD[[#This Row],[Date]])</f>
        <v>1900</v>
      </c>
      <c r="E1069" s="48">
        <f t="shared" si="19"/>
        <v>1</v>
      </c>
      <c r="F1069" s="32"/>
      <c r="G1069" s="33"/>
      <c r="H1069" s="43" t="str">
        <f>IFERROR(VLOOKUP(IGA_BD[[#This Row],[Affected Feeder ]],'Basic Data'!$A$42:$E$53,2,0),"")</f>
        <v/>
      </c>
      <c r="I1069" s="43" t="str">
        <f>IFERROR(VLOOKUP(IGA_BD[[#This Row],[Affected Feeder ]],'Basic Data'!$A$42:$E$53,3,0),"")</f>
        <v/>
      </c>
      <c r="J1069" s="43" t="str">
        <f>IFERROR(VLOOKUP(IGA_BD[[#This Row],[Affected Feeder ]],'Basic Data'!$A$42:$E$53,5,0),"")</f>
        <v/>
      </c>
      <c r="K1069" s="164"/>
      <c r="L1069" s="50"/>
      <c r="M1069" s="116"/>
      <c r="N1069" s="116"/>
      <c r="O1069" s="57">
        <f>(IGA_BD[[#This Row],[Work Start TimeStamp]]-IGA_BD[[#This Row],[Fault Start TimeStamp]])*24</f>
        <v>0</v>
      </c>
      <c r="P1069" s="44" t="str">
        <f>IF(IGA_BD[[#This Row],[Work Start TimeStamp]]="","",(IGA_BD[[#This Row],[Fault Clearance time]]-IGA_BD[[#This Row],[Work Start TimeStamp]])*24)</f>
        <v/>
      </c>
      <c r="Q1069" s="57">
        <f>(IGA_BD[[#This Row],[Fault Clearance time]]-IGA_BD[[#This Row],[Fault Start TimeStamp]])*24</f>
        <v>0</v>
      </c>
      <c r="R1069" s="153"/>
      <c r="S1069" s="44"/>
      <c r="T1069" s="45" t="str">
        <f>IFERROR(IGA_BD[[#This Row],[Breakdown Time]]*IGA_BD[[#This Row],[Plant Equivalent Weightage]],"")</f>
        <v/>
      </c>
    </row>
    <row r="1070" spans="1:20">
      <c r="A1070" s="28"/>
      <c r="B1070" s="154"/>
      <c r="C1070" s="30" t="e">
        <f>YEAR(WTG_BD[[#This Row],[Date]])+IF(MONTH(WTG_BD[[#This Row],[Date]])&gt;=4,1,0)</f>
        <v>#VALUE!</v>
      </c>
      <c r="D1070" s="31">
        <f>YEAR(IGA_BD[[#This Row],[Date]])</f>
        <v>1900</v>
      </c>
      <c r="E1070" s="48">
        <f t="shared" si="19"/>
        <v>1</v>
      </c>
      <c r="F1070" s="32"/>
      <c r="G1070" s="33"/>
      <c r="H1070" s="43" t="str">
        <f>IFERROR(VLOOKUP(IGA_BD[[#This Row],[Affected Feeder ]],'Basic Data'!$A$42:$E$53,2,0),"")</f>
        <v/>
      </c>
      <c r="I1070" s="43" t="str">
        <f>IFERROR(VLOOKUP(IGA_BD[[#This Row],[Affected Feeder ]],'Basic Data'!$A$42:$E$53,3,0),"")</f>
        <v/>
      </c>
      <c r="J1070" s="43" t="str">
        <f>IFERROR(VLOOKUP(IGA_BD[[#This Row],[Affected Feeder ]],'Basic Data'!$A$42:$E$53,5,0),"")</f>
        <v/>
      </c>
      <c r="K1070" s="164"/>
      <c r="L1070" s="50"/>
      <c r="M1070" s="116"/>
      <c r="N1070" s="116"/>
      <c r="O1070" s="57">
        <f>(IGA_BD[[#This Row],[Work Start TimeStamp]]-IGA_BD[[#This Row],[Fault Start TimeStamp]])*24</f>
        <v>0</v>
      </c>
      <c r="P1070" s="44" t="str">
        <f>IF(IGA_BD[[#This Row],[Work Start TimeStamp]]="","",(IGA_BD[[#This Row],[Fault Clearance time]]-IGA_BD[[#This Row],[Work Start TimeStamp]])*24)</f>
        <v/>
      </c>
      <c r="Q1070" s="57">
        <f>(IGA_BD[[#This Row],[Fault Clearance time]]-IGA_BD[[#This Row],[Fault Start TimeStamp]])*24</f>
        <v>0</v>
      </c>
      <c r="R1070" s="153"/>
      <c r="S1070" s="44"/>
      <c r="T1070" s="45" t="str">
        <f>IFERROR(IGA_BD[[#This Row],[Breakdown Time]]*IGA_BD[[#This Row],[Plant Equivalent Weightage]],"")</f>
        <v/>
      </c>
    </row>
    <row r="1071" spans="1:20">
      <c r="A1071" s="28"/>
      <c r="B1071" s="154"/>
      <c r="C1071" s="30" t="e">
        <f>YEAR(WTG_BD[[#This Row],[Date]])+IF(MONTH(WTG_BD[[#This Row],[Date]])&gt;=4,1,0)</f>
        <v>#VALUE!</v>
      </c>
      <c r="D1071" s="31">
        <f>YEAR(IGA_BD[[#This Row],[Date]])</f>
        <v>1900</v>
      </c>
      <c r="E1071" s="48">
        <f t="shared" si="19"/>
        <v>1</v>
      </c>
      <c r="F1071" s="32"/>
      <c r="G1071" s="33"/>
      <c r="H1071" s="43" t="str">
        <f>IFERROR(VLOOKUP(IGA_BD[[#This Row],[Affected Feeder ]],'Basic Data'!$A$42:$E$53,2,0),"")</f>
        <v/>
      </c>
      <c r="I1071" s="43" t="str">
        <f>IFERROR(VLOOKUP(IGA_BD[[#This Row],[Affected Feeder ]],'Basic Data'!$A$42:$E$53,3,0),"")</f>
        <v/>
      </c>
      <c r="J1071" s="43" t="str">
        <f>IFERROR(VLOOKUP(IGA_BD[[#This Row],[Affected Feeder ]],'Basic Data'!$A$42:$E$53,5,0),"")</f>
        <v/>
      </c>
      <c r="K1071" s="164"/>
      <c r="L1071" s="50"/>
      <c r="M1071" s="116"/>
      <c r="N1071" s="116"/>
      <c r="O1071" s="57">
        <f>(IGA_BD[[#This Row],[Work Start TimeStamp]]-IGA_BD[[#This Row],[Fault Start TimeStamp]])*24</f>
        <v>0</v>
      </c>
      <c r="P1071" s="44" t="str">
        <f>IF(IGA_BD[[#This Row],[Work Start TimeStamp]]="","",(IGA_BD[[#This Row],[Fault Clearance time]]-IGA_BD[[#This Row],[Work Start TimeStamp]])*24)</f>
        <v/>
      </c>
      <c r="Q1071" s="57">
        <f>(IGA_BD[[#This Row],[Fault Clearance time]]-IGA_BD[[#This Row],[Fault Start TimeStamp]])*24</f>
        <v>0</v>
      </c>
      <c r="R1071" s="153"/>
      <c r="S1071" s="44"/>
      <c r="T1071" s="45" t="str">
        <f>IFERROR(IGA_BD[[#This Row],[Breakdown Time]]*IGA_BD[[#This Row],[Plant Equivalent Weightage]],"")</f>
        <v/>
      </c>
    </row>
    <row r="1072" spans="1:20">
      <c r="A1072" s="28"/>
      <c r="B1072" s="154"/>
      <c r="C1072" s="30" t="e">
        <f>YEAR(WTG_BD[[#This Row],[Date]])+IF(MONTH(WTG_BD[[#This Row],[Date]])&gt;=4,1,0)</f>
        <v>#VALUE!</v>
      </c>
      <c r="D1072" s="31">
        <f>YEAR(IGA_BD[[#This Row],[Date]])</f>
        <v>1900</v>
      </c>
      <c r="E1072" s="48">
        <f t="shared" si="19"/>
        <v>1</v>
      </c>
      <c r="F1072" s="32"/>
      <c r="G1072" s="33"/>
      <c r="H1072" s="43" t="str">
        <f>IFERROR(VLOOKUP(IGA_BD[[#This Row],[Affected Feeder ]],'Basic Data'!$A$42:$E$53,2,0),"")</f>
        <v/>
      </c>
      <c r="I1072" s="43" t="str">
        <f>IFERROR(VLOOKUP(IGA_BD[[#This Row],[Affected Feeder ]],'Basic Data'!$A$42:$E$53,3,0),"")</f>
        <v/>
      </c>
      <c r="J1072" s="43" t="str">
        <f>IFERROR(VLOOKUP(IGA_BD[[#This Row],[Affected Feeder ]],'Basic Data'!$A$42:$E$53,5,0),"")</f>
        <v/>
      </c>
      <c r="K1072" s="164"/>
      <c r="L1072" s="50"/>
      <c r="M1072" s="116"/>
      <c r="N1072" s="116"/>
      <c r="O1072" s="57">
        <f>(IGA_BD[[#This Row],[Work Start TimeStamp]]-IGA_BD[[#This Row],[Fault Start TimeStamp]])*24</f>
        <v>0</v>
      </c>
      <c r="P1072" s="44" t="str">
        <f>IF(IGA_BD[[#This Row],[Work Start TimeStamp]]="","",(IGA_BD[[#This Row],[Fault Clearance time]]-IGA_BD[[#This Row],[Work Start TimeStamp]])*24)</f>
        <v/>
      </c>
      <c r="Q1072" s="57">
        <f>(IGA_BD[[#This Row],[Fault Clearance time]]-IGA_BD[[#This Row],[Fault Start TimeStamp]])*24</f>
        <v>0</v>
      </c>
      <c r="R1072" s="153"/>
      <c r="S1072" s="44"/>
      <c r="T1072" s="45" t="str">
        <f>IFERROR(IGA_BD[[#This Row],[Breakdown Time]]*IGA_BD[[#This Row],[Plant Equivalent Weightage]],"")</f>
        <v/>
      </c>
    </row>
    <row r="1073" spans="1:20">
      <c r="A1073" s="28"/>
      <c r="B1073" s="154"/>
      <c r="C1073" s="30" t="e">
        <f>YEAR(WTG_BD[[#This Row],[Date]])+IF(MONTH(WTG_BD[[#This Row],[Date]])&gt;=4,1,0)</f>
        <v>#VALUE!</v>
      </c>
      <c r="D1073" s="31">
        <f>YEAR(IGA_BD[[#This Row],[Date]])</f>
        <v>1900</v>
      </c>
      <c r="E1073" s="48">
        <f t="shared" si="19"/>
        <v>1</v>
      </c>
      <c r="F1073" s="32"/>
      <c r="G1073" s="33"/>
      <c r="H1073" s="43" t="str">
        <f>IFERROR(VLOOKUP(IGA_BD[[#This Row],[Affected Feeder ]],'Basic Data'!$A$42:$E$53,2,0),"")</f>
        <v/>
      </c>
      <c r="I1073" s="43" t="str">
        <f>IFERROR(VLOOKUP(IGA_BD[[#This Row],[Affected Feeder ]],'Basic Data'!$A$42:$E$53,3,0),"")</f>
        <v/>
      </c>
      <c r="J1073" s="43" t="str">
        <f>IFERROR(VLOOKUP(IGA_BD[[#This Row],[Affected Feeder ]],'Basic Data'!$A$42:$E$53,5,0),"")</f>
        <v/>
      </c>
      <c r="K1073" s="164"/>
      <c r="L1073" s="50"/>
      <c r="M1073" s="116"/>
      <c r="N1073" s="116"/>
      <c r="O1073" s="57">
        <f>(IGA_BD[[#This Row],[Work Start TimeStamp]]-IGA_BD[[#This Row],[Fault Start TimeStamp]])*24</f>
        <v>0</v>
      </c>
      <c r="P1073" s="44" t="str">
        <f>IF(IGA_BD[[#This Row],[Work Start TimeStamp]]="","",(IGA_BD[[#This Row],[Fault Clearance time]]-IGA_BD[[#This Row],[Work Start TimeStamp]])*24)</f>
        <v/>
      </c>
      <c r="Q1073" s="57">
        <f>(IGA_BD[[#This Row],[Fault Clearance time]]-IGA_BD[[#This Row],[Fault Start TimeStamp]])*24</f>
        <v>0</v>
      </c>
      <c r="R1073" s="153"/>
      <c r="S1073" s="44"/>
      <c r="T1073" s="45" t="str">
        <f>IFERROR(IGA_BD[[#This Row],[Breakdown Time]]*IGA_BD[[#This Row],[Plant Equivalent Weightage]],"")</f>
        <v/>
      </c>
    </row>
    <row r="1074" spans="1:20">
      <c r="A1074" s="28"/>
      <c r="B1074" s="154"/>
      <c r="C1074" s="30" t="e">
        <f>YEAR(WTG_BD[[#This Row],[Date]])+IF(MONTH(WTG_BD[[#This Row],[Date]])&gt;=4,1,0)</f>
        <v>#VALUE!</v>
      </c>
      <c r="D1074" s="31">
        <f>YEAR(IGA_BD[[#This Row],[Date]])</f>
        <v>1900</v>
      </c>
      <c r="E1074" s="48">
        <f t="shared" si="19"/>
        <v>1</v>
      </c>
      <c r="F1074" s="32"/>
      <c r="G1074" s="33"/>
      <c r="H1074" s="43" t="str">
        <f>IFERROR(VLOOKUP(IGA_BD[[#This Row],[Affected Feeder ]],'Basic Data'!$A$42:$E$53,2,0),"")</f>
        <v/>
      </c>
      <c r="I1074" s="43" t="str">
        <f>IFERROR(VLOOKUP(IGA_BD[[#This Row],[Affected Feeder ]],'Basic Data'!$A$42:$E$53,3,0),"")</f>
        <v/>
      </c>
      <c r="J1074" s="43" t="str">
        <f>IFERROR(VLOOKUP(IGA_BD[[#This Row],[Affected Feeder ]],'Basic Data'!$A$42:$E$53,5,0),"")</f>
        <v/>
      </c>
      <c r="K1074" s="164"/>
      <c r="L1074" s="50"/>
      <c r="M1074" s="116"/>
      <c r="N1074" s="116"/>
      <c r="O1074" s="57">
        <f>(IGA_BD[[#This Row],[Work Start TimeStamp]]-IGA_BD[[#This Row],[Fault Start TimeStamp]])*24</f>
        <v>0</v>
      </c>
      <c r="P1074" s="44" t="str">
        <f>IF(IGA_BD[[#This Row],[Work Start TimeStamp]]="","",(IGA_BD[[#This Row],[Fault Clearance time]]-IGA_BD[[#This Row],[Work Start TimeStamp]])*24)</f>
        <v/>
      </c>
      <c r="Q1074" s="57">
        <f>(IGA_BD[[#This Row],[Fault Clearance time]]-IGA_BD[[#This Row],[Fault Start TimeStamp]])*24</f>
        <v>0</v>
      </c>
      <c r="R1074" s="153"/>
      <c r="S1074" s="44"/>
      <c r="T1074" s="45" t="str">
        <f>IFERROR(IGA_BD[[#This Row],[Breakdown Time]]*IGA_BD[[#This Row],[Plant Equivalent Weightage]],"")</f>
        <v/>
      </c>
    </row>
    <row r="1075" spans="1:20">
      <c r="A1075" s="28"/>
      <c r="B1075" s="154"/>
      <c r="C1075" s="30" t="e">
        <f>YEAR(WTG_BD[[#This Row],[Date]])+IF(MONTH(WTG_BD[[#This Row],[Date]])&gt;=4,1,0)</f>
        <v>#VALUE!</v>
      </c>
      <c r="D1075" s="31">
        <f>YEAR(IGA_BD[[#This Row],[Date]])</f>
        <v>1900</v>
      </c>
      <c r="E1075" s="48">
        <f t="shared" si="19"/>
        <v>1</v>
      </c>
      <c r="F1075" s="32"/>
      <c r="G1075" s="33"/>
      <c r="H1075" s="43" t="str">
        <f>IFERROR(VLOOKUP(IGA_BD[[#This Row],[Affected Feeder ]],'Basic Data'!$A$42:$E$53,2,0),"")</f>
        <v/>
      </c>
      <c r="I1075" s="43" t="str">
        <f>IFERROR(VLOOKUP(IGA_BD[[#This Row],[Affected Feeder ]],'Basic Data'!$A$42:$E$53,3,0),"")</f>
        <v/>
      </c>
      <c r="J1075" s="43" t="str">
        <f>IFERROR(VLOOKUP(IGA_BD[[#This Row],[Affected Feeder ]],'Basic Data'!$A$42:$E$53,5,0),"")</f>
        <v/>
      </c>
      <c r="K1075" s="164"/>
      <c r="L1075" s="50"/>
      <c r="M1075" s="116"/>
      <c r="N1075" s="116"/>
      <c r="O1075" s="57">
        <f>(IGA_BD[[#This Row],[Work Start TimeStamp]]-IGA_BD[[#This Row],[Fault Start TimeStamp]])*24</f>
        <v>0</v>
      </c>
      <c r="P1075" s="44" t="str">
        <f>IF(IGA_BD[[#This Row],[Work Start TimeStamp]]="","",(IGA_BD[[#This Row],[Fault Clearance time]]-IGA_BD[[#This Row],[Work Start TimeStamp]])*24)</f>
        <v/>
      </c>
      <c r="Q1075" s="57">
        <f>(IGA_BD[[#This Row],[Fault Clearance time]]-IGA_BD[[#This Row],[Fault Start TimeStamp]])*24</f>
        <v>0</v>
      </c>
      <c r="R1075" s="153"/>
      <c r="S1075" s="44"/>
      <c r="T1075" s="45" t="str">
        <f>IFERROR(IGA_BD[[#This Row],[Breakdown Time]]*IGA_BD[[#This Row],[Plant Equivalent Weightage]],"")</f>
        <v/>
      </c>
    </row>
    <row r="1076" spans="1:20">
      <c r="A1076" s="28"/>
      <c r="B1076" s="154"/>
      <c r="C1076" s="30" t="e">
        <f>YEAR(WTG_BD[[#This Row],[Date]])+IF(MONTH(WTG_BD[[#This Row],[Date]])&gt;=4,1,0)</f>
        <v>#VALUE!</v>
      </c>
      <c r="D1076" s="31">
        <f>YEAR(IGA_BD[[#This Row],[Date]])</f>
        <v>1900</v>
      </c>
      <c r="E1076" s="48">
        <f t="shared" si="19"/>
        <v>1</v>
      </c>
      <c r="F1076" s="32"/>
      <c r="G1076" s="33"/>
      <c r="H1076" s="43" t="str">
        <f>IFERROR(VLOOKUP(IGA_BD[[#This Row],[Affected Feeder ]],'Basic Data'!$A$42:$E$53,2,0),"")</f>
        <v/>
      </c>
      <c r="I1076" s="43" t="str">
        <f>IFERROR(VLOOKUP(IGA_BD[[#This Row],[Affected Feeder ]],'Basic Data'!$A$42:$E$53,3,0),"")</f>
        <v/>
      </c>
      <c r="J1076" s="43" t="str">
        <f>IFERROR(VLOOKUP(IGA_BD[[#This Row],[Affected Feeder ]],'Basic Data'!$A$42:$E$53,5,0),"")</f>
        <v/>
      </c>
      <c r="K1076" s="164"/>
      <c r="L1076" s="50"/>
      <c r="M1076" s="116"/>
      <c r="N1076" s="116"/>
      <c r="O1076" s="57">
        <f>(IGA_BD[[#This Row],[Work Start TimeStamp]]-IGA_BD[[#This Row],[Fault Start TimeStamp]])*24</f>
        <v>0</v>
      </c>
      <c r="P1076" s="44" t="str">
        <f>IF(IGA_BD[[#This Row],[Work Start TimeStamp]]="","",(IGA_BD[[#This Row],[Fault Clearance time]]-IGA_BD[[#This Row],[Work Start TimeStamp]])*24)</f>
        <v/>
      </c>
      <c r="Q1076" s="57">
        <f>(IGA_BD[[#This Row],[Fault Clearance time]]-IGA_BD[[#This Row],[Fault Start TimeStamp]])*24</f>
        <v>0</v>
      </c>
      <c r="R1076" s="153"/>
      <c r="S1076" s="44"/>
      <c r="T1076" s="45" t="str">
        <f>IFERROR(IGA_BD[[#This Row],[Breakdown Time]]*IGA_BD[[#This Row],[Plant Equivalent Weightage]],"")</f>
        <v/>
      </c>
    </row>
    <row r="1077" spans="1:20">
      <c r="A1077" s="28"/>
      <c r="B1077" s="154"/>
      <c r="C1077" s="30" t="e">
        <f>YEAR(WTG_BD[[#This Row],[Date]])+IF(MONTH(WTG_BD[[#This Row],[Date]])&gt;=4,1,0)</f>
        <v>#VALUE!</v>
      </c>
      <c r="D1077" s="31">
        <f>YEAR(IGA_BD[[#This Row],[Date]])</f>
        <v>1900</v>
      </c>
      <c r="E1077" s="48">
        <f t="shared" si="19"/>
        <v>1</v>
      </c>
      <c r="F1077" s="32"/>
      <c r="G1077" s="33"/>
      <c r="H1077" s="43" t="str">
        <f>IFERROR(VLOOKUP(IGA_BD[[#This Row],[Affected Feeder ]],'Basic Data'!$A$42:$E$53,2,0),"")</f>
        <v/>
      </c>
      <c r="I1077" s="43" t="str">
        <f>IFERROR(VLOOKUP(IGA_BD[[#This Row],[Affected Feeder ]],'Basic Data'!$A$42:$E$53,3,0),"")</f>
        <v/>
      </c>
      <c r="J1077" s="43" t="str">
        <f>IFERROR(VLOOKUP(IGA_BD[[#This Row],[Affected Feeder ]],'Basic Data'!$A$42:$E$53,5,0),"")</f>
        <v/>
      </c>
      <c r="K1077" s="164"/>
      <c r="L1077" s="50"/>
      <c r="M1077" s="116"/>
      <c r="N1077" s="116"/>
      <c r="O1077" s="57">
        <f>(IGA_BD[[#This Row],[Work Start TimeStamp]]-IGA_BD[[#This Row],[Fault Start TimeStamp]])*24</f>
        <v>0</v>
      </c>
      <c r="P1077" s="44" t="str">
        <f>IF(IGA_BD[[#This Row],[Work Start TimeStamp]]="","",(IGA_BD[[#This Row],[Fault Clearance time]]-IGA_BD[[#This Row],[Work Start TimeStamp]])*24)</f>
        <v/>
      </c>
      <c r="Q1077" s="57">
        <f>(IGA_BD[[#This Row],[Fault Clearance time]]-IGA_BD[[#This Row],[Fault Start TimeStamp]])*24</f>
        <v>0</v>
      </c>
      <c r="R1077" s="153"/>
      <c r="S1077" s="44"/>
      <c r="T1077" s="45" t="str">
        <f>IFERROR(IGA_BD[[#This Row],[Breakdown Time]]*IGA_BD[[#This Row],[Plant Equivalent Weightage]],"")</f>
        <v/>
      </c>
    </row>
    <row r="1078" spans="1:20">
      <c r="A1078" s="28"/>
      <c r="B1078" s="154"/>
      <c r="C1078" s="30" t="e">
        <f>YEAR(WTG_BD[[#This Row],[Date]])+IF(MONTH(WTG_BD[[#This Row],[Date]])&gt;=4,1,0)</f>
        <v>#VALUE!</v>
      </c>
      <c r="D1078" s="31">
        <f>YEAR(IGA_BD[[#This Row],[Date]])</f>
        <v>1900</v>
      </c>
      <c r="E1078" s="48">
        <f t="shared" si="19"/>
        <v>1</v>
      </c>
      <c r="F1078" s="32"/>
      <c r="G1078" s="33"/>
      <c r="H1078" s="43" t="str">
        <f>IFERROR(VLOOKUP(IGA_BD[[#This Row],[Affected Feeder ]],'Basic Data'!$A$42:$E$53,2,0),"")</f>
        <v/>
      </c>
      <c r="I1078" s="43" t="str">
        <f>IFERROR(VLOOKUP(IGA_BD[[#This Row],[Affected Feeder ]],'Basic Data'!$A$42:$E$53,3,0),"")</f>
        <v/>
      </c>
      <c r="J1078" s="43" t="str">
        <f>IFERROR(VLOOKUP(IGA_BD[[#This Row],[Affected Feeder ]],'Basic Data'!$A$42:$E$53,5,0),"")</f>
        <v/>
      </c>
      <c r="K1078" s="164"/>
      <c r="L1078" s="50"/>
      <c r="M1078" s="116"/>
      <c r="N1078" s="116"/>
      <c r="O1078" s="57">
        <f>(IGA_BD[[#This Row],[Work Start TimeStamp]]-IGA_BD[[#This Row],[Fault Start TimeStamp]])*24</f>
        <v>0</v>
      </c>
      <c r="P1078" s="44" t="str">
        <f>IF(IGA_BD[[#This Row],[Work Start TimeStamp]]="","",(IGA_BD[[#This Row],[Fault Clearance time]]-IGA_BD[[#This Row],[Work Start TimeStamp]])*24)</f>
        <v/>
      </c>
      <c r="Q1078" s="57">
        <f>(IGA_BD[[#This Row],[Fault Clearance time]]-IGA_BD[[#This Row],[Fault Start TimeStamp]])*24</f>
        <v>0</v>
      </c>
      <c r="R1078" s="153"/>
      <c r="S1078" s="44"/>
      <c r="T1078" s="45" t="str">
        <f>IFERROR(IGA_BD[[#This Row],[Breakdown Time]]*IGA_BD[[#This Row],[Plant Equivalent Weightage]],"")</f>
        <v/>
      </c>
    </row>
    <row r="1079" spans="1:20">
      <c r="A1079" s="28"/>
      <c r="B1079" s="154"/>
      <c r="C1079" s="30" t="e">
        <f>YEAR(WTG_BD[[#This Row],[Date]])+IF(MONTH(WTG_BD[[#This Row],[Date]])&gt;=4,1,0)</f>
        <v>#VALUE!</v>
      </c>
      <c r="D1079" s="31">
        <f>YEAR(IGA_BD[[#This Row],[Date]])</f>
        <v>1900</v>
      </c>
      <c r="E1079" s="48">
        <f t="shared" si="19"/>
        <v>1</v>
      </c>
      <c r="F1079" s="32"/>
      <c r="G1079" s="33"/>
      <c r="H1079" s="43" t="str">
        <f>IFERROR(VLOOKUP(IGA_BD[[#This Row],[Affected Feeder ]],'Basic Data'!$A$42:$E$53,2,0),"")</f>
        <v/>
      </c>
      <c r="I1079" s="43" t="str">
        <f>IFERROR(VLOOKUP(IGA_BD[[#This Row],[Affected Feeder ]],'Basic Data'!$A$42:$E$53,3,0),"")</f>
        <v/>
      </c>
      <c r="J1079" s="43" t="str">
        <f>IFERROR(VLOOKUP(IGA_BD[[#This Row],[Affected Feeder ]],'Basic Data'!$A$42:$E$53,5,0),"")</f>
        <v/>
      </c>
      <c r="K1079" s="164"/>
      <c r="L1079" s="50"/>
      <c r="M1079" s="116"/>
      <c r="N1079" s="116"/>
      <c r="O1079" s="57">
        <f>(IGA_BD[[#This Row],[Work Start TimeStamp]]-IGA_BD[[#This Row],[Fault Start TimeStamp]])*24</f>
        <v>0</v>
      </c>
      <c r="P1079" s="44" t="str">
        <f>IF(IGA_BD[[#This Row],[Work Start TimeStamp]]="","",(IGA_BD[[#This Row],[Fault Clearance time]]-IGA_BD[[#This Row],[Work Start TimeStamp]])*24)</f>
        <v/>
      </c>
      <c r="Q1079" s="57">
        <f>(IGA_BD[[#This Row],[Fault Clearance time]]-IGA_BD[[#This Row],[Fault Start TimeStamp]])*24</f>
        <v>0</v>
      </c>
      <c r="R1079" s="153"/>
      <c r="S1079" s="44"/>
      <c r="T1079" s="45" t="str">
        <f>IFERROR(IGA_BD[[#This Row],[Breakdown Time]]*IGA_BD[[#This Row],[Plant Equivalent Weightage]],"")</f>
        <v/>
      </c>
    </row>
    <row r="1080" spans="1:20">
      <c r="A1080" s="28"/>
      <c r="B1080" s="154"/>
      <c r="C1080" s="30" t="e">
        <f>YEAR(WTG_BD[[#This Row],[Date]])+IF(MONTH(WTG_BD[[#This Row],[Date]])&gt;=4,1,0)</f>
        <v>#VALUE!</v>
      </c>
      <c r="D1080" s="31">
        <f>YEAR(IGA_BD[[#This Row],[Date]])</f>
        <v>1900</v>
      </c>
      <c r="E1080" s="48">
        <f t="shared" si="19"/>
        <v>1</v>
      </c>
      <c r="F1080" s="32"/>
      <c r="G1080" s="33"/>
      <c r="H1080" s="43" t="str">
        <f>IFERROR(VLOOKUP(IGA_BD[[#This Row],[Affected Feeder ]],'Basic Data'!$A$42:$E$53,2,0),"")</f>
        <v/>
      </c>
      <c r="I1080" s="43" t="str">
        <f>IFERROR(VLOOKUP(IGA_BD[[#This Row],[Affected Feeder ]],'Basic Data'!$A$42:$E$53,3,0),"")</f>
        <v/>
      </c>
      <c r="J1080" s="43" t="str">
        <f>IFERROR(VLOOKUP(IGA_BD[[#This Row],[Affected Feeder ]],'Basic Data'!$A$42:$E$53,5,0),"")</f>
        <v/>
      </c>
      <c r="K1080" s="164"/>
      <c r="L1080" s="50"/>
      <c r="M1080" s="116"/>
      <c r="N1080" s="116"/>
      <c r="O1080" s="57">
        <f>(IGA_BD[[#This Row],[Work Start TimeStamp]]-IGA_BD[[#This Row],[Fault Start TimeStamp]])*24</f>
        <v>0</v>
      </c>
      <c r="P1080" s="44" t="str">
        <f>IF(IGA_BD[[#This Row],[Work Start TimeStamp]]="","",(IGA_BD[[#This Row],[Fault Clearance time]]-IGA_BD[[#This Row],[Work Start TimeStamp]])*24)</f>
        <v/>
      </c>
      <c r="Q1080" s="57">
        <f>(IGA_BD[[#This Row],[Fault Clearance time]]-IGA_BD[[#This Row],[Fault Start TimeStamp]])*24</f>
        <v>0</v>
      </c>
      <c r="R1080" s="153"/>
      <c r="S1080" s="44"/>
      <c r="T1080" s="45" t="str">
        <f>IFERROR(IGA_BD[[#This Row],[Breakdown Time]]*IGA_BD[[#This Row],[Plant Equivalent Weightage]],"")</f>
        <v/>
      </c>
    </row>
    <row r="1081" spans="1:20">
      <c r="A1081" s="28"/>
      <c r="B1081" s="154"/>
      <c r="C1081" s="30" t="e">
        <f>YEAR(WTG_BD[[#This Row],[Date]])+IF(MONTH(WTG_BD[[#This Row],[Date]])&gt;=4,1,0)</f>
        <v>#VALUE!</v>
      </c>
      <c r="D1081" s="31">
        <f>YEAR(IGA_BD[[#This Row],[Date]])</f>
        <v>1900</v>
      </c>
      <c r="E1081" s="48">
        <f t="shared" si="19"/>
        <v>1</v>
      </c>
      <c r="F1081" s="32"/>
      <c r="G1081" s="33"/>
      <c r="H1081" s="43" t="str">
        <f>IFERROR(VLOOKUP(IGA_BD[[#This Row],[Affected Feeder ]],'Basic Data'!$A$42:$E$53,2,0),"")</f>
        <v/>
      </c>
      <c r="I1081" s="43" t="str">
        <f>IFERROR(VLOOKUP(IGA_BD[[#This Row],[Affected Feeder ]],'Basic Data'!$A$42:$E$53,3,0),"")</f>
        <v/>
      </c>
      <c r="J1081" s="43" t="str">
        <f>IFERROR(VLOOKUP(IGA_BD[[#This Row],[Affected Feeder ]],'Basic Data'!$A$42:$E$53,5,0),"")</f>
        <v/>
      </c>
      <c r="K1081" s="164"/>
      <c r="L1081" s="50"/>
      <c r="M1081" s="116"/>
      <c r="N1081" s="116"/>
      <c r="O1081" s="57">
        <f>(IGA_BD[[#This Row],[Work Start TimeStamp]]-IGA_BD[[#This Row],[Fault Start TimeStamp]])*24</f>
        <v>0</v>
      </c>
      <c r="P1081" s="44" t="str">
        <f>IF(IGA_BD[[#This Row],[Work Start TimeStamp]]="","",(IGA_BD[[#This Row],[Fault Clearance time]]-IGA_BD[[#This Row],[Work Start TimeStamp]])*24)</f>
        <v/>
      </c>
      <c r="Q1081" s="57">
        <f>(IGA_BD[[#This Row],[Fault Clearance time]]-IGA_BD[[#This Row],[Fault Start TimeStamp]])*24</f>
        <v>0</v>
      </c>
      <c r="R1081" s="153"/>
      <c r="S1081" s="44"/>
      <c r="T1081" s="45" t="str">
        <f>IFERROR(IGA_BD[[#This Row],[Breakdown Time]]*IGA_BD[[#This Row],[Plant Equivalent Weightage]],"")</f>
        <v/>
      </c>
    </row>
    <row r="1082" spans="1:20">
      <c r="A1082" s="28"/>
      <c r="B1082" s="154"/>
      <c r="C1082" s="30" t="e">
        <f>YEAR(WTG_BD[[#This Row],[Date]])+IF(MONTH(WTG_BD[[#This Row],[Date]])&gt;=4,1,0)</f>
        <v>#VALUE!</v>
      </c>
      <c r="D1082" s="31">
        <f>YEAR(IGA_BD[[#This Row],[Date]])</f>
        <v>1900</v>
      </c>
      <c r="E1082" s="48">
        <f t="shared" si="19"/>
        <v>1</v>
      </c>
      <c r="F1082" s="32"/>
      <c r="G1082" s="33"/>
      <c r="H1082" s="43" t="str">
        <f>IFERROR(VLOOKUP(IGA_BD[[#This Row],[Affected Feeder ]],'Basic Data'!$A$42:$E$53,2,0),"")</f>
        <v/>
      </c>
      <c r="I1082" s="43" t="str">
        <f>IFERROR(VLOOKUP(IGA_BD[[#This Row],[Affected Feeder ]],'Basic Data'!$A$42:$E$53,3,0),"")</f>
        <v/>
      </c>
      <c r="J1082" s="43" t="str">
        <f>IFERROR(VLOOKUP(IGA_BD[[#This Row],[Affected Feeder ]],'Basic Data'!$A$42:$E$53,5,0),"")</f>
        <v/>
      </c>
      <c r="K1082" s="164"/>
      <c r="L1082" s="50"/>
      <c r="M1082" s="116"/>
      <c r="N1082" s="116"/>
      <c r="O1082" s="57">
        <f>(IGA_BD[[#This Row],[Work Start TimeStamp]]-IGA_BD[[#This Row],[Fault Start TimeStamp]])*24</f>
        <v>0</v>
      </c>
      <c r="P1082" s="44" t="str">
        <f>IF(IGA_BD[[#This Row],[Work Start TimeStamp]]="","",(IGA_BD[[#This Row],[Fault Clearance time]]-IGA_BD[[#This Row],[Work Start TimeStamp]])*24)</f>
        <v/>
      </c>
      <c r="Q1082" s="57">
        <f>(IGA_BD[[#This Row],[Fault Clearance time]]-IGA_BD[[#This Row],[Fault Start TimeStamp]])*24</f>
        <v>0</v>
      </c>
      <c r="R1082" s="153"/>
      <c r="S1082" s="44"/>
      <c r="T1082" s="45" t="str">
        <f>IFERROR(IGA_BD[[#This Row],[Breakdown Time]]*IGA_BD[[#This Row],[Plant Equivalent Weightage]],"")</f>
        <v/>
      </c>
    </row>
    <row r="1083" spans="1:20">
      <c r="A1083" s="28"/>
      <c r="B1083" s="154"/>
      <c r="C1083" s="30" t="e">
        <f>YEAR(WTG_BD[[#This Row],[Date]])+IF(MONTH(WTG_BD[[#This Row],[Date]])&gt;=4,1,0)</f>
        <v>#VALUE!</v>
      </c>
      <c r="D1083" s="31">
        <f>YEAR(IGA_BD[[#This Row],[Date]])</f>
        <v>1900</v>
      </c>
      <c r="E1083" s="48">
        <f t="shared" si="19"/>
        <v>1</v>
      </c>
      <c r="F1083" s="32"/>
      <c r="G1083" s="33"/>
      <c r="H1083" s="43" t="str">
        <f>IFERROR(VLOOKUP(IGA_BD[[#This Row],[Affected Feeder ]],'Basic Data'!$A$42:$E$53,2,0),"")</f>
        <v/>
      </c>
      <c r="I1083" s="43" t="str">
        <f>IFERROR(VLOOKUP(IGA_BD[[#This Row],[Affected Feeder ]],'Basic Data'!$A$42:$E$53,3,0),"")</f>
        <v/>
      </c>
      <c r="J1083" s="43" t="str">
        <f>IFERROR(VLOOKUP(IGA_BD[[#This Row],[Affected Feeder ]],'Basic Data'!$A$42:$E$53,5,0),"")</f>
        <v/>
      </c>
      <c r="K1083" s="164"/>
      <c r="L1083" s="50"/>
      <c r="M1083" s="116"/>
      <c r="N1083" s="116"/>
      <c r="O1083" s="57">
        <f>(IGA_BD[[#This Row],[Work Start TimeStamp]]-IGA_BD[[#This Row],[Fault Start TimeStamp]])*24</f>
        <v>0</v>
      </c>
      <c r="P1083" s="44" t="str">
        <f>IF(IGA_BD[[#This Row],[Work Start TimeStamp]]="","",(IGA_BD[[#This Row],[Fault Clearance time]]-IGA_BD[[#This Row],[Work Start TimeStamp]])*24)</f>
        <v/>
      </c>
      <c r="Q1083" s="57">
        <f>(IGA_BD[[#This Row],[Fault Clearance time]]-IGA_BD[[#This Row],[Fault Start TimeStamp]])*24</f>
        <v>0</v>
      </c>
      <c r="R1083" s="153"/>
      <c r="S1083" s="44"/>
      <c r="T1083" s="45" t="str">
        <f>IFERROR(IGA_BD[[#This Row],[Breakdown Time]]*IGA_BD[[#This Row],[Plant Equivalent Weightage]],"")</f>
        <v/>
      </c>
    </row>
    <row r="1084" spans="1:20">
      <c r="A1084" s="28"/>
      <c r="B1084" s="154"/>
      <c r="C1084" s="30" t="e">
        <f>YEAR(WTG_BD[[#This Row],[Date]])+IF(MONTH(WTG_BD[[#This Row],[Date]])&gt;=4,1,0)</f>
        <v>#VALUE!</v>
      </c>
      <c r="D1084" s="31">
        <f>YEAR(IGA_BD[[#This Row],[Date]])</f>
        <v>1900</v>
      </c>
      <c r="E1084" s="48">
        <f t="shared" si="19"/>
        <v>1</v>
      </c>
      <c r="F1084" s="32"/>
      <c r="G1084" s="33"/>
      <c r="H1084" s="43" t="str">
        <f>IFERROR(VLOOKUP(IGA_BD[[#This Row],[Affected Feeder ]],'Basic Data'!$A$42:$E$53,2,0),"")</f>
        <v/>
      </c>
      <c r="I1084" s="43" t="str">
        <f>IFERROR(VLOOKUP(IGA_BD[[#This Row],[Affected Feeder ]],'Basic Data'!$A$42:$E$53,3,0),"")</f>
        <v/>
      </c>
      <c r="J1084" s="43" t="str">
        <f>IFERROR(VLOOKUP(IGA_BD[[#This Row],[Affected Feeder ]],'Basic Data'!$A$42:$E$53,5,0),"")</f>
        <v/>
      </c>
      <c r="K1084" s="164"/>
      <c r="L1084" s="50"/>
      <c r="M1084" s="116"/>
      <c r="N1084" s="116"/>
      <c r="O1084" s="57">
        <f>(IGA_BD[[#This Row],[Work Start TimeStamp]]-IGA_BD[[#This Row],[Fault Start TimeStamp]])*24</f>
        <v>0</v>
      </c>
      <c r="P1084" s="44" t="str">
        <f>IF(IGA_BD[[#This Row],[Work Start TimeStamp]]="","",(IGA_BD[[#This Row],[Fault Clearance time]]-IGA_BD[[#This Row],[Work Start TimeStamp]])*24)</f>
        <v/>
      </c>
      <c r="Q1084" s="57">
        <f>(IGA_BD[[#This Row],[Fault Clearance time]]-IGA_BD[[#This Row],[Fault Start TimeStamp]])*24</f>
        <v>0</v>
      </c>
      <c r="R1084" s="153"/>
      <c r="S1084" s="44"/>
      <c r="T1084" s="45" t="str">
        <f>IFERROR(IGA_BD[[#This Row],[Breakdown Time]]*IGA_BD[[#This Row],[Plant Equivalent Weightage]],"")</f>
        <v/>
      </c>
    </row>
    <row r="1085" spans="1:20">
      <c r="A1085" s="28"/>
      <c r="B1085" s="154"/>
      <c r="C1085" s="30" t="e">
        <f>YEAR(WTG_BD[[#This Row],[Date]])+IF(MONTH(WTG_BD[[#This Row],[Date]])&gt;=4,1,0)</f>
        <v>#VALUE!</v>
      </c>
      <c r="D1085" s="31">
        <f>YEAR(IGA_BD[[#This Row],[Date]])</f>
        <v>1900</v>
      </c>
      <c r="E1085" s="48">
        <f t="shared" si="19"/>
        <v>1</v>
      </c>
      <c r="F1085" s="32"/>
      <c r="G1085" s="33"/>
      <c r="H1085" s="43" t="str">
        <f>IFERROR(VLOOKUP(IGA_BD[[#This Row],[Affected Feeder ]],'Basic Data'!$A$42:$E$53,2,0),"")</f>
        <v/>
      </c>
      <c r="I1085" s="43" t="str">
        <f>IFERROR(VLOOKUP(IGA_BD[[#This Row],[Affected Feeder ]],'Basic Data'!$A$42:$E$53,3,0),"")</f>
        <v/>
      </c>
      <c r="J1085" s="43" t="str">
        <f>IFERROR(VLOOKUP(IGA_BD[[#This Row],[Affected Feeder ]],'Basic Data'!$A$42:$E$53,5,0),"")</f>
        <v/>
      </c>
      <c r="K1085" s="164"/>
      <c r="L1085" s="50"/>
      <c r="M1085" s="116"/>
      <c r="N1085" s="116"/>
      <c r="O1085" s="57">
        <f>(IGA_BD[[#This Row],[Work Start TimeStamp]]-IGA_BD[[#This Row],[Fault Start TimeStamp]])*24</f>
        <v>0</v>
      </c>
      <c r="P1085" s="44" t="str">
        <f>IF(IGA_BD[[#This Row],[Work Start TimeStamp]]="","",(IGA_BD[[#This Row],[Fault Clearance time]]-IGA_BD[[#This Row],[Work Start TimeStamp]])*24)</f>
        <v/>
      </c>
      <c r="Q1085" s="57">
        <f>(IGA_BD[[#This Row],[Fault Clearance time]]-IGA_BD[[#This Row],[Fault Start TimeStamp]])*24</f>
        <v>0</v>
      </c>
      <c r="R1085" s="153"/>
      <c r="S1085" s="44"/>
      <c r="T1085" s="45" t="str">
        <f>IFERROR(IGA_BD[[#This Row],[Breakdown Time]]*IGA_BD[[#This Row],[Plant Equivalent Weightage]],"")</f>
        <v/>
      </c>
    </row>
    <row r="1086" spans="1:20">
      <c r="A1086" s="28"/>
      <c r="B1086" s="154"/>
      <c r="C1086" s="30" t="e">
        <f>YEAR(WTG_BD[[#This Row],[Date]])+IF(MONTH(WTG_BD[[#This Row],[Date]])&gt;=4,1,0)</f>
        <v>#VALUE!</v>
      </c>
      <c r="D1086" s="31">
        <f>YEAR(IGA_BD[[#This Row],[Date]])</f>
        <v>1900</v>
      </c>
      <c r="E1086" s="48">
        <f t="shared" si="19"/>
        <v>1</v>
      </c>
      <c r="F1086" s="32"/>
      <c r="G1086" s="33"/>
      <c r="H1086" s="43" t="str">
        <f>IFERROR(VLOOKUP(IGA_BD[[#This Row],[Affected Feeder ]],'Basic Data'!$A$42:$E$53,2,0),"")</f>
        <v/>
      </c>
      <c r="I1086" s="43" t="str">
        <f>IFERROR(VLOOKUP(IGA_BD[[#This Row],[Affected Feeder ]],'Basic Data'!$A$42:$E$53,3,0),"")</f>
        <v/>
      </c>
      <c r="J1086" s="43" t="str">
        <f>IFERROR(VLOOKUP(IGA_BD[[#This Row],[Affected Feeder ]],'Basic Data'!$A$42:$E$53,5,0),"")</f>
        <v/>
      </c>
      <c r="K1086" s="164"/>
      <c r="L1086" s="50"/>
      <c r="M1086" s="116"/>
      <c r="N1086" s="116"/>
      <c r="O1086" s="57">
        <f>(IGA_BD[[#This Row],[Work Start TimeStamp]]-IGA_BD[[#This Row],[Fault Start TimeStamp]])*24</f>
        <v>0</v>
      </c>
      <c r="P1086" s="44" t="str">
        <f>IF(IGA_BD[[#This Row],[Work Start TimeStamp]]="","",(IGA_BD[[#This Row],[Fault Clearance time]]-IGA_BD[[#This Row],[Work Start TimeStamp]])*24)</f>
        <v/>
      </c>
      <c r="Q1086" s="57">
        <f>(IGA_BD[[#This Row],[Fault Clearance time]]-IGA_BD[[#This Row],[Fault Start TimeStamp]])*24</f>
        <v>0</v>
      </c>
      <c r="R1086" s="153"/>
      <c r="S1086" s="44"/>
      <c r="T1086" s="45" t="str">
        <f>IFERROR(IGA_BD[[#This Row],[Breakdown Time]]*IGA_BD[[#This Row],[Plant Equivalent Weightage]],"")</f>
        <v/>
      </c>
    </row>
    <row r="1087" spans="1:20">
      <c r="A1087" s="28"/>
      <c r="B1087" s="154"/>
      <c r="C1087" s="30" t="e">
        <f>YEAR(WTG_BD[[#This Row],[Date]])+IF(MONTH(WTG_BD[[#This Row],[Date]])&gt;=4,1,0)</f>
        <v>#VALUE!</v>
      </c>
      <c r="D1087" s="31">
        <f>YEAR(IGA_BD[[#This Row],[Date]])</f>
        <v>1900</v>
      </c>
      <c r="E1087" s="48">
        <f t="shared" si="19"/>
        <v>1</v>
      </c>
      <c r="F1087" s="32"/>
      <c r="G1087" s="33"/>
      <c r="H1087" s="43" t="str">
        <f>IFERROR(VLOOKUP(IGA_BD[[#This Row],[Affected Feeder ]],'Basic Data'!$A$42:$E$53,2,0),"")</f>
        <v/>
      </c>
      <c r="I1087" s="43" t="str">
        <f>IFERROR(VLOOKUP(IGA_BD[[#This Row],[Affected Feeder ]],'Basic Data'!$A$42:$E$53,3,0),"")</f>
        <v/>
      </c>
      <c r="J1087" s="43" t="str">
        <f>IFERROR(VLOOKUP(IGA_BD[[#This Row],[Affected Feeder ]],'Basic Data'!$A$42:$E$53,5,0),"")</f>
        <v/>
      </c>
      <c r="K1087" s="164"/>
      <c r="L1087" s="50"/>
      <c r="M1087" s="116"/>
      <c r="N1087" s="116"/>
      <c r="O1087" s="57">
        <f>(IGA_BD[[#This Row],[Work Start TimeStamp]]-IGA_BD[[#This Row],[Fault Start TimeStamp]])*24</f>
        <v>0</v>
      </c>
      <c r="P1087" s="44" t="str">
        <f>IF(IGA_BD[[#This Row],[Work Start TimeStamp]]="","",(IGA_BD[[#This Row],[Fault Clearance time]]-IGA_BD[[#This Row],[Work Start TimeStamp]])*24)</f>
        <v/>
      </c>
      <c r="Q1087" s="57">
        <f>(IGA_BD[[#This Row],[Fault Clearance time]]-IGA_BD[[#This Row],[Fault Start TimeStamp]])*24</f>
        <v>0</v>
      </c>
      <c r="R1087" s="153"/>
      <c r="S1087" s="44"/>
      <c r="T1087" s="45" t="str">
        <f>IFERROR(IGA_BD[[#This Row],[Breakdown Time]]*IGA_BD[[#This Row],[Plant Equivalent Weightage]],"")</f>
        <v/>
      </c>
    </row>
    <row r="1088" spans="1:20">
      <c r="A1088" s="28"/>
      <c r="B1088" s="154"/>
      <c r="C1088" s="30" t="e">
        <f>YEAR(WTG_BD[[#This Row],[Date]])+IF(MONTH(WTG_BD[[#This Row],[Date]])&gt;=4,1,0)</f>
        <v>#VALUE!</v>
      </c>
      <c r="D1088" s="31">
        <f>YEAR(IGA_BD[[#This Row],[Date]])</f>
        <v>1900</v>
      </c>
      <c r="E1088" s="48">
        <f t="shared" si="19"/>
        <v>1</v>
      </c>
      <c r="F1088" s="32"/>
      <c r="G1088" s="33"/>
      <c r="H1088" s="43" t="str">
        <f>IFERROR(VLOOKUP(IGA_BD[[#This Row],[Affected Feeder ]],'Basic Data'!$A$42:$E$53,2,0),"")</f>
        <v/>
      </c>
      <c r="I1088" s="43" t="str">
        <f>IFERROR(VLOOKUP(IGA_BD[[#This Row],[Affected Feeder ]],'Basic Data'!$A$42:$E$53,3,0),"")</f>
        <v/>
      </c>
      <c r="J1088" s="43" t="str">
        <f>IFERROR(VLOOKUP(IGA_BD[[#This Row],[Affected Feeder ]],'Basic Data'!$A$42:$E$53,5,0),"")</f>
        <v/>
      </c>
      <c r="K1088" s="164"/>
      <c r="L1088" s="50"/>
      <c r="M1088" s="116"/>
      <c r="N1088" s="116"/>
      <c r="O1088" s="57">
        <f>(IGA_BD[[#This Row],[Work Start TimeStamp]]-IGA_BD[[#This Row],[Fault Start TimeStamp]])*24</f>
        <v>0</v>
      </c>
      <c r="P1088" s="44" t="str">
        <f>IF(IGA_BD[[#This Row],[Work Start TimeStamp]]="","",(IGA_BD[[#This Row],[Fault Clearance time]]-IGA_BD[[#This Row],[Work Start TimeStamp]])*24)</f>
        <v/>
      </c>
      <c r="Q1088" s="57">
        <f>(IGA_BD[[#This Row],[Fault Clearance time]]-IGA_BD[[#This Row],[Fault Start TimeStamp]])*24</f>
        <v>0</v>
      </c>
      <c r="R1088" s="153"/>
      <c r="S1088" s="44"/>
      <c r="T1088" s="45" t="str">
        <f>IFERROR(IGA_BD[[#This Row],[Breakdown Time]]*IGA_BD[[#This Row],[Plant Equivalent Weightage]],"")</f>
        <v/>
      </c>
    </row>
    <row r="1089" spans="1:20">
      <c r="A1089" s="28"/>
      <c r="B1089" s="154"/>
      <c r="C1089" s="30" t="e">
        <f>YEAR(WTG_BD[[#This Row],[Date]])+IF(MONTH(WTG_BD[[#This Row],[Date]])&gt;=4,1,0)</f>
        <v>#VALUE!</v>
      </c>
      <c r="D1089" s="31">
        <f>YEAR(IGA_BD[[#This Row],[Date]])</f>
        <v>1900</v>
      </c>
      <c r="E1089" s="48">
        <f t="shared" si="19"/>
        <v>1</v>
      </c>
      <c r="F1089" s="32"/>
      <c r="G1089" s="33"/>
      <c r="H1089" s="43" t="str">
        <f>IFERROR(VLOOKUP(IGA_BD[[#This Row],[Affected Feeder ]],'Basic Data'!$A$42:$E$53,2,0),"")</f>
        <v/>
      </c>
      <c r="I1089" s="43" t="str">
        <f>IFERROR(VLOOKUP(IGA_BD[[#This Row],[Affected Feeder ]],'Basic Data'!$A$42:$E$53,3,0),"")</f>
        <v/>
      </c>
      <c r="J1089" s="43" t="str">
        <f>IFERROR(VLOOKUP(IGA_BD[[#This Row],[Affected Feeder ]],'Basic Data'!$A$42:$E$53,5,0),"")</f>
        <v/>
      </c>
      <c r="K1089" s="164"/>
      <c r="L1089" s="50"/>
      <c r="M1089" s="116"/>
      <c r="N1089" s="116"/>
      <c r="O1089" s="57">
        <f>(IGA_BD[[#This Row],[Work Start TimeStamp]]-IGA_BD[[#This Row],[Fault Start TimeStamp]])*24</f>
        <v>0</v>
      </c>
      <c r="P1089" s="44" t="str">
        <f>IF(IGA_BD[[#This Row],[Work Start TimeStamp]]="","",(IGA_BD[[#This Row],[Fault Clearance time]]-IGA_BD[[#This Row],[Work Start TimeStamp]])*24)</f>
        <v/>
      </c>
      <c r="Q1089" s="57">
        <f>(IGA_BD[[#This Row],[Fault Clearance time]]-IGA_BD[[#This Row],[Fault Start TimeStamp]])*24</f>
        <v>0</v>
      </c>
      <c r="R1089" s="153"/>
      <c r="S1089" s="44"/>
      <c r="T1089" s="45" t="str">
        <f>IFERROR(IGA_BD[[#This Row],[Breakdown Time]]*IGA_BD[[#This Row],[Plant Equivalent Weightage]],"")</f>
        <v/>
      </c>
    </row>
    <row r="1090" spans="1:20">
      <c r="A1090" s="28"/>
      <c r="B1090" s="154"/>
      <c r="C1090" s="30" t="e">
        <f>YEAR(WTG_BD[[#This Row],[Date]])+IF(MONTH(WTG_BD[[#This Row],[Date]])&gt;=4,1,0)</f>
        <v>#VALUE!</v>
      </c>
      <c r="D1090" s="31">
        <f>YEAR(IGA_BD[[#This Row],[Date]])</f>
        <v>1900</v>
      </c>
      <c r="E1090" s="48">
        <f t="shared" si="19"/>
        <v>1</v>
      </c>
      <c r="F1090" s="32"/>
      <c r="G1090" s="33"/>
      <c r="H1090" s="43" t="str">
        <f>IFERROR(VLOOKUP(IGA_BD[[#This Row],[Affected Feeder ]],'Basic Data'!$A$42:$E$53,2,0),"")</f>
        <v/>
      </c>
      <c r="I1090" s="43" t="str">
        <f>IFERROR(VLOOKUP(IGA_BD[[#This Row],[Affected Feeder ]],'Basic Data'!$A$42:$E$53,3,0),"")</f>
        <v/>
      </c>
      <c r="J1090" s="43" t="str">
        <f>IFERROR(VLOOKUP(IGA_BD[[#This Row],[Affected Feeder ]],'Basic Data'!$A$42:$E$53,5,0),"")</f>
        <v/>
      </c>
      <c r="K1090" s="164"/>
      <c r="L1090" s="50"/>
      <c r="M1090" s="116"/>
      <c r="N1090" s="116"/>
      <c r="O1090" s="57">
        <f>(IGA_BD[[#This Row],[Work Start TimeStamp]]-IGA_BD[[#This Row],[Fault Start TimeStamp]])*24</f>
        <v>0</v>
      </c>
      <c r="P1090" s="44" t="str">
        <f>IF(IGA_BD[[#This Row],[Work Start TimeStamp]]="","",(IGA_BD[[#This Row],[Fault Clearance time]]-IGA_BD[[#This Row],[Work Start TimeStamp]])*24)</f>
        <v/>
      </c>
      <c r="Q1090" s="57">
        <f>(IGA_BD[[#This Row],[Fault Clearance time]]-IGA_BD[[#This Row],[Fault Start TimeStamp]])*24</f>
        <v>0</v>
      </c>
      <c r="R1090" s="153"/>
      <c r="S1090" s="44"/>
      <c r="T1090" s="45" t="str">
        <f>IFERROR(IGA_BD[[#This Row],[Breakdown Time]]*IGA_BD[[#This Row],[Plant Equivalent Weightage]],"")</f>
        <v/>
      </c>
    </row>
    <row r="1091" spans="1:20">
      <c r="A1091" s="28"/>
      <c r="B1091" s="154"/>
      <c r="C1091" s="30" t="e">
        <f>YEAR(WTG_BD[[#This Row],[Date]])+IF(MONTH(WTG_BD[[#This Row],[Date]])&gt;=4,1,0)</f>
        <v>#VALUE!</v>
      </c>
      <c r="D1091" s="31">
        <f>YEAR(IGA_BD[[#This Row],[Date]])</f>
        <v>1900</v>
      </c>
      <c r="E1091" s="48">
        <f t="shared" si="19"/>
        <v>1</v>
      </c>
      <c r="F1091" s="32"/>
      <c r="G1091" s="33"/>
      <c r="H1091" s="43" t="str">
        <f>IFERROR(VLOOKUP(IGA_BD[[#This Row],[Affected Feeder ]],'Basic Data'!$A$42:$E$53,2,0),"")</f>
        <v/>
      </c>
      <c r="I1091" s="43" t="str">
        <f>IFERROR(VLOOKUP(IGA_BD[[#This Row],[Affected Feeder ]],'Basic Data'!$A$42:$E$53,3,0),"")</f>
        <v/>
      </c>
      <c r="J1091" s="43" t="str">
        <f>IFERROR(VLOOKUP(IGA_BD[[#This Row],[Affected Feeder ]],'Basic Data'!$A$42:$E$53,5,0),"")</f>
        <v/>
      </c>
      <c r="K1091" s="164"/>
      <c r="L1091" s="50"/>
      <c r="M1091" s="116"/>
      <c r="N1091" s="116"/>
      <c r="O1091" s="57">
        <f>(IGA_BD[[#This Row],[Work Start TimeStamp]]-IGA_BD[[#This Row],[Fault Start TimeStamp]])*24</f>
        <v>0</v>
      </c>
      <c r="P1091" s="44" t="str">
        <f>IF(IGA_BD[[#This Row],[Work Start TimeStamp]]="","",(IGA_BD[[#This Row],[Fault Clearance time]]-IGA_BD[[#This Row],[Work Start TimeStamp]])*24)</f>
        <v/>
      </c>
      <c r="Q1091" s="57">
        <f>(IGA_BD[[#This Row],[Fault Clearance time]]-IGA_BD[[#This Row],[Fault Start TimeStamp]])*24</f>
        <v>0</v>
      </c>
      <c r="R1091" s="153"/>
      <c r="S1091" s="44"/>
      <c r="T1091" s="45" t="str">
        <f>IFERROR(IGA_BD[[#This Row],[Breakdown Time]]*IGA_BD[[#This Row],[Plant Equivalent Weightage]],"")</f>
        <v/>
      </c>
    </row>
    <row r="1092" spans="1:20">
      <c r="A1092" s="28"/>
      <c r="B1092" s="154"/>
      <c r="C1092" s="30" t="e">
        <f>YEAR(WTG_BD[[#This Row],[Date]])+IF(MONTH(WTG_BD[[#This Row],[Date]])&gt;=4,1,0)</f>
        <v>#VALUE!</v>
      </c>
      <c r="D1092" s="31">
        <f>YEAR(IGA_BD[[#This Row],[Date]])</f>
        <v>1900</v>
      </c>
      <c r="E1092" s="48">
        <f t="shared" si="19"/>
        <v>1</v>
      </c>
      <c r="F1092" s="32"/>
      <c r="G1092" s="33"/>
      <c r="H1092" s="43" t="str">
        <f>IFERROR(VLOOKUP(IGA_BD[[#This Row],[Affected Feeder ]],'Basic Data'!$A$42:$E$53,2,0),"")</f>
        <v/>
      </c>
      <c r="I1092" s="43" t="str">
        <f>IFERROR(VLOOKUP(IGA_BD[[#This Row],[Affected Feeder ]],'Basic Data'!$A$42:$E$53,3,0),"")</f>
        <v/>
      </c>
      <c r="J1092" s="43" t="str">
        <f>IFERROR(VLOOKUP(IGA_BD[[#This Row],[Affected Feeder ]],'Basic Data'!$A$42:$E$53,5,0),"")</f>
        <v/>
      </c>
      <c r="K1092" s="164"/>
      <c r="L1092" s="50"/>
      <c r="M1092" s="116"/>
      <c r="N1092" s="116"/>
      <c r="O1092" s="57">
        <f>(IGA_BD[[#This Row],[Work Start TimeStamp]]-IGA_BD[[#This Row],[Fault Start TimeStamp]])*24</f>
        <v>0</v>
      </c>
      <c r="P1092" s="44" t="str">
        <f>IF(IGA_BD[[#This Row],[Work Start TimeStamp]]="","",(IGA_BD[[#This Row],[Fault Clearance time]]-IGA_BD[[#This Row],[Work Start TimeStamp]])*24)</f>
        <v/>
      </c>
      <c r="Q1092" s="57">
        <f>(IGA_BD[[#This Row],[Fault Clearance time]]-IGA_BD[[#This Row],[Fault Start TimeStamp]])*24</f>
        <v>0</v>
      </c>
      <c r="R1092" s="153"/>
      <c r="S1092" s="44"/>
      <c r="T1092" s="45" t="str">
        <f>IFERROR(IGA_BD[[#This Row],[Breakdown Time]]*IGA_BD[[#This Row],[Plant Equivalent Weightage]],"")</f>
        <v/>
      </c>
    </row>
    <row r="1093" spans="1:20">
      <c r="A1093" s="28"/>
      <c r="B1093" s="154"/>
      <c r="C1093" s="30" t="e">
        <f>YEAR(WTG_BD[[#This Row],[Date]])+IF(MONTH(WTG_BD[[#This Row],[Date]])&gt;=4,1,0)</f>
        <v>#VALUE!</v>
      </c>
      <c r="D1093" s="31">
        <f>YEAR(IGA_BD[[#This Row],[Date]])</f>
        <v>1900</v>
      </c>
      <c r="E1093" s="48">
        <f t="shared" si="19"/>
        <v>1</v>
      </c>
      <c r="F1093" s="32"/>
      <c r="G1093" s="33"/>
      <c r="H1093" s="43" t="str">
        <f>IFERROR(VLOOKUP(IGA_BD[[#This Row],[Affected Feeder ]],'Basic Data'!$A$42:$E$53,2,0),"")</f>
        <v/>
      </c>
      <c r="I1093" s="43" t="str">
        <f>IFERROR(VLOOKUP(IGA_BD[[#This Row],[Affected Feeder ]],'Basic Data'!$A$42:$E$53,3,0),"")</f>
        <v/>
      </c>
      <c r="J1093" s="43" t="str">
        <f>IFERROR(VLOOKUP(IGA_BD[[#This Row],[Affected Feeder ]],'Basic Data'!$A$42:$E$53,5,0),"")</f>
        <v/>
      </c>
      <c r="K1093" s="164"/>
      <c r="L1093" s="50"/>
      <c r="M1093" s="116"/>
      <c r="N1093" s="116"/>
      <c r="O1093" s="57">
        <f>(IGA_BD[[#This Row],[Work Start TimeStamp]]-IGA_BD[[#This Row],[Fault Start TimeStamp]])*24</f>
        <v>0</v>
      </c>
      <c r="P1093" s="44" t="str">
        <f>IF(IGA_BD[[#This Row],[Work Start TimeStamp]]="","",(IGA_BD[[#This Row],[Fault Clearance time]]-IGA_BD[[#This Row],[Work Start TimeStamp]])*24)</f>
        <v/>
      </c>
      <c r="Q1093" s="57">
        <f>(IGA_BD[[#This Row],[Fault Clearance time]]-IGA_BD[[#This Row],[Fault Start TimeStamp]])*24</f>
        <v>0</v>
      </c>
      <c r="R1093" s="153"/>
      <c r="S1093" s="44"/>
      <c r="T1093" s="45" t="str">
        <f>IFERROR(IGA_BD[[#This Row],[Breakdown Time]]*IGA_BD[[#This Row],[Plant Equivalent Weightage]],"")</f>
        <v/>
      </c>
    </row>
    <row r="1094" spans="1:20">
      <c r="A1094" s="28"/>
      <c r="B1094" s="154"/>
      <c r="C1094" s="30" t="e">
        <f>YEAR(WTG_BD[[#This Row],[Date]])+IF(MONTH(WTG_BD[[#This Row],[Date]])&gt;=4,1,0)</f>
        <v>#VALUE!</v>
      </c>
      <c r="D1094" s="31">
        <f>YEAR(IGA_BD[[#This Row],[Date]])</f>
        <v>1900</v>
      </c>
      <c r="E1094" s="48">
        <f t="shared" si="19"/>
        <v>1</v>
      </c>
      <c r="F1094" s="32"/>
      <c r="G1094" s="33"/>
      <c r="H1094" s="43" t="str">
        <f>IFERROR(VLOOKUP(IGA_BD[[#This Row],[Affected Feeder ]],'Basic Data'!$A$42:$E$53,2,0),"")</f>
        <v/>
      </c>
      <c r="I1094" s="43" t="str">
        <f>IFERROR(VLOOKUP(IGA_BD[[#This Row],[Affected Feeder ]],'Basic Data'!$A$42:$E$53,3,0),"")</f>
        <v/>
      </c>
      <c r="J1094" s="43" t="str">
        <f>IFERROR(VLOOKUP(IGA_BD[[#This Row],[Affected Feeder ]],'Basic Data'!$A$42:$E$53,5,0),"")</f>
        <v/>
      </c>
      <c r="K1094" s="164"/>
      <c r="L1094" s="50"/>
      <c r="M1094" s="116"/>
      <c r="N1094" s="116"/>
      <c r="O1094" s="57">
        <f>(IGA_BD[[#This Row],[Work Start TimeStamp]]-IGA_BD[[#This Row],[Fault Start TimeStamp]])*24</f>
        <v>0</v>
      </c>
      <c r="P1094" s="44" t="str">
        <f>IF(IGA_BD[[#This Row],[Work Start TimeStamp]]="","",(IGA_BD[[#This Row],[Fault Clearance time]]-IGA_BD[[#This Row],[Work Start TimeStamp]])*24)</f>
        <v/>
      </c>
      <c r="Q1094" s="57">
        <f>(IGA_BD[[#This Row],[Fault Clearance time]]-IGA_BD[[#This Row],[Fault Start TimeStamp]])*24</f>
        <v>0</v>
      </c>
      <c r="R1094" s="153"/>
      <c r="S1094" s="44"/>
      <c r="T1094" s="45" t="str">
        <f>IFERROR(IGA_BD[[#This Row],[Breakdown Time]]*IGA_BD[[#This Row],[Plant Equivalent Weightage]],"")</f>
        <v/>
      </c>
    </row>
    <row r="1095" spans="1:20">
      <c r="A1095" s="28"/>
      <c r="B1095" s="154"/>
      <c r="C1095" s="30" t="e">
        <f>YEAR(WTG_BD[[#This Row],[Date]])+IF(MONTH(WTG_BD[[#This Row],[Date]])&gt;=4,1,0)</f>
        <v>#VALUE!</v>
      </c>
      <c r="D1095" s="31">
        <f>YEAR(IGA_BD[[#This Row],[Date]])</f>
        <v>1900</v>
      </c>
      <c r="E1095" s="48">
        <f t="shared" si="19"/>
        <v>1</v>
      </c>
      <c r="F1095" s="32"/>
      <c r="G1095" s="33"/>
      <c r="H1095" s="43" t="str">
        <f>IFERROR(VLOOKUP(IGA_BD[[#This Row],[Affected Feeder ]],'Basic Data'!$A$42:$E$53,2,0),"")</f>
        <v/>
      </c>
      <c r="I1095" s="43" t="str">
        <f>IFERROR(VLOOKUP(IGA_BD[[#This Row],[Affected Feeder ]],'Basic Data'!$A$42:$E$53,3,0),"")</f>
        <v/>
      </c>
      <c r="J1095" s="43" t="str">
        <f>IFERROR(VLOOKUP(IGA_BD[[#This Row],[Affected Feeder ]],'Basic Data'!$A$42:$E$53,5,0),"")</f>
        <v/>
      </c>
      <c r="K1095" s="164"/>
      <c r="L1095" s="50"/>
      <c r="M1095" s="116"/>
      <c r="N1095" s="116"/>
      <c r="O1095" s="57">
        <f>(IGA_BD[[#This Row],[Work Start TimeStamp]]-IGA_BD[[#This Row],[Fault Start TimeStamp]])*24</f>
        <v>0</v>
      </c>
      <c r="P1095" s="44" t="str">
        <f>IF(IGA_BD[[#This Row],[Work Start TimeStamp]]="","",(IGA_BD[[#This Row],[Fault Clearance time]]-IGA_BD[[#This Row],[Work Start TimeStamp]])*24)</f>
        <v/>
      </c>
      <c r="Q1095" s="57">
        <f>(IGA_BD[[#This Row],[Fault Clearance time]]-IGA_BD[[#This Row],[Fault Start TimeStamp]])*24</f>
        <v>0</v>
      </c>
      <c r="R1095" s="153"/>
      <c r="S1095" s="44"/>
      <c r="T1095" s="45" t="str">
        <f>IFERROR(IGA_BD[[#This Row],[Breakdown Time]]*IGA_BD[[#This Row],[Plant Equivalent Weightage]],"")</f>
        <v/>
      </c>
    </row>
    <row r="1096" spans="1:20">
      <c r="A1096" s="28"/>
      <c r="B1096" s="154"/>
      <c r="C1096" s="30" t="e">
        <f>YEAR(WTG_BD[[#This Row],[Date]])+IF(MONTH(WTG_BD[[#This Row],[Date]])&gt;=4,1,0)</f>
        <v>#VALUE!</v>
      </c>
      <c r="D1096" s="31">
        <f>YEAR(IGA_BD[[#This Row],[Date]])</f>
        <v>1900</v>
      </c>
      <c r="E1096" s="48">
        <f t="shared" si="19"/>
        <v>1</v>
      </c>
      <c r="F1096" s="32"/>
      <c r="G1096" s="33"/>
      <c r="H1096" s="43" t="str">
        <f>IFERROR(VLOOKUP(IGA_BD[[#This Row],[Affected Feeder ]],'Basic Data'!$A$42:$E$53,2,0),"")</f>
        <v/>
      </c>
      <c r="I1096" s="43" t="str">
        <f>IFERROR(VLOOKUP(IGA_BD[[#This Row],[Affected Feeder ]],'Basic Data'!$A$42:$E$53,3,0),"")</f>
        <v/>
      </c>
      <c r="J1096" s="43" t="str">
        <f>IFERROR(VLOOKUP(IGA_BD[[#This Row],[Affected Feeder ]],'Basic Data'!$A$42:$E$53,5,0),"")</f>
        <v/>
      </c>
      <c r="K1096" s="164"/>
      <c r="L1096" s="50"/>
      <c r="M1096" s="116"/>
      <c r="N1096" s="116"/>
      <c r="O1096" s="57">
        <f>(IGA_BD[[#This Row],[Work Start TimeStamp]]-IGA_BD[[#This Row],[Fault Start TimeStamp]])*24</f>
        <v>0</v>
      </c>
      <c r="P1096" s="44" t="str">
        <f>IF(IGA_BD[[#This Row],[Work Start TimeStamp]]="","",(IGA_BD[[#This Row],[Fault Clearance time]]-IGA_BD[[#This Row],[Work Start TimeStamp]])*24)</f>
        <v/>
      </c>
      <c r="Q1096" s="57">
        <f>(IGA_BD[[#This Row],[Fault Clearance time]]-IGA_BD[[#This Row],[Fault Start TimeStamp]])*24</f>
        <v>0</v>
      </c>
      <c r="R1096" s="153"/>
      <c r="S1096" s="44"/>
      <c r="T1096" s="45" t="str">
        <f>IFERROR(IGA_BD[[#This Row],[Breakdown Time]]*IGA_BD[[#This Row],[Plant Equivalent Weightage]],"")</f>
        <v/>
      </c>
    </row>
    <row r="1097" spans="1:20">
      <c r="A1097" s="28"/>
      <c r="B1097" s="154"/>
      <c r="C1097" s="30" t="e">
        <f>YEAR(WTG_BD[[#This Row],[Date]])+IF(MONTH(WTG_BD[[#This Row],[Date]])&gt;=4,1,0)</f>
        <v>#VALUE!</v>
      </c>
      <c r="D1097" s="31">
        <f>YEAR(IGA_BD[[#This Row],[Date]])</f>
        <v>1900</v>
      </c>
      <c r="E1097" s="48">
        <f t="shared" si="19"/>
        <v>1</v>
      </c>
      <c r="F1097" s="32"/>
      <c r="G1097" s="33"/>
      <c r="H1097" s="43" t="str">
        <f>IFERROR(VLOOKUP(IGA_BD[[#This Row],[Affected Feeder ]],'Basic Data'!$A$42:$E$53,2,0),"")</f>
        <v/>
      </c>
      <c r="I1097" s="43" t="str">
        <f>IFERROR(VLOOKUP(IGA_BD[[#This Row],[Affected Feeder ]],'Basic Data'!$A$42:$E$53,3,0),"")</f>
        <v/>
      </c>
      <c r="J1097" s="43" t="str">
        <f>IFERROR(VLOOKUP(IGA_BD[[#This Row],[Affected Feeder ]],'Basic Data'!$A$42:$E$53,5,0),"")</f>
        <v/>
      </c>
      <c r="K1097" s="164"/>
      <c r="L1097" s="50"/>
      <c r="M1097" s="116"/>
      <c r="N1097" s="116"/>
      <c r="O1097" s="57">
        <f>(IGA_BD[[#This Row],[Work Start TimeStamp]]-IGA_BD[[#This Row],[Fault Start TimeStamp]])*24</f>
        <v>0</v>
      </c>
      <c r="P1097" s="44" t="str">
        <f>IF(IGA_BD[[#This Row],[Work Start TimeStamp]]="","",(IGA_BD[[#This Row],[Fault Clearance time]]-IGA_BD[[#This Row],[Work Start TimeStamp]])*24)</f>
        <v/>
      </c>
      <c r="Q1097" s="57">
        <f>(IGA_BD[[#This Row],[Fault Clearance time]]-IGA_BD[[#This Row],[Fault Start TimeStamp]])*24</f>
        <v>0</v>
      </c>
      <c r="R1097" s="153"/>
      <c r="S1097" s="44"/>
      <c r="T1097" s="45" t="str">
        <f>IFERROR(IGA_BD[[#This Row],[Breakdown Time]]*IGA_BD[[#This Row],[Plant Equivalent Weightage]],"")</f>
        <v/>
      </c>
    </row>
    <row r="1098" spans="1:20">
      <c r="A1098" s="28"/>
      <c r="B1098" s="154"/>
      <c r="C1098" s="30" t="e">
        <f>YEAR(WTG_BD[[#This Row],[Date]])+IF(MONTH(WTG_BD[[#This Row],[Date]])&gt;=4,1,0)</f>
        <v>#VALUE!</v>
      </c>
      <c r="D1098" s="31">
        <f>YEAR(IGA_BD[[#This Row],[Date]])</f>
        <v>1900</v>
      </c>
      <c r="E1098" s="48">
        <f t="shared" si="19"/>
        <v>1</v>
      </c>
      <c r="F1098" s="32"/>
      <c r="G1098" s="33"/>
      <c r="H1098" s="43" t="str">
        <f>IFERROR(VLOOKUP(IGA_BD[[#This Row],[Affected Feeder ]],'Basic Data'!$A$42:$E$53,2,0),"")</f>
        <v/>
      </c>
      <c r="I1098" s="43" t="str">
        <f>IFERROR(VLOOKUP(IGA_BD[[#This Row],[Affected Feeder ]],'Basic Data'!$A$42:$E$53,3,0),"")</f>
        <v/>
      </c>
      <c r="J1098" s="43" t="str">
        <f>IFERROR(VLOOKUP(IGA_BD[[#This Row],[Affected Feeder ]],'Basic Data'!$A$42:$E$53,5,0),"")</f>
        <v/>
      </c>
      <c r="K1098" s="164"/>
      <c r="L1098" s="50"/>
      <c r="M1098" s="116"/>
      <c r="N1098" s="116"/>
      <c r="O1098" s="57">
        <f>(IGA_BD[[#This Row],[Work Start TimeStamp]]-IGA_BD[[#This Row],[Fault Start TimeStamp]])*24</f>
        <v>0</v>
      </c>
      <c r="P1098" s="44" t="str">
        <f>IF(IGA_BD[[#This Row],[Work Start TimeStamp]]="","",(IGA_BD[[#This Row],[Fault Clearance time]]-IGA_BD[[#This Row],[Work Start TimeStamp]])*24)</f>
        <v/>
      </c>
      <c r="Q1098" s="57">
        <f>(IGA_BD[[#This Row],[Fault Clearance time]]-IGA_BD[[#This Row],[Fault Start TimeStamp]])*24</f>
        <v>0</v>
      </c>
      <c r="R1098" s="153"/>
      <c r="S1098" s="44"/>
      <c r="T1098" s="45" t="str">
        <f>IFERROR(IGA_BD[[#This Row],[Breakdown Time]]*IGA_BD[[#This Row],[Plant Equivalent Weightage]],"")</f>
        <v/>
      </c>
    </row>
    <row r="1099" spans="1:20">
      <c r="A1099" s="28"/>
      <c r="B1099" s="154"/>
      <c r="C1099" s="30" t="e">
        <f>YEAR(WTG_BD[[#This Row],[Date]])+IF(MONTH(WTG_BD[[#This Row],[Date]])&gt;=4,1,0)</f>
        <v>#VALUE!</v>
      </c>
      <c r="D1099" s="31">
        <f>YEAR(IGA_BD[[#This Row],[Date]])</f>
        <v>1900</v>
      </c>
      <c r="E1099" s="48">
        <f t="shared" si="19"/>
        <v>1</v>
      </c>
      <c r="F1099" s="32"/>
      <c r="G1099" s="33"/>
      <c r="H1099" s="43" t="str">
        <f>IFERROR(VLOOKUP(IGA_BD[[#This Row],[Affected Feeder ]],'Basic Data'!$A$42:$E$53,2,0),"")</f>
        <v/>
      </c>
      <c r="I1099" s="43" t="str">
        <f>IFERROR(VLOOKUP(IGA_BD[[#This Row],[Affected Feeder ]],'Basic Data'!$A$42:$E$53,3,0),"")</f>
        <v/>
      </c>
      <c r="J1099" s="43" t="str">
        <f>IFERROR(VLOOKUP(IGA_BD[[#This Row],[Affected Feeder ]],'Basic Data'!$A$42:$E$53,5,0),"")</f>
        <v/>
      </c>
      <c r="K1099" s="164"/>
      <c r="L1099" s="50"/>
      <c r="M1099" s="116"/>
      <c r="N1099" s="116"/>
      <c r="O1099" s="57">
        <f>(IGA_BD[[#This Row],[Work Start TimeStamp]]-IGA_BD[[#This Row],[Fault Start TimeStamp]])*24</f>
        <v>0</v>
      </c>
      <c r="P1099" s="44" t="str">
        <f>IF(IGA_BD[[#This Row],[Work Start TimeStamp]]="","",(IGA_BD[[#This Row],[Fault Clearance time]]-IGA_BD[[#This Row],[Work Start TimeStamp]])*24)</f>
        <v/>
      </c>
      <c r="Q1099" s="57">
        <f>(IGA_BD[[#This Row],[Fault Clearance time]]-IGA_BD[[#This Row],[Fault Start TimeStamp]])*24</f>
        <v>0</v>
      </c>
      <c r="R1099" s="153"/>
      <c r="S1099" s="44"/>
      <c r="T1099" s="45" t="str">
        <f>IFERROR(IGA_BD[[#This Row],[Breakdown Time]]*IGA_BD[[#This Row],[Plant Equivalent Weightage]],"")</f>
        <v/>
      </c>
    </row>
    <row r="1100" spans="1:20">
      <c r="A1100" s="28"/>
      <c r="B1100" s="154"/>
      <c r="C1100" s="30" t="e">
        <f>YEAR(WTG_BD[[#This Row],[Date]])+IF(MONTH(WTG_BD[[#This Row],[Date]])&gt;=4,1,0)</f>
        <v>#VALUE!</v>
      </c>
      <c r="D1100" s="31">
        <f>YEAR(IGA_BD[[#This Row],[Date]])</f>
        <v>1900</v>
      </c>
      <c r="E1100" s="48">
        <f t="shared" si="19"/>
        <v>1</v>
      </c>
      <c r="F1100" s="32"/>
      <c r="G1100" s="33"/>
      <c r="H1100" s="43" t="str">
        <f>IFERROR(VLOOKUP(IGA_BD[[#This Row],[Affected Feeder ]],'Basic Data'!$A$42:$E$53,2,0),"")</f>
        <v/>
      </c>
      <c r="I1100" s="43" t="str">
        <f>IFERROR(VLOOKUP(IGA_BD[[#This Row],[Affected Feeder ]],'Basic Data'!$A$42:$E$53,3,0),"")</f>
        <v/>
      </c>
      <c r="J1100" s="43" t="str">
        <f>IFERROR(VLOOKUP(IGA_BD[[#This Row],[Affected Feeder ]],'Basic Data'!$A$42:$E$53,5,0),"")</f>
        <v/>
      </c>
      <c r="K1100" s="164"/>
      <c r="L1100" s="50"/>
      <c r="M1100" s="116"/>
      <c r="N1100" s="116"/>
      <c r="O1100" s="57">
        <f>(IGA_BD[[#This Row],[Work Start TimeStamp]]-IGA_BD[[#This Row],[Fault Start TimeStamp]])*24</f>
        <v>0</v>
      </c>
      <c r="P1100" s="44" t="str">
        <f>IF(IGA_BD[[#This Row],[Work Start TimeStamp]]="","",(IGA_BD[[#This Row],[Fault Clearance time]]-IGA_BD[[#This Row],[Work Start TimeStamp]])*24)</f>
        <v/>
      </c>
      <c r="Q1100" s="57">
        <f>(IGA_BD[[#This Row],[Fault Clearance time]]-IGA_BD[[#This Row],[Fault Start TimeStamp]])*24</f>
        <v>0</v>
      </c>
      <c r="R1100" s="153"/>
      <c r="S1100" s="44"/>
      <c r="T1100" s="45" t="str">
        <f>IFERROR(IGA_BD[[#This Row],[Breakdown Time]]*IGA_BD[[#This Row],[Plant Equivalent Weightage]],"")</f>
        <v/>
      </c>
    </row>
    <row r="1101" spans="1:20">
      <c r="A1101" s="28"/>
      <c r="B1101" s="154"/>
      <c r="C1101" s="30" t="e">
        <f>YEAR(WTG_BD[[#This Row],[Date]])+IF(MONTH(WTG_BD[[#This Row],[Date]])&gt;=4,1,0)</f>
        <v>#VALUE!</v>
      </c>
      <c r="D1101" s="31">
        <f>YEAR(IGA_BD[[#This Row],[Date]])</f>
        <v>1900</v>
      </c>
      <c r="E1101" s="48">
        <f t="shared" si="19"/>
        <v>1</v>
      </c>
      <c r="F1101" s="32"/>
      <c r="G1101" s="33"/>
      <c r="H1101" s="43" t="str">
        <f>IFERROR(VLOOKUP(IGA_BD[[#This Row],[Affected Feeder ]],'Basic Data'!$A$42:$E$53,2,0),"")</f>
        <v/>
      </c>
      <c r="I1101" s="43" t="str">
        <f>IFERROR(VLOOKUP(IGA_BD[[#This Row],[Affected Feeder ]],'Basic Data'!$A$42:$E$53,3,0),"")</f>
        <v/>
      </c>
      <c r="J1101" s="43" t="str">
        <f>IFERROR(VLOOKUP(IGA_BD[[#This Row],[Affected Feeder ]],'Basic Data'!$A$42:$E$53,5,0),"")</f>
        <v/>
      </c>
      <c r="K1101" s="164"/>
      <c r="L1101" s="50"/>
      <c r="M1101" s="116"/>
      <c r="N1101" s="116"/>
      <c r="O1101" s="57">
        <f>(IGA_BD[[#This Row],[Work Start TimeStamp]]-IGA_BD[[#This Row],[Fault Start TimeStamp]])*24</f>
        <v>0</v>
      </c>
      <c r="P1101" s="44" t="str">
        <f>IF(IGA_BD[[#This Row],[Work Start TimeStamp]]="","",(IGA_BD[[#This Row],[Fault Clearance time]]-IGA_BD[[#This Row],[Work Start TimeStamp]])*24)</f>
        <v/>
      </c>
      <c r="Q1101" s="57">
        <f>(IGA_BD[[#This Row],[Fault Clearance time]]-IGA_BD[[#This Row],[Fault Start TimeStamp]])*24</f>
        <v>0</v>
      </c>
      <c r="R1101" s="153"/>
      <c r="S1101" s="44"/>
      <c r="T1101" s="45" t="str">
        <f>IFERROR(IGA_BD[[#This Row],[Breakdown Time]]*IGA_BD[[#This Row],[Plant Equivalent Weightage]],"")</f>
        <v/>
      </c>
    </row>
    <row r="1102" spans="1:20">
      <c r="A1102" s="28"/>
      <c r="B1102" s="154"/>
      <c r="C1102" s="30" t="e">
        <f>YEAR(WTG_BD[[#This Row],[Date]])+IF(MONTH(WTG_BD[[#This Row],[Date]])&gt;=4,1,0)</f>
        <v>#VALUE!</v>
      </c>
      <c r="D1102" s="31">
        <f>YEAR(IGA_BD[[#This Row],[Date]])</f>
        <v>1900</v>
      </c>
      <c r="E1102" s="48">
        <f t="shared" si="19"/>
        <v>1</v>
      </c>
      <c r="F1102" s="32"/>
      <c r="G1102" s="33"/>
      <c r="H1102" s="43" t="str">
        <f>IFERROR(VLOOKUP(IGA_BD[[#This Row],[Affected Feeder ]],'Basic Data'!$A$42:$E$53,2,0),"")</f>
        <v/>
      </c>
      <c r="I1102" s="43" t="str">
        <f>IFERROR(VLOOKUP(IGA_BD[[#This Row],[Affected Feeder ]],'Basic Data'!$A$42:$E$53,3,0),"")</f>
        <v/>
      </c>
      <c r="J1102" s="43" t="str">
        <f>IFERROR(VLOOKUP(IGA_BD[[#This Row],[Affected Feeder ]],'Basic Data'!$A$42:$E$53,5,0),"")</f>
        <v/>
      </c>
      <c r="K1102" s="164"/>
      <c r="L1102" s="50"/>
      <c r="M1102" s="116"/>
      <c r="N1102" s="116"/>
      <c r="O1102" s="57">
        <f>(IGA_BD[[#This Row],[Work Start TimeStamp]]-IGA_BD[[#This Row],[Fault Start TimeStamp]])*24</f>
        <v>0</v>
      </c>
      <c r="P1102" s="44" t="str">
        <f>IF(IGA_BD[[#This Row],[Work Start TimeStamp]]="","",(IGA_BD[[#This Row],[Fault Clearance time]]-IGA_BD[[#This Row],[Work Start TimeStamp]])*24)</f>
        <v/>
      </c>
      <c r="Q1102" s="57">
        <f>(IGA_BD[[#This Row],[Fault Clearance time]]-IGA_BD[[#This Row],[Fault Start TimeStamp]])*24</f>
        <v>0</v>
      </c>
      <c r="R1102" s="153"/>
      <c r="S1102" s="44"/>
      <c r="T1102" s="45" t="str">
        <f>IFERROR(IGA_BD[[#This Row],[Breakdown Time]]*IGA_BD[[#This Row],[Plant Equivalent Weightage]],"")</f>
        <v/>
      </c>
    </row>
    <row r="1103" spans="1:20">
      <c r="A1103" s="28"/>
      <c r="B1103" s="154"/>
      <c r="C1103" s="30" t="e">
        <f>YEAR(WTG_BD[[#This Row],[Date]])+IF(MONTH(WTG_BD[[#This Row],[Date]])&gt;=4,1,0)</f>
        <v>#VALUE!</v>
      </c>
      <c r="D1103" s="31">
        <f>YEAR(IGA_BD[[#This Row],[Date]])</f>
        <v>1900</v>
      </c>
      <c r="E1103" s="48">
        <f t="shared" si="19"/>
        <v>1</v>
      </c>
      <c r="F1103" s="32"/>
      <c r="G1103" s="33"/>
      <c r="H1103" s="43" t="str">
        <f>IFERROR(VLOOKUP(IGA_BD[[#This Row],[Affected Feeder ]],'Basic Data'!$A$42:$E$53,2,0),"")</f>
        <v/>
      </c>
      <c r="I1103" s="43" t="str">
        <f>IFERROR(VLOOKUP(IGA_BD[[#This Row],[Affected Feeder ]],'Basic Data'!$A$42:$E$53,3,0),"")</f>
        <v/>
      </c>
      <c r="J1103" s="43" t="str">
        <f>IFERROR(VLOOKUP(IGA_BD[[#This Row],[Affected Feeder ]],'Basic Data'!$A$42:$E$53,5,0),"")</f>
        <v/>
      </c>
      <c r="K1103" s="164"/>
      <c r="L1103" s="50"/>
      <c r="M1103" s="116"/>
      <c r="N1103" s="116"/>
      <c r="O1103" s="57">
        <f>(IGA_BD[[#This Row],[Work Start TimeStamp]]-IGA_BD[[#This Row],[Fault Start TimeStamp]])*24</f>
        <v>0</v>
      </c>
      <c r="P1103" s="44" t="str">
        <f>IF(IGA_BD[[#This Row],[Work Start TimeStamp]]="","",(IGA_BD[[#This Row],[Fault Clearance time]]-IGA_BD[[#This Row],[Work Start TimeStamp]])*24)</f>
        <v/>
      </c>
      <c r="Q1103" s="57">
        <f>(IGA_BD[[#This Row],[Fault Clearance time]]-IGA_BD[[#This Row],[Fault Start TimeStamp]])*24</f>
        <v>0</v>
      </c>
      <c r="R1103" s="153"/>
      <c r="S1103" s="44"/>
      <c r="T1103" s="45" t="str">
        <f>IFERROR(IGA_BD[[#This Row],[Breakdown Time]]*IGA_BD[[#This Row],[Plant Equivalent Weightage]],"")</f>
        <v/>
      </c>
    </row>
    <row r="1104" spans="1:20">
      <c r="A1104" s="28"/>
      <c r="B1104" s="154"/>
      <c r="C1104" s="30" t="e">
        <f>YEAR(WTG_BD[[#This Row],[Date]])+IF(MONTH(WTG_BD[[#This Row],[Date]])&gt;=4,1,0)</f>
        <v>#VALUE!</v>
      </c>
      <c r="D1104" s="31">
        <f>YEAR(IGA_BD[[#This Row],[Date]])</f>
        <v>1900</v>
      </c>
      <c r="E1104" s="48">
        <f t="shared" si="19"/>
        <v>1</v>
      </c>
      <c r="F1104" s="32"/>
      <c r="G1104" s="33"/>
      <c r="H1104" s="43" t="str">
        <f>IFERROR(VLOOKUP(IGA_BD[[#This Row],[Affected Feeder ]],'Basic Data'!$A$42:$E$53,2,0),"")</f>
        <v/>
      </c>
      <c r="I1104" s="43" t="str">
        <f>IFERROR(VLOOKUP(IGA_BD[[#This Row],[Affected Feeder ]],'Basic Data'!$A$42:$E$53,3,0),"")</f>
        <v/>
      </c>
      <c r="J1104" s="43" t="str">
        <f>IFERROR(VLOOKUP(IGA_BD[[#This Row],[Affected Feeder ]],'Basic Data'!$A$42:$E$53,5,0),"")</f>
        <v/>
      </c>
      <c r="K1104" s="164"/>
      <c r="L1104" s="50"/>
      <c r="M1104" s="116"/>
      <c r="N1104" s="116"/>
      <c r="O1104" s="57">
        <f>(IGA_BD[[#This Row],[Work Start TimeStamp]]-IGA_BD[[#This Row],[Fault Start TimeStamp]])*24</f>
        <v>0</v>
      </c>
      <c r="P1104" s="44" t="str">
        <f>IF(IGA_BD[[#This Row],[Work Start TimeStamp]]="","",(IGA_BD[[#This Row],[Fault Clearance time]]-IGA_BD[[#This Row],[Work Start TimeStamp]])*24)</f>
        <v/>
      </c>
      <c r="Q1104" s="57">
        <f>(IGA_BD[[#This Row],[Fault Clearance time]]-IGA_BD[[#This Row],[Fault Start TimeStamp]])*24</f>
        <v>0</v>
      </c>
      <c r="R1104" s="153"/>
      <c r="S1104" s="44"/>
      <c r="T1104" s="45" t="str">
        <f>IFERROR(IGA_BD[[#This Row],[Breakdown Time]]*IGA_BD[[#This Row],[Plant Equivalent Weightage]],"")</f>
        <v/>
      </c>
    </row>
    <row r="1105" spans="1:20">
      <c r="A1105" s="28"/>
      <c r="B1105" s="154"/>
      <c r="C1105" s="30" t="e">
        <f>YEAR(WTG_BD[[#This Row],[Date]])+IF(MONTH(WTG_BD[[#This Row],[Date]])&gt;=4,1,0)</f>
        <v>#VALUE!</v>
      </c>
      <c r="D1105" s="31">
        <f>YEAR(IGA_BD[[#This Row],[Date]])</f>
        <v>1900</v>
      </c>
      <c r="E1105" s="48">
        <f t="shared" si="19"/>
        <v>1</v>
      </c>
      <c r="F1105" s="32"/>
      <c r="G1105" s="33"/>
      <c r="H1105" s="43" t="str">
        <f>IFERROR(VLOOKUP(IGA_BD[[#This Row],[Affected Feeder ]],'Basic Data'!$A$42:$E$53,2,0),"")</f>
        <v/>
      </c>
      <c r="I1105" s="43" t="str">
        <f>IFERROR(VLOOKUP(IGA_BD[[#This Row],[Affected Feeder ]],'Basic Data'!$A$42:$E$53,3,0),"")</f>
        <v/>
      </c>
      <c r="J1105" s="43" t="str">
        <f>IFERROR(VLOOKUP(IGA_BD[[#This Row],[Affected Feeder ]],'Basic Data'!$A$42:$E$53,5,0),"")</f>
        <v/>
      </c>
      <c r="K1105" s="164"/>
      <c r="L1105" s="50"/>
      <c r="M1105" s="116"/>
      <c r="N1105" s="116"/>
      <c r="O1105" s="57">
        <f>(IGA_BD[[#This Row],[Work Start TimeStamp]]-IGA_BD[[#This Row],[Fault Start TimeStamp]])*24</f>
        <v>0</v>
      </c>
      <c r="P1105" s="44" t="str">
        <f>IF(IGA_BD[[#This Row],[Work Start TimeStamp]]="","",(IGA_BD[[#This Row],[Fault Clearance time]]-IGA_BD[[#This Row],[Work Start TimeStamp]])*24)</f>
        <v/>
      </c>
      <c r="Q1105" s="57">
        <f>(IGA_BD[[#This Row],[Fault Clearance time]]-IGA_BD[[#This Row],[Fault Start TimeStamp]])*24</f>
        <v>0</v>
      </c>
      <c r="R1105" s="153"/>
      <c r="S1105" s="44"/>
      <c r="T1105" s="45" t="str">
        <f>IFERROR(IGA_BD[[#This Row],[Breakdown Time]]*IGA_BD[[#This Row],[Plant Equivalent Weightage]],"")</f>
        <v/>
      </c>
    </row>
    <row r="1106" spans="1:20">
      <c r="A1106" s="28"/>
      <c r="B1106" s="154"/>
      <c r="C1106" s="30" t="e">
        <f>YEAR(WTG_BD[[#This Row],[Date]])+IF(MONTH(WTG_BD[[#This Row],[Date]])&gt;=4,1,0)</f>
        <v>#VALUE!</v>
      </c>
      <c r="D1106" s="31">
        <f>YEAR(IGA_BD[[#This Row],[Date]])</f>
        <v>1900</v>
      </c>
      <c r="E1106" s="48">
        <f t="shared" si="19"/>
        <v>1</v>
      </c>
      <c r="F1106" s="32"/>
      <c r="G1106" s="33"/>
      <c r="H1106" s="43" t="str">
        <f>IFERROR(VLOOKUP(IGA_BD[[#This Row],[Affected Feeder ]],'Basic Data'!$A$42:$E$53,2,0),"")</f>
        <v/>
      </c>
      <c r="I1106" s="43" t="str">
        <f>IFERROR(VLOOKUP(IGA_BD[[#This Row],[Affected Feeder ]],'Basic Data'!$A$42:$E$53,3,0),"")</f>
        <v/>
      </c>
      <c r="J1106" s="43" t="str">
        <f>IFERROR(VLOOKUP(IGA_BD[[#This Row],[Affected Feeder ]],'Basic Data'!$A$42:$E$53,5,0),"")</f>
        <v/>
      </c>
      <c r="K1106" s="164"/>
      <c r="L1106" s="50"/>
      <c r="M1106" s="116"/>
      <c r="N1106" s="116"/>
      <c r="O1106" s="57">
        <f>(IGA_BD[[#This Row],[Work Start TimeStamp]]-IGA_BD[[#This Row],[Fault Start TimeStamp]])*24</f>
        <v>0</v>
      </c>
      <c r="P1106" s="44" t="str">
        <f>IF(IGA_BD[[#This Row],[Work Start TimeStamp]]="","",(IGA_BD[[#This Row],[Fault Clearance time]]-IGA_BD[[#This Row],[Work Start TimeStamp]])*24)</f>
        <v/>
      </c>
      <c r="Q1106" s="57">
        <f>(IGA_BD[[#This Row],[Fault Clearance time]]-IGA_BD[[#This Row],[Fault Start TimeStamp]])*24</f>
        <v>0</v>
      </c>
      <c r="R1106" s="153"/>
      <c r="S1106" s="44"/>
      <c r="T1106" s="45" t="str">
        <f>IFERROR(IGA_BD[[#This Row],[Breakdown Time]]*IGA_BD[[#This Row],[Plant Equivalent Weightage]],"")</f>
        <v/>
      </c>
    </row>
    <row r="1107" spans="1:20">
      <c r="A1107" s="28"/>
      <c r="B1107" s="154"/>
      <c r="C1107" s="30" t="e">
        <f>YEAR(WTG_BD[[#This Row],[Date]])+IF(MONTH(WTG_BD[[#This Row],[Date]])&gt;=4,1,0)</f>
        <v>#VALUE!</v>
      </c>
      <c r="D1107" s="31">
        <f>YEAR(IGA_BD[[#This Row],[Date]])</f>
        <v>1900</v>
      </c>
      <c r="E1107" s="48">
        <f t="shared" si="19"/>
        <v>1</v>
      </c>
      <c r="F1107" s="32"/>
      <c r="G1107" s="33"/>
      <c r="H1107" s="43" t="str">
        <f>IFERROR(VLOOKUP(IGA_BD[[#This Row],[Affected Feeder ]],'Basic Data'!$A$42:$E$53,2,0),"")</f>
        <v/>
      </c>
      <c r="I1107" s="43" t="str">
        <f>IFERROR(VLOOKUP(IGA_BD[[#This Row],[Affected Feeder ]],'Basic Data'!$A$42:$E$53,3,0),"")</f>
        <v/>
      </c>
      <c r="J1107" s="43" t="str">
        <f>IFERROR(VLOOKUP(IGA_BD[[#This Row],[Affected Feeder ]],'Basic Data'!$A$42:$E$53,5,0),"")</f>
        <v/>
      </c>
      <c r="K1107" s="164"/>
      <c r="L1107" s="50"/>
      <c r="M1107" s="116"/>
      <c r="N1107" s="116"/>
      <c r="O1107" s="57">
        <f>(IGA_BD[[#This Row],[Work Start TimeStamp]]-IGA_BD[[#This Row],[Fault Start TimeStamp]])*24</f>
        <v>0</v>
      </c>
      <c r="P1107" s="44" t="str">
        <f>IF(IGA_BD[[#This Row],[Work Start TimeStamp]]="","",(IGA_BD[[#This Row],[Fault Clearance time]]-IGA_BD[[#This Row],[Work Start TimeStamp]])*24)</f>
        <v/>
      </c>
      <c r="Q1107" s="57">
        <f>(IGA_BD[[#This Row],[Fault Clearance time]]-IGA_BD[[#This Row],[Fault Start TimeStamp]])*24</f>
        <v>0</v>
      </c>
      <c r="R1107" s="153"/>
      <c r="S1107" s="44"/>
      <c r="T1107" s="45" t="str">
        <f>IFERROR(IGA_BD[[#This Row],[Breakdown Time]]*IGA_BD[[#This Row],[Plant Equivalent Weightage]],"")</f>
        <v/>
      </c>
    </row>
    <row r="1108" spans="1:20">
      <c r="A1108" s="28"/>
      <c r="B1108" s="154"/>
      <c r="C1108" s="30" t="e">
        <f>YEAR(WTG_BD[[#This Row],[Date]])+IF(MONTH(WTG_BD[[#This Row],[Date]])&gt;=4,1,0)</f>
        <v>#VALUE!</v>
      </c>
      <c r="D1108" s="31">
        <f>YEAR(IGA_BD[[#This Row],[Date]])</f>
        <v>1900</v>
      </c>
      <c r="E1108" s="48">
        <f t="shared" si="19"/>
        <v>1</v>
      </c>
      <c r="F1108" s="32"/>
      <c r="G1108" s="33"/>
      <c r="H1108" s="43" t="str">
        <f>IFERROR(VLOOKUP(IGA_BD[[#This Row],[Affected Feeder ]],'Basic Data'!$A$42:$E$53,2,0),"")</f>
        <v/>
      </c>
      <c r="I1108" s="43" t="str">
        <f>IFERROR(VLOOKUP(IGA_BD[[#This Row],[Affected Feeder ]],'Basic Data'!$A$42:$E$53,3,0),"")</f>
        <v/>
      </c>
      <c r="J1108" s="43" t="str">
        <f>IFERROR(VLOOKUP(IGA_BD[[#This Row],[Affected Feeder ]],'Basic Data'!$A$42:$E$53,5,0),"")</f>
        <v/>
      </c>
      <c r="K1108" s="164"/>
      <c r="L1108" s="50"/>
      <c r="M1108" s="116"/>
      <c r="N1108" s="116"/>
      <c r="O1108" s="57">
        <f>(IGA_BD[[#This Row],[Work Start TimeStamp]]-IGA_BD[[#This Row],[Fault Start TimeStamp]])*24</f>
        <v>0</v>
      </c>
      <c r="P1108" s="44" t="str">
        <f>IF(IGA_BD[[#This Row],[Work Start TimeStamp]]="","",(IGA_BD[[#This Row],[Fault Clearance time]]-IGA_BD[[#This Row],[Work Start TimeStamp]])*24)</f>
        <v/>
      </c>
      <c r="Q1108" s="57">
        <f>(IGA_BD[[#This Row],[Fault Clearance time]]-IGA_BD[[#This Row],[Fault Start TimeStamp]])*24</f>
        <v>0</v>
      </c>
      <c r="R1108" s="153"/>
      <c r="S1108" s="44"/>
      <c r="T1108" s="45" t="str">
        <f>IFERROR(IGA_BD[[#This Row],[Breakdown Time]]*IGA_BD[[#This Row],[Plant Equivalent Weightage]],"")</f>
        <v/>
      </c>
    </row>
    <row r="1109" spans="1:20">
      <c r="A1109" s="28"/>
      <c r="B1109" s="154"/>
      <c r="C1109" s="30" t="e">
        <f>YEAR(WTG_BD[[#This Row],[Date]])+IF(MONTH(WTG_BD[[#This Row],[Date]])&gt;=4,1,0)</f>
        <v>#VALUE!</v>
      </c>
      <c r="D1109" s="31">
        <f>YEAR(IGA_BD[[#This Row],[Date]])</f>
        <v>1900</v>
      </c>
      <c r="E1109" s="48">
        <f t="shared" si="19"/>
        <v>1</v>
      </c>
      <c r="F1109" s="32"/>
      <c r="G1109" s="33"/>
      <c r="H1109" s="43" t="str">
        <f>IFERROR(VLOOKUP(IGA_BD[[#This Row],[Affected Feeder ]],'Basic Data'!$A$42:$E$53,2,0),"")</f>
        <v/>
      </c>
      <c r="I1109" s="43" t="str">
        <f>IFERROR(VLOOKUP(IGA_BD[[#This Row],[Affected Feeder ]],'Basic Data'!$A$42:$E$53,3,0),"")</f>
        <v/>
      </c>
      <c r="J1109" s="43" t="str">
        <f>IFERROR(VLOOKUP(IGA_BD[[#This Row],[Affected Feeder ]],'Basic Data'!$A$42:$E$53,5,0),"")</f>
        <v/>
      </c>
      <c r="K1109" s="164"/>
      <c r="L1109" s="50"/>
      <c r="M1109" s="116"/>
      <c r="N1109" s="116"/>
      <c r="O1109" s="57">
        <f>(IGA_BD[[#This Row],[Work Start TimeStamp]]-IGA_BD[[#This Row],[Fault Start TimeStamp]])*24</f>
        <v>0</v>
      </c>
      <c r="P1109" s="44" t="str">
        <f>IF(IGA_BD[[#This Row],[Work Start TimeStamp]]="","",(IGA_BD[[#This Row],[Fault Clearance time]]-IGA_BD[[#This Row],[Work Start TimeStamp]])*24)</f>
        <v/>
      </c>
      <c r="Q1109" s="57">
        <f>(IGA_BD[[#This Row],[Fault Clearance time]]-IGA_BD[[#This Row],[Fault Start TimeStamp]])*24</f>
        <v>0</v>
      </c>
      <c r="R1109" s="153"/>
      <c r="S1109" s="44"/>
      <c r="T1109" s="45" t="str">
        <f>IFERROR(IGA_BD[[#This Row],[Breakdown Time]]*IGA_BD[[#This Row],[Plant Equivalent Weightage]],"")</f>
        <v/>
      </c>
    </row>
    <row r="1110" spans="1:20">
      <c r="A1110" s="28"/>
      <c r="B1110" s="154"/>
      <c r="C1110" s="30" t="e">
        <f>YEAR(WTG_BD[[#This Row],[Date]])+IF(MONTH(WTG_BD[[#This Row],[Date]])&gt;=4,1,0)</f>
        <v>#VALUE!</v>
      </c>
      <c r="D1110" s="31">
        <f>YEAR(IGA_BD[[#This Row],[Date]])</f>
        <v>1900</v>
      </c>
      <c r="E1110" s="48">
        <f t="shared" si="19"/>
        <v>1</v>
      </c>
      <c r="F1110" s="32"/>
      <c r="G1110" s="33"/>
      <c r="H1110" s="43" t="str">
        <f>IFERROR(VLOOKUP(IGA_BD[[#This Row],[Affected Feeder ]],'Basic Data'!$A$42:$E$53,2,0),"")</f>
        <v/>
      </c>
      <c r="I1110" s="43" t="str">
        <f>IFERROR(VLOOKUP(IGA_BD[[#This Row],[Affected Feeder ]],'Basic Data'!$A$42:$E$53,3,0),"")</f>
        <v/>
      </c>
      <c r="J1110" s="43" t="str">
        <f>IFERROR(VLOOKUP(IGA_BD[[#This Row],[Affected Feeder ]],'Basic Data'!$A$42:$E$53,5,0),"")</f>
        <v/>
      </c>
      <c r="K1110" s="164"/>
      <c r="L1110" s="50"/>
      <c r="M1110" s="116"/>
      <c r="N1110" s="116"/>
      <c r="O1110" s="57">
        <f>(IGA_BD[[#This Row],[Work Start TimeStamp]]-IGA_BD[[#This Row],[Fault Start TimeStamp]])*24</f>
        <v>0</v>
      </c>
      <c r="P1110" s="44" t="str">
        <f>IF(IGA_BD[[#This Row],[Work Start TimeStamp]]="","",(IGA_BD[[#This Row],[Fault Clearance time]]-IGA_BD[[#This Row],[Work Start TimeStamp]])*24)</f>
        <v/>
      </c>
      <c r="Q1110" s="57">
        <f>(IGA_BD[[#This Row],[Fault Clearance time]]-IGA_BD[[#This Row],[Fault Start TimeStamp]])*24</f>
        <v>0</v>
      </c>
      <c r="R1110" s="153"/>
      <c r="S1110" s="44"/>
      <c r="T1110" s="45" t="str">
        <f>IFERROR(IGA_BD[[#This Row],[Breakdown Time]]*IGA_BD[[#This Row],[Plant Equivalent Weightage]],"")</f>
        <v/>
      </c>
    </row>
    <row r="1111" spans="1:20">
      <c r="A1111" s="28"/>
      <c r="B1111" s="154"/>
      <c r="C1111" s="30" t="e">
        <f>YEAR(WTG_BD[[#This Row],[Date]])+IF(MONTH(WTG_BD[[#This Row],[Date]])&gt;=4,1,0)</f>
        <v>#VALUE!</v>
      </c>
      <c r="D1111" s="31">
        <f>YEAR(IGA_BD[[#This Row],[Date]])</f>
        <v>1900</v>
      </c>
      <c r="E1111" s="48">
        <f t="shared" si="19"/>
        <v>1</v>
      </c>
      <c r="F1111" s="32"/>
      <c r="G1111" s="33"/>
      <c r="H1111" s="43" t="str">
        <f>IFERROR(VLOOKUP(IGA_BD[[#This Row],[Affected Feeder ]],'Basic Data'!$A$42:$E$53,2,0),"")</f>
        <v/>
      </c>
      <c r="I1111" s="43" t="str">
        <f>IFERROR(VLOOKUP(IGA_BD[[#This Row],[Affected Feeder ]],'Basic Data'!$A$42:$E$53,3,0),"")</f>
        <v/>
      </c>
      <c r="J1111" s="43" t="str">
        <f>IFERROR(VLOOKUP(IGA_BD[[#This Row],[Affected Feeder ]],'Basic Data'!$A$42:$E$53,5,0),"")</f>
        <v/>
      </c>
      <c r="K1111" s="164"/>
      <c r="L1111" s="50"/>
      <c r="M1111" s="116"/>
      <c r="N1111" s="116"/>
      <c r="O1111" s="57">
        <f>(IGA_BD[[#This Row],[Work Start TimeStamp]]-IGA_BD[[#This Row],[Fault Start TimeStamp]])*24</f>
        <v>0</v>
      </c>
      <c r="P1111" s="44" t="str">
        <f>IF(IGA_BD[[#This Row],[Work Start TimeStamp]]="","",(IGA_BD[[#This Row],[Fault Clearance time]]-IGA_BD[[#This Row],[Work Start TimeStamp]])*24)</f>
        <v/>
      </c>
      <c r="Q1111" s="57">
        <f>(IGA_BD[[#This Row],[Fault Clearance time]]-IGA_BD[[#This Row],[Fault Start TimeStamp]])*24</f>
        <v>0</v>
      </c>
      <c r="R1111" s="153"/>
      <c r="S1111" s="44"/>
      <c r="T1111" s="45" t="str">
        <f>IFERROR(IGA_BD[[#This Row],[Breakdown Time]]*IGA_BD[[#This Row],[Plant Equivalent Weightage]],"")</f>
        <v/>
      </c>
    </row>
    <row r="1112" spans="1:20">
      <c r="A1112" s="28"/>
      <c r="B1112" s="154"/>
      <c r="C1112" s="30" t="e">
        <f>YEAR(WTG_BD[[#This Row],[Date]])+IF(MONTH(WTG_BD[[#This Row],[Date]])&gt;=4,1,0)</f>
        <v>#VALUE!</v>
      </c>
      <c r="D1112" s="31">
        <f>YEAR(IGA_BD[[#This Row],[Date]])</f>
        <v>1900</v>
      </c>
      <c r="E1112" s="48">
        <f t="shared" si="19"/>
        <v>1</v>
      </c>
      <c r="F1112" s="32"/>
      <c r="G1112" s="33"/>
      <c r="H1112" s="43" t="str">
        <f>IFERROR(VLOOKUP(IGA_BD[[#This Row],[Affected Feeder ]],'Basic Data'!$A$42:$E$53,2,0),"")</f>
        <v/>
      </c>
      <c r="I1112" s="43" t="str">
        <f>IFERROR(VLOOKUP(IGA_BD[[#This Row],[Affected Feeder ]],'Basic Data'!$A$42:$E$53,3,0),"")</f>
        <v/>
      </c>
      <c r="J1112" s="43" t="str">
        <f>IFERROR(VLOOKUP(IGA_BD[[#This Row],[Affected Feeder ]],'Basic Data'!$A$42:$E$53,5,0),"")</f>
        <v/>
      </c>
      <c r="K1112" s="164"/>
      <c r="L1112" s="50"/>
      <c r="M1112" s="116"/>
      <c r="N1112" s="116"/>
      <c r="O1112" s="57">
        <f>(IGA_BD[[#This Row],[Work Start TimeStamp]]-IGA_BD[[#This Row],[Fault Start TimeStamp]])*24</f>
        <v>0</v>
      </c>
      <c r="P1112" s="44" t="str">
        <f>IF(IGA_BD[[#This Row],[Work Start TimeStamp]]="","",(IGA_BD[[#This Row],[Fault Clearance time]]-IGA_BD[[#This Row],[Work Start TimeStamp]])*24)</f>
        <v/>
      </c>
      <c r="Q1112" s="57">
        <f>(IGA_BD[[#This Row],[Fault Clearance time]]-IGA_BD[[#This Row],[Fault Start TimeStamp]])*24</f>
        <v>0</v>
      </c>
      <c r="R1112" s="153"/>
      <c r="S1112" s="44"/>
      <c r="T1112" s="45" t="str">
        <f>IFERROR(IGA_BD[[#This Row],[Breakdown Time]]*IGA_BD[[#This Row],[Plant Equivalent Weightage]],"")</f>
        <v/>
      </c>
    </row>
    <row r="1113" spans="1:20">
      <c r="A1113" s="28"/>
      <c r="B1113" s="154"/>
      <c r="C1113" s="30" t="e">
        <f>YEAR(WTG_BD[[#This Row],[Date]])+IF(MONTH(WTG_BD[[#This Row],[Date]])&gt;=4,1,0)</f>
        <v>#VALUE!</v>
      </c>
      <c r="D1113" s="31">
        <f>YEAR(IGA_BD[[#This Row],[Date]])</f>
        <v>1900</v>
      </c>
      <c r="E1113" s="48">
        <f t="shared" si="19"/>
        <v>1</v>
      </c>
      <c r="F1113" s="32"/>
      <c r="G1113" s="33"/>
      <c r="H1113" s="43" t="str">
        <f>IFERROR(VLOOKUP(IGA_BD[[#This Row],[Affected Feeder ]],'Basic Data'!$A$42:$E$53,2,0),"")</f>
        <v/>
      </c>
      <c r="I1113" s="43" t="str">
        <f>IFERROR(VLOOKUP(IGA_BD[[#This Row],[Affected Feeder ]],'Basic Data'!$A$42:$E$53,3,0),"")</f>
        <v/>
      </c>
      <c r="J1113" s="43" t="str">
        <f>IFERROR(VLOOKUP(IGA_BD[[#This Row],[Affected Feeder ]],'Basic Data'!$A$42:$E$53,5,0),"")</f>
        <v/>
      </c>
      <c r="K1113" s="164"/>
      <c r="L1113" s="50"/>
      <c r="M1113" s="116"/>
      <c r="N1113" s="116"/>
      <c r="O1113" s="57">
        <f>(IGA_BD[[#This Row],[Work Start TimeStamp]]-IGA_BD[[#This Row],[Fault Start TimeStamp]])*24</f>
        <v>0</v>
      </c>
      <c r="P1113" s="44" t="str">
        <f>IF(IGA_BD[[#This Row],[Work Start TimeStamp]]="","",(IGA_BD[[#This Row],[Fault Clearance time]]-IGA_BD[[#This Row],[Work Start TimeStamp]])*24)</f>
        <v/>
      </c>
      <c r="Q1113" s="57">
        <f>(IGA_BD[[#This Row],[Fault Clearance time]]-IGA_BD[[#This Row],[Fault Start TimeStamp]])*24</f>
        <v>0</v>
      </c>
      <c r="R1113" s="153"/>
      <c r="S1113" s="44"/>
      <c r="T1113" s="45" t="str">
        <f>IFERROR(IGA_BD[[#This Row],[Breakdown Time]]*IGA_BD[[#This Row],[Plant Equivalent Weightage]],"")</f>
        <v/>
      </c>
    </row>
    <row r="1114" spans="1:20">
      <c r="A1114" s="28"/>
      <c r="B1114" s="154"/>
      <c r="C1114" s="30" t="e">
        <f>YEAR(WTG_BD[[#This Row],[Date]])+IF(MONTH(WTG_BD[[#This Row],[Date]])&gt;=4,1,0)</f>
        <v>#VALUE!</v>
      </c>
      <c r="D1114" s="31">
        <f>YEAR(IGA_BD[[#This Row],[Date]])</f>
        <v>1900</v>
      </c>
      <c r="E1114" s="48">
        <f t="shared" si="19"/>
        <v>1</v>
      </c>
      <c r="F1114" s="32"/>
      <c r="G1114" s="33"/>
      <c r="H1114" s="43" t="str">
        <f>IFERROR(VLOOKUP(IGA_BD[[#This Row],[Affected Feeder ]],'Basic Data'!$A$42:$E$53,2,0),"")</f>
        <v/>
      </c>
      <c r="I1114" s="43" t="str">
        <f>IFERROR(VLOOKUP(IGA_BD[[#This Row],[Affected Feeder ]],'Basic Data'!$A$42:$E$53,3,0),"")</f>
        <v/>
      </c>
      <c r="J1114" s="43" t="str">
        <f>IFERROR(VLOOKUP(IGA_BD[[#This Row],[Affected Feeder ]],'Basic Data'!$A$42:$E$53,5,0),"")</f>
        <v/>
      </c>
      <c r="K1114" s="164"/>
      <c r="L1114" s="50"/>
      <c r="M1114" s="116"/>
      <c r="N1114" s="116"/>
      <c r="O1114" s="57">
        <f>(IGA_BD[[#This Row],[Work Start TimeStamp]]-IGA_BD[[#This Row],[Fault Start TimeStamp]])*24</f>
        <v>0</v>
      </c>
      <c r="P1114" s="44" t="str">
        <f>IF(IGA_BD[[#This Row],[Work Start TimeStamp]]="","",(IGA_BD[[#This Row],[Fault Clearance time]]-IGA_BD[[#This Row],[Work Start TimeStamp]])*24)</f>
        <v/>
      </c>
      <c r="Q1114" s="57">
        <f>(IGA_BD[[#This Row],[Fault Clearance time]]-IGA_BD[[#This Row],[Fault Start TimeStamp]])*24</f>
        <v>0</v>
      </c>
      <c r="R1114" s="153"/>
      <c r="S1114" s="44"/>
      <c r="T1114" s="45" t="str">
        <f>IFERROR(IGA_BD[[#This Row],[Breakdown Time]]*IGA_BD[[#This Row],[Plant Equivalent Weightage]],"")</f>
        <v/>
      </c>
    </row>
    <row r="1115" spans="1:20">
      <c r="A1115" s="28"/>
      <c r="B1115" s="154"/>
      <c r="C1115" s="30" t="e">
        <f>YEAR(WTG_BD[[#This Row],[Date]])+IF(MONTH(WTG_BD[[#This Row],[Date]])&gt;=4,1,0)</f>
        <v>#VALUE!</v>
      </c>
      <c r="D1115" s="31">
        <f>YEAR(IGA_BD[[#This Row],[Date]])</f>
        <v>1900</v>
      </c>
      <c r="E1115" s="48">
        <f t="shared" si="19"/>
        <v>1</v>
      </c>
      <c r="F1115" s="32"/>
      <c r="G1115" s="33"/>
      <c r="H1115" s="43" t="str">
        <f>IFERROR(VLOOKUP(IGA_BD[[#This Row],[Affected Feeder ]],'Basic Data'!$A$42:$E$53,2,0),"")</f>
        <v/>
      </c>
      <c r="I1115" s="43" t="str">
        <f>IFERROR(VLOOKUP(IGA_BD[[#This Row],[Affected Feeder ]],'Basic Data'!$A$42:$E$53,3,0),"")</f>
        <v/>
      </c>
      <c r="J1115" s="43" t="str">
        <f>IFERROR(VLOOKUP(IGA_BD[[#This Row],[Affected Feeder ]],'Basic Data'!$A$42:$E$53,5,0),"")</f>
        <v/>
      </c>
      <c r="K1115" s="164"/>
      <c r="L1115" s="50"/>
      <c r="M1115" s="116"/>
      <c r="N1115" s="116"/>
      <c r="O1115" s="57">
        <f>(IGA_BD[[#This Row],[Work Start TimeStamp]]-IGA_BD[[#This Row],[Fault Start TimeStamp]])*24</f>
        <v>0</v>
      </c>
      <c r="P1115" s="44" t="str">
        <f>IF(IGA_BD[[#This Row],[Work Start TimeStamp]]="","",(IGA_BD[[#This Row],[Fault Clearance time]]-IGA_BD[[#This Row],[Work Start TimeStamp]])*24)</f>
        <v/>
      </c>
      <c r="Q1115" s="57">
        <f>(IGA_BD[[#This Row],[Fault Clearance time]]-IGA_BD[[#This Row],[Fault Start TimeStamp]])*24</f>
        <v>0</v>
      </c>
      <c r="R1115" s="153"/>
      <c r="S1115" s="44"/>
      <c r="T1115" s="45" t="str">
        <f>IFERROR(IGA_BD[[#This Row],[Breakdown Time]]*IGA_BD[[#This Row],[Plant Equivalent Weightage]],"")</f>
        <v/>
      </c>
    </row>
    <row r="1116" spans="1:20">
      <c r="A1116" s="28"/>
      <c r="B1116" s="154"/>
      <c r="C1116" s="30" t="e">
        <f>YEAR(WTG_BD[[#This Row],[Date]])+IF(MONTH(WTG_BD[[#This Row],[Date]])&gt;=4,1,0)</f>
        <v>#VALUE!</v>
      </c>
      <c r="D1116" s="31">
        <f>YEAR(IGA_BD[[#This Row],[Date]])</f>
        <v>1900</v>
      </c>
      <c r="E1116" s="48">
        <f t="shared" ref="E1116:E1179" si="20">B1116-DAY(B1116)+1</f>
        <v>1</v>
      </c>
      <c r="F1116" s="32"/>
      <c r="G1116" s="33"/>
      <c r="H1116" s="43" t="str">
        <f>IFERROR(VLOOKUP(IGA_BD[[#This Row],[Affected Feeder ]],'Basic Data'!$A$42:$E$53,2,0),"")</f>
        <v/>
      </c>
      <c r="I1116" s="43" t="str">
        <f>IFERROR(VLOOKUP(IGA_BD[[#This Row],[Affected Feeder ]],'Basic Data'!$A$42:$E$53,3,0),"")</f>
        <v/>
      </c>
      <c r="J1116" s="43" t="str">
        <f>IFERROR(VLOOKUP(IGA_BD[[#This Row],[Affected Feeder ]],'Basic Data'!$A$42:$E$53,5,0),"")</f>
        <v/>
      </c>
      <c r="K1116" s="164"/>
      <c r="L1116" s="50"/>
      <c r="M1116" s="116"/>
      <c r="N1116" s="116"/>
      <c r="O1116" s="57">
        <f>(IGA_BD[[#This Row],[Work Start TimeStamp]]-IGA_BD[[#This Row],[Fault Start TimeStamp]])*24</f>
        <v>0</v>
      </c>
      <c r="P1116" s="44" t="str">
        <f>IF(IGA_BD[[#This Row],[Work Start TimeStamp]]="","",(IGA_BD[[#This Row],[Fault Clearance time]]-IGA_BD[[#This Row],[Work Start TimeStamp]])*24)</f>
        <v/>
      </c>
      <c r="Q1116" s="57">
        <f>(IGA_BD[[#This Row],[Fault Clearance time]]-IGA_BD[[#This Row],[Fault Start TimeStamp]])*24</f>
        <v>0</v>
      </c>
      <c r="R1116" s="153"/>
      <c r="S1116" s="44"/>
      <c r="T1116" s="45" t="str">
        <f>IFERROR(IGA_BD[[#This Row],[Breakdown Time]]*IGA_BD[[#This Row],[Plant Equivalent Weightage]],"")</f>
        <v/>
      </c>
    </row>
    <row r="1117" spans="1:20">
      <c r="A1117" s="28"/>
      <c r="B1117" s="154"/>
      <c r="C1117" s="30" t="e">
        <f>YEAR(WTG_BD[[#This Row],[Date]])+IF(MONTH(WTG_BD[[#This Row],[Date]])&gt;=4,1,0)</f>
        <v>#VALUE!</v>
      </c>
      <c r="D1117" s="31">
        <f>YEAR(IGA_BD[[#This Row],[Date]])</f>
        <v>1900</v>
      </c>
      <c r="E1117" s="48">
        <f t="shared" si="20"/>
        <v>1</v>
      </c>
      <c r="F1117" s="32"/>
      <c r="G1117" s="33"/>
      <c r="H1117" s="43" t="str">
        <f>IFERROR(VLOOKUP(IGA_BD[[#This Row],[Affected Feeder ]],'Basic Data'!$A$42:$E$53,2,0),"")</f>
        <v/>
      </c>
      <c r="I1117" s="43" t="str">
        <f>IFERROR(VLOOKUP(IGA_BD[[#This Row],[Affected Feeder ]],'Basic Data'!$A$42:$E$53,3,0),"")</f>
        <v/>
      </c>
      <c r="J1117" s="43" t="str">
        <f>IFERROR(VLOOKUP(IGA_BD[[#This Row],[Affected Feeder ]],'Basic Data'!$A$42:$E$53,5,0),"")</f>
        <v/>
      </c>
      <c r="K1117" s="164"/>
      <c r="L1117" s="50"/>
      <c r="M1117" s="116"/>
      <c r="N1117" s="116"/>
      <c r="O1117" s="57">
        <f>(IGA_BD[[#This Row],[Work Start TimeStamp]]-IGA_BD[[#This Row],[Fault Start TimeStamp]])*24</f>
        <v>0</v>
      </c>
      <c r="P1117" s="44" t="str">
        <f>IF(IGA_BD[[#This Row],[Work Start TimeStamp]]="","",(IGA_BD[[#This Row],[Fault Clearance time]]-IGA_BD[[#This Row],[Work Start TimeStamp]])*24)</f>
        <v/>
      </c>
      <c r="Q1117" s="57">
        <f>(IGA_BD[[#This Row],[Fault Clearance time]]-IGA_BD[[#This Row],[Fault Start TimeStamp]])*24</f>
        <v>0</v>
      </c>
      <c r="R1117" s="153"/>
      <c r="S1117" s="44"/>
      <c r="T1117" s="45" t="str">
        <f>IFERROR(IGA_BD[[#This Row],[Breakdown Time]]*IGA_BD[[#This Row],[Plant Equivalent Weightage]],"")</f>
        <v/>
      </c>
    </row>
    <row r="1118" spans="1:20">
      <c r="A1118" s="28"/>
      <c r="B1118" s="154"/>
      <c r="C1118" s="30" t="e">
        <f>YEAR(WTG_BD[[#This Row],[Date]])+IF(MONTH(WTG_BD[[#This Row],[Date]])&gt;=4,1,0)</f>
        <v>#VALUE!</v>
      </c>
      <c r="D1118" s="31">
        <f>YEAR(IGA_BD[[#This Row],[Date]])</f>
        <v>1900</v>
      </c>
      <c r="E1118" s="48">
        <f t="shared" si="20"/>
        <v>1</v>
      </c>
      <c r="F1118" s="32"/>
      <c r="G1118" s="33"/>
      <c r="H1118" s="43" t="str">
        <f>IFERROR(VLOOKUP(IGA_BD[[#This Row],[Affected Feeder ]],'Basic Data'!$A$42:$E$53,2,0),"")</f>
        <v/>
      </c>
      <c r="I1118" s="43" t="str">
        <f>IFERROR(VLOOKUP(IGA_BD[[#This Row],[Affected Feeder ]],'Basic Data'!$A$42:$E$53,3,0),"")</f>
        <v/>
      </c>
      <c r="J1118" s="43" t="str">
        <f>IFERROR(VLOOKUP(IGA_BD[[#This Row],[Affected Feeder ]],'Basic Data'!$A$42:$E$53,5,0),"")</f>
        <v/>
      </c>
      <c r="K1118" s="164"/>
      <c r="L1118" s="50"/>
      <c r="M1118" s="116"/>
      <c r="N1118" s="116"/>
      <c r="O1118" s="57">
        <f>(IGA_BD[[#This Row],[Work Start TimeStamp]]-IGA_BD[[#This Row],[Fault Start TimeStamp]])*24</f>
        <v>0</v>
      </c>
      <c r="P1118" s="44" t="str">
        <f>IF(IGA_BD[[#This Row],[Work Start TimeStamp]]="","",(IGA_BD[[#This Row],[Fault Clearance time]]-IGA_BD[[#This Row],[Work Start TimeStamp]])*24)</f>
        <v/>
      </c>
      <c r="Q1118" s="57">
        <f>(IGA_BD[[#This Row],[Fault Clearance time]]-IGA_BD[[#This Row],[Fault Start TimeStamp]])*24</f>
        <v>0</v>
      </c>
      <c r="R1118" s="153"/>
      <c r="S1118" s="44"/>
      <c r="T1118" s="45" t="str">
        <f>IFERROR(IGA_BD[[#This Row],[Breakdown Time]]*IGA_BD[[#This Row],[Plant Equivalent Weightage]],"")</f>
        <v/>
      </c>
    </row>
    <row r="1119" spans="1:20">
      <c r="A1119" s="28"/>
      <c r="B1119" s="154"/>
      <c r="C1119" s="30" t="e">
        <f>YEAR(WTG_BD[[#This Row],[Date]])+IF(MONTH(WTG_BD[[#This Row],[Date]])&gt;=4,1,0)</f>
        <v>#VALUE!</v>
      </c>
      <c r="D1119" s="31">
        <f>YEAR(IGA_BD[[#This Row],[Date]])</f>
        <v>1900</v>
      </c>
      <c r="E1119" s="48">
        <f t="shared" si="20"/>
        <v>1</v>
      </c>
      <c r="F1119" s="32"/>
      <c r="G1119" s="33"/>
      <c r="H1119" s="43" t="str">
        <f>IFERROR(VLOOKUP(IGA_BD[[#This Row],[Affected Feeder ]],'Basic Data'!$A$42:$E$53,2,0),"")</f>
        <v/>
      </c>
      <c r="I1119" s="43" t="str">
        <f>IFERROR(VLOOKUP(IGA_BD[[#This Row],[Affected Feeder ]],'Basic Data'!$A$42:$E$53,3,0),"")</f>
        <v/>
      </c>
      <c r="J1119" s="43" t="str">
        <f>IFERROR(VLOOKUP(IGA_BD[[#This Row],[Affected Feeder ]],'Basic Data'!$A$42:$E$53,5,0),"")</f>
        <v/>
      </c>
      <c r="K1119" s="164"/>
      <c r="L1119" s="50"/>
      <c r="M1119" s="116"/>
      <c r="N1119" s="116"/>
      <c r="O1119" s="57">
        <f>(IGA_BD[[#This Row],[Work Start TimeStamp]]-IGA_BD[[#This Row],[Fault Start TimeStamp]])*24</f>
        <v>0</v>
      </c>
      <c r="P1119" s="44" t="str">
        <f>IF(IGA_BD[[#This Row],[Work Start TimeStamp]]="","",(IGA_BD[[#This Row],[Fault Clearance time]]-IGA_BD[[#This Row],[Work Start TimeStamp]])*24)</f>
        <v/>
      </c>
      <c r="Q1119" s="57">
        <f>(IGA_BD[[#This Row],[Fault Clearance time]]-IGA_BD[[#This Row],[Fault Start TimeStamp]])*24</f>
        <v>0</v>
      </c>
      <c r="R1119" s="153"/>
      <c r="S1119" s="44"/>
      <c r="T1119" s="45" t="str">
        <f>IFERROR(IGA_BD[[#This Row],[Breakdown Time]]*IGA_BD[[#This Row],[Plant Equivalent Weightage]],"")</f>
        <v/>
      </c>
    </row>
    <row r="1120" spans="1:20">
      <c r="A1120" s="28"/>
      <c r="B1120" s="154"/>
      <c r="C1120" s="30" t="e">
        <f>YEAR(WTG_BD[[#This Row],[Date]])+IF(MONTH(WTG_BD[[#This Row],[Date]])&gt;=4,1,0)</f>
        <v>#VALUE!</v>
      </c>
      <c r="D1120" s="31">
        <f>YEAR(IGA_BD[[#This Row],[Date]])</f>
        <v>1900</v>
      </c>
      <c r="E1120" s="48">
        <f t="shared" si="20"/>
        <v>1</v>
      </c>
      <c r="F1120" s="32"/>
      <c r="G1120" s="33"/>
      <c r="H1120" s="43" t="str">
        <f>IFERROR(VLOOKUP(IGA_BD[[#This Row],[Affected Feeder ]],'Basic Data'!$A$42:$E$53,2,0),"")</f>
        <v/>
      </c>
      <c r="I1120" s="43" t="str">
        <f>IFERROR(VLOOKUP(IGA_BD[[#This Row],[Affected Feeder ]],'Basic Data'!$A$42:$E$53,3,0),"")</f>
        <v/>
      </c>
      <c r="J1120" s="43" t="str">
        <f>IFERROR(VLOOKUP(IGA_BD[[#This Row],[Affected Feeder ]],'Basic Data'!$A$42:$E$53,5,0),"")</f>
        <v/>
      </c>
      <c r="K1120" s="164"/>
      <c r="L1120" s="50"/>
      <c r="M1120" s="116"/>
      <c r="N1120" s="116"/>
      <c r="O1120" s="57">
        <f>(IGA_BD[[#This Row],[Work Start TimeStamp]]-IGA_BD[[#This Row],[Fault Start TimeStamp]])*24</f>
        <v>0</v>
      </c>
      <c r="P1120" s="44" t="str">
        <f>IF(IGA_BD[[#This Row],[Work Start TimeStamp]]="","",(IGA_BD[[#This Row],[Fault Clearance time]]-IGA_BD[[#This Row],[Work Start TimeStamp]])*24)</f>
        <v/>
      </c>
      <c r="Q1120" s="57">
        <f>(IGA_BD[[#This Row],[Fault Clearance time]]-IGA_BD[[#This Row],[Fault Start TimeStamp]])*24</f>
        <v>0</v>
      </c>
      <c r="R1120" s="153"/>
      <c r="S1120" s="44"/>
      <c r="T1120" s="45" t="str">
        <f>IFERROR(IGA_BD[[#This Row],[Breakdown Time]]*IGA_BD[[#This Row],[Plant Equivalent Weightage]],"")</f>
        <v/>
      </c>
    </row>
    <row r="1121" spans="1:20">
      <c r="A1121" s="28"/>
      <c r="B1121" s="154"/>
      <c r="C1121" s="30" t="e">
        <f>YEAR(WTG_BD[[#This Row],[Date]])+IF(MONTH(WTG_BD[[#This Row],[Date]])&gt;=4,1,0)</f>
        <v>#VALUE!</v>
      </c>
      <c r="D1121" s="31">
        <f>YEAR(IGA_BD[[#This Row],[Date]])</f>
        <v>1900</v>
      </c>
      <c r="E1121" s="48">
        <f t="shared" si="20"/>
        <v>1</v>
      </c>
      <c r="F1121" s="32"/>
      <c r="G1121" s="33"/>
      <c r="H1121" s="43" t="str">
        <f>IFERROR(VLOOKUP(IGA_BD[[#This Row],[Affected Feeder ]],'Basic Data'!$A$42:$E$53,2,0),"")</f>
        <v/>
      </c>
      <c r="I1121" s="43" t="str">
        <f>IFERROR(VLOOKUP(IGA_BD[[#This Row],[Affected Feeder ]],'Basic Data'!$A$42:$E$53,3,0),"")</f>
        <v/>
      </c>
      <c r="J1121" s="43" t="str">
        <f>IFERROR(VLOOKUP(IGA_BD[[#This Row],[Affected Feeder ]],'Basic Data'!$A$42:$E$53,5,0),"")</f>
        <v/>
      </c>
      <c r="K1121" s="164"/>
      <c r="L1121" s="50"/>
      <c r="M1121" s="116"/>
      <c r="N1121" s="116"/>
      <c r="O1121" s="57">
        <f>(IGA_BD[[#This Row],[Work Start TimeStamp]]-IGA_BD[[#This Row],[Fault Start TimeStamp]])*24</f>
        <v>0</v>
      </c>
      <c r="P1121" s="44" t="str">
        <f>IF(IGA_BD[[#This Row],[Work Start TimeStamp]]="","",(IGA_BD[[#This Row],[Fault Clearance time]]-IGA_BD[[#This Row],[Work Start TimeStamp]])*24)</f>
        <v/>
      </c>
      <c r="Q1121" s="57">
        <f>(IGA_BD[[#This Row],[Fault Clearance time]]-IGA_BD[[#This Row],[Fault Start TimeStamp]])*24</f>
        <v>0</v>
      </c>
      <c r="R1121" s="153"/>
      <c r="S1121" s="44"/>
      <c r="T1121" s="45" t="str">
        <f>IFERROR(IGA_BD[[#This Row],[Breakdown Time]]*IGA_BD[[#This Row],[Plant Equivalent Weightage]],"")</f>
        <v/>
      </c>
    </row>
    <row r="1122" spans="1:20">
      <c r="A1122" s="28"/>
      <c r="B1122" s="154"/>
      <c r="C1122" s="30" t="e">
        <f>YEAR(WTG_BD[[#This Row],[Date]])+IF(MONTH(WTG_BD[[#This Row],[Date]])&gt;=4,1,0)</f>
        <v>#VALUE!</v>
      </c>
      <c r="D1122" s="31">
        <f>YEAR(IGA_BD[[#This Row],[Date]])</f>
        <v>1900</v>
      </c>
      <c r="E1122" s="48">
        <f t="shared" si="20"/>
        <v>1</v>
      </c>
      <c r="F1122" s="32"/>
      <c r="G1122" s="33"/>
      <c r="H1122" s="43" t="str">
        <f>IFERROR(VLOOKUP(IGA_BD[[#This Row],[Affected Feeder ]],'Basic Data'!$A$42:$E$53,2,0),"")</f>
        <v/>
      </c>
      <c r="I1122" s="43" t="str">
        <f>IFERROR(VLOOKUP(IGA_BD[[#This Row],[Affected Feeder ]],'Basic Data'!$A$42:$E$53,3,0),"")</f>
        <v/>
      </c>
      <c r="J1122" s="43" t="str">
        <f>IFERROR(VLOOKUP(IGA_BD[[#This Row],[Affected Feeder ]],'Basic Data'!$A$42:$E$53,5,0),"")</f>
        <v/>
      </c>
      <c r="K1122" s="164"/>
      <c r="L1122" s="50"/>
      <c r="M1122" s="116"/>
      <c r="N1122" s="116"/>
      <c r="O1122" s="57">
        <f>(IGA_BD[[#This Row],[Work Start TimeStamp]]-IGA_BD[[#This Row],[Fault Start TimeStamp]])*24</f>
        <v>0</v>
      </c>
      <c r="P1122" s="44" t="str">
        <f>IF(IGA_BD[[#This Row],[Work Start TimeStamp]]="","",(IGA_BD[[#This Row],[Fault Clearance time]]-IGA_BD[[#This Row],[Work Start TimeStamp]])*24)</f>
        <v/>
      </c>
      <c r="Q1122" s="57">
        <f>(IGA_BD[[#This Row],[Fault Clearance time]]-IGA_BD[[#This Row],[Fault Start TimeStamp]])*24</f>
        <v>0</v>
      </c>
      <c r="R1122" s="153"/>
      <c r="S1122" s="44"/>
      <c r="T1122" s="45" t="str">
        <f>IFERROR(IGA_BD[[#This Row],[Breakdown Time]]*IGA_BD[[#This Row],[Plant Equivalent Weightage]],"")</f>
        <v/>
      </c>
    </row>
    <row r="1123" spans="1:20">
      <c r="A1123" s="28"/>
      <c r="B1123" s="154"/>
      <c r="C1123" s="30" t="e">
        <f>YEAR(WTG_BD[[#This Row],[Date]])+IF(MONTH(WTG_BD[[#This Row],[Date]])&gt;=4,1,0)</f>
        <v>#VALUE!</v>
      </c>
      <c r="D1123" s="31">
        <f>YEAR(IGA_BD[[#This Row],[Date]])</f>
        <v>1900</v>
      </c>
      <c r="E1123" s="48">
        <f t="shared" si="20"/>
        <v>1</v>
      </c>
      <c r="F1123" s="32"/>
      <c r="G1123" s="33"/>
      <c r="H1123" s="43" t="str">
        <f>IFERROR(VLOOKUP(IGA_BD[[#This Row],[Affected Feeder ]],'Basic Data'!$A$42:$E$53,2,0),"")</f>
        <v/>
      </c>
      <c r="I1123" s="43" t="str">
        <f>IFERROR(VLOOKUP(IGA_BD[[#This Row],[Affected Feeder ]],'Basic Data'!$A$42:$E$53,3,0),"")</f>
        <v/>
      </c>
      <c r="J1123" s="43" t="str">
        <f>IFERROR(VLOOKUP(IGA_BD[[#This Row],[Affected Feeder ]],'Basic Data'!$A$42:$E$53,5,0),"")</f>
        <v/>
      </c>
      <c r="K1123" s="164"/>
      <c r="L1123" s="50"/>
      <c r="M1123" s="116"/>
      <c r="N1123" s="116"/>
      <c r="O1123" s="57">
        <f>(IGA_BD[[#This Row],[Work Start TimeStamp]]-IGA_BD[[#This Row],[Fault Start TimeStamp]])*24</f>
        <v>0</v>
      </c>
      <c r="P1123" s="44" t="str">
        <f>IF(IGA_BD[[#This Row],[Work Start TimeStamp]]="","",(IGA_BD[[#This Row],[Fault Clearance time]]-IGA_BD[[#This Row],[Work Start TimeStamp]])*24)</f>
        <v/>
      </c>
      <c r="Q1123" s="57">
        <f>(IGA_BD[[#This Row],[Fault Clearance time]]-IGA_BD[[#This Row],[Fault Start TimeStamp]])*24</f>
        <v>0</v>
      </c>
      <c r="R1123" s="153"/>
      <c r="S1123" s="44"/>
      <c r="T1123" s="45" t="str">
        <f>IFERROR(IGA_BD[[#This Row],[Breakdown Time]]*IGA_BD[[#This Row],[Plant Equivalent Weightage]],"")</f>
        <v/>
      </c>
    </row>
    <row r="1124" spans="1:20">
      <c r="A1124" s="28"/>
      <c r="B1124" s="154"/>
      <c r="C1124" s="30" t="e">
        <f>YEAR(WTG_BD[[#This Row],[Date]])+IF(MONTH(WTG_BD[[#This Row],[Date]])&gt;=4,1,0)</f>
        <v>#VALUE!</v>
      </c>
      <c r="D1124" s="31">
        <f>YEAR(IGA_BD[[#This Row],[Date]])</f>
        <v>1900</v>
      </c>
      <c r="E1124" s="48">
        <f t="shared" si="20"/>
        <v>1</v>
      </c>
      <c r="F1124" s="32"/>
      <c r="G1124" s="33"/>
      <c r="H1124" s="43" t="str">
        <f>IFERROR(VLOOKUP(IGA_BD[[#This Row],[Affected Feeder ]],'Basic Data'!$A$42:$E$53,2,0),"")</f>
        <v/>
      </c>
      <c r="I1124" s="43" t="str">
        <f>IFERROR(VLOOKUP(IGA_BD[[#This Row],[Affected Feeder ]],'Basic Data'!$A$42:$E$53,3,0),"")</f>
        <v/>
      </c>
      <c r="J1124" s="43" t="str">
        <f>IFERROR(VLOOKUP(IGA_BD[[#This Row],[Affected Feeder ]],'Basic Data'!$A$42:$E$53,5,0),"")</f>
        <v/>
      </c>
      <c r="K1124" s="164"/>
      <c r="L1124" s="50"/>
      <c r="M1124" s="116"/>
      <c r="N1124" s="116"/>
      <c r="O1124" s="57">
        <f>(IGA_BD[[#This Row],[Work Start TimeStamp]]-IGA_BD[[#This Row],[Fault Start TimeStamp]])*24</f>
        <v>0</v>
      </c>
      <c r="P1124" s="44" t="str">
        <f>IF(IGA_BD[[#This Row],[Work Start TimeStamp]]="","",(IGA_BD[[#This Row],[Fault Clearance time]]-IGA_BD[[#This Row],[Work Start TimeStamp]])*24)</f>
        <v/>
      </c>
      <c r="Q1124" s="57">
        <f>(IGA_BD[[#This Row],[Fault Clearance time]]-IGA_BD[[#This Row],[Fault Start TimeStamp]])*24</f>
        <v>0</v>
      </c>
      <c r="R1124" s="153"/>
      <c r="S1124" s="44"/>
      <c r="T1124" s="45" t="str">
        <f>IFERROR(IGA_BD[[#This Row],[Breakdown Time]]*IGA_BD[[#This Row],[Plant Equivalent Weightage]],"")</f>
        <v/>
      </c>
    </row>
    <row r="1125" spans="1:20">
      <c r="A1125" s="28"/>
      <c r="B1125" s="154"/>
      <c r="C1125" s="30" t="e">
        <f>YEAR(WTG_BD[[#This Row],[Date]])+IF(MONTH(WTG_BD[[#This Row],[Date]])&gt;=4,1,0)</f>
        <v>#VALUE!</v>
      </c>
      <c r="D1125" s="31">
        <f>YEAR(IGA_BD[[#This Row],[Date]])</f>
        <v>1900</v>
      </c>
      <c r="E1125" s="48">
        <f t="shared" si="20"/>
        <v>1</v>
      </c>
      <c r="F1125" s="32"/>
      <c r="G1125" s="33"/>
      <c r="H1125" s="43" t="str">
        <f>IFERROR(VLOOKUP(IGA_BD[[#This Row],[Affected Feeder ]],'Basic Data'!$A$42:$E$53,2,0),"")</f>
        <v/>
      </c>
      <c r="I1125" s="43" t="str">
        <f>IFERROR(VLOOKUP(IGA_BD[[#This Row],[Affected Feeder ]],'Basic Data'!$A$42:$E$53,3,0),"")</f>
        <v/>
      </c>
      <c r="J1125" s="43" t="str">
        <f>IFERROR(VLOOKUP(IGA_BD[[#This Row],[Affected Feeder ]],'Basic Data'!$A$42:$E$53,5,0),"")</f>
        <v/>
      </c>
      <c r="K1125" s="164"/>
      <c r="L1125" s="50"/>
      <c r="M1125" s="116"/>
      <c r="N1125" s="116"/>
      <c r="O1125" s="57">
        <f>(IGA_BD[[#This Row],[Work Start TimeStamp]]-IGA_BD[[#This Row],[Fault Start TimeStamp]])*24</f>
        <v>0</v>
      </c>
      <c r="P1125" s="44" t="str">
        <f>IF(IGA_BD[[#This Row],[Work Start TimeStamp]]="","",(IGA_BD[[#This Row],[Fault Clearance time]]-IGA_BD[[#This Row],[Work Start TimeStamp]])*24)</f>
        <v/>
      </c>
      <c r="Q1125" s="57">
        <f>(IGA_BD[[#This Row],[Fault Clearance time]]-IGA_BD[[#This Row],[Fault Start TimeStamp]])*24</f>
        <v>0</v>
      </c>
      <c r="R1125" s="153"/>
      <c r="S1125" s="44"/>
      <c r="T1125" s="45" t="str">
        <f>IFERROR(IGA_BD[[#This Row],[Breakdown Time]]*IGA_BD[[#This Row],[Plant Equivalent Weightage]],"")</f>
        <v/>
      </c>
    </row>
    <row r="1126" spans="1:20">
      <c r="A1126" s="28"/>
      <c r="B1126" s="154"/>
      <c r="C1126" s="30" t="e">
        <f>YEAR(WTG_BD[[#This Row],[Date]])+IF(MONTH(WTG_BD[[#This Row],[Date]])&gt;=4,1,0)</f>
        <v>#VALUE!</v>
      </c>
      <c r="D1126" s="31">
        <f>YEAR(IGA_BD[[#This Row],[Date]])</f>
        <v>1900</v>
      </c>
      <c r="E1126" s="48">
        <f t="shared" si="20"/>
        <v>1</v>
      </c>
      <c r="F1126" s="32"/>
      <c r="G1126" s="33"/>
      <c r="H1126" s="43" t="str">
        <f>IFERROR(VLOOKUP(IGA_BD[[#This Row],[Affected Feeder ]],'Basic Data'!$A$42:$E$53,2,0),"")</f>
        <v/>
      </c>
      <c r="I1126" s="43" t="str">
        <f>IFERROR(VLOOKUP(IGA_BD[[#This Row],[Affected Feeder ]],'Basic Data'!$A$42:$E$53,3,0),"")</f>
        <v/>
      </c>
      <c r="J1126" s="43" t="str">
        <f>IFERROR(VLOOKUP(IGA_BD[[#This Row],[Affected Feeder ]],'Basic Data'!$A$42:$E$53,5,0),"")</f>
        <v/>
      </c>
      <c r="K1126" s="164"/>
      <c r="L1126" s="50"/>
      <c r="M1126" s="116"/>
      <c r="N1126" s="116"/>
      <c r="O1126" s="57">
        <f>(IGA_BD[[#This Row],[Work Start TimeStamp]]-IGA_BD[[#This Row],[Fault Start TimeStamp]])*24</f>
        <v>0</v>
      </c>
      <c r="P1126" s="44" t="str">
        <f>IF(IGA_BD[[#This Row],[Work Start TimeStamp]]="","",(IGA_BD[[#This Row],[Fault Clearance time]]-IGA_BD[[#This Row],[Work Start TimeStamp]])*24)</f>
        <v/>
      </c>
      <c r="Q1126" s="57">
        <f>(IGA_BD[[#This Row],[Fault Clearance time]]-IGA_BD[[#This Row],[Fault Start TimeStamp]])*24</f>
        <v>0</v>
      </c>
      <c r="R1126" s="153"/>
      <c r="S1126" s="44"/>
      <c r="T1126" s="45" t="str">
        <f>IFERROR(IGA_BD[[#This Row],[Breakdown Time]]*IGA_BD[[#This Row],[Plant Equivalent Weightage]],"")</f>
        <v/>
      </c>
    </row>
    <row r="1127" spans="1:20">
      <c r="A1127" s="28"/>
      <c r="B1127" s="154"/>
      <c r="C1127" s="30" t="e">
        <f>YEAR(WTG_BD[[#This Row],[Date]])+IF(MONTH(WTG_BD[[#This Row],[Date]])&gt;=4,1,0)</f>
        <v>#VALUE!</v>
      </c>
      <c r="D1127" s="31">
        <f>YEAR(IGA_BD[[#This Row],[Date]])</f>
        <v>1900</v>
      </c>
      <c r="E1127" s="48">
        <f t="shared" si="20"/>
        <v>1</v>
      </c>
      <c r="F1127" s="32"/>
      <c r="G1127" s="33"/>
      <c r="H1127" s="43" t="str">
        <f>IFERROR(VLOOKUP(IGA_BD[[#This Row],[Affected Feeder ]],'Basic Data'!$A$42:$E$53,2,0),"")</f>
        <v/>
      </c>
      <c r="I1127" s="43" t="str">
        <f>IFERROR(VLOOKUP(IGA_BD[[#This Row],[Affected Feeder ]],'Basic Data'!$A$42:$E$53,3,0),"")</f>
        <v/>
      </c>
      <c r="J1127" s="43" t="str">
        <f>IFERROR(VLOOKUP(IGA_BD[[#This Row],[Affected Feeder ]],'Basic Data'!$A$42:$E$53,5,0),"")</f>
        <v/>
      </c>
      <c r="K1127" s="164"/>
      <c r="L1127" s="50"/>
      <c r="M1127" s="116"/>
      <c r="N1127" s="116"/>
      <c r="O1127" s="57">
        <f>(IGA_BD[[#This Row],[Work Start TimeStamp]]-IGA_BD[[#This Row],[Fault Start TimeStamp]])*24</f>
        <v>0</v>
      </c>
      <c r="P1127" s="44" t="str">
        <f>IF(IGA_BD[[#This Row],[Work Start TimeStamp]]="","",(IGA_BD[[#This Row],[Fault Clearance time]]-IGA_BD[[#This Row],[Work Start TimeStamp]])*24)</f>
        <v/>
      </c>
      <c r="Q1127" s="57">
        <f>(IGA_BD[[#This Row],[Fault Clearance time]]-IGA_BD[[#This Row],[Fault Start TimeStamp]])*24</f>
        <v>0</v>
      </c>
      <c r="R1127" s="153"/>
      <c r="S1127" s="44"/>
      <c r="T1127" s="45" t="str">
        <f>IFERROR(IGA_BD[[#This Row],[Breakdown Time]]*IGA_BD[[#This Row],[Plant Equivalent Weightage]],"")</f>
        <v/>
      </c>
    </row>
    <row r="1128" spans="1:20">
      <c r="A1128" s="28"/>
      <c r="B1128" s="154"/>
      <c r="C1128" s="30" t="e">
        <f>YEAR(WTG_BD[[#This Row],[Date]])+IF(MONTH(WTG_BD[[#This Row],[Date]])&gt;=4,1,0)</f>
        <v>#VALUE!</v>
      </c>
      <c r="D1128" s="31">
        <f>YEAR(IGA_BD[[#This Row],[Date]])</f>
        <v>1900</v>
      </c>
      <c r="E1128" s="48">
        <f t="shared" si="20"/>
        <v>1</v>
      </c>
      <c r="F1128" s="32"/>
      <c r="G1128" s="33"/>
      <c r="H1128" s="43" t="str">
        <f>IFERROR(VLOOKUP(IGA_BD[[#This Row],[Affected Feeder ]],'Basic Data'!$A$42:$E$53,2,0),"")</f>
        <v/>
      </c>
      <c r="I1128" s="43" t="str">
        <f>IFERROR(VLOOKUP(IGA_BD[[#This Row],[Affected Feeder ]],'Basic Data'!$A$42:$E$53,3,0),"")</f>
        <v/>
      </c>
      <c r="J1128" s="43" t="str">
        <f>IFERROR(VLOOKUP(IGA_BD[[#This Row],[Affected Feeder ]],'Basic Data'!$A$42:$E$53,5,0),"")</f>
        <v/>
      </c>
      <c r="K1128" s="164"/>
      <c r="L1128" s="50"/>
      <c r="M1128" s="116"/>
      <c r="N1128" s="116"/>
      <c r="O1128" s="57">
        <f>(IGA_BD[[#This Row],[Work Start TimeStamp]]-IGA_BD[[#This Row],[Fault Start TimeStamp]])*24</f>
        <v>0</v>
      </c>
      <c r="P1128" s="44" t="str">
        <f>IF(IGA_BD[[#This Row],[Work Start TimeStamp]]="","",(IGA_BD[[#This Row],[Fault Clearance time]]-IGA_BD[[#This Row],[Work Start TimeStamp]])*24)</f>
        <v/>
      </c>
      <c r="Q1128" s="57">
        <f>(IGA_BD[[#This Row],[Fault Clearance time]]-IGA_BD[[#This Row],[Fault Start TimeStamp]])*24</f>
        <v>0</v>
      </c>
      <c r="R1128" s="153"/>
      <c r="S1128" s="44"/>
      <c r="T1128" s="45" t="str">
        <f>IFERROR(IGA_BD[[#This Row],[Breakdown Time]]*IGA_BD[[#This Row],[Plant Equivalent Weightage]],"")</f>
        <v/>
      </c>
    </row>
    <row r="1129" spans="1:20">
      <c r="A1129" s="28"/>
      <c r="B1129" s="154"/>
      <c r="C1129" s="30" t="e">
        <f>YEAR(WTG_BD[[#This Row],[Date]])+IF(MONTH(WTG_BD[[#This Row],[Date]])&gt;=4,1,0)</f>
        <v>#VALUE!</v>
      </c>
      <c r="D1129" s="31">
        <f>YEAR(IGA_BD[[#This Row],[Date]])</f>
        <v>1900</v>
      </c>
      <c r="E1129" s="48">
        <f t="shared" si="20"/>
        <v>1</v>
      </c>
      <c r="F1129" s="32"/>
      <c r="G1129" s="33"/>
      <c r="H1129" s="43" t="str">
        <f>IFERROR(VLOOKUP(IGA_BD[[#This Row],[Affected Feeder ]],'Basic Data'!$A$42:$E$53,2,0),"")</f>
        <v/>
      </c>
      <c r="I1129" s="43" t="str">
        <f>IFERROR(VLOOKUP(IGA_BD[[#This Row],[Affected Feeder ]],'Basic Data'!$A$42:$E$53,3,0),"")</f>
        <v/>
      </c>
      <c r="J1129" s="43" t="str">
        <f>IFERROR(VLOOKUP(IGA_BD[[#This Row],[Affected Feeder ]],'Basic Data'!$A$42:$E$53,5,0),"")</f>
        <v/>
      </c>
      <c r="K1129" s="164"/>
      <c r="L1129" s="50"/>
      <c r="M1129" s="116"/>
      <c r="N1129" s="116"/>
      <c r="O1129" s="57">
        <f>(IGA_BD[[#This Row],[Work Start TimeStamp]]-IGA_BD[[#This Row],[Fault Start TimeStamp]])*24</f>
        <v>0</v>
      </c>
      <c r="P1129" s="44" t="str">
        <f>IF(IGA_BD[[#This Row],[Work Start TimeStamp]]="","",(IGA_BD[[#This Row],[Fault Clearance time]]-IGA_BD[[#This Row],[Work Start TimeStamp]])*24)</f>
        <v/>
      </c>
      <c r="Q1129" s="57">
        <f>(IGA_BD[[#This Row],[Fault Clearance time]]-IGA_BD[[#This Row],[Fault Start TimeStamp]])*24</f>
        <v>0</v>
      </c>
      <c r="R1129" s="153"/>
      <c r="S1129" s="44"/>
      <c r="T1129" s="45" t="str">
        <f>IFERROR(IGA_BD[[#This Row],[Breakdown Time]]*IGA_BD[[#This Row],[Plant Equivalent Weightage]],"")</f>
        <v/>
      </c>
    </row>
    <row r="1130" spans="1:20">
      <c r="A1130" s="28"/>
      <c r="B1130" s="154"/>
      <c r="C1130" s="30" t="e">
        <f>YEAR(WTG_BD[[#This Row],[Date]])+IF(MONTH(WTG_BD[[#This Row],[Date]])&gt;=4,1,0)</f>
        <v>#VALUE!</v>
      </c>
      <c r="D1130" s="31">
        <f>YEAR(IGA_BD[[#This Row],[Date]])</f>
        <v>1900</v>
      </c>
      <c r="E1130" s="48">
        <f t="shared" si="20"/>
        <v>1</v>
      </c>
      <c r="F1130" s="32"/>
      <c r="G1130" s="33"/>
      <c r="H1130" s="43" t="str">
        <f>IFERROR(VLOOKUP(IGA_BD[[#This Row],[Affected Feeder ]],'Basic Data'!$A$42:$E$53,2,0),"")</f>
        <v/>
      </c>
      <c r="I1130" s="43" t="str">
        <f>IFERROR(VLOOKUP(IGA_BD[[#This Row],[Affected Feeder ]],'Basic Data'!$A$42:$E$53,3,0),"")</f>
        <v/>
      </c>
      <c r="J1130" s="43" t="str">
        <f>IFERROR(VLOOKUP(IGA_BD[[#This Row],[Affected Feeder ]],'Basic Data'!$A$42:$E$53,5,0),"")</f>
        <v/>
      </c>
      <c r="K1130" s="164"/>
      <c r="L1130" s="50"/>
      <c r="M1130" s="116"/>
      <c r="N1130" s="116"/>
      <c r="O1130" s="57">
        <f>(IGA_BD[[#This Row],[Work Start TimeStamp]]-IGA_BD[[#This Row],[Fault Start TimeStamp]])*24</f>
        <v>0</v>
      </c>
      <c r="P1130" s="44" t="str">
        <f>IF(IGA_BD[[#This Row],[Work Start TimeStamp]]="","",(IGA_BD[[#This Row],[Fault Clearance time]]-IGA_BD[[#This Row],[Work Start TimeStamp]])*24)</f>
        <v/>
      </c>
      <c r="Q1130" s="57">
        <f>(IGA_BD[[#This Row],[Fault Clearance time]]-IGA_BD[[#This Row],[Fault Start TimeStamp]])*24</f>
        <v>0</v>
      </c>
      <c r="R1130" s="153"/>
      <c r="S1130" s="44"/>
      <c r="T1130" s="45" t="str">
        <f>IFERROR(IGA_BD[[#This Row],[Breakdown Time]]*IGA_BD[[#This Row],[Plant Equivalent Weightage]],"")</f>
        <v/>
      </c>
    </row>
    <row r="1131" spans="1:20">
      <c r="A1131" s="28"/>
      <c r="B1131" s="154"/>
      <c r="C1131" s="30" t="e">
        <f>YEAR(WTG_BD[[#This Row],[Date]])+IF(MONTH(WTG_BD[[#This Row],[Date]])&gt;=4,1,0)</f>
        <v>#VALUE!</v>
      </c>
      <c r="D1131" s="31">
        <f>YEAR(IGA_BD[[#This Row],[Date]])</f>
        <v>1900</v>
      </c>
      <c r="E1131" s="48">
        <f t="shared" si="20"/>
        <v>1</v>
      </c>
      <c r="F1131" s="32"/>
      <c r="G1131" s="33"/>
      <c r="H1131" s="43" t="str">
        <f>IFERROR(VLOOKUP(IGA_BD[[#This Row],[Affected Feeder ]],'Basic Data'!$A$42:$E$53,2,0),"")</f>
        <v/>
      </c>
      <c r="I1131" s="43" t="str">
        <f>IFERROR(VLOOKUP(IGA_BD[[#This Row],[Affected Feeder ]],'Basic Data'!$A$42:$E$53,3,0),"")</f>
        <v/>
      </c>
      <c r="J1131" s="43" t="str">
        <f>IFERROR(VLOOKUP(IGA_BD[[#This Row],[Affected Feeder ]],'Basic Data'!$A$42:$E$53,5,0),"")</f>
        <v/>
      </c>
      <c r="K1131" s="164"/>
      <c r="L1131" s="50"/>
      <c r="M1131" s="116"/>
      <c r="N1131" s="116"/>
      <c r="O1131" s="57">
        <f>(IGA_BD[[#This Row],[Work Start TimeStamp]]-IGA_BD[[#This Row],[Fault Start TimeStamp]])*24</f>
        <v>0</v>
      </c>
      <c r="P1131" s="44" t="str">
        <f>IF(IGA_BD[[#This Row],[Work Start TimeStamp]]="","",(IGA_BD[[#This Row],[Fault Clearance time]]-IGA_BD[[#This Row],[Work Start TimeStamp]])*24)</f>
        <v/>
      </c>
      <c r="Q1131" s="57">
        <f>(IGA_BD[[#This Row],[Fault Clearance time]]-IGA_BD[[#This Row],[Fault Start TimeStamp]])*24</f>
        <v>0</v>
      </c>
      <c r="R1131" s="153"/>
      <c r="S1131" s="44"/>
      <c r="T1131" s="45" t="str">
        <f>IFERROR(IGA_BD[[#This Row],[Breakdown Time]]*IGA_BD[[#This Row],[Plant Equivalent Weightage]],"")</f>
        <v/>
      </c>
    </row>
    <row r="1132" spans="1:20">
      <c r="A1132" s="28"/>
      <c r="B1132" s="154"/>
      <c r="C1132" s="30" t="e">
        <f>YEAR(WTG_BD[[#This Row],[Date]])+IF(MONTH(WTG_BD[[#This Row],[Date]])&gt;=4,1,0)</f>
        <v>#VALUE!</v>
      </c>
      <c r="D1132" s="31">
        <f>YEAR(IGA_BD[[#This Row],[Date]])</f>
        <v>1900</v>
      </c>
      <c r="E1132" s="48">
        <f t="shared" si="20"/>
        <v>1</v>
      </c>
      <c r="F1132" s="32"/>
      <c r="G1132" s="33"/>
      <c r="H1132" s="43" t="str">
        <f>IFERROR(VLOOKUP(IGA_BD[[#This Row],[Affected Feeder ]],'Basic Data'!$A$42:$E$53,2,0),"")</f>
        <v/>
      </c>
      <c r="I1132" s="43" t="str">
        <f>IFERROR(VLOOKUP(IGA_BD[[#This Row],[Affected Feeder ]],'Basic Data'!$A$42:$E$53,3,0),"")</f>
        <v/>
      </c>
      <c r="J1132" s="43" t="str">
        <f>IFERROR(VLOOKUP(IGA_BD[[#This Row],[Affected Feeder ]],'Basic Data'!$A$42:$E$53,5,0),"")</f>
        <v/>
      </c>
      <c r="K1132" s="164"/>
      <c r="L1132" s="50"/>
      <c r="M1132" s="116"/>
      <c r="N1132" s="116"/>
      <c r="O1132" s="57">
        <f>(IGA_BD[[#This Row],[Work Start TimeStamp]]-IGA_BD[[#This Row],[Fault Start TimeStamp]])*24</f>
        <v>0</v>
      </c>
      <c r="P1132" s="44" t="str">
        <f>IF(IGA_BD[[#This Row],[Work Start TimeStamp]]="","",(IGA_BD[[#This Row],[Fault Clearance time]]-IGA_BD[[#This Row],[Work Start TimeStamp]])*24)</f>
        <v/>
      </c>
      <c r="Q1132" s="57">
        <f>(IGA_BD[[#This Row],[Fault Clearance time]]-IGA_BD[[#This Row],[Fault Start TimeStamp]])*24</f>
        <v>0</v>
      </c>
      <c r="R1132" s="153"/>
      <c r="S1132" s="44"/>
      <c r="T1132" s="45" t="str">
        <f>IFERROR(IGA_BD[[#This Row],[Breakdown Time]]*IGA_BD[[#This Row],[Plant Equivalent Weightage]],"")</f>
        <v/>
      </c>
    </row>
    <row r="1133" spans="1:20">
      <c r="A1133" s="28"/>
      <c r="B1133" s="154"/>
      <c r="C1133" s="30" t="e">
        <f>YEAR(WTG_BD[[#This Row],[Date]])+IF(MONTH(WTG_BD[[#This Row],[Date]])&gt;=4,1,0)</f>
        <v>#VALUE!</v>
      </c>
      <c r="D1133" s="31">
        <f>YEAR(IGA_BD[[#This Row],[Date]])</f>
        <v>1900</v>
      </c>
      <c r="E1133" s="48">
        <f t="shared" si="20"/>
        <v>1</v>
      </c>
      <c r="F1133" s="32"/>
      <c r="G1133" s="33"/>
      <c r="H1133" s="43" t="str">
        <f>IFERROR(VLOOKUP(IGA_BD[[#This Row],[Affected Feeder ]],'Basic Data'!$A$42:$E$53,2,0),"")</f>
        <v/>
      </c>
      <c r="I1133" s="43" t="str">
        <f>IFERROR(VLOOKUP(IGA_BD[[#This Row],[Affected Feeder ]],'Basic Data'!$A$42:$E$53,3,0),"")</f>
        <v/>
      </c>
      <c r="J1133" s="43" t="str">
        <f>IFERROR(VLOOKUP(IGA_BD[[#This Row],[Affected Feeder ]],'Basic Data'!$A$42:$E$53,5,0),"")</f>
        <v/>
      </c>
      <c r="K1133" s="164"/>
      <c r="L1133" s="50"/>
      <c r="M1133" s="116"/>
      <c r="N1133" s="116"/>
      <c r="O1133" s="57">
        <f>(IGA_BD[[#This Row],[Work Start TimeStamp]]-IGA_BD[[#This Row],[Fault Start TimeStamp]])*24</f>
        <v>0</v>
      </c>
      <c r="P1133" s="44" t="str">
        <f>IF(IGA_BD[[#This Row],[Work Start TimeStamp]]="","",(IGA_BD[[#This Row],[Fault Clearance time]]-IGA_BD[[#This Row],[Work Start TimeStamp]])*24)</f>
        <v/>
      </c>
      <c r="Q1133" s="57">
        <f>(IGA_BD[[#This Row],[Fault Clearance time]]-IGA_BD[[#This Row],[Fault Start TimeStamp]])*24</f>
        <v>0</v>
      </c>
      <c r="R1133" s="153"/>
      <c r="S1133" s="44"/>
      <c r="T1133" s="45" t="str">
        <f>IFERROR(IGA_BD[[#This Row],[Breakdown Time]]*IGA_BD[[#This Row],[Plant Equivalent Weightage]],"")</f>
        <v/>
      </c>
    </row>
    <row r="1134" spans="1:20">
      <c r="A1134" s="28"/>
      <c r="B1134" s="154"/>
      <c r="C1134" s="30" t="e">
        <f>YEAR(WTG_BD[[#This Row],[Date]])+IF(MONTH(WTG_BD[[#This Row],[Date]])&gt;=4,1,0)</f>
        <v>#VALUE!</v>
      </c>
      <c r="D1134" s="31">
        <f>YEAR(IGA_BD[[#This Row],[Date]])</f>
        <v>1900</v>
      </c>
      <c r="E1134" s="48">
        <f t="shared" si="20"/>
        <v>1</v>
      </c>
      <c r="F1134" s="32"/>
      <c r="G1134" s="33"/>
      <c r="H1134" s="43" t="str">
        <f>IFERROR(VLOOKUP(IGA_BD[[#This Row],[Affected Feeder ]],'Basic Data'!$A$42:$E$53,2,0),"")</f>
        <v/>
      </c>
      <c r="I1134" s="43" t="str">
        <f>IFERROR(VLOOKUP(IGA_BD[[#This Row],[Affected Feeder ]],'Basic Data'!$A$42:$E$53,3,0),"")</f>
        <v/>
      </c>
      <c r="J1134" s="43" t="str">
        <f>IFERROR(VLOOKUP(IGA_BD[[#This Row],[Affected Feeder ]],'Basic Data'!$A$42:$E$53,5,0),"")</f>
        <v/>
      </c>
      <c r="K1134" s="164"/>
      <c r="L1134" s="50"/>
      <c r="M1134" s="116"/>
      <c r="N1134" s="116"/>
      <c r="O1134" s="57">
        <f>(IGA_BD[[#This Row],[Work Start TimeStamp]]-IGA_BD[[#This Row],[Fault Start TimeStamp]])*24</f>
        <v>0</v>
      </c>
      <c r="P1134" s="44" t="str">
        <f>IF(IGA_BD[[#This Row],[Work Start TimeStamp]]="","",(IGA_BD[[#This Row],[Fault Clearance time]]-IGA_BD[[#This Row],[Work Start TimeStamp]])*24)</f>
        <v/>
      </c>
      <c r="Q1134" s="57">
        <f>(IGA_BD[[#This Row],[Fault Clearance time]]-IGA_BD[[#This Row],[Fault Start TimeStamp]])*24</f>
        <v>0</v>
      </c>
      <c r="R1134" s="153"/>
      <c r="S1134" s="44"/>
      <c r="T1134" s="45" t="str">
        <f>IFERROR(IGA_BD[[#This Row],[Breakdown Time]]*IGA_BD[[#This Row],[Plant Equivalent Weightage]],"")</f>
        <v/>
      </c>
    </row>
    <row r="1135" spans="1:20">
      <c r="A1135" s="28"/>
      <c r="B1135" s="154"/>
      <c r="C1135" s="30" t="e">
        <f>YEAR(WTG_BD[[#This Row],[Date]])+IF(MONTH(WTG_BD[[#This Row],[Date]])&gt;=4,1,0)</f>
        <v>#VALUE!</v>
      </c>
      <c r="D1135" s="31">
        <f>YEAR(IGA_BD[[#This Row],[Date]])</f>
        <v>1900</v>
      </c>
      <c r="E1135" s="48">
        <f t="shared" si="20"/>
        <v>1</v>
      </c>
      <c r="F1135" s="32"/>
      <c r="G1135" s="33"/>
      <c r="H1135" s="43" t="str">
        <f>IFERROR(VLOOKUP(IGA_BD[[#This Row],[Affected Feeder ]],'Basic Data'!$A$42:$E$53,2,0),"")</f>
        <v/>
      </c>
      <c r="I1135" s="43" t="str">
        <f>IFERROR(VLOOKUP(IGA_BD[[#This Row],[Affected Feeder ]],'Basic Data'!$A$42:$E$53,3,0),"")</f>
        <v/>
      </c>
      <c r="J1135" s="43" t="str">
        <f>IFERROR(VLOOKUP(IGA_BD[[#This Row],[Affected Feeder ]],'Basic Data'!$A$42:$E$53,5,0),"")</f>
        <v/>
      </c>
      <c r="K1135" s="164"/>
      <c r="L1135" s="50"/>
      <c r="M1135" s="116"/>
      <c r="N1135" s="116"/>
      <c r="O1135" s="57">
        <f>(IGA_BD[[#This Row],[Work Start TimeStamp]]-IGA_BD[[#This Row],[Fault Start TimeStamp]])*24</f>
        <v>0</v>
      </c>
      <c r="P1135" s="44" t="str">
        <f>IF(IGA_BD[[#This Row],[Work Start TimeStamp]]="","",(IGA_BD[[#This Row],[Fault Clearance time]]-IGA_BD[[#This Row],[Work Start TimeStamp]])*24)</f>
        <v/>
      </c>
      <c r="Q1135" s="57">
        <f>(IGA_BD[[#This Row],[Fault Clearance time]]-IGA_BD[[#This Row],[Fault Start TimeStamp]])*24</f>
        <v>0</v>
      </c>
      <c r="R1135" s="153"/>
      <c r="S1135" s="44"/>
      <c r="T1135" s="45" t="str">
        <f>IFERROR(IGA_BD[[#This Row],[Breakdown Time]]*IGA_BD[[#This Row],[Plant Equivalent Weightage]],"")</f>
        <v/>
      </c>
    </row>
    <row r="1136" spans="1:20">
      <c r="A1136" s="28"/>
      <c r="B1136" s="154"/>
      <c r="C1136" s="30" t="e">
        <f>YEAR(WTG_BD[[#This Row],[Date]])+IF(MONTH(WTG_BD[[#This Row],[Date]])&gt;=4,1,0)</f>
        <v>#VALUE!</v>
      </c>
      <c r="D1136" s="31">
        <f>YEAR(IGA_BD[[#This Row],[Date]])</f>
        <v>1900</v>
      </c>
      <c r="E1136" s="48">
        <f t="shared" si="20"/>
        <v>1</v>
      </c>
      <c r="F1136" s="32"/>
      <c r="G1136" s="33"/>
      <c r="H1136" s="43" t="str">
        <f>IFERROR(VLOOKUP(IGA_BD[[#This Row],[Affected Feeder ]],'Basic Data'!$A$42:$E$53,2,0),"")</f>
        <v/>
      </c>
      <c r="I1136" s="43" t="str">
        <f>IFERROR(VLOOKUP(IGA_BD[[#This Row],[Affected Feeder ]],'Basic Data'!$A$42:$E$53,3,0),"")</f>
        <v/>
      </c>
      <c r="J1136" s="43" t="str">
        <f>IFERROR(VLOOKUP(IGA_BD[[#This Row],[Affected Feeder ]],'Basic Data'!$A$42:$E$53,5,0),"")</f>
        <v/>
      </c>
      <c r="K1136" s="164"/>
      <c r="L1136" s="50"/>
      <c r="M1136" s="116"/>
      <c r="N1136" s="116"/>
      <c r="O1136" s="57">
        <f>(IGA_BD[[#This Row],[Work Start TimeStamp]]-IGA_BD[[#This Row],[Fault Start TimeStamp]])*24</f>
        <v>0</v>
      </c>
      <c r="P1136" s="44" t="str">
        <f>IF(IGA_BD[[#This Row],[Work Start TimeStamp]]="","",(IGA_BD[[#This Row],[Fault Clearance time]]-IGA_BD[[#This Row],[Work Start TimeStamp]])*24)</f>
        <v/>
      </c>
      <c r="Q1136" s="57">
        <f>(IGA_BD[[#This Row],[Fault Clearance time]]-IGA_BD[[#This Row],[Fault Start TimeStamp]])*24</f>
        <v>0</v>
      </c>
      <c r="R1136" s="153"/>
      <c r="S1136" s="44"/>
      <c r="T1136" s="45" t="str">
        <f>IFERROR(IGA_BD[[#This Row],[Breakdown Time]]*IGA_BD[[#This Row],[Plant Equivalent Weightage]],"")</f>
        <v/>
      </c>
    </row>
    <row r="1137" spans="1:20">
      <c r="A1137" s="28"/>
      <c r="B1137" s="154"/>
      <c r="C1137" s="30" t="e">
        <f>YEAR(WTG_BD[[#This Row],[Date]])+IF(MONTH(WTG_BD[[#This Row],[Date]])&gt;=4,1,0)</f>
        <v>#VALUE!</v>
      </c>
      <c r="D1137" s="31">
        <f>YEAR(IGA_BD[[#This Row],[Date]])</f>
        <v>1900</v>
      </c>
      <c r="E1137" s="48">
        <f t="shared" si="20"/>
        <v>1</v>
      </c>
      <c r="F1137" s="32"/>
      <c r="G1137" s="33"/>
      <c r="H1137" s="43" t="str">
        <f>IFERROR(VLOOKUP(IGA_BD[[#This Row],[Affected Feeder ]],'Basic Data'!$A$42:$E$53,2,0),"")</f>
        <v/>
      </c>
      <c r="I1137" s="43" t="str">
        <f>IFERROR(VLOOKUP(IGA_BD[[#This Row],[Affected Feeder ]],'Basic Data'!$A$42:$E$53,3,0),"")</f>
        <v/>
      </c>
      <c r="J1137" s="43" t="str">
        <f>IFERROR(VLOOKUP(IGA_BD[[#This Row],[Affected Feeder ]],'Basic Data'!$A$42:$E$53,5,0),"")</f>
        <v/>
      </c>
      <c r="K1137" s="164"/>
      <c r="L1137" s="50"/>
      <c r="M1137" s="116"/>
      <c r="N1137" s="116"/>
      <c r="O1137" s="57">
        <f>(IGA_BD[[#This Row],[Work Start TimeStamp]]-IGA_BD[[#This Row],[Fault Start TimeStamp]])*24</f>
        <v>0</v>
      </c>
      <c r="P1137" s="44" t="str">
        <f>IF(IGA_BD[[#This Row],[Work Start TimeStamp]]="","",(IGA_BD[[#This Row],[Fault Clearance time]]-IGA_BD[[#This Row],[Work Start TimeStamp]])*24)</f>
        <v/>
      </c>
      <c r="Q1137" s="57">
        <f>(IGA_BD[[#This Row],[Fault Clearance time]]-IGA_BD[[#This Row],[Fault Start TimeStamp]])*24</f>
        <v>0</v>
      </c>
      <c r="R1137" s="153"/>
      <c r="S1137" s="44"/>
      <c r="T1137" s="45" t="str">
        <f>IFERROR(IGA_BD[[#This Row],[Breakdown Time]]*IGA_BD[[#This Row],[Plant Equivalent Weightage]],"")</f>
        <v/>
      </c>
    </row>
    <row r="1138" spans="1:20">
      <c r="A1138" s="28"/>
      <c r="B1138" s="154"/>
      <c r="C1138" s="30" t="e">
        <f>YEAR(WTG_BD[[#This Row],[Date]])+IF(MONTH(WTG_BD[[#This Row],[Date]])&gt;=4,1,0)</f>
        <v>#VALUE!</v>
      </c>
      <c r="D1138" s="31">
        <f>YEAR(IGA_BD[[#This Row],[Date]])</f>
        <v>1900</v>
      </c>
      <c r="E1138" s="48">
        <f t="shared" si="20"/>
        <v>1</v>
      </c>
      <c r="F1138" s="32"/>
      <c r="G1138" s="33"/>
      <c r="H1138" s="43" t="str">
        <f>IFERROR(VLOOKUP(IGA_BD[[#This Row],[Affected Feeder ]],'Basic Data'!$A$42:$E$53,2,0),"")</f>
        <v/>
      </c>
      <c r="I1138" s="43" t="str">
        <f>IFERROR(VLOOKUP(IGA_BD[[#This Row],[Affected Feeder ]],'Basic Data'!$A$42:$E$53,3,0),"")</f>
        <v/>
      </c>
      <c r="J1138" s="43" t="str">
        <f>IFERROR(VLOOKUP(IGA_BD[[#This Row],[Affected Feeder ]],'Basic Data'!$A$42:$E$53,5,0),"")</f>
        <v/>
      </c>
      <c r="K1138" s="164"/>
      <c r="L1138" s="50"/>
      <c r="M1138" s="116"/>
      <c r="N1138" s="116"/>
      <c r="O1138" s="57">
        <f>(IGA_BD[[#This Row],[Work Start TimeStamp]]-IGA_BD[[#This Row],[Fault Start TimeStamp]])*24</f>
        <v>0</v>
      </c>
      <c r="P1138" s="44" t="str">
        <f>IF(IGA_BD[[#This Row],[Work Start TimeStamp]]="","",(IGA_BD[[#This Row],[Fault Clearance time]]-IGA_BD[[#This Row],[Work Start TimeStamp]])*24)</f>
        <v/>
      </c>
      <c r="Q1138" s="57">
        <f>(IGA_BD[[#This Row],[Fault Clearance time]]-IGA_BD[[#This Row],[Fault Start TimeStamp]])*24</f>
        <v>0</v>
      </c>
      <c r="R1138" s="153"/>
      <c r="S1138" s="44"/>
      <c r="T1138" s="45" t="str">
        <f>IFERROR(IGA_BD[[#This Row],[Breakdown Time]]*IGA_BD[[#This Row],[Plant Equivalent Weightage]],"")</f>
        <v/>
      </c>
    </row>
    <row r="1139" spans="1:20">
      <c r="A1139" s="28"/>
      <c r="B1139" s="154"/>
      <c r="C1139" s="30" t="e">
        <f>YEAR(WTG_BD[[#This Row],[Date]])+IF(MONTH(WTG_BD[[#This Row],[Date]])&gt;=4,1,0)</f>
        <v>#VALUE!</v>
      </c>
      <c r="D1139" s="31">
        <f>YEAR(IGA_BD[[#This Row],[Date]])</f>
        <v>1900</v>
      </c>
      <c r="E1139" s="48">
        <f t="shared" si="20"/>
        <v>1</v>
      </c>
      <c r="F1139" s="32"/>
      <c r="G1139" s="33"/>
      <c r="H1139" s="43" t="str">
        <f>IFERROR(VLOOKUP(IGA_BD[[#This Row],[Affected Feeder ]],'Basic Data'!$A$42:$E$53,2,0),"")</f>
        <v/>
      </c>
      <c r="I1139" s="43" t="str">
        <f>IFERROR(VLOOKUP(IGA_BD[[#This Row],[Affected Feeder ]],'Basic Data'!$A$42:$E$53,3,0),"")</f>
        <v/>
      </c>
      <c r="J1139" s="43" t="str">
        <f>IFERROR(VLOOKUP(IGA_BD[[#This Row],[Affected Feeder ]],'Basic Data'!$A$42:$E$53,5,0),"")</f>
        <v/>
      </c>
      <c r="K1139" s="164"/>
      <c r="L1139" s="50"/>
      <c r="M1139" s="116"/>
      <c r="N1139" s="116"/>
      <c r="O1139" s="57">
        <f>(IGA_BD[[#This Row],[Work Start TimeStamp]]-IGA_BD[[#This Row],[Fault Start TimeStamp]])*24</f>
        <v>0</v>
      </c>
      <c r="P1139" s="44" t="str">
        <f>IF(IGA_BD[[#This Row],[Work Start TimeStamp]]="","",(IGA_BD[[#This Row],[Fault Clearance time]]-IGA_BD[[#This Row],[Work Start TimeStamp]])*24)</f>
        <v/>
      </c>
      <c r="Q1139" s="57">
        <f>(IGA_BD[[#This Row],[Fault Clearance time]]-IGA_BD[[#This Row],[Fault Start TimeStamp]])*24</f>
        <v>0</v>
      </c>
      <c r="R1139" s="153"/>
      <c r="S1139" s="44"/>
      <c r="T1139" s="45" t="str">
        <f>IFERROR(IGA_BD[[#This Row],[Breakdown Time]]*IGA_BD[[#This Row],[Plant Equivalent Weightage]],"")</f>
        <v/>
      </c>
    </row>
    <row r="1140" spans="1:20">
      <c r="A1140" s="28"/>
      <c r="B1140" s="154"/>
      <c r="C1140" s="30" t="e">
        <f>YEAR(WTG_BD[[#This Row],[Date]])+IF(MONTH(WTG_BD[[#This Row],[Date]])&gt;=4,1,0)</f>
        <v>#VALUE!</v>
      </c>
      <c r="D1140" s="31">
        <f>YEAR(IGA_BD[[#This Row],[Date]])</f>
        <v>1900</v>
      </c>
      <c r="E1140" s="48">
        <f t="shared" si="20"/>
        <v>1</v>
      </c>
      <c r="F1140" s="32"/>
      <c r="G1140" s="33"/>
      <c r="H1140" s="43" t="str">
        <f>IFERROR(VLOOKUP(IGA_BD[[#This Row],[Affected Feeder ]],'Basic Data'!$A$42:$E$53,2,0),"")</f>
        <v/>
      </c>
      <c r="I1140" s="43" t="str">
        <f>IFERROR(VLOOKUP(IGA_BD[[#This Row],[Affected Feeder ]],'Basic Data'!$A$42:$E$53,3,0),"")</f>
        <v/>
      </c>
      <c r="J1140" s="43" t="str">
        <f>IFERROR(VLOOKUP(IGA_BD[[#This Row],[Affected Feeder ]],'Basic Data'!$A$42:$E$53,5,0),"")</f>
        <v/>
      </c>
      <c r="K1140" s="164"/>
      <c r="L1140" s="50"/>
      <c r="M1140" s="116"/>
      <c r="N1140" s="116"/>
      <c r="O1140" s="57">
        <f>(IGA_BD[[#This Row],[Work Start TimeStamp]]-IGA_BD[[#This Row],[Fault Start TimeStamp]])*24</f>
        <v>0</v>
      </c>
      <c r="P1140" s="44" t="str">
        <f>IF(IGA_BD[[#This Row],[Work Start TimeStamp]]="","",(IGA_BD[[#This Row],[Fault Clearance time]]-IGA_BD[[#This Row],[Work Start TimeStamp]])*24)</f>
        <v/>
      </c>
      <c r="Q1140" s="57">
        <f>(IGA_BD[[#This Row],[Fault Clearance time]]-IGA_BD[[#This Row],[Fault Start TimeStamp]])*24</f>
        <v>0</v>
      </c>
      <c r="R1140" s="153"/>
      <c r="S1140" s="44"/>
      <c r="T1140" s="45" t="str">
        <f>IFERROR(IGA_BD[[#This Row],[Breakdown Time]]*IGA_BD[[#This Row],[Plant Equivalent Weightage]],"")</f>
        <v/>
      </c>
    </row>
    <row r="1141" spans="1:20">
      <c r="A1141" s="28"/>
      <c r="B1141" s="154"/>
      <c r="C1141" s="30" t="e">
        <f>YEAR(WTG_BD[[#This Row],[Date]])+IF(MONTH(WTG_BD[[#This Row],[Date]])&gt;=4,1,0)</f>
        <v>#VALUE!</v>
      </c>
      <c r="D1141" s="31">
        <f>YEAR(IGA_BD[[#This Row],[Date]])</f>
        <v>1900</v>
      </c>
      <c r="E1141" s="48">
        <f t="shared" si="20"/>
        <v>1</v>
      </c>
      <c r="F1141" s="32"/>
      <c r="G1141" s="33"/>
      <c r="H1141" s="43" t="str">
        <f>IFERROR(VLOOKUP(IGA_BD[[#This Row],[Affected Feeder ]],'Basic Data'!$A$42:$E$53,2,0),"")</f>
        <v/>
      </c>
      <c r="I1141" s="43" t="str">
        <f>IFERROR(VLOOKUP(IGA_BD[[#This Row],[Affected Feeder ]],'Basic Data'!$A$42:$E$53,3,0),"")</f>
        <v/>
      </c>
      <c r="J1141" s="43" t="str">
        <f>IFERROR(VLOOKUP(IGA_BD[[#This Row],[Affected Feeder ]],'Basic Data'!$A$42:$E$53,5,0),"")</f>
        <v/>
      </c>
      <c r="K1141" s="164"/>
      <c r="L1141" s="50"/>
      <c r="M1141" s="116"/>
      <c r="N1141" s="116"/>
      <c r="O1141" s="57">
        <f>(IGA_BD[[#This Row],[Work Start TimeStamp]]-IGA_BD[[#This Row],[Fault Start TimeStamp]])*24</f>
        <v>0</v>
      </c>
      <c r="P1141" s="44" t="str">
        <f>IF(IGA_BD[[#This Row],[Work Start TimeStamp]]="","",(IGA_BD[[#This Row],[Fault Clearance time]]-IGA_BD[[#This Row],[Work Start TimeStamp]])*24)</f>
        <v/>
      </c>
      <c r="Q1141" s="57">
        <f>(IGA_BD[[#This Row],[Fault Clearance time]]-IGA_BD[[#This Row],[Fault Start TimeStamp]])*24</f>
        <v>0</v>
      </c>
      <c r="R1141" s="153"/>
      <c r="S1141" s="44"/>
      <c r="T1141" s="45" t="str">
        <f>IFERROR(IGA_BD[[#This Row],[Breakdown Time]]*IGA_BD[[#This Row],[Plant Equivalent Weightage]],"")</f>
        <v/>
      </c>
    </row>
    <row r="1142" spans="1:20">
      <c r="A1142" s="28"/>
      <c r="B1142" s="154"/>
      <c r="C1142" s="30" t="e">
        <f>YEAR(WTG_BD[[#This Row],[Date]])+IF(MONTH(WTG_BD[[#This Row],[Date]])&gt;=4,1,0)</f>
        <v>#VALUE!</v>
      </c>
      <c r="D1142" s="31">
        <f>YEAR(IGA_BD[[#This Row],[Date]])</f>
        <v>1900</v>
      </c>
      <c r="E1142" s="48">
        <f t="shared" si="20"/>
        <v>1</v>
      </c>
      <c r="F1142" s="32"/>
      <c r="G1142" s="33"/>
      <c r="H1142" s="43" t="str">
        <f>IFERROR(VLOOKUP(IGA_BD[[#This Row],[Affected Feeder ]],'Basic Data'!$A$42:$E$53,2,0),"")</f>
        <v/>
      </c>
      <c r="I1142" s="43" t="str">
        <f>IFERROR(VLOOKUP(IGA_BD[[#This Row],[Affected Feeder ]],'Basic Data'!$A$42:$E$53,3,0),"")</f>
        <v/>
      </c>
      <c r="J1142" s="43" t="str">
        <f>IFERROR(VLOOKUP(IGA_BD[[#This Row],[Affected Feeder ]],'Basic Data'!$A$42:$E$53,5,0),"")</f>
        <v/>
      </c>
      <c r="K1142" s="164"/>
      <c r="L1142" s="50"/>
      <c r="M1142" s="116"/>
      <c r="N1142" s="116"/>
      <c r="O1142" s="57">
        <f>(IGA_BD[[#This Row],[Work Start TimeStamp]]-IGA_BD[[#This Row],[Fault Start TimeStamp]])*24</f>
        <v>0</v>
      </c>
      <c r="P1142" s="44" t="str">
        <f>IF(IGA_BD[[#This Row],[Work Start TimeStamp]]="","",(IGA_BD[[#This Row],[Fault Clearance time]]-IGA_BD[[#This Row],[Work Start TimeStamp]])*24)</f>
        <v/>
      </c>
      <c r="Q1142" s="57">
        <f>(IGA_BD[[#This Row],[Fault Clearance time]]-IGA_BD[[#This Row],[Fault Start TimeStamp]])*24</f>
        <v>0</v>
      </c>
      <c r="R1142" s="153"/>
      <c r="S1142" s="44"/>
      <c r="T1142" s="45" t="str">
        <f>IFERROR(IGA_BD[[#This Row],[Breakdown Time]]*IGA_BD[[#This Row],[Plant Equivalent Weightage]],"")</f>
        <v/>
      </c>
    </row>
    <row r="1143" spans="1:20">
      <c r="A1143" s="28"/>
      <c r="B1143" s="154"/>
      <c r="C1143" s="30" t="e">
        <f>YEAR(WTG_BD[[#This Row],[Date]])+IF(MONTH(WTG_BD[[#This Row],[Date]])&gt;=4,1,0)</f>
        <v>#VALUE!</v>
      </c>
      <c r="D1143" s="31">
        <f>YEAR(IGA_BD[[#This Row],[Date]])</f>
        <v>1900</v>
      </c>
      <c r="E1143" s="48">
        <f t="shared" si="20"/>
        <v>1</v>
      </c>
      <c r="F1143" s="32"/>
      <c r="G1143" s="33"/>
      <c r="H1143" s="43" t="str">
        <f>IFERROR(VLOOKUP(IGA_BD[[#This Row],[Affected Feeder ]],'Basic Data'!$A$42:$E$53,2,0),"")</f>
        <v/>
      </c>
      <c r="I1143" s="43" t="str">
        <f>IFERROR(VLOOKUP(IGA_BD[[#This Row],[Affected Feeder ]],'Basic Data'!$A$42:$E$53,3,0),"")</f>
        <v/>
      </c>
      <c r="J1143" s="43" t="str">
        <f>IFERROR(VLOOKUP(IGA_BD[[#This Row],[Affected Feeder ]],'Basic Data'!$A$42:$E$53,5,0),"")</f>
        <v/>
      </c>
      <c r="K1143" s="164"/>
      <c r="L1143" s="50"/>
      <c r="M1143" s="116"/>
      <c r="N1143" s="116"/>
      <c r="O1143" s="57">
        <f>(IGA_BD[[#This Row],[Work Start TimeStamp]]-IGA_BD[[#This Row],[Fault Start TimeStamp]])*24</f>
        <v>0</v>
      </c>
      <c r="P1143" s="44" t="str">
        <f>IF(IGA_BD[[#This Row],[Work Start TimeStamp]]="","",(IGA_BD[[#This Row],[Fault Clearance time]]-IGA_BD[[#This Row],[Work Start TimeStamp]])*24)</f>
        <v/>
      </c>
      <c r="Q1143" s="57">
        <f>(IGA_BD[[#This Row],[Fault Clearance time]]-IGA_BD[[#This Row],[Fault Start TimeStamp]])*24</f>
        <v>0</v>
      </c>
      <c r="R1143" s="153"/>
      <c r="S1143" s="44"/>
      <c r="T1143" s="45" t="str">
        <f>IFERROR(IGA_BD[[#This Row],[Breakdown Time]]*IGA_BD[[#This Row],[Plant Equivalent Weightage]],"")</f>
        <v/>
      </c>
    </row>
    <row r="1144" spans="1:20">
      <c r="A1144" s="28"/>
      <c r="B1144" s="154"/>
      <c r="C1144" s="30" t="e">
        <f>YEAR(WTG_BD[[#This Row],[Date]])+IF(MONTH(WTG_BD[[#This Row],[Date]])&gt;=4,1,0)</f>
        <v>#VALUE!</v>
      </c>
      <c r="D1144" s="31">
        <f>YEAR(IGA_BD[[#This Row],[Date]])</f>
        <v>1900</v>
      </c>
      <c r="E1144" s="48">
        <f t="shared" si="20"/>
        <v>1</v>
      </c>
      <c r="F1144" s="32"/>
      <c r="G1144" s="33"/>
      <c r="H1144" s="43" t="str">
        <f>IFERROR(VLOOKUP(IGA_BD[[#This Row],[Affected Feeder ]],'Basic Data'!$A$42:$E$53,2,0),"")</f>
        <v/>
      </c>
      <c r="I1144" s="43" t="str">
        <f>IFERROR(VLOOKUP(IGA_BD[[#This Row],[Affected Feeder ]],'Basic Data'!$A$42:$E$53,3,0),"")</f>
        <v/>
      </c>
      <c r="J1144" s="43" t="str">
        <f>IFERROR(VLOOKUP(IGA_BD[[#This Row],[Affected Feeder ]],'Basic Data'!$A$42:$E$53,5,0),"")</f>
        <v/>
      </c>
      <c r="K1144" s="164"/>
      <c r="L1144" s="50"/>
      <c r="M1144" s="116"/>
      <c r="N1144" s="116"/>
      <c r="O1144" s="57">
        <f>(IGA_BD[[#This Row],[Work Start TimeStamp]]-IGA_BD[[#This Row],[Fault Start TimeStamp]])*24</f>
        <v>0</v>
      </c>
      <c r="P1144" s="44" t="str">
        <f>IF(IGA_BD[[#This Row],[Work Start TimeStamp]]="","",(IGA_BD[[#This Row],[Fault Clearance time]]-IGA_BD[[#This Row],[Work Start TimeStamp]])*24)</f>
        <v/>
      </c>
      <c r="Q1144" s="57">
        <f>(IGA_BD[[#This Row],[Fault Clearance time]]-IGA_BD[[#This Row],[Fault Start TimeStamp]])*24</f>
        <v>0</v>
      </c>
      <c r="R1144" s="153"/>
      <c r="S1144" s="44"/>
      <c r="T1144" s="45" t="str">
        <f>IFERROR(IGA_BD[[#This Row],[Breakdown Time]]*IGA_BD[[#This Row],[Plant Equivalent Weightage]],"")</f>
        <v/>
      </c>
    </row>
    <row r="1145" spans="1:20">
      <c r="A1145" s="28"/>
      <c r="B1145" s="154"/>
      <c r="C1145" s="30" t="e">
        <f>YEAR(WTG_BD[[#This Row],[Date]])+IF(MONTH(WTG_BD[[#This Row],[Date]])&gt;=4,1,0)</f>
        <v>#VALUE!</v>
      </c>
      <c r="D1145" s="31">
        <f>YEAR(IGA_BD[[#This Row],[Date]])</f>
        <v>1900</v>
      </c>
      <c r="E1145" s="48">
        <f t="shared" si="20"/>
        <v>1</v>
      </c>
      <c r="F1145" s="32"/>
      <c r="G1145" s="33"/>
      <c r="H1145" s="43" t="str">
        <f>IFERROR(VLOOKUP(IGA_BD[[#This Row],[Affected Feeder ]],'Basic Data'!$A$42:$E$53,2,0),"")</f>
        <v/>
      </c>
      <c r="I1145" s="43" t="str">
        <f>IFERROR(VLOOKUP(IGA_BD[[#This Row],[Affected Feeder ]],'Basic Data'!$A$42:$E$53,3,0),"")</f>
        <v/>
      </c>
      <c r="J1145" s="43" t="str">
        <f>IFERROR(VLOOKUP(IGA_BD[[#This Row],[Affected Feeder ]],'Basic Data'!$A$42:$E$53,5,0),"")</f>
        <v/>
      </c>
      <c r="K1145" s="164"/>
      <c r="L1145" s="50"/>
      <c r="M1145" s="116"/>
      <c r="N1145" s="116"/>
      <c r="O1145" s="57">
        <f>(IGA_BD[[#This Row],[Work Start TimeStamp]]-IGA_BD[[#This Row],[Fault Start TimeStamp]])*24</f>
        <v>0</v>
      </c>
      <c r="P1145" s="44" t="str">
        <f>IF(IGA_BD[[#This Row],[Work Start TimeStamp]]="","",(IGA_BD[[#This Row],[Fault Clearance time]]-IGA_BD[[#This Row],[Work Start TimeStamp]])*24)</f>
        <v/>
      </c>
      <c r="Q1145" s="57">
        <f>(IGA_BD[[#This Row],[Fault Clearance time]]-IGA_BD[[#This Row],[Fault Start TimeStamp]])*24</f>
        <v>0</v>
      </c>
      <c r="R1145" s="153"/>
      <c r="S1145" s="44"/>
      <c r="T1145" s="45" t="str">
        <f>IFERROR(IGA_BD[[#This Row],[Breakdown Time]]*IGA_BD[[#This Row],[Plant Equivalent Weightage]],"")</f>
        <v/>
      </c>
    </row>
    <row r="1146" spans="1:20">
      <c r="A1146" s="28"/>
      <c r="B1146" s="154"/>
      <c r="C1146" s="30" t="e">
        <f>YEAR(WTG_BD[[#This Row],[Date]])+IF(MONTH(WTG_BD[[#This Row],[Date]])&gt;=4,1,0)</f>
        <v>#VALUE!</v>
      </c>
      <c r="D1146" s="31">
        <f>YEAR(IGA_BD[[#This Row],[Date]])</f>
        <v>1900</v>
      </c>
      <c r="E1146" s="48">
        <f t="shared" si="20"/>
        <v>1</v>
      </c>
      <c r="F1146" s="32"/>
      <c r="G1146" s="33"/>
      <c r="H1146" s="43" t="str">
        <f>IFERROR(VLOOKUP(IGA_BD[[#This Row],[Affected Feeder ]],'Basic Data'!$A$42:$E$53,2,0),"")</f>
        <v/>
      </c>
      <c r="I1146" s="43" t="str">
        <f>IFERROR(VLOOKUP(IGA_BD[[#This Row],[Affected Feeder ]],'Basic Data'!$A$42:$E$53,3,0),"")</f>
        <v/>
      </c>
      <c r="J1146" s="43" t="str">
        <f>IFERROR(VLOOKUP(IGA_BD[[#This Row],[Affected Feeder ]],'Basic Data'!$A$42:$E$53,5,0),"")</f>
        <v/>
      </c>
      <c r="K1146" s="164"/>
      <c r="L1146" s="50"/>
      <c r="M1146" s="116"/>
      <c r="N1146" s="116"/>
      <c r="O1146" s="57">
        <f>(IGA_BD[[#This Row],[Work Start TimeStamp]]-IGA_BD[[#This Row],[Fault Start TimeStamp]])*24</f>
        <v>0</v>
      </c>
      <c r="P1146" s="44" t="str">
        <f>IF(IGA_BD[[#This Row],[Work Start TimeStamp]]="","",(IGA_BD[[#This Row],[Fault Clearance time]]-IGA_BD[[#This Row],[Work Start TimeStamp]])*24)</f>
        <v/>
      </c>
      <c r="Q1146" s="57">
        <f>(IGA_BD[[#This Row],[Fault Clearance time]]-IGA_BD[[#This Row],[Fault Start TimeStamp]])*24</f>
        <v>0</v>
      </c>
      <c r="R1146" s="153"/>
      <c r="S1146" s="44"/>
      <c r="T1146" s="45" t="str">
        <f>IFERROR(IGA_BD[[#This Row],[Breakdown Time]]*IGA_BD[[#This Row],[Plant Equivalent Weightage]],"")</f>
        <v/>
      </c>
    </row>
    <row r="1147" spans="1:20">
      <c r="A1147" s="28"/>
      <c r="B1147" s="154"/>
      <c r="C1147" s="30" t="e">
        <f>YEAR(WTG_BD[[#This Row],[Date]])+IF(MONTH(WTG_BD[[#This Row],[Date]])&gt;=4,1,0)</f>
        <v>#VALUE!</v>
      </c>
      <c r="D1147" s="31">
        <f>YEAR(IGA_BD[[#This Row],[Date]])</f>
        <v>1900</v>
      </c>
      <c r="E1147" s="48">
        <f t="shared" si="20"/>
        <v>1</v>
      </c>
      <c r="F1147" s="32"/>
      <c r="G1147" s="33"/>
      <c r="H1147" s="43" t="str">
        <f>IFERROR(VLOOKUP(IGA_BD[[#This Row],[Affected Feeder ]],'Basic Data'!$A$42:$E$53,2,0),"")</f>
        <v/>
      </c>
      <c r="I1147" s="43" t="str">
        <f>IFERROR(VLOOKUP(IGA_BD[[#This Row],[Affected Feeder ]],'Basic Data'!$A$42:$E$53,3,0),"")</f>
        <v/>
      </c>
      <c r="J1147" s="43" t="str">
        <f>IFERROR(VLOOKUP(IGA_BD[[#This Row],[Affected Feeder ]],'Basic Data'!$A$42:$E$53,5,0),"")</f>
        <v/>
      </c>
      <c r="K1147" s="164"/>
      <c r="L1147" s="50"/>
      <c r="M1147" s="116"/>
      <c r="N1147" s="116"/>
      <c r="O1147" s="57">
        <f>(IGA_BD[[#This Row],[Work Start TimeStamp]]-IGA_BD[[#This Row],[Fault Start TimeStamp]])*24</f>
        <v>0</v>
      </c>
      <c r="P1147" s="44" t="str">
        <f>IF(IGA_BD[[#This Row],[Work Start TimeStamp]]="","",(IGA_BD[[#This Row],[Fault Clearance time]]-IGA_BD[[#This Row],[Work Start TimeStamp]])*24)</f>
        <v/>
      </c>
      <c r="Q1147" s="57">
        <f>(IGA_BD[[#This Row],[Fault Clearance time]]-IGA_BD[[#This Row],[Fault Start TimeStamp]])*24</f>
        <v>0</v>
      </c>
      <c r="R1147" s="153"/>
      <c r="S1147" s="44"/>
      <c r="T1147" s="45" t="str">
        <f>IFERROR(IGA_BD[[#This Row],[Breakdown Time]]*IGA_BD[[#This Row],[Plant Equivalent Weightage]],"")</f>
        <v/>
      </c>
    </row>
    <row r="1148" spans="1:20">
      <c r="A1148" s="28"/>
      <c r="B1148" s="154"/>
      <c r="C1148" s="30" t="e">
        <f>YEAR(WTG_BD[[#This Row],[Date]])+IF(MONTH(WTG_BD[[#This Row],[Date]])&gt;=4,1,0)</f>
        <v>#VALUE!</v>
      </c>
      <c r="D1148" s="31">
        <f>YEAR(IGA_BD[[#This Row],[Date]])</f>
        <v>1900</v>
      </c>
      <c r="E1148" s="48">
        <f t="shared" si="20"/>
        <v>1</v>
      </c>
      <c r="F1148" s="32"/>
      <c r="G1148" s="33"/>
      <c r="H1148" s="43" t="str">
        <f>IFERROR(VLOOKUP(IGA_BD[[#This Row],[Affected Feeder ]],'Basic Data'!$A$42:$E$53,2,0),"")</f>
        <v/>
      </c>
      <c r="I1148" s="43" t="str">
        <f>IFERROR(VLOOKUP(IGA_BD[[#This Row],[Affected Feeder ]],'Basic Data'!$A$42:$E$53,3,0),"")</f>
        <v/>
      </c>
      <c r="J1148" s="43" t="str">
        <f>IFERROR(VLOOKUP(IGA_BD[[#This Row],[Affected Feeder ]],'Basic Data'!$A$42:$E$53,5,0),"")</f>
        <v/>
      </c>
      <c r="K1148" s="164"/>
      <c r="L1148" s="50"/>
      <c r="M1148" s="116"/>
      <c r="N1148" s="116"/>
      <c r="O1148" s="57">
        <f>(IGA_BD[[#This Row],[Work Start TimeStamp]]-IGA_BD[[#This Row],[Fault Start TimeStamp]])*24</f>
        <v>0</v>
      </c>
      <c r="P1148" s="44" t="str">
        <f>IF(IGA_BD[[#This Row],[Work Start TimeStamp]]="","",(IGA_BD[[#This Row],[Fault Clearance time]]-IGA_BD[[#This Row],[Work Start TimeStamp]])*24)</f>
        <v/>
      </c>
      <c r="Q1148" s="57">
        <f>(IGA_BD[[#This Row],[Fault Clearance time]]-IGA_BD[[#This Row],[Fault Start TimeStamp]])*24</f>
        <v>0</v>
      </c>
      <c r="R1148" s="153"/>
      <c r="S1148" s="44"/>
      <c r="T1148" s="45" t="str">
        <f>IFERROR(IGA_BD[[#This Row],[Breakdown Time]]*IGA_BD[[#This Row],[Plant Equivalent Weightage]],"")</f>
        <v/>
      </c>
    </row>
    <row r="1149" spans="1:20">
      <c r="A1149" s="28"/>
      <c r="B1149" s="154"/>
      <c r="C1149" s="30" t="e">
        <f>YEAR(WTG_BD[[#This Row],[Date]])+IF(MONTH(WTG_BD[[#This Row],[Date]])&gt;=4,1,0)</f>
        <v>#VALUE!</v>
      </c>
      <c r="D1149" s="31">
        <f>YEAR(IGA_BD[[#This Row],[Date]])</f>
        <v>1900</v>
      </c>
      <c r="E1149" s="48">
        <f t="shared" si="20"/>
        <v>1</v>
      </c>
      <c r="F1149" s="32"/>
      <c r="G1149" s="33"/>
      <c r="H1149" s="43" t="str">
        <f>IFERROR(VLOOKUP(IGA_BD[[#This Row],[Affected Feeder ]],'Basic Data'!$A$42:$E$53,2,0),"")</f>
        <v/>
      </c>
      <c r="I1149" s="43" t="str">
        <f>IFERROR(VLOOKUP(IGA_BD[[#This Row],[Affected Feeder ]],'Basic Data'!$A$42:$E$53,3,0),"")</f>
        <v/>
      </c>
      <c r="J1149" s="43" t="str">
        <f>IFERROR(VLOOKUP(IGA_BD[[#This Row],[Affected Feeder ]],'Basic Data'!$A$42:$E$53,5,0),"")</f>
        <v/>
      </c>
      <c r="K1149" s="164"/>
      <c r="L1149" s="50"/>
      <c r="M1149" s="116"/>
      <c r="N1149" s="116"/>
      <c r="O1149" s="57">
        <f>(IGA_BD[[#This Row],[Work Start TimeStamp]]-IGA_BD[[#This Row],[Fault Start TimeStamp]])*24</f>
        <v>0</v>
      </c>
      <c r="P1149" s="44" t="str">
        <f>IF(IGA_BD[[#This Row],[Work Start TimeStamp]]="","",(IGA_BD[[#This Row],[Fault Clearance time]]-IGA_BD[[#This Row],[Work Start TimeStamp]])*24)</f>
        <v/>
      </c>
      <c r="Q1149" s="57">
        <f>(IGA_BD[[#This Row],[Fault Clearance time]]-IGA_BD[[#This Row],[Fault Start TimeStamp]])*24</f>
        <v>0</v>
      </c>
      <c r="R1149" s="153"/>
      <c r="S1149" s="44"/>
      <c r="T1149" s="45" t="str">
        <f>IFERROR(IGA_BD[[#This Row],[Breakdown Time]]*IGA_BD[[#This Row],[Plant Equivalent Weightage]],"")</f>
        <v/>
      </c>
    </row>
    <row r="1150" spans="1:20">
      <c r="A1150" s="28"/>
      <c r="B1150" s="154"/>
      <c r="C1150" s="30" t="e">
        <f>YEAR(WTG_BD[[#This Row],[Date]])+IF(MONTH(WTG_BD[[#This Row],[Date]])&gt;=4,1,0)</f>
        <v>#VALUE!</v>
      </c>
      <c r="D1150" s="31">
        <f>YEAR(IGA_BD[[#This Row],[Date]])</f>
        <v>1900</v>
      </c>
      <c r="E1150" s="48">
        <f t="shared" si="20"/>
        <v>1</v>
      </c>
      <c r="F1150" s="32"/>
      <c r="G1150" s="33"/>
      <c r="H1150" s="43" t="str">
        <f>IFERROR(VLOOKUP(IGA_BD[[#This Row],[Affected Feeder ]],'Basic Data'!$A$42:$E$53,2,0),"")</f>
        <v/>
      </c>
      <c r="I1150" s="43" t="str">
        <f>IFERROR(VLOOKUP(IGA_BD[[#This Row],[Affected Feeder ]],'Basic Data'!$A$42:$E$53,3,0),"")</f>
        <v/>
      </c>
      <c r="J1150" s="43" t="str">
        <f>IFERROR(VLOOKUP(IGA_BD[[#This Row],[Affected Feeder ]],'Basic Data'!$A$42:$E$53,5,0),"")</f>
        <v/>
      </c>
      <c r="K1150" s="164"/>
      <c r="L1150" s="50"/>
      <c r="M1150" s="116"/>
      <c r="N1150" s="116"/>
      <c r="O1150" s="57">
        <f>(IGA_BD[[#This Row],[Work Start TimeStamp]]-IGA_BD[[#This Row],[Fault Start TimeStamp]])*24</f>
        <v>0</v>
      </c>
      <c r="P1150" s="44" t="str">
        <f>IF(IGA_BD[[#This Row],[Work Start TimeStamp]]="","",(IGA_BD[[#This Row],[Fault Clearance time]]-IGA_BD[[#This Row],[Work Start TimeStamp]])*24)</f>
        <v/>
      </c>
      <c r="Q1150" s="57">
        <f>(IGA_BD[[#This Row],[Fault Clearance time]]-IGA_BD[[#This Row],[Fault Start TimeStamp]])*24</f>
        <v>0</v>
      </c>
      <c r="R1150" s="153"/>
      <c r="S1150" s="44"/>
      <c r="T1150" s="45" t="str">
        <f>IFERROR(IGA_BD[[#This Row],[Breakdown Time]]*IGA_BD[[#This Row],[Plant Equivalent Weightage]],"")</f>
        <v/>
      </c>
    </row>
    <row r="1151" spans="1:20">
      <c r="A1151" s="28"/>
      <c r="B1151" s="154"/>
      <c r="C1151" s="30" t="e">
        <f>YEAR(WTG_BD[[#This Row],[Date]])+IF(MONTH(WTG_BD[[#This Row],[Date]])&gt;=4,1,0)</f>
        <v>#VALUE!</v>
      </c>
      <c r="D1151" s="31">
        <f>YEAR(IGA_BD[[#This Row],[Date]])</f>
        <v>1900</v>
      </c>
      <c r="E1151" s="48">
        <f t="shared" si="20"/>
        <v>1</v>
      </c>
      <c r="F1151" s="32"/>
      <c r="G1151" s="33"/>
      <c r="H1151" s="43" t="str">
        <f>IFERROR(VLOOKUP(IGA_BD[[#This Row],[Affected Feeder ]],'Basic Data'!$A$42:$E$53,2,0),"")</f>
        <v/>
      </c>
      <c r="I1151" s="43" t="str">
        <f>IFERROR(VLOOKUP(IGA_BD[[#This Row],[Affected Feeder ]],'Basic Data'!$A$42:$E$53,3,0),"")</f>
        <v/>
      </c>
      <c r="J1151" s="43" t="str">
        <f>IFERROR(VLOOKUP(IGA_BD[[#This Row],[Affected Feeder ]],'Basic Data'!$A$42:$E$53,5,0),"")</f>
        <v/>
      </c>
      <c r="K1151" s="164"/>
      <c r="L1151" s="50"/>
      <c r="M1151" s="116"/>
      <c r="N1151" s="116"/>
      <c r="O1151" s="57">
        <f>(IGA_BD[[#This Row],[Work Start TimeStamp]]-IGA_BD[[#This Row],[Fault Start TimeStamp]])*24</f>
        <v>0</v>
      </c>
      <c r="P1151" s="44" t="str">
        <f>IF(IGA_BD[[#This Row],[Work Start TimeStamp]]="","",(IGA_BD[[#This Row],[Fault Clearance time]]-IGA_BD[[#This Row],[Work Start TimeStamp]])*24)</f>
        <v/>
      </c>
      <c r="Q1151" s="57">
        <f>(IGA_BD[[#This Row],[Fault Clearance time]]-IGA_BD[[#This Row],[Fault Start TimeStamp]])*24</f>
        <v>0</v>
      </c>
      <c r="R1151" s="153"/>
      <c r="S1151" s="44"/>
      <c r="T1151" s="45" t="str">
        <f>IFERROR(IGA_BD[[#This Row],[Breakdown Time]]*IGA_BD[[#This Row],[Plant Equivalent Weightage]],"")</f>
        <v/>
      </c>
    </row>
    <row r="1152" spans="1:20">
      <c r="A1152" s="28"/>
      <c r="B1152" s="154"/>
      <c r="C1152" s="30" t="e">
        <f>YEAR(WTG_BD[[#This Row],[Date]])+IF(MONTH(WTG_BD[[#This Row],[Date]])&gt;=4,1,0)</f>
        <v>#VALUE!</v>
      </c>
      <c r="D1152" s="31">
        <f>YEAR(IGA_BD[[#This Row],[Date]])</f>
        <v>1900</v>
      </c>
      <c r="E1152" s="48">
        <f t="shared" si="20"/>
        <v>1</v>
      </c>
      <c r="F1152" s="32"/>
      <c r="G1152" s="33"/>
      <c r="H1152" s="43" t="str">
        <f>IFERROR(VLOOKUP(IGA_BD[[#This Row],[Affected Feeder ]],'Basic Data'!$A$42:$E$53,2,0),"")</f>
        <v/>
      </c>
      <c r="I1152" s="43" t="str">
        <f>IFERROR(VLOOKUP(IGA_BD[[#This Row],[Affected Feeder ]],'Basic Data'!$A$42:$E$53,3,0),"")</f>
        <v/>
      </c>
      <c r="J1152" s="43" t="str">
        <f>IFERROR(VLOOKUP(IGA_BD[[#This Row],[Affected Feeder ]],'Basic Data'!$A$42:$E$53,5,0),"")</f>
        <v/>
      </c>
      <c r="K1152" s="164"/>
      <c r="L1152" s="50"/>
      <c r="M1152" s="116"/>
      <c r="N1152" s="116"/>
      <c r="O1152" s="57">
        <f>(IGA_BD[[#This Row],[Work Start TimeStamp]]-IGA_BD[[#This Row],[Fault Start TimeStamp]])*24</f>
        <v>0</v>
      </c>
      <c r="P1152" s="44" t="str">
        <f>IF(IGA_BD[[#This Row],[Work Start TimeStamp]]="","",(IGA_BD[[#This Row],[Fault Clearance time]]-IGA_BD[[#This Row],[Work Start TimeStamp]])*24)</f>
        <v/>
      </c>
      <c r="Q1152" s="57">
        <f>(IGA_BD[[#This Row],[Fault Clearance time]]-IGA_BD[[#This Row],[Fault Start TimeStamp]])*24</f>
        <v>0</v>
      </c>
      <c r="R1152" s="153"/>
      <c r="S1152" s="44"/>
      <c r="T1152" s="45" t="str">
        <f>IFERROR(IGA_BD[[#This Row],[Breakdown Time]]*IGA_BD[[#This Row],[Plant Equivalent Weightage]],"")</f>
        <v/>
      </c>
    </row>
    <row r="1153" spans="1:20">
      <c r="A1153" s="28"/>
      <c r="B1153" s="154"/>
      <c r="C1153" s="30" t="e">
        <f>YEAR(WTG_BD[[#This Row],[Date]])+IF(MONTH(WTG_BD[[#This Row],[Date]])&gt;=4,1,0)</f>
        <v>#VALUE!</v>
      </c>
      <c r="D1153" s="31">
        <f>YEAR(IGA_BD[[#This Row],[Date]])</f>
        <v>1900</v>
      </c>
      <c r="E1153" s="48">
        <f t="shared" si="20"/>
        <v>1</v>
      </c>
      <c r="F1153" s="32"/>
      <c r="G1153" s="33"/>
      <c r="H1153" s="43" t="str">
        <f>IFERROR(VLOOKUP(IGA_BD[[#This Row],[Affected Feeder ]],'Basic Data'!$A$42:$E$53,2,0),"")</f>
        <v/>
      </c>
      <c r="I1153" s="43" t="str">
        <f>IFERROR(VLOOKUP(IGA_BD[[#This Row],[Affected Feeder ]],'Basic Data'!$A$42:$E$53,3,0),"")</f>
        <v/>
      </c>
      <c r="J1153" s="43" t="str">
        <f>IFERROR(VLOOKUP(IGA_BD[[#This Row],[Affected Feeder ]],'Basic Data'!$A$42:$E$53,5,0),"")</f>
        <v/>
      </c>
      <c r="K1153" s="164"/>
      <c r="L1153" s="50"/>
      <c r="M1153" s="116"/>
      <c r="N1153" s="116"/>
      <c r="O1153" s="57">
        <f>(IGA_BD[[#This Row],[Work Start TimeStamp]]-IGA_BD[[#This Row],[Fault Start TimeStamp]])*24</f>
        <v>0</v>
      </c>
      <c r="P1153" s="44" t="str">
        <f>IF(IGA_BD[[#This Row],[Work Start TimeStamp]]="","",(IGA_BD[[#This Row],[Fault Clearance time]]-IGA_BD[[#This Row],[Work Start TimeStamp]])*24)</f>
        <v/>
      </c>
      <c r="Q1153" s="57">
        <f>(IGA_BD[[#This Row],[Fault Clearance time]]-IGA_BD[[#This Row],[Fault Start TimeStamp]])*24</f>
        <v>0</v>
      </c>
      <c r="R1153" s="153"/>
      <c r="S1153" s="44"/>
      <c r="T1153" s="45" t="str">
        <f>IFERROR(IGA_BD[[#This Row],[Breakdown Time]]*IGA_BD[[#This Row],[Plant Equivalent Weightage]],"")</f>
        <v/>
      </c>
    </row>
    <row r="1154" spans="1:20">
      <c r="A1154" s="28"/>
      <c r="B1154" s="154"/>
      <c r="C1154" s="30" t="e">
        <f>YEAR(WTG_BD[[#This Row],[Date]])+IF(MONTH(WTG_BD[[#This Row],[Date]])&gt;=4,1,0)</f>
        <v>#VALUE!</v>
      </c>
      <c r="D1154" s="31">
        <f>YEAR(IGA_BD[[#This Row],[Date]])</f>
        <v>1900</v>
      </c>
      <c r="E1154" s="48">
        <f t="shared" si="20"/>
        <v>1</v>
      </c>
      <c r="F1154" s="32"/>
      <c r="G1154" s="33"/>
      <c r="H1154" s="43" t="str">
        <f>IFERROR(VLOOKUP(IGA_BD[[#This Row],[Affected Feeder ]],'Basic Data'!$A$42:$E$53,2,0),"")</f>
        <v/>
      </c>
      <c r="I1154" s="43" t="str">
        <f>IFERROR(VLOOKUP(IGA_BD[[#This Row],[Affected Feeder ]],'Basic Data'!$A$42:$E$53,3,0),"")</f>
        <v/>
      </c>
      <c r="J1154" s="43" t="str">
        <f>IFERROR(VLOOKUP(IGA_BD[[#This Row],[Affected Feeder ]],'Basic Data'!$A$42:$E$53,5,0),"")</f>
        <v/>
      </c>
      <c r="K1154" s="164"/>
      <c r="L1154" s="50"/>
      <c r="M1154" s="116"/>
      <c r="N1154" s="116"/>
      <c r="O1154" s="57">
        <f>(IGA_BD[[#This Row],[Work Start TimeStamp]]-IGA_BD[[#This Row],[Fault Start TimeStamp]])*24</f>
        <v>0</v>
      </c>
      <c r="P1154" s="44" t="str">
        <f>IF(IGA_BD[[#This Row],[Work Start TimeStamp]]="","",(IGA_BD[[#This Row],[Fault Clearance time]]-IGA_BD[[#This Row],[Work Start TimeStamp]])*24)</f>
        <v/>
      </c>
      <c r="Q1154" s="57">
        <f>(IGA_BD[[#This Row],[Fault Clearance time]]-IGA_BD[[#This Row],[Fault Start TimeStamp]])*24</f>
        <v>0</v>
      </c>
      <c r="R1154" s="153"/>
      <c r="S1154" s="44"/>
      <c r="T1154" s="45" t="str">
        <f>IFERROR(IGA_BD[[#This Row],[Breakdown Time]]*IGA_BD[[#This Row],[Plant Equivalent Weightage]],"")</f>
        <v/>
      </c>
    </row>
    <row r="1155" spans="1:20">
      <c r="A1155" s="28"/>
      <c r="B1155" s="154"/>
      <c r="C1155" s="30" t="e">
        <f>YEAR(WTG_BD[[#This Row],[Date]])+IF(MONTH(WTG_BD[[#This Row],[Date]])&gt;=4,1,0)</f>
        <v>#VALUE!</v>
      </c>
      <c r="D1155" s="31">
        <f>YEAR(IGA_BD[[#This Row],[Date]])</f>
        <v>1900</v>
      </c>
      <c r="E1155" s="48">
        <f t="shared" si="20"/>
        <v>1</v>
      </c>
      <c r="F1155" s="32"/>
      <c r="G1155" s="33"/>
      <c r="H1155" s="43" t="str">
        <f>IFERROR(VLOOKUP(IGA_BD[[#This Row],[Affected Feeder ]],'Basic Data'!$A$42:$E$53,2,0),"")</f>
        <v/>
      </c>
      <c r="I1155" s="43" t="str">
        <f>IFERROR(VLOOKUP(IGA_BD[[#This Row],[Affected Feeder ]],'Basic Data'!$A$42:$E$53,3,0),"")</f>
        <v/>
      </c>
      <c r="J1155" s="43" t="str">
        <f>IFERROR(VLOOKUP(IGA_BD[[#This Row],[Affected Feeder ]],'Basic Data'!$A$42:$E$53,5,0),"")</f>
        <v/>
      </c>
      <c r="K1155" s="164"/>
      <c r="L1155" s="50"/>
      <c r="M1155" s="116"/>
      <c r="N1155" s="116"/>
      <c r="O1155" s="57">
        <f>(IGA_BD[[#This Row],[Work Start TimeStamp]]-IGA_BD[[#This Row],[Fault Start TimeStamp]])*24</f>
        <v>0</v>
      </c>
      <c r="P1155" s="44" t="str">
        <f>IF(IGA_BD[[#This Row],[Work Start TimeStamp]]="","",(IGA_BD[[#This Row],[Fault Clearance time]]-IGA_BD[[#This Row],[Work Start TimeStamp]])*24)</f>
        <v/>
      </c>
      <c r="Q1155" s="57">
        <f>(IGA_BD[[#This Row],[Fault Clearance time]]-IGA_BD[[#This Row],[Fault Start TimeStamp]])*24</f>
        <v>0</v>
      </c>
      <c r="R1155" s="153"/>
      <c r="S1155" s="44"/>
      <c r="T1155" s="45" t="str">
        <f>IFERROR(IGA_BD[[#This Row],[Breakdown Time]]*IGA_BD[[#This Row],[Plant Equivalent Weightage]],"")</f>
        <v/>
      </c>
    </row>
    <row r="1156" spans="1:20">
      <c r="A1156" s="28"/>
      <c r="B1156" s="154"/>
      <c r="C1156" s="30" t="e">
        <f>YEAR(WTG_BD[[#This Row],[Date]])+IF(MONTH(WTG_BD[[#This Row],[Date]])&gt;=4,1,0)</f>
        <v>#VALUE!</v>
      </c>
      <c r="D1156" s="31">
        <f>YEAR(IGA_BD[[#This Row],[Date]])</f>
        <v>1900</v>
      </c>
      <c r="E1156" s="48">
        <f t="shared" si="20"/>
        <v>1</v>
      </c>
      <c r="F1156" s="32"/>
      <c r="G1156" s="33"/>
      <c r="H1156" s="43" t="str">
        <f>IFERROR(VLOOKUP(IGA_BD[[#This Row],[Affected Feeder ]],'Basic Data'!$A$42:$E$53,2,0),"")</f>
        <v/>
      </c>
      <c r="I1156" s="43" t="str">
        <f>IFERROR(VLOOKUP(IGA_BD[[#This Row],[Affected Feeder ]],'Basic Data'!$A$42:$E$53,3,0),"")</f>
        <v/>
      </c>
      <c r="J1156" s="43" t="str">
        <f>IFERROR(VLOOKUP(IGA_BD[[#This Row],[Affected Feeder ]],'Basic Data'!$A$42:$E$53,5,0),"")</f>
        <v/>
      </c>
      <c r="K1156" s="164"/>
      <c r="L1156" s="50"/>
      <c r="M1156" s="116"/>
      <c r="N1156" s="116"/>
      <c r="O1156" s="57">
        <f>(IGA_BD[[#This Row],[Work Start TimeStamp]]-IGA_BD[[#This Row],[Fault Start TimeStamp]])*24</f>
        <v>0</v>
      </c>
      <c r="P1156" s="44" t="str">
        <f>IF(IGA_BD[[#This Row],[Work Start TimeStamp]]="","",(IGA_BD[[#This Row],[Fault Clearance time]]-IGA_BD[[#This Row],[Work Start TimeStamp]])*24)</f>
        <v/>
      </c>
      <c r="Q1156" s="57">
        <f>(IGA_BD[[#This Row],[Fault Clearance time]]-IGA_BD[[#This Row],[Fault Start TimeStamp]])*24</f>
        <v>0</v>
      </c>
      <c r="R1156" s="153"/>
      <c r="S1156" s="44"/>
      <c r="T1156" s="45" t="str">
        <f>IFERROR(IGA_BD[[#This Row],[Breakdown Time]]*IGA_BD[[#This Row],[Plant Equivalent Weightage]],"")</f>
        <v/>
      </c>
    </row>
    <row r="1157" spans="1:20">
      <c r="A1157" s="28"/>
      <c r="B1157" s="154"/>
      <c r="C1157" s="30" t="e">
        <f>YEAR(WTG_BD[[#This Row],[Date]])+IF(MONTH(WTG_BD[[#This Row],[Date]])&gt;=4,1,0)</f>
        <v>#VALUE!</v>
      </c>
      <c r="D1157" s="31">
        <f>YEAR(IGA_BD[[#This Row],[Date]])</f>
        <v>1900</v>
      </c>
      <c r="E1157" s="48">
        <f t="shared" si="20"/>
        <v>1</v>
      </c>
      <c r="F1157" s="32"/>
      <c r="G1157" s="33"/>
      <c r="H1157" s="43" t="str">
        <f>IFERROR(VLOOKUP(IGA_BD[[#This Row],[Affected Feeder ]],'Basic Data'!$A$42:$E$53,2,0),"")</f>
        <v/>
      </c>
      <c r="I1157" s="43" t="str">
        <f>IFERROR(VLOOKUP(IGA_BD[[#This Row],[Affected Feeder ]],'Basic Data'!$A$42:$E$53,3,0),"")</f>
        <v/>
      </c>
      <c r="J1157" s="43" t="str">
        <f>IFERROR(VLOOKUP(IGA_BD[[#This Row],[Affected Feeder ]],'Basic Data'!$A$42:$E$53,5,0),"")</f>
        <v/>
      </c>
      <c r="K1157" s="164"/>
      <c r="L1157" s="50"/>
      <c r="M1157" s="116"/>
      <c r="N1157" s="116"/>
      <c r="O1157" s="57">
        <f>(IGA_BD[[#This Row],[Work Start TimeStamp]]-IGA_BD[[#This Row],[Fault Start TimeStamp]])*24</f>
        <v>0</v>
      </c>
      <c r="P1157" s="44" t="str">
        <f>IF(IGA_BD[[#This Row],[Work Start TimeStamp]]="","",(IGA_BD[[#This Row],[Fault Clearance time]]-IGA_BD[[#This Row],[Work Start TimeStamp]])*24)</f>
        <v/>
      </c>
      <c r="Q1157" s="57">
        <f>(IGA_BD[[#This Row],[Fault Clearance time]]-IGA_BD[[#This Row],[Fault Start TimeStamp]])*24</f>
        <v>0</v>
      </c>
      <c r="R1157" s="153"/>
      <c r="S1157" s="44"/>
      <c r="T1157" s="45" t="str">
        <f>IFERROR(IGA_BD[[#This Row],[Breakdown Time]]*IGA_BD[[#This Row],[Plant Equivalent Weightage]],"")</f>
        <v/>
      </c>
    </row>
    <row r="1158" spans="1:20">
      <c r="A1158" s="28"/>
      <c r="B1158" s="154"/>
      <c r="C1158" s="30" t="e">
        <f>YEAR(WTG_BD[[#This Row],[Date]])+IF(MONTH(WTG_BD[[#This Row],[Date]])&gt;=4,1,0)</f>
        <v>#VALUE!</v>
      </c>
      <c r="D1158" s="31">
        <f>YEAR(IGA_BD[[#This Row],[Date]])</f>
        <v>1900</v>
      </c>
      <c r="E1158" s="48">
        <f t="shared" si="20"/>
        <v>1</v>
      </c>
      <c r="F1158" s="32"/>
      <c r="G1158" s="33"/>
      <c r="H1158" s="43" t="str">
        <f>IFERROR(VLOOKUP(IGA_BD[[#This Row],[Affected Feeder ]],'Basic Data'!$A$42:$E$53,2,0),"")</f>
        <v/>
      </c>
      <c r="I1158" s="43" t="str">
        <f>IFERROR(VLOOKUP(IGA_BD[[#This Row],[Affected Feeder ]],'Basic Data'!$A$42:$E$53,3,0),"")</f>
        <v/>
      </c>
      <c r="J1158" s="43" t="str">
        <f>IFERROR(VLOOKUP(IGA_BD[[#This Row],[Affected Feeder ]],'Basic Data'!$A$42:$E$53,5,0),"")</f>
        <v/>
      </c>
      <c r="K1158" s="164"/>
      <c r="L1158" s="50"/>
      <c r="M1158" s="116"/>
      <c r="N1158" s="116"/>
      <c r="O1158" s="57">
        <f>(IGA_BD[[#This Row],[Work Start TimeStamp]]-IGA_BD[[#This Row],[Fault Start TimeStamp]])*24</f>
        <v>0</v>
      </c>
      <c r="P1158" s="44" t="str">
        <f>IF(IGA_BD[[#This Row],[Work Start TimeStamp]]="","",(IGA_BD[[#This Row],[Fault Clearance time]]-IGA_BD[[#This Row],[Work Start TimeStamp]])*24)</f>
        <v/>
      </c>
      <c r="Q1158" s="57">
        <f>(IGA_BD[[#This Row],[Fault Clearance time]]-IGA_BD[[#This Row],[Fault Start TimeStamp]])*24</f>
        <v>0</v>
      </c>
      <c r="R1158" s="153"/>
      <c r="S1158" s="44"/>
      <c r="T1158" s="45" t="str">
        <f>IFERROR(IGA_BD[[#This Row],[Breakdown Time]]*IGA_BD[[#This Row],[Plant Equivalent Weightage]],"")</f>
        <v/>
      </c>
    </row>
    <row r="1159" spans="1:20">
      <c r="A1159" s="28"/>
      <c r="B1159" s="154"/>
      <c r="C1159" s="30" t="e">
        <f>YEAR(WTG_BD[[#This Row],[Date]])+IF(MONTH(WTG_BD[[#This Row],[Date]])&gt;=4,1,0)</f>
        <v>#VALUE!</v>
      </c>
      <c r="D1159" s="31">
        <f>YEAR(IGA_BD[[#This Row],[Date]])</f>
        <v>1900</v>
      </c>
      <c r="E1159" s="48">
        <f t="shared" si="20"/>
        <v>1</v>
      </c>
      <c r="F1159" s="32"/>
      <c r="G1159" s="33"/>
      <c r="H1159" s="43" t="str">
        <f>IFERROR(VLOOKUP(IGA_BD[[#This Row],[Affected Feeder ]],'Basic Data'!$A$42:$E$53,2,0),"")</f>
        <v/>
      </c>
      <c r="I1159" s="43" t="str">
        <f>IFERROR(VLOOKUP(IGA_BD[[#This Row],[Affected Feeder ]],'Basic Data'!$A$42:$E$53,3,0),"")</f>
        <v/>
      </c>
      <c r="J1159" s="43" t="str">
        <f>IFERROR(VLOOKUP(IGA_BD[[#This Row],[Affected Feeder ]],'Basic Data'!$A$42:$E$53,5,0),"")</f>
        <v/>
      </c>
      <c r="K1159" s="164"/>
      <c r="L1159" s="50"/>
      <c r="M1159" s="116"/>
      <c r="N1159" s="116"/>
      <c r="O1159" s="57">
        <f>(IGA_BD[[#This Row],[Work Start TimeStamp]]-IGA_BD[[#This Row],[Fault Start TimeStamp]])*24</f>
        <v>0</v>
      </c>
      <c r="P1159" s="44" t="str">
        <f>IF(IGA_BD[[#This Row],[Work Start TimeStamp]]="","",(IGA_BD[[#This Row],[Fault Clearance time]]-IGA_BD[[#This Row],[Work Start TimeStamp]])*24)</f>
        <v/>
      </c>
      <c r="Q1159" s="57">
        <f>(IGA_BD[[#This Row],[Fault Clearance time]]-IGA_BD[[#This Row],[Fault Start TimeStamp]])*24</f>
        <v>0</v>
      </c>
      <c r="R1159" s="153"/>
      <c r="S1159" s="44"/>
      <c r="T1159" s="45" t="str">
        <f>IFERROR(IGA_BD[[#This Row],[Breakdown Time]]*IGA_BD[[#This Row],[Plant Equivalent Weightage]],"")</f>
        <v/>
      </c>
    </row>
    <row r="1160" spans="1:20">
      <c r="A1160" s="28"/>
      <c r="B1160" s="154"/>
      <c r="C1160" s="30" t="e">
        <f>YEAR(WTG_BD[[#This Row],[Date]])+IF(MONTH(WTG_BD[[#This Row],[Date]])&gt;=4,1,0)</f>
        <v>#VALUE!</v>
      </c>
      <c r="D1160" s="31">
        <f>YEAR(IGA_BD[[#This Row],[Date]])</f>
        <v>1900</v>
      </c>
      <c r="E1160" s="48">
        <f t="shared" si="20"/>
        <v>1</v>
      </c>
      <c r="F1160" s="32"/>
      <c r="G1160" s="33"/>
      <c r="H1160" s="43" t="str">
        <f>IFERROR(VLOOKUP(IGA_BD[[#This Row],[Affected Feeder ]],'Basic Data'!$A$42:$E$53,2,0),"")</f>
        <v/>
      </c>
      <c r="I1160" s="43" t="str">
        <f>IFERROR(VLOOKUP(IGA_BD[[#This Row],[Affected Feeder ]],'Basic Data'!$A$42:$E$53,3,0),"")</f>
        <v/>
      </c>
      <c r="J1160" s="43" t="str">
        <f>IFERROR(VLOOKUP(IGA_BD[[#This Row],[Affected Feeder ]],'Basic Data'!$A$42:$E$53,5,0),"")</f>
        <v/>
      </c>
      <c r="K1160" s="164"/>
      <c r="L1160" s="50"/>
      <c r="M1160" s="116"/>
      <c r="N1160" s="116"/>
      <c r="O1160" s="57">
        <f>(IGA_BD[[#This Row],[Work Start TimeStamp]]-IGA_BD[[#This Row],[Fault Start TimeStamp]])*24</f>
        <v>0</v>
      </c>
      <c r="P1160" s="44" t="str">
        <f>IF(IGA_BD[[#This Row],[Work Start TimeStamp]]="","",(IGA_BD[[#This Row],[Fault Clearance time]]-IGA_BD[[#This Row],[Work Start TimeStamp]])*24)</f>
        <v/>
      </c>
      <c r="Q1160" s="57">
        <f>(IGA_BD[[#This Row],[Fault Clearance time]]-IGA_BD[[#This Row],[Fault Start TimeStamp]])*24</f>
        <v>0</v>
      </c>
      <c r="R1160" s="153"/>
      <c r="S1160" s="44"/>
      <c r="T1160" s="45" t="str">
        <f>IFERROR(IGA_BD[[#This Row],[Breakdown Time]]*IGA_BD[[#This Row],[Plant Equivalent Weightage]],"")</f>
        <v/>
      </c>
    </row>
    <row r="1161" spans="1:20">
      <c r="A1161" s="28"/>
      <c r="B1161" s="154"/>
      <c r="C1161" s="30" t="e">
        <f>YEAR(WTG_BD[[#This Row],[Date]])+IF(MONTH(WTG_BD[[#This Row],[Date]])&gt;=4,1,0)</f>
        <v>#VALUE!</v>
      </c>
      <c r="D1161" s="31">
        <f>YEAR(IGA_BD[[#This Row],[Date]])</f>
        <v>1900</v>
      </c>
      <c r="E1161" s="48">
        <f t="shared" si="20"/>
        <v>1</v>
      </c>
      <c r="F1161" s="32"/>
      <c r="G1161" s="33"/>
      <c r="H1161" s="43" t="str">
        <f>IFERROR(VLOOKUP(IGA_BD[[#This Row],[Affected Feeder ]],'Basic Data'!$A$42:$E$53,2,0),"")</f>
        <v/>
      </c>
      <c r="I1161" s="43" t="str">
        <f>IFERROR(VLOOKUP(IGA_BD[[#This Row],[Affected Feeder ]],'Basic Data'!$A$42:$E$53,3,0),"")</f>
        <v/>
      </c>
      <c r="J1161" s="43" t="str">
        <f>IFERROR(VLOOKUP(IGA_BD[[#This Row],[Affected Feeder ]],'Basic Data'!$A$42:$E$53,5,0),"")</f>
        <v/>
      </c>
      <c r="K1161" s="164"/>
      <c r="L1161" s="50"/>
      <c r="M1161" s="116"/>
      <c r="N1161" s="116"/>
      <c r="O1161" s="57">
        <f>(IGA_BD[[#This Row],[Work Start TimeStamp]]-IGA_BD[[#This Row],[Fault Start TimeStamp]])*24</f>
        <v>0</v>
      </c>
      <c r="P1161" s="44" t="str">
        <f>IF(IGA_BD[[#This Row],[Work Start TimeStamp]]="","",(IGA_BD[[#This Row],[Fault Clearance time]]-IGA_BD[[#This Row],[Work Start TimeStamp]])*24)</f>
        <v/>
      </c>
      <c r="Q1161" s="57">
        <f>(IGA_BD[[#This Row],[Fault Clearance time]]-IGA_BD[[#This Row],[Fault Start TimeStamp]])*24</f>
        <v>0</v>
      </c>
      <c r="R1161" s="153"/>
      <c r="S1161" s="44"/>
      <c r="T1161" s="45" t="str">
        <f>IFERROR(IGA_BD[[#This Row],[Breakdown Time]]*IGA_BD[[#This Row],[Plant Equivalent Weightage]],"")</f>
        <v/>
      </c>
    </row>
    <row r="1162" spans="1:20">
      <c r="A1162" s="28"/>
      <c r="B1162" s="154"/>
      <c r="C1162" s="30" t="e">
        <f>YEAR(WTG_BD[[#This Row],[Date]])+IF(MONTH(WTG_BD[[#This Row],[Date]])&gt;=4,1,0)</f>
        <v>#VALUE!</v>
      </c>
      <c r="D1162" s="31">
        <f>YEAR(IGA_BD[[#This Row],[Date]])</f>
        <v>1900</v>
      </c>
      <c r="E1162" s="48">
        <f t="shared" si="20"/>
        <v>1</v>
      </c>
      <c r="F1162" s="32"/>
      <c r="G1162" s="33"/>
      <c r="H1162" s="43" t="str">
        <f>IFERROR(VLOOKUP(IGA_BD[[#This Row],[Affected Feeder ]],'Basic Data'!$A$42:$E$53,2,0),"")</f>
        <v/>
      </c>
      <c r="I1162" s="43" t="str">
        <f>IFERROR(VLOOKUP(IGA_BD[[#This Row],[Affected Feeder ]],'Basic Data'!$A$42:$E$53,3,0),"")</f>
        <v/>
      </c>
      <c r="J1162" s="43" t="str">
        <f>IFERROR(VLOOKUP(IGA_BD[[#This Row],[Affected Feeder ]],'Basic Data'!$A$42:$E$53,5,0),"")</f>
        <v/>
      </c>
      <c r="K1162" s="164"/>
      <c r="L1162" s="50"/>
      <c r="M1162" s="116"/>
      <c r="N1162" s="116"/>
      <c r="O1162" s="57">
        <f>(IGA_BD[[#This Row],[Work Start TimeStamp]]-IGA_BD[[#This Row],[Fault Start TimeStamp]])*24</f>
        <v>0</v>
      </c>
      <c r="P1162" s="44" t="str">
        <f>IF(IGA_BD[[#This Row],[Work Start TimeStamp]]="","",(IGA_BD[[#This Row],[Fault Clearance time]]-IGA_BD[[#This Row],[Work Start TimeStamp]])*24)</f>
        <v/>
      </c>
      <c r="Q1162" s="57">
        <f>(IGA_BD[[#This Row],[Fault Clearance time]]-IGA_BD[[#This Row],[Fault Start TimeStamp]])*24</f>
        <v>0</v>
      </c>
      <c r="R1162" s="153"/>
      <c r="S1162" s="44"/>
      <c r="T1162" s="45" t="str">
        <f>IFERROR(IGA_BD[[#This Row],[Breakdown Time]]*IGA_BD[[#This Row],[Plant Equivalent Weightage]],"")</f>
        <v/>
      </c>
    </row>
    <row r="1163" spans="1:20">
      <c r="A1163" s="28"/>
      <c r="B1163" s="154"/>
      <c r="C1163" s="30" t="e">
        <f>YEAR(WTG_BD[[#This Row],[Date]])+IF(MONTH(WTG_BD[[#This Row],[Date]])&gt;=4,1,0)</f>
        <v>#VALUE!</v>
      </c>
      <c r="D1163" s="31">
        <f>YEAR(IGA_BD[[#This Row],[Date]])</f>
        <v>1900</v>
      </c>
      <c r="E1163" s="48">
        <f t="shared" si="20"/>
        <v>1</v>
      </c>
      <c r="F1163" s="32"/>
      <c r="G1163" s="33"/>
      <c r="H1163" s="43" t="str">
        <f>IFERROR(VLOOKUP(IGA_BD[[#This Row],[Affected Feeder ]],'Basic Data'!$A$42:$E$53,2,0),"")</f>
        <v/>
      </c>
      <c r="I1163" s="43" t="str">
        <f>IFERROR(VLOOKUP(IGA_BD[[#This Row],[Affected Feeder ]],'Basic Data'!$A$42:$E$53,3,0),"")</f>
        <v/>
      </c>
      <c r="J1163" s="43" t="str">
        <f>IFERROR(VLOOKUP(IGA_BD[[#This Row],[Affected Feeder ]],'Basic Data'!$A$42:$E$53,5,0),"")</f>
        <v/>
      </c>
      <c r="K1163" s="164"/>
      <c r="L1163" s="50"/>
      <c r="M1163" s="116"/>
      <c r="N1163" s="116"/>
      <c r="O1163" s="57">
        <f>(IGA_BD[[#This Row],[Work Start TimeStamp]]-IGA_BD[[#This Row],[Fault Start TimeStamp]])*24</f>
        <v>0</v>
      </c>
      <c r="P1163" s="44" t="str">
        <f>IF(IGA_BD[[#This Row],[Work Start TimeStamp]]="","",(IGA_BD[[#This Row],[Fault Clearance time]]-IGA_BD[[#This Row],[Work Start TimeStamp]])*24)</f>
        <v/>
      </c>
      <c r="Q1163" s="57">
        <f>(IGA_BD[[#This Row],[Fault Clearance time]]-IGA_BD[[#This Row],[Fault Start TimeStamp]])*24</f>
        <v>0</v>
      </c>
      <c r="R1163" s="153"/>
      <c r="S1163" s="44"/>
      <c r="T1163" s="45" t="str">
        <f>IFERROR(IGA_BD[[#This Row],[Breakdown Time]]*IGA_BD[[#This Row],[Plant Equivalent Weightage]],"")</f>
        <v/>
      </c>
    </row>
    <row r="1164" spans="1:20">
      <c r="A1164" s="28"/>
      <c r="B1164" s="154"/>
      <c r="C1164" s="30" t="e">
        <f>YEAR(WTG_BD[[#This Row],[Date]])+IF(MONTH(WTG_BD[[#This Row],[Date]])&gt;=4,1,0)</f>
        <v>#VALUE!</v>
      </c>
      <c r="D1164" s="31">
        <f>YEAR(IGA_BD[[#This Row],[Date]])</f>
        <v>1900</v>
      </c>
      <c r="E1164" s="48">
        <f t="shared" si="20"/>
        <v>1</v>
      </c>
      <c r="F1164" s="32"/>
      <c r="G1164" s="33"/>
      <c r="H1164" s="43" t="str">
        <f>IFERROR(VLOOKUP(IGA_BD[[#This Row],[Affected Feeder ]],'Basic Data'!$A$42:$E$53,2,0),"")</f>
        <v/>
      </c>
      <c r="I1164" s="43" t="str">
        <f>IFERROR(VLOOKUP(IGA_BD[[#This Row],[Affected Feeder ]],'Basic Data'!$A$42:$E$53,3,0),"")</f>
        <v/>
      </c>
      <c r="J1164" s="43" t="str">
        <f>IFERROR(VLOOKUP(IGA_BD[[#This Row],[Affected Feeder ]],'Basic Data'!$A$42:$E$53,5,0),"")</f>
        <v/>
      </c>
      <c r="K1164" s="164"/>
      <c r="L1164" s="50"/>
      <c r="M1164" s="116"/>
      <c r="N1164" s="116"/>
      <c r="O1164" s="57">
        <f>(IGA_BD[[#This Row],[Work Start TimeStamp]]-IGA_BD[[#This Row],[Fault Start TimeStamp]])*24</f>
        <v>0</v>
      </c>
      <c r="P1164" s="44" t="str">
        <f>IF(IGA_BD[[#This Row],[Work Start TimeStamp]]="","",(IGA_BD[[#This Row],[Fault Clearance time]]-IGA_BD[[#This Row],[Work Start TimeStamp]])*24)</f>
        <v/>
      </c>
      <c r="Q1164" s="57">
        <f>(IGA_BD[[#This Row],[Fault Clearance time]]-IGA_BD[[#This Row],[Fault Start TimeStamp]])*24</f>
        <v>0</v>
      </c>
      <c r="R1164" s="153"/>
      <c r="S1164" s="44"/>
      <c r="T1164" s="45" t="str">
        <f>IFERROR(IGA_BD[[#This Row],[Breakdown Time]]*IGA_BD[[#This Row],[Plant Equivalent Weightage]],"")</f>
        <v/>
      </c>
    </row>
    <row r="1165" spans="1:20">
      <c r="A1165" s="28"/>
      <c r="B1165" s="154"/>
      <c r="C1165" s="30" t="e">
        <f>YEAR(WTG_BD[[#This Row],[Date]])+IF(MONTH(WTG_BD[[#This Row],[Date]])&gt;=4,1,0)</f>
        <v>#VALUE!</v>
      </c>
      <c r="D1165" s="31">
        <f>YEAR(IGA_BD[[#This Row],[Date]])</f>
        <v>1900</v>
      </c>
      <c r="E1165" s="48">
        <f t="shared" si="20"/>
        <v>1</v>
      </c>
      <c r="F1165" s="32"/>
      <c r="G1165" s="33"/>
      <c r="H1165" s="43" t="str">
        <f>IFERROR(VLOOKUP(IGA_BD[[#This Row],[Affected Feeder ]],'Basic Data'!$A$42:$E$53,2,0),"")</f>
        <v/>
      </c>
      <c r="I1165" s="43" t="str">
        <f>IFERROR(VLOOKUP(IGA_BD[[#This Row],[Affected Feeder ]],'Basic Data'!$A$42:$E$53,3,0),"")</f>
        <v/>
      </c>
      <c r="J1165" s="43" t="str">
        <f>IFERROR(VLOOKUP(IGA_BD[[#This Row],[Affected Feeder ]],'Basic Data'!$A$42:$E$53,5,0),"")</f>
        <v/>
      </c>
      <c r="K1165" s="164"/>
      <c r="L1165" s="50"/>
      <c r="M1165" s="116"/>
      <c r="N1165" s="116"/>
      <c r="O1165" s="57">
        <f>(IGA_BD[[#This Row],[Work Start TimeStamp]]-IGA_BD[[#This Row],[Fault Start TimeStamp]])*24</f>
        <v>0</v>
      </c>
      <c r="P1165" s="44" t="str">
        <f>IF(IGA_BD[[#This Row],[Work Start TimeStamp]]="","",(IGA_BD[[#This Row],[Fault Clearance time]]-IGA_BD[[#This Row],[Work Start TimeStamp]])*24)</f>
        <v/>
      </c>
      <c r="Q1165" s="57">
        <f>(IGA_BD[[#This Row],[Fault Clearance time]]-IGA_BD[[#This Row],[Fault Start TimeStamp]])*24</f>
        <v>0</v>
      </c>
      <c r="R1165" s="153"/>
      <c r="S1165" s="44"/>
      <c r="T1165" s="45" t="str">
        <f>IFERROR(IGA_BD[[#This Row],[Breakdown Time]]*IGA_BD[[#This Row],[Plant Equivalent Weightage]],"")</f>
        <v/>
      </c>
    </row>
    <row r="1166" spans="1:20">
      <c r="A1166" s="28"/>
      <c r="B1166" s="154"/>
      <c r="C1166" s="30" t="e">
        <f>YEAR(WTG_BD[[#This Row],[Date]])+IF(MONTH(WTG_BD[[#This Row],[Date]])&gt;=4,1,0)</f>
        <v>#VALUE!</v>
      </c>
      <c r="D1166" s="31">
        <f>YEAR(IGA_BD[[#This Row],[Date]])</f>
        <v>1900</v>
      </c>
      <c r="E1166" s="48">
        <f t="shared" si="20"/>
        <v>1</v>
      </c>
      <c r="F1166" s="32"/>
      <c r="G1166" s="33"/>
      <c r="H1166" s="43" t="str">
        <f>IFERROR(VLOOKUP(IGA_BD[[#This Row],[Affected Feeder ]],'Basic Data'!$A$42:$E$53,2,0),"")</f>
        <v/>
      </c>
      <c r="I1166" s="43" t="str">
        <f>IFERROR(VLOOKUP(IGA_BD[[#This Row],[Affected Feeder ]],'Basic Data'!$A$42:$E$53,3,0),"")</f>
        <v/>
      </c>
      <c r="J1166" s="43" t="str">
        <f>IFERROR(VLOOKUP(IGA_BD[[#This Row],[Affected Feeder ]],'Basic Data'!$A$42:$E$53,5,0),"")</f>
        <v/>
      </c>
      <c r="K1166" s="164"/>
      <c r="L1166" s="50"/>
      <c r="M1166" s="116"/>
      <c r="N1166" s="116"/>
      <c r="O1166" s="57">
        <f>(IGA_BD[[#This Row],[Work Start TimeStamp]]-IGA_BD[[#This Row],[Fault Start TimeStamp]])*24</f>
        <v>0</v>
      </c>
      <c r="P1166" s="44" t="str">
        <f>IF(IGA_BD[[#This Row],[Work Start TimeStamp]]="","",(IGA_BD[[#This Row],[Fault Clearance time]]-IGA_BD[[#This Row],[Work Start TimeStamp]])*24)</f>
        <v/>
      </c>
      <c r="Q1166" s="57">
        <f>(IGA_BD[[#This Row],[Fault Clearance time]]-IGA_BD[[#This Row],[Fault Start TimeStamp]])*24</f>
        <v>0</v>
      </c>
      <c r="R1166" s="153"/>
      <c r="S1166" s="44"/>
      <c r="T1166" s="45" t="str">
        <f>IFERROR(IGA_BD[[#This Row],[Breakdown Time]]*IGA_BD[[#This Row],[Plant Equivalent Weightage]],"")</f>
        <v/>
      </c>
    </row>
    <row r="1167" spans="1:20">
      <c r="A1167" s="28"/>
      <c r="B1167" s="154"/>
      <c r="C1167" s="30" t="e">
        <f>YEAR(WTG_BD[[#This Row],[Date]])+IF(MONTH(WTG_BD[[#This Row],[Date]])&gt;=4,1,0)</f>
        <v>#VALUE!</v>
      </c>
      <c r="D1167" s="31">
        <f>YEAR(IGA_BD[[#This Row],[Date]])</f>
        <v>1900</v>
      </c>
      <c r="E1167" s="48">
        <f t="shared" si="20"/>
        <v>1</v>
      </c>
      <c r="F1167" s="32"/>
      <c r="G1167" s="33"/>
      <c r="H1167" s="43" t="str">
        <f>IFERROR(VLOOKUP(IGA_BD[[#This Row],[Affected Feeder ]],'Basic Data'!$A$42:$E$53,2,0),"")</f>
        <v/>
      </c>
      <c r="I1167" s="43" t="str">
        <f>IFERROR(VLOOKUP(IGA_BD[[#This Row],[Affected Feeder ]],'Basic Data'!$A$42:$E$53,3,0),"")</f>
        <v/>
      </c>
      <c r="J1167" s="43" t="str">
        <f>IFERROR(VLOOKUP(IGA_BD[[#This Row],[Affected Feeder ]],'Basic Data'!$A$42:$E$53,5,0),"")</f>
        <v/>
      </c>
      <c r="K1167" s="164"/>
      <c r="L1167" s="50"/>
      <c r="M1167" s="116"/>
      <c r="N1167" s="116"/>
      <c r="O1167" s="57">
        <f>(IGA_BD[[#This Row],[Work Start TimeStamp]]-IGA_BD[[#This Row],[Fault Start TimeStamp]])*24</f>
        <v>0</v>
      </c>
      <c r="P1167" s="44" t="str">
        <f>IF(IGA_BD[[#This Row],[Work Start TimeStamp]]="","",(IGA_BD[[#This Row],[Fault Clearance time]]-IGA_BD[[#This Row],[Work Start TimeStamp]])*24)</f>
        <v/>
      </c>
      <c r="Q1167" s="57">
        <f>(IGA_BD[[#This Row],[Fault Clearance time]]-IGA_BD[[#This Row],[Fault Start TimeStamp]])*24</f>
        <v>0</v>
      </c>
      <c r="R1167" s="153"/>
      <c r="S1167" s="44"/>
      <c r="T1167" s="45" t="str">
        <f>IFERROR(IGA_BD[[#This Row],[Breakdown Time]]*IGA_BD[[#This Row],[Plant Equivalent Weightage]],"")</f>
        <v/>
      </c>
    </row>
    <row r="1168" spans="1:20">
      <c r="A1168" s="28"/>
      <c r="B1168" s="154"/>
      <c r="C1168" s="30" t="e">
        <f>YEAR(WTG_BD[[#This Row],[Date]])+IF(MONTH(WTG_BD[[#This Row],[Date]])&gt;=4,1,0)</f>
        <v>#VALUE!</v>
      </c>
      <c r="D1168" s="31">
        <f>YEAR(IGA_BD[[#This Row],[Date]])</f>
        <v>1900</v>
      </c>
      <c r="E1168" s="48">
        <f t="shared" si="20"/>
        <v>1</v>
      </c>
      <c r="F1168" s="32"/>
      <c r="G1168" s="33"/>
      <c r="H1168" s="43" t="str">
        <f>IFERROR(VLOOKUP(IGA_BD[[#This Row],[Affected Feeder ]],'Basic Data'!$A$42:$E$53,2,0),"")</f>
        <v/>
      </c>
      <c r="I1168" s="43" t="str">
        <f>IFERROR(VLOOKUP(IGA_BD[[#This Row],[Affected Feeder ]],'Basic Data'!$A$42:$E$53,3,0),"")</f>
        <v/>
      </c>
      <c r="J1168" s="43" t="str">
        <f>IFERROR(VLOOKUP(IGA_BD[[#This Row],[Affected Feeder ]],'Basic Data'!$A$42:$E$53,5,0),"")</f>
        <v/>
      </c>
      <c r="K1168" s="164"/>
      <c r="L1168" s="50"/>
      <c r="M1168" s="116"/>
      <c r="N1168" s="116"/>
      <c r="O1168" s="57">
        <f>(IGA_BD[[#This Row],[Work Start TimeStamp]]-IGA_BD[[#This Row],[Fault Start TimeStamp]])*24</f>
        <v>0</v>
      </c>
      <c r="P1168" s="44" t="str">
        <f>IF(IGA_BD[[#This Row],[Work Start TimeStamp]]="","",(IGA_BD[[#This Row],[Fault Clearance time]]-IGA_BD[[#This Row],[Work Start TimeStamp]])*24)</f>
        <v/>
      </c>
      <c r="Q1168" s="57">
        <f>(IGA_BD[[#This Row],[Fault Clearance time]]-IGA_BD[[#This Row],[Fault Start TimeStamp]])*24</f>
        <v>0</v>
      </c>
      <c r="R1168" s="153"/>
      <c r="S1168" s="44"/>
      <c r="T1168" s="45" t="str">
        <f>IFERROR(IGA_BD[[#This Row],[Breakdown Time]]*IGA_BD[[#This Row],[Plant Equivalent Weightage]],"")</f>
        <v/>
      </c>
    </row>
    <row r="1169" spans="1:20">
      <c r="A1169" s="28"/>
      <c r="B1169" s="154"/>
      <c r="C1169" s="30" t="e">
        <f>YEAR(WTG_BD[[#This Row],[Date]])+IF(MONTH(WTG_BD[[#This Row],[Date]])&gt;=4,1,0)</f>
        <v>#VALUE!</v>
      </c>
      <c r="D1169" s="31">
        <f>YEAR(IGA_BD[[#This Row],[Date]])</f>
        <v>1900</v>
      </c>
      <c r="E1169" s="48">
        <f t="shared" si="20"/>
        <v>1</v>
      </c>
      <c r="F1169" s="32"/>
      <c r="G1169" s="33"/>
      <c r="H1169" s="43" t="str">
        <f>IFERROR(VLOOKUP(IGA_BD[[#This Row],[Affected Feeder ]],'Basic Data'!$A$42:$E$53,2,0),"")</f>
        <v/>
      </c>
      <c r="I1169" s="43" t="str">
        <f>IFERROR(VLOOKUP(IGA_BD[[#This Row],[Affected Feeder ]],'Basic Data'!$A$42:$E$53,3,0),"")</f>
        <v/>
      </c>
      <c r="J1169" s="43" t="str">
        <f>IFERROR(VLOOKUP(IGA_BD[[#This Row],[Affected Feeder ]],'Basic Data'!$A$42:$E$53,5,0),"")</f>
        <v/>
      </c>
      <c r="K1169" s="164"/>
      <c r="L1169" s="50"/>
      <c r="M1169" s="116"/>
      <c r="N1169" s="116"/>
      <c r="O1169" s="57">
        <f>(IGA_BD[[#This Row],[Work Start TimeStamp]]-IGA_BD[[#This Row],[Fault Start TimeStamp]])*24</f>
        <v>0</v>
      </c>
      <c r="P1169" s="44" t="str">
        <f>IF(IGA_BD[[#This Row],[Work Start TimeStamp]]="","",(IGA_BD[[#This Row],[Fault Clearance time]]-IGA_BD[[#This Row],[Work Start TimeStamp]])*24)</f>
        <v/>
      </c>
      <c r="Q1169" s="57">
        <f>(IGA_BD[[#This Row],[Fault Clearance time]]-IGA_BD[[#This Row],[Fault Start TimeStamp]])*24</f>
        <v>0</v>
      </c>
      <c r="R1169" s="153"/>
      <c r="S1169" s="44"/>
      <c r="T1169" s="45" t="str">
        <f>IFERROR(IGA_BD[[#This Row],[Breakdown Time]]*IGA_BD[[#This Row],[Plant Equivalent Weightage]],"")</f>
        <v/>
      </c>
    </row>
    <row r="1170" spans="1:20">
      <c r="A1170" s="28"/>
      <c r="B1170" s="154"/>
      <c r="C1170" s="30" t="e">
        <f>YEAR(WTG_BD[[#This Row],[Date]])+IF(MONTH(WTG_BD[[#This Row],[Date]])&gt;=4,1,0)</f>
        <v>#VALUE!</v>
      </c>
      <c r="D1170" s="31">
        <f>YEAR(IGA_BD[[#This Row],[Date]])</f>
        <v>1900</v>
      </c>
      <c r="E1170" s="48">
        <f t="shared" si="20"/>
        <v>1</v>
      </c>
      <c r="F1170" s="32"/>
      <c r="G1170" s="33"/>
      <c r="H1170" s="43" t="str">
        <f>IFERROR(VLOOKUP(IGA_BD[[#This Row],[Affected Feeder ]],'Basic Data'!$A$42:$E$53,2,0),"")</f>
        <v/>
      </c>
      <c r="I1170" s="43" t="str">
        <f>IFERROR(VLOOKUP(IGA_BD[[#This Row],[Affected Feeder ]],'Basic Data'!$A$42:$E$53,3,0),"")</f>
        <v/>
      </c>
      <c r="J1170" s="43" t="str">
        <f>IFERROR(VLOOKUP(IGA_BD[[#This Row],[Affected Feeder ]],'Basic Data'!$A$42:$E$53,5,0),"")</f>
        <v/>
      </c>
      <c r="K1170" s="164"/>
      <c r="L1170" s="50"/>
      <c r="M1170" s="116"/>
      <c r="N1170" s="116"/>
      <c r="O1170" s="57">
        <f>(IGA_BD[[#This Row],[Work Start TimeStamp]]-IGA_BD[[#This Row],[Fault Start TimeStamp]])*24</f>
        <v>0</v>
      </c>
      <c r="P1170" s="44" t="str">
        <f>IF(IGA_BD[[#This Row],[Work Start TimeStamp]]="","",(IGA_BD[[#This Row],[Fault Clearance time]]-IGA_BD[[#This Row],[Work Start TimeStamp]])*24)</f>
        <v/>
      </c>
      <c r="Q1170" s="57">
        <f>(IGA_BD[[#This Row],[Fault Clearance time]]-IGA_BD[[#This Row],[Fault Start TimeStamp]])*24</f>
        <v>0</v>
      </c>
      <c r="R1170" s="153"/>
      <c r="S1170" s="44"/>
      <c r="T1170" s="45" t="str">
        <f>IFERROR(IGA_BD[[#This Row],[Breakdown Time]]*IGA_BD[[#This Row],[Plant Equivalent Weightage]],"")</f>
        <v/>
      </c>
    </row>
    <row r="1171" spans="1:20">
      <c r="A1171" s="28"/>
      <c r="B1171" s="154"/>
      <c r="C1171" s="30" t="e">
        <f>YEAR(WTG_BD[[#This Row],[Date]])+IF(MONTH(WTG_BD[[#This Row],[Date]])&gt;=4,1,0)</f>
        <v>#VALUE!</v>
      </c>
      <c r="D1171" s="31">
        <f>YEAR(IGA_BD[[#This Row],[Date]])</f>
        <v>1900</v>
      </c>
      <c r="E1171" s="48">
        <f t="shared" si="20"/>
        <v>1</v>
      </c>
      <c r="F1171" s="32"/>
      <c r="G1171" s="33"/>
      <c r="H1171" s="43" t="str">
        <f>IFERROR(VLOOKUP(IGA_BD[[#This Row],[Affected Feeder ]],'Basic Data'!$A$42:$E$53,2,0),"")</f>
        <v/>
      </c>
      <c r="I1171" s="43" t="str">
        <f>IFERROR(VLOOKUP(IGA_BD[[#This Row],[Affected Feeder ]],'Basic Data'!$A$42:$E$53,3,0),"")</f>
        <v/>
      </c>
      <c r="J1171" s="43" t="str">
        <f>IFERROR(VLOOKUP(IGA_BD[[#This Row],[Affected Feeder ]],'Basic Data'!$A$42:$E$53,5,0),"")</f>
        <v/>
      </c>
      <c r="K1171" s="164"/>
      <c r="L1171" s="50"/>
      <c r="M1171" s="116"/>
      <c r="N1171" s="116"/>
      <c r="O1171" s="57">
        <f>(IGA_BD[[#This Row],[Work Start TimeStamp]]-IGA_BD[[#This Row],[Fault Start TimeStamp]])*24</f>
        <v>0</v>
      </c>
      <c r="P1171" s="44" t="str">
        <f>IF(IGA_BD[[#This Row],[Work Start TimeStamp]]="","",(IGA_BD[[#This Row],[Fault Clearance time]]-IGA_BD[[#This Row],[Work Start TimeStamp]])*24)</f>
        <v/>
      </c>
      <c r="Q1171" s="57">
        <f>(IGA_BD[[#This Row],[Fault Clearance time]]-IGA_BD[[#This Row],[Fault Start TimeStamp]])*24</f>
        <v>0</v>
      </c>
      <c r="R1171" s="153"/>
      <c r="S1171" s="44"/>
      <c r="T1171" s="45" t="str">
        <f>IFERROR(IGA_BD[[#This Row],[Breakdown Time]]*IGA_BD[[#This Row],[Plant Equivalent Weightage]],"")</f>
        <v/>
      </c>
    </row>
    <row r="1172" spans="1:20">
      <c r="A1172" s="28"/>
      <c r="B1172" s="154"/>
      <c r="C1172" s="30" t="e">
        <f>YEAR(WTG_BD[[#This Row],[Date]])+IF(MONTH(WTG_BD[[#This Row],[Date]])&gt;=4,1,0)</f>
        <v>#VALUE!</v>
      </c>
      <c r="D1172" s="31">
        <f>YEAR(IGA_BD[[#This Row],[Date]])</f>
        <v>1900</v>
      </c>
      <c r="E1172" s="48">
        <f t="shared" si="20"/>
        <v>1</v>
      </c>
      <c r="F1172" s="32"/>
      <c r="G1172" s="33"/>
      <c r="H1172" s="43" t="str">
        <f>IFERROR(VLOOKUP(IGA_BD[[#This Row],[Affected Feeder ]],'Basic Data'!$A$42:$E$53,2,0),"")</f>
        <v/>
      </c>
      <c r="I1172" s="43" t="str">
        <f>IFERROR(VLOOKUP(IGA_BD[[#This Row],[Affected Feeder ]],'Basic Data'!$A$42:$E$53,3,0),"")</f>
        <v/>
      </c>
      <c r="J1172" s="43" t="str">
        <f>IFERROR(VLOOKUP(IGA_BD[[#This Row],[Affected Feeder ]],'Basic Data'!$A$42:$E$53,5,0),"")</f>
        <v/>
      </c>
      <c r="K1172" s="164"/>
      <c r="L1172" s="50"/>
      <c r="M1172" s="116"/>
      <c r="N1172" s="116"/>
      <c r="O1172" s="57">
        <f>(IGA_BD[[#This Row],[Work Start TimeStamp]]-IGA_BD[[#This Row],[Fault Start TimeStamp]])*24</f>
        <v>0</v>
      </c>
      <c r="P1172" s="44" t="str">
        <f>IF(IGA_BD[[#This Row],[Work Start TimeStamp]]="","",(IGA_BD[[#This Row],[Fault Clearance time]]-IGA_BD[[#This Row],[Work Start TimeStamp]])*24)</f>
        <v/>
      </c>
      <c r="Q1172" s="57">
        <f>(IGA_BD[[#This Row],[Fault Clearance time]]-IGA_BD[[#This Row],[Fault Start TimeStamp]])*24</f>
        <v>0</v>
      </c>
      <c r="R1172" s="153"/>
      <c r="S1172" s="44"/>
      <c r="T1172" s="45" t="str">
        <f>IFERROR(IGA_BD[[#This Row],[Breakdown Time]]*IGA_BD[[#This Row],[Plant Equivalent Weightage]],"")</f>
        <v/>
      </c>
    </row>
    <row r="1173" spans="1:20">
      <c r="A1173" s="28"/>
      <c r="B1173" s="154"/>
      <c r="C1173" s="30" t="e">
        <f>YEAR(WTG_BD[[#This Row],[Date]])+IF(MONTH(WTG_BD[[#This Row],[Date]])&gt;=4,1,0)</f>
        <v>#VALUE!</v>
      </c>
      <c r="D1173" s="31">
        <f>YEAR(IGA_BD[[#This Row],[Date]])</f>
        <v>1900</v>
      </c>
      <c r="E1173" s="48">
        <f t="shared" si="20"/>
        <v>1</v>
      </c>
      <c r="F1173" s="32"/>
      <c r="G1173" s="33"/>
      <c r="H1173" s="43" t="str">
        <f>IFERROR(VLOOKUP(IGA_BD[[#This Row],[Affected Feeder ]],'Basic Data'!$A$42:$E$53,2,0),"")</f>
        <v/>
      </c>
      <c r="I1173" s="43" t="str">
        <f>IFERROR(VLOOKUP(IGA_BD[[#This Row],[Affected Feeder ]],'Basic Data'!$A$42:$E$53,3,0),"")</f>
        <v/>
      </c>
      <c r="J1173" s="43" t="str">
        <f>IFERROR(VLOOKUP(IGA_BD[[#This Row],[Affected Feeder ]],'Basic Data'!$A$42:$E$53,5,0),"")</f>
        <v/>
      </c>
      <c r="K1173" s="164"/>
      <c r="L1173" s="50"/>
      <c r="M1173" s="116"/>
      <c r="N1173" s="116"/>
      <c r="O1173" s="57">
        <f>(IGA_BD[[#This Row],[Work Start TimeStamp]]-IGA_BD[[#This Row],[Fault Start TimeStamp]])*24</f>
        <v>0</v>
      </c>
      <c r="P1173" s="44" t="str">
        <f>IF(IGA_BD[[#This Row],[Work Start TimeStamp]]="","",(IGA_BD[[#This Row],[Fault Clearance time]]-IGA_BD[[#This Row],[Work Start TimeStamp]])*24)</f>
        <v/>
      </c>
      <c r="Q1173" s="57">
        <f>(IGA_BD[[#This Row],[Fault Clearance time]]-IGA_BD[[#This Row],[Fault Start TimeStamp]])*24</f>
        <v>0</v>
      </c>
      <c r="R1173" s="153"/>
      <c r="S1173" s="44"/>
      <c r="T1173" s="45" t="str">
        <f>IFERROR(IGA_BD[[#This Row],[Breakdown Time]]*IGA_BD[[#This Row],[Plant Equivalent Weightage]],"")</f>
        <v/>
      </c>
    </row>
    <row r="1174" spans="1:20">
      <c r="A1174" s="28"/>
      <c r="B1174" s="154"/>
      <c r="C1174" s="30" t="e">
        <f>YEAR(WTG_BD[[#This Row],[Date]])+IF(MONTH(WTG_BD[[#This Row],[Date]])&gt;=4,1,0)</f>
        <v>#VALUE!</v>
      </c>
      <c r="D1174" s="31">
        <f>YEAR(IGA_BD[[#This Row],[Date]])</f>
        <v>1900</v>
      </c>
      <c r="E1174" s="48">
        <f t="shared" si="20"/>
        <v>1</v>
      </c>
      <c r="F1174" s="32"/>
      <c r="G1174" s="33"/>
      <c r="H1174" s="43" t="str">
        <f>IFERROR(VLOOKUP(IGA_BD[[#This Row],[Affected Feeder ]],'Basic Data'!$A$42:$E$53,2,0),"")</f>
        <v/>
      </c>
      <c r="I1174" s="43" t="str">
        <f>IFERROR(VLOOKUP(IGA_BD[[#This Row],[Affected Feeder ]],'Basic Data'!$A$42:$E$53,3,0),"")</f>
        <v/>
      </c>
      <c r="J1174" s="43" t="str">
        <f>IFERROR(VLOOKUP(IGA_BD[[#This Row],[Affected Feeder ]],'Basic Data'!$A$42:$E$53,5,0),"")</f>
        <v/>
      </c>
      <c r="K1174" s="164"/>
      <c r="L1174" s="50"/>
      <c r="M1174" s="116"/>
      <c r="N1174" s="116"/>
      <c r="O1174" s="57">
        <f>(IGA_BD[[#This Row],[Work Start TimeStamp]]-IGA_BD[[#This Row],[Fault Start TimeStamp]])*24</f>
        <v>0</v>
      </c>
      <c r="P1174" s="44" t="str">
        <f>IF(IGA_BD[[#This Row],[Work Start TimeStamp]]="","",(IGA_BD[[#This Row],[Fault Clearance time]]-IGA_BD[[#This Row],[Work Start TimeStamp]])*24)</f>
        <v/>
      </c>
      <c r="Q1174" s="57">
        <f>(IGA_BD[[#This Row],[Fault Clearance time]]-IGA_BD[[#This Row],[Fault Start TimeStamp]])*24</f>
        <v>0</v>
      </c>
      <c r="R1174" s="153"/>
      <c r="S1174" s="44"/>
      <c r="T1174" s="45" t="str">
        <f>IFERROR(IGA_BD[[#This Row],[Breakdown Time]]*IGA_BD[[#This Row],[Plant Equivalent Weightage]],"")</f>
        <v/>
      </c>
    </row>
    <row r="1175" spans="1:20">
      <c r="A1175" s="28"/>
      <c r="B1175" s="154"/>
      <c r="C1175" s="30" t="e">
        <f>YEAR(WTG_BD[[#This Row],[Date]])+IF(MONTH(WTG_BD[[#This Row],[Date]])&gt;=4,1,0)</f>
        <v>#VALUE!</v>
      </c>
      <c r="D1175" s="31">
        <f>YEAR(IGA_BD[[#This Row],[Date]])</f>
        <v>1900</v>
      </c>
      <c r="E1175" s="48">
        <f t="shared" si="20"/>
        <v>1</v>
      </c>
      <c r="F1175" s="32"/>
      <c r="G1175" s="33"/>
      <c r="H1175" s="43" t="str">
        <f>IFERROR(VLOOKUP(IGA_BD[[#This Row],[Affected Feeder ]],'Basic Data'!$A$42:$E$53,2,0),"")</f>
        <v/>
      </c>
      <c r="I1175" s="43" t="str">
        <f>IFERROR(VLOOKUP(IGA_BD[[#This Row],[Affected Feeder ]],'Basic Data'!$A$42:$E$53,3,0),"")</f>
        <v/>
      </c>
      <c r="J1175" s="43" t="str">
        <f>IFERROR(VLOOKUP(IGA_BD[[#This Row],[Affected Feeder ]],'Basic Data'!$A$42:$E$53,5,0),"")</f>
        <v/>
      </c>
      <c r="K1175" s="164"/>
      <c r="L1175" s="50"/>
      <c r="M1175" s="116"/>
      <c r="N1175" s="116"/>
      <c r="O1175" s="57">
        <f>(IGA_BD[[#This Row],[Work Start TimeStamp]]-IGA_BD[[#This Row],[Fault Start TimeStamp]])*24</f>
        <v>0</v>
      </c>
      <c r="P1175" s="44" t="str">
        <f>IF(IGA_BD[[#This Row],[Work Start TimeStamp]]="","",(IGA_BD[[#This Row],[Fault Clearance time]]-IGA_BD[[#This Row],[Work Start TimeStamp]])*24)</f>
        <v/>
      </c>
      <c r="Q1175" s="57">
        <f>(IGA_BD[[#This Row],[Fault Clearance time]]-IGA_BD[[#This Row],[Fault Start TimeStamp]])*24</f>
        <v>0</v>
      </c>
      <c r="R1175" s="153"/>
      <c r="S1175" s="44"/>
      <c r="T1175" s="45" t="str">
        <f>IFERROR(IGA_BD[[#This Row],[Breakdown Time]]*IGA_BD[[#This Row],[Plant Equivalent Weightage]],"")</f>
        <v/>
      </c>
    </row>
    <row r="1176" spans="1:20">
      <c r="A1176" s="28"/>
      <c r="B1176" s="154"/>
      <c r="C1176" s="30" t="e">
        <f>YEAR(WTG_BD[[#This Row],[Date]])+IF(MONTH(WTG_BD[[#This Row],[Date]])&gt;=4,1,0)</f>
        <v>#VALUE!</v>
      </c>
      <c r="D1176" s="31">
        <f>YEAR(IGA_BD[[#This Row],[Date]])</f>
        <v>1900</v>
      </c>
      <c r="E1176" s="48">
        <f t="shared" si="20"/>
        <v>1</v>
      </c>
      <c r="F1176" s="32"/>
      <c r="G1176" s="33"/>
      <c r="H1176" s="43" t="str">
        <f>IFERROR(VLOOKUP(IGA_BD[[#This Row],[Affected Feeder ]],'Basic Data'!$A$42:$E$53,2,0),"")</f>
        <v/>
      </c>
      <c r="I1176" s="43" t="str">
        <f>IFERROR(VLOOKUP(IGA_BD[[#This Row],[Affected Feeder ]],'Basic Data'!$A$42:$E$53,3,0),"")</f>
        <v/>
      </c>
      <c r="J1176" s="43" t="str">
        <f>IFERROR(VLOOKUP(IGA_BD[[#This Row],[Affected Feeder ]],'Basic Data'!$A$42:$E$53,5,0),"")</f>
        <v/>
      </c>
      <c r="K1176" s="164"/>
      <c r="L1176" s="50"/>
      <c r="M1176" s="116"/>
      <c r="N1176" s="116"/>
      <c r="O1176" s="57">
        <f>(IGA_BD[[#This Row],[Work Start TimeStamp]]-IGA_BD[[#This Row],[Fault Start TimeStamp]])*24</f>
        <v>0</v>
      </c>
      <c r="P1176" s="44" t="str">
        <f>IF(IGA_BD[[#This Row],[Work Start TimeStamp]]="","",(IGA_BD[[#This Row],[Fault Clearance time]]-IGA_BD[[#This Row],[Work Start TimeStamp]])*24)</f>
        <v/>
      </c>
      <c r="Q1176" s="57">
        <f>(IGA_BD[[#This Row],[Fault Clearance time]]-IGA_BD[[#This Row],[Fault Start TimeStamp]])*24</f>
        <v>0</v>
      </c>
      <c r="R1176" s="153"/>
      <c r="S1176" s="44"/>
      <c r="T1176" s="45" t="str">
        <f>IFERROR(IGA_BD[[#This Row],[Breakdown Time]]*IGA_BD[[#This Row],[Plant Equivalent Weightage]],"")</f>
        <v/>
      </c>
    </row>
    <row r="1177" spans="1:20">
      <c r="A1177" s="28"/>
      <c r="B1177" s="154"/>
      <c r="C1177" s="30" t="e">
        <f>YEAR(WTG_BD[[#This Row],[Date]])+IF(MONTH(WTG_BD[[#This Row],[Date]])&gt;=4,1,0)</f>
        <v>#VALUE!</v>
      </c>
      <c r="D1177" s="31">
        <f>YEAR(IGA_BD[[#This Row],[Date]])</f>
        <v>1900</v>
      </c>
      <c r="E1177" s="48">
        <f t="shared" si="20"/>
        <v>1</v>
      </c>
      <c r="F1177" s="32"/>
      <c r="G1177" s="33"/>
      <c r="H1177" s="43" t="str">
        <f>IFERROR(VLOOKUP(IGA_BD[[#This Row],[Affected Feeder ]],'Basic Data'!$A$42:$E$53,2,0),"")</f>
        <v/>
      </c>
      <c r="I1177" s="43" t="str">
        <f>IFERROR(VLOOKUP(IGA_BD[[#This Row],[Affected Feeder ]],'Basic Data'!$A$42:$E$53,3,0),"")</f>
        <v/>
      </c>
      <c r="J1177" s="43" t="str">
        <f>IFERROR(VLOOKUP(IGA_BD[[#This Row],[Affected Feeder ]],'Basic Data'!$A$42:$E$53,5,0),"")</f>
        <v/>
      </c>
      <c r="K1177" s="164"/>
      <c r="L1177" s="50"/>
      <c r="M1177" s="116"/>
      <c r="N1177" s="116"/>
      <c r="O1177" s="57">
        <f>(IGA_BD[[#This Row],[Work Start TimeStamp]]-IGA_BD[[#This Row],[Fault Start TimeStamp]])*24</f>
        <v>0</v>
      </c>
      <c r="P1177" s="44" t="str">
        <f>IF(IGA_BD[[#This Row],[Work Start TimeStamp]]="","",(IGA_BD[[#This Row],[Fault Clearance time]]-IGA_BD[[#This Row],[Work Start TimeStamp]])*24)</f>
        <v/>
      </c>
      <c r="Q1177" s="57">
        <f>(IGA_BD[[#This Row],[Fault Clearance time]]-IGA_BD[[#This Row],[Fault Start TimeStamp]])*24</f>
        <v>0</v>
      </c>
      <c r="R1177" s="153"/>
      <c r="S1177" s="44"/>
      <c r="T1177" s="45" t="str">
        <f>IFERROR(IGA_BD[[#This Row],[Breakdown Time]]*IGA_BD[[#This Row],[Plant Equivalent Weightage]],"")</f>
        <v/>
      </c>
    </row>
    <row r="1178" spans="1:20">
      <c r="A1178" s="28"/>
      <c r="B1178" s="154"/>
      <c r="C1178" s="30" t="e">
        <f>YEAR(WTG_BD[[#This Row],[Date]])+IF(MONTH(WTG_BD[[#This Row],[Date]])&gt;=4,1,0)</f>
        <v>#VALUE!</v>
      </c>
      <c r="D1178" s="31">
        <f>YEAR(IGA_BD[[#This Row],[Date]])</f>
        <v>1900</v>
      </c>
      <c r="E1178" s="48">
        <f t="shared" si="20"/>
        <v>1</v>
      </c>
      <c r="F1178" s="32"/>
      <c r="G1178" s="33"/>
      <c r="H1178" s="43" t="str">
        <f>IFERROR(VLOOKUP(IGA_BD[[#This Row],[Affected Feeder ]],'Basic Data'!$A$42:$E$53,2,0),"")</f>
        <v/>
      </c>
      <c r="I1178" s="43" t="str">
        <f>IFERROR(VLOOKUP(IGA_BD[[#This Row],[Affected Feeder ]],'Basic Data'!$A$42:$E$53,3,0),"")</f>
        <v/>
      </c>
      <c r="J1178" s="43" t="str">
        <f>IFERROR(VLOOKUP(IGA_BD[[#This Row],[Affected Feeder ]],'Basic Data'!$A$42:$E$53,5,0),"")</f>
        <v/>
      </c>
      <c r="K1178" s="164"/>
      <c r="L1178" s="50"/>
      <c r="M1178" s="116"/>
      <c r="N1178" s="116"/>
      <c r="O1178" s="57">
        <f>(IGA_BD[[#This Row],[Work Start TimeStamp]]-IGA_BD[[#This Row],[Fault Start TimeStamp]])*24</f>
        <v>0</v>
      </c>
      <c r="P1178" s="44" t="str">
        <f>IF(IGA_BD[[#This Row],[Work Start TimeStamp]]="","",(IGA_BD[[#This Row],[Fault Clearance time]]-IGA_BD[[#This Row],[Work Start TimeStamp]])*24)</f>
        <v/>
      </c>
      <c r="Q1178" s="57">
        <f>(IGA_BD[[#This Row],[Fault Clearance time]]-IGA_BD[[#This Row],[Fault Start TimeStamp]])*24</f>
        <v>0</v>
      </c>
      <c r="R1178" s="153"/>
      <c r="S1178" s="44"/>
      <c r="T1178" s="45" t="str">
        <f>IFERROR(IGA_BD[[#This Row],[Breakdown Time]]*IGA_BD[[#This Row],[Plant Equivalent Weightage]],"")</f>
        <v/>
      </c>
    </row>
    <row r="1179" spans="1:20">
      <c r="A1179" s="28"/>
      <c r="B1179" s="154"/>
      <c r="C1179" s="30" t="e">
        <f>YEAR(WTG_BD[[#This Row],[Date]])+IF(MONTH(WTG_BD[[#This Row],[Date]])&gt;=4,1,0)</f>
        <v>#VALUE!</v>
      </c>
      <c r="D1179" s="31">
        <f>YEAR(IGA_BD[[#This Row],[Date]])</f>
        <v>1900</v>
      </c>
      <c r="E1179" s="48">
        <f t="shared" si="20"/>
        <v>1</v>
      </c>
      <c r="F1179" s="32"/>
      <c r="G1179" s="33"/>
      <c r="H1179" s="43" t="str">
        <f>IFERROR(VLOOKUP(IGA_BD[[#This Row],[Affected Feeder ]],'Basic Data'!$A$42:$E$53,2,0),"")</f>
        <v/>
      </c>
      <c r="I1179" s="43" t="str">
        <f>IFERROR(VLOOKUP(IGA_BD[[#This Row],[Affected Feeder ]],'Basic Data'!$A$42:$E$53,3,0),"")</f>
        <v/>
      </c>
      <c r="J1179" s="43" t="str">
        <f>IFERROR(VLOOKUP(IGA_BD[[#This Row],[Affected Feeder ]],'Basic Data'!$A$42:$E$53,5,0),"")</f>
        <v/>
      </c>
      <c r="K1179" s="164"/>
      <c r="L1179" s="50"/>
      <c r="M1179" s="116"/>
      <c r="N1179" s="116"/>
      <c r="O1179" s="57">
        <f>(IGA_BD[[#This Row],[Work Start TimeStamp]]-IGA_BD[[#This Row],[Fault Start TimeStamp]])*24</f>
        <v>0</v>
      </c>
      <c r="P1179" s="44" t="str">
        <f>IF(IGA_BD[[#This Row],[Work Start TimeStamp]]="","",(IGA_BD[[#This Row],[Fault Clearance time]]-IGA_BD[[#This Row],[Work Start TimeStamp]])*24)</f>
        <v/>
      </c>
      <c r="Q1179" s="57">
        <f>(IGA_BD[[#This Row],[Fault Clearance time]]-IGA_BD[[#This Row],[Fault Start TimeStamp]])*24</f>
        <v>0</v>
      </c>
      <c r="R1179" s="153"/>
      <c r="S1179" s="44"/>
      <c r="T1179" s="45" t="str">
        <f>IFERROR(IGA_BD[[#This Row],[Breakdown Time]]*IGA_BD[[#This Row],[Plant Equivalent Weightage]],"")</f>
        <v/>
      </c>
    </row>
    <row r="1180" spans="1:20">
      <c r="A1180" s="28"/>
      <c r="B1180" s="154"/>
      <c r="C1180" s="30" t="e">
        <f>YEAR(WTG_BD[[#This Row],[Date]])+IF(MONTH(WTG_BD[[#This Row],[Date]])&gt;=4,1,0)</f>
        <v>#VALUE!</v>
      </c>
      <c r="D1180" s="31">
        <f>YEAR(IGA_BD[[#This Row],[Date]])</f>
        <v>1900</v>
      </c>
      <c r="E1180" s="48">
        <f t="shared" ref="E1180:E1195" si="21">B1180-DAY(B1180)+1</f>
        <v>1</v>
      </c>
      <c r="F1180" s="32"/>
      <c r="G1180" s="33"/>
      <c r="H1180" s="43" t="str">
        <f>IFERROR(VLOOKUP(IGA_BD[[#This Row],[Affected Feeder ]],'Basic Data'!$A$42:$E$53,2,0),"")</f>
        <v/>
      </c>
      <c r="I1180" s="43" t="str">
        <f>IFERROR(VLOOKUP(IGA_BD[[#This Row],[Affected Feeder ]],'Basic Data'!$A$42:$E$53,3,0),"")</f>
        <v/>
      </c>
      <c r="J1180" s="43" t="str">
        <f>IFERROR(VLOOKUP(IGA_BD[[#This Row],[Affected Feeder ]],'Basic Data'!$A$42:$E$53,5,0),"")</f>
        <v/>
      </c>
      <c r="K1180" s="164"/>
      <c r="L1180" s="50"/>
      <c r="M1180" s="116"/>
      <c r="N1180" s="116"/>
      <c r="O1180" s="57">
        <f>(IGA_BD[[#This Row],[Work Start TimeStamp]]-IGA_BD[[#This Row],[Fault Start TimeStamp]])*24</f>
        <v>0</v>
      </c>
      <c r="P1180" s="44" t="str">
        <f>IF(IGA_BD[[#This Row],[Work Start TimeStamp]]="","",(IGA_BD[[#This Row],[Fault Clearance time]]-IGA_BD[[#This Row],[Work Start TimeStamp]])*24)</f>
        <v/>
      </c>
      <c r="Q1180" s="57">
        <f>(IGA_BD[[#This Row],[Fault Clearance time]]-IGA_BD[[#This Row],[Fault Start TimeStamp]])*24</f>
        <v>0</v>
      </c>
      <c r="R1180" s="153"/>
      <c r="S1180" s="44"/>
      <c r="T1180" s="45" t="str">
        <f>IFERROR(IGA_BD[[#This Row],[Breakdown Time]]*IGA_BD[[#This Row],[Plant Equivalent Weightage]],"")</f>
        <v/>
      </c>
    </row>
    <row r="1181" spans="1:20">
      <c r="A1181" s="28"/>
      <c r="B1181" s="154"/>
      <c r="C1181" s="30" t="e">
        <f>YEAR(WTG_BD[[#This Row],[Date]])+IF(MONTH(WTG_BD[[#This Row],[Date]])&gt;=4,1,0)</f>
        <v>#VALUE!</v>
      </c>
      <c r="D1181" s="31">
        <f>YEAR(IGA_BD[[#This Row],[Date]])</f>
        <v>1900</v>
      </c>
      <c r="E1181" s="48">
        <f t="shared" si="21"/>
        <v>1</v>
      </c>
      <c r="F1181" s="32"/>
      <c r="G1181" s="33"/>
      <c r="H1181" s="43" t="str">
        <f>IFERROR(VLOOKUP(IGA_BD[[#This Row],[Affected Feeder ]],'Basic Data'!$A$42:$E$53,2,0),"")</f>
        <v/>
      </c>
      <c r="I1181" s="43" t="str">
        <f>IFERROR(VLOOKUP(IGA_BD[[#This Row],[Affected Feeder ]],'Basic Data'!$A$42:$E$53,3,0),"")</f>
        <v/>
      </c>
      <c r="J1181" s="43" t="str">
        <f>IFERROR(VLOOKUP(IGA_BD[[#This Row],[Affected Feeder ]],'Basic Data'!$A$42:$E$53,5,0),"")</f>
        <v/>
      </c>
      <c r="K1181" s="164"/>
      <c r="L1181" s="50"/>
      <c r="M1181" s="116"/>
      <c r="N1181" s="116"/>
      <c r="O1181" s="57">
        <f>(IGA_BD[[#This Row],[Work Start TimeStamp]]-IGA_BD[[#This Row],[Fault Start TimeStamp]])*24</f>
        <v>0</v>
      </c>
      <c r="P1181" s="44" t="str">
        <f>IF(IGA_BD[[#This Row],[Work Start TimeStamp]]="","",(IGA_BD[[#This Row],[Fault Clearance time]]-IGA_BD[[#This Row],[Work Start TimeStamp]])*24)</f>
        <v/>
      </c>
      <c r="Q1181" s="57">
        <f>(IGA_BD[[#This Row],[Fault Clearance time]]-IGA_BD[[#This Row],[Fault Start TimeStamp]])*24</f>
        <v>0</v>
      </c>
      <c r="R1181" s="153"/>
      <c r="S1181" s="44"/>
      <c r="T1181" s="45" t="str">
        <f>IFERROR(IGA_BD[[#This Row],[Breakdown Time]]*IGA_BD[[#This Row],[Plant Equivalent Weightage]],"")</f>
        <v/>
      </c>
    </row>
    <row r="1182" spans="1:20">
      <c r="A1182" s="28"/>
      <c r="B1182" s="154"/>
      <c r="C1182" s="30" t="e">
        <f>YEAR(WTG_BD[[#This Row],[Date]])+IF(MONTH(WTG_BD[[#This Row],[Date]])&gt;=4,1,0)</f>
        <v>#VALUE!</v>
      </c>
      <c r="D1182" s="31">
        <f>YEAR(IGA_BD[[#This Row],[Date]])</f>
        <v>1900</v>
      </c>
      <c r="E1182" s="48">
        <f t="shared" si="21"/>
        <v>1</v>
      </c>
      <c r="F1182" s="32"/>
      <c r="G1182" s="33"/>
      <c r="H1182" s="43" t="str">
        <f>IFERROR(VLOOKUP(IGA_BD[[#This Row],[Affected Feeder ]],'Basic Data'!$A$42:$E$53,2,0),"")</f>
        <v/>
      </c>
      <c r="I1182" s="43" t="str">
        <f>IFERROR(VLOOKUP(IGA_BD[[#This Row],[Affected Feeder ]],'Basic Data'!$A$42:$E$53,3,0),"")</f>
        <v/>
      </c>
      <c r="J1182" s="43" t="str">
        <f>IFERROR(VLOOKUP(IGA_BD[[#This Row],[Affected Feeder ]],'Basic Data'!$A$42:$E$53,5,0),"")</f>
        <v/>
      </c>
      <c r="K1182" s="164"/>
      <c r="L1182" s="50"/>
      <c r="M1182" s="116"/>
      <c r="N1182" s="116"/>
      <c r="O1182" s="57">
        <f>(IGA_BD[[#This Row],[Work Start TimeStamp]]-IGA_BD[[#This Row],[Fault Start TimeStamp]])*24</f>
        <v>0</v>
      </c>
      <c r="P1182" s="44" t="str">
        <f>IF(IGA_BD[[#This Row],[Work Start TimeStamp]]="","",(IGA_BD[[#This Row],[Fault Clearance time]]-IGA_BD[[#This Row],[Work Start TimeStamp]])*24)</f>
        <v/>
      </c>
      <c r="Q1182" s="57">
        <f>(IGA_BD[[#This Row],[Fault Clearance time]]-IGA_BD[[#This Row],[Fault Start TimeStamp]])*24</f>
        <v>0</v>
      </c>
      <c r="R1182" s="153"/>
      <c r="S1182" s="44"/>
      <c r="T1182" s="45" t="str">
        <f>IFERROR(IGA_BD[[#This Row],[Breakdown Time]]*IGA_BD[[#This Row],[Plant Equivalent Weightage]],"")</f>
        <v/>
      </c>
    </row>
    <row r="1183" spans="1:20">
      <c r="A1183" s="28"/>
      <c r="B1183" s="154"/>
      <c r="C1183" s="30" t="e">
        <f>YEAR(WTG_BD[[#This Row],[Date]])+IF(MONTH(WTG_BD[[#This Row],[Date]])&gt;=4,1,0)</f>
        <v>#VALUE!</v>
      </c>
      <c r="D1183" s="31">
        <f>YEAR(IGA_BD[[#This Row],[Date]])</f>
        <v>1900</v>
      </c>
      <c r="E1183" s="48">
        <f t="shared" si="21"/>
        <v>1</v>
      </c>
      <c r="F1183" s="32"/>
      <c r="G1183" s="33"/>
      <c r="H1183" s="43" t="str">
        <f>IFERROR(VLOOKUP(IGA_BD[[#This Row],[Affected Feeder ]],'Basic Data'!$A$42:$E$53,2,0),"")</f>
        <v/>
      </c>
      <c r="I1183" s="43" t="str">
        <f>IFERROR(VLOOKUP(IGA_BD[[#This Row],[Affected Feeder ]],'Basic Data'!$A$42:$E$53,3,0),"")</f>
        <v/>
      </c>
      <c r="J1183" s="43" t="str">
        <f>IFERROR(VLOOKUP(IGA_BD[[#This Row],[Affected Feeder ]],'Basic Data'!$A$42:$E$53,5,0),"")</f>
        <v/>
      </c>
      <c r="K1183" s="164"/>
      <c r="L1183" s="50"/>
      <c r="M1183" s="116"/>
      <c r="N1183" s="116"/>
      <c r="O1183" s="57">
        <f>(IGA_BD[[#This Row],[Work Start TimeStamp]]-IGA_BD[[#This Row],[Fault Start TimeStamp]])*24</f>
        <v>0</v>
      </c>
      <c r="P1183" s="44" t="str">
        <f>IF(IGA_BD[[#This Row],[Work Start TimeStamp]]="","",(IGA_BD[[#This Row],[Fault Clearance time]]-IGA_BD[[#This Row],[Work Start TimeStamp]])*24)</f>
        <v/>
      </c>
      <c r="Q1183" s="57">
        <f>(IGA_BD[[#This Row],[Fault Clearance time]]-IGA_BD[[#This Row],[Fault Start TimeStamp]])*24</f>
        <v>0</v>
      </c>
      <c r="R1183" s="153"/>
      <c r="S1183" s="44"/>
      <c r="T1183" s="45" t="str">
        <f>IFERROR(IGA_BD[[#This Row],[Breakdown Time]]*IGA_BD[[#This Row],[Plant Equivalent Weightage]],"")</f>
        <v/>
      </c>
    </row>
    <row r="1184" spans="1:20">
      <c r="A1184" s="28"/>
      <c r="B1184" s="154"/>
      <c r="C1184" s="30" t="e">
        <f>YEAR(WTG_BD[[#This Row],[Date]])+IF(MONTH(WTG_BD[[#This Row],[Date]])&gt;=4,1,0)</f>
        <v>#VALUE!</v>
      </c>
      <c r="D1184" s="31">
        <f>YEAR(IGA_BD[[#This Row],[Date]])</f>
        <v>1900</v>
      </c>
      <c r="E1184" s="48">
        <f t="shared" si="21"/>
        <v>1</v>
      </c>
      <c r="F1184" s="32"/>
      <c r="G1184" s="33"/>
      <c r="H1184" s="43" t="str">
        <f>IFERROR(VLOOKUP(IGA_BD[[#This Row],[Affected Feeder ]],'Basic Data'!$A$42:$E$53,2,0),"")</f>
        <v/>
      </c>
      <c r="I1184" s="43" t="str">
        <f>IFERROR(VLOOKUP(IGA_BD[[#This Row],[Affected Feeder ]],'Basic Data'!$A$42:$E$53,3,0),"")</f>
        <v/>
      </c>
      <c r="J1184" s="43" t="str">
        <f>IFERROR(VLOOKUP(IGA_BD[[#This Row],[Affected Feeder ]],'Basic Data'!$A$42:$E$53,5,0),"")</f>
        <v/>
      </c>
      <c r="K1184" s="164"/>
      <c r="L1184" s="50"/>
      <c r="M1184" s="116"/>
      <c r="N1184" s="116"/>
      <c r="O1184" s="57">
        <f>(IGA_BD[[#This Row],[Work Start TimeStamp]]-IGA_BD[[#This Row],[Fault Start TimeStamp]])*24</f>
        <v>0</v>
      </c>
      <c r="P1184" s="44" t="str">
        <f>IF(IGA_BD[[#This Row],[Work Start TimeStamp]]="","",(IGA_BD[[#This Row],[Fault Clearance time]]-IGA_BD[[#This Row],[Work Start TimeStamp]])*24)</f>
        <v/>
      </c>
      <c r="Q1184" s="57">
        <f>(IGA_BD[[#This Row],[Fault Clearance time]]-IGA_BD[[#This Row],[Fault Start TimeStamp]])*24</f>
        <v>0</v>
      </c>
      <c r="R1184" s="153"/>
      <c r="S1184" s="44"/>
      <c r="T1184" s="45" t="str">
        <f>IFERROR(IGA_BD[[#This Row],[Breakdown Time]]*IGA_BD[[#This Row],[Plant Equivalent Weightage]],"")</f>
        <v/>
      </c>
    </row>
    <row r="1185" spans="1:20">
      <c r="A1185" s="28"/>
      <c r="B1185" s="154"/>
      <c r="C1185" s="30" t="e">
        <f>YEAR(WTG_BD[[#This Row],[Date]])+IF(MONTH(WTG_BD[[#This Row],[Date]])&gt;=4,1,0)</f>
        <v>#VALUE!</v>
      </c>
      <c r="D1185" s="31">
        <f>YEAR(IGA_BD[[#This Row],[Date]])</f>
        <v>1900</v>
      </c>
      <c r="E1185" s="48">
        <f t="shared" si="21"/>
        <v>1</v>
      </c>
      <c r="F1185" s="32"/>
      <c r="G1185" s="33"/>
      <c r="H1185" s="43" t="str">
        <f>IFERROR(VLOOKUP(IGA_BD[[#This Row],[Affected Feeder ]],'Basic Data'!$A$42:$E$53,2,0),"")</f>
        <v/>
      </c>
      <c r="I1185" s="43" t="str">
        <f>IFERROR(VLOOKUP(IGA_BD[[#This Row],[Affected Feeder ]],'Basic Data'!$A$42:$E$53,3,0),"")</f>
        <v/>
      </c>
      <c r="J1185" s="43" t="str">
        <f>IFERROR(VLOOKUP(IGA_BD[[#This Row],[Affected Feeder ]],'Basic Data'!$A$42:$E$53,5,0),"")</f>
        <v/>
      </c>
      <c r="K1185" s="164"/>
      <c r="L1185" s="50"/>
      <c r="M1185" s="116"/>
      <c r="N1185" s="116"/>
      <c r="O1185" s="57">
        <f>(IGA_BD[[#This Row],[Work Start TimeStamp]]-IGA_BD[[#This Row],[Fault Start TimeStamp]])*24</f>
        <v>0</v>
      </c>
      <c r="P1185" s="44" t="str">
        <f>IF(IGA_BD[[#This Row],[Work Start TimeStamp]]="","",(IGA_BD[[#This Row],[Fault Clearance time]]-IGA_BD[[#This Row],[Work Start TimeStamp]])*24)</f>
        <v/>
      </c>
      <c r="Q1185" s="57">
        <f>(IGA_BD[[#This Row],[Fault Clearance time]]-IGA_BD[[#This Row],[Fault Start TimeStamp]])*24</f>
        <v>0</v>
      </c>
      <c r="R1185" s="153"/>
      <c r="S1185" s="44"/>
      <c r="T1185" s="45" t="str">
        <f>IFERROR(IGA_BD[[#This Row],[Breakdown Time]]*IGA_BD[[#This Row],[Plant Equivalent Weightage]],"")</f>
        <v/>
      </c>
    </row>
    <row r="1186" spans="1:20">
      <c r="A1186" s="28"/>
      <c r="B1186" s="154"/>
      <c r="C1186" s="30" t="e">
        <f>YEAR(WTG_BD[[#This Row],[Date]])+IF(MONTH(WTG_BD[[#This Row],[Date]])&gt;=4,1,0)</f>
        <v>#VALUE!</v>
      </c>
      <c r="D1186" s="31">
        <f>YEAR(IGA_BD[[#This Row],[Date]])</f>
        <v>1900</v>
      </c>
      <c r="E1186" s="48">
        <f t="shared" si="21"/>
        <v>1</v>
      </c>
      <c r="F1186" s="32"/>
      <c r="G1186" s="33"/>
      <c r="H1186" s="43" t="str">
        <f>IFERROR(VLOOKUP(IGA_BD[[#This Row],[Affected Feeder ]],'Basic Data'!$A$42:$E$53,2,0),"")</f>
        <v/>
      </c>
      <c r="I1186" s="43" t="str">
        <f>IFERROR(VLOOKUP(IGA_BD[[#This Row],[Affected Feeder ]],'Basic Data'!$A$42:$E$53,3,0),"")</f>
        <v/>
      </c>
      <c r="J1186" s="43" t="str">
        <f>IFERROR(VLOOKUP(IGA_BD[[#This Row],[Affected Feeder ]],'Basic Data'!$A$42:$E$53,5,0),"")</f>
        <v/>
      </c>
      <c r="K1186" s="164"/>
      <c r="L1186" s="50"/>
      <c r="M1186" s="116"/>
      <c r="N1186" s="116"/>
      <c r="O1186" s="57">
        <f>(IGA_BD[[#This Row],[Work Start TimeStamp]]-IGA_BD[[#This Row],[Fault Start TimeStamp]])*24</f>
        <v>0</v>
      </c>
      <c r="P1186" s="44" t="str">
        <f>IF(IGA_BD[[#This Row],[Work Start TimeStamp]]="","",(IGA_BD[[#This Row],[Fault Clearance time]]-IGA_BD[[#This Row],[Work Start TimeStamp]])*24)</f>
        <v/>
      </c>
      <c r="Q1186" s="57">
        <f>(IGA_BD[[#This Row],[Fault Clearance time]]-IGA_BD[[#This Row],[Fault Start TimeStamp]])*24</f>
        <v>0</v>
      </c>
      <c r="R1186" s="153"/>
      <c r="S1186" s="44"/>
      <c r="T1186" s="45" t="str">
        <f>IFERROR(IGA_BD[[#This Row],[Breakdown Time]]*IGA_BD[[#This Row],[Plant Equivalent Weightage]],"")</f>
        <v/>
      </c>
    </row>
    <row r="1187" spans="1:20">
      <c r="A1187" s="28"/>
      <c r="B1187" s="154"/>
      <c r="C1187" s="30" t="e">
        <f>YEAR(WTG_BD[[#This Row],[Date]])+IF(MONTH(WTG_BD[[#This Row],[Date]])&gt;=4,1,0)</f>
        <v>#VALUE!</v>
      </c>
      <c r="D1187" s="31">
        <f>YEAR(IGA_BD[[#This Row],[Date]])</f>
        <v>1900</v>
      </c>
      <c r="E1187" s="48">
        <f t="shared" si="21"/>
        <v>1</v>
      </c>
      <c r="F1187" s="32"/>
      <c r="G1187" s="33"/>
      <c r="H1187" s="43" t="str">
        <f>IFERROR(VLOOKUP(IGA_BD[[#This Row],[Affected Feeder ]],'Basic Data'!$A$42:$E$53,2,0),"")</f>
        <v/>
      </c>
      <c r="I1187" s="43" t="str">
        <f>IFERROR(VLOOKUP(IGA_BD[[#This Row],[Affected Feeder ]],'Basic Data'!$A$42:$E$53,3,0),"")</f>
        <v/>
      </c>
      <c r="J1187" s="43" t="str">
        <f>IFERROR(VLOOKUP(IGA_BD[[#This Row],[Affected Feeder ]],'Basic Data'!$A$42:$E$53,5,0),"")</f>
        <v/>
      </c>
      <c r="K1187" s="164"/>
      <c r="L1187" s="50"/>
      <c r="M1187" s="116"/>
      <c r="N1187" s="116"/>
      <c r="O1187" s="57">
        <f>(IGA_BD[[#This Row],[Work Start TimeStamp]]-IGA_BD[[#This Row],[Fault Start TimeStamp]])*24</f>
        <v>0</v>
      </c>
      <c r="P1187" s="44" t="str">
        <f>IF(IGA_BD[[#This Row],[Work Start TimeStamp]]="","",(IGA_BD[[#This Row],[Fault Clearance time]]-IGA_BD[[#This Row],[Work Start TimeStamp]])*24)</f>
        <v/>
      </c>
      <c r="Q1187" s="57">
        <f>(IGA_BD[[#This Row],[Fault Clearance time]]-IGA_BD[[#This Row],[Fault Start TimeStamp]])*24</f>
        <v>0</v>
      </c>
      <c r="R1187" s="153"/>
      <c r="S1187" s="44"/>
      <c r="T1187" s="45" t="str">
        <f>IFERROR(IGA_BD[[#This Row],[Breakdown Time]]*IGA_BD[[#This Row],[Plant Equivalent Weightage]],"")</f>
        <v/>
      </c>
    </row>
    <row r="1188" spans="1:20">
      <c r="A1188" s="28"/>
      <c r="B1188" s="154"/>
      <c r="C1188" s="30" t="e">
        <f>YEAR(WTG_BD[[#This Row],[Date]])+IF(MONTH(WTG_BD[[#This Row],[Date]])&gt;=4,1,0)</f>
        <v>#VALUE!</v>
      </c>
      <c r="D1188" s="31">
        <f>YEAR(IGA_BD[[#This Row],[Date]])</f>
        <v>1900</v>
      </c>
      <c r="E1188" s="48">
        <f t="shared" si="21"/>
        <v>1</v>
      </c>
      <c r="F1188" s="32"/>
      <c r="G1188" s="33"/>
      <c r="H1188" s="43" t="str">
        <f>IFERROR(VLOOKUP(IGA_BD[[#This Row],[Affected Feeder ]],'Basic Data'!$A$42:$E$53,2,0),"")</f>
        <v/>
      </c>
      <c r="I1188" s="43" t="str">
        <f>IFERROR(VLOOKUP(IGA_BD[[#This Row],[Affected Feeder ]],'Basic Data'!$A$42:$E$53,3,0),"")</f>
        <v/>
      </c>
      <c r="J1188" s="43" t="str">
        <f>IFERROR(VLOOKUP(IGA_BD[[#This Row],[Affected Feeder ]],'Basic Data'!$A$42:$E$53,5,0),"")</f>
        <v/>
      </c>
      <c r="K1188" s="164"/>
      <c r="L1188" s="50"/>
      <c r="M1188" s="116"/>
      <c r="N1188" s="116"/>
      <c r="O1188" s="57">
        <f>(IGA_BD[[#This Row],[Work Start TimeStamp]]-IGA_BD[[#This Row],[Fault Start TimeStamp]])*24</f>
        <v>0</v>
      </c>
      <c r="P1188" s="44" t="str">
        <f>IF(IGA_BD[[#This Row],[Work Start TimeStamp]]="","",(IGA_BD[[#This Row],[Fault Clearance time]]-IGA_BD[[#This Row],[Work Start TimeStamp]])*24)</f>
        <v/>
      </c>
      <c r="Q1188" s="57">
        <f>(IGA_BD[[#This Row],[Fault Clearance time]]-IGA_BD[[#This Row],[Fault Start TimeStamp]])*24</f>
        <v>0</v>
      </c>
      <c r="R1188" s="153"/>
      <c r="S1188" s="44"/>
      <c r="T1188" s="45" t="str">
        <f>IFERROR(IGA_BD[[#This Row],[Breakdown Time]]*IGA_BD[[#This Row],[Plant Equivalent Weightage]],"")</f>
        <v/>
      </c>
    </row>
    <row r="1189" spans="1:20">
      <c r="A1189" s="28"/>
      <c r="B1189" s="154"/>
      <c r="C1189" s="30" t="e">
        <f>YEAR(WTG_BD[[#This Row],[Date]])+IF(MONTH(WTG_BD[[#This Row],[Date]])&gt;=4,1,0)</f>
        <v>#VALUE!</v>
      </c>
      <c r="D1189" s="31">
        <f>YEAR(IGA_BD[[#This Row],[Date]])</f>
        <v>1900</v>
      </c>
      <c r="E1189" s="48">
        <f t="shared" si="21"/>
        <v>1</v>
      </c>
      <c r="F1189" s="32"/>
      <c r="G1189" s="33"/>
      <c r="H1189" s="43" t="str">
        <f>IFERROR(VLOOKUP(IGA_BD[[#This Row],[Affected Feeder ]],'Basic Data'!$A$42:$E$53,2,0),"")</f>
        <v/>
      </c>
      <c r="I1189" s="43" t="str">
        <f>IFERROR(VLOOKUP(IGA_BD[[#This Row],[Affected Feeder ]],'Basic Data'!$A$42:$E$53,3,0),"")</f>
        <v/>
      </c>
      <c r="J1189" s="43" t="str">
        <f>IFERROR(VLOOKUP(IGA_BD[[#This Row],[Affected Feeder ]],'Basic Data'!$A$42:$E$53,5,0),"")</f>
        <v/>
      </c>
      <c r="K1189" s="164"/>
      <c r="L1189" s="50"/>
      <c r="M1189" s="116"/>
      <c r="N1189" s="116"/>
      <c r="O1189" s="57">
        <f>(IGA_BD[[#This Row],[Work Start TimeStamp]]-IGA_BD[[#This Row],[Fault Start TimeStamp]])*24</f>
        <v>0</v>
      </c>
      <c r="P1189" s="44" t="str">
        <f>IF(IGA_BD[[#This Row],[Work Start TimeStamp]]="","",(IGA_BD[[#This Row],[Fault Clearance time]]-IGA_BD[[#This Row],[Work Start TimeStamp]])*24)</f>
        <v/>
      </c>
      <c r="Q1189" s="57">
        <f>(IGA_BD[[#This Row],[Fault Clearance time]]-IGA_BD[[#This Row],[Fault Start TimeStamp]])*24</f>
        <v>0</v>
      </c>
      <c r="R1189" s="153"/>
      <c r="S1189" s="44"/>
      <c r="T1189" s="45" t="str">
        <f>IFERROR(IGA_BD[[#This Row],[Breakdown Time]]*IGA_BD[[#This Row],[Plant Equivalent Weightage]],"")</f>
        <v/>
      </c>
    </row>
    <row r="1190" spans="1:20">
      <c r="A1190" s="28"/>
      <c r="B1190" s="154"/>
      <c r="C1190" s="30" t="e">
        <f>YEAR(WTG_BD[[#This Row],[Date]])+IF(MONTH(WTG_BD[[#This Row],[Date]])&gt;=4,1,0)</f>
        <v>#VALUE!</v>
      </c>
      <c r="D1190" s="31">
        <f>YEAR(IGA_BD[[#This Row],[Date]])</f>
        <v>1900</v>
      </c>
      <c r="E1190" s="48">
        <f t="shared" si="21"/>
        <v>1</v>
      </c>
      <c r="F1190" s="32"/>
      <c r="G1190" s="33"/>
      <c r="H1190" s="43" t="str">
        <f>IFERROR(VLOOKUP(IGA_BD[[#This Row],[Affected Feeder ]],'Basic Data'!$A$42:$E$53,2,0),"")</f>
        <v/>
      </c>
      <c r="I1190" s="43" t="str">
        <f>IFERROR(VLOOKUP(IGA_BD[[#This Row],[Affected Feeder ]],'Basic Data'!$A$42:$E$53,3,0),"")</f>
        <v/>
      </c>
      <c r="J1190" s="43" t="str">
        <f>IFERROR(VLOOKUP(IGA_BD[[#This Row],[Affected Feeder ]],'Basic Data'!$A$42:$E$53,5,0),"")</f>
        <v/>
      </c>
      <c r="K1190" s="164"/>
      <c r="L1190" s="50"/>
      <c r="M1190" s="116"/>
      <c r="N1190" s="116"/>
      <c r="O1190" s="57">
        <f>(IGA_BD[[#This Row],[Work Start TimeStamp]]-IGA_BD[[#This Row],[Fault Start TimeStamp]])*24</f>
        <v>0</v>
      </c>
      <c r="P1190" s="44" t="str">
        <f>IF(IGA_BD[[#This Row],[Work Start TimeStamp]]="","",(IGA_BD[[#This Row],[Fault Clearance time]]-IGA_BD[[#This Row],[Work Start TimeStamp]])*24)</f>
        <v/>
      </c>
      <c r="Q1190" s="57">
        <f>(IGA_BD[[#This Row],[Fault Clearance time]]-IGA_BD[[#This Row],[Fault Start TimeStamp]])*24</f>
        <v>0</v>
      </c>
      <c r="R1190" s="153"/>
      <c r="S1190" s="44"/>
      <c r="T1190" s="45" t="str">
        <f>IFERROR(IGA_BD[[#This Row],[Breakdown Time]]*IGA_BD[[#This Row],[Plant Equivalent Weightage]],"")</f>
        <v/>
      </c>
    </row>
    <row r="1191" spans="1:20">
      <c r="A1191" s="28"/>
      <c r="B1191" s="154"/>
      <c r="C1191" s="30" t="e">
        <f>YEAR(WTG_BD[[#This Row],[Date]])+IF(MONTH(WTG_BD[[#This Row],[Date]])&gt;=4,1,0)</f>
        <v>#VALUE!</v>
      </c>
      <c r="D1191" s="31">
        <f>YEAR(IGA_BD[[#This Row],[Date]])</f>
        <v>1900</v>
      </c>
      <c r="E1191" s="48">
        <f t="shared" si="21"/>
        <v>1</v>
      </c>
      <c r="F1191" s="32"/>
      <c r="G1191" s="33"/>
      <c r="H1191" s="43" t="str">
        <f>IFERROR(VLOOKUP(IGA_BD[[#This Row],[Affected Feeder ]],'Basic Data'!$A$42:$E$53,2,0),"")</f>
        <v/>
      </c>
      <c r="I1191" s="43" t="str">
        <f>IFERROR(VLOOKUP(IGA_BD[[#This Row],[Affected Feeder ]],'Basic Data'!$A$42:$E$53,3,0),"")</f>
        <v/>
      </c>
      <c r="J1191" s="43" t="str">
        <f>IFERROR(VLOOKUP(IGA_BD[[#This Row],[Affected Feeder ]],'Basic Data'!$A$42:$E$53,5,0),"")</f>
        <v/>
      </c>
      <c r="K1191" s="164"/>
      <c r="L1191" s="50"/>
      <c r="M1191" s="116"/>
      <c r="N1191" s="116"/>
      <c r="O1191" s="57">
        <f>(IGA_BD[[#This Row],[Work Start TimeStamp]]-IGA_BD[[#This Row],[Fault Start TimeStamp]])*24</f>
        <v>0</v>
      </c>
      <c r="P1191" s="44" t="str">
        <f>IF(IGA_BD[[#This Row],[Work Start TimeStamp]]="","",(IGA_BD[[#This Row],[Fault Clearance time]]-IGA_BD[[#This Row],[Work Start TimeStamp]])*24)</f>
        <v/>
      </c>
      <c r="Q1191" s="57">
        <f>(IGA_BD[[#This Row],[Fault Clearance time]]-IGA_BD[[#This Row],[Fault Start TimeStamp]])*24</f>
        <v>0</v>
      </c>
      <c r="R1191" s="153"/>
      <c r="S1191" s="44"/>
      <c r="T1191" s="45" t="str">
        <f>IFERROR(IGA_BD[[#This Row],[Breakdown Time]]*IGA_BD[[#This Row],[Plant Equivalent Weightage]],"")</f>
        <v/>
      </c>
    </row>
    <row r="1192" spans="1:20">
      <c r="A1192" s="28"/>
      <c r="B1192" s="154"/>
      <c r="C1192" s="30" t="e">
        <f>YEAR(WTG_BD[[#This Row],[Date]])+IF(MONTH(WTG_BD[[#This Row],[Date]])&gt;=4,1,0)</f>
        <v>#VALUE!</v>
      </c>
      <c r="D1192" s="31">
        <f>YEAR(IGA_BD[[#This Row],[Date]])</f>
        <v>1900</v>
      </c>
      <c r="E1192" s="48">
        <f t="shared" si="21"/>
        <v>1</v>
      </c>
      <c r="F1192" s="32"/>
      <c r="G1192" s="33"/>
      <c r="H1192" s="43" t="str">
        <f>IFERROR(VLOOKUP(IGA_BD[[#This Row],[Affected Feeder ]],'Basic Data'!$A$42:$E$53,2,0),"")</f>
        <v/>
      </c>
      <c r="I1192" s="43" t="str">
        <f>IFERROR(VLOOKUP(IGA_BD[[#This Row],[Affected Feeder ]],'Basic Data'!$A$42:$E$53,3,0),"")</f>
        <v/>
      </c>
      <c r="J1192" s="43" t="str">
        <f>IFERROR(VLOOKUP(IGA_BD[[#This Row],[Affected Feeder ]],'Basic Data'!$A$42:$E$53,5,0),"")</f>
        <v/>
      </c>
      <c r="K1192" s="164"/>
      <c r="L1192" s="50"/>
      <c r="M1192" s="116"/>
      <c r="N1192" s="116"/>
      <c r="O1192" s="57">
        <f>(IGA_BD[[#This Row],[Work Start TimeStamp]]-IGA_BD[[#This Row],[Fault Start TimeStamp]])*24</f>
        <v>0</v>
      </c>
      <c r="P1192" s="44" t="str">
        <f>IF(IGA_BD[[#This Row],[Work Start TimeStamp]]="","",(IGA_BD[[#This Row],[Fault Clearance time]]-IGA_BD[[#This Row],[Work Start TimeStamp]])*24)</f>
        <v/>
      </c>
      <c r="Q1192" s="57">
        <f>(IGA_BD[[#This Row],[Fault Clearance time]]-IGA_BD[[#This Row],[Fault Start TimeStamp]])*24</f>
        <v>0</v>
      </c>
      <c r="R1192" s="153"/>
      <c r="S1192" s="44"/>
      <c r="T1192" s="45" t="str">
        <f>IFERROR(IGA_BD[[#This Row],[Breakdown Time]]*IGA_BD[[#This Row],[Plant Equivalent Weightage]],"")</f>
        <v/>
      </c>
    </row>
    <row r="1193" spans="1:20">
      <c r="A1193" s="28"/>
      <c r="B1193" s="154"/>
      <c r="C1193" s="30" t="e">
        <f>YEAR(WTG_BD[[#This Row],[Date]])+IF(MONTH(WTG_BD[[#This Row],[Date]])&gt;=4,1,0)</f>
        <v>#VALUE!</v>
      </c>
      <c r="D1193" s="31">
        <f>YEAR(IGA_BD[[#This Row],[Date]])</f>
        <v>1900</v>
      </c>
      <c r="E1193" s="48">
        <f t="shared" si="21"/>
        <v>1</v>
      </c>
      <c r="F1193" s="32"/>
      <c r="G1193" s="33"/>
      <c r="H1193" s="43" t="str">
        <f>IFERROR(VLOOKUP(IGA_BD[[#This Row],[Affected Feeder ]],'Basic Data'!$A$42:$E$53,2,0),"")</f>
        <v/>
      </c>
      <c r="I1193" s="43" t="str">
        <f>IFERROR(VLOOKUP(IGA_BD[[#This Row],[Affected Feeder ]],'Basic Data'!$A$42:$E$53,3,0),"")</f>
        <v/>
      </c>
      <c r="J1193" s="43" t="str">
        <f>IFERROR(VLOOKUP(IGA_BD[[#This Row],[Affected Feeder ]],'Basic Data'!$A$42:$E$53,5,0),"")</f>
        <v/>
      </c>
      <c r="K1193" s="164"/>
      <c r="L1193" s="50"/>
      <c r="M1193" s="116"/>
      <c r="N1193" s="116"/>
      <c r="O1193" s="57">
        <f>(IGA_BD[[#This Row],[Work Start TimeStamp]]-IGA_BD[[#This Row],[Fault Start TimeStamp]])*24</f>
        <v>0</v>
      </c>
      <c r="P1193" s="44" t="str">
        <f>IF(IGA_BD[[#This Row],[Work Start TimeStamp]]="","",(IGA_BD[[#This Row],[Fault Clearance time]]-IGA_BD[[#This Row],[Work Start TimeStamp]])*24)</f>
        <v/>
      </c>
      <c r="Q1193" s="57">
        <f>(IGA_BD[[#This Row],[Fault Clearance time]]-IGA_BD[[#This Row],[Fault Start TimeStamp]])*24</f>
        <v>0</v>
      </c>
      <c r="R1193" s="153"/>
      <c r="S1193" s="44"/>
      <c r="T1193" s="45" t="str">
        <f>IFERROR(IGA_BD[[#This Row],[Breakdown Time]]*IGA_BD[[#This Row],[Plant Equivalent Weightage]],"")</f>
        <v/>
      </c>
    </row>
    <row r="1194" spans="1:20">
      <c r="A1194" s="28"/>
      <c r="B1194" s="154"/>
      <c r="C1194" s="30" t="e">
        <f>YEAR(WTG_BD[[#This Row],[Date]])+IF(MONTH(WTG_BD[[#This Row],[Date]])&gt;=4,1,0)</f>
        <v>#VALUE!</v>
      </c>
      <c r="D1194" s="31">
        <f>YEAR(IGA_BD[[#This Row],[Date]])</f>
        <v>1900</v>
      </c>
      <c r="E1194" s="48">
        <f t="shared" si="21"/>
        <v>1</v>
      </c>
      <c r="F1194" s="32"/>
      <c r="G1194" s="33"/>
      <c r="H1194" s="43" t="str">
        <f>IFERROR(VLOOKUP(IGA_BD[[#This Row],[Affected Feeder ]],'Basic Data'!$A$42:$E$53,2,0),"")</f>
        <v/>
      </c>
      <c r="I1194" s="43" t="str">
        <f>IFERROR(VLOOKUP(IGA_BD[[#This Row],[Affected Feeder ]],'Basic Data'!$A$42:$E$53,3,0),"")</f>
        <v/>
      </c>
      <c r="J1194" s="43" t="str">
        <f>IFERROR(VLOOKUP(IGA_BD[[#This Row],[Affected Feeder ]],'Basic Data'!$A$42:$E$53,5,0),"")</f>
        <v/>
      </c>
      <c r="K1194" s="164"/>
      <c r="L1194" s="50"/>
      <c r="M1194" s="116"/>
      <c r="N1194" s="116"/>
      <c r="O1194" s="57">
        <f>(IGA_BD[[#This Row],[Work Start TimeStamp]]-IGA_BD[[#This Row],[Fault Start TimeStamp]])*24</f>
        <v>0</v>
      </c>
      <c r="P1194" s="44" t="str">
        <f>IF(IGA_BD[[#This Row],[Work Start TimeStamp]]="","",(IGA_BD[[#This Row],[Fault Clearance time]]-IGA_BD[[#This Row],[Work Start TimeStamp]])*24)</f>
        <v/>
      </c>
      <c r="Q1194" s="57">
        <f>(IGA_BD[[#This Row],[Fault Clearance time]]-IGA_BD[[#This Row],[Fault Start TimeStamp]])*24</f>
        <v>0</v>
      </c>
      <c r="R1194" s="153"/>
      <c r="S1194" s="44"/>
      <c r="T1194" s="45" t="str">
        <f>IFERROR(IGA_BD[[#This Row],[Breakdown Time]]*IGA_BD[[#This Row],[Plant Equivalent Weightage]],"")</f>
        <v/>
      </c>
    </row>
    <row r="1195" spans="1:20">
      <c r="A1195" s="28"/>
      <c r="B1195" s="154"/>
      <c r="C1195" s="30" t="e">
        <f>YEAR(WTG_BD[[#This Row],[Date]])+IF(MONTH(WTG_BD[[#This Row],[Date]])&gt;=4,1,0)</f>
        <v>#VALUE!</v>
      </c>
      <c r="D1195" s="31">
        <f>YEAR(IGA_BD[[#This Row],[Date]])</f>
        <v>1900</v>
      </c>
      <c r="E1195" s="48">
        <f t="shared" si="21"/>
        <v>1</v>
      </c>
      <c r="F1195" s="32"/>
      <c r="G1195" s="33"/>
      <c r="H1195" s="43" t="str">
        <f>IFERROR(VLOOKUP(IGA_BD[[#This Row],[Affected Feeder ]],'Basic Data'!$A$42:$E$53,2,0),"")</f>
        <v/>
      </c>
      <c r="I1195" s="43" t="str">
        <f>IFERROR(VLOOKUP(IGA_BD[[#This Row],[Affected Feeder ]],'Basic Data'!$A$42:$E$53,3,0),"")</f>
        <v/>
      </c>
      <c r="J1195" s="43" t="str">
        <f>IFERROR(VLOOKUP(IGA_BD[[#This Row],[Affected Feeder ]],'Basic Data'!$A$42:$E$53,5,0),"")</f>
        <v/>
      </c>
      <c r="K1195" s="164"/>
      <c r="L1195" s="50"/>
      <c r="M1195" s="116"/>
      <c r="N1195" s="116"/>
      <c r="O1195" s="57">
        <f>(IGA_BD[[#This Row],[Work Start TimeStamp]]-IGA_BD[[#This Row],[Fault Start TimeStamp]])*24</f>
        <v>0</v>
      </c>
      <c r="P1195" s="44" t="str">
        <f>IF(IGA_BD[[#This Row],[Work Start TimeStamp]]="","",(IGA_BD[[#This Row],[Fault Clearance time]]-IGA_BD[[#This Row],[Work Start TimeStamp]])*24)</f>
        <v/>
      </c>
      <c r="Q1195" s="57">
        <f>(IGA_BD[[#This Row],[Fault Clearance time]]-IGA_BD[[#This Row],[Fault Start TimeStamp]])*24</f>
        <v>0</v>
      </c>
      <c r="R1195" s="153"/>
      <c r="S1195" s="44"/>
      <c r="T1195" s="45" t="str">
        <f>IFERROR(IGA_BD[[#This Row],[Breakdown Time]]*IGA_BD[[#This Row],[Plant Equivalent Weightage]],"")</f>
        <v/>
      </c>
    </row>
  </sheetData>
  <phoneticPr fontId="9" type="noConversion"/>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700-000001000000}">
          <x14:formula1>
            <xm:f>'Basic Data'!$A$42:$A$51</xm:f>
          </x14:formula1>
          <xm:sqref>G3:G5 G7:G10 G21:G25 G15:G16 G12:G13 G28:G37 G39 G47:G1195</xm:sqref>
        </x14:dataValidation>
        <x14:dataValidation type="list" allowBlank="1" showInputMessage="1" showErrorMessage="1" xr:uid="{00000000-0002-0000-0700-000003000000}">
          <x14:formula1>
            <xm:f>'Basic Data'!$A$42:$A$53</xm:f>
          </x14:formula1>
          <xm:sqref>G14 G26:G27 G17:G20</xm:sqref>
        </x14:dataValidation>
        <x14:dataValidation type="list" allowBlank="1" showInputMessage="1" showErrorMessage="1" xr:uid="{00000000-0002-0000-0700-000002000000}">
          <x14:formula1>
            <xm:f>'Basic Data'!$N$3:$N$4</xm:f>
          </x14:formula1>
          <xm:sqref>S2:S39 S44:S1195</xm:sqref>
        </x14:dataValidation>
        <x14:dataValidation type="list" allowBlank="1" showInputMessage="1" showErrorMessage="1" xr:uid="{87021258-37B3-4E8E-A6FE-56DC59F960BA}">
          <x14:formula1>
            <xm:f>'Basic Data'!$X$2:$X$5</xm:f>
          </x14:formula1>
          <xm:sqref>V2:V41 V43:V1195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V183"/>
  <sheetViews>
    <sheetView showGridLines="0" topLeftCell="L1" workbookViewId="0">
      <selection activeCell="U2" sqref="U2"/>
    </sheetView>
  </sheetViews>
  <sheetFormatPr defaultColWidth="8.85546875" defaultRowHeight="15"/>
  <cols>
    <col min="1" max="1" width="10.28515625" customWidth="1"/>
    <col min="2" max="2" width="10" bestFit="1" customWidth="1"/>
    <col min="3" max="3" width="12.140625" customWidth="1"/>
    <col min="4" max="6" width="12.85546875" customWidth="1"/>
    <col min="7" max="7" width="13.7109375" customWidth="1"/>
    <col min="9" max="9" width="9.42578125" style="1" customWidth="1"/>
    <col min="10" max="10" width="9.85546875" style="1" customWidth="1"/>
    <col min="11" max="11" width="39.42578125" customWidth="1"/>
    <col min="12" max="12" width="10.42578125" customWidth="1"/>
    <col min="13" max="13" width="17.7109375" customWidth="1"/>
    <col min="14" max="14" width="13.85546875" customWidth="1"/>
    <col min="15" max="15" width="11.140625" bestFit="1" customWidth="1"/>
    <col min="16" max="16" width="8.85546875" customWidth="1"/>
    <col min="17" max="17" width="10.140625" customWidth="1"/>
    <col min="18" max="18" width="30.140625" bestFit="1" customWidth="1"/>
    <col min="19" max="19" width="8.42578125" customWidth="1"/>
    <col min="20" max="21" width="9.28515625" customWidth="1"/>
    <col min="22" max="22" width="19" customWidth="1"/>
  </cols>
  <sheetData>
    <row r="1" spans="1:22" ht="42" customHeight="1">
      <c r="A1" s="24" t="s">
        <v>7</v>
      </c>
      <c r="B1" s="25" t="s">
        <v>73</v>
      </c>
      <c r="C1" s="26" t="s">
        <v>174</v>
      </c>
      <c r="D1" s="26" t="s">
        <v>312</v>
      </c>
      <c r="E1" s="26" t="s">
        <v>385</v>
      </c>
      <c r="F1" s="26" t="s">
        <v>440</v>
      </c>
      <c r="G1" s="26" t="s">
        <v>708</v>
      </c>
      <c r="H1" s="26" t="s">
        <v>442</v>
      </c>
      <c r="I1" s="26" t="s">
        <v>443</v>
      </c>
      <c r="J1" s="26" t="s">
        <v>444</v>
      </c>
      <c r="K1" s="26" t="s">
        <v>447</v>
      </c>
      <c r="L1" s="26" t="s">
        <v>448</v>
      </c>
      <c r="M1" s="26" t="s">
        <v>449</v>
      </c>
      <c r="N1" s="26" t="s">
        <v>450</v>
      </c>
      <c r="O1" s="26" t="s">
        <v>451</v>
      </c>
      <c r="P1" s="26" t="s">
        <v>452</v>
      </c>
      <c r="Q1" s="26" t="s">
        <v>453</v>
      </c>
      <c r="R1" s="26" t="s">
        <v>454</v>
      </c>
      <c r="S1" s="26" t="s">
        <v>455</v>
      </c>
      <c r="T1" s="27" t="s">
        <v>456</v>
      </c>
      <c r="U1" s="27" t="s">
        <v>460</v>
      </c>
      <c r="V1" s="283" t="s">
        <v>709</v>
      </c>
    </row>
    <row r="2" spans="1:22">
      <c r="A2" s="28">
        <v>1</v>
      </c>
      <c r="B2" s="29">
        <v>44958</v>
      </c>
      <c r="C2" s="30">
        <f>YEAR(Grid_BD[[#This Row],[Date]])+IF(MONTH(Grid_BD[[#This Row],[Date]])&gt;=4,1,0)</f>
        <v>2023</v>
      </c>
      <c r="D2" s="31">
        <f>YEAR(Grid_BD[[#This Row],[Date]])</f>
        <v>2023</v>
      </c>
      <c r="E2" s="48">
        <f t="shared" ref="E2:E65" si="0">B2-DAY(B2)+1</f>
        <v>44958</v>
      </c>
      <c r="F2" s="32" t="s">
        <v>652</v>
      </c>
      <c r="G2" s="33" t="s">
        <v>710</v>
      </c>
      <c r="H2" s="43" t="str">
        <f>IFERROR(VLOOKUP(Grid_BD[[#This Row],[Affected System]],'Basic Data'!$A$54:$E$56,2,0),"")</f>
        <v>PWEGPL</v>
      </c>
      <c r="I2" s="43" t="str">
        <f>IFERROR(VLOOKUP(Grid_BD[[#This Row],[Affected System]],'Basic Data'!$A$54:$E$56,3,0),"")</f>
        <v>MSEDCL</v>
      </c>
      <c r="J2" s="43">
        <f>IFERROR(VLOOKUP(Grid_BD[[#This Row],[Affected System]],'Basic Data'!$A$54:$E$56,5,0),"")</f>
        <v>1</v>
      </c>
      <c r="K2" s="55" t="s">
        <v>711</v>
      </c>
      <c r="L2" s="50">
        <v>0.73125000000000007</v>
      </c>
      <c r="M2" s="50">
        <v>0.73472222222222217</v>
      </c>
      <c r="N2" s="50">
        <v>0.76527777777777783</v>
      </c>
      <c r="O2" s="44">
        <f>(Grid_BD[[#This Row],[Work Start TimeStamp]]-Grid_BD[[#This Row],[Fault Start TimeStamp]])*24</f>
        <v>8.3333333333330373E-2</v>
      </c>
      <c r="P2" s="44">
        <f>IF(Grid_BD[[#This Row],[Work Start TimeStamp]]="","",(Grid_BD[[#This Row],[Fault Clearance time]]-Grid_BD[[#This Row],[Work Start TimeStamp]])*24)</f>
        <v>0.73333333333333606</v>
      </c>
      <c r="Q2" s="44">
        <f>(Grid_BD[[#This Row],[Fault Clearance time]]-Grid_BD[[#This Row],[Fault Start TimeStamp]])*24</f>
        <v>0.81666666666666643</v>
      </c>
      <c r="R2" s="36" t="s">
        <v>712</v>
      </c>
      <c r="S2" s="44" t="s">
        <v>474</v>
      </c>
      <c r="T2" s="45">
        <f>IFERROR(Grid_BD[[#This Row],[Breakdown Time]]*Grid_BD[[#This Row],[Plant Equivalent Weightage]],"")</f>
        <v>0.81666666666666643</v>
      </c>
      <c r="U2" s="441"/>
    </row>
    <row r="3" spans="1:22">
      <c r="A3" s="28">
        <f>A2+1</f>
        <v>2</v>
      </c>
      <c r="B3" s="29"/>
      <c r="C3" s="30">
        <f>YEAR(Grid_BD[[#This Row],[Date]])+IF(MONTH(Grid_BD[[#This Row],[Date]])&gt;=4,1,0)</f>
        <v>1900</v>
      </c>
      <c r="D3" s="31">
        <f>YEAR(Grid_BD[[#This Row],[Date]])</f>
        <v>1900</v>
      </c>
      <c r="E3" s="48">
        <f t="shared" si="0"/>
        <v>1</v>
      </c>
      <c r="F3" s="32" t="s">
        <v>652</v>
      </c>
      <c r="G3" s="33"/>
      <c r="H3" s="43" t="str">
        <f>IFERROR(VLOOKUP(Grid_BD[[#This Row],[Affected System]],'Basic Data'!$A$54:$E$56,2,0),"")</f>
        <v/>
      </c>
      <c r="I3" s="43" t="str">
        <f>IFERROR(VLOOKUP(Grid_BD[[#This Row],[Affected System]],'Basic Data'!$A$54:$E$56,3,0),"")</f>
        <v/>
      </c>
      <c r="J3" s="43" t="str">
        <f>IFERROR(VLOOKUP(Grid_BD[[#This Row],[Affected System]],'Basic Data'!$A$54:$E$56,5,0),"")</f>
        <v/>
      </c>
      <c r="K3" s="55"/>
      <c r="L3" s="50"/>
      <c r="M3" s="50"/>
      <c r="N3" s="50"/>
      <c r="O3" s="44">
        <f>(Grid_BD[[#This Row],[Work Start TimeStamp]]-Grid_BD[[#This Row],[Fault Start TimeStamp]])*24</f>
        <v>0</v>
      </c>
      <c r="P3" s="44" t="str">
        <f>IF(Grid_BD[[#This Row],[Work Start TimeStamp]]="","",(Grid_BD[[#This Row],[Fault Clearance time]]-Grid_BD[[#This Row],[Work Start TimeStamp]])*24)</f>
        <v/>
      </c>
      <c r="Q3" s="44">
        <f>(Grid_BD[[#This Row],[Fault Clearance time]]-Grid_BD[[#This Row],[Fault Start TimeStamp]])*24</f>
        <v>0</v>
      </c>
      <c r="R3" s="36"/>
      <c r="S3" s="44"/>
      <c r="T3" s="45" t="str">
        <f>IFERROR(Grid_BD[[#This Row],[Breakdown Time]]*Grid_BD[[#This Row],[Plant Equivalent Weightage]],"")</f>
        <v/>
      </c>
      <c r="U3" s="441"/>
    </row>
    <row r="4" spans="1:22">
      <c r="A4" s="28">
        <f t="shared" ref="A4:A67" si="1">A3+1</f>
        <v>3</v>
      </c>
      <c r="B4" s="29"/>
      <c r="C4" s="30">
        <f>YEAR(Grid_BD[[#This Row],[Date]])+IF(MONTH(Grid_BD[[#This Row],[Date]])&gt;=4,1,0)</f>
        <v>1900</v>
      </c>
      <c r="D4" s="31">
        <f>YEAR(Grid_BD[[#This Row],[Date]])</f>
        <v>1900</v>
      </c>
      <c r="E4" s="48">
        <f t="shared" si="0"/>
        <v>1</v>
      </c>
      <c r="F4" s="32" t="s">
        <v>652</v>
      </c>
      <c r="G4" s="33"/>
      <c r="H4" s="43" t="str">
        <f>IFERROR(VLOOKUP(Grid_BD[[#This Row],[Affected System]],'Basic Data'!$A$54:$E$56,2,0),"")</f>
        <v/>
      </c>
      <c r="I4" s="43" t="str">
        <f>IFERROR(VLOOKUP(Grid_BD[[#This Row],[Affected System]],'Basic Data'!$A$54:$E$56,3,0),"")</f>
        <v/>
      </c>
      <c r="J4" s="43" t="str">
        <f>IFERROR(VLOOKUP(Grid_BD[[#This Row],[Affected System]],'Basic Data'!$A$54:$E$56,5,0),"")</f>
        <v/>
      </c>
      <c r="K4" s="55"/>
      <c r="L4" s="50"/>
      <c r="M4" s="50"/>
      <c r="N4" s="50"/>
      <c r="O4" s="44">
        <f>(Grid_BD[[#This Row],[Work Start TimeStamp]]-Grid_BD[[#This Row],[Fault Start TimeStamp]])*24</f>
        <v>0</v>
      </c>
      <c r="P4" s="44" t="str">
        <f>IF(Grid_BD[[#This Row],[Work Start TimeStamp]]="","",(Grid_BD[[#This Row],[Fault Clearance time]]-Grid_BD[[#This Row],[Work Start TimeStamp]])*24)</f>
        <v/>
      </c>
      <c r="Q4" s="44">
        <f>(Grid_BD[[#This Row],[Fault Clearance time]]-Grid_BD[[#This Row],[Fault Start TimeStamp]])*24</f>
        <v>0</v>
      </c>
      <c r="R4" s="36"/>
      <c r="S4" s="44"/>
      <c r="T4" s="45" t="str">
        <f>IFERROR(Grid_BD[[#This Row],[Breakdown Time]]*Grid_BD[[#This Row],[Plant Equivalent Weightage]],"")</f>
        <v/>
      </c>
      <c r="U4" s="441"/>
    </row>
    <row r="5" spans="1:22">
      <c r="A5" s="28">
        <f t="shared" si="1"/>
        <v>4</v>
      </c>
      <c r="B5" s="29"/>
      <c r="C5" s="30">
        <f>YEAR(Grid_BD[[#This Row],[Date]])+IF(MONTH(Grid_BD[[#This Row],[Date]])&gt;=4,1,0)</f>
        <v>1900</v>
      </c>
      <c r="D5" s="31">
        <f>YEAR(Grid_BD[[#This Row],[Date]])</f>
        <v>1900</v>
      </c>
      <c r="E5" s="48">
        <f t="shared" si="0"/>
        <v>1</v>
      </c>
      <c r="F5" s="32" t="s">
        <v>652</v>
      </c>
      <c r="G5" s="33"/>
      <c r="H5" s="43" t="str">
        <f>IFERROR(VLOOKUP(Grid_BD[[#This Row],[Affected System]],'Basic Data'!$A$54:$E$56,2,0),"")</f>
        <v/>
      </c>
      <c r="I5" s="43" t="str">
        <f>IFERROR(VLOOKUP(Grid_BD[[#This Row],[Affected System]],'Basic Data'!$A$54:$E$56,3,0),"")</f>
        <v/>
      </c>
      <c r="J5" s="43" t="str">
        <f>IFERROR(VLOOKUP(Grid_BD[[#This Row],[Affected System]],'Basic Data'!$A$54:$E$56,5,0),"")</f>
        <v/>
      </c>
      <c r="K5" s="55"/>
      <c r="L5" s="50"/>
      <c r="M5" s="50"/>
      <c r="N5" s="50"/>
      <c r="O5" s="44">
        <f>(Grid_BD[[#This Row],[Work Start TimeStamp]]-Grid_BD[[#This Row],[Fault Start TimeStamp]])*24</f>
        <v>0</v>
      </c>
      <c r="P5" s="44" t="str">
        <f>IF(Grid_BD[[#This Row],[Work Start TimeStamp]]="","",(Grid_BD[[#This Row],[Fault Clearance time]]-Grid_BD[[#This Row],[Work Start TimeStamp]])*24)</f>
        <v/>
      </c>
      <c r="Q5" s="44">
        <f>(Grid_BD[[#This Row],[Fault Clearance time]]-Grid_BD[[#This Row],[Fault Start TimeStamp]])*24</f>
        <v>0</v>
      </c>
      <c r="R5" s="36"/>
      <c r="S5" s="44"/>
      <c r="T5" s="45" t="str">
        <f>IFERROR(Grid_BD[[#This Row],[Breakdown Time]]*Grid_BD[[#This Row],[Plant Equivalent Weightage]],"")</f>
        <v/>
      </c>
      <c r="U5" s="441"/>
    </row>
    <row r="6" spans="1:22">
      <c r="A6" s="28">
        <f t="shared" si="1"/>
        <v>5</v>
      </c>
      <c r="B6" s="29"/>
      <c r="C6" s="30">
        <f>YEAR(Grid_BD[[#This Row],[Date]])+IF(MONTH(Grid_BD[[#This Row],[Date]])&gt;=4,1,0)</f>
        <v>1900</v>
      </c>
      <c r="D6" s="31">
        <f>YEAR(Grid_BD[[#This Row],[Date]])</f>
        <v>1900</v>
      </c>
      <c r="E6" s="48">
        <f t="shared" si="0"/>
        <v>1</v>
      </c>
      <c r="F6" s="32" t="s">
        <v>652</v>
      </c>
      <c r="G6" s="33"/>
      <c r="H6" s="43" t="str">
        <f>IFERROR(VLOOKUP(Grid_BD[[#This Row],[Affected System]],'Basic Data'!$A$54:$E$56,2,0),"")</f>
        <v/>
      </c>
      <c r="I6" s="43" t="str">
        <f>IFERROR(VLOOKUP(Grid_BD[[#This Row],[Affected System]],'Basic Data'!$A$54:$E$56,3,0),"")</f>
        <v/>
      </c>
      <c r="J6" s="43" t="str">
        <f>IFERROR(VLOOKUP(Grid_BD[[#This Row],[Affected System]],'Basic Data'!$A$54:$E$56,5,0),"")</f>
        <v/>
      </c>
      <c r="K6" s="55"/>
      <c r="L6" s="50"/>
      <c r="M6" s="50"/>
      <c r="N6" s="50"/>
      <c r="O6" s="44">
        <f>(Grid_BD[[#This Row],[Work Start TimeStamp]]-Grid_BD[[#This Row],[Fault Start TimeStamp]])*24</f>
        <v>0</v>
      </c>
      <c r="P6" s="44" t="str">
        <f>IF(Grid_BD[[#This Row],[Work Start TimeStamp]]="","",(Grid_BD[[#This Row],[Fault Clearance time]]-Grid_BD[[#This Row],[Work Start TimeStamp]])*24)</f>
        <v/>
      </c>
      <c r="Q6" s="44">
        <f>(Grid_BD[[#This Row],[Fault Clearance time]]-Grid_BD[[#This Row],[Fault Start TimeStamp]])*24</f>
        <v>0</v>
      </c>
      <c r="R6" s="36"/>
      <c r="S6" s="44"/>
      <c r="T6" s="45" t="str">
        <f>IFERROR(Grid_BD[[#This Row],[Breakdown Time]]*Grid_BD[[#This Row],[Plant Equivalent Weightage]],"")</f>
        <v/>
      </c>
      <c r="U6" s="441"/>
    </row>
    <row r="7" spans="1:22">
      <c r="A7" s="28">
        <f t="shared" si="1"/>
        <v>6</v>
      </c>
      <c r="B7" s="29"/>
      <c r="C7" s="30">
        <f>YEAR(Grid_BD[[#This Row],[Date]])+IF(MONTH(Grid_BD[[#This Row],[Date]])&gt;=4,1,0)</f>
        <v>1900</v>
      </c>
      <c r="D7" s="31">
        <f>YEAR(Grid_BD[[#This Row],[Date]])</f>
        <v>1900</v>
      </c>
      <c r="E7" s="48">
        <f t="shared" si="0"/>
        <v>1</v>
      </c>
      <c r="F7" s="32" t="s">
        <v>652</v>
      </c>
      <c r="G7" s="33"/>
      <c r="H7" s="43" t="str">
        <f>IFERROR(VLOOKUP(Grid_BD[[#This Row],[Affected System]],'Basic Data'!$A$54:$E$56,2,0),"")</f>
        <v/>
      </c>
      <c r="I7" s="43" t="str">
        <f>IFERROR(VLOOKUP(Grid_BD[[#This Row],[Affected System]],'Basic Data'!$A$54:$E$56,3,0),"")</f>
        <v/>
      </c>
      <c r="J7" s="43" t="str">
        <f>IFERROR(VLOOKUP(Grid_BD[[#This Row],[Affected System]],'Basic Data'!$A$54:$E$56,5,0),"")</f>
        <v/>
      </c>
      <c r="K7" s="55"/>
      <c r="L7" s="50"/>
      <c r="M7" s="50"/>
      <c r="N7" s="50"/>
      <c r="O7" s="44">
        <f>(Grid_BD[[#This Row],[Work Start TimeStamp]]-Grid_BD[[#This Row],[Fault Start TimeStamp]])*24</f>
        <v>0</v>
      </c>
      <c r="P7" s="44" t="str">
        <f>IF(Grid_BD[[#This Row],[Work Start TimeStamp]]="","",(Grid_BD[[#This Row],[Fault Clearance time]]-Grid_BD[[#This Row],[Work Start TimeStamp]])*24)</f>
        <v/>
      </c>
      <c r="Q7" s="44">
        <f>(Grid_BD[[#This Row],[Fault Clearance time]]-Grid_BD[[#This Row],[Fault Start TimeStamp]])*24</f>
        <v>0</v>
      </c>
      <c r="R7" s="36"/>
      <c r="S7" s="44"/>
      <c r="T7" s="45" t="str">
        <f>IFERROR(Grid_BD[[#This Row],[Breakdown Time]]*Grid_BD[[#This Row],[Plant Equivalent Weightage]],"")</f>
        <v/>
      </c>
      <c r="U7" s="441"/>
    </row>
    <row r="8" spans="1:22">
      <c r="A8" s="28">
        <f t="shared" si="1"/>
        <v>7</v>
      </c>
      <c r="B8" s="29"/>
      <c r="C8" s="30">
        <f>YEAR(Grid_BD[[#This Row],[Date]])+IF(MONTH(Grid_BD[[#This Row],[Date]])&gt;=4,1,0)</f>
        <v>1900</v>
      </c>
      <c r="D8" s="31">
        <f>YEAR(Grid_BD[[#This Row],[Date]])</f>
        <v>1900</v>
      </c>
      <c r="E8" s="48">
        <f t="shared" si="0"/>
        <v>1</v>
      </c>
      <c r="F8" s="32" t="s">
        <v>652</v>
      </c>
      <c r="G8" s="33"/>
      <c r="H8" s="43" t="str">
        <f>IFERROR(VLOOKUP(Grid_BD[[#This Row],[Affected System]],'Basic Data'!$A$54:$E$56,2,0),"")</f>
        <v/>
      </c>
      <c r="I8" s="43" t="str">
        <f>IFERROR(VLOOKUP(Grid_BD[[#This Row],[Affected System]],'Basic Data'!$A$54:$E$56,3,0),"")</f>
        <v/>
      </c>
      <c r="J8" s="43" t="str">
        <f>IFERROR(VLOOKUP(Grid_BD[[#This Row],[Affected System]],'Basic Data'!$A$54:$E$56,5,0),"")</f>
        <v/>
      </c>
      <c r="K8" s="55"/>
      <c r="L8" s="50"/>
      <c r="M8" s="50"/>
      <c r="N8" s="50"/>
      <c r="O8" s="44">
        <f>(Grid_BD[[#This Row],[Work Start TimeStamp]]-Grid_BD[[#This Row],[Fault Start TimeStamp]])*24</f>
        <v>0</v>
      </c>
      <c r="P8" s="44" t="str">
        <f>IF(Grid_BD[[#This Row],[Work Start TimeStamp]]="","",(Grid_BD[[#This Row],[Fault Clearance time]]-Grid_BD[[#This Row],[Work Start TimeStamp]])*24)</f>
        <v/>
      </c>
      <c r="Q8" s="44">
        <f>(Grid_BD[[#This Row],[Fault Clearance time]]-Grid_BD[[#This Row],[Fault Start TimeStamp]])*24</f>
        <v>0</v>
      </c>
      <c r="R8" s="36"/>
      <c r="S8" s="44"/>
      <c r="T8" s="45" t="str">
        <f>IFERROR(Grid_BD[[#This Row],[Breakdown Time]]*Grid_BD[[#This Row],[Plant Equivalent Weightage]],"")</f>
        <v/>
      </c>
      <c r="U8" s="441"/>
    </row>
    <row r="9" spans="1:22">
      <c r="A9" s="28">
        <f t="shared" si="1"/>
        <v>8</v>
      </c>
      <c r="B9" s="29"/>
      <c r="C9" s="30">
        <f>YEAR(Grid_BD[[#This Row],[Date]])+IF(MONTH(Grid_BD[[#This Row],[Date]])&gt;=4,1,0)</f>
        <v>1900</v>
      </c>
      <c r="D9" s="31">
        <f>YEAR(Grid_BD[[#This Row],[Date]])</f>
        <v>1900</v>
      </c>
      <c r="E9" s="48">
        <f t="shared" si="0"/>
        <v>1</v>
      </c>
      <c r="F9" s="32" t="s">
        <v>652</v>
      </c>
      <c r="G9" s="33"/>
      <c r="H9" s="43" t="str">
        <f>IFERROR(VLOOKUP(Grid_BD[[#This Row],[Affected System]],'Basic Data'!$A$54:$E$56,2,0),"")</f>
        <v/>
      </c>
      <c r="I9" s="43" t="str">
        <f>IFERROR(VLOOKUP(Grid_BD[[#This Row],[Affected System]],'Basic Data'!$A$54:$E$56,3,0),"")</f>
        <v/>
      </c>
      <c r="J9" s="43" t="str">
        <f>IFERROR(VLOOKUP(Grid_BD[[#This Row],[Affected System]],'Basic Data'!$A$54:$E$56,5,0),"")</f>
        <v/>
      </c>
      <c r="K9" s="55"/>
      <c r="L9" s="50"/>
      <c r="M9" s="50"/>
      <c r="N9" s="50"/>
      <c r="O9" s="44">
        <f>(Grid_BD[[#This Row],[Work Start TimeStamp]]-Grid_BD[[#This Row],[Fault Start TimeStamp]])*24</f>
        <v>0</v>
      </c>
      <c r="P9" s="44" t="str">
        <f>IF(Grid_BD[[#This Row],[Work Start TimeStamp]]="","",(Grid_BD[[#This Row],[Fault Clearance time]]-Grid_BD[[#This Row],[Work Start TimeStamp]])*24)</f>
        <v/>
      </c>
      <c r="Q9" s="44">
        <f>(Grid_BD[[#This Row],[Fault Clearance time]]-Grid_BD[[#This Row],[Fault Start TimeStamp]])*24</f>
        <v>0</v>
      </c>
      <c r="R9" s="36"/>
      <c r="S9" s="44"/>
      <c r="T9" s="45" t="str">
        <f>IFERROR(Grid_BD[[#This Row],[Breakdown Time]]*Grid_BD[[#This Row],[Plant Equivalent Weightage]],"")</f>
        <v/>
      </c>
      <c r="U9" s="441"/>
    </row>
    <row r="10" spans="1:22">
      <c r="A10" s="28">
        <f t="shared" si="1"/>
        <v>9</v>
      </c>
      <c r="B10" s="29"/>
      <c r="C10" s="30">
        <f>YEAR(Grid_BD[[#This Row],[Date]])+IF(MONTH(Grid_BD[[#This Row],[Date]])&gt;=4,1,0)</f>
        <v>1900</v>
      </c>
      <c r="D10" s="31">
        <f>YEAR(Grid_BD[[#This Row],[Date]])</f>
        <v>1900</v>
      </c>
      <c r="E10" s="48">
        <f t="shared" si="0"/>
        <v>1</v>
      </c>
      <c r="F10" s="32" t="s">
        <v>652</v>
      </c>
      <c r="G10" s="33"/>
      <c r="H10" s="43" t="str">
        <f>IFERROR(VLOOKUP(Grid_BD[[#This Row],[Affected System]],'Basic Data'!$A$54:$E$56,2,0),"")</f>
        <v/>
      </c>
      <c r="I10" s="43" t="str">
        <f>IFERROR(VLOOKUP(Grid_BD[[#This Row],[Affected System]],'Basic Data'!$A$54:$E$56,3,0),"")</f>
        <v/>
      </c>
      <c r="J10" s="43" t="str">
        <f>IFERROR(VLOOKUP(Grid_BD[[#This Row],[Affected System]],'Basic Data'!$A$54:$E$56,5,0),"")</f>
        <v/>
      </c>
      <c r="K10" s="55"/>
      <c r="L10" s="50"/>
      <c r="M10" s="50"/>
      <c r="N10" s="50"/>
      <c r="O10" s="44">
        <f>(Grid_BD[[#This Row],[Work Start TimeStamp]]-Grid_BD[[#This Row],[Fault Start TimeStamp]])*24</f>
        <v>0</v>
      </c>
      <c r="P10" s="44" t="str">
        <f>IF(Grid_BD[[#This Row],[Work Start TimeStamp]]="","",(Grid_BD[[#This Row],[Fault Clearance time]]-Grid_BD[[#This Row],[Work Start TimeStamp]])*24)</f>
        <v/>
      </c>
      <c r="Q10" s="44">
        <f>(Grid_BD[[#This Row],[Fault Clearance time]]-Grid_BD[[#This Row],[Fault Start TimeStamp]])*24</f>
        <v>0</v>
      </c>
      <c r="R10" s="36"/>
      <c r="S10" s="44"/>
      <c r="T10" s="45" t="str">
        <f>IFERROR(Grid_BD[[#This Row],[Breakdown Time]]*Grid_BD[[#This Row],[Plant Equivalent Weightage]],"")</f>
        <v/>
      </c>
      <c r="U10" s="441"/>
    </row>
    <row r="11" spans="1:22">
      <c r="A11" s="28">
        <f t="shared" si="1"/>
        <v>10</v>
      </c>
      <c r="B11" s="29"/>
      <c r="C11" s="30">
        <f>YEAR(Grid_BD[[#This Row],[Date]])+IF(MONTH(Grid_BD[[#This Row],[Date]])&gt;=4,1,0)</f>
        <v>1900</v>
      </c>
      <c r="D11" s="31">
        <f>YEAR(Grid_BD[[#This Row],[Date]])</f>
        <v>1900</v>
      </c>
      <c r="E11" s="48">
        <f t="shared" si="0"/>
        <v>1</v>
      </c>
      <c r="F11" s="32" t="s">
        <v>652</v>
      </c>
      <c r="G11" s="33"/>
      <c r="H11" s="43" t="str">
        <f>IFERROR(VLOOKUP(Grid_BD[[#This Row],[Affected System]],'Basic Data'!$A$54:$E$56,2,0),"")</f>
        <v/>
      </c>
      <c r="I11" s="43" t="str">
        <f>IFERROR(VLOOKUP(Grid_BD[[#This Row],[Affected System]],'Basic Data'!$A$54:$E$56,3,0),"")</f>
        <v/>
      </c>
      <c r="J11" s="43" t="str">
        <f>IFERROR(VLOOKUP(Grid_BD[[#This Row],[Affected System]],'Basic Data'!$A$54:$E$56,5,0),"")</f>
        <v/>
      </c>
      <c r="K11" s="55"/>
      <c r="L11" s="50"/>
      <c r="M11" s="50"/>
      <c r="N11" s="50"/>
      <c r="O11" s="44">
        <f>(Grid_BD[[#This Row],[Work Start TimeStamp]]-Grid_BD[[#This Row],[Fault Start TimeStamp]])*24</f>
        <v>0</v>
      </c>
      <c r="P11" s="44" t="str">
        <f>IF(Grid_BD[[#This Row],[Work Start TimeStamp]]="","",(Grid_BD[[#This Row],[Fault Clearance time]]-Grid_BD[[#This Row],[Work Start TimeStamp]])*24)</f>
        <v/>
      </c>
      <c r="Q11" s="44">
        <f>(Grid_BD[[#This Row],[Fault Clearance time]]-Grid_BD[[#This Row],[Fault Start TimeStamp]])*24</f>
        <v>0</v>
      </c>
      <c r="R11" s="36"/>
      <c r="S11" s="44"/>
      <c r="T11" s="45" t="str">
        <f>IFERROR(Grid_BD[[#This Row],[Breakdown Time]]*Grid_BD[[#This Row],[Plant Equivalent Weightage]],"")</f>
        <v/>
      </c>
      <c r="U11" s="441"/>
    </row>
    <row r="12" spans="1:22">
      <c r="A12" s="28">
        <f t="shared" si="1"/>
        <v>11</v>
      </c>
      <c r="B12" s="29"/>
      <c r="C12" s="30">
        <f>YEAR(Grid_BD[[#This Row],[Date]])+IF(MONTH(Grid_BD[[#This Row],[Date]])&gt;=4,1,0)</f>
        <v>1900</v>
      </c>
      <c r="D12" s="31">
        <f>YEAR(Grid_BD[[#This Row],[Date]])</f>
        <v>1900</v>
      </c>
      <c r="E12" s="48">
        <f t="shared" si="0"/>
        <v>1</v>
      </c>
      <c r="F12" s="32" t="s">
        <v>652</v>
      </c>
      <c r="G12" s="33"/>
      <c r="H12" s="43" t="str">
        <f>IFERROR(VLOOKUP(Grid_BD[[#This Row],[Affected System]],'Basic Data'!$A$54:$E$56,2,0),"")</f>
        <v/>
      </c>
      <c r="I12" s="43" t="str">
        <f>IFERROR(VLOOKUP(Grid_BD[[#This Row],[Affected System]],'Basic Data'!$A$54:$E$56,3,0),"")</f>
        <v/>
      </c>
      <c r="J12" s="43" t="str">
        <f>IFERROR(VLOOKUP(Grid_BD[[#This Row],[Affected System]],'Basic Data'!$A$54:$E$56,5,0),"")</f>
        <v/>
      </c>
      <c r="K12" s="55"/>
      <c r="L12" s="50"/>
      <c r="M12" s="50"/>
      <c r="N12" s="50"/>
      <c r="O12" s="44">
        <f>(Grid_BD[[#This Row],[Work Start TimeStamp]]-Grid_BD[[#This Row],[Fault Start TimeStamp]])*24</f>
        <v>0</v>
      </c>
      <c r="P12" s="44" t="str">
        <f>IF(Grid_BD[[#This Row],[Work Start TimeStamp]]="","",(Grid_BD[[#This Row],[Fault Clearance time]]-Grid_BD[[#This Row],[Work Start TimeStamp]])*24)</f>
        <v/>
      </c>
      <c r="Q12" s="44">
        <f>(Grid_BD[[#This Row],[Fault Clearance time]]-Grid_BD[[#This Row],[Fault Start TimeStamp]])*24</f>
        <v>0</v>
      </c>
      <c r="R12" s="36"/>
      <c r="S12" s="44"/>
      <c r="T12" s="45" t="str">
        <f>IFERROR(Grid_BD[[#This Row],[Breakdown Time]]*Grid_BD[[#This Row],[Plant Equivalent Weightage]],"")</f>
        <v/>
      </c>
      <c r="U12" s="441"/>
    </row>
    <row r="13" spans="1:22">
      <c r="A13" s="28">
        <f t="shared" si="1"/>
        <v>12</v>
      </c>
      <c r="B13" s="29"/>
      <c r="C13" s="30">
        <f>YEAR(Grid_BD[[#This Row],[Date]])+IF(MONTH(Grid_BD[[#This Row],[Date]])&gt;=4,1,0)</f>
        <v>1900</v>
      </c>
      <c r="D13" s="31">
        <f>YEAR(Grid_BD[[#This Row],[Date]])</f>
        <v>1900</v>
      </c>
      <c r="E13" s="48">
        <f t="shared" si="0"/>
        <v>1</v>
      </c>
      <c r="F13" s="32" t="s">
        <v>652</v>
      </c>
      <c r="G13" s="33"/>
      <c r="H13" s="43" t="str">
        <f>IFERROR(VLOOKUP(Grid_BD[[#This Row],[Affected System]],'Basic Data'!$A$54:$E$56,2,0),"")</f>
        <v/>
      </c>
      <c r="I13" s="43" t="str">
        <f>IFERROR(VLOOKUP(Grid_BD[[#This Row],[Affected System]],'Basic Data'!$A$54:$E$56,3,0),"")</f>
        <v/>
      </c>
      <c r="J13" s="43" t="str">
        <f>IFERROR(VLOOKUP(Grid_BD[[#This Row],[Affected System]],'Basic Data'!$A$54:$E$56,5,0),"")</f>
        <v/>
      </c>
      <c r="K13" s="55"/>
      <c r="L13" s="50"/>
      <c r="M13" s="50"/>
      <c r="N13" s="50"/>
      <c r="O13" s="44">
        <f>(Grid_BD[[#This Row],[Work Start TimeStamp]]-Grid_BD[[#This Row],[Fault Start TimeStamp]])*24</f>
        <v>0</v>
      </c>
      <c r="P13" s="44" t="str">
        <f>IF(Grid_BD[[#This Row],[Work Start TimeStamp]]="","",(Grid_BD[[#This Row],[Fault Clearance time]]-Grid_BD[[#This Row],[Work Start TimeStamp]])*24)</f>
        <v/>
      </c>
      <c r="Q13" s="44">
        <f>(Grid_BD[[#This Row],[Fault Clearance time]]-Grid_BD[[#This Row],[Fault Start TimeStamp]])*24</f>
        <v>0</v>
      </c>
      <c r="R13" s="36"/>
      <c r="S13" s="44"/>
      <c r="T13" s="45" t="str">
        <f>IFERROR(Grid_BD[[#This Row],[Breakdown Time]]*Grid_BD[[#This Row],[Plant Equivalent Weightage]],"")</f>
        <v/>
      </c>
      <c r="U13" s="441"/>
    </row>
    <row r="14" spans="1:22">
      <c r="A14" s="28">
        <f t="shared" si="1"/>
        <v>13</v>
      </c>
      <c r="B14" s="29"/>
      <c r="C14" s="30">
        <f>YEAR(Grid_BD[[#This Row],[Date]])+IF(MONTH(Grid_BD[[#This Row],[Date]])&gt;=4,1,0)</f>
        <v>1900</v>
      </c>
      <c r="D14" s="31">
        <f>YEAR(Grid_BD[[#This Row],[Date]])</f>
        <v>1900</v>
      </c>
      <c r="E14" s="48">
        <f t="shared" si="0"/>
        <v>1</v>
      </c>
      <c r="F14" s="32" t="s">
        <v>652</v>
      </c>
      <c r="G14" s="33"/>
      <c r="H14" s="43" t="str">
        <f>IFERROR(VLOOKUP(Grid_BD[[#This Row],[Affected System]],'Basic Data'!$A$54:$E$56,2,0),"")</f>
        <v/>
      </c>
      <c r="I14" s="43" t="str">
        <f>IFERROR(VLOOKUP(Grid_BD[[#This Row],[Affected System]],'Basic Data'!$A$54:$E$56,3,0),"")</f>
        <v/>
      </c>
      <c r="J14" s="43" t="str">
        <f>IFERROR(VLOOKUP(Grid_BD[[#This Row],[Affected System]],'Basic Data'!$A$54:$E$56,5,0),"")</f>
        <v/>
      </c>
      <c r="K14" s="55"/>
      <c r="L14" s="50"/>
      <c r="M14" s="50"/>
      <c r="N14" s="50"/>
      <c r="O14" s="44">
        <f>(Grid_BD[[#This Row],[Work Start TimeStamp]]-Grid_BD[[#This Row],[Fault Start TimeStamp]])*24</f>
        <v>0</v>
      </c>
      <c r="P14" s="44" t="str">
        <f>IF(Grid_BD[[#This Row],[Work Start TimeStamp]]="","",(Grid_BD[[#This Row],[Fault Clearance time]]-Grid_BD[[#This Row],[Work Start TimeStamp]])*24)</f>
        <v/>
      </c>
      <c r="Q14" s="44">
        <f>(Grid_BD[[#This Row],[Fault Clearance time]]-Grid_BD[[#This Row],[Fault Start TimeStamp]])*24</f>
        <v>0</v>
      </c>
      <c r="R14" s="36"/>
      <c r="S14" s="44"/>
      <c r="T14" s="45" t="str">
        <f>IFERROR(Grid_BD[[#This Row],[Breakdown Time]]*Grid_BD[[#This Row],[Plant Equivalent Weightage]],"")</f>
        <v/>
      </c>
      <c r="U14" s="441"/>
    </row>
    <row r="15" spans="1:22">
      <c r="A15" s="28">
        <f t="shared" si="1"/>
        <v>14</v>
      </c>
      <c r="B15" s="29"/>
      <c r="C15" s="30">
        <f>YEAR(Grid_BD[[#This Row],[Date]])+IF(MONTH(Grid_BD[[#This Row],[Date]])&gt;=4,1,0)</f>
        <v>1900</v>
      </c>
      <c r="D15" s="31">
        <f>YEAR(Grid_BD[[#This Row],[Date]])</f>
        <v>1900</v>
      </c>
      <c r="E15" s="48">
        <f t="shared" si="0"/>
        <v>1</v>
      </c>
      <c r="F15" s="32" t="s">
        <v>652</v>
      </c>
      <c r="G15" s="33"/>
      <c r="H15" s="43" t="str">
        <f>IFERROR(VLOOKUP(Grid_BD[[#This Row],[Affected System]],'Basic Data'!$A$54:$E$56,2,0),"")</f>
        <v/>
      </c>
      <c r="I15" s="43" t="str">
        <f>IFERROR(VLOOKUP(Grid_BD[[#This Row],[Affected System]],'Basic Data'!$A$54:$E$56,3,0),"")</f>
        <v/>
      </c>
      <c r="J15" s="43" t="str">
        <f>IFERROR(VLOOKUP(Grid_BD[[#This Row],[Affected System]],'Basic Data'!$A$54:$E$56,5,0),"")</f>
        <v/>
      </c>
      <c r="K15" s="55"/>
      <c r="L15" s="50"/>
      <c r="M15" s="50"/>
      <c r="N15" s="50"/>
      <c r="O15" s="44">
        <f>(Grid_BD[[#This Row],[Work Start TimeStamp]]-Grid_BD[[#This Row],[Fault Start TimeStamp]])*24</f>
        <v>0</v>
      </c>
      <c r="P15" s="44" t="str">
        <f>IF(Grid_BD[[#This Row],[Work Start TimeStamp]]="","",(Grid_BD[[#This Row],[Fault Clearance time]]-Grid_BD[[#This Row],[Work Start TimeStamp]])*24)</f>
        <v/>
      </c>
      <c r="Q15" s="44">
        <f>(Grid_BD[[#This Row],[Fault Clearance time]]-Grid_BD[[#This Row],[Fault Start TimeStamp]])*24</f>
        <v>0</v>
      </c>
      <c r="R15" s="36"/>
      <c r="S15" s="44"/>
      <c r="T15" s="45" t="str">
        <f>IFERROR(Grid_BD[[#This Row],[Breakdown Time]]*Grid_BD[[#This Row],[Plant Equivalent Weightage]],"")</f>
        <v/>
      </c>
      <c r="U15" s="441"/>
    </row>
    <row r="16" spans="1:22">
      <c r="A16" s="28">
        <f t="shared" si="1"/>
        <v>15</v>
      </c>
      <c r="B16" s="29"/>
      <c r="C16" s="30">
        <f>YEAR(Grid_BD[[#This Row],[Date]])+IF(MONTH(Grid_BD[[#This Row],[Date]])&gt;=4,1,0)</f>
        <v>1900</v>
      </c>
      <c r="D16" s="31">
        <f>YEAR(Grid_BD[[#This Row],[Date]])</f>
        <v>1900</v>
      </c>
      <c r="E16" s="48">
        <f t="shared" si="0"/>
        <v>1</v>
      </c>
      <c r="F16" s="32" t="s">
        <v>652</v>
      </c>
      <c r="G16" s="33"/>
      <c r="H16" s="43" t="str">
        <f>IFERROR(VLOOKUP(Grid_BD[[#This Row],[Affected System]],'Basic Data'!$A$54:$E$56,2,0),"")</f>
        <v/>
      </c>
      <c r="I16" s="43" t="str">
        <f>IFERROR(VLOOKUP(Grid_BD[[#This Row],[Affected System]],'Basic Data'!$A$54:$E$56,3,0),"")</f>
        <v/>
      </c>
      <c r="J16" s="43" t="str">
        <f>IFERROR(VLOOKUP(Grid_BD[[#This Row],[Affected System]],'Basic Data'!$A$54:$E$56,5,0),"")</f>
        <v/>
      </c>
      <c r="K16" s="55"/>
      <c r="L16" s="50"/>
      <c r="M16" s="50"/>
      <c r="N16" s="50"/>
      <c r="O16" s="44">
        <f>(Grid_BD[[#This Row],[Work Start TimeStamp]]-Grid_BD[[#This Row],[Fault Start TimeStamp]])*24</f>
        <v>0</v>
      </c>
      <c r="P16" s="44" t="str">
        <f>IF(Grid_BD[[#This Row],[Work Start TimeStamp]]="","",(Grid_BD[[#This Row],[Fault Clearance time]]-Grid_BD[[#This Row],[Work Start TimeStamp]])*24)</f>
        <v/>
      </c>
      <c r="Q16" s="44">
        <f>(Grid_BD[[#This Row],[Fault Clearance time]]-Grid_BD[[#This Row],[Fault Start TimeStamp]])*24</f>
        <v>0</v>
      </c>
      <c r="R16" s="36"/>
      <c r="S16" s="44"/>
      <c r="T16" s="45" t="str">
        <f>IFERROR(Grid_BD[[#This Row],[Breakdown Time]]*Grid_BD[[#This Row],[Plant Equivalent Weightage]],"")</f>
        <v/>
      </c>
      <c r="U16" s="441"/>
    </row>
    <row r="17" spans="1:21">
      <c r="A17" s="28">
        <f t="shared" si="1"/>
        <v>16</v>
      </c>
      <c r="B17" s="29"/>
      <c r="C17" s="30">
        <f>YEAR(Grid_BD[[#This Row],[Date]])+IF(MONTH(Grid_BD[[#This Row],[Date]])&gt;=4,1,0)</f>
        <v>1900</v>
      </c>
      <c r="D17" s="31">
        <f>YEAR(Grid_BD[[#This Row],[Date]])</f>
        <v>1900</v>
      </c>
      <c r="E17" s="48">
        <f t="shared" si="0"/>
        <v>1</v>
      </c>
      <c r="F17" s="32" t="s">
        <v>652</v>
      </c>
      <c r="G17" s="33"/>
      <c r="H17" s="43" t="str">
        <f>IFERROR(VLOOKUP(Grid_BD[[#This Row],[Affected System]],'Basic Data'!$A$54:$E$56,2,0),"")</f>
        <v/>
      </c>
      <c r="I17" s="43" t="str">
        <f>IFERROR(VLOOKUP(Grid_BD[[#This Row],[Affected System]],'Basic Data'!$A$54:$E$56,3,0),"")</f>
        <v/>
      </c>
      <c r="J17" s="43" t="str">
        <f>IFERROR(VLOOKUP(Grid_BD[[#This Row],[Affected System]],'Basic Data'!$A$54:$E$56,5,0),"")</f>
        <v/>
      </c>
      <c r="K17" s="55"/>
      <c r="L17" s="50"/>
      <c r="M17" s="50"/>
      <c r="N17" s="50"/>
      <c r="O17" s="44">
        <f>(Grid_BD[[#This Row],[Work Start TimeStamp]]-Grid_BD[[#This Row],[Fault Start TimeStamp]])*24</f>
        <v>0</v>
      </c>
      <c r="P17" s="44" t="str">
        <f>IF(Grid_BD[[#This Row],[Work Start TimeStamp]]="","",(Grid_BD[[#This Row],[Fault Clearance time]]-Grid_BD[[#This Row],[Work Start TimeStamp]])*24)</f>
        <v/>
      </c>
      <c r="Q17" s="44">
        <f>(Grid_BD[[#This Row],[Fault Clearance time]]-Grid_BD[[#This Row],[Fault Start TimeStamp]])*24</f>
        <v>0</v>
      </c>
      <c r="R17" s="36"/>
      <c r="S17" s="44"/>
      <c r="T17" s="45" t="str">
        <f>IFERROR(Grid_BD[[#This Row],[Breakdown Time]]*Grid_BD[[#This Row],[Plant Equivalent Weightage]],"")</f>
        <v/>
      </c>
      <c r="U17" s="441"/>
    </row>
    <row r="18" spans="1:21">
      <c r="A18" s="28">
        <f t="shared" si="1"/>
        <v>17</v>
      </c>
      <c r="B18" s="29"/>
      <c r="C18" s="30">
        <f>YEAR(Grid_BD[[#This Row],[Date]])+IF(MONTH(Grid_BD[[#This Row],[Date]])&gt;=4,1,0)</f>
        <v>1900</v>
      </c>
      <c r="D18" s="31">
        <f>YEAR(Grid_BD[[#This Row],[Date]])</f>
        <v>1900</v>
      </c>
      <c r="E18" s="48">
        <f t="shared" si="0"/>
        <v>1</v>
      </c>
      <c r="F18" s="32" t="s">
        <v>652</v>
      </c>
      <c r="G18" s="33"/>
      <c r="H18" s="43" t="str">
        <f>IFERROR(VLOOKUP(Grid_BD[[#This Row],[Affected System]],'Basic Data'!$A$54:$E$56,2,0),"")</f>
        <v/>
      </c>
      <c r="I18" s="43" t="str">
        <f>IFERROR(VLOOKUP(Grid_BD[[#This Row],[Affected System]],'Basic Data'!$A$54:$E$56,3,0),"")</f>
        <v/>
      </c>
      <c r="J18" s="43" t="str">
        <f>IFERROR(VLOOKUP(Grid_BD[[#This Row],[Affected System]],'Basic Data'!$A$54:$E$56,5,0),"")</f>
        <v/>
      </c>
      <c r="K18" s="55"/>
      <c r="L18" s="50"/>
      <c r="M18" s="50"/>
      <c r="N18" s="50"/>
      <c r="O18" s="44">
        <f>(Grid_BD[[#This Row],[Work Start TimeStamp]]-Grid_BD[[#This Row],[Fault Start TimeStamp]])*24</f>
        <v>0</v>
      </c>
      <c r="P18" s="44" t="str">
        <f>IF(Grid_BD[[#This Row],[Work Start TimeStamp]]="","",(Grid_BD[[#This Row],[Fault Clearance time]]-Grid_BD[[#This Row],[Work Start TimeStamp]])*24)</f>
        <v/>
      </c>
      <c r="Q18" s="44">
        <f>(Grid_BD[[#This Row],[Fault Clearance time]]-Grid_BD[[#This Row],[Fault Start TimeStamp]])*24</f>
        <v>0</v>
      </c>
      <c r="R18" s="36"/>
      <c r="S18" s="44"/>
      <c r="T18" s="45" t="str">
        <f>IFERROR(Grid_BD[[#This Row],[Breakdown Time]]*Grid_BD[[#This Row],[Plant Equivalent Weightage]],"")</f>
        <v/>
      </c>
      <c r="U18" s="441"/>
    </row>
    <row r="19" spans="1:21">
      <c r="A19" s="28">
        <f t="shared" si="1"/>
        <v>18</v>
      </c>
      <c r="B19" s="29"/>
      <c r="C19" s="30">
        <f>YEAR(Grid_BD[[#This Row],[Date]])+IF(MONTH(Grid_BD[[#This Row],[Date]])&gt;=4,1,0)</f>
        <v>1900</v>
      </c>
      <c r="D19" s="31">
        <f>YEAR(Grid_BD[[#This Row],[Date]])</f>
        <v>1900</v>
      </c>
      <c r="E19" s="48">
        <f t="shared" si="0"/>
        <v>1</v>
      </c>
      <c r="F19" s="32" t="s">
        <v>652</v>
      </c>
      <c r="G19" s="33"/>
      <c r="H19" s="43" t="str">
        <f>IFERROR(VLOOKUP(Grid_BD[[#This Row],[Affected System]],'Basic Data'!$A$54:$E$56,2,0),"")</f>
        <v/>
      </c>
      <c r="I19" s="43" t="str">
        <f>IFERROR(VLOOKUP(Grid_BD[[#This Row],[Affected System]],'Basic Data'!$A$54:$E$56,3,0),"")</f>
        <v/>
      </c>
      <c r="J19" s="43" t="str">
        <f>IFERROR(VLOOKUP(Grid_BD[[#This Row],[Affected System]],'Basic Data'!$A$54:$E$56,5,0),"")</f>
        <v/>
      </c>
      <c r="K19" s="55"/>
      <c r="L19" s="50"/>
      <c r="M19" s="50"/>
      <c r="N19" s="50"/>
      <c r="O19" s="44">
        <f>(Grid_BD[[#This Row],[Work Start TimeStamp]]-Grid_BD[[#This Row],[Fault Start TimeStamp]])*24</f>
        <v>0</v>
      </c>
      <c r="P19" s="44" t="str">
        <f>IF(Grid_BD[[#This Row],[Work Start TimeStamp]]="","",(Grid_BD[[#This Row],[Fault Clearance time]]-Grid_BD[[#This Row],[Work Start TimeStamp]])*24)</f>
        <v/>
      </c>
      <c r="Q19" s="44">
        <f>(Grid_BD[[#This Row],[Fault Clearance time]]-Grid_BD[[#This Row],[Fault Start TimeStamp]])*24</f>
        <v>0</v>
      </c>
      <c r="R19" s="36"/>
      <c r="S19" s="44"/>
      <c r="T19" s="45" t="str">
        <f>IFERROR(Grid_BD[[#This Row],[Breakdown Time]]*Grid_BD[[#This Row],[Plant Equivalent Weightage]],"")</f>
        <v/>
      </c>
      <c r="U19" s="441"/>
    </row>
    <row r="20" spans="1:21">
      <c r="A20" s="28">
        <f t="shared" si="1"/>
        <v>19</v>
      </c>
      <c r="B20" s="29"/>
      <c r="C20" s="30">
        <f>YEAR(Grid_BD[[#This Row],[Date]])+IF(MONTH(Grid_BD[[#This Row],[Date]])&gt;=4,1,0)</f>
        <v>1900</v>
      </c>
      <c r="D20" s="31">
        <f>YEAR(Grid_BD[[#This Row],[Date]])</f>
        <v>1900</v>
      </c>
      <c r="E20" s="48">
        <f t="shared" si="0"/>
        <v>1</v>
      </c>
      <c r="F20" s="32" t="s">
        <v>652</v>
      </c>
      <c r="G20" s="33"/>
      <c r="H20" s="43" t="str">
        <f>IFERROR(VLOOKUP(Grid_BD[[#This Row],[Affected System]],'Basic Data'!$A$54:$E$56,2,0),"")</f>
        <v/>
      </c>
      <c r="I20" s="43" t="str">
        <f>IFERROR(VLOOKUP(Grid_BD[[#This Row],[Affected System]],'Basic Data'!$A$54:$E$56,3,0),"")</f>
        <v/>
      </c>
      <c r="J20" s="43" t="str">
        <f>IFERROR(VLOOKUP(Grid_BD[[#This Row],[Affected System]],'Basic Data'!$A$54:$E$56,5,0),"")</f>
        <v/>
      </c>
      <c r="K20" s="55"/>
      <c r="L20" s="50"/>
      <c r="M20" s="50"/>
      <c r="N20" s="50"/>
      <c r="O20" s="44">
        <f>(Grid_BD[[#This Row],[Work Start TimeStamp]]-Grid_BD[[#This Row],[Fault Start TimeStamp]])*24</f>
        <v>0</v>
      </c>
      <c r="P20" s="44" t="str">
        <f>IF(Grid_BD[[#This Row],[Work Start TimeStamp]]="","",(Grid_BD[[#This Row],[Fault Clearance time]]-Grid_BD[[#This Row],[Work Start TimeStamp]])*24)</f>
        <v/>
      </c>
      <c r="Q20" s="44">
        <f>(Grid_BD[[#This Row],[Fault Clearance time]]-Grid_BD[[#This Row],[Fault Start TimeStamp]])*24</f>
        <v>0</v>
      </c>
      <c r="R20" s="36"/>
      <c r="S20" s="44"/>
      <c r="T20" s="45" t="str">
        <f>IFERROR(Grid_BD[[#This Row],[Breakdown Time]]*Grid_BD[[#This Row],[Plant Equivalent Weightage]],"")</f>
        <v/>
      </c>
      <c r="U20" s="441"/>
    </row>
    <row r="21" spans="1:21">
      <c r="A21" s="28">
        <f t="shared" si="1"/>
        <v>20</v>
      </c>
      <c r="B21" s="29"/>
      <c r="C21" s="30">
        <f>YEAR(Grid_BD[[#This Row],[Date]])+IF(MONTH(Grid_BD[[#This Row],[Date]])&gt;=4,1,0)</f>
        <v>1900</v>
      </c>
      <c r="D21" s="31">
        <f>YEAR(Grid_BD[[#This Row],[Date]])</f>
        <v>1900</v>
      </c>
      <c r="E21" s="48">
        <f t="shared" si="0"/>
        <v>1</v>
      </c>
      <c r="F21" s="32" t="s">
        <v>652</v>
      </c>
      <c r="G21" s="33"/>
      <c r="H21" s="43" t="str">
        <f>IFERROR(VLOOKUP(Grid_BD[[#This Row],[Affected System]],'Basic Data'!$A$54:$E$56,2,0),"")</f>
        <v/>
      </c>
      <c r="I21" s="43" t="str">
        <f>IFERROR(VLOOKUP(Grid_BD[[#This Row],[Affected System]],'Basic Data'!$A$54:$E$56,3,0),"")</f>
        <v/>
      </c>
      <c r="J21" s="43" t="str">
        <f>IFERROR(VLOOKUP(Grid_BD[[#This Row],[Affected System]],'Basic Data'!$A$54:$E$56,5,0),"")</f>
        <v/>
      </c>
      <c r="K21" s="55"/>
      <c r="L21" s="50"/>
      <c r="M21" s="50"/>
      <c r="N21" s="50"/>
      <c r="O21" s="44">
        <f>(Grid_BD[[#This Row],[Work Start TimeStamp]]-Grid_BD[[#This Row],[Fault Start TimeStamp]])*24</f>
        <v>0</v>
      </c>
      <c r="P21" s="44" t="str">
        <f>IF(Grid_BD[[#This Row],[Work Start TimeStamp]]="","",(Grid_BD[[#This Row],[Fault Clearance time]]-Grid_BD[[#This Row],[Work Start TimeStamp]])*24)</f>
        <v/>
      </c>
      <c r="Q21" s="44">
        <f>(Grid_BD[[#This Row],[Fault Clearance time]]-Grid_BD[[#This Row],[Fault Start TimeStamp]])*24</f>
        <v>0</v>
      </c>
      <c r="R21" s="36"/>
      <c r="S21" s="44"/>
      <c r="T21" s="45" t="str">
        <f>IFERROR(Grid_BD[[#This Row],[Breakdown Time]]*Grid_BD[[#This Row],[Plant Equivalent Weightage]],"")</f>
        <v/>
      </c>
      <c r="U21" s="441"/>
    </row>
    <row r="22" spans="1:21">
      <c r="A22" s="28">
        <f t="shared" si="1"/>
        <v>21</v>
      </c>
      <c r="B22" s="29"/>
      <c r="C22" s="30">
        <f>YEAR(Grid_BD[[#This Row],[Date]])+IF(MONTH(Grid_BD[[#This Row],[Date]])&gt;=4,1,0)</f>
        <v>1900</v>
      </c>
      <c r="D22" s="31">
        <f>YEAR(Grid_BD[[#This Row],[Date]])</f>
        <v>1900</v>
      </c>
      <c r="E22" s="48">
        <f t="shared" si="0"/>
        <v>1</v>
      </c>
      <c r="F22" s="32" t="s">
        <v>652</v>
      </c>
      <c r="G22" s="33"/>
      <c r="H22" s="43" t="str">
        <f>IFERROR(VLOOKUP(Grid_BD[[#This Row],[Affected System]],'Basic Data'!$A$54:$E$56,2,0),"")</f>
        <v/>
      </c>
      <c r="I22" s="43" t="str">
        <f>IFERROR(VLOOKUP(Grid_BD[[#This Row],[Affected System]],'Basic Data'!$A$54:$E$56,3,0),"")</f>
        <v/>
      </c>
      <c r="J22" s="43" t="str">
        <f>IFERROR(VLOOKUP(Grid_BD[[#This Row],[Affected System]],'Basic Data'!$A$54:$E$56,5,0),"")</f>
        <v/>
      </c>
      <c r="K22" s="55"/>
      <c r="L22" s="50"/>
      <c r="M22" s="50"/>
      <c r="N22" s="50"/>
      <c r="O22" s="44">
        <f>(Grid_BD[[#This Row],[Work Start TimeStamp]]-Grid_BD[[#This Row],[Fault Start TimeStamp]])*24</f>
        <v>0</v>
      </c>
      <c r="P22" s="44" t="str">
        <f>IF(Grid_BD[[#This Row],[Work Start TimeStamp]]="","",(Grid_BD[[#This Row],[Fault Clearance time]]-Grid_BD[[#This Row],[Work Start TimeStamp]])*24)</f>
        <v/>
      </c>
      <c r="Q22" s="44">
        <f>(Grid_BD[[#This Row],[Fault Clearance time]]-Grid_BD[[#This Row],[Fault Start TimeStamp]])*24</f>
        <v>0</v>
      </c>
      <c r="R22" s="36"/>
      <c r="S22" s="44"/>
      <c r="T22" s="45" t="str">
        <f>IFERROR(Grid_BD[[#This Row],[Breakdown Time]]*Grid_BD[[#This Row],[Plant Equivalent Weightage]],"")</f>
        <v/>
      </c>
      <c r="U22" s="441"/>
    </row>
    <row r="23" spans="1:21">
      <c r="A23" s="28">
        <f t="shared" si="1"/>
        <v>22</v>
      </c>
      <c r="B23" s="29"/>
      <c r="C23" s="30">
        <f>YEAR(Grid_BD[[#This Row],[Date]])+IF(MONTH(Grid_BD[[#This Row],[Date]])&gt;=4,1,0)</f>
        <v>1900</v>
      </c>
      <c r="D23" s="31">
        <f>YEAR(Grid_BD[[#This Row],[Date]])</f>
        <v>1900</v>
      </c>
      <c r="E23" s="48">
        <f t="shared" si="0"/>
        <v>1</v>
      </c>
      <c r="F23" s="32" t="s">
        <v>652</v>
      </c>
      <c r="G23" s="33"/>
      <c r="H23" s="43" t="str">
        <f>IFERROR(VLOOKUP(Grid_BD[[#This Row],[Affected System]],'Basic Data'!$A$54:$E$56,2,0),"")</f>
        <v/>
      </c>
      <c r="I23" s="43" t="str">
        <f>IFERROR(VLOOKUP(Grid_BD[[#This Row],[Affected System]],'Basic Data'!$A$54:$E$56,3,0),"")</f>
        <v/>
      </c>
      <c r="J23" s="43" t="str">
        <f>IFERROR(VLOOKUP(Grid_BD[[#This Row],[Affected System]],'Basic Data'!$A$54:$E$56,5,0),"")</f>
        <v/>
      </c>
      <c r="K23" s="55"/>
      <c r="L23" s="50"/>
      <c r="M23" s="50"/>
      <c r="N23" s="50"/>
      <c r="O23" s="44">
        <f>(Grid_BD[[#This Row],[Work Start TimeStamp]]-Grid_BD[[#This Row],[Fault Start TimeStamp]])*24</f>
        <v>0</v>
      </c>
      <c r="P23" s="44" t="str">
        <f>IF(Grid_BD[[#This Row],[Work Start TimeStamp]]="","",(Grid_BD[[#This Row],[Fault Clearance time]]-Grid_BD[[#This Row],[Work Start TimeStamp]])*24)</f>
        <v/>
      </c>
      <c r="Q23" s="44">
        <f>(Grid_BD[[#This Row],[Fault Clearance time]]-Grid_BD[[#This Row],[Fault Start TimeStamp]])*24</f>
        <v>0</v>
      </c>
      <c r="R23" s="36"/>
      <c r="S23" s="44"/>
      <c r="T23" s="45" t="str">
        <f>IFERROR(Grid_BD[[#This Row],[Breakdown Time]]*Grid_BD[[#This Row],[Plant Equivalent Weightage]],"")</f>
        <v/>
      </c>
      <c r="U23" s="441"/>
    </row>
    <row r="24" spans="1:21">
      <c r="A24" s="28">
        <f t="shared" si="1"/>
        <v>23</v>
      </c>
      <c r="B24" s="29"/>
      <c r="C24" s="30">
        <f>YEAR(Grid_BD[[#This Row],[Date]])+IF(MONTH(Grid_BD[[#This Row],[Date]])&gt;=4,1,0)</f>
        <v>1900</v>
      </c>
      <c r="D24" s="31">
        <f>YEAR(Grid_BD[[#This Row],[Date]])</f>
        <v>1900</v>
      </c>
      <c r="E24" s="48">
        <f t="shared" si="0"/>
        <v>1</v>
      </c>
      <c r="F24" s="32" t="s">
        <v>652</v>
      </c>
      <c r="G24" s="33"/>
      <c r="H24" s="43" t="str">
        <f>IFERROR(VLOOKUP(Grid_BD[[#This Row],[Affected System]],'Basic Data'!$A$54:$E$56,2,0),"")</f>
        <v/>
      </c>
      <c r="I24" s="43" t="str">
        <f>IFERROR(VLOOKUP(Grid_BD[[#This Row],[Affected System]],'Basic Data'!$A$54:$E$56,3,0),"")</f>
        <v/>
      </c>
      <c r="J24" s="43" t="str">
        <f>IFERROR(VLOOKUP(Grid_BD[[#This Row],[Affected System]],'Basic Data'!$A$54:$E$56,5,0),"")</f>
        <v/>
      </c>
      <c r="K24" s="55"/>
      <c r="L24" s="50"/>
      <c r="M24" s="50"/>
      <c r="N24" s="50"/>
      <c r="O24" s="44">
        <f>(Grid_BD[[#This Row],[Work Start TimeStamp]]-Grid_BD[[#This Row],[Fault Start TimeStamp]])*24</f>
        <v>0</v>
      </c>
      <c r="P24" s="44" t="str">
        <f>IF(Grid_BD[[#This Row],[Work Start TimeStamp]]="","",(Grid_BD[[#This Row],[Fault Clearance time]]-Grid_BD[[#This Row],[Work Start TimeStamp]])*24)</f>
        <v/>
      </c>
      <c r="Q24" s="44">
        <f>(Grid_BD[[#This Row],[Fault Clearance time]]-Grid_BD[[#This Row],[Fault Start TimeStamp]])*24</f>
        <v>0</v>
      </c>
      <c r="R24" s="36"/>
      <c r="S24" s="44"/>
      <c r="T24" s="45" t="str">
        <f>IFERROR(Grid_BD[[#This Row],[Breakdown Time]]*Grid_BD[[#This Row],[Plant Equivalent Weightage]],"")</f>
        <v/>
      </c>
      <c r="U24" s="441"/>
    </row>
    <row r="25" spans="1:21">
      <c r="A25" s="28">
        <f t="shared" si="1"/>
        <v>24</v>
      </c>
      <c r="B25" s="29"/>
      <c r="C25" s="30">
        <f>YEAR(Grid_BD[[#This Row],[Date]])+IF(MONTH(Grid_BD[[#This Row],[Date]])&gt;=4,1,0)</f>
        <v>1900</v>
      </c>
      <c r="D25" s="31">
        <f>YEAR(Grid_BD[[#This Row],[Date]])</f>
        <v>1900</v>
      </c>
      <c r="E25" s="48">
        <f t="shared" si="0"/>
        <v>1</v>
      </c>
      <c r="F25" s="32" t="s">
        <v>652</v>
      </c>
      <c r="G25" s="33"/>
      <c r="H25" s="43" t="str">
        <f>IFERROR(VLOOKUP(Grid_BD[[#This Row],[Affected System]],'Basic Data'!$A$54:$E$56,2,0),"")</f>
        <v/>
      </c>
      <c r="I25" s="43" t="str">
        <f>IFERROR(VLOOKUP(Grid_BD[[#This Row],[Affected System]],'Basic Data'!$A$54:$E$56,3,0),"")</f>
        <v/>
      </c>
      <c r="J25" s="43" t="str">
        <f>IFERROR(VLOOKUP(Grid_BD[[#This Row],[Affected System]],'Basic Data'!$A$54:$E$56,5,0),"")</f>
        <v/>
      </c>
      <c r="K25" s="55"/>
      <c r="L25" s="50"/>
      <c r="M25" s="50"/>
      <c r="N25" s="50"/>
      <c r="O25" s="44">
        <f>(Grid_BD[[#This Row],[Work Start TimeStamp]]-Grid_BD[[#This Row],[Fault Start TimeStamp]])*24</f>
        <v>0</v>
      </c>
      <c r="P25" s="44" t="str">
        <f>IF(Grid_BD[[#This Row],[Work Start TimeStamp]]="","",(Grid_BD[[#This Row],[Fault Clearance time]]-Grid_BD[[#This Row],[Work Start TimeStamp]])*24)</f>
        <v/>
      </c>
      <c r="Q25" s="44">
        <f>(Grid_BD[[#This Row],[Fault Clearance time]]-Grid_BD[[#This Row],[Fault Start TimeStamp]])*24</f>
        <v>0</v>
      </c>
      <c r="R25" s="36"/>
      <c r="S25" s="44"/>
      <c r="T25" s="45" t="str">
        <f>IFERROR(Grid_BD[[#This Row],[Breakdown Time]]*Grid_BD[[#This Row],[Plant Equivalent Weightage]],"")</f>
        <v/>
      </c>
      <c r="U25" s="441"/>
    </row>
    <row r="26" spans="1:21">
      <c r="A26" s="28">
        <f t="shared" si="1"/>
        <v>25</v>
      </c>
      <c r="B26" s="29"/>
      <c r="C26" s="30">
        <f>YEAR(Grid_BD[[#This Row],[Date]])+IF(MONTH(Grid_BD[[#This Row],[Date]])&gt;=4,1,0)</f>
        <v>1900</v>
      </c>
      <c r="D26" s="31">
        <f>YEAR(Grid_BD[[#This Row],[Date]])</f>
        <v>1900</v>
      </c>
      <c r="E26" s="48">
        <f t="shared" si="0"/>
        <v>1</v>
      </c>
      <c r="F26" s="32" t="s">
        <v>652</v>
      </c>
      <c r="G26" s="33"/>
      <c r="H26" s="43" t="str">
        <f>IFERROR(VLOOKUP(Grid_BD[[#This Row],[Affected System]],'Basic Data'!$A$54:$E$56,2,0),"")</f>
        <v/>
      </c>
      <c r="I26" s="43" t="str">
        <f>IFERROR(VLOOKUP(Grid_BD[[#This Row],[Affected System]],'Basic Data'!$A$54:$E$56,3,0),"")</f>
        <v/>
      </c>
      <c r="J26" s="43" t="str">
        <f>IFERROR(VLOOKUP(Grid_BD[[#This Row],[Affected System]],'Basic Data'!$A$54:$E$56,5,0),"")</f>
        <v/>
      </c>
      <c r="K26" s="55"/>
      <c r="L26" s="50"/>
      <c r="M26" s="50"/>
      <c r="N26" s="50"/>
      <c r="O26" s="44">
        <f>(Grid_BD[[#This Row],[Work Start TimeStamp]]-Grid_BD[[#This Row],[Fault Start TimeStamp]])*24</f>
        <v>0</v>
      </c>
      <c r="P26" s="44" t="str">
        <f>IF(Grid_BD[[#This Row],[Work Start TimeStamp]]="","",(Grid_BD[[#This Row],[Fault Clearance time]]-Grid_BD[[#This Row],[Work Start TimeStamp]])*24)</f>
        <v/>
      </c>
      <c r="Q26" s="44">
        <f>(Grid_BD[[#This Row],[Fault Clearance time]]-Grid_BD[[#This Row],[Fault Start TimeStamp]])*24</f>
        <v>0</v>
      </c>
      <c r="R26" s="36"/>
      <c r="S26" s="44"/>
      <c r="T26" s="45" t="str">
        <f>IFERROR(Grid_BD[[#This Row],[Breakdown Time]]*Grid_BD[[#This Row],[Plant Equivalent Weightage]],"")</f>
        <v/>
      </c>
      <c r="U26" s="441"/>
    </row>
    <row r="27" spans="1:21">
      <c r="A27" s="28">
        <f t="shared" si="1"/>
        <v>26</v>
      </c>
      <c r="B27" s="29"/>
      <c r="C27" s="30">
        <f>YEAR(Grid_BD[[#This Row],[Date]])+IF(MONTH(Grid_BD[[#This Row],[Date]])&gt;=4,1,0)</f>
        <v>1900</v>
      </c>
      <c r="D27" s="31">
        <f>YEAR(Grid_BD[[#This Row],[Date]])</f>
        <v>1900</v>
      </c>
      <c r="E27" s="48">
        <f t="shared" si="0"/>
        <v>1</v>
      </c>
      <c r="F27" s="32" t="s">
        <v>652</v>
      </c>
      <c r="G27" s="33"/>
      <c r="H27" s="43" t="str">
        <f>IFERROR(VLOOKUP(Grid_BD[[#This Row],[Affected System]],'Basic Data'!$A$54:$E$56,2,0),"")</f>
        <v/>
      </c>
      <c r="I27" s="43" t="str">
        <f>IFERROR(VLOOKUP(Grid_BD[[#This Row],[Affected System]],'Basic Data'!$A$54:$E$56,3,0),"")</f>
        <v/>
      </c>
      <c r="J27" s="43" t="str">
        <f>IFERROR(VLOOKUP(Grid_BD[[#This Row],[Affected System]],'Basic Data'!$A$54:$E$56,5,0),"")</f>
        <v/>
      </c>
      <c r="K27" s="55"/>
      <c r="L27" s="50"/>
      <c r="M27" s="50"/>
      <c r="N27" s="50"/>
      <c r="O27" s="44">
        <f>(Grid_BD[[#This Row],[Work Start TimeStamp]]-Grid_BD[[#This Row],[Fault Start TimeStamp]])*24</f>
        <v>0</v>
      </c>
      <c r="P27" s="44" t="str">
        <f>IF(Grid_BD[[#This Row],[Work Start TimeStamp]]="","",(Grid_BD[[#This Row],[Fault Clearance time]]-Grid_BD[[#This Row],[Work Start TimeStamp]])*24)</f>
        <v/>
      </c>
      <c r="Q27" s="44">
        <f>(Grid_BD[[#This Row],[Fault Clearance time]]-Grid_BD[[#This Row],[Fault Start TimeStamp]])*24</f>
        <v>0</v>
      </c>
      <c r="R27" s="36"/>
      <c r="S27" s="44"/>
      <c r="T27" s="45" t="str">
        <f>IFERROR(Grid_BD[[#This Row],[Breakdown Time]]*Grid_BD[[#This Row],[Plant Equivalent Weightage]],"")</f>
        <v/>
      </c>
      <c r="U27" s="441"/>
    </row>
    <row r="28" spans="1:21">
      <c r="A28" s="28">
        <f t="shared" si="1"/>
        <v>27</v>
      </c>
      <c r="B28" s="29"/>
      <c r="C28" s="30">
        <f>YEAR(Grid_BD[[#This Row],[Date]])+IF(MONTH(Grid_BD[[#This Row],[Date]])&gt;=4,1,0)</f>
        <v>1900</v>
      </c>
      <c r="D28" s="31">
        <f>YEAR(Grid_BD[[#This Row],[Date]])</f>
        <v>1900</v>
      </c>
      <c r="E28" s="48">
        <f t="shared" si="0"/>
        <v>1</v>
      </c>
      <c r="F28" s="32" t="s">
        <v>652</v>
      </c>
      <c r="G28" s="33"/>
      <c r="H28" s="43" t="str">
        <f>IFERROR(VLOOKUP(Grid_BD[[#This Row],[Affected System]],'Basic Data'!$A$54:$E$56,2,0),"")</f>
        <v/>
      </c>
      <c r="I28" s="43" t="str">
        <f>IFERROR(VLOOKUP(Grid_BD[[#This Row],[Affected System]],'Basic Data'!$A$54:$E$56,3,0),"")</f>
        <v/>
      </c>
      <c r="J28" s="43" t="str">
        <f>IFERROR(VLOOKUP(Grid_BD[[#This Row],[Affected System]],'Basic Data'!$A$54:$E$56,5,0),"")</f>
        <v/>
      </c>
      <c r="K28" s="55"/>
      <c r="L28" s="50"/>
      <c r="M28" s="50"/>
      <c r="N28" s="50"/>
      <c r="O28" s="44">
        <f>(Grid_BD[[#This Row],[Work Start TimeStamp]]-Grid_BD[[#This Row],[Fault Start TimeStamp]])*24</f>
        <v>0</v>
      </c>
      <c r="P28" s="44" t="str">
        <f>IF(Grid_BD[[#This Row],[Work Start TimeStamp]]="","",(Grid_BD[[#This Row],[Fault Clearance time]]-Grid_BD[[#This Row],[Work Start TimeStamp]])*24)</f>
        <v/>
      </c>
      <c r="Q28" s="44">
        <f>(Grid_BD[[#This Row],[Fault Clearance time]]-Grid_BD[[#This Row],[Fault Start TimeStamp]])*24</f>
        <v>0</v>
      </c>
      <c r="R28" s="36"/>
      <c r="S28" s="44"/>
      <c r="T28" s="45" t="str">
        <f>IFERROR(Grid_BD[[#This Row],[Breakdown Time]]*Grid_BD[[#This Row],[Plant Equivalent Weightage]],"")</f>
        <v/>
      </c>
      <c r="U28" s="441"/>
    </row>
    <row r="29" spans="1:21">
      <c r="A29" s="28">
        <f t="shared" si="1"/>
        <v>28</v>
      </c>
      <c r="B29" s="29"/>
      <c r="C29" s="30">
        <f>YEAR(Grid_BD[[#This Row],[Date]])+IF(MONTH(Grid_BD[[#This Row],[Date]])&gt;=4,1,0)</f>
        <v>1900</v>
      </c>
      <c r="D29" s="31">
        <f>YEAR(Grid_BD[[#This Row],[Date]])</f>
        <v>1900</v>
      </c>
      <c r="E29" s="48">
        <f t="shared" si="0"/>
        <v>1</v>
      </c>
      <c r="F29" s="32" t="s">
        <v>652</v>
      </c>
      <c r="G29" s="33"/>
      <c r="H29" s="43" t="str">
        <f>IFERROR(VLOOKUP(Grid_BD[[#This Row],[Affected System]],'Basic Data'!$A$54:$E$56,2,0),"")</f>
        <v/>
      </c>
      <c r="I29" s="43" t="str">
        <f>IFERROR(VLOOKUP(Grid_BD[[#This Row],[Affected System]],'Basic Data'!$A$54:$E$56,3,0),"")</f>
        <v/>
      </c>
      <c r="J29" s="43" t="str">
        <f>IFERROR(VLOOKUP(Grid_BD[[#This Row],[Affected System]],'Basic Data'!$A$54:$E$56,5,0),"")</f>
        <v/>
      </c>
      <c r="K29" s="55"/>
      <c r="L29" s="50"/>
      <c r="M29" s="50"/>
      <c r="N29" s="50"/>
      <c r="O29" s="44">
        <f>(Grid_BD[[#This Row],[Work Start TimeStamp]]-Grid_BD[[#This Row],[Fault Start TimeStamp]])*24</f>
        <v>0</v>
      </c>
      <c r="P29" s="44" t="str">
        <f>IF(Grid_BD[[#This Row],[Work Start TimeStamp]]="","",(Grid_BD[[#This Row],[Fault Clearance time]]-Grid_BD[[#This Row],[Work Start TimeStamp]])*24)</f>
        <v/>
      </c>
      <c r="Q29" s="44">
        <f>(Grid_BD[[#This Row],[Fault Clearance time]]-Grid_BD[[#This Row],[Fault Start TimeStamp]])*24</f>
        <v>0</v>
      </c>
      <c r="R29" s="36"/>
      <c r="S29" s="44"/>
      <c r="T29" s="45" t="str">
        <f>IFERROR(Grid_BD[[#This Row],[Breakdown Time]]*Grid_BD[[#This Row],[Plant Equivalent Weightage]],"")</f>
        <v/>
      </c>
      <c r="U29" s="441"/>
    </row>
    <row r="30" spans="1:21">
      <c r="A30" s="28">
        <f t="shared" si="1"/>
        <v>29</v>
      </c>
      <c r="B30" s="29"/>
      <c r="C30" s="30">
        <f>YEAR(Grid_BD[[#This Row],[Date]])+IF(MONTH(Grid_BD[[#This Row],[Date]])&gt;=4,1,0)</f>
        <v>1900</v>
      </c>
      <c r="D30" s="31">
        <f>YEAR(Grid_BD[[#This Row],[Date]])</f>
        <v>1900</v>
      </c>
      <c r="E30" s="48">
        <f t="shared" si="0"/>
        <v>1</v>
      </c>
      <c r="F30" s="32" t="s">
        <v>652</v>
      </c>
      <c r="G30" s="33"/>
      <c r="H30" s="43" t="str">
        <f>IFERROR(VLOOKUP(Grid_BD[[#This Row],[Affected System]],'Basic Data'!$A$54:$E$56,2,0),"")</f>
        <v/>
      </c>
      <c r="I30" s="43" t="str">
        <f>IFERROR(VLOOKUP(Grid_BD[[#This Row],[Affected System]],'Basic Data'!$A$54:$E$56,3,0),"")</f>
        <v/>
      </c>
      <c r="J30" s="43" t="str">
        <f>IFERROR(VLOOKUP(Grid_BD[[#This Row],[Affected System]],'Basic Data'!$A$54:$E$56,5,0),"")</f>
        <v/>
      </c>
      <c r="K30" s="55"/>
      <c r="L30" s="50"/>
      <c r="M30" s="50"/>
      <c r="N30" s="50"/>
      <c r="O30" s="44">
        <f>(Grid_BD[[#This Row],[Work Start TimeStamp]]-Grid_BD[[#This Row],[Fault Start TimeStamp]])*24</f>
        <v>0</v>
      </c>
      <c r="P30" s="44" t="str">
        <f>IF(Grid_BD[[#This Row],[Work Start TimeStamp]]="","",(Grid_BD[[#This Row],[Fault Clearance time]]-Grid_BD[[#This Row],[Work Start TimeStamp]])*24)</f>
        <v/>
      </c>
      <c r="Q30" s="44">
        <f>(Grid_BD[[#This Row],[Fault Clearance time]]-Grid_BD[[#This Row],[Fault Start TimeStamp]])*24</f>
        <v>0</v>
      </c>
      <c r="R30" s="36"/>
      <c r="S30" s="44"/>
      <c r="T30" s="45" t="str">
        <f>IFERROR(Grid_BD[[#This Row],[Breakdown Time]]*Grid_BD[[#This Row],[Plant Equivalent Weightage]],"")</f>
        <v/>
      </c>
      <c r="U30" s="441"/>
    </row>
    <row r="31" spans="1:21">
      <c r="A31" s="28">
        <f t="shared" si="1"/>
        <v>30</v>
      </c>
      <c r="B31" s="29"/>
      <c r="C31" s="30">
        <f>YEAR(Grid_BD[[#This Row],[Date]])+IF(MONTH(Grid_BD[[#This Row],[Date]])&gt;=4,1,0)</f>
        <v>1900</v>
      </c>
      <c r="D31" s="31">
        <f>YEAR(Grid_BD[[#This Row],[Date]])</f>
        <v>1900</v>
      </c>
      <c r="E31" s="48">
        <f t="shared" si="0"/>
        <v>1</v>
      </c>
      <c r="F31" s="32" t="s">
        <v>652</v>
      </c>
      <c r="G31" s="33"/>
      <c r="H31" s="43" t="str">
        <f>IFERROR(VLOOKUP(Grid_BD[[#This Row],[Affected System]],'Basic Data'!$A$54:$E$56,2,0),"")</f>
        <v/>
      </c>
      <c r="I31" s="43" t="str">
        <f>IFERROR(VLOOKUP(Grid_BD[[#This Row],[Affected System]],'Basic Data'!$A$54:$E$56,3,0),"")</f>
        <v/>
      </c>
      <c r="J31" s="43" t="str">
        <f>IFERROR(VLOOKUP(Grid_BD[[#This Row],[Affected System]],'Basic Data'!$A$54:$E$56,5,0),"")</f>
        <v/>
      </c>
      <c r="K31" s="55"/>
      <c r="L31" s="50"/>
      <c r="M31" s="50"/>
      <c r="N31" s="50"/>
      <c r="O31" s="44">
        <f>(Grid_BD[[#This Row],[Work Start TimeStamp]]-Grid_BD[[#This Row],[Fault Start TimeStamp]])*24</f>
        <v>0</v>
      </c>
      <c r="P31" s="44" t="str">
        <f>IF(Grid_BD[[#This Row],[Work Start TimeStamp]]="","",(Grid_BD[[#This Row],[Fault Clearance time]]-Grid_BD[[#This Row],[Work Start TimeStamp]])*24)</f>
        <v/>
      </c>
      <c r="Q31" s="44">
        <f>(Grid_BD[[#This Row],[Fault Clearance time]]-Grid_BD[[#This Row],[Fault Start TimeStamp]])*24</f>
        <v>0</v>
      </c>
      <c r="R31" s="36"/>
      <c r="S31" s="44"/>
      <c r="T31" s="45" t="str">
        <f>IFERROR(Grid_BD[[#This Row],[Breakdown Time]]*Grid_BD[[#This Row],[Plant Equivalent Weightage]],"")</f>
        <v/>
      </c>
      <c r="U31" s="441"/>
    </row>
    <row r="32" spans="1:21">
      <c r="A32" s="28">
        <f t="shared" si="1"/>
        <v>31</v>
      </c>
      <c r="B32" s="29"/>
      <c r="C32" s="30">
        <f>YEAR(Grid_BD[[#This Row],[Date]])+IF(MONTH(Grid_BD[[#This Row],[Date]])&gt;=4,1,0)</f>
        <v>1900</v>
      </c>
      <c r="D32" s="31">
        <f>YEAR(Grid_BD[[#This Row],[Date]])</f>
        <v>1900</v>
      </c>
      <c r="E32" s="48">
        <f t="shared" si="0"/>
        <v>1</v>
      </c>
      <c r="F32" s="32" t="s">
        <v>652</v>
      </c>
      <c r="G32" s="33"/>
      <c r="H32" s="43" t="str">
        <f>IFERROR(VLOOKUP(Grid_BD[[#This Row],[Affected System]],'Basic Data'!$A$54:$E$56,2,0),"")</f>
        <v/>
      </c>
      <c r="I32" s="43" t="str">
        <f>IFERROR(VLOOKUP(Grid_BD[[#This Row],[Affected System]],'Basic Data'!$A$54:$E$56,3,0),"")</f>
        <v/>
      </c>
      <c r="J32" s="43" t="str">
        <f>IFERROR(VLOOKUP(Grid_BD[[#This Row],[Affected System]],'Basic Data'!$A$54:$E$56,5,0),"")</f>
        <v/>
      </c>
      <c r="K32" s="55"/>
      <c r="L32" s="50"/>
      <c r="M32" s="50"/>
      <c r="N32" s="50"/>
      <c r="O32" s="44">
        <f>(Grid_BD[[#This Row],[Work Start TimeStamp]]-Grid_BD[[#This Row],[Fault Start TimeStamp]])*24</f>
        <v>0</v>
      </c>
      <c r="P32" s="44" t="str">
        <f>IF(Grid_BD[[#This Row],[Work Start TimeStamp]]="","",(Grid_BD[[#This Row],[Fault Clearance time]]-Grid_BD[[#This Row],[Work Start TimeStamp]])*24)</f>
        <v/>
      </c>
      <c r="Q32" s="44">
        <f>(Grid_BD[[#This Row],[Fault Clearance time]]-Grid_BD[[#This Row],[Fault Start TimeStamp]])*24</f>
        <v>0</v>
      </c>
      <c r="R32" s="36"/>
      <c r="S32" s="44"/>
      <c r="T32" s="45" t="str">
        <f>IFERROR(Grid_BD[[#This Row],[Breakdown Time]]*Grid_BD[[#This Row],[Plant Equivalent Weightage]],"")</f>
        <v/>
      </c>
      <c r="U32" s="441"/>
    </row>
    <row r="33" spans="1:21">
      <c r="A33" s="28">
        <f t="shared" si="1"/>
        <v>32</v>
      </c>
      <c r="B33" s="29"/>
      <c r="C33" s="30">
        <f>YEAR(Grid_BD[[#This Row],[Date]])+IF(MONTH(Grid_BD[[#This Row],[Date]])&gt;=4,1,0)</f>
        <v>1900</v>
      </c>
      <c r="D33" s="31">
        <f>YEAR(Grid_BD[[#This Row],[Date]])</f>
        <v>1900</v>
      </c>
      <c r="E33" s="48">
        <f t="shared" si="0"/>
        <v>1</v>
      </c>
      <c r="F33" s="32" t="s">
        <v>652</v>
      </c>
      <c r="G33" s="33"/>
      <c r="H33" s="43" t="str">
        <f>IFERROR(VLOOKUP(Grid_BD[[#This Row],[Affected System]],'Basic Data'!$A$54:$E$56,2,0),"")</f>
        <v/>
      </c>
      <c r="I33" s="43" t="str">
        <f>IFERROR(VLOOKUP(Grid_BD[[#This Row],[Affected System]],'Basic Data'!$A$54:$E$56,3,0),"")</f>
        <v/>
      </c>
      <c r="J33" s="43" t="str">
        <f>IFERROR(VLOOKUP(Grid_BD[[#This Row],[Affected System]],'Basic Data'!$A$54:$E$56,5,0),"")</f>
        <v/>
      </c>
      <c r="K33" s="55"/>
      <c r="L33" s="50"/>
      <c r="M33" s="50"/>
      <c r="N33" s="50"/>
      <c r="O33" s="44">
        <f>(Grid_BD[[#This Row],[Work Start TimeStamp]]-Grid_BD[[#This Row],[Fault Start TimeStamp]])*24</f>
        <v>0</v>
      </c>
      <c r="P33" s="44" t="str">
        <f>IF(Grid_BD[[#This Row],[Work Start TimeStamp]]="","",(Grid_BD[[#This Row],[Fault Clearance time]]-Grid_BD[[#This Row],[Work Start TimeStamp]])*24)</f>
        <v/>
      </c>
      <c r="Q33" s="44">
        <f>(Grid_BD[[#This Row],[Fault Clearance time]]-Grid_BD[[#This Row],[Fault Start TimeStamp]])*24</f>
        <v>0</v>
      </c>
      <c r="R33" s="36"/>
      <c r="S33" s="44"/>
      <c r="T33" s="45" t="str">
        <f>IFERROR(Grid_BD[[#This Row],[Breakdown Time]]*Grid_BD[[#This Row],[Plant Equivalent Weightage]],"")</f>
        <v/>
      </c>
      <c r="U33" s="441"/>
    </row>
    <row r="34" spans="1:21">
      <c r="A34" s="28">
        <f t="shared" si="1"/>
        <v>33</v>
      </c>
      <c r="B34" s="29"/>
      <c r="C34" s="30">
        <f>YEAR(Grid_BD[[#This Row],[Date]])+IF(MONTH(Grid_BD[[#This Row],[Date]])&gt;=4,1,0)</f>
        <v>1900</v>
      </c>
      <c r="D34" s="31">
        <f>YEAR(Grid_BD[[#This Row],[Date]])</f>
        <v>1900</v>
      </c>
      <c r="E34" s="48">
        <f t="shared" si="0"/>
        <v>1</v>
      </c>
      <c r="F34" s="32" t="s">
        <v>652</v>
      </c>
      <c r="G34" s="33"/>
      <c r="H34" s="43" t="str">
        <f>IFERROR(VLOOKUP(Grid_BD[[#This Row],[Affected System]],'Basic Data'!$A$54:$E$56,2,0),"")</f>
        <v/>
      </c>
      <c r="I34" s="43" t="str">
        <f>IFERROR(VLOOKUP(Grid_BD[[#This Row],[Affected System]],'Basic Data'!$A$54:$E$56,3,0),"")</f>
        <v/>
      </c>
      <c r="J34" s="43" t="str">
        <f>IFERROR(VLOOKUP(Grid_BD[[#This Row],[Affected System]],'Basic Data'!$A$54:$E$56,5,0),"")</f>
        <v/>
      </c>
      <c r="K34" s="55"/>
      <c r="L34" s="50"/>
      <c r="M34" s="50"/>
      <c r="N34" s="50"/>
      <c r="O34" s="44">
        <f>(Grid_BD[[#This Row],[Work Start TimeStamp]]-Grid_BD[[#This Row],[Fault Start TimeStamp]])*24</f>
        <v>0</v>
      </c>
      <c r="P34" s="44" t="str">
        <f>IF(Grid_BD[[#This Row],[Work Start TimeStamp]]="","",(Grid_BD[[#This Row],[Fault Clearance time]]-Grid_BD[[#This Row],[Work Start TimeStamp]])*24)</f>
        <v/>
      </c>
      <c r="Q34" s="44">
        <f>(Grid_BD[[#This Row],[Fault Clearance time]]-Grid_BD[[#This Row],[Fault Start TimeStamp]])*24</f>
        <v>0</v>
      </c>
      <c r="R34" s="36"/>
      <c r="S34" s="44"/>
      <c r="T34" s="45" t="str">
        <f>IFERROR(Grid_BD[[#This Row],[Breakdown Time]]*Grid_BD[[#This Row],[Plant Equivalent Weightage]],"")</f>
        <v/>
      </c>
      <c r="U34" s="441"/>
    </row>
    <row r="35" spans="1:21">
      <c r="A35" s="28">
        <f t="shared" si="1"/>
        <v>34</v>
      </c>
      <c r="B35" s="29"/>
      <c r="C35" s="30">
        <f>YEAR(Grid_BD[[#This Row],[Date]])+IF(MONTH(Grid_BD[[#This Row],[Date]])&gt;=4,1,0)</f>
        <v>1900</v>
      </c>
      <c r="D35" s="31">
        <f>YEAR(Grid_BD[[#This Row],[Date]])</f>
        <v>1900</v>
      </c>
      <c r="E35" s="48">
        <f t="shared" si="0"/>
        <v>1</v>
      </c>
      <c r="F35" s="32" t="s">
        <v>652</v>
      </c>
      <c r="G35" s="33"/>
      <c r="H35" s="43" t="str">
        <f>IFERROR(VLOOKUP(Grid_BD[[#This Row],[Affected System]],'Basic Data'!$A$54:$E$56,2,0),"")</f>
        <v/>
      </c>
      <c r="I35" s="43" t="str">
        <f>IFERROR(VLOOKUP(Grid_BD[[#This Row],[Affected System]],'Basic Data'!$A$54:$E$56,3,0),"")</f>
        <v/>
      </c>
      <c r="J35" s="43" t="str">
        <f>IFERROR(VLOOKUP(Grid_BD[[#This Row],[Affected System]],'Basic Data'!$A$54:$E$56,5,0),"")</f>
        <v/>
      </c>
      <c r="K35" s="55"/>
      <c r="L35" s="50"/>
      <c r="M35" s="50"/>
      <c r="N35" s="50"/>
      <c r="O35" s="44">
        <f>(Grid_BD[[#This Row],[Work Start TimeStamp]]-Grid_BD[[#This Row],[Fault Start TimeStamp]])*24</f>
        <v>0</v>
      </c>
      <c r="P35" s="44" t="str">
        <f>IF(Grid_BD[[#This Row],[Work Start TimeStamp]]="","",(Grid_BD[[#This Row],[Fault Clearance time]]-Grid_BD[[#This Row],[Work Start TimeStamp]])*24)</f>
        <v/>
      </c>
      <c r="Q35" s="44">
        <f>(Grid_BD[[#This Row],[Fault Clearance time]]-Grid_BD[[#This Row],[Fault Start TimeStamp]])*24</f>
        <v>0</v>
      </c>
      <c r="R35" s="36"/>
      <c r="S35" s="44"/>
      <c r="T35" s="45" t="str">
        <f>IFERROR(Grid_BD[[#This Row],[Breakdown Time]]*Grid_BD[[#This Row],[Plant Equivalent Weightage]],"")</f>
        <v/>
      </c>
      <c r="U35" s="441"/>
    </row>
    <row r="36" spans="1:21">
      <c r="A36" s="28">
        <f t="shared" si="1"/>
        <v>35</v>
      </c>
      <c r="B36" s="29"/>
      <c r="C36" s="30">
        <f>YEAR(Grid_BD[[#This Row],[Date]])+IF(MONTH(Grid_BD[[#This Row],[Date]])&gt;=4,1,0)</f>
        <v>1900</v>
      </c>
      <c r="D36" s="31">
        <f>YEAR(Grid_BD[[#This Row],[Date]])</f>
        <v>1900</v>
      </c>
      <c r="E36" s="48">
        <f t="shared" si="0"/>
        <v>1</v>
      </c>
      <c r="F36" s="32" t="s">
        <v>652</v>
      </c>
      <c r="G36" s="33"/>
      <c r="H36" s="43" t="str">
        <f>IFERROR(VLOOKUP(Grid_BD[[#This Row],[Affected System]],'Basic Data'!$A$54:$E$56,2,0),"")</f>
        <v/>
      </c>
      <c r="I36" s="43" t="str">
        <f>IFERROR(VLOOKUP(Grid_BD[[#This Row],[Affected System]],'Basic Data'!$A$54:$E$56,3,0),"")</f>
        <v/>
      </c>
      <c r="J36" s="43" t="str">
        <f>IFERROR(VLOOKUP(Grid_BD[[#This Row],[Affected System]],'Basic Data'!$A$54:$E$56,5,0),"")</f>
        <v/>
      </c>
      <c r="K36" s="55"/>
      <c r="L36" s="50"/>
      <c r="M36" s="50"/>
      <c r="N36" s="50"/>
      <c r="O36" s="44">
        <f>(Grid_BD[[#This Row],[Work Start TimeStamp]]-Grid_BD[[#This Row],[Fault Start TimeStamp]])*24</f>
        <v>0</v>
      </c>
      <c r="P36" s="44" t="str">
        <f>IF(Grid_BD[[#This Row],[Work Start TimeStamp]]="","",(Grid_BD[[#This Row],[Fault Clearance time]]-Grid_BD[[#This Row],[Work Start TimeStamp]])*24)</f>
        <v/>
      </c>
      <c r="Q36" s="44">
        <f>(Grid_BD[[#This Row],[Fault Clearance time]]-Grid_BD[[#This Row],[Fault Start TimeStamp]])*24</f>
        <v>0</v>
      </c>
      <c r="R36" s="36"/>
      <c r="S36" s="44"/>
      <c r="T36" s="45" t="str">
        <f>IFERROR(Grid_BD[[#This Row],[Breakdown Time]]*Grid_BD[[#This Row],[Plant Equivalent Weightage]],"")</f>
        <v/>
      </c>
      <c r="U36" s="441"/>
    </row>
    <row r="37" spans="1:21">
      <c r="A37" s="28">
        <f t="shared" si="1"/>
        <v>36</v>
      </c>
      <c r="B37" s="29"/>
      <c r="C37" s="30">
        <f>YEAR(Grid_BD[[#This Row],[Date]])+IF(MONTH(Grid_BD[[#This Row],[Date]])&gt;=4,1,0)</f>
        <v>1900</v>
      </c>
      <c r="D37" s="31">
        <f>YEAR(Grid_BD[[#This Row],[Date]])</f>
        <v>1900</v>
      </c>
      <c r="E37" s="48">
        <f t="shared" si="0"/>
        <v>1</v>
      </c>
      <c r="F37" s="32" t="s">
        <v>652</v>
      </c>
      <c r="G37" s="33"/>
      <c r="H37" s="43" t="str">
        <f>IFERROR(VLOOKUP(Grid_BD[[#This Row],[Affected System]],'Basic Data'!$A$54:$E$56,2,0),"")</f>
        <v/>
      </c>
      <c r="I37" s="43" t="str">
        <f>IFERROR(VLOOKUP(Grid_BD[[#This Row],[Affected System]],'Basic Data'!$A$54:$E$56,3,0),"")</f>
        <v/>
      </c>
      <c r="J37" s="43" t="str">
        <f>IFERROR(VLOOKUP(Grid_BD[[#This Row],[Affected System]],'Basic Data'!$A$54:$E$56,5,0),"")</f>
        <v/>
      </c>
      <c r="K37" s="55"/>
      <c r="L37" s="50"/>
      <c r="M37" s="50"/>
      <c r="N37" s="50"/>
      <c r="O37" s="44">
        <f>(Grid_BD[[#This Row],[Work Start TimeStamp]]-Grid_BD[[#This Row],[Fault Start TimeStamp]])*24</f>
        <v>0</v>
      </c>
      <c r="P37" s="44" t="str">
        <f>IF(Grid_BD[[#This Row],[Work Start TimeStamp]]="","",(Grid_BD[[#This Row],[Fault Clearance time]]-Grid_BD[[#This Row],[Work Start TimeStamp]])*24)</f>
        <v/>
      </c>
      <c r="Q37" s="44">
        <f>(Grid_BD[[#This Row],[Fault Clearance time]]-Grid_BD[[#This Row],[Fault Start TimeStamp]])*24</f>
        <v>0</v>
      </c>
      <c r="R37" s="36"/>
      <c r="S37" s="44"/>
      <c r="T37" s="45" t="str">
        <f>IFERROR(Grid_BD[[#This Row],[Breakdown Time]]*Grid_BD[[#This Row],[Plant Equivalent Weightage]],"")</f>
        <v/>
      </c>
      <c r="U37" s="441"/>
    </row>
    <row r="38" spans="1:21">
      <c r="A38" s="28">
        <f t="shared" si="1"/>
        <v>37</v>
      </c>
      <c r="B38" s="29"/>
      <c r="C38" s="30">
        <f>YEAR(Grid_BD[[#This Row],[Date]])+IF(MONTH(Grid_BD[[#This Row],[Date]])&gt;=4,1,0)</f>
        <v>1900</v>
      </c>
      <c r="D38" s="31">
        <f>YEAR(Grid_BD[[#This Row],[Date]])</f>
        <v>1900</v>
      </c>
      <c r="E38" s="48">
        <f t="shared" si="0"/>
        <v>1</v>
      </c>
      <c r="F38" s="32" t="s">
        <v>652</v>
      </c>
      <c r="G38" s="33"/>
      <c r="H38" s="43" t="str">
        <f>IFERROR(VLOOKUP(Grid_BD[[#This Row],[Affected System]],'Basic Data'!$A$54:$E$56,2,0),"")</f>
        <v/>
      </c>
      <c r="I38" s="43" t="str">
        <f>IFERROR(VLOOKUP(Grid_BD[[#This Row],[Affected System]],'Basic Data'!$A$54:$E$56,3,0),"")</f>
        <v/>
      </c>
      <c r="J38" s="43" t="str">
        <f>IFERROR(VLOOKUP(Grid_BD[[#This Row],[Affected System]],'Basic Data'!$A$54:$E$56,5,0),"")</f>
        <v/>
      </c>
      <c r="K38" s="55"/>
      <c r="L38" s="50"/>
      <c r="M38" s="50"/>
      <c r="N38" s="50"/>
      <c r="O38" s="44">
        <f>(Grid_BD[[#This Row],[Work Start TimeStamp]]-Grid_BD[[#This Row],[Fault Start TimeStamp]])*24</f>
        <v>0</v>
      </c>
      <c r="P38" s="44" t="str">
        <f>IF(Grid_BD[[#This Row],[Work Start TimeStamp]]="","",(Grid_BD[[#This Row],[Fault Clearance time]]-Grid_BD[[#This Row],[Work Start TimeStamp]])*24)</f>
        <v/>
      </c>
      <c r="Q38" s="44">
        <f>(Grid_BD[[#This Row],[Fault Clearance time]]-Grid_BD[[#This Row],[Fault Start TimeStamp]])*24</f>
        <v>0</v>
      </c>
      <c r="R38" s="36"/>
      <c r="S38" s="44"/>
      <c r="T38" s="45" t="str">
        <f>IFERROR(Grid_BD[[#This Row],[Breakdown Time]]*Grid_BD[[#This Row],[Plant Equivalent Weightage]],"")</f>
        <v/>
      </c>
      <c r="U38" s="441"/>
    </row>
    <row r="39" spans="1:21">
      <c r="A39" s="28">
        <f t="shared" si="1"/>
        <v>38</v>
      </c>
      <c r="B39" s="29"/>
      <c r="C39" s="30">
        <f>YEAR(Grid_BD[[#This Row],[Date]])+IF(MONTH(Grid_BD[[#This Row],[Date]])&gt;=4,1,0)</f>
        <v>1900</v>
      </c>
      <c r="D39" s="31">
        <f>YEAR(Grid_BD[[#This Row],[Date]])</f>
        <v>1900</v>
      </c>
      <c r="E39" s="48">
        <f t="shared" si="0"/>
        <v>1</v>
      </c>
      <c r="F39" s="32" t="s">
        <v>652</v>
      </c>
      <c r="G39" s="33"/>
      <c r="H39" s="43" t="str">
        <f>IFERROR(VLOOKUP(Grid_BD[[#This Row],[Affected System]],'Basic Data'!$A$54:$E$56,2,0),"")</f>
        <v/>
      </c>
      <c r="I39" s="43" t="str">
        <f>IFERROR(VLOOKUP(Grid_BD[[#This Row],[Affected System]],'Basic Data'!$A$54:$E$56,3,0),"")</f>
        <v/>
      </c>
      <c r="J39" s="43" t="str">
        <f>IFERROR(VLOOKUP(Grid_BD[[#This Row],[Affected System]],'Basic Data'!$A$54:$E$56,5,0),"")</f>
        <v/>
      </c>
      <c r="K39" s="55"/>
      <c r="L39" s="50"/>
      <c r="M39" s="50"/>
      <c r="N39" s="50"/>
      <c r="O39" s="44">
        <f>(Grid_BD[[#This Row],[Work Start TimeStamp]]-Grid_BD[[#This Row],[Fault Start TimeStamp]])*24</f>
        <v>0</v>
      </c>
      <c r="P39" s="44" t="str">
        <f>IF(Grid_BD[[#This Row],[Work Start TimeStamp]]="","",(Grid_BD[[#This Row],[Fault Clearance time]]-Grid_BD[[#This Row],[Work Start TimeStamp]])*24)</f>
        <v/>
      </c>
      <c r="Q39" s="44">
        <f>(Grid_BD[[#This Row],[Fault Clearance time]]-Grid_BD[[#This Row],[Fault Start TimeStamp]])*24</f>
        <v>0</v>
      </c>
      <c r="R39" s="36"/>
      <c r="S39" s="44"/>
      <c r="T39" s="45" t="str">
        <f>IFERROR(Grid_BD[[#This Row],[Breakdown Time]]*Grid_BD[[#This Row],[Plant Equivalent Weightage]],"")</f>
        <v/>
      </c>
      <c r="U39" s="441"/>
    </row>
    <row r="40" spans="1:21">
      <c r="A40" s="28">
        <f t="shared" si="1"/>
        <v>39</v>
      </c>
      <c r="B40" s="29"/>
      <c r="C40" s="30">
        <f>YEAR(Grid_BD[[#This Row],[Date]])+IF(MONTH(Grid_BD[[#This Row],[Date]])&gt;=4,1,0)</f>
        <v>1900</v>
      </c>
      <c r="D40" s="31">
        <f>YEAR(Grid_BD[[#This Row],[Date]])</f>
        <v>1900</v>
      </c>
      <c r="E40" s="48">
        <f t="shared" si="0"/>
        <v>1</v>
      </c>
      <c r="F40" s="32" t="s">
        <v>652</v>
      </c>
      <c r="G40" s="33"/>
      <c r="H40" s="43" t="str">
        <f>IFERROR(VLOOKUP(Grid_BD[[#This Row],[Affected System]],'Basic Data'!$A$54:$E$56,2,0),"")</f>
        <v/>
      </c>
      <c r="I40" s="43" t="str">
        <f>IFERROR(VLOOKUP(Grid_BD[[#This Row],[Affected System]],'Basic Data'!$A$54:$E$56,3,0),"")</f>
        <v/>
      </c>
      <c r="J40" s="43" t="str">
        <f>IFERROR(VLOOKUP(Grid_BD[[#This Row],[Affected System]],'Basic Data'!$A$54:$E$56,5,0),"")</f>
        <v/>
      </c>
      <c r="K40" s="55"/>
      <c r="L40" s="50"/>
      <c r="M40" s="50"/>
      <c r="N40" s="50"/>
      <c r="O40" s="44">
        <f>(Grid_BD[[#This Row],[Work Start TimeStamp]]-Grid_BD[[#This Row],[Fault Start TimeStamp]])*24</f>
        <v>0</v>
      </c>
      <c r="P40" s="44" t="str">
        <f>IF(Grid_BD[[#This Row],[Work Start TimeStamp]]="","",(Grid_BD[[#This Row],[Fault Clearance time]]-Grid_BD[[#This Row],[Work Start TimeStamp]])*24)</f>
        <v/>
      </c>
      <c r="Q40" s="44">
        <f>(Grid_BD[[#This Row],[Fault Clearance time]]-Grid_BD[[#This Row],[Fault Start TimeStamp]])*24</f>
        <v>0</v>
      </c>
      <c r="R40" s="36"/>
      <c r="S40" s="44"/>
      <c r="T40" s="45" t="str">
        <f>IFERROR(Grid_BD[[#This Row],[Breakdown Time]]*Grid_BD[[#This Row],[Plant Equivalent Weightage]],"")</f>
        <v/>
      </c>
      <c r="U40" s="441"/>
    </row>
    <row r="41" spans="1:21">
      <c r="A41" s="28">
        <f t="shared" si="1"/>
        <v>40</v>
      </c>
      <c r="B41" s="29"/>
      <c r="C41" s="30">
        <f>YEAR(Grid_BD[[#This Row],[Date]])+IF(MONTH(Grid_BD[[#This Row],[Date]])&gt;=4,1,0)</f>
        <v>1900</v>
      </c>
      <c r="D41" s="31">
        <f>YEAR(Grid_BD[[#This Row],[Date]])</f>
        <v>1900</v>
      </c>
      <c r="E41" s="48">
        <f t="shared" si="0"/>
        <v>1</v>
      </c>
      <c r="F41" s="32" t="s">
        <v>652</v>
      </c>
      <c r="G41" s="33"/>
      <c r="H41" s="43" t="str">
        <f>IFERROR(VLOOKUP(Grid_BD[[#This Row],[Affected System]],'Basic Data'!$A$54:$E$56,2,0),"")</f>
        <v/>
      </c>
      <c r="I41" s="43" t="str">
        <f>IFERROR(VLOOKUP(Grid_BD[[#This Row],[Affected System]],'Basic Data'!$A$54:$E$56,3,0),"")</f>
        <v/>
      </c>
      <c r="J41" s="43" t="str">
        <f>IFERROR(VLOOKUP(Grid_BD[[#This Row],[Affected System]],'Basic Data'!$A$54:$E$56,5,0),"")</f>
        <v/>
      </c>
      <c r="K41" s="55"/>
      <c r="L41" s="50"/>
      <c r="M41" s="50"/>
      <c r="N41" s="50"/>
      <c r="O41" s="44">
        <f>(Grid_BD[[#This Row],[Work Start TimeStamp]]-Grid_BD[[#This Row],[Fault Start TimeStamp]])*24</f>
        <v>0</v>
      </c>
      <c r="P41" s="44" t="str">
        <f>IF(Grid_BD[[#This Row],[Work Start TimeStamp]]="","",(Grid_BD[[#This Row],[Fault Clearance time]]-Grid_BD[[#This Row],[Work Start TimeStamp]])*24)</f>
        <v/>
      </c>
      <c r="Q41" s="44">
        <f>(Grid_BD[[#This Row],[Fault Clearance time]]-Grid_BD[[#This Row],[Fault Start TimeStamp]])*24</f>
        <v>0</v>
      </c>
      <c r="R41" s="36"/>
      <c r="S41" s="44"/>
      <c r="T41" s="45" t="str">
        <f>IFERROR(Grid_BD[[#This Row],[Breakdown Time]]*Grid_BD[[#This Row],[Plant Equivalent Weightage]],"")</f>
        <v/>
      </c>
      <c r="U41" s="441"/>
    </row>
    <row r="42" spans="1:21">
      <c r="A42" s="28">
        <f t="shared" si="1"/>
        <v>41</v>
      </c>
      <c r="B42" s="29"/>
      <c r="C42" s="30">
        <f>YEAR(Grid_BD[[#This Row],[Date]])+IF(MONTH(Grid_BD[[#This Row],[Date]])&gt;=4,1,0)</f>
        <v>1900</v>
      </c>
      <c r="D42" s="31">
        <f>YEAR(Grid_BD[[#This Row],[Date]])</f>
        <v>1900</v>
      </c>
      <c r="E42" s="48">
        <f t="shared" si="0"/>
        <v>1</v>
      </c>
      <c r="F42" s="32" t="s">
        <v>652</v>
      </c>
      <c r="G42" s="33"/>
      <c r="H42" s="43" t="str">
        <f>IFERROR(VLOOKUP(Grid_BD[[#This Row],[Affected System]],'Basic Data'!$A$54:$E$56,2,0),"")</f>
        <v/>
      </c>
      <c r="I42" s="43" t="str">
        <f>IFERROR(VLOOKUP(Grid_BD[[#This Row],[Affected System]],'Basic Data'!$A$54:$E$56,3,0),"")</f>
        <v/>
      </c>
      <c r="J42" s="43" t="str">
        <f>IFERROR(VLOOKUP(Grid_BD[[#This Row],[Affected System]],'Basic Data'!$A$54:$E$56,5,0),"")</f>
        <v/>
      </c>
      <c r="K42" s="55"/>
      <c r="L42" s="50"/>
      <c r="M42" s="50"/>
      <c r="N42" s="50"/>
      <c r="O42" s="44">
        <f>(Grid_BD[[#This Row],[Work Start TimeStamp]]-Grid_BD[[#This Row],[Fault Start TimeStamp]])*24</f>
        <v>0</v>
      </c>
      <c r="P42" s="44" t="str">
        <f>IF(Grid_BD[[#This Row],[Work Start TimeStamp]]="","",(Grid_BD[[#This Row],[Fault Clearance time]]-Grid_BD[[#This Row],[Work Start TimeStamp]])*24)</f>
        <v/>
      </c>
      <c r="Q42" s="44">
        <f>(Grid_BD[[#This Row],[Fault Clearance time]]-Grid_BD[[#This Row],[Fault Start TimeStamp]])*24</f>
        <v>0</v>
      </c>
      <c r="R42" s="36"/>
      <c r="S42" s="44"/>
      <c r="T42" s="45" t="str">
        <f>IFERROR(Grid_BD[[#This Row],[Breakdown Time]]*Grid_BD[[#This Row],[Plant Equivalent Weightage]],"")</f>
        <v/>
      </c>
      <c r="U42" s="441"/>
    </row>
    <row r="43" spans="1:21">
      <c r="A43" s="28">
        <f t="shared" si="1"/>
        <v>42</v>
      </c>
      <c r="B43" s="29"/>
      <c r="C43" s="30">
        <f>YEAR(Grid_BD[[#This Row],[Date]])+IF(MONTH(Grid_BD[[#This Row],[Date]])&gt;=4,1,0)</f>
        <v>1900</v>
      </c>
      <c r="D43" s="31">
        <f>YEAR(Grid_BD[[#This Row],[Date]])</f>
        <v>1900</v>
      </c>
      <c r="E43" s="48">
        <f t="shared" si="0"/>
        <v>1</v>
      </c>
      <c r="F43" s="32" t="s">
        <v>652</v>
      </c>
      <c r="G43" s="33"/>
      <c r="H43" s="43" t="str">
        <f>IFERROR(VLOOKUP(Grid_BD[[#This Row],[Affected System]],'Basic Data'!$A$54:$E$56,2,0),"")</f>
        <v/>
      </c>
      <c r="I43" s="43" t="str">
        <f>IFERROR(VLOOKUP(Grid_BD[[#This Row],[Affected System]],'Basic Data'!$A$54:$E$56,3,0),"")</f>
        <v/>
      </c>
      <c r="J43" s="43" t="str">
        <f>IFERROR(VLOOKUP(Grid_BD[[#This Row],[Affected System]],'Basic Data'!$A$54:$E$56,5,0),"")</f>
        <v/>
      </c>
      <c r="K43" s="55"/>
      <c r="L43" s="50"/>
      <c r="M43" s="50"/>
      <c r="N43" s="50"/>
      <c r="O43" s="44">
        <f>(Grid_BD[[#This Row],[Work Start TimeStamp]]-Grid_BD[[#This Row],[Fault Start TimeStamp]])*24</f>
        <v>0</v>
      </c>
      <c r="P43" s="44" t="str">
        <f>IF(Grid_BD[[#This Row],[Work Start TimeStamp]]="","",(Grid_BD[[#This Row],[Fault Clearance time]]-Grid_BD[[#This Row],[Work Start TimeStamp]])*24)</f>
        <v/>
      </c>
      <c r="Q43" s="44">
        <f>(Grid_BD[[#This Row],[Fault Clearance time]]-Grid_BD[[#This Row],[Fault Start TimeStamp]])*24</f>
        <v>0</v>
      </c>
      <c r="R43" s="36"/>
      <c r="S43" s="44"/>
      <c r="T43" s="45" t="str">
        <f>IFERROR(Grid_BD[[#This Row],[Breakdown Time]]*Grid_BD[[#This Row],[Plant Equivalent Weightage]],"")</f>
        <v/>
      </c>
      <c r="U43" s="441"/>
    </row>
    <row r="44" spans="1:21">
      <c r="A44" s="28">
        <f t="shared" si="1"/>
        <v>43</v>
      </c>
      <c r="B44" s="29"/>
      <c r="C44" s="30">
        <f>YEAR(Grid_BD[[#This Row],[Date]])+IF(MONTH(Grid_BD[[#This Row],[Date]])&gt;=4,1,0)</f>
        <v>1900</v>
      </c>
      <c r="D44" s="31">
        <f>YEAR(Grid_BD[[#This Row],[Date]])</f>
        <v>1900</v>
      </c>
      <c r="E44" s="48">
        <f t="shared" si="0"/>
        <v>1</v>
      </c>
      <c r="F44" s="32" t="s">
        <v>652</v>
      </c>
      <c r="G44" s="33"/>
      <c r="H44" s="43" t="str">
        <f>IFERROR(VLOOKUP(Grid_BD[[#This Row],[Affected System]],'Basic Data'!$A$54:$E$56,2,0),"")</f>
        <v/>
      </c>
      <c r="I44" s="43" t="str">
        <f>IFERROR(VLOOKUP(Grid_BD[[#This Row],[Affected System]],'Basic Data'!$A$54:$E$56,3,0),"")</f>
        <v/>
      </c>
      <c r="J44" s="43" t="str">
        <f>IFERROR(VLOOKUP(Grid_BD[[#This Row],[Affected System]],'Basic Data'!$A$54:$E$56,5,0),"")</f>
        <v/>
      </c>
      <c r="K44" s="55"/>
      <c r="L44" s="50"/>
      <c r="M44" s="50"/>
      <c r="N44" s="50"/>
      <c r="O44" s="44">
        <f>(Grid_BD[[#This Row],[Work Start TimeStamp]]-Grid_BD[[#This Row],[Fault Start TimeStamp]])*24</f>
        <v>0</v>
      </c>
      <c r="P44" s="44" t="str">
        <f>IF(Grid_BD[[#This Row],[Work Start TimeStamp]]="","",(Grid_BD[[#This Row],[Fault Clearance time]]-Grid_BD[[#This Row],[Work Start TimeStamp]])*24)</f>
        <v/>
      </c>
      <c r="Q44" s="44">
        <f>(Grid_BD[[#This Row],[Fault Clearance time]]-Grid_BD[[#This Row],[Fault Start TimeStamp]])*24</f>
        <v>0</v>
      </c>
      <c r="R44" s="36"/>
      <c r="S44" s="44"/>
      <c r="T44" s="45" t="str">
        <f>IFERROR(Grid_BD[[#This Row],[Breakdown Time]]*Grid_BD[[#This Row],[Plant Equivalent Weightage]],"")</f>
        <v/>
      </c>
      <c r="U44" s="441"/>
    </row>
    <row r="45" spans="1:21">
      <c r="A45" s="28">
        <f t="shared" si="1"/>
        <v>44</v>
      </c>
      <c r="B45" s="29"/>
      <c r="C45" s="30">
        <f>YEAR(Grid_BD[[#This Row],[Date]])+IF(MONTH(Grid_BD[[#This Row],[Date]])&gt;=4,1,0)</f>
        <v>1900</v>
      </c>
      <c r="D45" s="31">
        <f>YEAR(Grid_BD[[#This Row],[Date]])</f>
        <v>1900</v>
      </c>
      <c r="E45" s="48">
        <f t="shared" si="0"/>
        <v>1</v>
      </c>
      <c r="F45" s="32" t="s">
        <v>652</v>
      </c>
      <c r="G45" s="33"/>
      <c r="H45" s="43" t="str">
        <f>IFERROR(VLOOKUP(Grid_BD[[#This Row],[Affected System]],'Basic Data'!$A$54:$E$56,2,0),"")</f>
        <v/>
      </c>
      <c r="I45" s="43" t="str">
        <f>IFERROR(VLOOKUP(Grid_BD[[#This Row],[Affected System]],'Basic Data'!$A$54:$E$56,3,0),"")</f>
        <v/>
      </c>
      <c r="J45" s="43" t="str">
        <f>IFERROR(VLOOKUP(Grid_BD[[#This Row],[Affected System]],'Basic Data'!$A$54:$E$56,5,0),"")</f>
        <v/>
      </c>
      <c r="K45" s="55"/>
      <c r="L45" s="50"/>
      <c r="M45" s="50"/>
      <c r="N45" s="50"/>
      <c r="O45" s="44">
        <f>(Grid_BD[[#This Row],[Work Start TimeStamp]]-Grid_BD[[#This Row],[Fault Start TimeStamp]])*24</f>
        <v>0</v>
      </c>
      <c r="P45" s="44" t="str">
        <f>IF(Grid_BD[[#This Row],[Work Start TimeStamp]]="","",(Grid_BD[[#This Row],[Fault Clearance time]]-Grid_BD[[#This Row],[Work Start TimeStamp]])*24)</f>
        <v/>
      </c>
      <c r="Q45" s="44">
        <f>(Grid_BD[[#This Row],[Fault Clearance time]]-Grid_BD[[#This Row],[Fault Start TimeStamp]])*24</f>
        <v>0</v>
      </c>
      <c r="R45" s="36"/>
      <c r="S45" s="44"/>
      <c r="T45" s="45" t="str">
        <f>IFERROR(Grid_BD[[#This Row],[Breakdown Time]]*Grid_BD[[#This Row],[Plant Equivalent Weightage]],"")</f>
        <v/>
      </c>
      <c r="U45" s="441"/>
    </row>
    <row r="46" spans="1:21">
      <c r="A46" s="28">
        <f t="shared" si="1"/>
        <v>45</v>
      </c>
      <c r="B46" s="29"/>
      <c r="C46" s="30">
        <f>YEAR(Grid_BD[[#This Row],[Date]])+IF(MONTH(Grid_BD[[#This Row],[Date]])&gt;=4,1,0)</f>
        <v>1900</v>
      </c>
      <c r="D46" s="31">
        <f>YEAR(Grid_BD[[#This Row],[Date]])</f>
        <v>1900</v>
      </c>
      <c r="E46" s="48">
        <f t="shared" si="0"/>
        <v>1</v>
      </c>
      <c r="F46" s="32" t="s">
        <v>652</v>
      </c>
      <c r="G46" s="33"/>
      <c r="H46" s="43" t="str">
        <f>IFERROR(VLOOKUP(Grid_BD[[#This Row],[Affected System]],'Basic Data'!$A$54:$E$56,2,0),"")</f>
        <v/>
      </c>
      <c r="I46" s="43" t="str">
        <f>IFERROR(VLOOKUP(Grid_BD[[#This Row],[Affected System]],'Basic Data'!$A$54:$E$56,3,0),"")</f>
        <v/>
      </c>
      <c r="J46" s="43" t="str">
        <f>IFERROR(VLOOKUP(Grid_BD[[#This Row],[Affected System]],'Basic Data'!$A$54:$E$56,5,0),"")</f>
        <v/>
      </c>
      <c r="K46" s="55"/>
      <c r="L46" s="50"/>
      <c r="M46" s="50"/>
      <c r="N46" s="50"/>
      <c r="O46" s="44">
        <f>(Grid_BD[[#This Row],[Work Start TimeStamp]]-Grid_BD[[#This Row],[Fault Start TimeStamp]])*24</f>
        <v>0</v>
      </c>
      <c r="P46" s="44" t="str">
        <f>IF(Grid_BD[[#This Row],[Work Start TimeStamp]]="","",(Grid_BD[[#This Row],[Fault Clearance time]]-Grid_BD[[#This Row],[Work Start TimeStamp]])*24)</f>
        <v/>
      </c>
      <c r="Q46" s="44">
        <f>(Grid_BD[[#This Row],[Fault Clearance time]]-Grid_BD[[#This Row],[Fault Start TimeStamp]])*24</f>
        <v>0</v>
      </c>
      <c r="R46" s="36"/>
      <c r="S46" s="44"/>
      <c r="T46" s="45" t="str">
        <f>IFERROR(Grid_BD[[#This Row],[Breakdown Time]]*Grid_BD[[#This Row],[Plant Equivalent Weightage]],"")</f>
        <v/>
      </c>
      <c r="U46" s="441"/>
    </row>
    <row r="47" spans="1:21">
      <c r="A47" s="28">
        <f t="shared" si="1"/>
        <v>46</v>
      </c>
      <c r="B47" s="29"/>
      <c r="C47" s="30">
        <f>YEAR(Grid_BD[[#This Row],[Date]])+IF(MONTH(Grid_BD[[#This Row],[Date]])&gt;=4,1,0)</f>
        <v>1900</v>
      </c>
      <c r="D47" s="31">
        <f>YEAR(Grid_BD[[#This Row],[Date]])</f>
        <v>1900</v>
      </c>
      <c r="E47" s="48">
        <f t="shared" si="0"/>
        <v>1</v>
      </c>
      <c r="F47" s="32" t="s">
        <v>652</v>
      </c>
      <c r="G47" s="33"/>
      <c r="H47" s="43" t="str">
        <f>IFERROR(VLOOKUP(Grid_BD[[#This Row],[Affected System]],'Basic Data'!$A$54:$E$56,2,0),"")</f>
        <v/>
      </c>
      <c r="I47" s="43" t="str">
        <f>IFERROR(VLOOKUP(Grid_BD[[#This Row],[Affected System]],'Basic Data'!$A$54:$E$56,3,0),"")</f>
        <v/>
      </c>
      <c r="J47" s="43" t="str">
        <f>IFERROR(VLOOKUP(Grid_BD[[#This Row],[Affected System]],'Basic Data'!$A$54:$E$56,5,0),"")</f>
        <v/>
      </c>
      <c r="K47" s="55"/>
      <c r="L47" s="50"/>
      <c r="M47" s="50"/>
      <c r="N47" s="50"/>
      <c r="O47" s="44">
        <f>(Grid_BD[[#This Row],[Work Start TimeStamp]]-Grid_BD[[#This Row],[Fault Start TimeStamp]])*24</f>
        <v>0</v>
      </c>
      <c r="P47" s="44" t="str">
        <f>IF(Grid_BD[[#This Row],[Work Start TimeStamp]]="","",(Grid_BD[[#This Row],[Fault Clearance time]]-Grid_BD[[#This Row],[Work Start TimeStamp]])*24)</f>
        <v/>
      </c>
      <c r="Q47" s="44">
        <f>(Grid_BD[[#This Row],[Fault Clearance time]]-Grid_BD[[#This Row],[Fault Start TimeStamp]])*24</f>
        <v>0</v>
      </c>
      <c r="R47" s="36"/>
      <c r="S47" s="44"/>
      <c r="T47" s="45" t="str">
        <f>IFERROR(Grid_BD[[#This Row],[Breakdown Time]]*Grid_BD[[#This Row],[Plant Equivalent Weightage]],"")</f>
        <v/>
      </c>
      <c r="U47" s="441"/>
    </row>
    <row r="48" spans="1:21">
      <c r="A48" s="28">
        <f t="shared" si="1"/>
        <v>47</v>
      </c>
      <c r="B48" s="29"/>
      <c r="C48" s="30">
        <f>YEAR(Grid_BD[[#This Row],[Date]])+IF(MONTH(Grid_BD[[#This Row],[Date]])&gt;=4,1,0)</f>
        <v>1900</v>
      </c>
      <c r="D48" s="31">
        <f>YEAR(Grid_BD[[#This Row],[Date]])</f>
        <v>1900</v>
      </c>
      <c r="E48" s="48">
        <f t="shared" si="0"/>
        <v>1</v>
      </c>
      <c r="F48" s="32" t="s">
        <v>652</v>
      </c>
      <c r="G48" s="33"/>
      <c r="H48" s="43" t="str">
        <f>IFERROR(VLOOKUP(Grid_BD[[#This Row],[Affected System]],'Basic Data'!$A$54:$E$56,2,0),"")</f>
        <v/>
      </c>
      <c r="I48" s="43" t="str">
        <f>IFERROR(VLOOKUP(Grid_BD[[#This Row],[Affected System]],'Basic Data'!$A$54:$E$56,3,0),"")</f>
        <v/>
      </c>
      <c r="J48" s="43" t="str">
        <f>IFERROR(VLOOKUP(Grid_BD[[#This Row],[Affected System]],'Basic Data'!$A$54:$E$56,5,0),"")</f>
        <v/>
      </c>
      <c r="K48" s="55"/>
      <c r="L48" s="50"/>
      <c r="M48" s="50"/>
      <c r="N48" s="50"/>
      <c r="O48" s="44">
        <f>(Grid_BD[[#This Row],[Work Start TimeStamp]]-Grid_BD[[#This Row],[Fault Start TimeStamp]])*24</f>
        <v>0</v>
      </c>
      <c r="P48" s="44" t="str">
        <f>IF(Grid_BD[[#This Row],[Work Start TimeStamp]]="","",(Grid_BD[[#This Row],[Fault Clearance time]]-Grid_BD[[#This Row],[Work Start TimeStamp]])*24)</f>
        <v/>
      </c>
      <c r="Q48" s="44">
        <f>(Grid_BD[[#This Row],[Fault Clearance time]]-Grid_BD[[#This Row],[Fault Start TimeStamp]])*24</f>
        <v>0</v>
      </c>
      <c r="R48" s="36"/>
      <c r="S48" s="44"/>
      <c r="T48" s="45" t="str">
        <f>IFERROR(Grid_BD[[#This Row],[Breakdown Time]]*Grid_BD[[#This Row],[Plant Equivalent Weightage]],"")</f>
        <v/>
      </c>
      <c r="U48" s="441"/>
    </row>
    <row r="49" spans="1:21">
      <c r="A49" s="28">
        <f t="shared" si="1"/>
        <v>48</v>
      </c>
      <c r="B49" s="29"/>
      <c r="C49" s="30">
        <f>YEAR(Grid_BD[[#This Row],[Date]])+IF(MONTH(Grid_BD[[#This Row],[Date]])&gt;=4,1,0)</f>
        <v>1900</v>
      </c>
      <c r="D49" s="31">
        <f>YEAR(Grid_BD[[#This Row],[Date]])</f>
        <v>1900</v>
      </c>
      <c r="E49" s="48">
        <f t="shared" si="0"/>
        <v>1</v>
      </c>
      <c r="F49" s="32" t="s">
        <v>652</v>
      </c>
      <c r="G49" s="33"/>
      <c r="H49" s="43" t="str">
        <f>IFERROR(VLOOKUP(Grid_BD[[#This Row],[Affected System]],'Basic Data'!$A$54:$E$56,2,0),"")</f>
        <v/>
      </c>
      <c r="I49" s="43" t="str">
        <f>IFERROR(VLOOKUP(Grid_BD[[#This Row],[Affected System]],'Basic Data'!$A$54:$E$56,3,0),"")</f>
        <v/>
      </c>
      <c r="J49" s="43" t="str">
        <f>IFERROR(VLOOKUP(Grid_BD[[#This Row],[Affected System]],'Basic Data'!$A$54:$E$56,5,0),"")</f>
        <v/>
      </c>
      <c r="K49" s="55"/>
      <c r="L49" s="50"/>
      <c r="M49" s="50"/>
      <c r="N49" s="50"/>
      <c r="O49" s="44">
        <f>(Grid_BD[[#This Row],[Work Start TimeStamp]]-Grid_BD[[#This Row],[Fault Start TimeStamp]])*24</f>
        <v>0</v>
      </c>
      <c r="P49" s="44" t="str">
        <f>IF(Grid_BD[[#This Row],[Work Start TimeStamp]]="","",(Grid_BD[[#This Row],[Fault Clearance time]]-Grid_BD[[#This Row],[Work Start TimeStamp]])*24)</f>
        <v/>
      </c>
      <c r="Q49" s="44">
        <f>(Grid_BD[[#This Row],[Fault Clearance time]]-Grid_BD[[#This Row],[Fault Start TimeStamp]])*24</f>
        <v>0</v>
      </c>
      <c r="R49" s="36"/>
      <c r="S49" s="44"/>
      <c r="T49" s="45" t="str">
        <f>IFERROR(Grid_BD[[#This Row],[Breakdown Time]]*Grid_BD[[#This Row],[Plant Equivalent Weightage]],"")</f>
        <v/>
      </c>
      <c r="U49" s="441"/>
    </row>
    <row r="50" spans="1:21">
      <c r="A50" s="28">
        <f t="shared" si="1"/>
        <v>49</v>
      </c>
      <c r="B50" s="29"/>
      <c r="C50" s="30">
        <f>YEAR(Grid_BD[[#This Row],[Date]])+IF(MONTH(Grid_BD[[#This Row],[Date]])&gt;=4,1,0)</f>
        <v>1900</v>
      </c>
      <c r="D50" s="31">
        <f>YEAR(Grid_BD[[#This Row],[Date]])</f>
        <v>1900</v>
      </c>
      <c r="E50" s="48">
        <f t="shared" si="0"/>
        <v>1</v>
      </c>
      <c r="F50" s="32" t="s">
        <v>652</v>
      </c>
      <c r="G50" s="33"/>
      <c r="H50" s="43" t="str">
        <f>IFERROR(VLOOKUP(Grid_BD[[#This Row],[Affected System]],'Basic Data'!$A$54:$E$56,2,0),"")</f>
        <v/>
      </c>
      <c r="I50" s="43" t="str">
        <f>IFERROR(VLOOKUP(Grid_BD[[#This Row],[Affected System]],'Basic Data'!$A$54:$E$56,3,0),"")</f>
        <v/>
      </c>
      <c r="J50" s="43" t="str">
        <f>IFERROR(VLOOKUP(Grid_BD[[#This Row],[Affected System]],'Basic Data'!$A$54:$E$56,5,0),"")</f>
        <v/>
      </c>
      <c r="K50" s="55"/>
      <c r="L50" s="50"/>
      <c r="M50" s="50"/>
      <c r="N50" s="50"/>
      <c r="O50" s="44">
        <f>(Grid_BD[[#This Row],[Work Start TimeStamp]]-Grid_BD[[#This Row],[Fault Start TimeStamp]])*24</f>
        <v>0</v>
      </c>
      <c r="P50" s="44" t="str">
        <f>IF(Grid_BD[[#This Row],[Work Start TimeStamp]]="","",(Grid_BD[[#This Row],[Fault Clearance time]]-Grid_BD[[#This Row],[Work Start TimeStamp]])*24)</f>
        <v/>
      </c>
      <c r="Q50" s="44">
        <f>(Grid_BD[[#This Row],[Fault Clearance time]]-Grid_BD[[#This Row],[Fault Start TimeStamp]])*24</f>
        <v>0</v>
      </c>
      <c r="R50" s="36"/>
      <c r="S50" s="44"/>
      <c r="T50" s="45" t="str">
        <f>IFERROR(Grid_BD[[#This Row],[Breakdown Time]]*Grid_BD[[#This Row],[Plant Equivalent Weightage]],"")</f>
        <v/>
      </c>
      <c r="U50" s="441"/>
    </row>
    <row r="51" spans="1:21">
      <c r="A51" s="28">
        <f t="shared" si="1"/>
        <v>50</v>
      </c>
      <c r="B51" s="29"/>
      <c r="C51" s="30">
        <f>YEAR(Grid_BD[[#This Row],[Date]])+IF(MONTH(Grid_BD[[#This Row],[Date]])&gt;=4,1,0)</f>
        <v>1900</v>
      </c>
      <c r="D51" s="31">
        <f>YEAR(Grid_BD[[#This Row],[Date]])</f>
        <v>1900</v>
      </c>
      <c r="E51" s="48">
        <f t="shared" si="0"/>
        <v>1</v>
      </c>
      <c r="F51" s="32" t="s">
        <v>652</v>
      </c>
      <c r="G51" s="33"/>
      <c r="H51" s="43" t="str">
        <f>IFERROR(VLOOKUP(Grid_BD[[#This Row],[Affected System]],'Basic Data'!$A$54:$E$56,2,0),"")</f>
        <v/>
      </c>
      <c r="I51" s="43" t="str">
        <f>IFERROR(VLOOKUP(Grid_BD[[#This Row],[Affected System]],'Basic Data'!$A$54:$E$56,3,0),"")</f>
        <v/>
      </c>
      <c r="J51" s="43" t="str">
        <f>IFERROR(VLOOKUP(Grid_BD[[#This Row],[Affected System]],'Basic Data'!$A$54:$E$56,5,0),"")</f>
        <v/>
      </c>
      <c r="K51" s="55"/>
      <c r="L51" s="50"/>
      <c r="M51" s="50"/>
      <c r="N51" s="50"/>
      <c r="O51" s="44">
        <f>(Grid_BD[[#This Row],[Work Start TimeStamp]]-Grid_BD[[#This Row],[Fault Start TimeStamp]])*24</f>
        <v>0</v>
      </c>
      <c r="P51" s="44" t="str">
        <f>IF(Grid_BD[[#This Row],[Work Start TimeStamp]]="","",(Grid_BD[[#This Row],[Fault Clearance time]]-Grid_BD[[#This Row],[Work Start TimeStamp]])*24)</f>
        <v/>
      </c>
      <c r="Q51" s="44">
        <f>(Grid_BD[[#This Row],[Fault Clearance time]]-Grid_BD[[#This Row],[Fault Start TimeStamp]])*24</f>
        <v>0</v>
      </c>
      <c r="R51" s="36"/>
      <c r="S51" s="44"/>
      <c r="T51" s="45" t="str">
        <f>IFERROR(Grid_BD[[#This Row],[Breakdown Time]]*Grid_BD[[#This Row],[Plant Equivalent Weightage]],"")</f>
        <v/>
      </c>
      <c r="U51" s="441"/>
    </row>
    <row r="52" spans="1:21">
      <c r="A52" s="28">
        <f t="shared" si="1"/>
        <v>51</v>
      </c>
      <c r="B52" s="29"/>
      <c r="C52" s="30">
        <f>YEAR(Grid_BD[[#This Row],[Date]])+IF(MONTH(Grid_BD[[#This Row],[Date]])&gt;=4,1,0)</f>
        <v>1900</v>
      </c>
      <c r="D52" s="31">
        <f>YEAR(Grid_BD[[#This Row],[Date]])</f>
        <v>1900</v>
      </c>
      <c r="E52" s="48">
        <f t="shared" si="0"/>
        <v>1</v>
      </c>
      <c r="F52" s="32" t="s">
        <v>652</v>
      </c>
      <c r="G52" s="33"/>
      <c r="H52" s="43" t="str">
        <f>IFERROR(VLOOKUP(Grid_BD[[#This Row],[Affected System]],'Basic Data'!$A$54:$E$56,2,0),"")</f>
        <v/>
      </c>
      <c r="I52" s="43" t="str">
        <f>IFERROR(VLOOKUP(Grid_BD[[#This Row],[Affected System]],'Basic Data'!$A$54:$E$56,3,0),"")</f>
        <v/>
      </c>
      <c r="J52" s="43" t="str">
        <f>IFERROR(VLOOKUP(Grid_BD[[#This Row],[Affected System]],'Basic Data'!$A$54:$E$56,5,0),"")</f>
        <v/>
      </c>
      <c r="K52" s="55"/>
      <c r="L52" s="50"/>
      <c r="M52" s="50"/>
      <c r="N52" s="50"/>
      <c r="O52" s="44">
        <f>(Grid_BD[[#This Row],[Work Start TimeStamp]]-Grid_BD[[#This Row],[Fault Start TimeStamp]])*24</f>
        <v>0</v>
      </c>
      <c r="P52" s="44" t="str">
        <f>IF(Grid_BD[[#This Row],[Work Start TimeStamp]]="","",(Grid_BD[[#This Row],[Fault Clearance time]]-Grid_BD[[#This Row],[Work Start TimeStamp]])*24)</f>
        <v/>
      </c>
      <c r="Q52" s="44">
        <f>(Grid_BD[[#This Row],[Fault Clearance time]]-Grid_BD[[#This Row],[Fault Start TimeStamp]])*24</f>
        <v>0</v>
      </c>
      <c r="R52" s="36"/>
      <c r="S52" s="44"/>
      <c r="T52" s="45" t="str">
        <f>IFERROR(Grid_BD[[#This Row],[Breakdown Time]]*Grid_BD[[#This Row],[Plant Equivalent Weightage]],"")</f>
        <v/>
      </c>
      <c r="U52" s="441"/>
    </row>
    <row r="53" spans="1:21">
      <c r="A53" s="28">
        <f t="shared" si="1"/>
        <v>52</v>
      </c>
      <c r="B53" s="29"/>
      <c r="C53" s="30">
        <f>YEAR(Grid_BD[[#This Row],[Date]])+IF(MONTH(Grid_BD[[#This Row],[Date]])&gt;=4,1,0)</f>
        <v>1900</v>
      </c>
      <c r="D53" s="31">
        <f>YEAR(Grid_BD[[#This Row],[Date]])</f>
        <v>1900</v>
      </c>
      <c r="E53" s="48">
        <f t="shared" si="0"/>
        <v>1</v>
      </c>
      <c r="F53" s="32" t="s">
        <v>652</v>
      </c>
      <c r="G53" s="33"/>
      <c r="H53" s="43" t="str">
        <f>IFERROR(VLOOKUP(Grid_BD[[#This Row],[Affected System]],'Basic Data'!$A$54:$E$56,2,0),"")</f>
        <v/>
      </c>
      <c r="I53" s="43" t="str">
        <f>IFERROR(VLOOKUP(Grid_BD[[#This Row],[Affected System]],'Basic Data'!$A$54:$E$56,3,0),"")</f>
        <v/>
      </c>
      <c r="J53" s="43" t="str">
        <f>IFERROR(VLOOKUP(Grid_BD[[#This Row],[Affected System]],'Basic Data'!$A$54:$E$56,5,0),"")</f>
        <v/>
      </c>
      <c r="K53" s="55"/>
      <c r="L53" s="50"/>
      <c r="M53" s="50"/>
      <c r="N53" s="50"/>
      <c r="O53" s="44">
        <f>(Grid_BD[[#This Row],[Work Start TimeStamp]]-Grid_BD[[#This Row],[Fault Start TimeStamp]])*24</f>
        <v>0</v>
      </c>
      <c r="P53" s="44" t="str">
        <f>IF(Grid_BD[[#This Row],[Work Start TimeStamp]]="","",(Grid_BD[[#This Row],[Fault Clearance time]]-Grid_BD[[#This Row],[Work Start TimeStamp]])*24)</f>
        <v/>
      </c>
      <c r="Q53" s="44">
        <f>(Grid_BD[[#This Row],[Fault Clearance time]]-Grid_BD[[#This Row],[Fault Start TimeStamp]])*24</f>
        <v>0</v>
      </c>
      <c r="R53" s="36"/>
      <c r="S53" s="44"/>
      <c r="T53" s="45" t="str">
        <f>IFERROR(Grid_BD[[#This Row],[Breakdown Time]]*Grid_BD[[#This Row],[Plant Equivalent Weightage]],"")</f>
        <v/>
      </c>
      <c r="U53" s="441"/>
    </row>
    <row r="54" spans="1:21">
      <c r="A54" s="28">
        <f t="shared" si="1"/>
        <v>53</v>
      </c>
      <c r="B54" s="29"/>
      <c r="C54" s="30">
        <f>YEAR(Grid_BD[[#This Row],[Date]])+IF(MONTH(Grid_BD[[#This Row],[Date]])&gt;=4,1,0)</f>
        <v>1900</v>
      </c>
      <c r="D54" s="31">
        <f>YEAR(Grid_BD[[#This Row],[Date]])</f>
        <v>1900</v>
      </c>
      <c r="E54" s="48">
        <f t="shared" si="0"/>
        <v>1</v>
      </c>
      <c r="F54" s="32" t="s">
        <v>652</v>
      </c>
      <c r="G54" s="33"/>
      <c r="H54" s="43" t="str">
        <f>IFERROR(VLOOKUP(Grid_BD[[#This Row],[Affected System]],'Basic Data'!$A$54:$E$56,2,0),"")</f>
        <v/>
      </c>
      <c r="I54" s="43" t="str">
        <f>IFERROR(VLOOKUP(Grid_BD[[#This Row],[Affected System]],'Basic Data'!$A$54:$E$56,3,0),"")</f>
        <v/>
      </c>
      <c r="J54" s="43" t="str">
        <f>IFERROR(VLOOKUP(Grid_BD[[#This Row],[Affected System]],'Basic Data'!$A$54:$E$56,5,0),"")</f>
        <v/>
      </c>
      <c r="K54" s="55"/>
      <c r="L54" s="50"/>
      <c r="M54" s="50"/>
      <c r="N54" s="50"/>
      <c r="O54" s="44">
        <f>(Grid_BD[[#This Row],[Work Start TimeStamp]]-Grid_BD[[#This Row],[Fault Start TimeStamp]])*24</f>
        <v>0</v>
      </c>
      <c r="P54" s="44" t="str">
        <f>IF(Grid_BD[[#This Row],[Work Start TimeStamp]]="","",(Grid_BD[[#This Row],[Fault Clearance time]]-Grid_BD[[#This Row],[Work Start TimeStamp]])*24)</f>
        <v/>
      </c>
      <c r="Q54" s="44">
        <f>(Grid_BD[[#This Row],[Fault Clearance time]]-Grid_BD[[#This Row],[Fault Start TimeStamp]])*24</f>
        <v>0</v>
      </c>
      <c r="R54" s="36"/>
      <c r="S54" s="44"/>
      <c r="T54" s="45" t="str">
        <f>IFERROR(Grid_BD[[#This Row],[Breakdown Time]]*Grid_BD[[#This Row],[Plant Equivalent Weightage]],"")</f>
        <v/>
      </c>
      <c r="U54" s="441"/>
    </row>
    <row r="55" spans="1:21">
      <c r="A55" s="28">
        <f t="shared" si="1"/>
        <v>54</v>
      </c>
      <c r="B55" s="29"/>
      <c r="C55" s="30">
        <f>YEAR(Grid_BD[[#This Row],[Date]])+IF(MONTH(Grid_BD[[#This Row],[Date]])&gt;=4,1,0)</f>
        <v>1900</v>
      </c>
      <c r="D55" s="31">
        <f>YEAR(Grid_BD[[#This Row],[Date]])</f>
        <v>1900</v>
      </c>
      <c r="E55" s="48">
        <f t="shared" si="0"/>
        <v>1</v>
      </c>
      <c r="F55" s="32" t="s">
        <v>652</v>
      </c>
      <c r="G55" s="33"/>
      <c r="H55" s="43" t="str">
        <f>IFERROR(VLOOKUP(Grid_BD[[#This Row],[Affected System]],'Basic Data'!$A$54:$E$56,2,0),"")</f>
        <v/>
      </c>
      <c r="I55" s="43" t="str">
        <f>IFERROR(VLOOKUP(Grid_BD[[#This Row],[Affected System]],'Basic Data'!$A$54:$E$56,3,0),"")</f>
        <v/>
      </c>
      <c r="J55" s="43" t="str">
        <f>IFERROR(VLOOKUP(Grid_BD[[#This Row],[Affected System]],'Basic Data'!$A$54:$E$56,5,0),"")</f>
        <v/>
      </c>
      <c r="K55" s="55"/>
      <c r="L55" s="50"/>
      <c r="M55" s="50"/>
      <c r="N55" s="50"/>
      <c r="O55" s="44">
        <f>(Grid_BD[[#This Row],[Work Start TimeStamp]]-Grid_BD[[#This Row],[Fault Start TimeStamp]])*24</f>
        <v>0</v>
      </c>
      <c r="P55" s="44" t="str">
        <f>IF(Grid_BD[[#This Row],[Work Start TimeStamp]]="","",(Grid_BD[[#This Row],[Fault Clearance time]]-Grid_BD[[#This Row],[Work Start TimeStamp]])*24)</f>
        <v/>
      </c>
      <c r="Q55" s="44">
        <f>(Grid_BD[[#This Row],[Fault Clearance time]]-Grid_BD[[#This Row],[Fault Start TimeStamp]])*24</f>
        <v>0</v>
      </c>
      <c r="R55" s="36"/>
      <c r="S55" s="44"/>
      <c r="T55" s="45" t="str">
        <f>IFERROR(Grid_BD[[#This Row],[Breakdown Time]]*Grid_BD[[#This Row],[Plant Equivalent Weightage]],"")</f>
        <v/>
      </c>
      <c r="U55" s="441"/>
    </row>
    <row r="56" spans="1:21">
      <c r="A56" s="28">
        <f t="shared" si="1"/>
        <v>55</v>
      </c>
      <c r="B56" s="29"/>
      <c r="C56" s="30">
        <f>YEAR(Grid_BD[[#This Row],[Date]])+IF(MONTH(Grid_BD[[#This Row],[Date]])&gt;=4,1,0)</f>
        <v>1900</v>
      </c>
      <c r="D56" s="31">
        <f>YEAR(Grid_BD[[#This Row],[Date]])</f>
        <v>1900</v>
      </c>
      <c r="E56" s="48">
        <f t="shared" si="0"/>
        <v>1</v>
      </c>
      <c r="F56" s="32" t="s">
        <v>652</v>
      </c>
      <c r="G56" s="33"/>
      <c r="H56" s="43" t="str">
        <f>IFERROR(VLOOKUP(Grid_BD[[#This Row],[Affected System]],'Basic Data'!$A$54:$E$56,2,0),"")</f>
        <v/>
      </c>
      <c r="I56" s="43" t="str">
        <f>IFERROR(VLOOKUP(Grid_BD[[#This Row],[Affected System]],'Basic Data'!$A$54:$E$56,3,0),"")</f>
        <v/>
      </c>
      <c r="J56" s="43" t="str">
        <f>IFERROR(VLOOKUP(Grid_BD[[#This Row],[Affected System]],'Basic Data'!$A$54:$E$56,5,0),"")</f>
        <v/>
      </c>
      <c r="K56" s="55"/>
      <c r="L56" s="50"/>
      <c r="M56" s="50"/>
      <c r="N56" s="50"/>
      <c r="O56" s="44">
        <f>(Grid_BD[[#This Row],[Work Start TimeStamp]]-Grid_BD[[#This Row],[Fault Start TimeStamp]])*24</f>
        <v>0</v>
      </c>
      <c r="P56" s="44" t="str">
        <f>IF(Grid_BD[[#This Row],[Work Start TimeStamp]]="","",(Grid_BD[[#This Row],[Fault Clearance time]]-Grid_BD[[#This Row],[Work Start TimeStamp]])*24)</f>
        <v/>
      </c>
      <c r="Q56" s="44">
        <f>(Grid_BD[[#This Row],[Fault Clearance time]]-Grid_BD[[#This Row],[Fault Start TimeStamp]])*24</f>
        <v>0</v>
      </c>
      <c r="R56" s="36"/>
      <c r="S56" s="44"/>
      <c r="T56" s="45" t="str">
        <f>IFERROR(Grid_BD[[#This Row],[Breakdown Time]]*Grid_BD[[#This Row],[Plant Equivalent Weightage]],"")</f>
        <v/>
      </c>
      <c r="U56" s="441"/>
    </row>
    <row r="57" spans="1:21">
      <c r="A57" s="28">
        <f t="shared" si="1"/>
        <v>56</v>
      </c>
      <c r="B57" s="29"/>
      <c r="C57" s="30">
        <f>YEAR(Grid_BD[[#This Row],[Date]])+IF(MONTH(Grid_BD[[#This Row],[Date]])&gt;=4,1,0)</f>
        <v>1900</v>
      </c>
      <c r="D57" s="31">
        <f>YEAR(Grid_BD[[#This Row],[Date]])</f>
        <v>1900</v>
      </c>
      <c r="E57" s="48">
        <f t="shared" si="0"/>
        <v>1</v>
      </c>
      <c r="F57" s="32" t="s">
        <v>652</v>
      </c>
      <c r="G57" s="33"/>
      <c r="H57" s="43" t="str">
        <f>IFERROR(VLOOKUP(Grid_BD[[#This Row],[Affected System]],'Basic Data'!$A$54:$E$56,2,0),"")</f>
        <v/>
      </c>
      <c r="I57" s="43" t="str">
        <f>IFERROR(VLOOKUP(Grid_BD[[#This Row],[Affected System]],'Basic Data'!$A$54:$E$56,3,0),"")</f>
        <v/>
      </c>
      <c r="J57" s="43" t="str">
        <f>IFERROR(VLOOKUP(Grid_BD[[#This Row],[Affected System]],'Basic Data'!$A$54:$E$56,5,0),"")</f>
        <v/>
      </c>
      <c r="K57" s="55"/>
      <c r="L57" s="50"/>
      <c r="M57" s="50"/>
      <c r="N57" s="50"/>
      <c r="O57" s="44">
        <f>(Grid_BD[[#This Row],[Work Start TimeStamp]]-Grid_BD[[#This Row],[Fault Start TimeStamp]])*24</f>
        <v>0</v>
      </c>
      <c r="P57" s="44" t="str">
        <f>IF(Grid_BD[[#This Row],[Work Start TimeStamp]]="","",(Grid_BD[[#This Row],[Fault Clearance time]]-Grid_BD[[#This Row],[Work Start TimeStamp]])*24)</f>
        <v/>
      </c>
      <c r="Q57" s="44">
        <f>(Grid_BD[[#This Row],[Fault Clearance time]]-Grid_BD[[#This Row],[Fault Start TimeStamp]])*24</f>
        <v>0</v>
      </c>
      <c r="R57" s="36"/>
      <c r="S57" s="44"/>
      <c r="T57" s="45" t="str">
        <f>IFERROR(Grid_BD[[#This Row],[Breakdown Time]]*Grid_BD[[#This Row],[Plant Equivalent Weightage]],"")</f>
        <v/>
      </c>
      <c r="U57" s="441"/>
    </row>
    <row r="58" spans="1:21">
      <c r="A58" s="28">
        <f t="shared" si="1"/>
        <v>57</v>
      </c>
      <c r="B58" s="29"/>
      <c r="C58" s="30">
        <f>YEAR(Grid_BD[[#This Row],[Date]])+IF(MONTH(Grid_BD[[#This Row],[Date]])&gt;=4,1,0)</f>
        <v>1900</v>
      </c>
      <c r="D58" s="31">
        <f>YEAR(Grid_BD[[#This Row],[Date]])</f>
        <v>1900</v>
      </c>
      <c r="E58" s="48">
        <f t="shared" si="0"/>
        <v>1</v>
      </c>
      <c r="F58" s="32" t="s">
        <v>652</v>
      </c>
      <c r="G58" s="33"/>
      <c r="H58" s="43" t="str">
        <f>IFERROR(VLOOKUP(Grid_BD[[#This Row],[Affected System]],'Basic Data'!$A$54:$E$56,2,0),"")</f>
        <v/>
      </c>
      <c r="I58" s="43" t="str">
        <f>IFERROR(VLOOKUP(Grid_BD[[#This Row],[Affected System]],'Basic Data'!$A$54:$E$56,3,0),"")</f>
        <v/>
      </c>
      <c r="J58" s="43" t="str">
        <f>IFERROR(VLOOKUP(Grid_BD[[#This Row],[Affected System]],'Basic Data'!$A$54:$E$56,5,0),"")</f>
        <v/>
      </c>
      <c r="K58" s="55"/>
      <c r="L58" s="50"/>
      <c r="M58" s="50"/>
      <c r="N58" s="50"/>
      <c r="O58" s="44">
        <f>(Grid_BD[[#This Row],[Work Start TimeStamp]]-Grid_BD[[#This Row],[Fault Start TimeStamp]])*24</f>
        <v>0</v>
      </c>
      <c r="P58" s="44" t="str">
        <f>IF(Grid_BD[[#This Row],[Work Start TimeStamp]]="","",(Grid_BD[[#This Row],[Fault Clearance time]]-Grid_BD[[#This Row],[Work Start TimeStamp]])*24)</f>
        <v/>
      </c>
      <c r="Q58" s="44">
        <f>(Grid_BD[[#This Row],[Fault Clearance time]]-Grid_BD[[#This Row],[Fault Start TimeStamp]])*24</f>
        <v>0</v>
      </c>
      <c r="R58" s="36"/>
      <c r="S58" s="44"/>
      <c r="T58" s="45" t="str">
        <f>IFERROR(Grid_BD[[#This Row],[Breakdown Time]]*Grid_BD[[#This Row],[Plant Equivalent Weightage]],"")</f>
        <v/>
      </c>
      <c r="U58" s="441"/>
    </row>
    <row r="59" spans="1:21">
      <c r="A59" s="28">
        <f t="shared" si="1"/>
        <v>58</v>
      </c>
      <c r="B59" s="29"/>
      <c r="C59" s="30">
        <f>YEAR(Grid_BD[[#This Row],[Date]])+IF(MONTH(Grid_BD[[#This Row],[Date]])&gt;=4,1,0)</f>
        <v>1900</v>
      </c>
      <c r="D59" s="31">
        <f>YEAR(Grid_BD[[#This Row],[Date]])</f>
        <v>1900</v>
      </c>
      <c r="E59" s="48">
        <f t="shared" si="0"/>
        <v>1</v>
      </c>
      <c r="F59" s="32" t="s">
        <v>652</v>
      </c>
      <c r="G59" s="33"/>
      <c r="H59" s="43" t="str">
        <f>IFERROR(VLOOKUP(Grid_BD[[#This Row],[Affected System]],'Basic Data'!$A$54:$E$56,2,0),"")</f>
        <v/>
      </c>
      <c r="I59" s="43" t="str">
        <f>IFERROR(VLOOKUP(Grid_BD[[#This Row],[Affected System]],'Basic Data'!$A$54:$E$56,3,0),"")</f>
        <v/>
      </c>
      <c r="J59" s="43" t="str">
        <f>IFERROR(VLOOKUP(Grid_BD[[#This Row],[Affected System]],'Basic Data'!$A$54:$E$56,5,0),"")</f>
        <v/>
      </c>
      <c r="K59" s="55"/>
      <c r="L59" s="50"/>
      <c r="M59" s="50"/>
      <c r="N59" s="50"/>
      <c r="O59" s="44">
        <f>(Grid_BD[[#This Row],[Work Start TimeStamp]]-Grid_BD[[#This Row],[Fault Start TimeStamp]])*24</f>
        <v>0</v>
      </c>
      <c r="P59" s="44" t="str">
        <f>IF(Grid_BD[[#This Row],[Work Start TimeStamp]]="","",(Grid_BD[[#This Row],[Fault Clearance time]]-Grid_BD[[#This Row],[Work Start TimeStamp]])*24)</f>
        <v/>
      </c>
      <c r="Q59" s="44">
        <f>(Grid_BD[[#This Row],[Fault Clearance time]]-Grid_BD[[#This Row],[Fault Start TimeStamp]])*24</f>
        <v>0</v>
      </c>
      <c r="R59" s="36"/>
      <c r="S59" s="44"/>
      <c r="T59" s="45" t="str">
        <f>IFERROR(Grid_BD[[#This Row],[Breakdown Time]]*Grid_BD[[#This Row],[Plant Equivalent Weightage]],"")</f>
        <v/>
      </c>
      <c r="U59" s="441"/>
    </row>
    <row r="60" spans="1:21">
      <c r="A60" s="28">
        <f t="shared" si="1"/>
        <v>59</v>
      </c>
      <c r="B60" s="29"/>
      <c r="C60" s="30">
        <f>YEAR(Grid_BD[[#This Row],[Date]])+IF(MONTH(Grid_BD[[#This Row],[Date]])&gt;=4,1,0)</f>
        <v>1900</v>
      </c>
      <c r="D60" s="31">
        <f>YEAR(Grid_BD[[#This Row],[Date]])</f>
        <v>1900</v>
      </c>
      <c r="E60" s="48">
        <f t="shared" si="0"/>
        <v>1</v>
      </c>
      <c r="F60" s="32" t="s">
        <v>652</v>
      </c>
      <c r="G60" s="33"/>
      <c r="H60" s="43" t="str">
        <f>IFERROR(VLOOKUP(Grid_BD[[#This Row],[Affected System]],'Basic Data'!$A$54:$E$56,2,0),"")</f>
        <v/>
      </c>
      <c r="I60" s="43" t="str">
        <f>IFERROR(VLOOKUP(Grid_BD[[#This Row],[Affected System]],'Basic Data'!$A$54:$E$56,3,0),"")</f>
        <v/>
      </c>
      <c r="J60" s="43" t="str">
        <f>IFERROR(VLOOKUP(Grid_BD[[#This Row],[Affected System]],'Basic Data'!$A$54:$E$56,5,0),"")</f>
        <v/>
      </c>
      <c r="K60" s="55"/>
      <c r="L60" s="50"/>
      <c r="M60" s="50"/>
      <c r="N60" s="50"/>
      <c r="O60" s="44">
        <f>(Grid_BD[[#This Row],[Work Start TimeStamp]]-Grid_BD[[#This Row],[Fault Start TimeStamp]])*24</f>
        <v>0</v>
      </c>
      <c r="P60" s="44" t="str">
        <f>IF(Grid_BD[[#This Row],[Work Start TimeStamp]]="","",(Grid_BD[[#This Row],[Fault Clearance time]]-Grid_BD[[#This Row],[Work Start TimeStamp]])*24)</f>
        <v/>
      </c>
      <c r="Q60" s="44">
        <f>(Grid_BD[[#This Row],[Fault Clearance time]]-Grid_BD[[#This Row],[Fault Start TimeStamp]])*24</f>
        <v>0</v>
      </c>
      <c r="R60" s="36"/>
      <c r="S60" s="44"/>
      <c r="T60" s="45" t="str">
        <f>IFERROR(Grid_BD[[#This Row],[Breakdown Time]]*Grid_BD[[#This Row],[Plant Equivalent Weightage]],"")</f>
        <v/>
      </c>
      <c r="U60" s="441"/>
    </row>
    <row r="61" spans="1:21">
      <c r="A61" s="28">
        <f t="shared" si="1"/>
        <v>60</v>
      </c>
      <c r="B61" s="29"/>
      <c r="C61" s="30">
        <f>YEAR(Grid_BD[[#This Row],[Date]])+IF(MONTH(Grid_BD[[#This Row],[Date]])&gt;=4,1,0)</f>
        <v>1900</v>
      </c>
      <c r="D61" s="31">
        <f>YEAR(Grid_BD[[#This Row],[Date]])</f>
        <v>1900</v>
      </c>
      <c r="E61" s="48">
        <f t="shared" si="0"/>
        <v>1</v>
      </c>
      <c r="F61" s="32" t="s">
        <v>652</v>
      </c>
      <c r="G61" s="33"/>
      <c r="H61" s="43" t="str">
        <f>IFERROR(VLOOKUP(Grid_BD[[#This Row],[Affected System]],'Basic Data'!$A$54:$E$56,2,0),"")</f>
        <v/>
      </c>
      <c r="I61" s="43" t="str">
        <f>IFERROR(VLOOKUP(Grid_BD[[#This Row],[Affected System]],'Basic Data'!$A$54:$E$56,3,0),"")</f>
        <v/>
      </c>
      <c r="J61" s="43" t="str">
        <f>IFERROR(VLOOKUP(Grid_BD[[#This Row],[Affected System]],'Basic Data'!$A$54:$E$56,5,0),"")</f>
        <v/>
      </c>
      <c r="K61" s="55"/>
      <c r="L61" s="50"/>
      <c r="M61" s="50"/>
      <c r="N61" s="50"/>
      <c r="O61" s="44">
        <f>(Grid_BD[[#This Row],[Work Start TimeStamp]]-Grid_BD[[#This Row],[Fault Start TimeStamp]])*24</f>
        <v>0</v>
      </c>
      <c r="P61" s="44" t="str">
        <f>IF(Grid_BD[[#This Row],[Work Start TimeStamp]]="","",(Grid_BD[[#This Row],[Fault Clearance time]]-Grid_BD[[#This Row],[Work Start TimeStamp]])*24)</f>
        <v/>
      </c>
      <c r="Q61" s="44">
        <f>(Grid_BD[[#This Row],[Fault Clearance time]]-Grid_BD[[#This Row],[Fault Start TimeStamp]])*24</f>
        <v>0</v>
      </c>
      <c r="R61" s="36"/>
      <c r="S61" s="44"/>
      <c r="T61" s="45" t="str">
        <f>IFERROR(Grid_BD[[#This Row],[Breakdown Time]]*Grid_BD[[#This Row],[Plant Equivalent Weightage]],"")</f>
        <v/>
      </c>
      <c r="U61" s="441"/>
    </row>
    <row r="62" spans="1:21">
      <c r="A62" s="28">
        <f t="shared" si="1"/>
        <v>61</v>
      </c>
      <c r="B62" s="29"/>
      <c r="C62" s="30">
        <f>YEAR(Grid_BD[[#This Row],[Date]])+IF(MONTH(Grid_BD[[#This Row],[Date]])&gt;=4,1,0)</f>
        <v>1900</v>
      </c>
      <c r="D62" s="31">
        <f>YEAR(Grid_BD[[#This Row],[Date]])</f>
        <v>1900</v>
      </c>
      <c r="E62" s="48">
        <f t="shared" si="0"/>
        <v>1</v>
      </c>
      <c r="F62" s="32" t="s">
        <v>652</v>
      </c>
      <c r="G62" s="33"/>
      <c r="H62" s="43" t="str">
        <f>IFERROR(VLOOKUP(Grid_BD[[#This Row],[Affected System]],'Basic Data'!$A$54:$E$56,2,0),"")</f>
        <v/>
      </c>
      <c r="I62" s="43" t="str">
        <f>IFERROR(VLOOKUP(Grid_BD[[#This Row],[Affected System]],'Basic Data'!$A$54:$E$56,3,0),"")</f>
        <v/>
      </c>
      <c r="J62" s="43" t="str">
        <f>IFERROR(VLOOKUP(Grid_BD[[#This Row],[Affected System]],'Basic Data'!$A$54:$E$56,5,0),"")</f>
        <v/>
      </c>
      <c r="K62" s="55"/>
      <c r="L62" s="50"/>
      <c r="M62" s="50"/>
      <c r="N62" s="50"/>
      <c r="O62" s="44">
        <f>(Grid_BD[[#This Row],[Work Start TimeStamp]]-Grid_BD[[#This Row],[Fault Start TimeStamp]])*24</f>
        <v>0</v>
      </c>
      <c r="P62" s="44" t="str">
        <f>IF(Grid_BD[[#This Row],[Work Start TimeStamp]]="","",(Grid_BD[[#This Row],[Fault Clearance time]]-Grid_BD[[#This Row],[Work Start TimeStamp]])*24)</f>
        <v/>
      </c>
      <c r="Q62" s="44">
        <f>(Grid_BD[[#This Row],[Fault Clearance time]]-Grid_BD[[#This Row],[Fault Start TimeStamp]])*24</f>
        <v>0</v>
      </c>
      <c r="R62" s="36"/>
      <c r="S62" s="44"/>
      <c r="T62" s="45" t="str">
        <f>IFERROR(Grid_BD[[#This Row],[Breakdown Time]]*Grid_BD[[#This Row],[Plant Equivalent Weightage]],"")</f>
        <v/>
      </c>
      <c r="U62" s="441"/>
    </row>
    <row r="63" spans="1:21">
      <c r="A63" s="28">
        <f t="shared" si="1"/>
        <v>62</v>
      </c>
      <c r="B63" s="29"/>
      <c r="C63" s="30">
        <f>YEAR(Grid_BD[[#This Row],[Date]])+IF(MONTH(Grid_BD[[#This Row],[Date]])&gt;=4,1,0)</f>
        <v>1900</v>
      </c>
      <c r="D63" s="31">
        <f>YEAR(Grid_BD[[#This Row],[Date]])</f>
        <v>1900</v>
      </c>
      <c r="E63" s="48">
        <f t="shared" si="0"/>
        <v>1</v>
      </c>
      <c r="F63" s="32" t="s">
        <v>652</v>
      </c>
      <c r="G63" s="33"/>
      <c r="H63" s="43" t="str">
        <f>IFERROR(VLOOKUP(Grid_BD[[#This Row],[Affected System]],'Basic Data'!$A$54:$E$56,2,0),"")</f>
        <v/>
      </c>
      <c r="I63" s="43" t="str">
        <f>IFERROR(VLOOKUP(Grid_BD[[#This Row],[Affected System]],'Basic Data'!$A$54:$E$56,3,0),"")</f>
        <v/>
      </c>
      <c r="J63" s="43" t="str">
        <f>IFERROR(VLOOKUP(Grid_BD[[#This Row],[Affected System]],'Basic Data'!$A$54:$E$56,5,0),"")</f>
        <v/>
      </c>
      <c r="K63" s="55"/>
      <c r="L63" s="50"/>
      <c r="M63" s="50"/>
      <c r="N63" s="50"/>
      <c r="O63" s="44">
        <f>(Grid_BD[[#This Row],[Work Start TimeStamp]]-Grid_BD[[#This Row],[Fault Start TimeStamp]])*24</f>
        <v>0</v>
      </c>
      <c r="P63" s="44" t="str">
        <f>IF(Grid_BD[[#This Row],[Work Start TimeStamp]]="","",(Grid_BD[[#This Row],[Fault Clearance time]]-Grid_BD[[#This Row],[Work Start TimeStamp]])*24)</f>
        <v/>
      </c>
      <c r="Q63" s="44">
        <f>(Grid_BD[[#This Row],[Fault Clearance time]]-Grid_BD[[#This Row],[Fault Start TimeStamp]])*24</f>
        <v>0</v>
      </c>
      <c r="R63" s="36"/>
      <c r="S63" s="44"/>
      <c r="T63" s="45" t="str">
        <f>IFERROR(Grid_BD[[#This Row],[Breakdown Time]]*Grid_BD[[#This Row],[Plant Equivalent Weightage]],"")</f>
        <v/>
      </c>
      <c r="U63" s="441"/>
    </row>
    <row r="64" spans="1:21">
      <c r="A64" s="28">
        <f t="shared" si="1"/>
        <v>63</v>
      </c>
      <c r="B64" s="29"/>
      <c r="C64" s="30">
        <f>YEAR(Grid_BD[[#This Row],[Date]])+IF(MONTH(Grid_BD[[#This Row],[Date]])&gt;=4,1,0)</f>
        <v>1900</v>
      </c>
      <c r="D64" s="31">
        <f>YEAR(Grid_BD[[#This Row],[Date]])</f>
        <v>1900</v>
      </c>
      <c r="E64" s="48">
        <f t="shared" si="0"/>
        <v>1</v>
      </c>
      <c r="F64" s="32" t="s">
        <v>652</v>
      </c>
      <c r="G64" s="33"/>
      <c r="H64" s="43" t="str">
        <f>IFERROR(VLOOKUP(Grid_BD[[#This Row],[Affected System]],'Basic Data'!$A$54:$E$56,2,0),"")</f>
        <v/>
      </c>
      <c r="I64" s="43" t="str">
        <f>IFERROR(VLOOKUP(Grid_BD[[#This Row],[Affected System]],'Basic Data'!$A$54:$E$56,3,0),"")</f>
        <v/>
      </c>
      <c r="J64" s="43" t="str">
        <f>IFERROR(VLOOKUP(Grid_BD[[#This Row],[Affected System]],'Basic Data'!$A$54:$E$56,5,0),"")</f>
        <v/>
      </c>
      <c r="K64" s="55"/>
      <c r="L64" s="50"/>
      <c r="M64" s="50"/>
      <c r="N64" s="50"/>
      <c r="O64" s="44">
        <f>(Grid_BD[[#This Row],[Work Start TimeStamp]]-Grid_BD[[#This Row],[Fault Start TimeStamp]])*24</f>
        <v>0</v>
      </c>
      <c r="P64" s="44" t="str">
        <f>IF(Grid_BD[[#This Row],[Work Start TimeStamp]]="","",(Grid_BD[[#This Row],[Fault Clearance time]]-Grid_BD[[#This Row],[Work Start TimeStamp]])*24)</f>
        <v/>
      </c>
      <c r="Q64" s="44">
        <f>(Grid_BD[[#This Row],[Fault Clearance time]]-Grid_BD[[#This Row],[Fault Start TimeStamp]])*24</f>
        <v>0</v>
      </c>
      <c r="R64" s="36"/>
      <c r="S64" s="44"/>
      <c r="T64" s="45" t="str">
        <f>IFERROR(Grid_BD[[#This Row],[Breakdown Time]]*Grid_BD[[#This Row],[Plant Equivalent Weightage]],"")</f>
        <v/>
      </c>
      <c r="U64" s="441"/>
    </row>
    <row r="65" spans="1:21">
      <c r="A65" s="28">
        <f t="shared" si="1"/>
        <v>64</v>
      </c>
      <c r="B65" s="29"/>
      <c r="C65" s="30">
        <f>YEAR(Grid_BD[[#This Row],[Date]])+IF(MONTH(Grid_BD[[#This Row],[Date]])&gt;=4,1,0)</f>
        <v>1900</v>
      </c>
      <c r="D65" s="31">
        <f>YEAR(Grid_BD[[#This Row],[Date]])</f>
        <v>1900</v>
      </c>
      <c r="E65" s="48">
        <f t="shared" si="0"/>
        <v>1</v>
      </c>
      <c r="F65" s="32" t="s">
        <v>652</v>
      </c>
      <c r="G65" s="33"/>
      <c r="H65" s="43" t="str">
        <f>IFERROR(VLOOKUP(Grid_BD[[#This Row],[Affected System]],'Basic Data'!$A$54:$E$56,2,0),"")</f>
        <v/>
      </c>
      <c r="I65" s="43" t="str">
        <f>IFERROR(VLOOKUP(Grid_BD[[#This Row],[Affected System]],'Basic Data'!$A$54:$E$56,3,0),"")</f>
        <v/>
      </c>
      <c r="J65" s="43" t="str">
        <f>IFERROR(VLOOKUP(Grid_BD[[#This Row],[Affected System]],'Basic Data'!$A$54:$E$56,5,0),"")</f>
        <v/>
      </c>
      <c r="K65" s="55"/>
      <c r="L65" s="50"/>
      <c r="M65" s="50"/>
      <c r="N65" s="50"/>
      <c r="O65" s="44">
        <f>(Grid_BD[[#This Row],[Work Start TimeStamp]]-Grid_BD[[#This Row],[Fault Start TimeStamp]])*24</f>
        <v>0</v>
      </c>
      <c r="P65" s="44" t="str">
        <f>IF(Grid_BD[[#This Row],[Work Start TimeStamp]]="","",(Grid_BD[[#This Row],[Fault Clearance time]]-Grid_BD[[#This Row],[Work Start TimeStamp]])*24)</f>
        <v/>
      </c>
      <c r="Q65" s="44">
        <f>(Grid_BD[[#This Row],[Fault Clearance time]]-Grid_BD[[#This Row],[Fault Start TimeStamp]])*24</f>
        <v>0</v>
      </c>
      <c r="R65" s="36"/>
      <c r="S65" s="44"/>
      <c r="T65" s="45" t="str">
        <f>IFERROR(Grid_BD[[#This Row],[Breakdown Time]]*Grid_BD[[#This Row],[Plant Equivalent Weightage]],"")</f>
        <v/>
      </c>
      <c r="U65" s="441"/>
    </row>
    <row r="66" spans="1:21">
      <c r="A66" s="28">
        <f t="shared" si="1"/>
        <v>65</v>
      </c>
      <c r="B66" s="29"/>
      <c r="C66" s="30">
        <f>YEAR(Grid_BD[[#This Row],[Date]])+IF(MONTH(Grid_BD[[#This Row],[Date]])&gt;=4,1,0)</f>
        <v>1900</v>
      </c>
      <c r="D66" s="31">
        <f>YEAR(Grid_BD[[#This Row],[Date]])</f>
        <v>1900</v>
      </c>
      <c r="E66" s="48">
        <f t="shared" ref="E66:E129" si="2">B66-DAY(B66)+1</f>
        <v>1</v>
      </c>
      <c r="F66" s="32" t="s">
        <v>652</v>
      </c>
      <c r="G66" s="33"/>
      <c r="H66" s="43" t="str">
        <f>IFERROR(VLOOKUP(Grid_BD[[#This Row],[Affected System]],'Basic Data'!$A$54:$E$56,2,0),"")</f>
        <v/>
      </c>
      <c r="I66" s="43" t="str">
        <f>IFERROR(VLOOKUP(Grid_BD[[#This Row],[Affected System]],'Basic Data'!$A$54:$E$56,3,0),"")</f>
        <v/>
      </c>
      <c r="J66" s="43" t="str">
        <f>IFERROR(VLOOKUP(Grid_BD[[#This Row],[Affected System]],'Basic Data'!$A$54:$E$56,5,0),"")</f>
        <v/>
      </c>
      <c r="K66" s="55"/>
      <c r="L66" s="50"/>
      <c r="M66" s="50"/>
      <c r="N66" s="50"/>
      <c r="O66" s="44">
        <f>(Grid_BD[[#This Row],[Work Start TimeStamp]]-Grid_BD[[#This Row],[Fault Start TimeStamp]])*24</f>
        <v>0</v>
      </c>
      <c r="P66" s="44" t="str">
        <f>IF(Grid_BD[[#This Row],[Work Start TimeStamp]]="","",(Grid_BD[[#This Row],[Fault Clearance time]]-Grid_BD[[#This Row],[Work Start TimeStamp]])*24)</f>
        <v/>
      </c>
      <c r="Q66" s="44">
        <f>(Grid_BD[[#This Row],[Fault Clearance time]]-Grid_BD[[#This Row],[Fault Start TimeStamp]])*24</f>
        <v>0</v>
      </c>
      <c r="R66" s="36"/>
      <c r="S66" s="44"/>
      <c r="T66" s="45" t="str">
        <f>IFERROR(Grid_BD[[#This Row],[Breakdown Time]]*Grid_BD[[#This Row],[Plant Equivalent Weightage]],"")</f>
        <v/>
      </c>
      <c r="U66" s="441"/>
    </row>
    <row r="67" spans="1:21">
      <c r="A67" s="28">
        <f t="shared" si="1"/>
        <v>66</v>
      </c>
      <c r="B67" s="29"/>
      <c r="C67" s="30">
        <f>YEAR(Grid_BD[[#This Row],[Date]])+IF(MONTH(Grid_BD[[#This Row],[Date]])&gt;=4,1,0)</f>
        <v>1900</v>
      </c>
      <c r="D67" s="31">
        <f>YEAR(Grid_BD[[#This Row],[Date]])</f>
        <v>1900</v>
      </c>
      <c r="E67" s="48">
        <f t="shared" si="2"/>
        <v>1</v>
      </c>
      <c r="F67" s="32" t="s">
        <v>652</v>
      </c>
      <c r="G67" s="33"/>
      <c r="H67" s="43" t="str">
        <f>IFERROR(VLOOKUP(Grid_BD[[#This Row],[Affected System]],'Basic Data'!$A$54:$E$56,2,0),"")</f>
        <v/>
      </c>
      <c r="I67" s="43" t="str">
        <f>IFERROR(VLOOKUP(Grid_BD[[#This Row],[Affected System]],'Basic Data'!$A$54:$E$56,3,0),"")</f>
        <v/>
      </c>
      <c r="J67" s="43" t="str">
        <f>IFERROR(VLOOKUP(Grid_BD[[#This Row],[Affected System]],'Basic Data'!$A$54:$E$56,5,0),"")</f>
        <v/>
      </c>
      <c r="K67" s="55"/>
      <c r="L67" s="50"/>
      <c r="M67" s="50"/>
      <c r="N67" s="50"/>
      <c r="O67" s="44">
        <f>(Grid_BD[[#This Row],[Work Start TimeStamp]]-Grid_BD[[#This Row],[Fault Start TimeStamp]])*24</f>
        <v>0</v>
      </c>
      <c r="P67" s="44" t="str">
        <f>IF(Grid_BD[[#This Row],[Work Start TimeStamp]]="","",(Grid_BD[[#This Row],[Fault Clearance time]]-Grid_BD[[#This Row],[Work Start TimeStamp]])*24)</f>
        <v/>
      </c>
      <c r="Q67" s="44">
        <f>(Grid_BD[[#This Row],[Fault Clearance time]]-Grid_BD[[#This Row],[Fault Start TimeStamp]])*24</f>
        <v>0</v>
      </c>
      <c r="R67" s="36"/>
      <c r="S67" s="44"/>
      <c r="T67" s="45" t="str">
        <f>IFERROR(Grid_BD[[#This Row],[Breakdown Time]]*Grid_BD[[#This Row],[Plant Equivalent Weightage]],"")</f>
        <v/>
      </c>
      <c r="U67" s="441"/>
    </row>
    <row r="68" spans="1:21">
      <c r="A68" s="28">
        <f t="shared" ref="A68:A131" si="3">A67+1</f>
        <v>67</v>
      </c>
      <c r="B68" s="29"/>
      <c r="C68" s="30">
        <f>YEAR(Grid_BD[[#This Row],[Date]])+IF(MONTH(Grid_BD[[#This Row],[Date]])&gt;=4,1,0)</f>
        <v>1900</v>
      </c>
      <c r="D68" s="31">
        <f>YEAR(Grid_BD[[#This Row],[Date]])</f>
        <v>1900</v>
      </c>
      <c r="E68" s="48">
        <f t="shared" si="2"/>
        <v>1</v>
      </c>
      <c r="F68" s="32" t="s">
        <v>652</v>
      </c>
      <c r="G68" s="33"/>
      <c r="H68" s="43" t="str">
        <f>IFERROR(VLOOKUP(Grid_BD[[#This Row],[Affected System]],'Basic Data'!$A$54:$E$56,2,0),"")</f>
        <v/>
      </c>
      <c r="I68" s="43" t="str">
        <f>IFERROR(VLOOKUP(Grid_BD[[#This Row],[Affected System]],'Basic Data'!$A$54:$E$56,3,0),"")</f>
        <v/>
      </c>
      <c r="J68" s="43" t="str">
        <f>IFERROR(VLOOKUP(Grid_BD[[#This Row],[Affected System]],'Basic Data'!$A$54:$E$56,5,0),"")</f>
        <v/>
      </c>
      <c r="K68" s="55"/>
      <c r="L68" s="50"/>
      <c r="M68" s="50"/>
      <c r="N68" s="50"/>
      <c r="O68" s="44">
        <f>(Grid_BD[[#This Row],[Work Start TimeStamp]]-Grid_BD[[#This Row],[Fault Start TimeStamp]])*24</f>
        <v>0</v>
      </c>
      <c r="P68" s="44" t="str">
        <f>IF(Grid_BD[[#This Row],[Work Start TimeStamp]]="","",(Grid_BD[[#This Row],[Fault Clearance time]]-Grid_BD[[#This Row],[Work Start TimeStamp]])*24)</f>
        <v/>
      </c>
      <c r="Q68" s="44">
        <f>(Grid_BD[[#This Row],[Fault Clearance time]]-Grid_BD[[#This Row],[Fault Start TimeStamp]])*24</f>
        <v>0</v>
      </c>
      <c r="R68" s="36"/>
      <c r="S68" s="44"/>
      <c r="T68" s="45" t="str">
        <f>IFERROR(Grid_BD[[#This Row],[Breakdown Time]]*Grid_BD[[#This Row],[Plant Equivalent Weightage]],"")</f>
        <v/>
      </c>
      <c r="U68" s="441"/>
    </row>
    <row r="69" spans="1:21">
      <c r="A69" s="28">
        <f t="shared" si="3"/>
        <v>68</v>
      </c>
      <c r="B69" s="29"/>
      <c r="C69" s="30">
        <f>YEAR(Grid_BD[[#This Row],[Date]])+IF(MONTH(Grid_BD[[#This Row],[Date]])&gt;=4,1,0)</f>
        <v>1900</v>
      </c>
      <c r="D69" s="31">
        <f>YEAR(Grid_BD[[#This Row],[Date]])</f>
        <v>1900</v>
      </c>
      <c r="E69" s="48">
        <f t="shared" si="2"/>
        <v>1</v>
      </c>
      <c r="F69" s="32" t="s">
        <v>652</v>
      </c>
      <c r="G69" s="33"/>
      <c r="H69" s="43" t="str">
        <f>IFERROR(VLOOKUP(Grid_BD[[#This Row],[Affected System]],'Basic Data'!$A$54:$E$56,2,0),"")</f>
        <v/>
      </c>
      <c r="I69" s="43" t="str">
        <f>IFERROR(VLOOKUP(Grid_BD[[#This Row],[Affected System]],'Basic Data'!$A$54:$E$56,3,0),"")</f>
        <v/>
      </c>
      <c r="J69" s="43" t="str">
        <f>IFERROR(VLOOKUP(Grid_BD[[#This Row],[Affected System]],'Basic Data'!$A$54:$E$56,5,0),"")</f>
        <v/>
      </c>
      <c r="K69" s="55"/>
      <c r="L69" s="50"/>
      <c r="M69" s="50"/>
      <c r="N69" s="50"/>
      <c r="O69" s="44">
        <f>(Grid_BD[[#This Row],[Work Start TimeStamp]]-Grid_BD[[#This Row],[Fault Start TimeStamp]])*24</f>
        <v>0</v>
      </c>
      <c r="P69" s="44" t="str">
        <f>IF(Grid_BD[[#This Row],[Work Start TimeStamp]]="","",(Grid_BD[[#This Row],[Fault Clearance time]]-Grid_BD[[#This Row],[Work Start TimeStamp]])*24)</f>
        <v/>
      </c>
      <c r="Q69" s="44">
        <f>(Grid_BD[[#This Row],[Fault Clearance time]]-Grid_BD[[#This Row],[Fault Start TimeStamp]])*24</f>
        <v>0</v>
      </c>
      <c r="R69" s="36"/>
      <c r="S69" s="44"/>
      <c r="T69" s="45" t="str">
        <f>IFERROR(Grid_BD[[#This Row],[Breakdown Time]]*Grid_BD[[#This Row],[Plant Equivalent Weightage]],"")</f>
        <v/>
      </c>
      <c r="U69" s="441"/>
    </row>
    <row r="70" spans="1:21">
      <c r="A70" s="28">
        <f t="shared" si="3"/>
        <v>69</v>
      </c>
      <c r="B70" s="29"/>
      <c r="C70" s="30">
        <f>YEAR(Grid_BD[[#This Row],[Date]])+IF(MONTH(Grid_BD[[#This Row],[Date]])&gt;=4,1,0)</f>
        <v>1900</v>
      </c>
      <c r="D70" s="31">
        <f>YEAR(Grid_BD[[#This Row],[Date]])</f>
        <v>1900</v>
      </c>
      <c r="E70" s="48">
        <f t="shared" si="2"/>
        <v>1</v>
      </c>
      <c r="F70" s="32" t="s">
        <v>652</v>
      </c>
      <c r="G70" s="33"/>
      <c r="H70" s="43" t="str">
        <f>IFERROR(VLOOKUP(Grid_BD[[#This Row],[Affected System]],'Basic Data'!$A$54:$E$56,2,0),"")</f>
        <v/>
      </c>
      <c r="I70" s="43" t="str">
        <f>IFERROR(VLOOKUP(Grid_BD[[#This Row],[Affected System]],'Basic Data'!$A$54:$E$56,3,0),"")</f>
        <v/>
      </c>
      <c r="J70" s="43" t="str">
        <f>IFERROR(VLOOKUP(Grid_BD[[#This Row],[Affected System]],'Basic Data'!$A$54:$E$56,5,0),"")</f>
        <v/>
      </c>
      <c r="K70" s="55"/>
      <c r="L70" s="50"/>
      <c r="M70" s="50"/>
      <c r="N70" s="50"/>
      <c r="O70" s="44">
        <f>(Grid_BD[[#This Row],[Work Start TimeStamp]]-Grid_BD[[#This Row],[Fault Start TimeStamp]])*24</f>
        <v>0</v>
      </c>
      <c r="P70" s="44" t="str">
        <f>IF(Grid_BD[[#This Row],[Work Start TimeStamp]]="","",(Grid_BD[[#This Row],[Fault Clearance time]]-Grid_BD[[#This Row],[Work Start TimeStamp]])*24)</f>
        <v/>
      </c>
      <c r="Q70" s="44">
        <f>(Grid_BD[[#This Row],[Fault Clearance time]]-Grid_BD[[#This Row],[Fault Start TimeStamp]])*24</f>
        <v>0</v>
      </c>
      <c r="R70" s="36"/>
      <c r="S70" s="44"/>
      <c r="T70" s="45" t="str">
        <f>IFERROR(Grid_BD[[#This Row],[Breakdown Time]]*Grid_BD[[#This Row],[Plant Equivalent Weightage]],"")</f>
        <v/>
      </c>
      <c r="U70" s="441"/>
    </row>
    <row r="71" spans="1:21">
      <c r="A71" s="28">
        <f t="shared" si="3"/>
        <v>70</v>
      </c>
      <c r="B71" s="29"/>
      <c r="C71" s="30">
        <f>YEAR(Grid_BD[[#This Row],[Date]])+IF(MONTH(Grid_BD[[#This Row],[Date]])&gt;=4,1,0)</f>
        <v>1900</v>
      </c>
      <c r="D71" s="31">
        <f>YEAR(Grid_BD[[#This Row],[Date]])</f>
        <v>1900</v>
      </c>
      <c r="E71" s="48">
        <f t="shared" si="2"/>
        <v>1</v>
      </c>
      <c r="F71" s="32" t="s">
        <v>652</v>
      </c>
      <c r="G71" s="33"/>
      <c r="H71" s="43" t="str">
        <f>IFERROR(VLOOKUP(Grid_BD[[#This Row],[Affected System]],'Basic Data'!$A$54:$E$56,2,0),"")</f>
        <v/>
      </c>
      <c r="I71" s="43" t="str">
        <f>IFERROR(VLOOKUP(Grid_BD[[#This Row],[Affected System]],'Basic Data'!$A$54:$E$56,3,0),"")</f>
        <v/>
      </c>
      <c r="J71" s="43" t="str">
        <f>IFERROR(VLOOKUP(Grid_BD[[#This Row],[Affected System]],'Basic Data'!$A$54:$E$56,5,0),"")</f>
        <v/>
      </c>
      <c r="K71" s="55"/>
      <c r="L71" s="50"/>
      <c r="M71" s="50"/>
      <c r="N71" s="50"/>
      <c r="O71" s="44">
        <f>(Grid_BD[[#This Row],[Work Start TimeStamp]]-Grid_BD[[#This Row],[Fault Start TimeStamp]])*24</f>
        <v>0</v>
      </c>
      <c r="P71" s="44" t="str">
        <f>IF(Grid_BD[[#This Row],[Work Start TimeStamp]]="","",(Grid_BD[[#This Row],[Fault Clearance time]]-Grid_BD[[#This Row],[Work Start TimeStamp]])*24)</f>
        <v/>
      </c>
      <c r="Q71" s="44">
        <f>(Grid_BD[[#This Row],[Fault Clearance time]]-Grid_BD[[#This Row],[Fault Start TimeStamp]])*24</f>
        <v>0</v>
      </c>
      <c r="R71" s="36"/>
      <c r="S71" s="44"/>
      <c r="T71" s="45" t="str">
        <f>IFERROR(Grid_BD[[#This Row],[Breakdown Time]]*Grid_BD[[#This Row],[Plant Equivalent Weightage]],"")</f>
        <v/>
      </c>
      <c r="U71" s="441"/>
    </row>
    <row r="72" spans="1:21">
      <c r="A72" s="28">
        <f t="shared" si="3"/>
        <v>71</v>
      </c>
      <c r="B72" s="29"/>
      <c r="C72" s="30">
        <f>YEAR(Grid_BD[[#This Row],[Date]])+IF(MONTH(Grid_BD[[#This Row],[Date]])&gt;=4,1,0)</f>
        <v>1900</v>
      </c>
      <c r="D72" s="31">
        <f>YEAR(Grid_BD[[#This Row],[Date]])</f>
        <v>1900</v>
      </c>
      <c r="E72" s="48">
        <f t="shared" si="2"/>
        <v>1</v>
      </c>
      <c r="F72" s="32" t="s">
        <v>652</v>
      </c>
      <c r="G72" s="33"/>
      <c r="H72" s="43" t="str">
        <f>IFERROR(VLOOKUP(Grid_BD[[#This Row],[Affected System]],'Basic Data'!$A$54:$E$56,2,0),"")</f>
        <v/>
      </c>
      <c r="I72" s="43" t="str">
        <f>IFERROR(VLOOKUP(Grid_BD[[#This Row],[Affected System]],'Basic Data'!$A$54:$E$56,3,0),"")</f>
        <v/>
      </c>
      <c r="J72" s="43" t="str">
        <f>IFERROR(VLOOKUP(Grid_BD[[#This Row],[Affected System]],'Basic Data'!$A$54:$E$56,5,0),"")</f>
        <v/>
      </c>
      <c r="K72" s="55"/>
      <c r="L72" s="50"/>
      <c r="M72" s="50"/>
      <c r="N72" s="50"/>
      <c r="O72" s="44">
        <f>(Grid_BD[[#This Row],[Work Start TimeStamp]]-Grid_BD[[#This Row],[Fault Start TimeStamp]])*24</f>
        <v>0</v>
      </c>
      <c r="P72" s="44" t="str">
        <f>IF(Grid_BD[[#This Row],[Work Start TimeStamp]]="","",(Grid_BD[[#This Row],[Fault Clearance time]]-Grid_BD[[#This Row],[Work Start TimeStamp]])*24)</f>
        <v/>
      </c>
      <c r="Q72" s="44">
        <f>(Grid_BD[[#This Row],[Fault Clearance time]]-Grid_BD[[#This Row],[Fault Start TimeStamp]])*24</f>
        <v>0</v>
      </c>
      <c r="R72" s="36"/>
      <c r="S72" s="44"/>
      <c r="T72" s="45" t="str">
        <f>IFERROR(Grid_BD[[#This Row],[Breakdown Time]]*Grid_BD[[#This Row],[Plant Equivalent Weightage]],"")</f>
        <v/>
      </c>
      <c r="U72" s="441"/>
    </row>
    <row r="73" spans="1:21">
      <c r="A73" s="28">
        <f t="shared" si="3"/>
        <v>72</v>
      </c>
      <c r="B73" s="29"/>
      <c r="C73" s="30">
        <f>YEAR(Grid_BD[[#This Row],[Date]])+IF(MONTH(Grid_BD[[#This Row],[Date]])&gt;=4,1,0)</f>
        <v>1900</v>
      </c>
      <c r="D73" s="31">
        <f>YEAR(Grid_BD[[#This Row],[Date]])</f>
        <v>1900</v>
      </c>
      <c r="E73" s="48">
        <f t="shared" si="2"/>
        <v>1</v>
      </c>
      <c r="F73" s="32" t="s">
        <v>652</v>
      </c>
      <c r="G73" s="33"/>
      <c r="H73" s="43" t="str">
        <f>IFERROR(VLOOKUP(Grid_BD[[#This Row],[Affected System]],'Basic Data'!$A$54:$E$56,2,0),"")</f>
        <v/>
      </c>
      <c r="I73" s="43" t="str">
        <f>IFERROR(VLOOKUP(Grid_BD[[#This Row],[Affected System]],'Basic Data'!$A$54:$E$56,3,0),"")</f>
        <v/>
      </c>
      <c r="J73" s="43" t="str">
        <f>IFERROR(VLOOKUP(Grid_BD[[#This Row],[Affected System]],'Basic Data'!$A$54:$E$56,5,0),"")</f>
        <v/>
      </c>
      <c r="K73" s="55"/>
      <c r="L73" s="50"/>
      <c r="M73" s="50"/>
      <c r="N73" s="50"/>
      <c r="O73" s="44">
        <f>(Grid_BD[[#This Row],[Work Start TimeStamp]]-Grid_BD[[#This Row],[Fault Start TimeStamp]])*24</f>
        <v>0</v>
      </c>
      <c r="P73" s="44" t="str">
        <f>IF(Grid_BD[[#This Row],[Work Start TimeStamp]]="","",(Grid_BD[[#This Row],[Fault Clearance time]]-Grid_BD[[#This Row],[Work Start TimeStamp]])*24)</f>
        <v/>
      </c>
      <c r="Q73" s="44">
        <f>(Grid_BD[[#This Row],[Fault Clearance time]]-Grid_BD[[#This Row],[Fault Start TimeStamp]])*24</f>
        <v>0</v>
      </c>
      <c r="R73" s="36"/>
      <c r="S73" s="44"/>
      <c r="T73" s="45" t="str">
        <f>IFERROR(Grid_BD[[#This Row],[Breakdown Time]]*Grid_BD[[#This Row],[Plant Equivalent Weightage]],"")</f>
        <v/>
      </c>
      <c r="U73" s="441"/>
    </row>
    <row r="74" spans="1:21">
      <c r="A74" s="28">
        <f t="shared" si="3"/>
        <v>73</v>
      </c>
      <c r="B74" s="29"/>
      <c r="C74" s="30">
        <f>YEAR(Grid_BD[[#This Row],[Date]])+IF(MONTH(Grid_BD[[#This Row],[Date]])&gt;=4,1,0)</f>
        <v>1900</v>
      </c>
      <c r="D74" s="31">
        <f>YEAR(Grid_BD[[#This Row],[Date]])</f>
        <v>1900</v>
      </c>
      <c r="E74" s="48">
        <f t="shared" si="2"/>
        <v>1</v>
      </c>
      <c r="F74" s="32" t="s">
        <v>652</v>
      </c>
      <c r="G74" s="33"/>
      <c r="H74" s="43" t="str">
        <f>IFERROR(VLOOKUP(Grid_BD[[#This Row],[Affected System]],'Basic Data'!$A$54:$E$56,2,0),"")</f>
        <v/>
      </c>
      <c r="I74" s="43" t="str">
        <f>IFERROR(VLOOKUP(Grid_BD[[#This Row],[Affected System]],'Basic Data'!$A$54:$E$56,3,0),"")</f>
        <v/>
      </c>
      <c r="J74" s="43" t="str">
        <f>IFERROR(VLOOKUP(Grid_BD[[#This Row],[Affected System]],'Basic Data'!$A$54:$E$56,5,0),"")</f>
        <v/>
      </c>
      <c r="K74" s="55"/>
      <c r="L74" s="50"/>
      <c r="M74" s="50"/>
      <c r="N74" s="50"/>
      <c r="O74" s="44">
        <f>(Grid_BD[[#This Row],[Work Start TimeStamp]]-Grid_BD[[#This Row],[Fault Start TimeStamp]])*24</f>
        <v>0</v>
      </c>
      <c r="P74" s="44" t="str">
        <f>IF(Grid_BD[[#This Row],[Work Start TimeStamp]]="","",(Grid_BD[[#This Row],[Fault Clearance time]]-Grid_BD[[#This Row],[Work Start TimeStamp]])*24)</f>
        <v/>
      </c>
      <c r="Q74" s="44">
        <f>(Grid_BD[[#This Row],[Fault Clearance time]]-Grid_BD[[#This Row],[Fault Start TimeStamp]])*24</f>
        <v>0</v>
      </c>
      <c r="R74" s="36"/>
      <c r="S74" s="44"/>
      <c r="T74" s="45" t="str">
        <f>IFERROR(Grid_BD[[#This Row],[Breakdown Time]]*Grid_BD[[#This Row],[Plant Equivalent Weightage]],"")</f>
        <v/>
      </c>
      <c r="U74" s="441"/>
    </row>
    <row r="75" spans="1:21">
      <c r="A75" s="28">
        <f t="shared" si="3"/>
        <v>74</v>
      </c>
      <c r="B75" s="29"/>
      <c r="C75" s="30">
        <f>YEAR(Grid_BD[[#This Row],[Date]])+IF(MONTH(Grid_BD[[#This Row],[Date]])&gt;=4,1,0)</f>
        <v>1900</v>
      </c>
      <c r="D75" s="31">
        <f>YEAR(Grid_BD[[#This Row],[Date]])</f>
        <v>1900</v>
      </c>
      <c r="E75" s="48">
        <f t="shared" si="2"/>
        <v>1</v>
      </c>
      <c r="F75" s="32" t="s">
        <v>652</v>
      </c>
      <c r="G75" s="33"/>
      <c r="H75" s="43" t="str">
        <f>IFERROR(VLOOKUP(Grid_BD[[#This Row],[Affected System]],'Basic Data'!$A$54:$E$56,2,0),"")</f>
        <v/>
      </c>
      <c r="I75" s="43" t="str">
        <f>IFERROR(VLOOKUP(Grid_BD[[#This Row],[Affected System]],'Basic Data'!$A$54:$E$56,3,0),"")</f>
        <v/>
      </c>
      <c r="J75" s="43" t="str">
        <f>IFERROR(VLOOKUP(Grid_BD[[#This Row],[Affected System]],'Basic Data'!$A$54:$E$56,5,0),"")</f>
        <v/>
      </c>
      <c r="K75" s="55"/>
      <c r="L75" s="50"/>
      <c r="M75" s="50"/>
      <c r="N75" s="50"/>
      <c r="O75" s="44">
        <f>(Grid_BD[[#This Row],[Work Start TimeStamp]]-Grid_BD[[#This Row],[Fault Start TimeStamp]])*24</f>
        <v>0</v>
      </c>
      <c r="P75" s="44" t="str">
        <f>IF(Grid_BD[[#This Row],[Work Start TimeStamp]]="","",(Grid_BD[[#This Row],[Fault Clearance time]]-Grid_BD[[#This Row],[Work Start TimeStamp]])*24)</f>
        <v/>
      </c>
      <c r="Q75" s="44">
        <f>(Grid_BD[[#This Row],[Fault Clearance time]]-Grid_BD[[#This Row],[Fault Start TimeStamp]])*24</f>
        <v>0</v>
      </c>
      <c r="R75" s="36"/>
      <c r="S75" s="44"/>
      <c r="T75" s="45" t="str">
        <f>IFERROR(Grid_BD[[#This Row],[Breakdown Time]]*Grid_BD[[#This Row],[Plant Equivalent Weightage]],"")</f>
        <v/>
      </c>
      <c r="U75" s="441"/>
    </row>
    <row r="76" spans="1:21">
      <c r="A76" s="28">
        <f t="shared" si="3"/>
        <v>75</v>
      </c>
      <c r="B76" s="29"/>
      <c r="C76" s="30">
        <f>YEAR(Grid_BD[[#This Row],[Date]])+IF(MONTH(Grid_BD[[#This Row],[Date]])&gt;=4,1,0)</f>
        <v>1900</v>
      </c>
      <c r="D76" s="31">
        <f>YEAR(Grid_BD[[#This Row],[Date]])</f>
        <v>1900</v>
      </c>
      <c r="E76" s="48">
        <f t="shared" si="2"/>
        <v>1</v>
      </c>
      <c r="F76" s="32" t="s">
        <v>652</v>
      </c>
      <c r="G76" s="33"/>
      <c r="H76" s="43" t="str">
        <f>IFERROR(VLOOKUP(Grid_BD[[#This Row],[Affected System]],'Basic Data'!$A$54:$E$56,2,0),"")</f>
        <v/>
      </c>
      <c r="I76" s="43" t="str">
        <f>IFERROR(VLOOKUP(Grid_BD[[#This Row],[Affected System]],'Basic Data'!$A$54:$E$56,3,0),"")</f>
        <v/>
      </c>
      <c r="J76" s="43" t="str">
        <f>IFERROR(VLOOKUP(Grid_BD[[#This Row],[Affected System]],'Basic Data'!$A$54:$E$56,5,0),"")</f>
        <v/>
      </c>
      <c r="K76" s="55"/>
      <c r="L76" s="50"/>
      <c r="M76" s="50"/>
      <c r="N76" s="50"/>
      <c r="O76" s="44">
        <f>(Grid_BD[[#This Row],[Work Start TimeStamp]]-Grid_BD[[#This Row],[Fault Start TimeStamp]])*24</f>
        <v>0</v>
      </c>
      <c r="P76" s="44" t="str">
        <f>IF(Grid_BD[[#This Row],[Work Start TimeStamp]]="","",(Grid_BD[[#This Row],[Fault Clearance time]]-Grid_BD[[#This Row],[Work Start TimeStamp]])*24)</f>
        <v/>
      </c>
      <c r="Q76" s="44">
        <f>(Grid_BD[[#This Row],[Fault Clearance time]]-Grid_BD[[#This Row],[Fault Start TimeStamp]])*24</f>
        <v>0</v>
      </c>
      <c r="R76" s="36"/>
      <c r="S76" s="44"/>
      <c r="T76" s="45" t="str">
        <f>IFERROR(Grid_BD[[#This Row],[Breakdown Time]]*Grid_BD[[#This Row],[Plant Equivalent Weightage]],"")</f>
        <v/>
      </c>
      <c r="U76" s="441"/>
    </row>
    <row r="77" spans="1:21">
      <c r="A77" s="28">
        <f t="shared" si="3"/>
        <v>76</v>
      </c>
      <c r="B77" s="29"/>
      <c r="C77" s="30">
        <f>YEAR(Grid_BD[[#This Row],[Date]])+IF(MONTH(Grid_BD[[#This Row],[Date]])&gt;=4,1,0)</f>
        <v>1900</v>
      </c>
      <c r="D77" s="31">
        <f>YEAR(Grid_BD[[#This Row],[Date]])</f>
        <v>1900</v>
      </c>
      <c r="E77" s="48">
        <f t="shared" si="2"/>
        <v>1</v>
      </c>
      <c r="F77" s="32" t="s">
        <v>652</v>
      </c>
      <c r="G77" s="33"/>
      <c r="H77" s="43" t="str">
        <f>IFERROR(VLOOKUP(Grid_BD[[#This Row],[Affected System]],'Basic Data'!$A$54:$E$56,2,0),"")</f>
        <v/>
      </c>
      <c r="I77" s="43" t="str">
        <f>IFERROR(VLOOKUP(Grid_BD[[#This Row],[Affected System]],'Basic Data'!$A$54:$E$56,3,0),"")</f>
        <v/>
      </c>
      <c r="J77" s="43" t="str">
        <f>IFERROR(VLOOKUP(Grid_BD[[#This Row],[Affected System]],'Basic Data'!$A$54:$E$56,5,0),"")</f>
        <v/>
      </c>
      <c r="K77" s="55"/>
      <c r="L77" s="50"/>
      <c r="M77" s="50"/>
      <c r="N77" s="50"/>
      <c r="O77" s="44">
        <f>(Grid_BD[[#This Row],[Work Start TimeStamp]]-Grid_BD[[#This Row],[Fault Start TimeStamp]])*24</f>
        <v>0</v>
      </c>
      <c r="P77" s="44" t="str">
        <f>IF(Grid_BD[[#This Row],[Work Start TimeStamp]]="","",(Grid_BD[[#This Row],[Fault Clearance time]]-Grid_BD[[#This Row],[Work Start TimeStamp]])*24)</f>
        <v/>
      </c>
      <c r="Q77" s="44">
        <f>(Grid_BD[[#This Row],[Fault Clearance time]]-Grid_BD[[#This Row],[Fault Start TimeStamp]])*24</f>
        <v>0</v>
      </c>
      <c r="R77" s="36"/>
      <c r="S77" s="44"/>
      <c r="T77" s="45" t="str">
        <f>IFERROR(Grid_BD[[#This Row],[Breakdown Time]]*Grid_BD[[#This Row],[Plant Equivalent Weightage]],"")</f>
        <v/>
      </c>
      <c r="U77" s="441"/>
    </row>
    <row r="78" spans="1:21">
      <c r="A78" s="28">
        <f t="shared" si="3"/>
        <v>77</v>
      </c>
      <c r="B78" s="29"/>
      <c r="C78" s="30">
        <f>YEAR(Grid_BD[[#This Row],[Date]])+IF(MONTH(Grid_BD[[#This Row],[Date]])&gt;=4,1,0)</f>
        <v>1900</v>
      </c>
      <c r="D78" s="31">
        <f>YEAR(Grid_BD[[#This Row],[Date]])</f>
        <v>1900</v>
      </c>
      <c r="E78" s="48">
        <f t="shared" si="2"/>
        <v>1</v>
      </c>
      <c r="F78" s="32" t="s">
        <v>652</v>
      </c>
      <c r="G78" s="33"/>
      <c r="H78" s="43" t="str">
        <f>IFERROR(VLOOKUP(Grid_BD[[#This Row],[Affected System]],'Basic Data'!$A$54:$E$56,2,0),"")</f>
        <v/>
      </c>
      <c r="I78" s="43" t="str">
        <f>IFERROR(VLOOKUP(Grid_BD[[#This Row],[Affected System]],'Basic Data'!$A$54:$E$56,3,0),"")</f>
        <v/>
      </c>
      <c r="J78" s="43" t="str">
        <f>IFERROR(VLOOKUP(Grid_BD[[#This Row],[Affected System]],'Basic Data'!$A$54:$E$56,5,0),"")</f>
        <v/>
      </c>
      <c r="K78" s="55"/>
      <c r="L78" s="50"/>
      <c r="M78" s="50"/>
      <c r="N78" s="50"/>
      <c r="O78" s="44">
        <f>(Grid_BD[[#This Row],[Work Start TimeStamp]]-Grid_BD[[#This Row],[Fault Start TimeStamp]])*24</f>
        <v>0</v>
      </c>
      <c r="P78" s="44" t="str">
        <f>IF(Grid_BD[[#This Row],[Work Start TimeStamp]]="","",(Grid_BD[[#This Row],[Fault Clearance time]]-Grid_BD[[#This Row],[Work Start TimeStamp]])*24)</f>
        <v/>
      </c>
      <c r="Q78" s="44">
        <f>(Grid_BD[[#This Row],[Fault Clearance time]]-Grid_BD[[#This Row],[Fault Start TimeStamp]])*24</f>
        <v>0</v>
      </c>
      <c r="R78" s="36"/>
      <c r="S78" s="44"/>
      <c r="T78" s="45" t="str">
        <f>IFERROR(Grid_BD[[#This Row],[Breakdown Time]]*Grid_BD[[#This Row],[Plant Equivalent Weightage]],"")</f>
        <v/>
      </c>
      <c r="U78" s="441"/>
    </row>
    <row r="79" spans="1:21">
      <c r="A79" s="28">
        <f t="shared" si="3"/>
        <v>78</v>
      </c>
      <c r="B79" s="29"/>
      <c r="C79" s="30">
        <f>YEAR(Grid_BD[[#This Row],[Date]])+IF(MONTH(Grid_BD[[#This Row],[Date]])&gt;=4,1,0)</f>
        <v>1900</v>
      </c>
      <c r="D79" s="31">
        <f>YEAR(Grid_BD[[#This Row],[Date]])</f>
        <v>1900</v>
      </c>
      <c r="E79" s="48">
        <f t="shared" si="2"/>
        <v>1</v>
      </c>
      <c r="F79" s="32" t="s">
        <v>652</v>
      </c>
      <c r="G79" s="33"/>
      <c r="H79" s="43" t="str">
        <f>IFERROR(VLOOKUP(Grid_BD[[#This Row],[Affected System]],'Basic Data'!$A$54:$E$56,2,0),"")</f>
        <v/>
      </c>
      <c r="I79" s="43" t="str">
        <f>IFERROR(VLOOKUP(Grid_BD[[#This Row],[Affected System]],'Basic Data'!$A$54:$E$56,3,0),"")</f>
        <v/>
      </c>
      <c r="J79" s="43" t="str">
        <f>IFERROR(VLOOKUP(Grid_BD[[#This Row],[Affected System]],'Basic Data'!$A$54:$E$56,5,0),"")</f>
        <v/>
      </c>
      <c r="K79" s="55"/>
      <c r="L79" s="50"/>
      <c r="M79" s="50"/>
      <c r="N79" s="50"/>
      <c r="O79" s="44">
        <f>(Grid_BD[[#This Row],[Work Start TimeStamp]]-Grid_BD[[#This Row],[Fault Start TimeStamp]])*24</f>
        <v>0</v>
      </c>
      <c r="P79" s="44" t="str">
        <f>IF(Grid_BD[[#This Row],[Work Start TimeStamp]]="","",(Grid_BD[[#This Row],[Fault Clearance time]]-Grid_BD[[#This Row],[Work Start TimeStamp]])*24)</f>
        <v/>
      </c>
      <c r="Q79" s="44">
        <f>(Grid_BD[[#This Row],[Fault Clearance time]]-Grid_BD[[#This Row],[Fault Start TimeStamp]])*24</f>
        <v>0</v>
      </c>
      <c r="R79" s="36"/>
      <c r="S79" s="44"/>
      <c r="T79" s="45" t="str">
        <f>IFERROR(Grid_BD[[#This Row],[Breakdown Time]]*Grid_BD[[#This Row],[Plant Equivalent Weightage]],"")</f>
        <v/>
      </c>
      <c r="U79" s="441"/>
    </row>
    <row r="80" spans="1:21">
      <c r="A80" s="28">
        <f t="shared" si="3"/>
        <v>79</v>
      </c>
      <c r="B80" s="29"/>
      <c r="C80" s="30">
        <f>YEAR(Grid_BD[[#This Row],[Date]])+IF(MONTH(Grid_BD[[#This Row],[Date]])&gt;=4,1,0)</f>
        <v>1900</v>
      </c>
      <c r="D80" s="31">
        <f>YEAR(Grid_BD[[#This Row],[Date]])</f>
        <v>1900</v>
      </c>
      <c r="E80" s="48">
        <f t="shared" si="2"/>
        <v>1</v>
      </c>
      <c r="F80" s="32" t="s">
        <v>652</v>
      </c>
      <c r="G80" s="33"/>
      <c r="H80" s="43" t="str">
        <f>IFERROR(VLOOKUP(Grid_BD[[#This Row],[Affected System]],'Basic Data'!$A$54:$E$56,2,0),"")</f>
        <v/>
      </c>
      <c r="I80" s="43" t="str">
        <f>IFERROR(VLOOKUP(Grid_BD[[#This Row],[Affected System]],'Basic Data'!$A$54:$E$56,3,0),"")</f>
        <v/>
      </c>
      <c r="J80" s="43" t="str">
        <f>IFERROR(VLOOKUP(Grid_BD[[#This Row],[Affected System]],'Basic Data'!$A$54:$E$56,5,0),"")</f>
        <v/>
      </c>
      <c r="K80" s="55"/>
      <c r="L80" s="50"/>
      <c r="M80" s="50"/>
      <c r="N80" s="50"/>
      <c r="O80" s="44">
        <f>(Grid_BD[[#This Row],[Work Start TimeStamp]]-Grid_BD[[#This Row],[Fault Start TimeStamp]])*24</f>
        <v>0</v>
      </c>
      <c r="P80" s="44" t="str">
        <f>IF(Grid_BD[[#This Row],[Work Start TimeStamp]]="","",(Grid_BD[[#This Row],[Fault Clearance time]]-Grid_BD[[#This Row],[Work Start TimeStamp]])*24)</f>
        <v/>
      </c>
      <c r="Q80" s="44">
        <f>(Grid_BD[[#This Row],[Fault Clearance time]]-Grid_BD[[#This Row],[Fault Start TimeStamp]])*24</f>
        <v>0</v>
      </c>
      <c r="R80" s="36"/>
      <c r="S80" s="44"/>
      <c r="T80" s="45" t="str">
        <f>IFERROR(Grid_BD[[#This Row],[Breakdown Time]]*Grid_BD[[#This Row],[Plant Equivalent Weightage]],"")</f>
        <v/>
      </c>
      <c r="U80" s="441"/>
    </row>
    <row r="81" spans="1:21">
      <c r="A81" s="28">
        <f t="shared" si="3"/>
        <v>80</v>
      </c>
      <c r="B81" s="29"/>
      <c r="C81" s="30">
        <f>YEAR(Grid_BD[[#This Row],[Date]])+IF(MONTH(Grid_BD[[#This Row],[Date]])&gt;=4,1,0)</f>
        <v>1900</v>
      </c>
      <c r="D81" s="31">
        <f>YEAR(Grid_BD[[#This Row],[Date]])</f>
        <v>1900</v>
      </c>
      <c r="E81" s="48">
        <f t="shared" si="2"/>
        <v>1</v>
      </c>
      <c r="F81" s="32" t="s">
        <v>652</v>
      </c>
      <c r="G81" s="33"/>
      <c r="H81" s="43" t="str">
        <f>IFERROR(VLOOKUP(Grid_BD[[#This Row],[Affected System]],'Basic Data'!$A$54:$E$56,2,0),"")</f>
        <v/>
      </c>
      <c r="I81" s="43" t="str">
        <f>IFERROR(VLOOKUP(Grid_BD[[#This Row],[Affected System]],'Basic Data'!$A$54:$E$56,3,0),"")</f>
        <v/>
      </c>
      <c r="J81" s="43" t="str">
        <f>IFERROR(VLOOKUP(Grid_BD[[#This Row],[Affected System]],'Basic Data'!$A$54:$E$56,5,0),"")</f>
        <v/>
      </c>
      <c r="K81" s="55"/>
      <c r="L81" s="50"/>
      <c r="M81" s="50"/>
      <c r="N81" s="50"/>
      <c r="O81" s="44">
        <f>(Grid_BD[[#This Row],[Work Start TimeStamp]]-Grid_BD[[#This Row],[Fault Start TimeStamp]])*24</f>
        <v>0</v>
      </c>
      <c r="P81" s="44" t="str">
        <f>IF(Grid_BD[[#This Row],[Work Start TimeStamp]]="","",(Grid_BD[[#This Row],[Fault Clearance time]]-Grid_BD[[#This Row],[Work Start TimeStamp]])*24)</f>
        <v/>
      </c>
      <c r="Q81" s="44">
        <f>(Grid_BD[[#This Row],[Fault Clearance time]]-Grid_BD[[#This Row],[Fault Start TimeStamp]])*24</f>
        <v>0</v>
      </c>
      <c r="R81" s="36"/>
      <c r="S81" s="44"/>
      <c r="T81" s="45" t="str">
        <f>IFERROR(Grid_BD[[#This Row],[Breakdown Time]]*Grid_BD[[#This Row],[Plant Equivalent Weightage]],"")</f>
        <v/>
      </c>
      <c r="U81" s="441"/>
    </row>
    <row r="82" spans="1:21">
      <c r="A82" s="28">
        <f t="shared" si="3"/>
        <v>81</v>
      </c>
      <c r="B82" s="29"/>
      <c r="C82" s="30">
        <f>YEAR(Grid_BD[[#This Row],[Date]])+IF(MONTH(Grid_BD[[#This Row],[Date]])&gt;=4,1,0)</f>
        <v>1900</v>
      </c>
      <c r="D82" s="31">
        <f>YEAR(Grid_BD[[#This Row],[Date]])</f>
        <v>1900</v>
      </c>
      <c r="E82" s="48">
        <f t="shared" si="2"/>
        <v>1</v>
      </c>
      <c r="F82" s="32" t="s">
        <v>652</v>
      </c>
      <c r="G82" s="33"/>
      <c r="H82" s="43" t="str">
        <f>IFERROR(VLOOKUP(Grid_BD[[#This Row],[Affected System]],'Basic Data'!$A$54:$E$56,2,0),"")</f>
        <v/>
      </c>
      <c r="I82" s="43" t="str">
        <f>IFERROR(VLOOKUP(Grid_BD[[#This Row],[Affected System]],'Basic Data'!$A$54:$E$56,3,0),"")</f>
        <v/>
      </c>
      <c r="J82" s="43" t="str">
        <f>IFERROR(VLOOKUP(Grid_BD[[#This Row],[Affected System]],'Basic Data'!$A$54:$E$56,5,0),"")</f>
        <v/>
      </c>
      <c r="K82" s="55"/>
      <c r="L82" s="50"/>
      <c r="M82" s="50"/>
      <c r="N82" s="50"/>
      <c r="O82" s="44">
        <f>(Grid_BD[[#This Row],[Work Start TimeStamp]]-Grid_BD[[#This Row],[Fault Start TimeStamp]])*24</f>
        <v>0</v>
      </c>
      <c r="P82" s="44" t="str">
        <f>IF(Grid_BD[[#This Row],[Work Start TimeStamp]]="","",(Grid_BD[[#This Row],[Fault Clearance time]]-Grid_BD[[#This Row],[Work Start TimeStamp]])*24)</f>
        <v/>
      </c>
      <c r="Q82" s="44">
        <f>(Grid_BD[[#This Row],[Fault Clearance time]]-Grid_BD[[#This Row],[Fault Start TimeStamp]])*24</f>
        <v>0</v>
      </c>
      <c r="R82" s="36"/>
      <c r="S82" s="44"/>
      <c r="T82" s="45" t="str">
        <f>IFERROR(Grid_BD[[#This Row],[Breakdown Time]]*Grid_BD[[#This Row],[Plant Equivalent Weightage]],"")</f>
        <v/>
      </c>
      <c r="U82" s="441"/>
    </row>
    <row r="83" spans="1:21">
      <c r="A83" s="28">
        <f t="shared" si="3"/>
        <v>82</v>
      </c>
      <c r="B83" s="29"/>
      <c r="C83" s="30">
        <f>YEAR(Grid_BD[[#This Row],[Date]])+IF(MONTH(Grid_BD[[#This Row],[Date]])&gt;=4,1,0)</f>
        <v>1900</v>
      </c>
      <c r="D83" s="31">
        <f>YEAR(Grid_BD[[#This Row],[Date]])</f>
        <v>1900</v>
      </c>
      <c r="E83" s="48">
        <f t="shared" si="2"/>
        <v>1</v>
      </c>
      <c r="F83" s="32" t="s">
        <v>652</v>
      </c>
      <c r="G83" s="33"/>
      <c r="H83" s="43" t="str">
        <f>IFERROR(VLOOKUP(Grid_BD[[#This Row],[Affected System]],'Basic Data'!$A$54:$E$56,2,0),"")</f>
        <v/>
      </c>
      <c r="I83" s="43" t="str">
        <f>IFERROR(VLOOKUP(Grid_BD[[#This Row],[Affected System]],'Basic Data'!$A$54:$E$56,3,0),"")</f>
        <v/>
      </c>
      <c r="J83" s="43" t="str">
        <f>IFERROR(VLOOKUP(Grid_BD[[#This Row],[Affected System]],'Basic Data'!$A$54:$E$56,5,0),"")</f>
        <v/>
      </c>
      <c r="K83" s="55"/>
      <c r="L83" s="50"/>
      <c r="M83" s="50"/>
      <c r="N83" s="50"/>
      <c r="O83" s="44">
        <f>(Grid_BD[[#This Row],[Work Start TimeStamp]]-Grid_BD[[#This Row],[Fault Start TimeStamp]])*24</f>
        <v>0</v>
      </c>
      <c r="P83" s="44" t="str">
        <f>IF(Grid_BD[[#This Row],[Work Start TimeStamp]]="","",(Grid_BD[[#This Row],[Fault Clearance time]]-Grid_BD[[#This Row],[Work Start TimeStamp]])*24)</f>
        <v/>
      </c>
      <c r="Q83" s="44">
        <f>(Grid_BD[[#This Row],[Fault Clearance time]]-Grid_BD[[#This Row],[Fault Start TimeStamp]])*24</f>
        <v>0</v>
      </c>
      <c r="R83" s="36"/>
      <c r="S83" s="44"/>
      <c r="T83" s="45" t="str">
        <f>IFERROR(Grid_BD[[#This Row],[Breakdown Time]]*Grid_BD[[#This Row],[Plant Equivalent Weightage]],"")</f>
        <v/>
      </c>
      <c r="U83" s="441"/>
    </row>
    <row r="84" spans="1:21">
      <c r="A84" s="28">
        <f t="shared" si="3"/>
        <v>83</v>
      </c>
      <c r="B84" s="29"/>
      <c r="C84" s="30">
        <f>YEAR(Grid_BD[[#This Row],[Date]])+IF(MONTH(Grid_BD[[#This Row],[Date]])&gt;=4,1,0)</f>
        <v>1900</v>
      </c>
      <c r="D84" s="31">
        <f>YEAR(Grid_BD[[#This Row],[Date]])</f>
        <v>1900</v>
      </c>
      <c r="E84" s="48">
        <f t="shared" si="2"/>
        <v>1</v>
      </c>
      <c r="F84" s="32" t="s">
        <v>652</v>
      </c>
      <c r="G84" s="33"/>
      <c r="H84" s="43" t="str">
        <f>IFERROR(VLOOKUP(Grid_BD[[#This Row],[Affected System]],'Basic Data'!$A$54:$E$56,2,0),"")</f>
        <v/>
      </c>
      <c r="I84" s="43" t="str">
        <f>IFERROR(VLOOKUP(Grid_BD[[#This Row],[Affected System]],'Basic Data'!$A$54:$E$56,3,0),"")</f>
        <v/>
      </c>
      <c r="J84" s="43" t="str">
        <f>IFERROR(VLOOKUP(Grid_BD[[#This Row],[Affected System]],'Basic Data'!$A$54:$E$56,5,0),"")</f>
        <v/>
      </c>
      <c r="K84" s="55"/>
      <c r="L84" s="50"/>
      <c r="M84" s="50"/>
      <c r="N84" s="50"/>
      <c r="O84" s="44">
        <f>(Grid_BD[[#This Row],[Work Start TimeStamp]]-Grid_BD[[#This Row],[Fault Start TimeStamp]])*24</f>
        <v>0</v>
      </c>
      <c r="P84" s="44" t="str">
        <f>IF(Grid_BD[[#This Row],[Work Start TimeStamp]]="","",(Grid_BD[[#This Row],[Fault Clearance time]]-Grid_BD[[#This Row],[Work Start TimeStamp]])*24)</f>
        <v/>
      </c>
      <c r="Q84" s="44">
        <f>(Grid_BD[[#This Row],[Fault Clearance time]]-Grid_BD[[#This Row],[Fault Start TimeStamp]])*24</f>
        <v>0</v>
      </c>
      <c r="R84" s="36"/>
      <c r="S84" s="44"/>
      <c r="T84" s="45" t="str">
        <f>IFERROR(Grid_BD[[#This Row],[Breakdown Time]]*Grid_BD[[#This Row],[Plant Equivalent Weightage]],"")</f>
        <v/>
      </c>
      <c r="U84" s="441"/>
    </row>
    <row r="85" spans="1:21">
      <c r="A85" s="28">
        <f t="shared" si="3"/>
        <v>84</v>
      </c>
      <c r="B85" s="29"/>
      <c r="C85" s="30">
        <f>YEAR(Grid_BD[[#This Row],[Date]])+IF(MONTH(Grid_BD[[#This Row],[Date]])&gt;=4,1,0)</f>
        <v>1900</v>
      </c>
      <c r="D85" s="31">
        <f>YEAR(Grid_BD[[#This Row],[Date]])</f>
        <v>1900</v>
      </c>
      <c r="E85" s="48">
        <f t="shared" si="2"/>
        <v>1</v>
      </c>
      <c r="F85" s="32" t="s">
        <v>652</v>
      </c>
      <c r="G85" s="33"/>
      <c r="H85" s="43" t="str">
        <f>IFERROR(VLOOKUP(Grid_BD[[#This Row],[Affected System]],'Basic Data'!$A$54:$E$56,2,0),"")</f>
        <v/>
      </c>
      <c r="I85" s="43" t="str">
        <f>IFERROR(VLOOKUP(Grid_BD[[#This Row],[Affected System]],'Basic Data'!$A$54:$E$56,3,0),"")</f>
        <v/>
      </c>
      <c r="J85" s="43" t="str">
        <f>IFERROR(VLOOKUP(Grid_BD[[#This Row],[Affected System]],'Basic Data'!$A$54:$E$56,5,0),"")</f>
        <v/>
      </c>
      <c r="K85" s="55"/>
      <c r="L85" s="50"/>
      <c r="M85" s="50"/>
      <c r="N85" s="50"/>
      <c r="O85" s="44">
        <f>(Grid_BD[[#This Row],[Work Start TimeStamp]]-Grid_BD[[#This Row],[Fault Start TimeStamp]])*24</f>
        <v>0</v>
      </c>
      <c r="P85" s="44" t="str">
        <f>IF(Grid_BD[[#This Row],[Work Start TimeStamp]]="","",(Grid_BD[[#This Row],[Fault Clearance time]]-Grid_BD[[#This Row],[Work Start TimeStamp]])*24)</f>
        <v/>
      </c>
      <c r="Q85" s="44">
        <f>(Grid_BD[[#This Row],[Fault Clearance time]]-Grid_BD[[#This Row],[Fault Start TimeStamp]])*24</f>
        <v>0</v>
      </c>
      <c r="R85" s="36"/>
      <c r="S85" s="44"/>
      <c r="T85" s="45" t="str">
        <f>IFERROR(Grid_BD[[#This Row],[Breakdown Time]]*Grid_BD[[#This Row],[Plant Equivalent Weightage]],"")</f>
        <v/>
      </c>
      <c r="U85" s="441"/>
    </row>
    <row r="86" spans="1:21">
      <c r="A86" s="28">
        <f t="shared" si="3"/>
        <v>85</v>
      </c>
      <c r="B86" s="29"/>
      <c r="C86" s="30">
        <f>YEAR(Grid_BD[[#This Row],[Date]])+IF(MONTH(Grid_BD[[#This Row],[Date]])&gt;=4,1,0)</f>
        <v>1900</v>
      </c>
      <c r="D86" s="31">
        <f>YEAR(Grid_BD[[#This Row],[Date]])</f>
        <v>1900</v>
      </c>
      <c r="E86" s="48">
        <f t="shared" si="2"/>
        <v>1</v>
      </c>
      <c r="F86" s="32" t="s">
        <v>652</v>
      </c>
      <c r="G86" s="33"/>
      <c r="H86" s="43" t="str">
        <f>IFERROR(VLOOKUP(Grid_BD[[#This Row],[Affected System]],'Basic Data'!$A$54:$E$56,2,0),"")</f>
        <v/>
      </c>
      <c r="I86" s="43" t="str">
        <f>IFERROR(VLOOKUP(Grid_BD[[#This Row],[Affected System]],'Basic Data'!$A$54:$E$56,3,0),"")</f>
        <v/>
      </c>
      <c r="J86" s="43" t="str">
        <f>IFERROR(VLOOKUP(Grid_BD[[#This Row],[Affected System]],'Basic Data'!$A$54:$E$56,5,0),"")</f>
        <v/>
      </c>
      <c r="K86" s="55"/>
      <c r="L86" s="50"/>
      <c r="M86" s="50"/>
      <c r="N86" s="50"/>
      <c r="O86" s="44">
        <f>(Grid_BD[[#This Row],[Work Start TimeStamp]]-Grid_BD[[#This Row],[Fault Start TimeStamp]])*24</f>
        <v>0</v>
      </c>
      <c r="P86" s="44" t="str">
        <f>IF(Grid_BD[[#This Row],[Work Start TimeStamp]]="","",(Grid_BD[[#This Row],[Fault Clearance time]]-Grid_BD[[#This Row],[Work Start TimeStamp]])*24)</f>
        <v/>
      </c>
      <c r="Q86" s="44">
        <f>(Grid_BD[[#This Row],[Fault Clearance time]]-Grid_BD[[#This Row],[Fault Start TimeStamp]])*24</f>
        <v>0</v>
      </c>
      <c r="R86" s="36"/>
      <c r="S86" s="44"/>
      <c r="T86" s="45" t="str">
        <f>IFERROR(Grid_BD[[#This Row],[Breakdown Time]]*Grid_BD[[#This Row],[Plant Equivalent Weightage]],"")</f>
        <v/>
      </c>
      <c r="U86" s="441"/>
    </row>
    <row r="87" spans="1:21">
      <c r="A87" s="28">
        <f t="shared" si="3"/>
        <v>86</v>
      </c>
      <c r="B87" s="29"/>
      <c r="C87" s="30">
        <f>YEAR(Grid_BD[[#This Row],[Date]])+IF(MONTH(Grid_BD[[#This Row],[Date]])&gt;=4,1,0)</f>
        <v>1900</v>
      </c>
      <c r="D87" s="31">
        <f>YEAR(Grid_BD[[#This Row],[Date]])</f>
        <v>1900</v>
      </c>
      <c r="E87" s="48">
        <f t="shared" si="2"/>
        <v>1</v>
      </c>
      <c r="F87" s="32" t="s">
        <v>652</v>
      </c>
      <c r="G87" s="33"/>
      <c r="H87" s="43" t="str">
        <f>IFERROR(VLOOKUP(Grid_BD[[#This Row],[Affected System]],'Basic Data'!$A$54:$E$56,2,0),"")</f>
        <v/>
      </c>
      <c r="I87" s="43" t="str">
        <f>IFERROR(VLOOKUP(Grid_BD[[#This Row],[Affected System]],'Basic Data'!$A$54:$E$56,3,0),"")</f>
        <v/>
      </c>
      <c r="J87" s="43" t="str">
        <f>IFERROR(VLOOKUP(Grid_BD[[#This Row],[Affected System]],'Basic Data'!$A$54:$E$56,5,0),"")</f>
        <v/>
      </c>
      <c r="K87" s="55"/>
      <c r="L87" s="50"/>
      <c r="M87" s="50"/>
      <c r="N87" s="50"/>
      <c r="O87" s="44">
        <f>(Grid_BD[[#This Row],[Work Start TimeStamp]]-Grid_BD[[#This Row],[Fault Start TimeStamp]])*24</f>
        <v>0</v>
      </c>
      <c r="P87" s="44" t="str">
        <f>IF(Grid_BD[[#This Row],[Work Start TimeStamp]]="","",(Grid_BD[[#This Row],[Fault Clearance time]]-Grid_BD[[#This Row],[Work Start TimeStamp]])*24)</f>
        <v/>
      </c>
      <c r="Q87" s="44">
        <f>(Grid_BD[[#This Row],[Fault Clearance time]]-Grid_BD[[#This Row],[Fault Start TimeStamp]])*24</f>
        <v>0</v>
      </c>
      <c r="R87" s="36"/>
      <c r="S87" s="44"/>
      <c r="T87" s="45" t="str">
        <f>IFERROR(Grid_BD[[#This Row],[Breakdown Time]]*Grid_BD[[#This Row],[Plant Equivalent Weightage]],"")</f>
        <v/>
      </c>
      <c r="U87" s="441"/>
    </row>
    <row r="88" spans="1:21">
      <c r="A88" s="28">
        <f t="shared" si="3"/>
        <v>87</v>
      </c>
      <c r="B88" s="29"/>
      <c r="C88" s="30">
        <f>YEAR(Grid_BD[[#This Row],[Date]])+IF(MONTH(Grid_BD[[#This Row],[Date]])&gt;=4,1,0)</f>
        <v>1900</v>
      </c>
      <c r="D88" s="31">
        <f>YEAR(Grid_BD[[#This Row],[Date]])</f>
        <v>1900</v>
      </c>
      <c r="E88" s="48">
        <f t="shared" si="2"/>
        <v>1</v>
      </c>
      <c r="F88" s="32" t="s">
        <v>652</v>
      </c>
      <c r="G88" s="33"/>
      <c r="H88" s="43" t="str">
        <f>IFERROR(VLOOKUP(Grid_BD[[#This Row],[Affected System]],'Basic Data'!$A$54:$E$56,2,0),"")</f>
        <v/>
      </c>
      <c r="I88" s="43" t="str">
        <f>IFERROR(VLOOKUP(Grid_BD[[#This Row],[Affected System]],'Basic Data'!$A$54:$E$56,3,0),"")</f>
        <v/>
      </c>
      <c r="J88" s="43" t="str">
        <f>IFERROR(VLOOKUP(Grid_BD[[#This Row],[Affected System]],'Basic Data'!$A$54:$E$56,5,0),"")</f>
        <v/>
      </c>
      <c r="K88" s="55"/>
      <c r="L88" s="50"/>
      <c r="M88" s="50"/>
      <c r="N88" s="50"/>
      <c r="O88" s="44">
        <f>(Grid_BD[[#This Row],[Work Start TimeStamp]]-Grid_BD[[#This Row],[Fault Start TimeStamp]])*24</f>
        <v>0</v>
      </c>
      <c r="P88" s="44" t="str">
        <f>IF(Grid_BD[[#This Row],[Work Start TimeStamp]]="","",(Grid_BD[[#This Row],[Fault Clearance time]]-Grid_BD[[#This Row],[Work Start TimeStamp]])*24)</f>
        <v/>
      </c>
      <c r="Q88" s="44">
        <f>(Grid_BD[[#This Row],[Fault Clearance time]]-Grid_BD[[#This Row],[Fault Start TimeStamp]])*24</f>
        <v>0</v>
      </c>
      <c r="R88" s="36"/>
      <c r="S88" s="44"/>
      <c r="T88" s="45" t="str">
        <f>IFERROR(Grid_BD[[#This Row],[Breakdown Time]]*Grid_BD[[#This Row],[Plant Equivalent Weightage]],"")</f>
        <v/>
      </c>
      <c r="U88" s="441"/>
    </row>
    <row r="89" spans="1:21">
      <c r="A89" s="28">
        <f t="shared" si="3"/>
        <v>88</v>
      </c>
      <c r="B89" s="29"/>
      <c r="C89" s="30">
        <f>YEAR(Grid_BD[[#This Row],[Date]])+IF(MONTH(Grid_BD[[#This Row],[Date]])&gt;=4,1,0)</f>
        <v>1900</v>
      </c>
      <c r="D89" s="31">
        <f>YEAR(Grid_BD[[#This Row],[Date]])</f>
        <v>1900</v>
      </c>
      <c r="E89" s="48">
        <f t="shared" si="2"/>
        <v>1</v>
      </c>
      <c r="F89" s="32" t="s">
        <v>652</v>
      </c>
      <c r="G89" s="33"/>
      <c r="H89" s="43" t="str">
        <f>IFERROR(VLOOKUP(Grid_BD[[#This Row],[Affected System]],'Basic Data'!$A$54:$E$56,2,0),"")</f>
        <v/>
      </c>
      <c r="I89" s="43" t="str">
        <f>IFERROR(VLOOKUP(Grid_BD[[#This Row],[Affected System]],'Basic Data'!$A$54:$E$56,3,0),"")</f>
        <v/>
      </c>
      <c r="J89" s="43" t="str">
        <f>IFERROR(VLOOKUP(Grid_BD[[#This Row],[Affected System]],'Basic Data'!$A$54:$E$56,5,0),"")</f>
        <v/>
      </c>
      <c r="K89" s="55"/>
      <c r="L89" s="50"/>
      <c r="M89" s="50"/>
      <c r="N89" s="50"/>
      <c r="O89" s="44">
        <f>(Grid_BD[[#This Row],[Work Start TimeStamp]]-Grid_BD[[#This Row],[Fault Start TimeStamp]])*24</f>
        <v>0</v>
      </c>
      <c r="P89" s="44" t="str">
        <f>IF(Grid_BD[[#This Row],[Work Start TimeStamp]]="","",(Grid_BD[[#This Row],[Fault Clearance time]]-Grid_BD[[#This Row],[Work Start TimeStamp]])*24)</f>
        <v/>
      </c>
      <c r="Q89" s="44">
        <f>(Grid_BD[[#This Row],[Fault Clearance time]]-Grid_BD[[#This Row],[Fault Start TimeStamp]])*24</f>
        <v>0</v>
      </c>
      <c r="R89" s="36"/>
      <c r="S89" s="44"/>
      <c r="T89" s="45" t="str">
        <f>IFERROR(Grid_BD[[#This Row],[Breakdown Time]]*Grid_BD[[#This Row],[Plant Equivalent Weightage]],"")</f>
        <v/>
      </c>
      <c r="U89" s="441"/>
    </row>
    <row r="90" spans="1:21">
      <c r="A90" s="28">
        <f t="shared" si="3"/>
        <v>89</v>
      </c>
      <c r="B90" s="29"/>
      <c r="C90" s="30">
        <f>YEAR(Grid_BD[[#This Row],[Date]])+IF(MONTH(Grid_BD[[#This Row],[Date]])&gt;=4,1,0)</f>
        <v>1900</v>
      </c>
      <c r="D90" s="31">
        <f>YEAR(Grid_BD[[#This Row],[Date]])</f>
        <v>1900</v>
      </c>
      <c r="E90" s="48">
        <f t="shared" si="2"/>
        <v>1</v>
      </c>
      <c r="F90" s="32" t="s">
        <v>652</v>
      </c>
      <c r="G90" s="33"/>
      <c r="H90" s="43" t="str">
        <f>IFERROR(VLOOKUP(Grid_BD[[#This Row],[Affected System]],'Basic Data'!$A$54:$E$56,2,0),"")</f>
        <v/>
      </c>
      <c r="I90" s="43" t="str">
        <f>IFERROR(VLOOKUP(Grid_BD[[#This Row],[Affected System]],'Basic Data'!$A$54:$E$56,3,0),"")</f>
        <v/>
      </c>
      <c r="J90" s="43" t="str">
        <f>IFERROR(VLOOKUP(Grid_BD[[#This Row],[Affected System]],'Basic Data'!$A$54:$E$56,5,0),"")</f>
        <v/>
      </c>
      <c r="K90" s="55"/>
      <c r="L90" s="50"/>
      <c r="M90" s="50"/>
      <c r="N90" s="50"/>
      <c r="O90" s="44">
        <f>(Grid_BD[[#This Row],[Work Start TimeStamp]]-Grid_BD[[#This Row],[Fault Start TimeStamp]])*24</f>
        <v>0</v>
      </c>
      <c r="P90" s="44" t="str">
        <f>IF(Grid_BD[[#This Row],[Work Start TimeStamp]]="","",(Grid_BD[[#This Row],[Fault Clearance time]]-Grid_BD[[#This Row],[Work Start TimeStamp]])*24)</f>
        <v/>
      </c>
      <c r="Q90" s="44">
        <f>(Grid_BD[[#This Row],[Fault Clearance time]]-Grid_BD[[#This Row],[Fault Start TimeStamp]])*24</f>
        <v>0</v>
      </c>
      <c r="R90" s="36"/>
      <c r="S90" s="44"/>
      <c r="T90" s="45" t="str">
        <f>IFERROR(Grid_BD[[#This Row],[Breakdown Time]]*Grid_BD[[#This Row],[Plant Equivalent Weightage]],"")</f>
        <v/>
      </c>
      <c r="U90" s="441"/>
    </row>
    <row r="91" spans="1:21">
      <c r="A91" s="28">
        <f t="shared" si="3"/>
        <v>90</v>
      </c>
      <c r="B91" s="29"/>
      <c r="C91" s="30">
        <f>YEAR(Grid_BD[[#This Row],[Date]])+IF(MONTH(Grid_BD[[#This Row],[Date]])&gt;=4,1,0)</f>
        <v>1900</v>
      </c>
      <c r="D91" s="31">
        <f>YEAR(Grid_BD[[#This Row],[Date]])</f>
        <v>1900</v>
      </c>
      <c r="E91" s="48">
        <f t="shared" si="2"/>
        <v>1</v>
      </c>
      <c r="F91" s="32" t="s">
        <v>652</v>
      </c>
      <c r="G91" s="33"/>
      <c r="H91" s="43" t="str">
        <f>IFERROR(VLOOKUP(Grid_BD[[#This Row],[Affected System]],'Basic Data'!$A$54:$E$56,2,0),"")</f>
        <v/>
      </c>
      <c r="I91" s="43" t="str">
        <f>IFERROR(VLOOKUP(Grid_BD[[#This Row],[Affected System]],'Basic Data'!$A$54:$E$56,3,0),"")</f>
        <v/>
      </c>
      <c r="J91" s="43" t="str">
        <f>IFERROR(VLOOKUP(Grid_BD[[#This Row],[Affected System]],'Basic Data'!$A$54:$E$56,5,0),"")</f>
        <v/>
      </c>
      <c r="K91" s="55"/>
      <c r="L91" s="50"/>
      <c r="M91" s="50"/>
      <c r="N91" s="50"/>
      <c r="O91" s="44">
        <f>(Grid_BD[[#This Row],[Work Start TimeStamp]]-Grid_BD[[#This Row],[Fault Start TimeStamp]])*24</f>
        <v>0</v>
      </c>
      <c r="P91" s="44" t="str">
        <f>IF(Grid_BD[[#This Row],[Work Start TimeStamp]]="","",(Grid_BD[[#This Row],[Fault Clearance time]]-Grid_BD[[#This Row],[Work Start TimeStamp]])*24)</f>
        <v/>
      </c>
      <c r="Q91" s="44">
        <f>(Grid_BD[[#This Row],[Fault Clearance time]]-Grid_BD[[#This Row],[Fault Start TimeStamp]])*24</f>
        <v>0</v>
      </c>
      <c r="R91" s="36"/>
      <c r="S91" s="44"/>
      <c r="T91" s="45" t="str">
        <f>IFERROR(Grid_BD[[#This Row],[Breakdown Time]]*Grid_BD[[#This Row],[Plant Equivalent Weightage]],"")</f>
        <v/>
      </c>
      <c r="U91" s="441"/>
    </row>
    <row r="92" spans="1:21">
      <c r="A92" s="28">
        <f t="shared" si="3"/>
        <v>91</v>
      </c>
      <c r="B92" s="29"/>
      <c r="C92" s="30">
        <f>YEAR(Grid_BD[[#This Row],[Date]])+IF(MONTH(Grid_BD[[#This Row],[Date]])&gt;=4,1,0)</f>
        <v>1900</v>
      </c>
      <c r="D92" s="31">
        <f>YEAR(Grid_BD[[#This Row],[Date]])</f>
        <v>1900</v>
      </c>
      <c r="E92" s="48">
        <f t="shared" si="2"/>
        <v>1</v>
      </c>
      <c r="F92" s="32" t="s">
        <v>652</v>
      </c>
      <c r="G92" s="33"/>
      <c r="H92" s="43" t="str">
        <f>IFERROR(VLOOKUP(Grid_BD[[#This Row],[Affected System]],'Basic Data'!$A$54:$E$56,2,0),"")</f>
        <v/>
      </c>
      <c r="I92" s="43" t="str">
        <f>IFERROR(VLOOKUP(Grid_BD[[#This Row],[Affected System]],'Basic Data'!$A$54:$E$56,3,0),"")</f>
        <v/>
      </c>
      <c r="J92" s="43" t="str">
        <f>IFERROR(VLOOKUP(Grid_BD[[#This Row],[Affected System]],'Basic Data'!$A$54:$E$56,5,0),"")</f>
        <v/>
      </c>
      <c r="K92" s="55"/>
      <c r="L92" s="50"/>
      <c r="M92" s="50"/>
      <c r="N92" s="50"/>
      <c r="O92" s="44">
        <f>(Grid_BD[[#This Row],[Work Start TimeStamp]]-Grid_BD[[#This Row],[Fault Start TimeStamp]])*24</f>
        <v>0</v>
      </c>
      <c r="P92" s="44" t="str">
        <f>IF(Grid_BD[[#This Row],[Work Start TimeStamp]]="","",(Grid_BD[[#This Row],[Fault Clearance time]]-Grid_BD[[#This Row],[Work Start TimeStamp]])*24)</f>
        <v/>
      </c>
      <c r="Q92" s="44">
        <f>(Grid_BD[[#This Row],[Fault Clearance time]]-Grid_BD[[#This Row],[Fault Start TimeStamp]])*24</f>
        <v>0</v>
      </c>
      <c r="R92" s="36"/>
      <c r="S92" s="44"/>
      <c r="T92" s="45" t="str">
        <f>IFERROR(Grid_BD[[#This Row],[Breakdown Time]]*Grid_BD[[#This Row],[Plant Equivalent Weightage]],"")</f>
        <v/>
      </c>
      <c r="U92" s="441"/>
    </row>
    <row r="93" spans="1:21">
      <c r="A93" s="28">
        <f t="shared" si="3"/>
        <v>92</v>
      </c>
      <c r="B93" s="29"/>
      <c r="C93" s="30">
        <f>YEAR(Grid_BD[[#This Row],[Date]])+IF(MONTH(Grid_BD[[#This Row],[Date]])&gt;=4,1,0)</f>
        <v>1900</v>
      </c>
      <c r="D93" s="31">
        <f>YEAR(Grid_BD[[#This Row],[Date]])</f>
        <v>1900</v>
      </c>
      <c r="E93" s="48">
        <f t="shared" si="2"/>
        <v>1</v>
      </c>
      <c r="F93" s="32" t="s">
        <v>652</v>
      </c>
      <c r="G93" s="33"/>
      <c r="H93" s="43" t="str">
        <f>IFERROR(VLOOKUP(Grid_BD[[#This Row],[Affected System]],'Basic Data'!$A$54:$E$56,2,0),"")</f>
        <v/>
      </c>
      <c r="I93" s="43" t="str">
        <f>IFERROR(VLOOKUP(Grid_BD[[#This Row],[Affected System]],'Basic Data'!$A$54:$E$56,3,0),"")</f>
        <v/>
      </c>
      <c r="J93" s="43" t="str">
        <f>IFERROR(VLOOKUP(Grid_BD[[#This Row],[Affected System]],'Basic Data'!$A$54:$E$56,5,0),"")</f>
        <v/>
      </c>
      <c r="K93" s="55"/>
      <c r="L93" s="50"/>
      <c r="M93" s="50"/>
      <c r="N93" s="50"/>
      <c r="O93" s="44">
        <f>(Grid_BD[[#This Row],[Work Start TimeStamp]]-Grid_BD[[#This Row],[Fault Start TimeStamp]])*24</f>
        <v>0</v>
      </c>
      <c r="P93" s="44" t="str">
        <f>IF(Grid_BD[[#This Row],[Work Start TimeStamp]]="","",(Grid_BD[[#This Row],[Fault Clearance time]]-Grid_BD[[#This Row],[Work Start TimeStamp]])*24)</f>
        <v/>
      </c>
      <c r="Q93" s="44">
        <f>(Grid_BD[[#This Row],[Fault Clearance time]]-Grid_BD[[#This Row],[Fault Start TimeStamp]])*24</f>
        <v>0</v>
      </c>
      <c r="R93" s="36"/>
      <c r="S93" s="44"/>
      <c r="T93" s="45" t="str">
        <f>IFERROR(Grid_BD[[#This Row],[Breakdown Time]]*Grid_BD[[#This Row],[Plant Equivalent Weightage]],"")</f>
        <v/>
      </c>
      <c r="U93" s="441"/>
    </row>
    <row r="94" spans="1:21">
      <c r="A94" s="28">
        <f t="shared" si="3"/>
        <v>93</v>
      </c>
      <c r="B94" s="29"/>
      <c r="C94" s="30">
        <f>YEAR(Grid_BD[[#This Row],[Date]])+IF(MONTH(Grid_BD[[#This Row],[Date]])&gt;=4,1,0)</f>
        <v>1900</v>
      </c>
      <c r="D94" s="31">
        <f>YEAR(Grid_BD[[#This Row],[Date]])</f>
        <v>1900</v>
      </c>
      <c r="E94" s="48">
        <f t="shared" si="2"/>
        <v>1</v>
      </c>
      <c r="F94" s="32" t="s">
        <v>652</v>
      </c>
      <c r="G94" s="33"/>
      <c r="H94" s="43" t="str">
        <f>IFERROR(VLOOKUP(Grid_BD[[#This Row],[Affected System]],'Basic Data'!$A$54:$E$56,2,0),"")</f>
        <v/>
      </c>
      <c r="I94" s="43" t="str">
        <f>IFERROR(VLOOKUP(Grid_BD[[#This Row],[Affected System]],'Basic Data'!$A$54:$E$56,3,0),"")</f>
        <v/>
      </c>
      <c r="J94" s="43" t="str">
        <f>IFERROR(VLOOKUP(Grid_BD[[#This Row],[Affected System]],'Basic Data'!$A$54:$E$56,5,0),"")</f>
        <v/>
      </c>
      <c r="K94" s="55"/>
      <c r="L94" s="50"/>
      <c r="M94" s="50"/>
      <c r="N94" s="50"/>
      <c r="O94" s="44">
        <f>(Grid_BD[[#This Row],[Work Start TimeStamp]]-Grid_BD[[#This Row],[Fault Start TimeStamp]])*24</f>
        <v>0</v>
      </c>
      <c r="P94" s="44" t="str">
        <f>IF(Grid_BD[[#This Row],[Work Start TimeStamp]]="","",(Grid_BD[[#This Row],[Fault Clearance time]]-Grid_BD[[#This Row],[Work Start TimeStamp]])*24)</f>
        <v/>
      </c>
      <c r="Q94" s="44">
        <f>(Grid_BD[[#This Row],[Fault Clearance time]]-Grid_BD[[#This Row],[Fault Start TimeStamp]])*24</f>
        <v>0</v>
      </c>
      <c r="R94" s="36"/>
      <c r="S94" s="44"/>
      <c r="T94" s="45" t="str">
        <f>IFERROR(Grid_BD[[#This Row],[Breakdown Time]]*Grid_BD[[#This Row],[Plant Equivalent Weightage]],"")</f>
        <v/>
      </c>
      <c r="U94" s="441"/>
    </row>
    <row r="95" spans="1:21">
      <c r="A95" s="28">
        <f t="shared" si="3"/>
        <v>94</v>
      </c>
      <c r="B95" s="29"/>
      <c r="C95" s="30">
        <f>YEAR(Grid_BD[[#This Row],[Date]])+IF(MONTH(Grid_BD[[#This Row],[Date]])&gt;=4,1,0)</f>
        <v>1900</v>
      </c>
      <c r="D95" s="31">
        <f>YEAR(Grid_BD[[#This Row],[Date]])</f>
        <v>1900</v>
      </c>
      <c r="E95" s="48">
        <f t="shared" si="2"/>
        <v>1</v>
      </c>
      <c r="F95" s="32" t="s">
        <v>652</v>
      </c>
      <c r="G95" s="33"/>
      <c r="H95" s="43" t="str">
        <f>IFERROR(VLOOKUP(Grid_BD[[#This Row],[Affected System]],'Basic Data'!$A$54:$E$56,2,0),"")</f>
        <v/>
      </c>
      <c r="I95" s="43" t="str">
        <f>IFERROR(VLOOKUP(Grid_BD[[#This Row],[Affected System]],'Basic Data'!$A$54:$E$56,3,0),"")</f>
        <v/>
      </c>
      <c r="J95" s="43" t="str">
        <f>IFERROR(VLOOKUP(Grid_BD[[#This Row],[Affected System]],'Basic Data'!$A$54:$E$56,5,0),"")</f>
        <v/>
      </c>
      <c r="K95" s="55"/>
      <c r="L95" s="50"/>
      <c r="M95" s="50"/>
      <c r="N95" s="50"/>
      <c r="O95" s="44">
        <f>(Grid_BD[[#This Row],[Work Start TimeStamp]]-Grid_BD[[#This Row],[Fault Start TimeStamp]])*24</f>
        <v>0</v>
      </c>
      <c r="P95" s="44" t="str">
        <f>IF(Grid_BD[[#This Row],[Work Start TimeStamp]]="","",(Grid_BD[[#This Row],[Fault Clearance time]]-Grid_BD[[#This Row],[Work Start TimeStamp]])*24)</f>
        <v/>
      </c>
      <c r="Q95" s="44">
        <f>(Grid_BD[[#This Row],[Fault Clearance time]]-Grid_BD[[#This Row],[Fault Start TimeStamp]])*24</f>
        <v>0</v>
      </c>
      <c r="R95" s="36"/>
      <c r="S95" s="44"/>
      <c r="T95" s="45" t="str">
        <f>IFERROR(Grid_BD[[#This Row],[Breakdown Time]]*Grid_BD[[#This Row],[Plant Equivalent Weightage]],"")</f>
        <v/>
      </c>
      <c r="U95" s="441"/>
    </row>
    <row r="96" spans="1:21">
      <c r="A96" s="28">
        <f t="shared" si="3"/>
        <v>95</v>
      </c>
      <c r="B96" s="29"/>
      <c r="C96" s="30">
        <f>YEAR(Grid_BD[[#This Row],[Date]])+IF(MONTH(Grid_BD[[#This Row],[Date]])&gt;=4,1,0)</f>
        <v>1900</v>
      </c>
      <c r="D96" s="31">
        <f>YEAR(Grid_BD[[#This Row],[Date]])</f>
        <v>1900</v>
      </c>
      <c r="E96" s="48">
        <f t="shared" si="2"/>
        <v>1</v>
      </c>
      <c r="F96" s="32" t="s">
        <v>652</v>
      </c>
      <c r="G96" s="33"/>
      <c r="H96" s="43" t="str">
        <f>IFERROR(VLOOKUP(Grid_BD[[#This Row],[Affected System]],'Basic Data'!$A$54:$E$56,2,0),"")</f>
        <v/>
      </c>
      <c r="I96" s="43" t="str">
        <f>IFERROR(VLOOKUP(Grid_BD[[#This Row],[Affected System]],'Basic Data'!$A$54:$E$56,3,0),"")</f>
        <v/>
      </c>
      <c r="J96" s="43" t="str">
        <f>IFERROR(VLOOKUP(Grid_BD[[#This Row],[Affected System]],'Basic Data'!$A$54:$E$56,5,0),"")</f>
        <v/>
      </c>
      <c r="K96" s="55"/>
      <c r="L96" s="50"/>
      <c r="M96" s="50"/>
      <c r="N96" s="50"/>
      <c r="O96" s="44">
        <f>(Grid_BD[[#This Row],[Work Start TimeStamp]]-Grid_BD[[#This Row],[Fault Start TimeStamp]])*24</f>
        <v>0</v>
      </c>
      <c r="P96" s="44" t="str">
        <f>IF(Grid_BD[[#This Row],[Work Start TimeStamp]]="","",(Grid_BD[[#This Row],[Fault Clearance time]]-Grid_BD[[#This Row],[Work Start TimeStamp]])*24)</f>
        <v/>
      </c>
      <c r="Q96" s="44">
        <f>(Grid_BD[[#This Row],[Fault Clearance time]]-Grid_BD[[#This Row],[Fault Start TimeStamp]])*24</f>
        <v>0</v>
      </c>
      <c r="R96" s="36"/>
      <c r="S96" s="44"/>
      <c r="T96" s="45" t="str">
        <f>IFERROR(Grid_BD[[#This Row],[Breakdown Time]]*Grid_BD[[#This Row],[Plant Equivalent Weightage]],"")</f>
        <v/>
      </c>
      <c r="U96" s="441"/>
    </row>
    <row r="97" spans="1:21">
      <c r="A97" s="28">
        <f t="shared" si="3"/>
        <v>96</v>
      </c>
      <c r="B97" s="29"/>
      <c r="C97" s="30">
        <f>YEAR(Grid_BD[[#This Row],[Date]])+IF(MONTH(Grid_BD[[#This Row],[Date]])&gt;=4,1,0)</f>
        <v>1900</v>
      </c>
      <c r="D97" s="31">
        <f>YEAR(Grid_BD[[#This Row],[Date]])</f>
        <v>1900</v>
      </c>
      <c r="E97" s="48">
        <f t="shared" si="2"/>
        <v>1</v>
      </c>
      <c r="F97" s="32" t="s">
        <v>652</v>
      </c>
      <c r="G97" s="33"/>
      <c r="H97" s="43" t="str">
        <f>IFERROR(VLOOKUP(Grid_BD[[#This Row],[Affected System]],'Basic Data'!$A$54:$E$56,2,0),"")</f>
        <v/>
      </c>
      <c r="I97" s="43" t="str">
        <f>IFERROR(VLOOKUP(Grid_BD[[#This Row],[Affected System]],'Basic Data'!$A$54:$E$56,3,0),"")</f>
        <v/>
      </c>
      <c r="J97" s="43" t="str">
        <f>IFERROR(VLOOKUP(Grid_BD[[#This Row],[Affected System]],'Basic Data'!$A$54:$E$56,5,0),"")</f>
        <v/>
      </c>
      <c r="K97" s="55"/>
      <c r="L97" s="50"/>
      <c r="M97" s="50"/>
      <c r="N97" s="50"/>
      <c r="O97" s="44">
        <f>(Grid_BD[[#This Row],[Work Start TimeStamp]]-Grid_BD[[#This Row],[Fault Start TimeStamp]])*24</f>
        <v>0</v>
      </c>
      <c r="P97" s="44" t="str">
        <f>IF(Grid_BD[[#This Row],[Work Start TimeStamp]]="","",(Grid_BD[[#This Row],[Fault Clearance time]]-Grid_BD[[#This Row],[Work Start TimeStamp]])*24)</f>
        <v/>
      </c>
      <c r="Q97" s="44">
        <f>(Grid_BD[[#This Row],[Fault Clearance time]]-Grid_BD[[#This Row],[Fault Start TimeStamp]])*24</f>
        <v>0</v>
      </c>
      <c r="R97" s="36"/>
      <c r="S97" s="44"/>
      <c r="T97" s="45" t="str">
        <f>IFERROR(Grid_BD[[#This Row],[Breakdown Time]]*Grid_BD[[#This Row],[Plant Equivalent Weightage]],"")</f>
        <v/>
      </c>
      <c r="U97" s="441"/>
    </row>
    <row r="98" spans="1:21">
      <c r="A98" s="28">
        <f t="shared" si="3"/>
        <v>97</v>
      </c>
      <c r="B98" s="29"/>
      <c r="C98" s="30">
        <f>YEAR(Grid_BD[[#This Row],[Date]])+IF(MONTH(Grid_BD[[#This Row],[Date]])&gt;=4,1,0)</f>
        <v>1900</v>
      </c>
      <c r="D98" s="31">
        <f>YEAR(Grid_BD[[#This Row],[Date]])</f>
        <v>1900</v>
      </c>
      <c r="E98" s="48">
        <f t="shared" si="2"/>
        <v>1</v>
      </c>
      <c r="F98" s="32" t="s">
        <v>652</v>
      </c>
      <c r="G98" s="33"/>
      <c r="H98" s="43" t="str">
        <f>IFERROR(VLOOKUP(Grid_BD[[#This Row],[Affected System]],'Basic Data'!$A$54:$E$56,2,0),"")</f>
        <v/>
      </c>
      <c r="I98" s="43" t="str">
        <f>IFERROR(VLOOKUP(Grid_BD[[#This Row],[Affected System]],'Basic Data'!$A$54:$E$56,3,0),"")</f>
        <v/>
      </c>
      <c r="J98" s="43" t="str">
        <f>IFERROR(VLOOKUP(Grid_BD[[#This Row],[Affected System]],'Basic Data'!$A$54:$E$56,5,0),"")</f>
        <v/>
      </c>
      <c r="K98" s="55"/>
      <c r="L98" s="50"/>
      <c r="M98" s="50"/>
      <c r="N98" s="50"/>
      <c r="O98" s="44">
        <f>(Grid_BD[[#This Row],[Work Start TimeStamp]]-Grid_BD[[#This Row],[Fault Start TimeStamp]])*24</f>
        <v>0</v>
      </c>
      <c r="P98" s="44" t="str">
        <f>IF(Grid_BD[[#This Row],[Work Start TimeStamp]]="","",(Grid_BD[[#This Row],[Fault Clearance time]]-Grid_BD[[#This Row],[Work Start TimeStamp]])*24)</f>
        <v/>
      </c>
      <c r="Q98" s="44">
        <f>(Grid_BD[[#This Row],[Fault Clearance time]]-Grid_BD[[#This Row],[Fault Start TimeStamp]])*24</f>
        <v>0</v>
      </c>
      <c r="R98" s="36"/>
      <c r="S98" s="44"/>
      <c r="T98" s="45" t="str">
        <f>IFERROR(Grid_BD[[#This Row],[Breakdown Time]]*Grid_BD[[#This Row],[Plant Equivalent Weightage]],"")</f>
        <v/>
      </c>
      <c r="U98" s="441"/>
    </row>
    <row r="99" spans="1:21">
      <c r="A99" s="28">
        <f t="shared" si="3"/>
        <v>98</v>
      </c>
      <c r="B99" s="29"/>
      <c r="C99" s="30">
        <f>YEAR(Grid_BD[[#This Row],[Date]])+IF(MONTH(Grid_BD[[#This Row],[Date]])&gt;=4,1,0)</f>
        <v>1900</v>
      </c>
      <c r="D99" s="31">
        <f>YEAR(Grid_BD[[#This Row],[Date]])</f>
        <v>1900</v>
      </c>
      <c r="E99" s="48">
        <f t="shared" si="2"/>
        <v>1</v>
      </c>
      <c r="F99" s="32" t="s">
        <v>652</v>
      </c>
      <c r="G99" s="33"/>
      <c r="H99" s="43" t="str">
        <f>IFERROR(VLOOKUP(Grid_BD[[#This Row],[Affected System]],'Basic Data'!$A$54:$E$56,2,0),"")</f>
        <v/>
      </c>
      <c r="I99" s="43" t="str">
        <f>IFERROR(VLOOKUP(Grid_BD[[#This Row],[Affected System]],'Basic Data'!$A$54:$E$56,3,0),"")</f>
        <v/>
      </c>
      <c r="J99" s="43" t="str">
        <f>IFERROR(VLOOKUP(Grid_BD[[#This Row],[Affected System]],'Basic Data'!$A$54:$E$56,5,0),"")</f>
        <v/>
      </c>
      <c r="K99" s="55"/>
      <c r="L99" s="50"/>
      <c r="M99" s="50"/>
      <c r="N99" s="50"/>
      <c r="O99" s="44">
        <f>(Grid_BD[[#This Row],[Work Start TimeStamp]]-Grid_BD[[#This Row],[Fault Start TimeStamp]])*24</f>
        <v>0</v>
      </c>
      <c r="P99" s="44" t="str">
        <f>IF(Grid_BD[[#This Row],[Work Start TimeStamp]]="","",(Grid_BD[[#This Row],[Fault Clearance time]]-Grid_BD[[#This Row],[Work Start TimeStamp]])*24)</f>
        <v/>
      </c>
      <c r="Q99" s="44">
        <f>(Grid_BD[[#This Row],[Fault Clearance time]]-Grid_BD[[#This Row],[Fault Start TimeStamp]])*24</f>
        <v>0</v>
      </c>
      <c r="R99" s="36"/>
      <c r="S99" s="44"/>
      <c r="T99" s="45" t="str">
        <f>IFERROR(Grid_BD[[#This Row],[Breakdown Time]]*Grid_BD[[#This Row],[Plant Equivalent Weightage]],"")</f>
        <v/>
      </c>
      <c r="U99" s="441"/>
    </row>
    <row r="100" spans="1:21">
      <c r="A100" s="28">
        <f t="shared" si="3"/>
        <v>99</v>
      </c>
      <c r="B100" s="29"/>
      <c r="C100" s="30">
        <f>YEAR(Grid_BD[[#This Row],[Date]])+IF(MONTH(Grid_BD[[#This Row],[Date]])&gt;=4,1,0)</f>
        <v>1900</v>
      </c>
      <c r="D100" s="31">
        <f>YEAR(Grid_BD[[#This Row],[Date]])</f>
        <v>1900</v>
      </c>
      <c r="E100" s="48">
        <f t="shared" si="2"/>
        <v>1</v>
      </c>
      <c r="F100" s="32" t="s">
        <v>652</v>
      </c>
      <c r="G100" s="33"/>
      <c r="H100" s="43" t="str">
        <f>IFERROR(VLOOKUP(Grid_BD[[#This Row],[Affected System]],'Basic Data'!$A$54:$E$56,2,0),"")</f>
        <v/>
      </c>
      <c r="I100" s="43" t="str">
        <f>IFERROR(VLOOKUP(Grid_BD[[#This Row],[Affected System]],'Basic Data'!$A$54:$E$56,3,0),"")</f>
        <v/>
      </c>
      <c r="J100" s="43" t="str">
        <f>IFERROR(VLOOKUP(Grid_BD[[#This Row],[Affected System]],'Basic Data'!$A$54:$E$56,5,0),"")</f>
        <v/>
      </c>
      <c r="K100" s="55"/>
      <c r="L100" s="50"/>
      <c r="M100" s="50"/>
      <c r="N100" s="50"/>
      <c r="O100" s="44">
        <f>(Grid_BD[[#This Row],[Work Start TimeStamp]]-Grid_BD[[#This Row],[Fault Start TimeStamp]])*24</f>
        <v>0</v>
      </c>
      <c r="P100" s="44" t="str">
        <f>IF(Grid_BD[[#This Row],[Work Start TimeStamp]]="","",(Grid_BD[[#This Row],[Fault Clearance time]]-Grid_BD[[#This Row],[Work Start TimeStamp]])*24)</f>
        <v/>
      </c>
      <c r="Q100" s="44">
        <f>(Grid_BD[[#This Row],[Fault Clearance time]]-Grid_BD[[#This Row],[Fault Start TimeStamp]])*24</f>
        <v>0</v>
      </c>
      <c r="R100" s="36"/>
      <c r="S100" s="44"/>
      <c r="T100" s="45" t="str">
        <f>IFERROR(Grid_BD[[#This Row],[Breakdown Time]]*Grid_BD[[#This Row],[Plant Equivalent Weightage]],"")</f>
        <v/>
      </c>
      <c r="U100" s="441"/>
    </row>
    <row r="101" spans="1:21">
      <c r="A101" s="28">
        <f t="shared" si="3"/>
        <v>100</v>
      </c>
      <c r="B101" s="29"/>
      <c r="C101" s="30">
        <f>YEAR(Grid_BD[[#This Row],[Date]])+IF(MONTH(Grid_BD[[#This Row],[Date]])&gt;=4,1,0)</f>
        <v>1900</v>
      </c>
      <c r="D101" s="31">
        <f>YEAR(Grid_BD[[#This Row],[Date]])</f>
        <v>1900</v>
      </c>
      <c r="E101" s="48">
        <f t="shared" si="2"/>
        <v>1</v>
      </c>
      <c r="F101" s="32" t="s">
        <v>652</v>
      </c>
      <c r="G101" s="33"/>
      <c r="H101" s="43" t="str">
        <f>IFERROR(VLOOKUP(Grid_BD[[#This Row],[Affected System]],'Basic Data'!$A$54:$E$56,2,0),"")</f>
        <v/>
      </c>
      <c r="I101" s="43" t="str">
        <f>IFERROR(VLOOKUP(Grid_BD[[#This Row],[Affected System]],'Basic Data'!$A$54:$E$56,3,0),"")</f>
        <v/>
      </c>
      <c r="J101" s="43" t="str">
        <f>IFERROR(VLOOKUP(Grid_BD[[#This Row],[Affected System]],'Basic Data'!$A$54:$E$56,5,0),"")</f>
        <v/>
      </c>
      <c r="K101" s="55"/>
      <c r="L101" s="50"/>
      <c r="M101" s="50"/>
      <c r="N101" s="50"/>
      <c r="O101" s="44">
        <f>(Grid_BD[[#This Row],[Work Start TimeStamp]]-Grid_BD[[#This Row],[Fault Start TimeStamp]])*24</f>
        <v>0</v>
      </c>
      <c r="P101" s="44" t="str">
        <f>IF(Grid_BD[[#This Row],[Work Start TimeStamp]]="","",(Grid_BD[[#This Row],[Fault Clearance time]]-Grid_BD[[#This Row],[Work Start TimeStamp]])*24)</f>
        <v/>
      </c>
      <c r="Q101" s="44">
        <f>(Grid_BD[[#This Row],[Fault Clearance time]]-Grid_BD[[#This Row],[Fault Start TimeStamp]])*24</f>
        <v>0</v>
      </c>
      <c r="R101" s="36"/>
      <c r="S101" s="44"/>
      <c r="T101" s="45" t="str">
        <f>IFERROR(Grid_BD[[#This Row],[Breakdown Time]]*Grid_BD[[#This Row],[Plant Equivalent Weightage]],"")</f>
        <v/>
      </c>
      <c r="U101" s="441"/>
    </row>
    <row r="102" spans="1:21">
      <c r="A102" s="28">
        <f t="shared" si="3"/>
        <v>101</v>
      </c>
      <c r="B102" s="29"/>
      <c r="C102" s="30">
        <f>YEAR(Grid_BD[[#This Row],[Date]])+IF(MONTH(Grid_BD[[#This Row],[Date]])&gt;=4,1,0)</f>
        <v>1900</v>
      </c>
      <c r="D102" s="31">
        <f>YEAR(Grid_BD[[#This Row],[Date]])</f>
        <v>1900</v>
      </c>
      <c r="E102" s="48">
        <f t="shared" si="2"/>
        <v>1</v>
      </c>
      <c r="F102" s="32" t="s">
        <v>652</v>
      </c>
      <c r="G102" s="33"/>
      <c r="H102" s="43" t="str">
        <f>IFERROR(VLOOKUP(Grid_BD[[#This Row],[Affected System]],'Basic Data'!$A$54:$E$56,2,0),"")</f>
        <v/>
      </c>
      <c r="I102" s="43" t="str">
        <f>IFERROR(VLOOKUP(Grid_BD[[#This Row],[Affected System]],'Basic Data'!$A$54:$E$56,3,0),"")</f>
        <v/>
      </c>
      <c r="J102" s="43" t="str">
        <f>IFERROR(VLOOKUP(Grid_BD[[#This Row],[Affected System]],'Basic Data'!$A$54:$E$56,5,0),"")</f>
        <v/>
      </c>
      <c r="K102" s="55"/>
      <c r="L102" s="50"/>
      <c r="M102" s="50"/>
      <c r="N102" s="50"/>
      <c r="O102" s="44">
        <f>(Grid_BD[[#This Row],[Work Start TimeStamp]]-Grid_BD[[#This Row],[Fault Start TimeStamp]])*24</f>
        <v>0</v>
      </c>
      <c r="P102" s="44" t="str">
        <f>IF(Grid_BD[[#This Row],[Work Start TimeStamp]]="","",(Grid_BD[[#This Row],[Fault Clearance time]]-Grid_BD[[#This Row],[Work Start TimeStamp]])*24)</f>
        <v/>
      </c>
      <c r="Q102" s="44">
        <f>(Grid_BD[[#This Row],[Fault Clearance time]]-Grid_BD[[#This Row],[Fault Start TimeStamp]])*24</f>
        <v>0</v>
      </c>
      <c r="R102" s="36"/>
      <c r="S102" s="44"/>
      <c r="T102" s="45" t="str">
        <f>IFERROR(Grid_BD[[#This Row],[Breakdown Time]]*Grid_BD[[#This Row],[Plant Equivalent Weightage]],"")</f>
        <v/>
      </c>
      <c r="U102" s="441"/>
    </row>
    <row r="103" spans="1:21">
      <c r="A103" s="28">
        <f t="shared" si="3"/>
        <v>102</v>
      </c>
      <c r="B103" s="29"/>
      <c r="C103" s="30">
        <f>YEAR(Grid_BD[[#This Row],[Date]])+IF(MONTH(Grid_BD[[#This Row],[Date]])&gt;=4,1,0)</f>
        <v>1900</v>
      </c>
      <c r="D103" s="31">
        <f>YEAR(Grid_BD[[#This Row],[Date]])</f>
        <v>1900</v>
      </c>
      <c r="E103" s="48">
        <f t="shared" si="2"/>
        <v>1</v>
      </c>
      <c r="F103" s="32" t="s">
        <v>652</v>
      </c>
      <c r="G103" s="33"/>
      <c r="H103" s="43" t="str">
        <f>IFERROR(VLOOKUP(Grid_BD[[#This Row],[Affected System]],'Basic Data'!$A$54:$E$56,2,0),"")</f>
        <v/>
      </c>
      <c r="I103" s="43" t="str">
        <f>IFERROR(VLOOKUP(Grid_BD[[#This Row],[Affected System]],'Basic Data'!$A$54:$E$56,3,0),"")</f>
        <v/>
      </c>
      <c r="J103" s="43" t="str">
        <f>IFERROR(VLOOKUP(Grid_BD[[#This Row],[Affected System]],'Basic Data'!$A$54:$E$56,5,0),"")</f>
        <v/>
      </c>
      <c r="K103" s="55"/>
      <c r="L103" s="50"/>
      <c r="M103" s="50"/>
      <c r="N103" s="50"/>
      <c r="O103" s="44">
        <f>(Grid_BD[[#This Row],[Work Start TimeStamp]]-Grid_BD[[#This Row],[Fault Start TimeStamp]])*24</f>
        <v>0</v>
      </c>
      <c r="P103" s="44" t="str">
        <f>IF(Grid_BD[[#This Row],[Work Start TimeStamp]]="","",(Grid_BD[[#This Row],[Fault Clearance time]]-Grid_BD[[#This Row],[Work Start TimeStamp]])*24)</f>
        <v/>
      </c>
      <c r="Q103" s="44">
        <f>(Grid_BD[[#This Row],[Fault Clearance time]]-Grid_BD[[#This Row],[Fault Start TimeStamp]])*24</f>
        <v>0</v>
      </c>
      <c r="R103" s="36"/>
      <c r="S103" s="44"/>
      <c r="T103" s="45" t="str">
        <f>IFERROR(Grid_BD[[#This Row],[Breakdown Time]]*Grid_BD[[#This Row],[Plant Equivalent Weightage]],"")</f>
        <v/>
      </c>
      <c r="U103" s="441"/>
    </row>
    <row r="104" spans="1:21">
      <c r="A104" s="28">
        <f t="shared" si="3"/>
        <v>103</v>
      </c>
      <c r="B104" s="29"/>
      <c r="C104" s="30">
        <f>YEAR(Grid_BD[[#This Row],[Date]])+IF(MONTH(Grid_BD[[#This Row],[Date]])&gt;=4,1,0)</f>
        <v>1900</v>
      </c>
      <c r="D104" s="31">
        <f>YEAR(Grid_BD[[#This Row],[Date]])</f>
        <v>1900</v>
      </c>
      <c r="E104" s="48">
        <f t="shared" si="2"/>
        <v>1</v>
      </c>
      <c r="F104" s="32" t="s">
        <v>652</v>
      </c>
      <c r="G104" s="33"/>
      <c r="H104" s="43" t="str">
        <f>IFERROR(VLOOKUP(Grid_BD[[#This Row],[Affected System]],'Basic Data'!$A$54:$E$56,2,0),"")</f>
        <v/>
      </c>
      <c r="I104" s="43" t="str">
        <f>IFERROR(VLOOKUP(Grid_BD[[#This Row],[Affected System]],'Basic Data'!$A$54:$E$56,3,0),"")</f>
        <v/>
      </c>
      <c r="J104" s="43" t="str">
        <f>IFERROR(VLOOKUP(Grid_BD[[#This Row],[Affected System]],'Basic Data'!$A$54:$E$56,5,0),"")</f>
        <v/>
      </c>
      <c r="K104" s="55"/>
      <c r="L104" s="50"/>
      <c r="M104" s="50"/>
      <c r="N104" s="50"/>
      <c r="O104" s="44">
        <f>(Grid_BD[[#This Row],[Work Start TimeStamp]]-Grid_BD[[#This Row],[Fault Start TimeStamp]])*24</f>
        <v>0</v>
      </c>
      <c r="P104" s="44" t="str">
        <f>IF(Grid_BD[[#This Row],[Work Start TimeStamp]]="","",(Grid_BD[[#This Row],[Fault Clearance time]]-Grid_BD[[#This Row],[Work Start TimeStamp]])*24)</f>
        <v/>
      </c>
      <c r="Q104" s="44">
        <f>(Grid_BD[[#This Row],[Fault Clearance time]]-Grid_BD[[#This Row],[Fault Start TimeStamp]])*24</f>
        <v>0</v>
      </c>
      <c r="R104" s="36"/>
      <c r="S104" s="44"/>
      <c r="T104" s="45" t="str">
        <f>IFERROR(Grid_BD[[#This Row],[Breakdown Time]]*Grid_BD[[#This Row],[Plant Equivalent Weightage]],"")</f>
        <v/>
      </c>
      <c r="U104" s="441"/>
    </row>
    <row r="105" spans="1:21">
      <c r="A105" s="28">
        <f t="shared" si="3"/>
        <v>104</v>
      </c>
      <c r="B105" s="29"/>
      <c r="C105" s="30">
        <f>YEAR(Grid_BD[[#This Row],[Date]])+IF(MONTH(Grid_BD[[#This Row],[Date]])&gt;=4,1,0)</f>
        <v>1900</v>
      </c>
      <c r="D105" s="31">
        <f>YEAR(Grid_BD[[#This Row],[Date]])</f>
        <v>1900</v>
      </c>
      <c r="E105" s="48">
        <f t="shared" si="2"/>
        <v>1</v>
      </c>
      <c r="F105" s="32" t="s">
        <v>652</v>
      </c>
      <c r="G105" s="33"/>
      <c r="H105" s="43" t="str">
        <f>IFERROR(VLOOKUP(Grid_BD[[#This Row],[Affected System]],'Basic Data'!$A$54:$E$56,2,0),"")</f>
        <v/>
      </c>
      <c r="I105" s="43" t="str">
        <f>IFERROR(VLOOKUP(Grid_BD[[#This Row],[Affected System]],'Basic Data'!$A$54:$E$56,3,0),"")</f>
        <v/>
      </c>
      <c r="J105" s="43" t="str">
        <f>IFERROR(VLOOKUP(Grid_BD[[#This Row],[Affected System]],'Basic Data'!$A$54:$E$56,5,0),"")</f>
        <v/>
      </c>
      <c r="K105" s="55"/>
      <c r="L105" s="50"/>
      <c r="M105" s="50"/>
      <c r="N105" s="50"/>
      <c r="O105" s="44">
        <f>(Grid_BD[[#This Row],[Work Start TimeStamp]]-Grid_BD[[#This Row],[Fault Start TimeStamp]])*24</f>
        <v>0</v>
      </c>
      <c r="P105" s="44" t="str">
        <f>IF(Grid_BD[[#This Row],[Work Start TimeStamp]]="","",(Grid_BD[[#This Row],[Fault Clearance time]]-Grid_BD[[#This Row],[Work Start TimeStamp]])*24)</f>
        <v/>
      </c>
      <c r="Q105" s="44">
        <f>(Grid_BD[[#This Row],[Fault Clearance time]]-Grid_BD[[#This Row],[Fault Start TimeStamp]])*24</f>
        <v>0</v>
      </c>
      <c r="R105" s="36"/>
      <c r="S105" s="44"/>
      <c r="T105" s="45" t="str">
        <f>IFERROR(Grid_BD[[#This Row],[Breakdown Time]]*Grid_BD[[#This Row],[Plant Equivalent Weightage]],"")</f>
        <v/>
      </c>
      <c r="U105" s="441"/>
    </row>
    <row r="106" spans="1:21">
      <c r="A106" s="28">
        <f t="shared" si="3"/>
        <v>105</v>
      </c>
      <c r="B106" s="29"/>
      <c r="C106" s="30">
        <f>YEAR(Grid_BD[[#This Row],[Date]])+IF(MONTH(Grid_BD[[#This Row],[Date]])&gt;=4,1,0)</f>
        <v>1900</v>
      </c>
      <c r="D106" s="31">
        <f>YEAR(Grid_BD[[#This Row],[Date]])</f>
        <v>1900</v>
      </c>
      <c r="E106" s="48">
        <f t="shared" si="2"/>
        <v>1</v>
      </c>
      <c r="F106" s="32" t="s">
        <v>652</v>
      </c>
      <c r="G106" s="33"/>
      <c r="H106" s="43" t="str">
        <f>IFERROR(VLOOKUP(Grid_BD[[#This Row],[Affected System]],'Basic Data'!$A$54:$E$56,2,0),"")</f>
        <v/>
      </c>
      <c r="I106" s="43" t="str">
        <f>IFERROR(VLOOKUP(Grid_BD[[#This Row],[Affected System]],'Basic Data'!$A$54:$E$56,3,0),"")</f>
        <v/>
      </c>
      <c r="J106" s="43" t="str">
        <f>IFERROR(VLOOKUP(Grid_BD[[#This Row],[Affected System]],'Basic Data'!$A$54:$E$56,5,0),"")</f>
        <v/>
      </c>
      <c r="K106" s="55"/>
      <c r="L106" s="50"/>
      <c r="M106" s="50"/>
      <c r="N106" s="50"/>
      <c r="O106" s="44">
        <f>(Grid_BD[[#This Row],[Work Start TimeStamp]]-Grid_BD[[#This Row],[Fault Start TimeStamp]])*24</f>
        <v>0</v>
      </c>
      <c r="P106" s="44" t="str">
        <f>IF(Grid_BD[[#This Row],[Work Start TimeStamp]]="","",(Grid_BD[[#This Row],[Fault Clearance time]]-Grid_BD[[#This Row],[Work Start TimeStamp]])*24)</f>
        <v/>
      </c>
      <c r="Q106" s="44">
        <f>(Grid_BD[[#This Row],[Fault Clearance time]]-Grid_BD[[#This Row],[Fault Start TimeStamp]])*24</f>
        <v>0</v>
      </c>
      <c r="R106" s="36"/>
      <c r="S106" s="44"/>
      <c r="T106" s="45" t="str">
        <f>IFERROR(Grid_BD[[#This Row],[Breakdown Time]]*Grid_BD[[#This Row],[Plant Equivalent Weightage]],"")</f>
        <v/>
      </c>
      <c r="U106" s="441"/>
    </row>
    <row r="107" spans="1:21">
      <c r="A107" s="28">
        <f t="shared" si="3"/>
        <v>106</v>
      </c>
      <c r="B107" s="29"/>
      <c r="C107" s="30">
        <f>YEAR(Grid_BD[[#This Row],[Date]])+IF(MONTH(Grid_BD[[#This Row],[Date]])&gt;=4,1,0)</f>
        <v>1900</v>
      </c>
      <c r="D107" s="31">
        <f>YEAR(Grid_BD[[#This Row],[Date]])</f>
        <v>1900</v>
      </c>
      <c r="E107" s="48">
        <f t="shared" si="2"/>
        <v>1</v>
      </c>
      <c r="F107" s="32" t="s">
        <v>652</v>
      </c>
      <c r="G107" s="33"/>
      <c r="H107" s="43" t="str">
        <f>IFERROR(VLOOKUP(Grid_BD[[#This Row],[Affected System]],'Basic Data'!$A$54:$E$56,2,0),"")</f>
        <v/>
      </c>
      <c r="I107" s="43" t="str">
        <f>IFERROR(VLOOKUP(Grid_BD[[#This Row],[Affected System]],'Basic Data'!$A$54:$E$56,3,0),"")</f>
        <v/>
      </c>
      <c r="J107" s="43" t="str">
        <f>IFERROR(VLOOKUP(Grid_BD[[#This Row],[Affected System]],'Basic Data'!$A$54:$E$56,5,0),"")</f>
        <v/>
      </c>
      <c r="K107" s="55"/>
      <c r="L107" s="50"/>
      <c r="M107" s="50"/>
      <c r="N107" s="50"/>
      <c r="O107" s="44">
        <f>(Grid_BD[[#This Row],[Work Start TimeStamp]]-Grid_BD[[#This Row],[Fault Start TimeStamp]])*24</f>
        <v>0</v>
      </c>
      <c r="P107" s="44" t="str">
        <f>IF(Grid_BD[[#This Row],[Work Start TimeStamp]]="","",(Grid_BD[[#This Row],[Fault Clearance time]]-Grid_BD[[#This Row],[Work Start TimeStamp]])*24)</f>
        <v/>
      </c>
      <c r="Q107" s="44">
        <f>(Grid_BD[[#This Row],[Fault Clearance time]]-Grid_BD[[#This Row],[Fault Start TimeStamp]])*24</f>
        <v>0</v>
      </c>
      <c r="R107" s="36"/>
      <c r="S107" s="44"/>
      <c r="T107" s="45" t="str">
        <f>IFERROR(Grid_BD[[#This Row],[Breakdown Time]]*Grid_BD[[#This Row],[Plant Equivalent Weightage]],"")</f>
        <v/>
      </c>
      <c r="U107" s="441"/>
    </row>
    <row r="108" spans="1:21">
      <c r="A108" s="28">
        <f t="shared" si="3"/>
        <v>107</v>
      </c>
      <c r="B108" s="29"/>
      <c r="C108" s="30">
        <f>YEAR(Grid_BD[[#This Row],[Date]])+IF(MONTH(Grid_BD[[#This Row],[Date]])&gt;=4,1,0)</f>
        <v>1900</v>
      </c>
      <c r="D108" s="31">
        <f>YEAR(Grid_BD[[#This Row],[Date]])</f>
        <v>1900</v>
      </c>
      <c r="E108" s="48">
        <f t="shared" si="2"/>
        <v>1</v>
      </c>
      <c r="F108" s="32" t="s">
        <v>652</v>
      </c>
      <c r="G108" s="33"/>
      <c r="H108" s="43" t="str">
        <f>IFERROR(VLOOKUP(Grid_BD[[#This Row],[Affected System]],'Basic Data'!$A$54:$E$56,2,0),"")</f>
        <v/>
      </c>
      <c r="I108" s="43" t="str">
        <f>IFERROR(VLOOKUP(Grid_BD[[#This Row],[Affected System]],'Basic Data'!$A$54:$E$56,3,0),"")</f>
        <v/>
      </c>
      <c r="J108" s="43" t="str">
        <f>IFERROR(VLOOKUP(Grid_BD[[#This Row],[Affected System]],'Basic Data'!$A$54:$E$56,5,0),"")</f>
        <v/>
      </c>
      <c r="K108" s="55"/>
      <c r="L108" s="50"/>
      <c r="M108" s="50"/>
      <c r="N108" s="50"/>
      <c r="O108" s="44">
        <f>(Grid_BD[[#This Row],[Work Start TimeStamp]]-Grid_BD[[#This Row],[Fault Start TimeStamp]])*24</f>
        <v>0</v>
      </c>
      <c r="P108" s="44" t="str">
        <f>IF(Grid_BD[[#This Row],[Work Start TimeStamp]]="","",(Grid_BD[[#This Row],[Fault Clearance time]]-Grid_BD[[#This Row],[Work Start TimeStamp]])*24)</f>
        <v/>
      </c>
      <c r="Q108" s="44">
        <f>(Grid_BD[[#This Row],[Fault Clearance time]]-Grid_BD[[#This Row],[Fault Start TimeStamp]])*24</f>
        <v>0</v>
      </c>
      <c r="R108" s="36"/>
      <c r="S108" s="44"/>
      <c r="T108" s="45" t="str">
        <f>IFERROR(Grid_BD[[#This Row],[Breakdown Time]]*Grid_BD[[#This Row],[Plant Equivalent Weightage]],"")</f>
        <v/>
      </c>
      <c r="U108" s="441"/>
    </row>
    <row r="109" spans="1:21">
      <c r="A109" s="28">
        <f t="shared" si="3"/>
        <v>108</v>
      </c>
      <c r="B109" s="29"/>
      <c r="C109" s="30">
        <f>YEAR(Grid_BD[[#This Row],[Date]])+IF(MONTH(Grid_BD[[#This Row],[Date]])&gt;=4,1,0)</f>
        <v>1900</v>
      </c>
      <c r="D109" s="31">
        <f>YEAR(Grid_BD[[#This Row],[Date]])</f>
        <v>1900</v>
      </c>
      <c r="E109" s="48">
        <f t="shared" si="2"/>
        <v>1</v>
      </c>
      <c r="F109" s="32" t="s">
        <v>652</v>
      </c>
      <c r="G109" s="33"/>
      <c r="H109" s="43" t="str">
        <f>IFERROR(VLOOKUP(Grid_BD[[#This Row],[Affected System]],'Basic Data'!$A$54:$E$56,2,0),"")</f>
        <v/>
      </c>
      <c r="I109" s="43" t="str">
        <f>IFERROR(VLOOKUP(Grid_BD[[#This Row],[Affected System]],'Basic Data'!$A$54:$E$56,3,0),"")</f>
        <v/>
      </c>
      <c r="J109" s="43" t="str">
        <f>IFERROR(VLOOKUP(Grid_BD[[#This Row],[Affected System]],'Basic Data'!$A$54:$E$56,5,0),"")</f>
        <v/>
      </c>
      <c r="K109" s="55"/>
      <c r="L109" s="50"/>
      <c r="M109" s="50"/>
      <c r="N109" s="50"/>
      <c r="O109" s="44">
        <f>(Grid_BD[[#This Row],[Work Start TimeStamp]]-Grid_BD[[#This Row],[Fault Start TimeStamp]])*24</f>
        <v>0</v>
      </c>
      <c r="P109" s="44" t="str">
        <f>IF(Grid_BD[[#This Row],[Work Start TimeStamp]]="","",(Grid_BD[[#This Row],[Fault Clearance time]]-Grid_BD[[#This Row],[Work Start TimeStamp]])*24)</f>
        <v/>
      </c>
      <c r="Q109" s="44">
        <f>(Grid_BD[[#This Row],[Fault Clearance time]]-Grid_BD[[#This Row],[Fault Start TimeStamp]])*24</f>
        <v>0</v>
      </c>
      <c r="R109" s="36"/>
      <c r="S109" s="44"/>
      <c r="T109" s="45" t="str">
        <f>IFERROR(Grid_BD[[#This Row],[Breakdown Time]]*Grid_BD[[#This Row],[Plant Equivalent Weightage]],"")</f>
        <v/>
      </c>
      <c r="U109" s="441"/>
    </row>
    <row r="110" spans="1:21">
      <c r="A110" s="28">
        <f t="shared" si="3"/>
        <v>109</v>
      </c>
      <c r="B110" s="29"/>
      <c r="C110" s="30">
        <f>YEAR(Grid_BD[[#This Row],[Date]])+IF(MONTH(Grid_BD[[#This Row],[Date]])&gt;=4,1,0)</f>
        <v>1900</v>
      </c>
      <c r="D110" s="31">
        <f>YEAR(Grid_BD[[#This Row],[Date]])</f>
        <v>1900</v>
      </c>
      <c r="E110" s="48">
        <f t="shared" si="2"/>
        <v>1</v>
      </c>
      <c r="F110" s="32" t="s">
        <v>652</v>
      </c>
      <c r="G110" s="33"/>
      <c r="H110" s="43" t="str">
        <f>IFERROR(VLOOKUP(Grid_BD[[#This Row],[Affected System]],'Basic Data'!$A$54:$E$56,2,0),"")</f>
        <v/>
      </c>
      <c r="I110" s="43" t="str">
        <f>IFERROR(VLOOKUP(Grid_BD[[#This Row],[Affected System]],'Basic Data'!$A$54:$E$56,3,0),"")</f>
        <v/>
      </c>
      <c r="J110" s="43" t="str">
        <f>IFERROR(VLOOKUP(Grid_BD[[#This Row],[Affected System]],'Basic Data'!$A$54:$E$56,5,0),"")</f>
        <v/>
      </c>
      <c r="K110" s="55"/>
      <c r="L110" s="50"/>
      <c r="M110" s="50"/>
      <c r="N110" s="50"/>
      <c r="O110" s="44">
        <f>(Grid_BD[[#This Row],[Work Start TimeStamp]]-Grid_BD[[#This Row],[Fault Start TimeStamp]])*24</f>
        <v>0</v>
      </c>
      <c r="P110" s="44" t="str">
        <f>IF(Grid_BD[[#This Row],[Work Start TimeStamp]]="","",(Grid_BD[[#This Row],[Fault Clearance time]]-Grid_BD[[#This Row],[Work Start TimeStamp]])*24)</f>
        <v/>
      </c>
      <c r="Q110" s="44">
        <f>(Grid_BD[[#This Row],[Fault Clearance time]]-Grid_BD[[#This Row],[Fault Start TimeStamp]])*24</f>
        <v>0</v>
      </c>
      <c r="R110" s="36"/>
      <c r="S110" s="44"/>
      <c r="T110" s="45" t="str">
        <f>IFERROR(Grid_BD[[#This Row],[Breakdown Time]]*Grid_BD[[#This Row],[Plant Equivalent Weightage]],"")</f>
        <v/>
      </c>
      <c r="U110" s="441"/>
    </row>
    <row r="111" spans="1:21">
      <c r="A111" s="28">
        <f t="shared" si="3"/>
        <v>110</v>
      </c>
      <c r="B111" s="29"/>
      <c r="C111" s="30">
        <f>YEAR(Grid_BD[[#This Row],[Date]])+IF(MONTH(Grid_BD[[#This Row],[Date]])&gt;=4,1,0)</f>
        <v>1900</v>
      </c>
      <c r="D111" s="31">
        <f>YEAR(Grid_BD[[#This Row],[Date]])</f>
        <v>1900</v>
      </c>
      <c r="E111" s="48">
        <f t="shared" si="2"/>
        <v>1</v>
      </c>
      <c r="F111" s="32" t="s">
        <v>652</v>
      </c>
      <c r="G111" s="33"/>
      <c r="H111" s="43" t="str">
        <f>IFERROR(VLOOKUP(Grid_BD[[#This Row],[Affected System]],'Basic Data'!$A$54:$E$56,2,0),"")</f>
        <v/>
      </c>
      <c r="I111" s="43" t="str">
        <f>IFERROR(VLOOKUP(Grid_BD[[#This Row],[Affected System]],'Basic Data'!$A$54:$E$56,3,0),"")</f>
        <v/>
      </c>
      <c r="J111" s="43" t="str">
        <f>IFERROR(VLOOKUP(Grid_BD[[#This Row],[Affected System]],'Basic Data'!$A$54:$E$56,5,0),"")</f>
        <v/>
      </c>
      <c r="K111" s="55"/>
      <c r="L111" s="50"/>
      <c r="M111" s="50"/>
      <c r="N111" s="50"/>
      <c r="O111" s="44">
        <f>(Grid_BD[[#This Row],[Work Start TimeStamp]]-Grid_BD[[#This Row],[Fault Start TimeStamp]])*24</f>
        <v>0</v>
      </c>
      <c r="P111" s="44" t="str">
        <f>IF(Grid_BD[[#This Row],[Work Start TimeStamp]]="","",(Grid_BD[[#This Row],[Fault Clearance time]]-Grid_BD[[#This Row],[Work Start TimeStamp]])*24)</f>
        <v/>
      </c>
      <c r="Q111" s="44">
        <f>(Grid_BD[[#This Row],[Fault Clearance time]]-Grid_BD[[#This Row],[Fault Start TimeStamp]])*24</f>
        <v>0</v>
      </c>
      <c r="R111" s="36"/>
      <c r="S111" s="44"/>
      <c r="T111" s="45" t="str">
        <f>IFERROR(Grid_BD[[#This Row],[Breakdown Time]]*Grid_BD[[#This Row],[Plant Equivalent Weightage]],"")</f>
        <v/>
      </c>
      <c r="U111" s="441"/>
    </row>
    <row r="112" spans="1:21">
      <c r="A112" s="28">
        <f t="shared" si="3"/>
        <v>111</v>
      </c>
      <c r="B112" s="29"/>
      <c r="C112" s="30">
        <f>YEAR(Grid_BD[[#This Row],[Date]])+IF(MONTH(Grid_BD[[#This Row],[Date]])&gt;=4,1,0)</f>
        <v>1900</v>
      </c>
      <c r="D112" s="31">
        <f>YEAR(Grid_BD[[#This Row],[Date]])</f>
        <v>1900</v>
      </c>
      <c r="E112" s="48">
        <f t="shared" si="2"/>
        <v>1</v>
      </c>
      <c r="F112" s="32" t="s">
        <v>652</v>
      </c>
      <c r="G112" s="33"/>
      <c r="H112" s="43" t="str">
        <f>IFERROR(VLOOKUP(Grid_BD[[#This Row],[Affected System]],'Basic Data'!$A$54:$E$56,2,0),"")</f>
        <v/>
      </c>
      <c r="I112" s="43" t="str">
        <f>IFERROR(VLOOKUP(Grid_BD[[#This Row],[Affected System]],'Basic Data'!$A$54:$E$56,3,0),"")</f>
        <v/>
      </c>
      <c r="J112" s="43" t="str">
        <f>IFERROR(VLOOKUP(Grid_BD[[#This Row],[Affected System]],'Basic Data'!$A$54:$E$56,5,0),"")</f>
        <v/>
      </c>
      <c r="K112" s="55"/>
      <c r="L112" s="50"/>
      <c r="M112" s="50"/>
      <c r="N112" s="50"/>
      <c r="O112" s="57">
        <f>(Grid_BD[[#This Row],[Work Start TimeStamp]]-Grid_BD[[#This Row],[Fault Start TimeStamp]])*24</f>
        <v>0</v>
      </c>
      <c r="P112" s="44" t="str">
        <f>IF(Grid_BD[[#This Row],[Work Start TimeStamp]]="","",(Grid_BD[[#This Row],[Fault Clearance time]]-Grid_BD[[#This Row],[Work Start TimeStamp]])*24)</f>
        <v/>
      </c>
      <c r="Q112" s="57">
        <f>(Grid_BD[[#This Row],[Fault Clearance time]]-Grid_BD[[#This Row],[Fault Start TimeStamp]])*24</f>
        <v>0</v>
      </c>
      <c r="R112" s="36"/>
      <c r="S112" s="44"/>
      <c r="T112" s="45" t="str">
        <f>IFERROR(Grid_BD[[#This Row],[Breakdown Time]]*Grid_BD[[#This Row],[Plant Equivalent Weightage]],"")</f>
        <v/>
      </c>
      <c r="U112" s="441"/>
    </row>
    <row r="113" spans="1:21">
      <c r="A113" s="28">
        <f t="shared" si="3"/>
        <v>112</v>
      </c>
      <c r="B113" s="29"/>
      <c r="C113" s="30">
        <f>YEAR(Grid_BD[[#This Row],[Date]])+IF(MONTH(Grid_BD[[#This Row],[Date]])&gt;=4,1,0)</f>
        <v>1900</v>
      </c>
      <c r="D113" s="31">
        <f>YEAR(Grid_BD[[#This Row],[Date]])</f>
        <v>1900</v>
      </c>
      <c r="E113" s="48">
        <f t="shared" si="2"/>
        <v>1</v>
      </c>
      <c r="F113" s="32" t="s">
        <v>652</v>
      </c>
      <c r="G113" s="33"/>
      <c r="H113" s="43" t="str">
        <f>IFERROR(VLOOKUP(Grid_BD[[#This Row],[Affected System]],'Basic Data'!$A$54:$E$56,2,0),"")</f>
        <v/>
      </c>
      <c r="I113" s="43" t="str">
        <f>IFERROR(VLOOKUP(Grid_BD[[#This Row],[Affected System]],'Basic Data'!$A$54:$E$56,3,0),"")</f>
        <v/>
      </c>
      <c r="J113" s="43" t="str">
        <f>IFERROR(VLOOKUP(Grid_BD[[#This Row],[Affected System]],'Basic Data'!$A$54:$E$56,5,0),"")</f>
        <v/>
      </c>
      <c r="K113" s="55"/>
      <c r="L113" s="50"/>
      <c r="M113" s="50"/>
      <c r="N113" s="50"/>
      <c r="O113" s="57">
        <f>(Grid_BD[[#This Row],[Work Start TimeStamp]]-Grid_BD[[#This Row],[Fault Start TimeStamp]])*24</f>
        <v>0</v>
      </c>
      <c r="P113" s="44" t="str">
        <f>IF(Grid_BD[[#This Row],[Work Start TimeStamp]]="","",(Grid_BD[[#This Row],[Fault Clearance time]]-Grid_BD[[#This Row],[Work Start TimeStamp]])*24)</f>
        <v/>
      </c>
      <c r="Q113" s="57">
        <f>(Grid_BD[[#This Row],[Fault Clearance time]]-Grid_BD[[#This Row],[Fault Start TimeStamp]])*24</f>
        <v>0</v>
      </c>
      <c r="R113" s="36"/>
      <c r="S113" s="44"/>
      <c r="T113" s="45" t="str">
        <f>IFERROR(Grid_BD[[#This Row],[Breakdown Time]]*Grid_BD[[#This Row],[Plant Equivalent Weightage]],"")</f>
        <v/>
      </c>
      <c r="U113" s="441"/>
    </row>
    <row r="114" spans="1:21">
      <c r="A114" s="28">
        <f t="shared" si="3"/>
        <v>113</v>
      </c>
      <c r="B114" s="29"/>
      <c r="C114" s="30">
        <f>YEAR(Grid_BD[[#This Row],[Date]])+IF(MONTH(Grid_BD[[#This Row],[Date]])&gt;=4,1,0)</f>
        <v>1900</v>
      </c>
      <c r="D114" s="31">
        <f>YEAR(Grid_BD[[#This Row],[Date]])</f>
        <v>1900</v>
      </c>
      <c r="E114" s="48">
        <f t="shared" si="2"/>
        <v>1</v>
      </c>
      <c r="F114" s="32" t="s">
        <v>652</v>
      </c>
      <c r="G114" s="33"/>
      <c r="H114" s="43" t="str">
        <f>IFERROR(VLOOKUP(Grid_BD[[#This Row],[Affected System]],'Basic Data'!$A$54:$E$56,2,0),"")</f>
        <v/>
      </c>
      <c r="I114" s="43" t="str">
        <f>IFERROR(VLOOKUP(Grid_BD[[#This Row],[Affected System]],'Basic Data'!$A$54:$E$56,3,0),"")</f>
        <v/>
      </c>
      <c r="J114" s="43" t="str">
        <f>IFERROR(VLOOKUP(Grid_BD[[#This Row],[Affected System]],'Basic Data'!$A$54:$E$56,5,0),"")</f>
        <v/>
      </c>
      <c r="K114" s="55"/>
      <c r="L114" s="50"/>
      <c r="M114" s="50"/>
      <c r="N114" s="50"/>
      <c r="O114" s="57">
        <f>(Grid_BD[[#This Row],[Work Start TimeStamp]]-Grid_BD[[#This Row],[Fault Start TimeStamp]])*24</f>
        <v>0</v>
      </c>
      <c r="P114" s="44" t="str">
        <f>IF(Grid_BD[[#This Row],[Work Start TimeStamp]]="","",(Grid_BD[[#This Row],[Fault Clearance time]]-Grid_BD[[#This Row],[Work Start TimeStamp]])*24)</f>
        <v/>
      </c>
      <c r="Q114" s="57">
        <f>(Grid_BD[[#This Row],[Fault Clearance time]]-Grid_BD[[#This Row],[Fault Start TimeStamp]])*24</f>
        <v>0</v>
      </c>
      <c r="R114" s="36"/>
      <c r="S114" s="44"/>
      <c r="T114" s="45" t="str">
        <f>IFERROR(Grid_BD[[#This Row],[Breakdown Time]]*Grid_BD[[#This Row],[Plant Equivalent Weightage]],"")</f>
        <v/>
      </c>
      <c r="U114" s="441"/>
    </row>
    <row r="115" spans="1:21">
      <c r="A115" s="28">
        <f t="shared" si="3"/>
        <v>114</v>
      </c>
      <c r="B115" s="29"/>
      <c r="C115" s="30">
        <f>YEAR(Grid_BD[[#This Row],[Date]])+IF(MONTH(Grid_BD[[#This Row],[Date]])&gt;=4,1,0)</f>
        <v>1900</v>
      </c>
      <c r="D115" s="31">
        <f>YEAR(Grid_BD[[#This Row],[Date]])</f>
        <v>1900</v>
      </c>
      <c r="E115" s="48">
        <f t="shared" si="2"/>
        <v>1</v>
      </c>
      <c r="F115" s="32" t="s">
        <v>652</v>
      </c>
      <c r="G115" s="33"/>
      <c r="H115" s="43" t="str">
        <f>IFERROR(VLOOKUP(Grid_BD[[#This Row],[Affected System]],'Basic Data'!$A$54:$E$56,2,0),"")</f>
        <v/>
      </c>
      <c r="I115" s="43" t="str">
        <f>IFERROR(VLOOKUP(Grid_BD[[#This Row],[Affected System]],'Basic Data'!$A$54:$E$56,3,0),"")</f>
        <v/>
      </c>
      <c r="J115" s="43" t="str">
        <f>IFERROR(VLOOKUP(Grid_BD[[#This Row],[Affected System]],'Basic Data'!$A$54:$E$56,5,0),"")</f>
        <v/>
      </c>
      <c r="K115" s="55"/>
      <c r="L115" s="50"/>
      <c r="M115" s="50"/>
      <c r="N115" s="50"/>
      <c r="O115" s="57">
        <f>(Grid_BD[[#This Row],[Work Start TimeStamp]]-Grid_BD[[#This Row],[Fault Start TimeStamp]])*24</f>
        <v>0</v>
      </c>
      <c r="P115" s="44" t="str">
        <f>IF(Grid_BD[[#This Row],[Work Start TimeStamp]]="","",(Grid_BD[[#This Row],[Fault Clearance time]]-Grid_BD[[#This Row],[Work Start TimeStamp]])*24)</f>
        <v/>
      </c>
      <c r="Q115" s="57">
        <f>(Grid_BD[[#This Row],[Fault Clearance time]]-Grid_BD[[#This Row],[Fault Start TimeStamp]])*24</f>
        <v>0</v>
      </c>
      <c r="R115" s="36"/>
      <c r="S115" s="44"/>
      <c r="T115" s="45" t="str">
        <f>IFERROR(Grid_BD[[#This Row],[Breakdown Time]]*Grid_BD[[#This Row],[Plant Equivalent Weightage]],"")</f>
        <v/>
      </c>
      <c r="U115" s="441"/>
    </row>
    <row r="116" spans="1:21">
      <c r="A116" s="28">
        <f t="shared" si="3"/>
        <v>115</v>
      </c>
      <c r="B116" s="29"/>
      <c r="C116" s="30">
        <f>YEAR(Grid_BD[[#This Row],[Date]])+IF(MONTH(Grid_BD[[#This Row],[Date]])&gt;=4,1,0)</f>
        <v>1900</v>
      </c>
      <c r="D116" s="31">
        <f>YEAR(Grid_BD[[#This Row],[Date]])</f>
        <v>1900</v>
      </c>
      <c r="E116" s="48">
        <f t="shared" si="2"/>
        <v>1</v>
      </c>
      <c r="F116" s="32" t="s">
        <v>652</v>
      </c>
      <c r="G116" s="33"/>
      <c r="H116" s="43" t="str">
        <f>IFERROR(VLOOKUP(Grid_BD[[#This Row],[Affected System]],'Basic Data'!$A$54:$E$56,2,0),"")</f>
        <v/>
      </c>
      <c r="I116" s="43" t="str">
        <f>IFERROR(VLOOKUP(Grid_BD[[#This Row],[Affected System]],'Basic Data'!$A$54:$E$56,3,0),"")</f>
        <v/>
      </c>
      <c r="J116" s="43" t="str">
        <f>IFERROR(VLOOKUP(Grid_BD[[#This Row],[Affected System]],'Basic Data'!$A$54:$E$56,5,0),"")</f>
        <v/>
      </c>
      <c r="K116" s="55"/>
      <c r="L116" s="50"/>
      <c r="M116" s="50"/>
      <c r="N116" s="50"/>
      <c r="O116" s="57">
        <f>(Grid_BD[[#This Row],[Work Start TimeStamp]]-Grid_BD[[#This Row],[Fault Start TimeStamp]])*24</f>
        <v>0</v>
      </c>
      <c r="P116" s="44" t="str">
        <f>IF(Grid_BD[[#This Row],[Work Start TimeStamp]]="","",(Grid_BD[[#This Row],[Fault Clearance time]]-Grid_BD[[#This Row],[Work Start TimeStamp]])*24)</f>
        <v/>
      </c>
      <c r="Q116" s="57">
        <f>(Grid_BD[[#This Row],[Fault Clearance time]]-Grid_BD[[#This Row],[Fault Start TimeStamp]])*24</f>
        <v>0</v>
      </c>
      <c r="R116" s="36"/>
      <c r="S116" s="44"/>
      <c r="T116" s="45" t="str">
        <f>IFERROR(Grid_BD[[#This Row],[Breakdown Time]]*Grid_BD[[#This Row],[Plant Equivalent Weightage]],"")</f>
        <v/>
      </c>
      <c r="U116" s="441"/>
    </row>
    <row r="117" spans="1:21">
      <c r="A117" s="28">
        <f t="shared" si="3"/>
        <v>116</v>
      </c>
      <c r="B117" s="29"/>
      <c r="C117" s="30">
        <f>YEAR(Grid_BD[[#This Row],[Date]])+IF(MONTH(Grid_BD[[#This Row],[Date]])&gt;=4,1,0)</f>
        <v>1900</v>
      </c>
      <c r="D117" s="31">
        <f>YEAR(Grid_BD[[#This Row],[Date]])</f>
        <v>1900</v>
      </c>
      <c r="E117" s="48">
        <f t="shared" si="2"/>
        <v>1</v>
      </c>
      <c r="F117" s="32" t="s">
        <v>652</v>
      </c>
      <c r="G117" s="33"/>
      <c r="H117" s="43" t="str">
        <f>IFERROR(VLOOKUP(Grid_BD[[#This Row],[Affected System]],'Basic Data'!$A$54:$E$56,2,0),"")</f>
        <v/>
      </c>
      <c r="I117" s="43" t="str">
        <f>IFERROR(VLOOKUP(Grid_BD[[#This Row],[Affected System]],'Basic Data'!$A$54:$E$56,3,0),"")</f>
        <v/>
      </c>
      <c r="J117" s="43" t="str">
        <f>IFERROR(VLOOKUP(Grid_BD[[#This Row],[Affected System]],'Basic Data'!$A$54:$E$56,5,0),"")</f>
        <v/>
      </c>
      <c r="K117" s="55"/>
      <c r="L117" s="50"/>
      <c r="M117" s="50"/>
      <c r="N117" s="50"/>
      <c r="O117" s="57">
        <f>(Grid_BD[[#This Row],[Work Start TimeStamp]]-Grid_BD[[#This Row],[Fault Start TimeStamp]])*24</f>
        <v>0</v>
      </c>
      <c r="P117" s="44" t="str">
        <f>IF(Grid_BD[[#This Row],[Work Start TimeStamp]]="","",(Grid_BD[[#This Row],[Fault Clearance time]]-Grid_BD[[#This Row],[Work Start TimeStamp]])*24)</f>
        <v/>
      </c>
      <c r="Q117" s="57">
        <f>(Grid_BD[[#This Row],[Fault Clearance time]]-Grid_BD[[#This Row],[Fault Start TimeStamp]])*24</f>
        <v>0</v>
      </c>
      <c r="R117" s="36"/>
      <c r="S117" s="44"/>
      <c r="T117" s="45" t="str">
        <f>IFERROR(Grid_BD[[#This Row],[Breakdown Time]]*Grid_BD[[#This Row],[Plant Equivalent Weightage]],"")</f>
        <v/>
      </c>
      <c r="U117" s="441"/>
    </row>
    <row r="118" spans="1:21">
      <c r="A118" s="28">
        <f t="shared" si="3"/>
        <v>117</v>
      </c>
      <c r="B118" s="29"/>
      <c r="C118" s="30">
        <f>YEAR(Grid_BD[[#This Row],[Date]])+IF(MONTH(Grid_BD[[#This Row],[Date]])&gt;=4,1,0)</f>
        <v>1900</v>
      </c>
      <c r="D118" s="31">
        <f>YEAR(Grid_BD[[#This Row],[Date]])</f>
        <v>1900</v>
      </c>
      <c r="E118" s="48">
        <f t="shared" si="2"/>
        <v>1</v>
      </c>
      <c r="F118" s="32" t="s">
        <v>652</v>
      </c>
      <c r="G118" s="33"/>
      <c r="H118" s="43" t="str">
        <f>IFERROR(VLOOKUP(Grid_BD[[#This Row],[Affected System]],'Basic Data'!$A$54:$E$56,2,0),"")</f>
        <v/>
      </c>
      <c r="I118" s="43" t="str">
        <f>IFERROR(VLOOKUP(Grid_BD[[#This Row],[Affected System]],'Basic Data'!$A$54:$E$56,3,0),"")</f>
        <v/>
      </c>
      <c r="J118" s="43" t="str">
        <f>IFERROR(VLOOKUP(Grid_BD[[#This Row],[Affected System]],'Basic Data'!$A$54:$E$56,5,0),"")</f>
        <v/>
      </c>
      <c r="K118" s="55"/>
      <c r="L118" s="50"/>
      <c r="M118" s="50"/>
      <c r="N118" s="50"/>
      <c r="O118" s="57">
        <f>(Grid_BD[[#This Row],[Work Start TimeStamp]]-Grid_BD[[#This Row],[Fault Start TimeStamp]])*24</f>
        <v>0</v>
      </c>
      <c r="P118" s="44" t="str">
        <f>IF(Grid_BD[[#This Row],[Work Start TimeStamp]]="","",(Grid_BD[[#This Row],[Fault Clearance time]]-Grid_BD[[#This Row],[Work Start TimeStamp]])*24)</f>
        <v/>
      </c>
      <c r="Q118" s="57">
        <f>(Grid_BD[[#This Row],[Fault Clearance time]]-Grid_BD[[#This Row],[Fault Start TimeStamp]])*24</f>
        <v>0</v>
      </c>
      <c r="R118" s="36"/>
      <c r="S118" s="44"/>
      <c r="T118" s="45" t="str">
        <f>IFERROR(Grid_BD[[#This Row],[Breakdown Time]]*Grid_BD[[#This Row],[Plant Equivalent Weightage]],"")</f>
        <v/>
      </c>
      <c r="U118" s="441"/>
    </row>
    <row r="119" spans="1:21">
      <c r="A119" s="28">
        <f t="shared" si="3"/>
        <v>118</v>
      </c>
      <c r="B119" s="29"/>
      <c r="C119" s="30">
        <f>YEAR(Grid_BD[[#This Row],[Date]])+IF(MONTH(Grid_BD[[#This Row],[Date]])&gt;=4,1,0)</f>
        <v>1900</v>
      </c>
      <c r="D119" s="31">
        <f>YEAR(Grid_BD[[#This Row],[Date]])</f>
        <v>1900</v>
      </c>
      <c r="E119" s="48">
        <f t="shared" si="2"/>
        <v>1</v>
      </c>
      <c r="F119" s="32" t="s">
        <v>652</v>
      </c>
      <c r="G119" s="33"/>
      <c r="H119" s="43" t="str">
        <f>IFERROR(VLOOKUP(Grid_BD[[#This Row],[Affected System]],'Basic Data'!$A$54:$E$56,2,0),"")</f>
        <v/>
      </c>
      <c r="I119" s="43" t="str">
        <f>IFERROR(VLOOKUP(Grid_BD[[#This Row],[Affected System]],'Basic Data'!$A$54:$E$56,3,0),"")</f>
        <v/>
      </c>
      <c r="J119" s="43" t="str">
        <f>IFERROR(VLOOKUP(Grid_BD[[#This Row],[Affected System]],'Basic Data'!$A$54:$E$56,5,0),"")</f>
        <v/>
      </c>
      <c r="K119" s="55"/>
      <c r="L119" s="50"/>
      <c r="M119" s="50"/>
      <c r="N119" s="50"/>
      <c r="O119" s="57">
        <f>(Grid_BD[[#This Row],[Work Start TimeStamp]]-Grid_BD[[#This Row],[Fault Start TimeStamp]])*24</f>
        <v>0</v>
      </c>
      <c r="P119" s="44" t="str">
        <f>IF(Grid_BD[[#This Row],[Work Start TimeStamp]]="","",(Grid_BD[[#This Row],[Fault Clearance time]]-Grid_BD[[#This Row],[Work Start TimeStamp]])*24)</f>
        <v/>
      </c>
      <c r="Q119" s="57">
        <f>(Grid_BD[[#This Row],[Fault Clearance time]]-Grid_BD[[#This Row],[Fault Start TimeStamp]])*24</f>
        <v>0</v>
      </c>
      <c r="R119" s="36"/>
      <c r="S119" s="44"/>
      <c r="T119" s="45" t="str">
        <f>IFERROR(Grid_BD[[#This Row],[Breakdown Time]]*Grid_BD[[#This Row],[Plant Equivalent Weightage]],"")</f>
        <v/>
      </c>
      <c r="U119" s="441"/>
    </row>
    <row r="120" spans="1:21">
      <c r="A120" s="28">
        <f t="shared" si="3"/>
        <v>119</v>
      </c>
      <c r="B120" s="29"/>
      <c r="C120" s="30">
        <f>YEAR(Grid_BD[[#This Row],[Date]])+IF(MONTH(Grid_BD[[#This Row],[Date]])&gt;=4,1,0)</f>
        <v>1900</v>
      </c>
      <c r="D120" s="31">
        <f>YEAR(Grid_BD[[#This Row],[Date]])</f>
        <v>1900</v>
      </c>
      <c r="E120" s="48">
        <f t="shared" si="2"/>
        <v>1</v>
      </c>
      <c r="F120" s="32" t="s">
        <v>652</v>
      </c>
      <c r="G120" s="33"/>
      <c r="H120" s="43" t="str">
        <f>IFERROR(VLOOKUP(Grid_BD[[#This Row],[Affected System]],'Basic Data'!$A$54:$E$56,2,0),"")</f>
        <v/>
      </c>
      <c r="I120" s="43" t="str">
        <f>IFERROR(VLOOKUP(Grid_BD[[#This Row],[Affected System]],'Basic Data'!$A$54:$E$56,3,0),"")</f>
        <v/>
      </c>
      <c r="J120" s="43" t="str">
        <f>IFERROR(VLOOKUP(Grid_BD[[#This Row],[Affected System]],'Basic Data'!$A$54:$E$56,5,0),"")</f>
        <v/>
      </c>
      <c r="K120" s="55"/>
      <c r="L120" s="50"/>
      <c r="M120" s="50"/>
      <c r="N120" s="50"/>
      <c r="O120" s="57">
        <f>(Grid_BD[[#This Row],[Work Start TimeStamp]]-Grid_BD[[#This Row],[Fault Start TimeStamp]])*24</f>
        <v>0</v>
      </c>
      <c r="P120" s="44" t="str">
        <f>IF(Grid_BD[[#This Row],[Work Start TimeStamp]]="","",(Grid_BD[[#This Row],[Fault Clearance time]]-Grid_BD[[#This Row],[Work Start TimeStamp]])*24)</f>
        <v/>
      </c>
      <c r="Q120" s="57">
        <f>(Grid_BD[[#This Row],[Fault Clearance time]]-Grid_BD[[#This Row],[Fault Start TimeStamp]])*24</f>
        <v>0</v>
      </c>
      <c r="R120" s="36"/>
      <c r="S120" s="44"/>
      <c r="T120" s="45" t="str">
        <f>IFERROR(Grid_BD[[#This Row],[Breakdown Time]]*Grid_BD[[#This Row],[Plant Equivalent Weightage]],"")</f>
        <v/>
      </c>
      <c r="U120" s="441"/>
    </row>
    <row r="121" spans="1:21">
      <c r="A121" s="28">
        <f t="shared" si="3"/>
        <v>120</v>
      </c>
      <c r="B121" s="29"/>
      <c r="C121" s="30">
        <f>YEAR(Grid_BD[[#This Row],[Date]])+IF(MONTH(Grid_BD[[#This Row],[Date]])&gt;=4,1,0)</f>
        <v>1900</v>
      </c>
      <c r="D121" s="31">
        <f>YEAR(Grid_BD[[#This Row],[Date]])</f>
        <v>1900</v>
      </c>
      <c r="E121" s="48">
        <f t="shared" si="2"/>
        <v>1</v>
      </c>
      <c r="F121" s="32" t="s">
        <v>652</v>
      </c>
      <c r="G121" s="33"/>
      <c r="H121" s="43" t="str">
        <f>IFERROR(VLOOKUP(Grid_BD[[#This Row],[Affected System]],'Basic Data'!$A$54:$E$56,2,0),"")</f>
        <v/>
      </c>
      <c r="I121" s="43" t="str">
        <f>IFERROR(VLOOKUP(Grid_BD[[#This Row],[Affected System]],'Basic Data'!$A$54:$E$56,3,0),"")</f>
        <v/>
      </c>
      <c r="J121" s="43" t="str">
        <f>IFERROR(VLOOKUP(Grid_BD[[#This Row],[Affected System]],'Basic Data'!$A$54:$E$56,5,0),"")</f>
        <v/>
      </c>
      <c r="K121" s="55"/>
      <c r="L121" s="50"/>
      <c r="M121" s="50"/>
      <c r="N121" s="50"/>
      <c r="O121" s="57">
        <f>(Grid_BD[[#This Row],[Work Start TimeStamp]]-Grid_BD[[#This Row],[Fault Start TimeStamp]])*24</f>
        <v>0</v>
      </c>
      <c r="P121" s="44" t="str">
        <f>IF(Grid_BD[[#This Row],[Work Start TimeStamp]]="","",(Grid_BD[[#This Row],[Fault Clearance time]]-Grid_BD[[#This Row],[Work Start TimeStamp]])*24)</f>
        <v/>
      </c>
      <c r="Q121" s="57">
        <f>(Grid_BD[[#This Row],[Fault Clearance time]]-Grid_BD[[#This Row],[Fault Start TimeStamp]])*24</f>
        <v>0</v>
      </c>
      <c r="R121" s="36"/>
      <c r="S121" s="44"/>
      <c r="T121" s="45" t="str">
        <f>IFERROR(Grid_BD[[#This Row],[Breakdown Time]]*Grid_BD[[#This Row],[Plant Equivalent Weightage]],"")</f>
        <v/>
      </c>
      <c r="U121" s="441"/>
    </row>
    <row r="122" spans="1:21">
      <c r="A122" s="28">
        <f t="shared" si="3"/>
        <v>121</v>
      </c>
      <c r="B122" s="29"/>
      <c r="C122" s="30">
        <f>YEAR(Grid_BD[[#This Row],[Date]])+IF(MONTH(Grid_BD[[#This Row],[Date]])&gt;=4,1,0)</f>
        <v>1900</v>
      </c>
      <c r="D122" s="31">
        <f>YEAR(Grid_BD[[#This Row],[Date]])</f>
        <v>1900</v>
      </c>
      <c r="E122" s="48">
        <f t="shared" si="2"/>
        <v>1</v>
      </c>
      <c r="F122" s="32" t="s">
        <v>652</v>
      </c>
      <c r="G122" s="33"/>
      <c r="H122" s="43" t="str">
        <f>IFERROR(VLOOKUP(Grid_BD[[#This Row],[Affected System]],'Basic Data'!$A$54:$E$56,2,0),"")</f>
        <v/>
      </c>
      <c r="I122" s="43" t="str">
        <f>IFERROR(VLOOKUP(Grid_BD[[#This Row],[Affected System]],'Basic Data'!$A$54:$E$56,3,0),"")</f>
        <v/>
      </c>
      <c r="J122" s="43" t="str">
        <f>IFERROR(VLOOKUP(Grid_BD[[#This Row],[Affected System]],'Basic Data'!$A$54:$E$56,5,0),"")</f>
        <v/>
      </c>
      <c r="K122" s="55"/>
      <c r="L122" s="50"/>
      <c r="M122" s="50"/>
      <c r="N122" s="50"/>
      <c r="O122" s="57">
        <f>(Grid_BD[[#This Row],[Work Start TimeStamp]]-Grid_BD[[#This Row],[Fault Start TimeStamp]])*24</f>
        <v>0</v>
      </c>
      <c r="P122" s="44" t="str">
        <f>IF(Grid_BD[[#This Row],[Work Start TimeStamp]]="","",(Grid_BD[[#This Row],[Fault Clearance time]]-Grid_BD[[#This Row],[Work Start TimeStamp]])*24)</f>
        <v/>
      </c>
      <c r="Q122" s="57">
        <f>(Grid_BD[[#This Row],[Fault Clearance time]]-Grid_BD[[#This Row],[Fault Start TimeStamp]])*24</f>
        <v>0</v>
      </c>
      <c r="R122" s="36"/>
      <c r="S122" s="44"/>
      <c r="T122" s="45" t="str">
        <f>IFERROR(Grid_BD[[#This Row],[Breakdown Time]]*Grid_BD[[#This Row],[Plant Equivalent Weightage]],"")</f>
        <v/>
      </c>
      <c r="U122" s="441"/>
    </row>
    <row r="123" spans="1:21">
      <c r="A123" s="28">
        <f t="shared" si="3"/>
        <v>122</v>
      </c>
      <c r="B123" s="29"/>
      <c r="C123" s="30">
        <f>YEAR(Grid_BD[[#This Row],[Date]])+IF(MONTH(Grid_BD[[#This Row],[Date]])&gt;=4,1,0)</f>
        <v>1900</v>
      </c>
      <c r="D123" s="31">
        <f>YEAR(Grid_BD[[#This Row],[Date]])</f>
        <v>1900</v>
      </c>
      <c r="E123" s="48">
        <f t="shared" si="2"/>
        <v>1</v>
      </c>
      <c r="F123" s="32" t="s">
        <v>652</v>
      </c>
      <c r="G123" s="33"/>
      <c r="H123" s="43" t="str">
        <f>IFERROR(VLOOKUP(Grid_BD[[#This Row],[Affected System]],'Basic Data'!$A$54:$E$56,2,0),"")</f>
        <v/>
      </c>
      <c r="I123" s="43" t="str">
        <f>IFERROR(VLOOKUP(Grid_BD[[#This Row],[Affected System]],'Basic Data'!$A$54:$E$56,3,0),"")</f>
        <v/>
      </c>
      <c r="J123" s="43" t="str">
        <f>IFERROR(VLOOKUP(Grid_BD[[#This Row],[Affected System]],'Basic Data'!$A$54:$E$56,5,0),"")</f>
        <v/>
      </c>
      <c r="K123" s="55"/>
      <c r="L123" s="50"/>
      <c r="M123" s="50"/>
      <c r="N123" s="50"/>
      <c r="O123" s="57">
        <f>(Grid_BD[[#This Row],[Work Start TimeStamp]]-Grid_BD[[#This Row],[Fault Start TimeStamp]])*24</f>
        <v>0</v>
      </c>
      <c r="P123" s="44" t="str">
        <f>IF(Grid_BD[[#This Row],[Work Start TimeStamp]]="","",(Grid_BD[[#This Row],[Fault Clearance time]]-Grid_BD[[#This Row],[Work Start TimeStamp]])*24)</f>
        <v/>
      </c>
      <c r="Q123" s="57">
        <f>(Grid_BD[[#This Row],[Fault Clearance time]]-Grid_BD[[#This Row],[Fault Start TimeStamp]])*24</f>
        <v>0</v>
      </c>
      <c r="R123" s="36"/>
      <c r="S123" s="44"/>
      <c r="T123" s="45" t="str">
        <f>IFERROR(Grid_BD[[#This Row],[Breakdown Time]]*Grid_BD[[#This Row],[Plant Equivalent Weightage]],"")</f>
        <v/>
      </c>
      <c r="U123" s="441"/>
    </row>
    <row r="124" spans="1:21">
      <c r="A124" s="28">
        <f t="shared" si="3"/>
        <v>123</v>
      </c>
      <c r="B124" s="29"/>
      <c r="C124" s="30">
        <f>YEAR(Grid_BD[[#This Row],[Date]])+IF(MONTH(Grid_BD[[#This Row],[Date]])&gt;=4,1,0)</f>
        <v>1900</v>
      </c>
      <c r="D124" s="31">
        <f>YEAR(Grid_BD[[#This Row],[Date]])</f>
        <v>1900</v>
      </c>
      <c r="E124" s="48">
        <f t="shared" si="2"/>
        <v>1</v>
      </c>
      <c r="F124" s="32" t="s">
        <v>652</v>
      </c>
      <c r="G124" s="33"/>
      <c r="H124" s="43" t="str">
        <f>IFERROR(VLOOKUP(Grid_BD[[#This Row],[Affected System]],'Basic Data'!$A$54:$E$56,2,0),"")</f>
        <v/>
      </c>
      <c r="I124" s="43" t="str">
        <f>IFERROR(VLOOKUP(Grid_BD[[#This Row],[Affected System]],'Basic Data'!$A$54:$E$56,3,0),"")</f>
        <v/>
      </c>
      <c r="J124" s="43" t="str">
        <f>IFERROR(VLOOKUP(Grid_BD[[#This Row],[Affected System]],'Basic Data'!$A$54:$E$56,5,0),"")</f>
        <v/>
      </c>
      <c r="K124" s="55"/>
      <c r="L124" s="50"/>
      <c r="M124" s="50"/>
      <c r="N124" s="50"/>
      <c r="O124" s="57">
        <f>(Grid_BD[[#This Row],[Work Start TimeStamp]]-Grid_BD[[#This Row],[Fault Start TimeStamp]])*24</f>
        <v>0</v>
      </c>
      <c r="P124" s="44" t="str">
        <f>IF(Grid_BD[[#This Row],[Work Start TimeStamp]]="","",(Grid_BD[[#This Row],[Fault Clearance time]]-Grid_BD[[#This Row],[Work Start TimeStamp]])*24)</f>
        <v/>
      </c>
      <c r="Q124" s="57">
        <f>(Grid_BD[[#This Row],[Fault Clearance time]]-Grid_BD[[#This Row],[Fault Start TimeStamp]])*24</f>
        <v>0</v>
      </c>
      <c r="R124" s="36"/>
      <c r="S124" s="44"/>
      <c r="T124" s="45" t="str">
        <f>IFERROR(Grid_BD[[#This Row],[Breakdown Time]]*Grid_BD[[#This Row],[Plant Equivalent Weightage]],"")</f>
        <v/>
      </c>
      <c r="U124" s="441"/>
    </row>
    <row r="125" spans="1:21">
      <c r="A125" s="28">
        <f t="shared" si="3"/>
        <v>124</v>
      </c>
      <c r="B125" s="29"/>
      <c r="C125" s="30">
        <f>YEAR(Grid_BD[[#This Row],[Date]])+IF(MONTH(Grid_BD[[#This Row],[Date]])&gt;=4,1,0)</f>
        <v>1900</v>
      </c>
      <c r="D125" s="31">
        <f>YEAR(Grid_BD[[#This Row],[Date]])</f>
        <v>1900</v>
      </c>
      <c r="E125" s="48">
        <f t="shared" si="2"/>
        <v>1</v>
      </c>
      <c r="F125" s="32" t="s">
        <v>652</v>
      </c>
      <c r="G125" s="33"/>
      <c r="H125" s="43" t="str">
        <f>IFERROR(VLOOKUP(Grid_BD[[#This Row],[Affected System]],'Basic Data'!$A$54:$E$56,2,0),"")</f>
        <v/>
      </c>
      <c r="I125" s="43" t="str">
        <f>IFERROR(VLOOKUP(Grid_BD[[#This Row],[Affected System]],'Basic Data'!$A$54:$E$56,3,0),"")</f>
        <v/>
      </c>
      <c r="J125" s="43" t="str">
        <f>IFERROR(VLOOKUP(Grid_BD[[#This Row],[Affected System]],'Basic Data'!$A$54:$E$56,5,0),"")</f>
        <v/>
      </c>
      <c r="K125" s="55"/>
      <c r="L125" s="50"/>
      <c r="M125" s="50"/>
      <c r="N125" s="50"/>
      <c r="O125" s="57">
        <f>(Grid_BD[[#This Row],[Work Start TimeStamp]]-Grid_BD[[#This Row],[Fault Start TimeStamp]])*24</f>
        <v>0</v>
      </c>
      <c r="P125" s="44" t="str">
        <f>IF(Grid_BD[[#This Row],[Work Start TimeStamp]]="","",(Grid_BD[[#This Row],[Fault Clearance time]]-Grid_BD[[#This Row],[Work Start TimeStamp]])*24)</f>
        <v/>
      </c>
      <c r="Q125" s="57">
        <f>(Grid_BD[[#This Row],[Fault Clearance time]]-Grid_BD[[#This Row],[Fault Start TimeStamp]])*24</f>
        <v>0</v>
      </c>
      <c r="R125" s="36"/>
      <c r="S125" s="44"/>
      <c r="T125" s="45" t="str">
        <f>IFERROR(Grid_BD[[#This Row],[Breakdown Time]]*Grid_BD[[#This Row],[Plant Equivalent Weightage]],"")</f>
        <v/>
      </c>
      <c r="U125" s="441"/>
    </row>
    <row r="126" spans="1:21">
      <c r="A126" s="28">
        <f t="shared" si="3"/>
        <v>125</v>
      </c>
      <c r="B126" s="29"/>
      <c r="C126" s="30">
        <f>YEAR(Grid_BD[[#This Row],[Date]])+IF(MONTH(Grid_BD[[#This Row],[Date]])&gt;=4,1,0)</f>
        <v>1900</v>
      </c>
      <c r="D126" s="31">
        <f>YEAR(Grid_BD[[#This Row],[Date]])</f>
        <v>1900</v>
      </c>
      <c r="E126" s="48">
        <f t="shared" si="2"/>
        <v>1</v>
      </c>
      <c r="F126" s="32" t="s">
        <v>652</v>
      </c>
      <c r="G126" s="33"/>
      <c r="H126" s="43" t="str">
        <f>IFERROR(VLOOKUP(Grid_BD[[#This Row],[Affected System]],'Basic Data'!$A$54:$E$56,2,0),"")</f>
        <v/>
      </c>
      <c r="I126" s="43" t="str">
        <f>IFERROR(VLOOKUP(Grid_BD[[#This Row],[Affected System]],'Basic Data'!$A$54:$E$56,3,0),"")</f>
        <v/>
      </c>
      <c r="J126" s="43" t="str">
        <f>IFERROR(VLOOKUP(Grid_BD[[#This Row],[Affected System]],'Basic Data'!$A$54:$E$56,5,0),"")</f>
        <v/>
      </c>
      <c r="K126" s="55"/>
      <c r="L126" s="50"/>
      <c r="M126" s="50"/>
      <c r="N126" s="50"/>
      <c r="O126" s="57">
        <f>(Grid_BD[[#This Row],[Work Start TimeStamp]]-Grid_BD[[#This Row],[Fault Start TimeStamp]])*24</f>
        <v>0</v>
      </c>
      <c r="P126" s="44" t="str">
        <f>IF(Grid_BD[[#This Row],[Work Start TimeStamp]]="","",(Grid_BD[[#This Row],[Fault Clearance time]]-Grid_BD[[#This Row],[Work Start TimeStamp]])*24)</f>
        <v/>
      </c>
      <c r="Q126" s="57">
        <f>(Grid_BD[[#This Row],[Fault Clearance time]]-Grid_BD[[#This Row],[Fault Start TimeStamp]])*24</f>
        <v>0</v>
      </c>
      <c r="R126" s="36"/>
      <c r="S126" s="44"/>
      <c r="T126" s="45" t="str">
        <f>IFERROR(Grid_BD[[#This Row],[Breakdown Time]]*Grid_BD[[#This Row],[Plant Equivalent Weightage]],"")</f>
        <v/>
      </c>
      <c r="U126" s="441"/>
    </row>
    <row r="127" spans="1:21">
      <c r="A127" s="28">
        <f t="shared" si="3"/>
        <v>126</v>
      </c>
      <c r="B127" s="29"/>
      <c r="C127" s="30">
        <f>YEAR(Grid_BD[[#This Row],[Date]])+IF(MONTH(Grid_BD[[#This Row],[Date]])&gt;=4,1,0)</f>
        <v>1900</v>
      </c>
      <c r="D127" s="31">
        <f>YEAR(Grid_BD[[#This Row],[Date]])</f>
        <v>1900</v>
      </c>
      <c r="E127" s="48">
        <f t="shared" si="2"/>
        <v>1</v>
      </c>
      <c r="F127" s="32" t="s">
        <v>652</v>
      </c>
      <c r="G127" s="33"/>
      <c r="H127" s="43" t="str">
        <f>IFERROR(VLOOKUP(Grid_BD[[#This Row],[Affected System]],'Basic Data'!$A$54:$E$56,2,0),"")</f>
        <v/>
      </c>
      <c r="I127" s="43" t="str">
        <f>IFERROR(VLOOKUP(Grid_BD[[#This Row],[Affected System]],'Basic Data'!$A$54:$E$56,3,0),"")</f>
        <v/>
      </c>
      <c r="J127" s="43" t="str">
        <f>IFERROR(VLOOKUP(Grid_BD[[#This Row],[Affected System]],'Basic Data'!$A$54:$E$56,5,0),"")</f>
        <v/>
      </c>
      <c r="K127" s="55"/>
      <c r="L127" s="50"/>
      <c r="M127" s="50"/>
      <c r="N127" s="50"/>
      <c r="O127" s="57">
        <f>(Grid_BD[[#This Row],[Work Start TimeStamp]]-Grid_BD[[#This Row],[Fault Start TimeStamp]])*24</f>
        <v>0</v>
      </c>
      <c r="P127" s="44" t="str">
        <f>IF(Grid_BD[[#This Row],[Work Start TimeStamp]]="","",(Grid_BD[[#This Row],[Fault Clearance time]]-Grid_BD[[#This Row],[Work Start TimeStamp]])*24)</f>
        <v/>
      </c>
      <c r="Q127" s="57">
        <f>(Grid_BD[[#This Row],[Fault Clearance time]]-Grid_BD[[#This Row],[Fault Start TimeStamp]])*24</f>
        <v>0</v>
      </c>
      <c r="R127" s="36"/>
      <c r="S127" s="44"/>
      <c r="T127" s="45" t="str">
        <f>IFERROR(Grid_BD[[#This Row],[Breakdown Time]]*Grid_BD[[#This Row],[Plant Equivalent Weightage]],"")</f>
        <v/>
      </c>
      <c r="U127" s="441"/>
    </row>
    <row r="128" spans="1:21">
      <c r="A128" s="28">
        <f t="shared" si="3"/>
        <v>127</v>
      </c>
      <c r="B128" s="29"/>
      <c r="C128" s="30">
        <f>YEAR(Grid_BD[[#This Row],[Date]])+IF(MONTH(Grid_BD[[#This Row],[Date]])&gt;=4,1,0)</f>
        <v>1900</v>
      </c>
      <c r="D128" s="31">
        <f>YEAR(Grid_BD[[#This Row],[Date]])</f>
        <v>1900</v>
      </c>
      <c r="E128" s="48">
        <f t="shared" si="2"/>
        <v>1</v>
      </c>
      <c r="F128" s="32" t="s">
        <v>652</v>
      </c>
      <c r="G128" s="33"/>
      <c r="H128" s="43" t="str">
        <f>IFERROR(VLOOKUP(Grid_BD[[#This Row],[Affected System]],'Basic Data'!$A$54:$E$56,2,0),"")</f>
        <v/>
      </c>
      <c r="I128" s="43" t="str">
        <f>IFERROR(VLOOKUP(Grid_BD[[#This Row],[Affected System]],'Basic Data'!$A$54:$E$56,3,0),"")</f>
        <v/>
      </c>
      <c r="J128" s="43" t="str">
        <f>IFERROR(VLOOKUP(Grid_BD[[#This Row],[Affected System]],'Basic Data'!$A$54:$E$56,5,0),"")</f>
        <v/>
      </c>
      <c r="K128" s="55"/>
      <c r="L128" s="50"/>
      <c r="M128" s="50"/>
      <c r="N128" s="50"/>
      <c r="O128" s="57">
        <f>(Grid_BD[[#This Row],[Work Start TimeStamp]]-Grid_BD[[#This Row],[Fault Start TimeStamp]])*24</f>
        <v>0</v>
      </c>
      <c r="P128" s="44" t="str">
        <f>IF(Grid_BD[[#This Row],[Work Start TimeStamp]]="","",(Grid_BD[[#This Row],[Fault Clearance time]]-Grid_BD[[#This Row],[Work Start TimeStamp]])*24)</f>
        <v/>
      </c>
      <c r="Q128" s="57">
        <f>(Grid_BD[[#This Row],[Fault Clearance time]]-Grid_BD[[#This Row],[Fault Start TimeStamp]])*24</f>
        <v>0</v>
      </c>
      <c r="R128" s="36"/>
      <c r="S128" s="44"/>
      <c r="T128" s="45" t="str">
        <f>IFERROR(Grid_BD[[#This Row],[Breakdown Time]]*Grid_BD[[#This Row],[Plant Equivalent Weightage]],"")</f>
        <v/>
      </c>
      <c r="U128" s="441"/>
    </row>
    <row r="129" spans="1:21">
      <c r="A129" s="28">
        <f t="shared" si="3"/>
        <v>128</v>
      </c>
      <c r="B129" s="29"/>
      <c r="C129" s="30">
        <f>YEAR(Grid_BD[[#This Row],[Date]])+IF(MONTH(Grid_BD[[#This Row],[Date]])&gt;=4,1,0)</f>
        <v>1900</v>
      </c>
      <c r="D129" s="31">
        <f>YEAR(Grid_BD[[#This Row],[Date]])</f>
        <v>1900</v>
      </c>
      <c r="E129" s="48">
        <f t="shared" si="2"/>
        <v>1</v>
      </c>
      <c r="F129" s="32" t="s">
        <v>652</v>
      </c>
      <c r="G129" s="33"/>
      <c r="H129" s="43" t="str">
        <f>IFERROR(VLOOKUP(Grid_BD[[#This Row],[Affected System]],'Basic Data'!$A$54:$E$56,2,0),"")</f>
        <v/>
      </c>
      <c r="I129" s="43" t="str">
        <f>IFERROR(VLOOKUP(Grid_BD[[#This Row],[Affected System]],'Basic Data'!$A$54:$E$56,3,0),"")</f>
        <v/>
      </c>
      <c r="J129" s="43" t="str">
        <f>IFERROR(VLOOKUP(Grid_BD[[#This Row],[Affected System]],'Basic Data'!$A$54:$E$56,5,0),"")</f>
        <v/>
      </c>
      <c r="K129" s="55"/>
      <c r="L129" s="50"/>
      <c r="M129" s="50"/>
      <c r="N129" s="50"/>
      <c r="O129" s="57">
        <f>(Grid_BD[[#This Row],[Work Start TimeStamp]]-Grid_BD[[#This Row],[Fault Start TimeStamp]])*24</f>
        <v>0</v>
      </c>
      <c r="P129" s="44" t="str">
        <f>IF(Grid_BD[[#This Row],[Work Start TimeStamp]]="","",(Grid_BD[[#This Row],[Fault Clearance time]]-Grid_BD[[#This Row],[Work Start TimeStamp]])*24)</f>
        <v/>
      </c>
      <c r="Q129" s="57">
        <f>(Grid_BD[[#This Row],[Fault Clearance time]]-Grid_BD[[#This Row],[Fault Start TimeStamp]])*24</f>
        <v>0</v>
      </c>
      <c r="R129" s="36"/>
      <c r="S129" s="44"/>
      <c r="T129" s="45" t="str">
        <f>IFERROR(Grid_BD[[#This Row],[Breakdown Time]]*Grid_BD[[#This Row],[Plant Equivalent Weightage]],"")</f>
        <v/>
      </c>
      <c r="U129" s="441"/>
    </row>
    <row r="130" spans="1:21">
      <c r="A130" s="28">
        <f t="shared" si="3"/>
        <v>129</v>
      </c>
      <c r="B130" s="29"/>
      <c r="C130" s="30">
        <f>YEAR(Grid_BD[[#This Row],[Date]])+IF(MONTH(Grid_BD[[#This Row],[Date]])&gt;=4,1,0)</f>
        <v>1900</v>
      </c>
      <c r="D130" s="31">
        <f>YEAR(Grid_BD[[#This Row],[Date]])</f>
        <v>1900</v>
      </c>
      <c r="E130" s="48">
        <f t="shared" ref="E130:E183" si="4">B130-DAY(B130)+1</f>
        <v>1</v>
      </c>
      <c r="F130" s="32" t="s">
        <v>652</v>
      </c>
      <c r="G130" s="33"/>
      <c r="H130" s="43" t="str">
        <f>IFERROR(VLOOKUP(Grid_BD[[#This Row],[Affected System]],'Basic Data'!$A$54:$E$56,2,0),"")</f>
        <v/>
      </c>
      <c r="I130" s="43" t="str">
        <f>IFERROR(VLOOKUP(Grid_BD[[#This Row],[Affected System]],'Basic Data'!$A$54:$E$56,3,0),"")</f>
        <v/>
      </c>
      <c r="J130" s="43" t="str">
        <f>IFERROR(VLOOKUP(Grid_BD[[#This Row],[Affected System]],'Basic Data'!$A$54:$E$56,5,0),"")</f>
        <v/>
      </c>
      <c r="K130" s="55"/>
      <c r="L130" s="50"/>
      <c r="M130" s="50"/>
      <c r="N130" s="50"/>
      <c r="O130" s="57">
        <f>(Grid_BD[[#This Row],[Work Start TimeStamp]]-Grid_BD[[#This Row],[Fault Start TimeStamp]])*24</f>
        <v>0</v>
      </c>
      <c r="P130" s="44" t="str">
        <f>IF(Grid_BD[[#This Row],[Work Start TimeStamp]]="","",(Grid_BD[[#This Row],[Fault Clearance time]]-Grid_BD[[#This Row],[Work Start TimeStamp]])*24)</f>
        <v/>
      </c>
      <c r="Q130" s="57">
        <f>(Grid_BD[[#This Row],[Fault Clearance time]]-Grid_BD[[#This Row],[Fault Start TimeStamp]])*24</f>
        <v>0</v>
      </c>
      <c r="R130" s="36"/>
      <c r="S130" s="44"/>
      <c r="T130" s="45" t="str">
        <f>IFERROR(Grid_BD[[#This Row],[Breakdown Time]]*Grid_BD[[#This Row],[Plant Equivalent Weightage]],"")</f>
        <v/>
      </c>
      <c r="U130" s="441"/>
    </row>
    <row r="131" spans="1:21">
      <c r="A131" s="28">
        <f t="shared" si="3"/>
        <v>130</v>
      </c>
      <c r="B131" s="29"/>
      <c r="C131" s="30">
        <f>YEAR(Grid_BD[[#This Row],[Date]])+IF(MONTH(Grid_BD[[#This Row],[Date]])&gt;=4,1,0)</f>
        <v>1900</v>
      </c>
      <c r="D131" s="31">
        <f>YEAR(Grid_BD[[#This Row],[Date]])</f>
        <v>1900</v>
      </c>
      <c r="E131" s="48">
        <f t="shared" si="4"/>
        <v>1</v>
      </c>
      <c r="F131" s="32" t="s">
        <v>652</v>
      </c>
      <c r="G131" s="33"/>
      <c r="H131" s="43" t="str">
        <f>IFERROR(VLOOKUP(Grid_BD[[#This Row],[Affected System]],'Basic Data'!$A$54:$E$56,2,0),"")</f>
        <v/>
      </c>
      <c r="I131" s="43" t="str">
        <f>IFERROR(VLOOKUP(Grid_BD[[#This Row],[Affected System]],'Basic Data'!$A$54:$E$56,3,0),"")</f>
        <v/>
      </c>
      <c r="J131" s="43" t="str">
        <f>IFERROR(VLOOKUP(Grid_BD[[#This Row],[Affected System]],'Basic Data'!$A$54:$E$56,5,0),"")</f>
        <v/>
      </c>
      <c r="K131" s="55"/>
      <c r="L131" s="50"/>
      <c r="M131" s="50"/>
      <c r="N131" s="50"/>
      <c r="O131" s="57">
        <f>(Grid_BD[[#This Row],[Work Start TimeStamp]]-Grid_BD[[#This Row],[Fault Start TimeStamp]])*24</f>
        <v>0</v>
      </c>
      <c r="P131" s="44" t="str">
        <f>IF(Grid_BD[[#This Row],[Work Start TimeStamp]]="","",(Grid_BD[[#This Row],[Fault Clearance time]]-Grid_BD[[#This Row],[Work Start TimeStamp]])*24)</f>
        <v/>
      </c>
      <c r="Q131" s="57">
        <f>(Grid_BD[[#This Row],[Fault Clearance time]]-Grid_BD[[#This Row],[Fault Start TimeStamp]])*24</f>
        <v>0</v>
      </c>
      <c r="R131" s="36"/>
      <c r="S131" s="44"/>
      <c r="T131" s="45" t="str">
        <f>IFERROR(Grid_BD[[#This Row],[Breakdown Time]]*Grid_BD[[#This Row],[Plant Equivalent Weightage]],"")</f>
        <v/>
      </c>
      <c r="U131" s="441"/>
    </row>
    <row r="132" spans="1:21">
      <c r="A132" s="28">
        <f t="shared" ref="A132:A183" si="5">A131+1</f>
        <v>131</v>
      </c>
      <c r="B132" s="29"/>
      <c r="C132" s="30">
        <f>YEAR(Grid_BD[[#This Row],[Date]])+IF(MONTH(Grid_BD[[#This Row],[Date]])&gt;=4,1,0)</f>
        <v>1900</v>
      </c>
      <c r="D132" s="31">
        <f>YEAR(Grid_BD[[#This Row],[Date]])</f>
        <v>1900</v>
      </c>
      <c r="E132" s="48">
        <f t="shared" si="4"/>
        <v>1</v>
      </c>
      <c r="F132" s="32" t="s">
        <v>652</v>
      </c>
      <c r="G132" s="33"/>
      <c r="H132" s="43" t="str">
        <f>IFERROR(VLOOKUP(Grid_BD[[#This Row],[Affected System]],'Basic Data'!$A$54:$E$56,2,0),"")</f>
        <v/>
      </c>
      <c r="I132" s="43" t="str">
        <f>IFERROR(VLOOKUP(Grid_BD[[#This Row],[Affected System]],'Basic Data'!$A$54:$E$56,3,0),"")</f>
        <v/>
      </c>
      <c r="J132" s="43" t="str">
        <f>IFERROR(VLOOKUP(Grid_BD[[#This Row],[Affected System]],'Basic Data'!$A$54:$E$56,5,0),"")</f>
        <v/>
      </c>
      <c r="K132" s="55"/>
      <c r="L132" s="50"/>
      <c r="M132" s="50"/>
      <c r="N132" s="50"/>
      <c r="O132" s="57">
        <f>(Grid_BD[[#This Row],[Work Start TimeStamp]]-Grid_BD[[#This Row],[Fault Start TimeStamp]])*24</f>
        <v>0</v>
      </c>
      <c r="P132" s="44" t="str">
        <f>IF(Grid_BD[[#This Row],[Work Start TimeStamp]]="","",(Grid_BD[[#This Row],[Fault Clearance time]]-Grid_BD[[#This Row],[Work Start TimeStamp]])*24)</f>
        <v/>
      </c>
      <c r="Q132" s="57">
        <f>(Grid_BD[[#This Row],[Fault Clearance time]]-Grid_BD[[#This Row],[Fault Start TimeStamp]])*24</f>
        <v>0</v>
      </c>
      <c r="R132" s="36"/>
      <c r="S132" s="44"/>
      <c r="T132" s="45" t="str">
        <f>IFERROR(Grid_BD[[#This Row],[Breakdown Time]]*Grid_BD[[#This Row],[Plant Equivalent Weightage]],"")</f>
        <v/>
      </c>
      <c r="U132" s="441"/>
    </row>
    <row r="133" spans="1:21">
      <c r="A133" s="28">
        <f t="shared" si="5"/>
        <v>132</v>
      </c>
      <c r="B133" s="29"/>
      <c r="C133" s="30">
        <f>YEAR(Grid_BD[[#This Row],[Date]])+IF(MONTH(Grid_BD[[#This Row],[Date]])&gt;=4,1,0)</f>
        <v>1900</v>
      </c>
      <c r="D133" s="31">
        <f>YEAR(Grid_BD[[#This Row],[Date]])</f>
        <v>1900</v>
      </c>
      <c r="E133" s="48">
        <f t="shared" si="4"/>
        <v>1</v>
      </c>
      <c r="F133" s="32" t="s">
        <v>652</v>
      </c>
      <c r="G133" s="33"/>
      <c r="H133" s="43" t="str">
        <f>IFERROR(VLOOKUP(Grid_BD[[#This Row],[Affected System]],'Basic Data'!$A$54:$E$56,2,0),"")</f>
        <v/>
      </c>
      <c r="I133" s="43" t="str">
        <f>IFERROR(VLOOKUP(Grid_BD[[#This Row],[Affected System]],'Basic Data'!$A$54:$E$56,3,0),"")</f>
        <v/>
      </c>
      <c r="J133" s="43" t="str">
        <f>IFERROR(VLOOKUP(Grid_BD[[#This Row],[Affected System]],'Basic Data'!$A$54:$E$56,5,0),"")</f>
        <v/>
      </c>
      <c r="K133" s="55"/>
      <c r="L133" s="50"/>
      <c r="M133" s="50"/>
      <c r="N133" s="50"/>
      <c r="O133" s="57">
        <f>(Grid_BD[[#This Row],[Work Start TimeStamp]]-Grid_BD[[#This Row],[Fault Start TimeStamp]])*24</f>
        <v>0</v>
      </c>
      <c r="P133" s="44" t="str">
        <f>IF(Grid_BD[[#This Row],[Work Start TimeStamp]]="","",(Grid_BD[[#This Row],[Fault Clearance time]]-Grid_BD[[#This Row],[Work Start TimeStamp]])*24)</f>
        <v/>
      </c>
      <c r="Q133" s="57">
        <f>(Grid_BD[[#This Row],[Fault Clearance time]]-Grid_BD[[#This Row],[Fault Start TimeStamp]])*24</f>
        <v>0</v>
      </c>
      <c r="R133" s="36"/>
      <c r="S133" s="44"/>
      <c r="T133" s="45" t="str">
        <f>IFERROR(Grid_BD[[#This Row],[Breakdown Time]]*Grid_BD[[#This Row],[Plant Equivalent Weightage]],"")</f>
        <v/>
      </c>
      <c r="U133" s="441"/>
    </row>
    <row r="134" spans="1:21">
      <c r="A134" s="28">
        <f t="shared" si="5"/>
        <v>133</v>
      </c>
      <c r="B134" s="29"/>
      <c r="C134" s="30">
        <f>YEAR(Grid_BD[[#This Row],[Date]])+IF(MONTH(Grid_BD[[#This Row],[Date]])&gt;=4,1,0)</f>
        <v>1900</v>
      </c>
      <c r="D134" s="31">
        <f>YEAR(Grid_BD[[#This Row],[Date]])</f>
        <v>1900</v>
      </c>
      <c r="E134" s="48">
        <f t="shared" si="4"/>
        <v>1</v>
      </c>
      <c r="F134" s="32" t="s">
        <v>652</v>
      </c>
      <c r="G134" s="33"/>
      <c r="H134" s="43" t="str">
        <f>IFERROR(VLOOKUP(Grid_BD[[#This Row],[Affected System]],'Basic Data'!$A$54:$E$56,2,0),"")</f>
        <v/>
      </c>
      <c r="I134" s="43" t="str">
        <f>IFERROR(VLOOKUP(Grid_BD[[#This Row],[Affected System]],'Basic Data'!$A$54:$E$56,3,0),"")</f>
        <v/>
      </c>
      <c r="J134" s="43" t="str">
        <f>IFERROR(VLOOKUP(Grid_BD[[#This Row],[Affected System]],'Basic Data'!$A$54:$E$56,5,0),"")</f>
        <v/>
      </c>
      <c r="K134" s="55"/>
      <c r="L134" s="50"/>
      <c r="M134" s="50"/>
      <c r="N134" s="50"/>
      <c r="O134" s="57">
        <f>(Grid_BD[[#This Row],[Work Start TimeStamp]]-Grid_BD[[#This Row],[Fault Start TimeStamp]])*24</f>
        <v>0</v>
      </c>
      <c r="P134" s="44" t="str">
        <f>IF(Grid_BD[[#This Row],[Work Start TimeStamp]]="","",(Grid_BD[[#This Row],[Fault Clearance time]]-Grid_BD[[#This Row],[Work Start TimeStamp]])*24)</f>
        <v/>
      </c>
      <c r="Q134" s="57">
        <f>(Grid_BD[[#This Row],[Fault Clearance time]]-Grid_BD[[#This Row],[Fault Start TimeStamp]])*24</f>
        <v>0</v>
      </c>
      <c r="R134" s="36"/>
      <c r="S134" s="44"/>
      <c r="T134" s="45" t="str">
        <f>IFERROR(Grid_BD[[#This Row],[Breakdown Time]]*Grid_BD[[#This Row],[Plant Equivalent Weightage]],"")</f>
        <v/>
      </c>
      <c r="U134" s="441"/>
    </row>
    <row r="135" spans="1:21">
      <c r="A135" s="28">
        <f t="shared" si="5"/>
        <v>134</v>
      </c>
      <c r="B135" s="29"/>
      <c r="C135" s="30">
        <f>YEAR(Grid_BD[[#This Row],[Date]])+IF(MONTH(Grid_BD[[#This Row],[Date]])&gt;=4,1,0)</f>
        <v>1900</v>
      </c>
      <c r="D135" s="31">
        <f>YEAR(Grid_BD[[#This Row],[Date]])</f>
        <v>1900</v>
      </c>
      <c r="E135" s="48">
        <f t="shared" si="4"/>
        <v>1</v>
      </c>
      <c r="F135" s="32" t="s">
        <v>652</v>
      </c>
      <c r="G135" s="33"/>
      <c r="H135" s="43" t="str">
        <f>IFERROR(VLOOKUP(Grid_BD[[#This Row],[Affected System]],'Basic Data'!$A$54:$E$56,2,0),"")</f>
        <v/>
      </c>
      <c r="I135" s="43" t="str">
        <f>IFERROR(VLOOKUP(Grid_BD[[#This Row],[Affected System]],'Basic Data'!$A$54:$E$56,3,0),"")</f>
        <v/>
      </c>
      <c r="J135" s="43" t="str">
        <f>IFERROR(VLOOKUP(Grid_BD[[#This Row],[Affected System]],'Basic Data'!$A$54:$E$56,5,0),"")</f>
        <v/>
      </c>
      <c r="K135" s="55"/>
      <c r="L135" s="50"/>
      <c r="M135" s="50"/>
      <c r="N135" s="50"/>
      <c r="O135" s="57">
        <f>(Grid_BD[[#This Row],[Work Start TimeStamp]]-Grid_BD[[#This Row],[Fault Start TimeStamp]])*24</f>
        <v>0</v>
      </c>
      <c r="P135" s="44" t="str">
        <f>IF(Grid_BD[[#This Row],[Work Start TimeStamp]]="","",(Grid_BD[[#This Row],[Fault Clearance time]]-Grid_BD[[#This Row],[Work Start TimeStamp]])*24)</f>
        <v/>
      </c>
      <c r="Q135" s="57">
        <f>(Grid_BD[[#This Row],[Fault Clearance time]]-Grid_BD[[#This Row],[Fault Start TimeStamp]])*24</f>
        <v>0</v>
      </c>
      <c r="R135" s="36"/>
      <c r="S135" s="44"/>
      <c r="T135" s="45" t="str">
        <f>IFERROR(Grid_BD[[#This Row],[Breakdown Time]]*Grid_BD[[#This Row],[Plant Equivalent Weightage]],"")</f>
        <v/>
      </c>
      <c r="U135" s="441"/>
    </row>
    <row r="136" spans="1:21">
      <c r="A136" s="28">
        <f t="shared" si="5"/>
        <v>135</v>
      </c>
      <c r="B136" s="29"/>
      <c r="C136" s="30">
        <f>YEAR(Grid_BD[[#This Row],[Date]])+IF(MONTH(Grid_BD[[#This Row],[Date]])&gt;=4,1,0)</f>
        <v>1900</v>
      </c>
      <c r="D136" s="31">
        <f>YEAR(Grid_BD[[#This Row],[Date]])</f>
        <v>1900</v>
      </c>
      <c r="E136" s="48">
        <f t="shared" si="4"/>
        <v>1</v>
      </c>
      <c r="F136" s="32" t="s">
        <v>652</v>
      </c>
      <c r="G136" s="33"/>
      <c r="H136" s="43" t="str">
        <f>IFERROR(VLOOKUP(Grid_BD[[#This Row],[Affected System]],'Basic Data'!$A$54:$E$56,2,0),"")</f>
        <v/>
      </c>
      <c r="I136" s="43" t="str">
        <f>IFERROR(VLOOKUP(Grid_BD[[#This Row],[Affected System]],'Basic Data'!$A$54:$E$56,3,0),"")</f>
        <v/>
      </c>
      <c r="J136" s="43" t="str">
        <f>IFERROR(VLOOKUP(Grid_BD[[#This Row],[Affected System]],'Basic Data'!$A$54:$E$56,5,0),"")</f>
        <v/>
      </c>
      <c r="K136" s="55"/>
      <c r="L136" s="50"/>
      <c r="M136" s="50"/>
      <c r="N136" s="50"/>
      <c r="O136" s="57">
        <f>(Grid_BD[[#This Row],[Work Start TimeStamp]]-Grid_BD[[#This Row],[Fault Start TimeStamp]])*24</f>
        <v>0</v>
      </c>
      <c r="P136" s="44" t="str">
        <f>IF(Grid_BD[[#This Row],[Work Start TimeStamp]]="","",(Grid_BD[[#This Row],[Fault Clearance time]]-Grid_BD[[#This Row],[Work Start TimeStamp]])*24)</f>
        <v/>
      </c>
      <c r="Q136" s="57">
        <f>(Grid_BD[[#This Row],[Fault Clearance time]]-Grid_BD[[#This Row],[Fault Start TimeStamp]])*24</f>
        <v>0</v>
      </c>
      <c r="R136" s="36"/>
      <c r="S136" s="44"/>
      <c r="T136" s="45" t="str">
        <f>IFERROR(Grid_BD[[#This Row],[Breakdown Time]]*Grid_BD[[#This Row],[Plant Equivalent Weightage]],"")</f>
        <v/>
      </c>
      <c r="U136" s="441"/>
    </row>
    <row r="137" spans="1:21">
      <c r="A137" s="28">
        <f t="shared" si="5"/>
        <v>136</v>
      </c>
      <c r="B137" s="29"/>
      <c r="C137" s="30">
        <f>YEAR(Grid_BD[[#This Row],[Date]])+IF(MONTH(Grid_BD[[#This Row],[Date]])&gt;=4,1,0)</f>
        <v>1900</v>
      </c>
      <c r="D137" s="31">
        <f>YEAR(Grid_BD[[#This Row],[Date]])</f>
        <v>1900</v>
      </c>
      <c r="E137" s="48">
        <f t="shared" si="4"/>
        <v>1</v>
      </c>
      <c r="F137" s="32" t="s">
        <v>652</v>
      </c>
      <c r="G137" s="33"/>
      <c r="H137" s="43" t="str">
        <f>IFERROR(VLOOKUP(Grid_BD[[#This Row],[Affected System]],'Basic Data'!$A$54:$E$56,2,0),"")</f>
        <v/>
      </c>
      <c r="I137" s="43" t="str">
        <f>IFERROR(VLOOKUP(Grid_BD[[#This Row],[Affected System]],'Basic Data'!$A$54:$E$56,3,0),"")</f>
        <v/>
      </c>
      <c r="J137" s="43" t="str">
        <f>IFERROR(VLOOKUP(Grid_BD[[#This Row],[Affected System]],'Basic Data'!$A$54:$E$56,5,0),"")</f>
        <v/>
      </c>
      <c r="K137" s="55"/>
      <c r="L137" s="50"/>
      <c r="M137" s="50"/>
      <c r="N137" s="50"/>
      <c r="O137" s="57">
        <f>(Grid_BD[[#This Row],[Work Start TimeStamp]]-Grid_BD[[#This Row],[Fault Start TimeStamp]])*24</f>
        <v>0</v>
      </c>
      <c r="P137" s="44" t="str">
        <f>IF(Grid_BD[[#This Row],[Work Start TimeStamp]]="","",(Grid_BD[[#This Row],[Fault Clearance time]]-Grid_BD[[#This Row],[Work Start TimeStamp]])*24)</f>
        <v/>
      </c>
      <c r="Q137" s="57">
        <f>(Grid_BD[[#This Row],[Fault Clearance time]]-Grid_BD[[#This Row],[Fault Start TimeStamp]])*24</f>
        <v>0</v>
      </c>
      <c r="R137" s="36"/>
      <c r="S137" s="44"/>
      <c r="T137" s="45" t="str">
        <f>IFERROR(Grid_BD[[#This Row],[Breakdown Time]]*Grid_BD[[#This Row],[Plant Equivalent Weightage]],"")</f>
        <v/>
      </c>
      <c r="U137" s="441"/>
    </row>
    <row r="138" spans="1:21">
      <c r="A138" s="28">
        <f t="shared" si="5"/>
        <v>137</v>
      </c>
      <c r="B138" s="29"/>
      <c r="C138" s="30">
        <f>YEAR(Grid_BD[[#This Row],[Date]])+IF(MONTH(Grid_BD[[#This Row],[Date]])&gt;=4,1,0)</f>
        <v>1900</v>
      </c>
      <c r="D138" s="31">
        <f>YEAR(Grid_BD[[#This Row],[Date]])</f>
        <v>1900</v>
      </c>
      <c r="E138" s="48">
        <f t="shared" si="4"/>
        <v>1</v>
      </c>
      <c r="F138" s="32" t="s">
        <v>652</v>
      </c>
      <c r="G138" s="33"/>
      <c r="H138" s="43" t="str">
        <f>IFERROR(VLOOKUP(Grid_BD[[#This Row],[Affected System]],'Basic Data'!$A$54:$E$56,2,0),"")</f>
        <v/>
      </c>
      <c r="I138" s="43" t="str">
        <f>IFERROR(VLOOKUP(Grid_BD[[#This Row],[Affected System]],'Basic Data'!$A$54:$E$56,3,0),"")</f>
        <v/>
      </c>
      <c r="J138" s="43" t="str">
        <f>IFERROR(VLOOKUP(Grid_BD[[#This Row],[Affected System]],'Basic Data'!$A$54:$E$56,5,0),"")</f>
        <v/>
      </c>
      <c r="K138" s="55"/>
      <c r="L138" s="50"/>
      <c r="M138" s="50"/>
      <c r="N138" s="50"/>
      <c r="O138" s="57">
        <f>(Grid_BD[[#This Row],[Work Start TimeStamp]]-Grid_BD[[#This Row],[Fault Start TimeStamp]])*24</f>
        <v>0</v>
      </c>
      <c r="P138" s="44" t="str">
        <f>IF(Grid_BD[[#This Row],[Work Start TimeStamp]]="","",(Grid_BD[[#This Row],[Fault Clearance time]]-Grid_BD[[#This Row],[Work Start TimeStamp]])*24)</f>
        <v/>
      </c>
      <c r="Q138" s="57">
        <f>(Grid_BD[[#This Row],[Fault Clearance time]]-Grid_BD[[#This Row],[Fault Start TimeStamp]])*24</f>
        <v>0</v>
      </c>
      <c r="R138" s="36"/>
      <c r="S138" s="44"/>
      <c r="T138" s="45" t="str">
        <f>IFERROR(Grid_BD[[#This Row],[Breakdown Time]]*Grid_BD[[#This Row],[Plant Equivalent Weightage]],"")</f>
        <v/>
      </c>
      <c r="U138" s="441"/>
    </row>
    <row r="139" spans="1:21">
      <c r="A139" s="28">
        <f t="shared" si="5"/>
        <v>138</v>
      </c>
      <c r="B139" s="29"/>
      <c r="C139" s="30">
        <f>YEAR(Grid_BD[[#This Row],[Date]])+IF(MONTH(Grid_BD[[#This Row],[Date]])&gt;=4,1,0)</f>
        <v>1900</v>
      </c>
      <c r="D139" s="31">
        <f>YEAR(Grid_BD[[#This Row],[Date]])</f>
        <v>1900</v>
      </c>
      <c r="E139" s="48">
        <f t="shared" si="4"/>
        <v>1</v>
      </c>
      <c r="F139" s="32" t="s">
        <v>652</v>
      </c>
      <c r="G139" s="33"/>
      <c r="H139" s="43" t="str">
        <f>IFERROR(VLOOKUP(Grid_BD[[#This Row],[Affected System]],'Basic Data'!$A$54:$E$56,2,0),"")</f>
        <v/>
      </c>
      <c r="I139" s="43" t="str">
        <f>IFERROR(VLOOKUP(Grid_BD[[#This Row],[Affected System]],'Basic Data'!$A$54:$E$56,3,0),"")</f>
        <v/>
      </c>
      <c r="J139" s="43" t="str">
        <f>IFERROR(VLOOKUP(Grid_BD[[#This Row],[Affected System]],'Basic Data'!$A$54:$E$56,5,0),"")</f>
        <v/>
      </c>
      <c r="K139" s="55"/>
      <c r="L139" s="50"/>
      <c r="M139" s="50"/>
      <c r="N139" s="50"/>
      <c r="O139" s="57">
        <f>(Grid_BD[[#This Row],[Work Start TimeStamp]]-Grid_BD[[#This Row],[Fault Start TimeStamp]])*24</f>
        <v>0</v>
      </c>
      <c r="P139" s="44" t="str">
        <f>IF(Grid_BD[[#This Row],[Work Start TimeStamp]]="","",(Grid_BD[[#This Row],[Fault Clearance time]]-Grid_BD[[#This Row],[Work Start TimeStamp]])*24)</f>
        <v/>
      </c>
      <c r="Q139" s="57">
        <f>(Grid_BD[[#This Row],[Fault Clearance time]]-Grid_BD[[#This Row],[Fault Start TimeStamp]])*24</f>
        <v>0</v>
      </c>
      <c r="R139" s="36"/>
      <c r="S139" s="44"/>
      <c r="T139" s="45" t="str">
        <f>IFERROR(Grid_BD[[#This Row],[Breakdown Time]]*Grid_BD[[#This Row],[Plant Equivalent Weightage]],"")</f>
        <v/>
      </c>
      <c r="U139" s="441"/>
    </row>
    <row r="140" spans="1:21">
      <c r="A140" s="28">
        <f t="shared" si="5"/>
        <v>139</v>
      </c>
      <c r="B140" s="29"/>
      <c r="C140" s="30">
        <f>YEAR(Grid_BD[[#This Row],[Date]])+IF(MONTH(Grid_BD[[#This Row],[Date]])&gt;=4,1,0)</f>
        <v>1900</v>
      </c>
      <c r="D140" s="31">
        <f>YEAR(Grid_BD[[#This Row],[Date]])</f>
        <v>1900</v>
      </c>
      <c r="E140" s="48">
        <f t="shared" si="4"/>
        <v>1</v>
      </c>
      <c r="F140" s="32" t="s">
        <v>652</v>
      </c>
      <c r="G140" s="33"/>
      <c r="H140" s="43" t="str">
        <f>IFERROR(VLOOKUP(Grid_BD[[#This Row],[Affected System]],'Basic Data'!$A$54:$E$56,2,0),"")</f>
        <v/>
      </c>
      <c r="I140" s="43" t="str">
        <f>IFERROR(VLOOKUP(Grid_BD[[#This Row],[Affected System]],'Basic Data'!$A$54:$E$56,3,0),"")</f>
        <v/>
      </c>
      <c r="J140" s="43" t="str">
        <f>IFERROR(VLOOKUP(Grid_BD[[#This Row],[Affected System]],'Basic Data'!$A$54:$E$56,5,0),"")</f>
        <v/>
      </c>
      <c r="K140" s="55"/>
      <c r="L140" s="50"/>
      <c r="M140" s="50"/>
      <c r="N140" s="50"/>
      <c r="O140" s="57">
        <f>(Grid_BD[[#This Row],[Work Start TimeStamp]]-Grid_BD[[#This Row],[Fault Start TimeStamp]])*24</f>
        <v>0</v>
      </c>
      <c r="P140" s="44" t="str">
        <f>IF(Grid_BD[[#This Row],[Work Start TimeStamp]]="","",(Grid_BD[[#This Row],[Fault Clearance time]]-Grid_BD[[#This Row],[Work Start TimeStamp]])*24)</f>
        <v/>
      </c>
      <c r="Q140" s="57">
        <f>(Grid_BD[[#This Row],[Fault Clearance time]]-Grid_BD[[#This Row],[Fault Start TimeStamp]])*24</f>
        <v>0</v>
      </c>
      <c r="R140" s="36"/>
      <c r="S140" s="44"/>
      <c r="T140" s="45" t="str">
        <f>IFERROR(Grid_BD[[#This Row],[Breakdown Time]]*Grid_BD[[#This Row],[Plant Equivalent Weightage]],"")</f>
        <v/>
      </c>
      <c r="U140" s="441"/>
    </row>
    <row r="141" spans="1:21">
      <c r="A141" s="28">
        <f t="shared" si="5"/>
        <v>140</v>
      </c>
      <c r="B141" s="29"/>
      <c r="C141" s="30">
        <f>YEAR(Grid_BD[[#This Row],[Date]])+IF(MONTH(Grid_BD[[#This Row],[Date]])&gt;=4,1,0)</f>
        <v>1900</v>
      </c>
      <c r="D141" s="31">
        <f>YEAR(Grid_BD[[#This Row],[Date]])</f>
        <v>1900</v>
      </c>
      <c r="E141" s="48">
        <f t="shared" si="4"/>
        <v>1</v>
      </c>
      <c r="F141" s="32" t="s">
        <v>652</v>
      </c>
      <c r="G141" s="33"/>
      <c r="H141" s="43" t="str">
        <f>IFERROR(VLOOKUP(Grid_BD[[#This Row],[Affected System]],'Basic Data'!$A$54:$E$56,2,0),"")</f>
        <v/>
      </c>
      <c r="I141" s="43" t="str">
        <f>IFERROR(VLOOKUP(Grid_BD[[#This Row],[Affected System]],'Basic Data'!$A$54:$E$56,3,0),"")</f>
        <v/>
      </c>
      <c r="J141" s="43" t="str">
        <f>IFERROR(VLOOKUP(Grid_BD[[#This Row],[Affected System]],'Basic Data'!$A$54:$E$56,5,0),"")</f>
        <v/>
      </c>
      <c r="K141" s="55"/>
      <c r="L141" s="50"/>
      <c r="M141" s="50"/>
      <c r="N141" s="50"/>
      <c r="O141" s="57">
        <f>(Grid_BD[[#This Row],[Work Start TimeStamp]]-Grid_BD[[#This Row],[Fault Start TimeStamp]])*24</f>
        <v>0</v>
      </c>
      <c r="P141" s="44" t="str">
        <f>IF(Grid_BD[[#This Row],[Work Start TimeStamp]]="","",(Grid_BD[[#This Row],[Fault Clearance time]]-Grid_BD[[#This Row],[Work Start TimeStamp]])*24)</f>
        <v/>
      </c>
      <c r="Q141" s="57">
        <f>(Grid_BD[[#This Row],[Fault Clearance time]]-Grid_BD[[#This Row],[Fault Start TimeStamp]])*24</f>
        <v>0</v>
      </c>
      <c r="R141" s="36"/>
      <c r="S141" s="44"/>
      <c r="T141" s="45" t="str">
        <f>IFERROR(Grid_BD[[#This Row],[Breakdown Time]]*Grid_BD[[#This Row],[Plant Equivalent Weightage]],"")</f>
        <v/>
      </c>
      <c r="U141" s="441"/>
    </row>
    <row r="142" spans="1:21">
      <c r="A142" s="28">
        <f t="shared" si="5"/>
        <v>141</v>
      </c>
      <c r="B142" s="29"/>
      <c r="C142" s="30">
        <f>YEAR(Grid_BD[[#This Row],[Date]])+IF(MONTH(Grid_BD[[#This Row],[Date]])&gt;=4,1,0)</f>
        <v>1900</v>
      </c>
      <c r="D142" s="31">
        <f>YEAR(Grid_BD[[#This Row],[Date]])</f>
        <v>1900</v>
      </c>
      <c r="E142" s="48">
        <f t="shared" si="4"/>
        <v>1</v>
      </c>
      <c r="F142" s="32" t="s">
        <v>652</v>
      </c>
      <c r="G142" s="33"/>
      <c r="H142" s="43" t="str">
        <f>IFERROR(VLOOKUP(Grid_BD[[#This Row],[Affected System]],'Basic Data'!$A$54:$E$56,2,0),"")</f>
        <v/>
      </c>
      <c r="I142" s="43" t="str">
        <f>IFERROR(VLOOKUP(Grid_BD[[#This Row],[Affected System]],'Basic Data'!$A$54:$E$56,3,0),"")</f>
        <v/>
      </c>
      <c r="J142" s="43" t="str">
        <f>IFERROR(VLOOKUP(Grid_BD[[#This Row],[Affected System]],'Basic Data'!$A$54:$E$56,5,0),"")</f>
        <v/>
      </c>
      <c r="K142" s="55"/>
      <c r="L142" s="50"/>
      <c r="M142" s="50"/>
      <c r="N142" s="50"/>
      <c r="O142" s="57">
        <f>(Grid_BD[[#This Row],[Work Start TimeStamp]]-Grid_BD[[#This Row],[Fault Start TimeStamp]])*24</f>
        <v>0</v>
      </c>
      <c r="P142" s="44" t="str">
        <f>IF(Grid_BD[[#This Row],[Work Start TimeStamp]]="","",(Grid_BD[[#This Row],[Fault Clearance time]]-Grid_BD[[#This Row],[Work Start TimeStamp]])*24)</f>
        <v/>
      </c>
      <c r="Q142" s="57">
        <f>(Grid_BD[[#This Row],[Fault Clearance time]]-Grid_BD[[#This Row],[Fault Start TimeStamp]])*24</f>
        <v>0</v>
      </c>
      <c r="R142" s="36"/>
      <c r="S142" s="44"/>
      <c r="T142" s="45" t="str">
        <f>IFERROR(Grid_BD[[#This Row],[Breakdown Time]]*Grid_BD[[#This Row],[Plant Equivalent Weightage]],"")</f>
        <v/>
      </c>
      <c r="U142" s="441"/>
    </row>
    <row r="143" spans="1:21">
      <c r="A143" s="28">
        <f t="shared" si="5"/>
        <v>142</v>
      </c>
      <c r="B143" s="29"/>
      <c r="C143" s="30">
        <f>YEAR(Grid_BD[[#This Row],[Date]])+IF(MONTH(Grid_BD[[#This Row],[Date]])&gt;=4,1,0)</f>
        <v>1900</v>
      </c>
      <c r="D143" s="31">
        <f>YEAR(Grid_BD[[#This Row],[Date]])</f>
        <v>1900</v>
      </c>
      <c r="E143" s="48">
        <f t="shared" si="4"/>
        <v>1</v>
      </c>
      <c r="F143" s="32" t="s">
        <v>652</v>
      </c>
      <c r="G143" s="33"/>
      <c r="H143" s="43" t="str">
        <f>IFERROR(VLOOKUP(Grid_BD[[#This Row],[Affected System]],'Basic Data'!$A$54:$E$56,2,0),"")</f>
        <v/>
      </c>
      <c r="I143" s="43" t="str">
        <f>IFERROR(VLOOKUP(Grid_BD[[#This Row],[Affected System]],'Basic Data'!$A$54:$E$56,3,0),"")</f>
        <v/>
      </c>
      <c r="J143" s="43" t="str">
        <f>IFERROR(VLOOKUP(Grid_BD[[#This Row],[Affected System]],'Basic Data'!$A$54:$E$56,5,0),"")</f>
        <v/>
      </c>
      <c r="K143" s="55"/>
      <c r="L143" s="50"/>
      <c r="M143" s="50"/>
      <c r="N143" s="50"/>
      <c r="O143" s="57">
        <f>(Grid_BD[[#This Row],[Work Start TimeStamp]]-Grid_BD[[#This Row],[Fault Start TimeStamp]])*24</f>
        <v>0</v>
      </c>
      <c r="P143" s="44" t="str">
        <f>IF(Grid_BD[[#This Row],[Work Start TimeStamp]]="","",(Grid_BD[[#This Row],[Fault Clearance time]]-Grid_BD[[#This Row],[Work Start TimeStamp]])*24)</f>
        <v/>
      </c>
      <c r="Q143" s="57">
        <f>(Grid_BD[[#This Row],[Fault Clearance time]]-Grid_BD[[#This Row],[Fault Start TimeStamp]])*24</f>
        <v>0</v>
      </c>
      <c r="R143" s="36"/>
      <c r="S143" s="44"/>
      <c r="T143" s="45" t="str">
        <f>IFERROR(Grid_BD[[#This Row],[Breakdown Time]]*Grid_BD[[#This Row],[Plant Equivalent Weightage]],"")</f>
        <v/>
      </c>
      <c r="U143" s="441"/>
    </row>
    <row r="144" spans="1:21">
      <c r="A144" s="28">
        <f t="shared" si="5"/>
        <v>143</v>
      </c>
      <c r="B144" s="29"/>
      <c r="C144" s="30">
        <f>YEAR(Grid_BD[[#This Row],[Date]])+IF(MONTH(Grid_BD[[#This Row],[Date]])&gt;=4,1,0)</f>
        <v>1900</v>
      </c>
      <c r="D144" s="31">
        <f>YEAR(Grid_BD[[#This Row],[Date]])</f>
        <v>1900</v>
      </c>
      <c r="E144" s="48">
        <f t="shared" si="4"/>
        <v>1</v>
      </c>
      <c r="F144" s="32" t="s">
        <v>652</v>
      </c>
      <c r="G144" s="33"/>
      <c r="H144" s="43" t="str">
        <f>IFERROR(VLOOKUP(Grid_BD[[#This Row],[Affected System]],'Basic Data'!$A$54:$E$56,2,0),"")</f>
        <v/>
      </c>
      <c r="I144" s="43" t="str">
        <f>IFERROR(VLOOKUP(Grid_BD[[#This Row],[Affected System]],'Basic Data'!$A$54:$E$56,3,0),"")</f>
        <v/>
      </c>
      <c r="J144" s="43" t="str">
        <f>IFERROR(VLOOKUP(Grid_BD[[#This Row],[Affected System]],'Basic Data'!$A$54:$E$56,5,0),"")</f>
        <v/>
      </c>
      <c r="K144" s="55"/>
      <c r="L144" s="50"/>
      <c r="M144" s="50"/>
      <c r="N144" s="50"/>
      <c r="O144" s="57">
        <f>(Grid_BD[[#This Row],[Work Start TimeStamp]]-Grid_BD[[#This Row],[Fault Start TimeStamp]])*24</f>
        <v>0</v>
      </c>
      <c r="P144" s="44" t="str">
        <f>IF(Grid_BD[[#This Row],[Work Start TimeStamp]]="","",(Grid_BD[[#This Row],[Fault Clearance time]]-Grid_BD[[#This Row],[Work Start TimeStamp]])*24)</f>
        <v/>
      </c>
      <c r="Q144" s="57">
        <f>(Grid_BD[[#This Row],[Fault Clearance time]]-Grid_BD[[#This Row],[Fault Start TimeStamp]])*24</f>
        <v>0</v>
      </c>
      <c r="R144" s="36"/>
      <c r="S144" s="44"/>
      <c r="T144" s="45" t="str">
        <f>IFERROR(Grid_BD[[#This Row],[Breakdown Time]]*Grid_BD[[#This Row],[Plant Equivalent Weightage]],"")</f>
        <v/>
      </c>
      <c r="U144" s="441"/>
    </row>
    <row r="145" spans="1:21">
      <c r="A145" s="28">
        <f t="shared" si="5"/>
        <v>144</v>
      </c>
      <c r="B145" s="29"/>
      <c r="C145" s="30">
        <f>YEAR(Grid_BD[[#This Row],[Date]])+IF(MONTH(Grid_BD[[#This Row],[Date]])&gt;=4,1,0)</f>
        <v>1900</v>
      </c>
      <c r="D145" s="31">
        <f>YEAR(Grid_BD[[#This Row],[Date]])</f>
        <v>1900</v>
      </c>
      <c r="E145" s="48">
        <f t="shared" si="4"/>
        <v>1</v>
      </c>
      <c r="F145" s="32" t="s">
        <v>652</v>
      </c>
      <c r="G145" s="33"/>
      <c r="H145" s="43" t="str">
        <f>IFERROR(VLOOKUP(Grid_BD[[#This Row],[Affected System]],'Basic Data'!$A$54:$E$56,2,0),"")</f>
        <v/>
      </c>
      <c r="I145" s="43" t="str">
        <f>IFERROR(VLOOKUP(Grid_BD[[#This Row],[Affected System]],'Basic Data'!$A$54:$E$56,3,0),"")</f>
        <v/>
      </c>
      <c r="J145" s="43" t="str">
        <f>IFERROR(VLOOKUP(Grid_BD[[#This Row],[Affected System]],'Basic Data'!$A$54:$E$56,5,0),"")</f>
        <v/>
      </c>
      <c r="K145" s="55"/>
      <c r="L145" s="50"/>
      <c r="M145" s="50"/>
      <c r="N145" s="50"/>
      <c r="O145" s="57">
        <f>(Grid_BD[[#This Row],[Work Start TimeStamp]]-Grid_BD[[#This Row],[Fault Start TimeStamp]])*24</f>
        <v>0</v>
      </c>
      <c r="P145" s="44" t="str">
        <f>IF(Grid_BD[[#This Row],[Work Start TimeStamp]]="","",(Grid_BD[[#This Row],[Fault Clearance time]]-Grid_BD[[#This Row],[Work Start TimeStamp]])*24)</f>
        <v/>
      </c>
      <c r="Q145" s="57">
        <f>(Grid_BD[[#This Row],[Fault Clearance time]]-Grid_BD[[#This Row],[Fault Start TimeStamp]])*24</f>
        <v>0</v>
      </c>
      <c r="R145" s="36"/>
      <c r="S145" s="44"/>
      <c r="T145" s="45" t="str">
        <f>IFERROR(Grid_BD[[#This Row],[Breakdown Time]]*Grid_BD[[#This Row],[Plant Equivalent Weightage]],"")</f>
        <v/>
      </c>
      <c r="U145" s="441"/>
    </row>
    <row r="146" spans="1:21">
      <c r="A146" s="28">
        <f t="shared" si="5"/>
        <v>145</v>
      </c>
      <c r="B146" s="29"/>
      <c r="C146" s="30">
        <f>YEAR(Grid_BD[[#This Row],[Date]])+IF(MONTH(Grid_BD[[#This Row],[Date]])&gt;=4,1,0)</f>
        <v>1900</v>
      </c>
      <c r="D146" s="31">
        <f>YEAR(Grid_BD[[#This Row],[Date]])</f>
        <v>1900</v>
      </c>
      <c r="E146" s="48">
        <f t="shared" si="4"/>
        <v>1</v>
      </c>
      <c r="F146" s="32" t="s">
        <v>652</v>
      </c>
      <c r="G146" s="33"/>
      <c r="H146" s="43" t="str">
        <f>IFERROR(VLOOKUP(Grid_BD[[#This Row],[Affected System]],'Basic Data'!$A$54:$E$56,2,0),"")</f>
        <v/>
      </c>
      <c r="I146" s="43" t="str">
        <f>IFERROR(VLOOKUP(Grid_BD[[#This Row],[Affected System]],'Basic Data'!$A$54:$E$56,3,0),"")</f>
        <v/>
      </c>
      <c r="J146" s="43" t="str">
        <f>IFERROR(VLOOKUP(Grid_BD[[#This Row],[Affected System]],'Basic Data'!$A$54:$E$56,5,0),"")</f>
        <v/>
      </c>
      <c r="K146" s="55"/>
      <c r="L146" s="50"/>
      <c r="M146" s="50"/>
      <c r="N146" s="50"/>
      <c r="O146" s="57">
        <f>(Grid_BD[[#This Row],[Work Start TimeStamp]]-Grid_BD[[#This Row],[Fault Start TimeStamp]])*24</f>
        <v>0</v>
      </c>
      <c r="P146" s="44" t="str">
        <f>IF(Grid_BD[[#This Row],[Work Start TimeStamp]]="","",(Grid_BD[[#This Row],[Fault Clearance time]]-Grid_BD[[#This Row],[Work Start TimeStamp]])*24)</f>
        <v/>
      </c>
      <c r="Q146" s="57">
        <f>(Grid_BD[[#This Row],[Fault Clearance time]]-Grid_BD[[#This Row],[Fault Start TimeStamp]])*24</f>
        <v>0</v>
      </c>
      <c r="R146" s="36"/>
      <c r="S146" s="44"/>
      <c r="T146" s="45" t="str">
        <f>IFERROR(Grid_BD[[#This Row],[Breakdown Time]]*Grid_BD[[#This Row],[Plant Equivalent Weightage]],"")</f>
        <v/>
      </c>
      <c r="U146" s="441"/>
    </row>
    <row r="147" spans="1:21">
      <c r="A147" s="28">
        <f t="shared" si="5"/>
        <v>146</v>
      </c>
      <c r="B147" s="29"/>
      <c r="C147" s="30">
        <f>YEAR(Grid_BD[[#This Row],[Date]])+IF(MONTH(Grid_BD[[#This Row],[Date]])&gt;=4,1,0)</f>
        <v>1900</v>
      </c>
      <c r="D147" s="31">
        <f>YEAR(Grid_BD[[#This Row],[Date]])</f>
        <v>1900</v>
      </c>
      <c r="E147" s="48">
        <f t="shared" si="4"/>
        <v>1</v>
      </c>
      <c r="F147" s="32" t="s">
        <v>652</v>
      </c>
      <c r="G147" s="33"/>
      <c r="H147" s="43" t="str">
        <f>IFERROR(VLOOKUP(Grid_BD[[#This Row],[Affected System]],'Basic Data'!$A$54:$E$56,2,0),"")</f>
        <v/>
      </c>
      <c r="I147" s="43" t="str">
        <f>IFERROR(VLOOKUP(Grid_BD[[#This Row],[Affected System]],'Basic Data'!$A$54:$E$56,3,0),"")</f>
        <v/>
      </c>
      <c r="J147" s="43" t="str">
        <f>IFERROR(VLOOKUP(Grid_BD[[#This Row],[Affected System]],'Basic Data'!$A$54:$E$56,5,0),"")</f>
        <v/>
      </c>
      <c r="K147" s="55"/>
      <c r="L147" s="50"/>
      <c r="M147" s="50"/>
      <c r="N147" s="50"/>
      <c r="O147" s="57">
        <f>(Grid_BD[[#This Row],[Work Start TimeStamp]]-Grid_BD[[#This Row],[Fault Start TimeStamp]])*24</f>
        <v>0</v>
      </c>
      <c r="P147" s="44" t="str">
        <f>IF(Grid_BD[[#This Row],[Work Start TimeStamp]]="","",(Grid_BD[[#This Row],[Fault Clearance time]]-Grid_BD[[#This Row],[Work Start TimeStamp]])*24)</f>
        <v/>
      </c>
      <c r="Q147" s="57">
        <f>(Grid_BD[[#This Row],[Fault Clearance time]]-Grid_BD[[#This Row],[Fault Start TimeStamp]])*24</f>
        <v>0</v>
      </c>
      <c r="R147" s="36"/>
      <c r="S147" s="44"/>
      <c r="T147" s="45" t="str">
        <f>IFERROR(Grid_BD[[#This Row],[Breakdown Time]]*Grid_BD[[#This Row],[Plant Equivalent Weightage]],"")</f>
        <v/>
      </c>
      <c r="U147" s="441"/>
    </row>
    <row r="148" spans="1:21">
      <c r="A148" s="28">
        <f t="shared" si="5"/>
        <v>147</v>
      </c>
      <c r="B148" s="29"/>
      <c r="C148" s="30">
        <f>YEAR(Grid_BD[[#This Row],[Date]])+IF(MONTH(Grid_BD[[#This Row],[Date]])&gt;=4,1,0)</f>
        <v>1900</v>
      </c>
      <c r="D148" s="31">
        <f>YEAR(Grid_BD[[#This Row],[Date]])</f>
        <v>1900</v>
      </c>
      <c r="E148" s="48">
        <f t="shared" si="4"/>
        <v>1</v>
      </c>
      <c r="F148" s="32" t="s">
        <v>652</v>
      </c>
      <c r="G148" s="33"/>
      <c r="H148" s="43" t="str">
        <f>IFERROR(VLOOKUP(Grid_BD[[#This Row],[Affected System]],'Basic Data'!$A$54:$E$56,2,0),"")</f>
        <v/>
      </c>
      <c r="I148" s="43" t="str">
        <f>IFERROR(VLOOKUP(Grid_BD[[#This Row],[Affected System]],'Basic Data'!$A$54:$E$56,3,0),"")</f>
        <v/>
      </c>
      <c r="J148" s="43" t="str">
        <f>IFERROR(VLOOKUP(Grid_BD[[#This Row],[Affected System]],'Basic Data'!$A$54:$E$56,5,0),"")</f>
        <v/>
      </c>
      <c r="K148" s="55"/>
      <c r="L148" s="50"/>
      <c r="M148" s="50"/>
      <c r="N148" s="50"/>
      <c r="O148" s="57">
        <f>(Grid_BD[[#This Row],[Work Start TimeStamp]]-Grid_BD[[#This Row],[Fault Start TimeStamp]])*24</f>
        <v>0</v>
      </c>
      <c r="P148" s="44" t="str">
        <f>IF(Grid_BD[[#This Row],[Work Start TimeStamp]]="","",(Grid_BD[[#This Row],[Fault Clearance time]]-Grid_BD[[#This Row],[Work Start TimeStamp]])*24)</f>
        <v/>
      </c>
      <c r="Q148" s="57">
        <f>(Grid_BD[[#This Row],[Fault Clearance time]]-Grid_BD[[#This Row],[Fault Start TimeStamp]])*24</f>
        <v>0</v>
      </c>
      <c r="R148" s="36"/>
      <c r="S148" s="44"/>
      <c r="T148" s="45" t="str">
        <f>IFERROR(Grid_BD[[#This Row],[Breakdown Time]]*Grid_BD[[#This Row],[Plant Equivalent Weightage]],"")</f>
        <v/>
      </c>
      <c r="U148" s="441"/>
    </row>
    <row r="149" spans="1:21">
      <c r="A149" s="28">
        <f t="shared" si="5"/>
        <v>148</v>
      </c>
      <c r="B149" s="29"/>
      <c r="C149" s="30">
        <f>YEAR(Grid_BD[[#This Row],[Date]])+IF(MONTH(Grid_BD[[#This Row],[Date]])&gt;=4,1,0)</f>
        <v>1900</v>
      </c>
      <c r="D149" s="31">
        <f>YEAR(Grid_BD[[#This Row],[Date]])</f>
        <v>1900</v>
      </c>
      <c r="E149" s="48">
        <f t="shared" si="4"/>
        <v>1</v>
      </c>
      <c r="F149" s="32" t="s">
        <v>652</v>
      </c>
      <c r="G149" s="33"/>
      <c r="H149" s="43" t="str">
        <f>IFERROR(VLOOKUP(Grid_BD[[#This Row],[Affected System]],'Basic Data'!$A$54:$E$56,2,0),"")</f>
        <v/>
      </c>
      <c r="I149" s="43" t="str">
        <f>IFERROR(VLOOKUP(Grid_BD[[#This Row],[Affected System]],'Basic Data'!$A$54:$E$56,3,0),"")</f>
        <v/>
      </c>
      <c r="J149" s="43" t="str">
        <f>IFERROR(VLOOKUP(Grid_BD[[#This Row],[Affected System]],'Basic Data'!$A$54:$E$56,5,0),"")</f>
        <v/>
      </c>
      <c r="K149" s="55"/>
      <c r="L149" s="50"/>
      <c r="M149" s="50"/>
      <c r="N149" s="50"/>
      <c r="O149" s="57">
        <f>(Grid_BD[[#This Row],[Work Start TimeStamp]]-Grid_BD[[#This Row],[Fault Start TimeStamp]])*24</f>
        <v>0</v>
      </c>
      <c r="P149" s="44" t="str">
        <f>IF(Grid_BD[[#This Row],[Work Start TimeStamp]]="","",(Grid_BD[[#This Row],[Fault Clearance time]]-Grid_BD[[#This Row],[Work Start TimeStamp]])*24)</f>
        <v/>
      </c>
      <c r="Q149" s="57">
        <f>(Grid_BD[[#This Row],[Fault Clearance time]]-Grid_BD[[#This Row],[Fault Start TimeStamp]])*24</f>
        <v>0</v>
      </c>
      <c r="R149" s="36"/>
      <c r="S149" s="44"/>
      <c r="T149" s="45" t="str">
        <f>IFERROR(Grid_BD[[#This Row],[Breakdown Time]]*Grid_BD[[#This Row],[Plant Equivalent Weightage]],"")</f>
        <v/>
      </c>
      <c r="U149" s="441"/>
    </row>
    <row r="150" spans="1:21">
      <c r="A150" s="28">
        <f t="shared" si="5"/>
        <v>149</v>
      </c>
      <c r="B150" s="29"/>
      <c r="C150" s="30">
        <f>YEAR(Grid_BD[[#This Row],[Date]])+IF(MONTH(Grid_BD[[#This Row],[Date]])&gt;=4,1,0)</f>
        <v>1900</v>
      </c>
      <c r="D150" s="31">
        <f>YEAR(Grid_BD[[#This Row],[Date]])</f>
        <v>1900</v>
      </c>
      <c r="E150" s="48">
        <f t="shared" si="4"/>
        <v>1</v>
      </c>
      <c r="F150" s="32" t="s">
        <v>652</v>
      </c>
      <c r="G150" s="33"/>
      <c r="H150" s="43" t="str">
        <f>IFERROR(VLOOKUP(Grid_BD[[#This Row],[Affected System]],'Basic Data'!$A$54:$E$56,2,0),"")</f>
        <v/>
      </c>
      <c r="I150" s="43" t="str">
        <f>IFERROR(VLOOKUP(Grid_BD[[#This Row],[Affected System]],'Basic Data'!$A$54:$E$56,3,0),"")</f>
        <v/>
      </c>
      <c r="J150" s="43" t="str">
        <f>IFERROR(VLOOKUP(Grid_BD[[#This Row],[Affected System]],'Basic Data'!$A$54:$E$56,5,0),"")</f>
        <v/>
      </c>
      <c r="K150" s="55"/>
      <c r="L150" s="50"/>
      <c r="M150" s="50"/>
      <c r="N150" s="50"/>
      <c r="O150" s="57">
        <f>(Grid_BD[[#This Row],[Work Start TimeStamp]]-Grid_BD[[#This Row],[Fault Start TimeStamp]])*24</f>
        <v>0</v>
      </c>
      <c r="P150" s="44" t="str">
        <f>IF(Grid_BD[[#This Row],[Work Start TimeStamp]]="","",(Grid_BD[[#This Row],[Fault Clearance time]]-Grid_BD[[#This Row],[Work Start TimeStamp]])*24)</f>
        <v/>
      </c>
      <c r="Q150" s="57">
        <f>(Grid_BD[[#This Row],[Fault Clearance time]]-Grid_BD[[#This Row],[Fault Start TimeStamp]])*24</f>
        <v>0</v>
      </c>
      <c r="R150" s="36"/>
      <c r="S150" s="44"/>
      <c r="T150" s="45" t="str">
        <f>IFERROR(Grid_BD[[#This Row],[Breakdown Time]]*Grid_BD[[#This Row],[Plant Equivalent Weightage]],"")</f>
        <v/>
      </c>
      <c r="U150" s="441"/>
    </row>
    <row r="151" spans="1:21">
      <c r="A151" s="28">
        <f t="shared" si="5"/>
        <v>150</v>
      </c>
      <c r="B151" s="29"/>
      <c r="C151" s="30">
        <f>YEAR(Grid_BD[[#This Row],[Date]])+IF(MONTH(Grid_BD[[#This Row],[Date]])&gt;=4,1,0)</f>
        <v>1900</v>
      </c>
      <c r="D151" s="31">
        <f>YEAR(Grid_BD[[#This Row],[Date]])</f>
        <v>1900</v>
      </c>
      <c r="E151" s="48">
        <f t="shared" si="4"/>
        <v>1</v>
      </c>
      <c r="F151" s="32" t="s">
        <v>652</v>
      </c>
      <c r="G151" s="33"/>
      <c r="H151" s="43" t="str">
        <f>IFERROR(VLOOKUP(Grid_BD[[#This Row],[Affected System]],'Basic Data'!$A$54:$E$56,2,0),"")</f>
        <v/>
      </c>
      <c r="I151" s="43" t="str">
        <f>IFERROR(VLOOKUP(Grid_BD[[#This Row],[Affected System]],'Basic Data'!$A$54:$E$56,3,0),"")</f>
        <v/>
      </c>
      <c r="J151" s="43" t="str">
        <f>IFERROR(VLOOKUP(Grid_BD[[#This Row],[Affected System]],'Basic Data'!$A$54:$E$56,5,0),"")</f>
        <v/>
      </c>
      <c r="K151" s="55"/>
      <c r="L151" s="50"/>
      <c r="M151" s="50"/>
      <c r="N151" s="50"/>
      <c r="O151" s="57">
        <f>(Grid_BD[[#This Row],[Work Start TimeStamp]]-Grid_BD[[#This Row],[Fault Start TimeStamp]])*24</f>
        <v>0</v>
      </c>
      <c r="P151" s="44" t="str">
        <f>IF(Grid_BD[[#This Row],[Work Start TimeStamp]]="","",(Grid_BD[[#This Row],[Fault Clearance time]]-Grid_BD[[#This Row],[Work Start TimeStamp]])*24)</f>
        <v/>
      </c>
      <c r="Q151" s="57">
        <f>(Grid_BD[[#This Row],[Fault Clearance time]]-Grid_BD[[#This Row],[Fault Start TimeStamp]])*24</f>
        <v>0</v>
      </c>
      <c r="R151" s="36"/>
      <c r="S151" s="44"/>
      <c r="T151" s="45" t="str">
        <f>IFERROR(Grid_BD[[#This Row],[Breakdown Time]]*Grid_BD[[#This Row],[Plant Equivalent Weightage]],"")</f>
        <v/>
      </c>
      <c r="U151" s="441"/>
    </row>
    <row r="152" spans="1:21">
      <c r="A152" s="28">
        <f t="shared" si="5"/>
        <v>151</v>
      </c>
      <c r="B152" s="29"/>
      <c r="C152" s="30">
        <f>YEAR(Grid_BD[[#This Row],[Date]])+IF(MONTH(Grid_BD[[#This Row],[Date]])&gt;=4,1,0)</f>
        <v>1900</v>
      </c>
      <c r="D152" s="31">
        <f>YEAR(Grid_BD[[#This Row],[Date]])</f>
        <v>1900</v>
      </c>
      <c r="E152" s="48">
        <f t="shared" si="4"/>
        <v>1</v>
      </c>
      <c r="F152" s="32" t="s">
        <v>652</v>
      </c>
      <c r="G152" s="33"/>
      <c r="H152" s="43" t="str">
        <f>IFERROR(VLOOKUP(Grid_BD[[#This Row],[Affected System]],'Basic Data'!$A$54:$E$56,2,0),"")</f>
        <v/>
      </c>
      <c r="I152" s="43" t="str">
        <f>IFERROR(VLOOKUP(Grid_BD[[#This Row],[Affected System]],'Basic Data'!$A$54:$E$56,3,0),"")</f>
        <v/>
      </c>
      <c r="J152" s="43" t="str">
        <f>IFERROR(VLOOKUP(Grid_BD[[#This Row],[Affected System]],'Basic Data'!$A$54:$E$56,5,0),"")</f>
        <v/>
      </c>
      <c r="K152" s="55"/>
      <c r="L152" s="50"/>
      <c r="M152" s="50"/>
      <c r="N152" s="50"/>
      <c r="O152" s="57">
        <f>(Grid_BD[[#This Row],[Work Start TimeStamp]]-Grid_BD[[#This Row],[Fault Start TimeStamp]])*24</f>
        <v>0</v>
      </c>
      <c r="P152" s="44" t="str">
        <f>IF(Grid_BD[[#This Row],[Work Start TimeStamp]]="","",(Grid_BD[[#This Row],[Fault Clearance time]]-Grid_BD[[#This Row],[Work Start TimeStamp]])*24)</f>
        <v/>
      </c>
      <c r="Q152" s="57">
        <f>(Grid_BD[[#This Row],[Fault Clearance time]]-Grid_BD[[#This Row],[Fault Start TimeStamp]])*24</f>
        <v>0</v>
      </c>
      <c r="R152" s="36"/>
      <c r="S152" s="44"/>
      <c r="T152" s="45" t="str">
        <f>IFERROR(Grid_BD[[#This Row],[Breakdown Time]]*Grid_BD[[#This Row],[Plant Equivalent Weightage]],"")</f>
        <v/>
      </c>
      <c r="U152" s="441"/>
    </row>
    <row r="153" spans="1:21">
      <c r="A153" s="28">
        <f t="shared" si="5"/>
        <v>152</v>
      </c>
      <c r="B153" s="29"/>
      <c r="C153" s="30">
        <f>YEAR(Grid_BD[[#This Row],[Date]])+IF(MONTH(Grid_BD[[#This Row],[Date]])&gt;=4,1,0)</f>
        <v>1900</v>
      </c>
      <c r="D153" s="31">
        <f>YEAR(Grid_BD[[#This Row],[Date]])</f>
        <v>1900</v>
      </c>
      <c r="E153" s="48">
        <f t="shared" si="4"/>
        <v>1</v>
      </c>
      <c r="F153" s="32" t="s">
        <v>652</v>
      </c>
      <c r="G153" s="33"/>
      <c r="H153" s="43" t="str">
        <f>IFERROR(VLOOKUP(Grid_BD[[#This Row],[Affected System]],'Basic Data'!$A$54:$E$56,2,0),"")</f>
        <v/>
      </c>
      <c r="I153" s="43" t="str">
        <f>IFERROR(VLOOKUP(Grid_BD[[#This Row],[Affected System]],'Basic Data'!$A$54:$E$56,3,0),"")</f>
        <v/>
      </c>
      <c r="J153" s="43" t="str">
        <f>IFERROR(VLOOKUP(Grid_BD[[#This Row],[Affected System]],'Basic Data'!$A$54:$E$56,5,0),"")</f>
        <v/>
      </c>
      <c r="K153" s="55"/>
      <c r="L153" s="50"/>
      <c r="M153" s="50"/>
      <c r="N153" s="50"/>
      <c r="O153" s="57">
        <f>(Grid_BD[[#This Row],[Work Start TimeStamp]]-Grid_BD[[#This Row],[Fault Start TimeStamp]])*24</f>
        <v>0</v>
      </c>
      <c r="P153" s="44" t="str">
        <f>IF(Grid_BD[[#This Row],[Work Start TimeStamp]]="","",(Grid_BD[[#This Row],[Fault Clearance time]]-Grid_BD[[#This Row],[Work Start TimeStamp]])*24)</f>
        <v/>
      </c>
      <c r="Q153" s="57">
        <f>(Grid_BD[[#This Row],[Fault Clearance time]]-Grid_BD[[#This Row],[Fault Start TimeStamp]])*24</f>
        <v>0</v>
      </c>
      <c r="R153" s="36"/>
      <c r="S153" s="44"/>
      <c r="T153" s="45" t="str">
        <f>IFERROR(Grid_BD[[#This Row],[Breakdown Time]]*Grid_BD[[#This Row],[Plant Equivalent Weightage]],"")</f>
        <v/>
      </c>
      <c r="U153" s="441"/>
    </row>
    <row r="154" spans="1:21">
      <c r="A154" s="28">
        <f t="shared" si="5"/>
        <v>153</v>
      </c>
      <c r="B154" s="29"/>
      <c r="C154" s="30">
        <f>YEAR(Grid_BD[[#This Row],[Date]])+IF(MONTH(Grid_BD[[#This Row],[Date]])&gt;=4,1,0)</f>
        <v>1900</v>
      </c>
      <c r="D154" s="31">
        <f>YEAR(Grid_BD[[#This Row],[Date]])</f>
        <v>1900</v>
      </c>
      <c r="E154" s="48">
        <f t="shared" si="4"/>
        <v>1</v>
      </c>
      <c r="F154" s="32" t="s">
        <v>652</v>
      </c>
      <c r="G154" s="33"/>
      <c r="H154" s="43" t="str">
        <f>IFERROR(VLOOKUP(Grid_BD[[#This Row],[Affected System]],'Basic Data'!$A$54:$E$56,2,0),"")</f>
        <v/>
      </c>
      <c r="I154" s="43" t="str">
        <f>IFERROR(VLOOKUP(Grid_BD[[#This Row],[Affected System]],'Basic Data'!$A$54:$E$56,3,0),"")</f>
        <v/>
      </c>
      <c r="J154" s="43" t="str">
        <f>IFERROR(VLOOKUP(Grid_BD[[#This Row],[Affected System]],'Basic Data'!$A$54:$E$56,5,0),"")</f>
        <v/>
      </c>
      <c r="K154" s="55"/>
      <c r="L154" s="50"/>
      <c r="M154" s="50"/>
      <c r="N154" s="50"/>
      <c r="O154" s="57">
        <f>(Grid_BD[[#This Row],[Work Start TimeStamp]]-Grid_BD[[#This Row],[Fault Start TimeStamp]])*24</f>
        <v>0</v>
      </c>
      <c r="P154" s="44" t="str">
        <f>IF(Grid_BD[[#This Row],[Work Start TimeStamp]]="","",(Grid_BD[[#This Row],[Fault Clearance time]]-Grid_BD[[#This Row],[Work Start TimeStamp]])*24)</f>
        <v/>
      </c>
      <c r="Q154" s="57">
        <f>(Grid_BD[[#This Row],[Fault Clearance time]]-Grid_BD[[#This Row],[Fault Start TimeStamp]])*24</f>
        <v>0</v>
      </c>
      <c r="R154" s="36"/>
      <c r="S154" s="44"/>
      <c r="T154" s="45" t="str">
        <f>IFERROR(Grid_BD[[#This Row],[Breakdown Time]]*Grid_BD[[#This Row],[Plant Equivalent Weightage]],"")</f>
        <v/>
      </c>
      <c r="U154" s="441"/>
    </row>
    <row r="155" spans="1:21">
      <c r="A155" s="28">
        <f t="shared" si="5"/>
        <v>154</v>
      </c>
      <c r="B155" s="29"/>
      <c r="C155" s="30">
        <f>YEAR(Grid_BD[[#This Row],[Date]])+IF(MONTH(Grid_BD[[#This Row],[Date]])&gt;=4,1,0)</f>
        <v>1900</v>
      </c>
      <c r="D155" s="31">
        <f>YEAR(Grid_BD[[#This Row],[Date]])</f>
        <v>1900</v>
      </c>
      <c r="E155" s="48">
        <f t="shared" si="4"/>
        <v>1</v>
      </c>
      <c r="F155" s="32" t="s">
        <v>652</v>
      </c>
      <c r="G155" s="33"/>
      <c r="H155" s="43" t="str">
        <f>IFERROR(VLOOKUP(Grid_BD[[#This Row],[Affected System]],'Basic Data'!$A$54:$E$56,2,0),"")</f>
        <v/>
      </c>
      <c r="I155" s="43" t="str">
        <f>IFERROR(VLOOKUP(Grid_BD[[#This Row],[Affected System]],'Basic Data'!$A$54:$E$56,3,0),"")</f>
        <v/>
      </c>
      <c r="J155" s="43" t="str">
        <f>IFERROR(VLOOKUP(Grid_BD[[#This Row],[Affected System]],'Basic Data'!$A$54:$E$56,5,0),"")</f>
        <v/>
      </c>
      <c r="K155" s="55"/>
      <c r="L155" s="50"/>
      <c r="M155" s="50"/>
      <c r="N155" s="50"/>
      <c r="O155" s="57">
        <f>(Grid_BD[[#This Row],[Work Start TimeStamp]]-Grid_BD[[#This Row],[Fault Start TimeStamp]])*24</f>
        <v>0</v>
      </c>
      <c r="P155" s="44" t="str">
        <f>IF(Grid_BD[[#This Row],[Work Start TimeStamp]]="","",(Grid_BD[[#This Row],[Fault Clearance time]]-Grid_BD[[#This Row],[Work Start TimeStamp]])*24)</f>
        <v/>
      </c>
      <c r="Q155" s="57">
        <f>(Grid_BD[[#This Row],[Fault Clearance time]]-Grid_BD[[#This Row],[Fault Start TimeStamp]])*24</f>
        <v>0</v>
      </c>
      <c r="R155" s="36"/>
      <c r="S155" s="44"/>
      <c r="T155" s="45" t="str">
        <f>IFERROR(Grid_BD[[#This Row],[Breakdown Time]]*Grid_BD[[#This Row],[Plant Equivalent Weightage]],"")</f>
        <v/>
      </c>
      <c r="U155" s="441"/>
    </row>
    <row r="156" spans="1:21">
      <c r="A156" s="28">
        <f t="shared" si="5"/>
        <v>155</v>
      </c>
      <c r="B156" s="29"/>
      <c r="C156" s="30">
        <f>YEAR(Grid_BD[[#This Row],[Date]])+IF(MONTH(Grid_BD[[#This Row],[Date]])&gt;=4,1,0)</f>
        <v>1900</v>
      </c>
      <c r="D156" s="31">
        <f>YEAR(Grid_BD[[#This Row],[Date]])</f>
        <v>1900</v>
      </c>
      <c r="E156" s="48">
        <f t="shared" si="4"/>
        <v>1</v>
      </c>
      <c r="F156" s="32" t="s">
        <v>652</v>
      </c>
      <c r="G156" s="33"/>
      <c r="H156" s="43" t="str">
        <f>IFERROR(VLOOKUP(Grid_BD[[#This Row],[Affected System]],'Basic Data'!$A$54:$E$56,2,0),"")</f>
        <v/>
      </c>
      <c r="I156" s="43" t="str">
        <f>IFERROR(VLOOKUP(Grid_BD[[#This Row],[Affected System]],'Basic Data'!$A$54:$E$56,3,0),"")</f>
        <v/>
      </c>
      <c r="J156" s="43" t="str">
        <f>IFERROR(VLOOKUP(Grid_BD[[#This Row],[Affected System]],'Basic Data'!$A$54:$E$56,5,0),"")</f>
        <v/>
      </c>
      <c r="K156" s="55"/>
      <c r="L156" s="50"/>
      <c r="M156" s="50"/>
      <c r="N156" s="50"/>
      <c r="O156" s="57">
        <f>(Grid_BD[[#This Row],[Work Start TimeStamp]]-Grid_BD[[#This Row],[Fault Start TimeStamp]])*24</f>
        <v>0</v>
      </c>
      <c r="P156" s="44" t="str">
        <f>IF(Grid_BD[[#This Row],[Work Start TimeStamp]]="","",(Grid_BD[[#This Row],[Fault Clearance time]]-Grid_BD[[#This Row],[Work Start TimeStamp]])*24)</f>
        <v/>
      </c>
      <c r="Q156" s="57">
        <f>(Grid_BD[[#This Row],[Fault Clearance time]]-Grid_BD[[#This Row],[Fault Start TimeStamp]])*24</f>
        <v>0</v>
      </c>
      <c r="R156" s="36"/>
      <c r="S156" s="44"/>
      <c r="T156" s="45" t="str">
        <f>IFERROR(Grid_BD[[#This Row],[Breakdown Time]]*Grid_BD[[#This Row],[Plant Equivalent Weightage]],"")</f>
        <v/>
      </c>
      <c r="U156" s="441"/>
    </row>
    <row r="157" spans="1:21">
      <c r="A157" s="28">
        <f t="shared" si="5"/>
        <v>156</v>
      </c>
      <c r="B157" s="29"/>
      <c r="C157" s="30">
        <f>YEAR(Grid_BD[[#This Row],[Date]])+IF(MONTH(Grid_BD[[#This Row],[Date]])&gt;=4,1,0)</f>
        <v>1900</v>
      </c>
      <c r="D157" s="31">
        <f>YEAR(Grid_BD[[#This Row],[Date]])</f>
        <v>1900</v>
      </c>
      <c r="E157" s="48">
        <f t="shared" si="4"/>
        <v>1</v>
      </c>
      <c r="F157" s="32" t="s">
        <v>652</v>
      </c>
      <c r="G157" s="33"/>
      <c r="H157" s="43" t="str">
        <f>IFERROR(VLOOKUP(Grid_BD[[#This Row],[Affected System]],'Basic Data'!$A$54:$E$56,2,0),"")</f>
        <v/>
      </c>
      <c r="I157" s="43" t="str">
        <f>IFERROR(VLOOKUP(Grid_BD[[#This Row],[Affected System]],'Basic Data'!$A$54:$E$56,3,0),"")</f>
        <v/>
      </c>
      <c r="J157" s="43" t="str">
        <f>IFERROR(VLOOKUP(Grid_BD[[#This Row],[Affected System]],'Basic Data'!$A$54:$E$56,5,0),"")</f>
        <v/>
      </c>
      <c r="K157" s="55"/>
      <c r="L157" s="50"/>
      <c r="M157" s="50"/>
      <c r="N157" s="50"/>
      <c r="O157" s="57">
        <f>(Grid_BD[[#This Row],[Work Start TimeStamp]]-Grid_BD[[#This Row],[Fault Start TimeStamp]])*24</f>
        <v>0</v>
      </c>
      <c r="P157" s="44" t="str">
        <f>IF(Grid_BD[[#This Row],[Work Start TimeStamp]]="","",(Grid_BD[[#This Row],[Fault Clearance time]]-Grid_BD[[#This Row],[Work Start TimeStamp]])*24)</f>
        <v/>
      </c>
      <c r="Q157" s="57">
        <f>(Grid_BD[[#This Row],[Fault Clearance time]]-Grid_BD[[#This Row],[Fault Start TimeStamp]])*24</f>
        <v>0</v>
      </c>
      <c r="R157" s="36"/>
      <c r="S157" s="44"/>
      <c r="T157" s="45" t="str">
        <f>IFERROR(Grid_BD[[#This Row],[Breakdown Time]]*Grid_BD[[#This Row],[Plant Equivalent Weightage]],"")</f>
        <v/>
      </c>
      <c r="U157" s="441"/>
    </row>
    <row r="158" spans="1:21">
      <c r="A158" s="28">
        <f t="shared" si="5"/>
        <v>157</v>
      </c>
      <c r="B158" s="29"/>
      <c r="C158" s="30">
        <f>YEAR(Grid_BD[[#This Row],[Date]])+IF(MONTH(Grid_BD[[#This Row],[Date]])&gt;=4,1,0)</f>
        <v>1900</v>
      </c>
      <c r="D158" s="31">
        <f>YEAR(Grid_BD[[#This Row],[Date]])</f>
        <v>1900</v>
      </c>
      <c r="E158" s="48">
        <f t="shared" si="4"/>
        <v>1</v>
      </c>
      <c r="F158" s="32" t="s">
        <v>652</v>
      </c>
      <c r="G158" s="33"/>
      <c r="H158" s="43" t="str">
        <f>IFERROR(VLOOKUP(Grid_BD[[#This Row],[Affected System]],'Basic Data'!$A$54:$E$56,2,0),"")</f>
        <v/>
      </c>
      <c r="I158" s="43" t="str">
        <f>IFERROR(VLOOKUP(Grid_BD[[#This Row],[Affected System]],'Basic Data'!$A$54:$E$56,3,0),"")</f>
        <v/>
      </c>
      <c r="J158" s="43" t="str">
        <f>IFERROR(VLOOKUP(Grid_BD[[#This Row],[Affected System]],'Basic Data'!$A$54:$E$56,5,0),"")</f>
        <v/>
      </c>
      <c r="K158" s="55"/>
      <c r="L158" s="50"/>
      <c r="M158" s="50"/>
      <c r="N158" s="50"/>
      <c r="O158" s="57">
        <f>(Grid_BD[[#This Row],[Work Start TimeStamp]]-Grid_BD[[#This Row],[Fault Start TimeStamp]])*24</f>
        <v>0</v>
      </c>
      <c r="P158" s="44" t="str">
        <f>IF(Grid_BD[[#This Row],[Work Start TimeStamp]]="","",(Grid_BD[[#This Row],[Fault Clearance time]]-Grid_BD[[#This Row],[Work Start TimeStamp]])*24)</f>
        <v/>
      </c>
      <c r="Q158" s="57">
        <f>(Grid_BD[[#This Row],[Fault Clearance time]]-Grid_BD[[#This Row],[Fault Start TimeStamp]])*24</f>
        <v>0</v>
      </c>
      <c r="R158" s="36"/>
      <c r="S158" s="44"/>
      <c r="T158" s="45" t="str">
        <f>IFERROR(Grid_BD[[#This Row],[Breakdown Time]]*Grid_BD[[#This Row],[Plant Equivalent Weightage]],"")</f>
        <v/>
      </c>
      <c r="U158" s="441"/>
    </row>
    <row r="159" spans="1:21">
      <c r="A159" s="28">
        <f t="shared" si="5"/>
        <v>158</v>
      </c>
      <c r="B159" s="29"/>
      <c r="C159" s="30">
        <f>YEAR(Grid_BD[[#This Row],[Date]])+IF(MONTH(Grid_BD[[#This Row],[Date]])&gt;=4,1,0)</f>
        <v>1900</v>
      </c>
      <c r="D159" s="31">
        <f>YEAR(Grid_BD[[#This Row],[Date]])</f>
        <v>1900</v>
      </c>
      <c r="E159" s="48">
        <f t="shared" si="4"/>
        <v>1</v>
      </c>
      <c r="F159" s="32" t="s">
        <v>652</v>
      </c>
      <c r="G159" s="33"/>
      <c r="H159" s="43" t="str">
        <f>IFERROR(VLOOKUP(Grid_BD[[#This Row],[Affected System]],'Basic Data'!$A$54:$E$56,2,0),"")</f>
        <v/>
      </c>
      <c r="I159" s="43" t="str">
        <f>IFERROR(VLOOKUP(Grid_BD[[#This Row],[Affected System]],'Basic Data'!$A$54:$E$56,3,0),"")</f>
        <v/>
      </c>
      <c r="J159" s="43" t="str">
        <f>IFERROR(VLOOKUP(Grid_BD[[#This Row],[Affected System]],'Basic Data'!$A$54:$E$56,5,0),"")</f>
        <v/>
      </c>
      <c r="K159" s="55"/>
      <c r="L159" s="50"/>
      <c r="M159" s="50"/>
      <c r="N159" s="50"/>
      <c r="O159" s="57">
        <f>(Grid_BD[[#This Row],[Work Start TimeStamp]]-Grid_BD[[#This Row],[Fault Start TimeStamp]])*24</f>
        <v>0</v>
      </c>
      <c r="P159" s="44" t="str">
        <f>IF(Grid_BD[[#This Row],[Work Start TimeStamp]]="","",(Grid_BD[[#This Row],[Fault Clearance time]]-Grid_BD[[#This Row],[Work Start TimeStamp]])*24)</f>
        <v/>
      </c>
      <c r="Q159" s="57">
        <f>(Grid_BD[[#This Row],[Fault Clearance time]]-Grid_BD[[#This Row],[Fault Start TimeStamp]])*24</f>
        <v>0</v>
      </c>
      <c r="R159" s="36"/>
      <c r="S159" s="44"/>
      <c r="T159" s="45" t="str">
        <f>IFERROR(Grid_BD[[#This Row],[Breakdown Time]]*Grid_BD[[#This Row],[Plant Equivalent Weightage]],"")</f>
        <v/>
      </c>
      <c r="U159" s="441"/>
    </row>
    <row r="160" spans="1:21">
      <c r="A160" s="28">
        <f t="shared" si="5"/>
        <v>159</v>
      </c>
      <c r="B160" s="29"/>
      <c r="C160" s="30">
        <f>YEAR(Grid_BD[[#This Row],[Date]])+IF(MONTH(Grid_BD[[#This Row],[Date]])&gt;=4,1,0)</f>
        <v>1900</v>
      </c>
      <c r="D160" s="31">
        <f>YEAR(Grid_BD[[#This Row],[Date]])</f>
        <v>1900</v>
      </c>
      <c r="E160" s="48">
        <f t="shared" si="4"/>
        <v>1</v>
      </c>
      <c r="F160" s="32" t="s">
        <v>652</v>
      </c>
      <c r="G160" s="33"/>
      <c r="H160" s="43" t="str">
        <f>IFERROR(VLOOKUP(Grid_BD[[#This Row],[Affected System]],'Basic Data'!$A$54:$E$56,2,0),"")</f>
        <v/>
      </c>
      <c r="I160" s="43" t="str">
        <f>IFERROR(VLOOKUP(Grid_BD[[#This Row],[Affected System]],'Basic Data'!$A$54:$E$56,3,0),"")</f>
        <v/>
      </c>
      <c r="J160" s="43" t="str">
        <f>IFERROR(VLOOKUP(Grid_BD[[#This Row],[Affected System]],'Basic Data'!$A$54:$E$56,5,0),"")</f>
        <v/>
      </c>
      <c r="K160" s="55"/>
      <c r="L160" s="50"/>
      <c r="M160" s="50"/>
      <c r="N160" s="50"/>
      <c r="O160" s="57">
        <f>(Grid_BD[[#This Row],[Work Start TimeStamp]]-Grid_BD[[#This Row],[Fault Start TimeStamp]])*24</f>
        <v>0</v>
      </c>
      <c r="P160" s="44" t="str">
        <f>IF(Grid_BD[[#This Row],[Work Start TimeStamp]]="","",(Grid_BD[[#This Row],[Fault Clearance time]]-Grid_BD[[#This Row],[Work Start TimeStamp]])*24)</f>
        <v/>
      </c>
      <c r="Q160" s="57">
        <f>(Grid_BD[[#This Row],[Fault Clearance time]]-Grid_BD[[#This Row],[Fault Start TimeStamp]])*24</f>
        <v>0</v>
      </c>
      <c r="R160" s="36"/>
      <c r="S160" s="44"/>
      <c r="T160" s="45" t="str">
        <f>IFERROR(Grid_BD[[#This Row],[Breakdown Time]]*Grid_BD[[#This Row],[Plant Equivalent Weightage]],"")</f>
        <v/>
      </c>
      <c r="U160" s="441"/>
    </row>
    <row r="161" spans="1:21">
      <c r="A161" s="28">
        <f t="shared" si="5"/>
        <v>160</v>
      </c>
      <c r="B161" s="29"/>
      <c r="C161" s="30">
        <f>YEAR(Grid_BD[[#This Row],[Date]])+IF(MONTH(Grid_BD[[#This Row],[Date]])&gt;=4,1,0)</f>
        <v>1900</v>
      </c>
      <c r="D161" s="31">
        <f>YEAR(Grid_BD[[#This Row],[Date]])</f>
        <v>1900</v>
      </c>
      <c r="E161" s="48">
        <f t="shared" si="4"/>
        <v>1</v>
      </c>
      <c r="F161" s="32" t="s">
        <v>652</v>
      </c>
      <c r="G161" s="33"/>
      <c r="H161" s="43" t="str">
        <f>IFERROR(VLOOKUP(Grid_BD[[#This Row],[Affected System]],'Basic Data'!$A$54:$E$56,2,0),"")</f>
        <v/>
      </c>
      <c r="I161" s="43" t="str">
        <f>IFERROR(VLOOKUP(Grid_BD[[#This Row],[Affected System]],'Basic Data'!$A$54:$E$56,3,0),"")</f>
        <v/>
      </c>
      <c r="J161" s="43" t="str">
        <f>IFERROR(VLOOKUP(Grid_BD[[#This Row],[Affected System]],'Basic Data'!$A$54:$E$56,5,0),"")</f>
        <v/>
      </c>
      <c r="K161" s="55"/>
      <c r="L161" s="50"/>
      <c r="M161" s="50"/>
      <c r="N161" s="50"/>
      <c r="O161" s="57">
        <f>(Grid_BD[[#This Row],[Work Start TimeStamp]]-Grid_BD[[#This Row],[Fault Start TimeStamp]])*24</f>
        <v>0</v>
      </c>
      <c r="P161" s="44" t="str">
        <f>IF(Grid_BD[[#This Row],[Work Start TimeStamp]]="","",(Grid_BD[[#This Row],[Fault Clearance time]]-Grid_BD[[#This Row],[Work Start TimeStamp]])*24)</f>
        <v/>
      </c>
      <c r="Q161" s="57">
        <f>(Grid_BD[[#This Row],[Fault Clearance time]]-Grid_BD[[#This Row],[Fault Start TimeStamp]])*24</f>
        <v>0</v>
      </c>
      <c r="R161" s="36"/>
      <c r="S161" s="44"/>
      <c r="T161" s="45" t="str">
        <f>IFERROR(Grid_BD[[#This Row],[Breakdown Time]]*Grid_BD[[#This Row],[Plant Equivalent Weightage]],"")</f>
        <v/>
      </c>
      <c r="U161" s="441"/>
    </row>
    <row r="162" spans="1:21">
      <c r="A162" s="28">
        <f t="shared" si="5"/>
        <v>161</v>
      </c>
      <c r="B162" s="29"/>
      <c r="C162" s="30">
        <f>YEAR(Grid_BD[[#This Row],[Date]])+IF(MONTH(Grid_BD[[#This Row],[Date]])&gt;=4,1,0)</f>
        <v>1900</v>
      </c>
      <c r="D162" s="31">
        <f>YEAR(Grid_BD[[#This Row],[Date]])</f>
        <v>1900</v>
      </c>
      <c r="E162" s="48">
        <f t="shared" si="4"/>
        <v>1</v>
      </c>
      <c r="F162" s="32" t="s">
        <v>652</v>
      </c>
      <c r="G162" s="33"/>
      <c r="H162" s="43" t="str">
        <f>IFERROR(VLOOKUP(Grid_BD[[#This Row],[Affected System]],'Basic Data'!$A$54:$E$56,2,0),"")</f>
        <v/>
      </c>
      <c r="I162" s="43" t="str">
        <f>IFERROR(VLOOKUP(Grid_BD[[#This Row],[Affected System]],'Basic Data'!$A$54:$E$56,3,0),"")</f>
        <v/>
      </c>
      <c r="J162" s="43" t="str">
        <f>IFERROR(VLOOKUP(Grid_BD[[#This Row],[Affected System]],'Basic Data'!$A$54:$E$56,5,0),"")</f>
        <v/>
      </c>
      <c r="K162" s="55"/>
      <c r="L162" s="50"/>
      <c r="M162" s="50"/>
      <c r="N162" s="50"/>
      <c r="O162" s="57">
        <f>(Grid_BD[[#This Row],[Work Start TimeStamp]]-Grid_BD[[#This Row],[Fault Start TimeStamp]])*24</f>
        <v>0</v>
      </c>
      <c r="P162" s="44" t="str">
        <f>IF(Grid_BD[[#This Row],[Work Start TimeStamp]]="","",(Grid_BD[[#This Row],[Fault Clearance time]]-Grid_BD[[#This Row],[Work Start TimeStamp]])*24)</f>
        <v/>
      </c>
      <c r="Q162" s="57">
        <f>(Grid_BD[[#This Row],[Fault Clearance time]]-Grid_BD[[#This Row],[Fault Start TimeStamp]])*24</f>
        <v>0</v>
      </c>
      <c r="R162" s="36"/>
      <c r="S162" s="44"/>
      <c r="T162" s="45" t="str">
        <f>IFERROR(Grid_BD[[#This Row],[Breakdown Time]]*Grid_BD[[#This Row],[Plant Equivalent Weightage]],"")</f>
        <v/>
      </c>
      <c r="U162" s="441"/>
    </row>
    <row r="163" spans="1:21">
      <c r="A163" s="28">
        <f t="shared" si="5"/>
        <v>162</v>
      </c>
      <c r="B163" s="29"/>
      <c r="C163" s="30">
        <f>YEAR(Grid_BD[[#This Row],[Date]])+IF(MONTH(Grid_BD[[#This Row],[Date]])&gt;=4,1,0)</f>
        <v>1900</v>
      </c>
      <c r="D163" s="31">
        <f>YEAR(Grid_BD[[#This Row],[Date]])</f>
        <v>1900</v>
      </c>
      <c r="E163" s="48">
        <f t="shared" si="4"/>
        <v>1</v>
      </c>
      <c r="F163" s="32" t="s">
        <v>652</v>
      </c>
      <c r="G163" s="33"/>
      <c r="H163" s="43" t="str">
        <f>IFERROR(VLOOKUP(Grid_BD[[#This Row],[Affected System]],'Basic Data'!$A$54:$E$56,2,0),"")</f>
        <v/>
      </c>
      <c r="I163" s="43" t="str">
        <f>IFERROR(VLOOKUP(Grid_BD[[#This Row],[Affected System]],'Basic Data'!$A$54:$E$56,3,0),"")</f>
        <v/>
      </c>
      <c r="J163" s="43" t="str">
        <f>IFERROR(VLOOKUP(Grid_BD[[#This Row],[Affected System]],'Basic Data'!$A$54:$E$56,5,0),"")</f>
        <v/>
      </c>
      <c r="K163" s="55"/>
      <c r="L163" s="50"/>
      <c r="M163" s="50"/>
      <c r="N163" s="50"/>
      <c r="O163" s="57">
        <f>(Grid_BD[[#This Row],[Work Start TimeStamp]]-Grid_BD[[#This Row],[Fault Start TimeStamp]])*24</f>
        <v>0</v>
      </c>
      <c r="P163" s="44" t="str">
        <f>IF(Grid_BD[[#This Row],[Work Start TimeStamp]]="","",(Grid_BD[[#This Row],[Fault Clearance time]]-Grid_BD[[#This Row],[Work Start TimeStamp]])*24)</f>
        <v/>
      </c>
      <c r="Q163" s="57">
        <f>(Grid_BD[[#This Row],[Fault Clearance time]]-Grid_BD[[#This Row],[Fault Start TimeStamp]])*24</f>
        <v>0</v>
      </c>
      <c r="R163" s="36"/>
      <c r="S163" s="44"/>
      <c r="T163" s="45" t="str">
        <f>IFERROR(Grid_BD[[#This Row],[Breakdown Time]]*Grid_BD[[#This Row],[Plant Equivalent Weightage]],"")</f>
        <v/>
      </c>
      <c r="U163" s="441"/>
    </row>
    <row r="164" spans="1:21">
      <c r="A164" s="28">
        <f t="shared" si="5"/>
        <v>163</v>
      </c>
      <c r="B164" s="29"/>
      <c r="C164" s="30">
        <f>YEAR(Grid_BD[[#This Row],[Date]])+IF(MONTH(Grid_BD[[#This Row],[Date]])&gt;=4,1,0)</f>
        <v>1900</v>
      </c>
      <c r="D164" s="31">
        <f>YEAR(Grid_BD[[#This Row],[Date]])</f>
        <v>1900</v>
      </c>
      <c r="E164" s="48">
        <f t="shared" si="4"/>
        <v>1</v>
      </c>
      <c r="F164" s="32" t="s">
        <v>652</v>
      </c>
      <c r="G164" s="33"/>
      <c r="H164" s="43" t="str">
        <f>IFERROR(VLOOKUP(Grid_BD[[#This Row],[Affected System]],'Basic Data'!$A$54:$E$56,2,0),"")</f>
        <v/>
      </c>
      <c r="I164" s="43" t="str">
        <f>IFERROR(VLOOKUP(Grid_BD[[#This Row],[Affected System]],'Basic Data'!$A$54:$E$56,3,0),"")</f>
        <v/>
      </c>
      <c r="J164" s="43" t="str">
        <f>IFERROR(VLOOKUP(Grid_BD[[#This Row],[Affected System]],'Basic Data'!$A$54:$E$56,5,0),"")</f>
        <v/>
      </c>
      <c r="K164" s="55"/>
      <c r="L164" s="50"/>
      <c r="M164" s="50"/>
      <c r="N164" s="50"/>
      <c r="O164" s="57">
        <f>(Grid_BD[[#This Row],[Work Start TimeStamp]]-Grid_BD[[#This Row],[Fault Start TimeStamp]])*24</f>
        <v>0</v>
      </c>
      <c r="P164" s="44" t="str">
        <f>IF(Grid_BD[[#This Row],[Work Start TimeStamp]]="","",(Grid_BD[[#This Row],[Fault Clearance time]]-Grid_BD[[#This Row],[Work Start TimeStamp]])*24)</f>
        <v/>
      </c>
      <c r="Q164" s="57">
        <f>(Grid_BD[[#This Row],[Fault Clearance time]]-Grid_BD[[#This Row],[Fault Start TimeStamp]])*24</f>
        <v>0</v>
      </c>
      <c r="R164" s="36"/>
      <c r="S164" s="44"/>
      <c r="T164" s="45" t="str">
        <f>IFERROR(Grid_BD[[#This Row],[Breakdown Time]]*Grid_BD[[#This Row],[Plant Equivalent Weightage]],"")</f>
        <v/>
      </c>
      <c r="U164" s="441"/>
    </row>
    <row r="165" spans="1:21">
      <c r="A165" s="28">
        <f t="shared" si="5"/>
        <v>164</v>
      </c>
      <c r="B165" s="29"/>
      <c r="C165" s="30">
        <f>YEAR(Grid_BD[[#This Row],[Date]])+IF(MONTH(Grid_BD[[#This Row],[Date]])&gt;=4,1,0)</f>
        <v>1900</v>
      </c>
      <c r="D165" s="31">
        <f>YEAR(Grid_BD[[#This Row],[Date]])</f>
        <v>1900</v>
      </c>
      <c r="E165" s="48">
        <f t="shared" si="4"/>
        <v>1</v>
      </c>
      <c r="F165" s="32" t="s">
        <v>652</v>
      </c>
      <c r="G165" s="33"/>
      <c r="H165" s="43" t="str">
        <f>IFERROR(VLOOKUP(Grid_BD[[#This Row],[Affected System]],'Basic Data'!$A$54:$E$56,2,0),"")</f>
        <v/>
      </c>
      <c r="I165" s="43" t="str">
        <f>IFERROR(VLOOKUP(Grid_BD[[#This Row],[Affected System]],'Basic Data'!$A$54:$E$56,3,0),"")</f>
        <v/>
      </c>
      <c r="J165" s="43" t="str">
        <f>IFERROR(VLOOKUP(Grid_BD[[#This Row],[Affected System]],'Basic Data'!$A$54:$E$56,5,0),"")</f>
        <v/>
      </c>
      <c r="K165" s="55"/>
      <c r="L165" s="50"/>
      <c r="M165" s="50"/>
      <c r="N165" s="50"/>
      <c r="O165" s="57">
        <f>(Grid_BD[[#This Row],[Work Start TimeStamp]]-Grid_BD[[#This Row],[Fault Start TimeStamp]])*24</f>
        <v>0</v>
      </c>
      <c r="P165" s="44" t="str">
        <f>IF(Grid_BD[[#This Row],[Work Start TimeStamp]]="","",(Grid_BD[[#This Row],[Fault Clearance time]]-Grid_BD[[#This Row],[Work Start TimeStamp]])*24)</f>
        <v/>
      </c>
      <c r="Q165" s="57">
        <f>(Grid_BD[[#This Row],[Fault Clearance time]]-Grid_BD[[#This Row],[Fault Start TimeStamp]])*24</f>
        <v>0</v>
      </c>
      <c r="R165" s="36"/>
      <c r="S165" s="44"/>
      <c r="T165" s="45" t="str">
        <f>IFERROR(Grid_BD[[#This Row],[Breakdown Time]]*Grid_BD[[#This Row],[Plant Equivalent Weightage]],"")</f>
        <v/>
      </c>
      <c r="U165" s="441"/>
    </row>
    <row r="166" spans="1:21">
      <c r="A166" s="28">
        <f t="shared" si="5"/>
        <v>165</v>
      </c>
      <c r="B166" s="29"/>
      <c r="C166" s="30">
        <f>YEAR(Grid_BD[[#This Row],[Date]])+IF(MONTH(Grid_BD[[#This Row],[Date]])&gt;=4,1,0)</f>
        <v>1900</v>
      </c>
      <c r="D166" s="31">
        <f>YEAR(Grid_BD[[#This Row],[Date]])</f>
        <v>1900</v>
      </c>
      <c r="E166" s="48">
        <f t="shared" si="4"/>
        <v>1</v>
      </c>
      <c r="F166" s="32" t="s">
        <v>652</v>
      </c>
      <c r="G166" s="33"/>
      <c r="H166" s="43" t="str">
        <f>IFERROR(VLOOKUP(Grid_BD[[#This Row],[Affected System]],'Basic Data'!$A$54:$E$56,2,0),"")</f>
        <v/>
      </c>
      <c r="I166" s="43" t="str">
        <f>IFERROR(VLOOKUP(Grid_BD[[#This Row],[Affected System]],'Basic Data'!$A$54:$E$56,3,0),"")</f>
        <v/>
      </c>
      <c r="J166" s="43" t="str">
        <f>IFERROR(VLOOKUP(Grid_BD[[#This Row],[Affected System]],'Basic Data'!$A$54:$E$56,5,0),"")</f>
        <v/>
      </c>
      <c r="K166" s="55"/>
      <c r="L166" s="50"/>
      <c r="M166" s="50"/>
      <c r="N166" s="50"/>
      <c r="O166" s="57">
        <f>(Grid_BD[[#This Row],[Work Start TimeStamp]]-Grid_BD[[#This Row],[Fault Start TimeStamp]])*24</f>
        <v>0</v>
      </c>
      <c r="P166" s="44" t="str">
        <f>IF(Grid_BD[[#This Row],[Work Start TimeStamp]]="","",(Grid_BD[[#This Row],[Fault Clearance time]]-Grid_BD[[#This Row],[Work Start TimeStamp]])*24)</f>
        <v/>
      </c>
      <c r="Q166" s="57">
        <f>(Grid_BD[[#This Row],[Fault Clearance time]]-Grid_BD[[#This Row],[Fault Start TimeStamp]])*24</f>
        <v>0</v>
      </c>
      <c r="R166" s="36"/>
      <c r="S166" s="44"/>
      <c r="T166" s="45" t="str">
        <f>IFERROR(Grid_BD[[#This Row],[Breakdown Time]]*Grid_BD[[#This Row],[Plant Equivalent Weightage]],"")</f>
        <v/>
      </c>
      <c r="U166" s="441"/>
    </row>
    <row r="167" spans="1:21">
      <c r="A167" s="28">
        <f t="shared" si="5"/>
        <v>166</v>
      </c>
      <c r="B167" s="29"/>
      <c r="C167" s="30">
        <f>YEAR(Grid_BD[[#This Row],[Date]])+IF(MONTH(Grid_BD[[#This Row],[Date]])&gt;=4,1,0)</f>
        <v>1900</v>
      </c>
      <c r="D167" s="31">
        <f>YEAR(Grid_BD[[#This Row],[Date]])</f>
        <v>1900</v>
      </c>
      <c r="E167" s="48">
        <f t="shared" si="4"/>
        <v>1</v>
      </c>
      <c r="F167" s="32" t="s">
        <v>652</v>
      </c>
      <c r="G167" s="33"/>
      <c r="H167" s="43" t="str">
        <f>IFERROR(VLOOKUP(Grid_BD[[#This Row],[Affected System]],'Basic Data'!$A$54:$E$56,2,0),"")</f>
        <v/>
      </c>
      <c r="I167" s="43" t="str">
        <f>IFERROR(VLOOKUP(Grid_BD[[#This Row],[Affected System]],'Basic Data'!$A$54:$E$56,3,0),"")</f>
        <v/>
      </c>
      <c r="J167" s="43" t="str">
        <f>IFERROR(VLOOKUP(Grid_BD[[#This Row],[Affected System]],'Basic Data'!$A$54:$E$56,5,0),"")</f>
        <v/>
      </c>
      <c r="K167" s="55"/>
      <c r="L167" s="50"/>
      <c r="M167" s="50"/>
      <c r="N167" s="50"/>
      <c r="O167" s="57">
        <f>(Grid_BD[[#This Row],[Work Start TimeStamp]]-Grid_BD[[#This Row],[Fault Start TimeStamp]])*24</f>
        <v>0</v>
      </c>
      <c r="P167" s="44" t="str">
        <f>IF(Grid_BD[[#This Row],[Work Start TimeStamp]]="","",(Grid_BD[[#This Row],[Fault Clearance time]]-Grid_BD[[#This Row],[Work Start TimeStamp]])*24)</f>
        <v/>
      </c>
      <c r="Q167" s="57">
        <f>(Grid_BD[[#This Row],[Fault Clearance time]]-Grid_BD[[#This Row],[Fault Start TimeStamp]])*24</f>
        <v>0</v>
      </c>
      <c r="R167" s="36"/>
      <c r="S167" s="44"/>
      <c r="T167" s="45" t="str">
        <f>IFERROR(Grid_BD[[#This Row],[Breakdown Time]]*Grid_BD[[#This Row],[Plant Equivalent Weightage]],"")</f>
        <v/>
      </c>
      <c r="U167" s="441"/>
    </row>
    <row r="168" spans="1:21">
      <c r="A168" s="28">
        <f t="shared" si="5"/>
        <v>167</v>
      </c>
      <c r="B168" s="29"/>
      <c r="C168" s="30">
        <f>YEAR(Grid_BD[[#This Row],[Date]])+IF(MONTH(Grid_BD[[#This Row],[Date]])&gt;=4,1,0)</f>
        <v>1900</v>
      </c>
      <c r="D168" s="31">
        <f>YEAR(Grid_BD[[#This Row],[Date]])</f>
        <v>1900</v>
      </c>
      <c r="E168" s="48">
        <f t="shared" si="4"/>
        <v>1</v>
      </c>
      <c r="F168" s="32" t="s">
        <v>652</v>
      </c>
      <c r="G168" s="33"/>
      <c r="H168" s="43" t="str">
        <f>IFERROR(VLOOKUP(Grid_BD[[#This Row],[Affected System]],'Basic Data'!$A$54:$E$56,2,0),"")</f>
        <v/>
      </c>
      <c r="I168" s="43" t="str">
        <f>IFERROR(VLOOKUP(Grid_BD[[#This Row],[Affected System]],'Basic Data'!$A$54:$E$56,3,0),"")</f>
        <v/>
      </c>
      <c r="J168" s="43" t="str">
        <f>IFERROR(VLOOKUP(Grid_BD[[#This Row],[Affected System]],'Basic Data'!$A$54:$E$56,5,0),"")</f>
        <v/>
      </c>
      <c r="K168" s="55"/>
      <c r="L168" s="50"/>
      <c r="M168" s="50"/>
      <c r="N168" s="50"/>
      <c r="O168" s="57">
        <f>(Grid_BD[[#This Row],[Work Start TimeStamp]]-Grid_BD[[#This Row],[Fault Start TimeStamp]])*24</f>
        <v>0</v>
      </c>
      <c r="P168" s="44" t="str">
        <f>IF(Grid_BD[[#This Row],[Work Start TimeStamp]]="","",(Grid_BD[[#This Row],[Fault Clearance time]]-Grid_BD[[#This Row],[Work Start TimeStamp]])*24)</f>
        <v/>
      </c>
      <c r="Q168" s="57">
        <f>(Grid_BD[[#This Row],[Fault Clearance time]]-Grid_BD[[#This Row],[Fault Start TimeStamp]])*24</f>
        <v>0</v>
      </c>
      <c r="R168" s="36"/>
      <c r="S168" s="44"/>
      <c r="T168" s="45" t="str">
        <f>IFERROR(Grid_BD[[#This Row],[Breakdown Time]]*Grid_BD[[#This Row],[Plant Equivalent Weightage]],"")</f>
        <v/>
      </c>
      <c r="U168" s="441"/>
    </row>
    <row r="169" spans="1:21">
      <c r="A169" s="28">
        <f t="shared" si="5"/>
        <v>168</v>
      </c>
      <c r="B169" s="29"/>
      <c r="C169" s="30">
        <f>YEAR(Grid_BD[[#This Row],[Date]])+IF(MONTH(Grid_BD[[#This Row],[Date]])&gt;=4,1,0)</f>
        <v>1900</v>
      </c>
      <c r="D169" s="31">
        <f>YEAR(Grid_BD[[#This Row],[Date]])</f>
        <v>1900</v>
      </c>
      <c r="E169" s="48">
        <f t="shared" si="4"/>
        <v>1</v>
      </c>
      <c r="F169" s="32" t="s">
        <v>652</v>
      </c>
      <c r="G169" s="33"/>
      <c r="H169" s="43" t="str">
        <f>IFERROR(VLOOKUP(Grid_BD[[#This Row],[Affected System]],'Basic Data'!$A$54:$E$56,2,0),"")</f>
        <v/>
      </c>
      <c r="I169" s="43" t="str">
        <f>IFERROR(VLOOKUP(Grid_BD[[#This Row],[Affected System]],'Basic Data'!$A$54:$E$56,3,0),"")</f>
        <v/>
      </c>
      <c r="J169" s="43" t="str">
        <f>IFERROR(VLOOKUP(Grid_BD[[#This Row],[Affected System]],'Basic Data'!$A$54:$E$56,5,0),"")</f>
        <v/>
      </c>
      <c r="K169" s="55"/>
      <c r="L169" s="50"/>
      <c r="M169" s="50"/>
      <c r="N169" s="50"/>
      <c r="O169" s="57">
        <f>(Grid_BD[[#This Row],[Work Start TimeStamp]]-Grid_BD[[#This Row],[Fault Start TimeStamp]])*24</f>
        <v>0</v>
      </c>
      <c r="P169" s="44" t="str">
        <f>IF(Grid_BD[[#This Row],[Work Start TimeStamp]]="","",(Grid_BD[[#This Row],[Fault Clearance time]]-Grid_BD[[#This Row],[Work Start TimeStamp]])*24)</f>
        <v/>
      </c>
      <c r="Q169" s="57">
        <f>(Grid_BD[[#This Row],[Fault Clearance time]]-Grid_BD[[#This Row],[Fault Start TimeStamp]])*24</f>
        <v>0</v>
      </c>
      <c r="R169" s="36"/>
      <c r="S169" s="44"/>
      <c r="T169" s="45" t="str">
        <f>IFERROR(Grid_BD[[#This Row],[Breakdown Time]]*Grid_BD[[#This Row],[Plant Equivalent Weightage]],"")</f>
        <v/>
      </c>
      <c r="U169" s="441"/>
    </row>
    <row r="170" spans="1:21">
      <c r="A170" s="28">
        <f t="shared" si="5"/>
        <v>169</v>
      </c>
      <c r="B170" s="29"/>
      <c r="C170" s="30">
        <f>YEAR(Grid_BD[[#This Row],[Date]])+IF(MONTH(Grid_BD[[#This Row],[Date]])&gt;=4,1,0)</f>
        <v>1900</v>
      </c>
      <c r="D170" s="31">
        <f>YEAR(Grid_BD[[#This Row],[Date]])</f>
        <v>1900</v>
      </c>
      <c r="E170" s="48">
        <f t="shared" si="4"/>
        <v>1</v>
      </c>
      <c r="F170" s="32" t="s">
        <v>652</v>
      </c>
      <c r="G170" s="33"/>
      <c r="H170" s="43" t="str">
        <f>IFERROR(VLOOKUP(Grid_BD[[#This Row],[Affected System]],'Basic Data'!$A$54:$E$56,2,0),"")</f>
        <v/>
      </c>
      <c r="I170" s="43" t="str">
        <f>IFERROR(VLOOKUP(Grid_BD[[#This Row],[Affected System]],'Basic Data'!$A$54:$E$56,3,0),"")</f>
        <v/>
      </c>
      <c r="J170" s="43" t="str">
        <f>IFERROR(VLOOKUP(Grid_BD[[#This Row],[Affected System]],'Basic Data'!$A$54:$E$56,5,0),"")</f>
        <v/>
      </c>
      <c r="K170" s="55"/>
      <c r="L170" s="50"/>
      <c r="M170" s="50"/>
      <c r="N170" s="50"/>
      <c r="O170" s="57">
        <f>(Grid_BD[[#This Row],[Work Start TimeStamp]]-Grid_BD[[#This Row],[Fault Start TimeStamp]])*24</f>
        <v>0</v>
      </c>
      <c r="P170" s="44" t="str">
        <f>IF(Grid_BD[[#This Row],[Work Start TimeStamp]]="","",(Grid_BD[[#This Row],[Fault Clearance time]]-Grid_BD[[#This Row],[Work Start TimeStamp]])*24)</f>
        <v/>
      </c>
      <c r="Q170" s="57">
        <f>(Grid_BD[[#This Row],[Fault Clearance time]]-Grid_BD[[#This Row],[Fault Start TimeStamp]])*24</f>
        <v>0</v>
      </c>
      <c r="R170" s="36"/>
      <c r="S170" s="44"/>
      <c r="T170" s="45" t="str">
        <f>IFERROR(Grid_BD[[#This Row],[Breakdown Time]]*Grid_BD[[#This Row],[Plant Equivalent Weightage]],"")</f>
        <v/>
      </c>
      <c r="U170" s="441"/>
    </row>
    <row r="171" spans="1:21">
      <c r="A171" s="28">
        <f t="shared" si="5"/>
        <v>170</v>
      </c>
      <c r="B171" s="29"/>
      <c r="C171" s="30">
        <f>YEAR(Grid_BD[[#This Row],[Date]])+IF(MONTH(Grid_BD[[#This Row],[Date]])&gt;=4,1,0)</f>
        <v>1900</v>
      </c>
      <c r="D171" s="31">
        <f>YEAR(Grid_BD[[#This Row],[Date]])</f>
        <v>1900</v>
      </c>
      <c r="E171" s="48">
        <f t="shared" si="4"/>
        <v>1</v>
      </c>
      <c r="F171" s="32" t="s">
        <v>652</v>
      </c>
      <c r="G171" s="33"/>
      <c r="H171" s="43" t="str">
        <f>IFERROR(VLOOKUP(Grid_BD[[#This Row],[Affected System]],'Basic Data'!$A$54:$E$56,2,0),"")</f>
        <v/>
      </c>
      <c r="I171" s="43" t="str">
        <f>IFERROR(VLOOKUP(Grid_BD[[#This Row],[Affected System]],'Basic Data'!$A$54:$E$56,3,0),"")</f>
        <v/>
      </c>
      <c r="J171" s="43" t="str">
        <f>IFERROR(VLOOKUP(Grid_BD[[#This Row],[Affected System]],'Basic Data'!$A$54:$E$56,5,0),"")</f>
        <v/>
      </c>
      <c r="K171" s="55"/>
      <c r="L171" s="50"/>
      <c r="M171" s="50"/>
      <c r="N171" s="50"/>
      <c r="O171" s="57">
        <f>(Grid_BD[[#This Row],[Work Start TimeStamp]]-Grid_BD[[#This Row],[Fault Start TimeStamp]])*24</f>
        <v>0</v>
      </c>
      <c r="P171" s="44" t="str">
        <f>IF(Grid_BD[[#This Row],[Work Start TimeStamp]]="","",(Grid_BD[[#This Row],[Fault Clearance time]]-Grid_BD[[#This Row],[Work Start TimeStamp]])*24)</f>
        <v/>
      </c>
      <c r="Q171" s="57">
        <f>(Grid_BD[[#This Row],[Fault Clearance time]]-Grid_BD[[#This Row],[Fault Start TimeStamp]])*24</f>
        <v>0</v>
      </c>
      <c r="R171" s="36"/>
      <c r="S171" s="44"/>
      <c r="T171" s="45" t="str">
        <f>IFERROR(Grid_BD[[#This Row],[Breakdown Time]]*Grid_BD[[#This Row],[Plant Equivalent Weightage]],"")</f>
        <v/>
      </c>
      <c r="U171" s="441"/>
    </row>
    <row r="172" spans="1:21">
      <c r="A172" s="28">
        <f t="shared" si="5"/>
        <v>171</v>
      </c>
      <c r="B172" s="29"/>
      <c r="C172" s="30">
        <f>YEAR(Grid_BD[[#This Row],[Date]])+IF(MONTH(Grid_BD[[#This Row],[Date]])&gt;=4,1,0)</f>
        <v>1900</v>
      </c>
      <c r="D172" s="31">
        <f>YEAR(Grid_BD[[#This Row],[Date]])</f>
        <v>1900</v>
      </c>
      <c r="E172" s="48">
        <f t="shared" si="4"/>
        <v>1</v>
      </c>
      <c r="F172" s="32" t="s">
        <v>652</v>
      </c>
      <c r="G172" s="33"/>
      <c r="H172" s="43" t="str">
        <f>IFERROR(VLOOKUP(Grid_BD[[#This Row],[Affected System]],'Basic Data'!$A$54:$E$56,2,0),"")</f>
        <v/>
      </c>
      <c r="I172" s="43" t="str">
        <f>IFERROR(VLOOKUP(Grid_BD[[#This Row],[Affected System]],'Basic Data'!$A$54:$E$56,3,0),"")</f>
        <v/>
      </c>
      <c r="J172" s="43" t="str">
        <f>IFERROR(VLOOKUP(Grid_BD[[#This Row],[Affected System]],'Basic Data'!$A$54:$E$56,5,0),"")</f>
        <v/>
      </c>
      <c r="K172" s="55"/>
      <c r="L172" s="50"/>
      <c r="M172" s="51"/>
      <c r="N172" s="51"/>
      <c r="O172" s="57">
        <f>(Grid_BD[[#This Row],[Work Start TimeStamp]]-Grid_BD[[#This Row],[Fault Start TimeStamp]])*24</f>
        <v>0</v>
      </c>
      <c r="P172" s="44" t="str">
        <f>IF(Grid_BD[[#This Row],[Work Start TimeStamp]]="","",(Grid_BD[[#This Row],[Fault Clearance time]]-Grid_BD[[#This Row],[Work Start TimeStamp]])*24)</f>
        <v/>
      </c>
      <c r="Q172" s="57">
        <f>(Grid_BD[[#This Row],[Fault Clearance time]]-Grid_BD[[#This Row],[Fault Start TimeStamp]])*24</f>
        <v>0</v>
      </c>
      <c r="R172" s="36"/>
      <c r="S172" s="44"/>
      <c r="T172" s="45" t="str">
        <f>IFERROR(Grid_BD[[#This Row],[Breakdown Time]]*Grid_BD[[#This Row],[Plant Equivalent Weightage]],"")</f>
        <v/>
      </c>
      <c r="U172" s="441"/>
    </row>
    <row r="173" spans="1:21">
      <c r="A173" s="28">
        <f t="shared" si="5"/>
        <v>172</v>
      </c>
      <c r="B173" s="29"/>
      <c r="C173" s="30">
        <f>YEAR(Grid_BD[[#This Row],[Date]])+IF(MONTH(Grid_BD[[#This Row],[Date]])&gt;=4,1,0)</f>
        <v>1900</v>
      </c>
      <c r="D173" s="31">
        <f>YEAR(Grid_BD[[#This Row],[Date]])</f>
        <v>1900</v>
      </c>
      <c r="E173" s="48">
        <f t="shared" si="4"/>
        <v>1</v>
      </c>
      <c r="F173" s="32" t="s">
        <v>652</v>
      </c>
      <c r="G173" s="33"/>
      <c r="H173" s="43" t="str">
        <f>IFERROR(VLOOKUP(Grid_BD[[#This Row],[Affected System]],'Basic Data'!$A$54:$E$56,2,0),"")</f>
        <v/>
      </c>
      <c r="I173" s="43" t="str">
        <f>IFERROR(VLOOKUP(Grid_BD[[#This Row],[Affected System]],'Basic Data'!$A$54:$E$56,3,0),"")</f>
        <v/>
      </c>
      <c r="J173" s="43" t="str">
        <f>IFERROR(VLOOKUP(Grid_BD[[#This Row],[Affected System]],'Basic Data'!$A$54:$E$56,5,0),"")</f>
        <v/>
      </c>
      <c r="K173" s="55"/>
      <c r="L173" s="50"/>
      <c r="M173" s="52"/>
      <c r="N173" s="52"/>
      <c r="O173" s="57">
        <f>(Grid_BD[[#This Row],[Work Start TimeStamp]]-Grid_BD[[#This Row],[Fault Start TimeStamp]])*24</f>
        <v>0</v>
      </c>
      <c r="P173" s="44" t="str">
        <f>IF(Grid_BD[[#This Row],[Work Start TimeStamp]]="","",(Grid_BD[[#This Row],[Fault Clearance time]]-Grid_BD[[#This Row],[Work Start TimeStamp]])*24)</f>
        <v/>
      </c>
      <c r="Q173" s="57">
        <f>(Grid_BD[[#This Row],[Fault Clearance time]]-Grid_BD[[#This Row],[Fault Start TimeStamp]])*24</f>
        <v>0</v>
      </c>
      <c r="R173" s="36"/>
      <c r="S173" s="44"/>
      <c r="T173" s="45" t="str">
        <f>IFERROR(Grid_BD[[#This Row],[Breakdown Time]]*Grid_BD[[#This Row],[Plant Equivalent Weightage]],"")</f>
        <v/>
      </c>
      <c r="U173" s="441"/>
    </row>
    <row r="174" spans="1:21">
      <c r="A174" s="28">
        <f t="shared" si="5"/>
        <v>173</v>
      </c>
      <c r="B174" s="29"/>
      <c r="C174" s="30">
        <f>YEAR(Grid_BD[[#This Row],[Date]])+IF(MONTH(Grid_BD[[#This Row],[Date]])&gt;=4,1,0)</f>
        <v>1900</v>
      </c>
      <c r="D174" s="31">
        <f>YEAR(Grid_BD[[#This Row],[Date]])</f>
        <v>1900</v>
      </c>
      <c r="E174" s="48">
        <f t="shared" si="4"/>
        <v>1</v>
      </c>
      <c r="F174" s="32" t="s">
        <v>652</v>
      </c>
      <c r="G174" s="33"/>
      <c r="H174" s="43" t="str">
        <f>IFERROR(VLOOKUP(Grid_BD[[#This Row],[Affected System]],'Basic Data'!$A$54:$E$56,2,0),"")</f>
        <v/>
      </c>
      <c r="I174" s="43" t="str">
        <f>IFERROR(VLOOKUP(Grid_BD[[#This Row],[Affected System]],'Basic Data'!$A$54:$E$56,3,0),"")</f>
        <v/>
      </c>
      <c r="J174" s="43" t="str">
        <f>IFERROR(VLOOKUP(Grid_BD[[#This Row],[Affected System]],'Basic Data'!$A$54:$E$56,5,0),"")</f>
        <v/>
      </c>
      <c r="K174" s="55"/>
      <c r="L174" s="50"/>
      <c r="M174" s="52"/>
      <c r="N174" s="52"/>
      <c r="O174" s="57">
        <f>(Grid_BD[[#This Row],[Work Start TimeStamp]]-Grid_BD[[#This Row],[Fault Start TimeStamp]])*24</f>
        <v>0</v>
      </c>
      <c r="P174" s="44" t="str">
        <f>IF(Grid_BD[[#This Row],[Work Start TimeStamp]]="","",(Grid_BD[[#This Row],[Fault Clearance time]]-Grid_BD[[#This Row],[Work Start TimeStamp]])*24)</f>
        <v/>
      </c>
      <c r="Q174" s="57">
        <f>(Grid_BD[[#This Row],[Fault Clearance time]]-Grid_BD[[#This Row],[Fault Start TimeStamp]])*24</f>
        <v>0</v>
      </c>
      <c r="R174" s="36"/>
      <c r="S174" s="44"/>
      <c r="T174" s="45" t="str">
        <f>IFERROR(Grid_BD[[#This Row],[Breakdown Time]]*Grid_BD[[#This Row],[Plant Equivalent Weightage]],"")</f>
        <v/>
      </c>
      <c r="U174" s="441"/>
    </row>
    <row r="175" spans="1:21">
      <c r="A175" s="28">
        <f t="shared" si="5"/>
        <v>174</v>
      </c>
      <c r="B175" s="29"/>
      <c r="C175" s="30">
        <f>YEAR(Grid_BD[[#This Row],[Date]])+IF(MONTH(Grid_BD[[#This Row],[Date]])&gt;=4,1,0)</f>
        <v>1900</v>
      </c>
      <c r="D175" s="31">
        <f>YEAR(Grid_BD[[#This Row],[Date]])</f>
        <v>1900</v>
      </c>
      <c r="E175" s="48">
        <f t="shared" si="4"/>
        <v>1</v>
      </c>
      <c r="F175" s="32" t="s">
        <v>652</v>
      </c>
      <c r="G175" s="33"/>
      <c r="H175" s="43" t="str">
        <f>IFERROR(VLOOKUP(Grid_BD[[#This Row],[Affected System]],'Basic Data'!$A$54:$E$56,2,0),"")</f>
        <v/>
      </c>
      <c r="I175" s="43" t="str">
        <f>IFERROR(VLOOKUP(Grid_BD[[#This Row],[Affected System]],'Basic Data'!$A$54:$E$56,3,0),"")</f>
        <v/>
      </c>
      <c r="J175" s="43" t="str">
        <f>IFERROR(VLOOKUP(Grid_BD[[#This Row],[Affected System]],'Basic Data'!$A$54:$E$56,5,0),"")</f>
        <v/>
      </c>
      <c r="K175" s="55"/>
      <c r="L175" s="50"/>
      <c r="M175" s="52"/>
      <c r="N175" s="52"/>
      <c r="O175" s="57">
        <f>(Grid_BD[[#This Row],[Work Start TimeStamp]]-Grid_BD[[#This Row],[Fault Start TimeStamp]])*24</f>
        <v>0</v>
      </c>
      <c r="P175" s="44" t="str">
        <f>IF(Grid_BD[[#This Row],[Work Start TimeStamp]]="","",(Grid_BD[[#This Row],[Fault Clearance time]]-Grid_BD[[#This Row],[Work Start TimeStamp]])*24)</f>
        <v/>
      </c>
      <c r="Q175" s="57">
        <f>(Grid_BD[[#This Row],[Fault Clearance time]]-Grid_BD[[#This Row],[Fault Start TimeStamp]])*24</f>
        <v>0</v>
      </c>
      <c r="R175" s="36"/>
      <c r="S175" s="44"/>
      <c r="T175" s="45" t="str">
        <f>IFERROR(Grid_BD[[#This Row],[Breakdown Time]]*Grid_BD[[#This Row],[Plant Equivalent Weightage]],"")</f>
        <v/>
      </c>
      <c r="U175" s="441"/>
    </row>
    <row r="176" spans="1:21">
      <c r="A176" s="28">
        <f t="shared" si="5"/>
        <v>175</v>
      </c>
      <c r="B176" s="29"/>
      <c r="C176" s="30">
        <f>YEAR(Grid_BD[[#This Row],[Date]])+IF(MONTH(Grid_BD[[#This Row],[Date]])&gt;=4,1,0)</f>
        <v>1900</v>
      </c>
      <c r="D176" s="31">
        <f>YEAR(Grid_BD[[#This Row],[Date]])</f>
        <v>1900</v>
      </c>
      <c r="E176" s="48">
        <f t="shared" si="4"/>
        <v>1</v>
      </c>
      <c r="F176" s="32" t="s">
        <v>652</v>
      </c>
      <c r="G176" s="33"/>
      <c r="H176" s="43" t="str">
        <f>IFERROR(VLOOKUP(Grid_BD[[#This Row],[Affected System]],'Basic Data'!$A$54:$E$56,2,0),"")</f>
        <v/>
      </c>
      <c r="I176" s="43" t="str">
        <f>IFERROR(VLOOKUP(Grid_BD[[#This Row],[Affected System]],'Basic Data'!$A$54:$E$56,3,0),"")</f>
        <v/>
      </c>
      <c r="J176" s="43" t="str">
        <f>IFERROR(VLOOKUP(Grid_BD[[#This Row],[Affected System]],'Basic Data'!$A$54:$E$56,5,0),"")</f>
        <v/>
      </c>
      <c r="K176" s="55"/>
      <c r="L176" s="50"/>
      <c r="M176" s="50"/>
      <c r="N176" s="50"/>
      <c r="O176" s="57">
        <f>(Grid_BD[[#This Row],[Work Start TimeStamp]]-Grid_BD[[#This Row],[Fault Start TimeStamp]])*24</f>
        <v>0</v>
      </c>
      <c r="P176" s="44" t="str">
        <f>IF(Grid_BD[[#This Row],[Work Start TimeStamp]]="","",(Grid_BD[[#This Row],[Fault Clearance time]]-Grid_BD[[#This Row],[Work Start TimeStamp]])*24)</f>
        <v/>
      </c>
      <c r="Q176" s="57">
        <f>(Grid_BD[[#This Row],[Fault Clearance time]]-Grid_BD[[#This Row],[Fault Start TimeStamp]])*24</f>
        <v>0</v>
      </c>
      <c r="R176" s="36"/>
      <c r="S176" s="44"/>
      <c r="T176" s="45" t="str">
        <f>IFERROR(Grid_BD[[#This Row],[Breakdown Time]]*Grid_BD[[#This Row],[Plant Equivalent Weightage]],"")</f>
        <v/>
      </c>
      <c r="U176" s="441"/>
    </row>
    <row r="177" spans="1:21">
      <c r="A177" s="28">
        <f t="shared" si="5"/>
        <v>176</v>
      </c>
      <c r="B177" s="29"/>
      <c r="C177" s="30">
        <f>YEAR(Grid_BD[[#This Row],[Date]])+IF(MONTH(Grid_BD[[#This Row],[Date]])&gt;=4,1,0)</f>
        <v>1900</v>
      </c>
      <c r="D177" s="31">
        <f>YEAR(Grid_BD[[#This Row],[Date]])</f>
        <v>1900</v>
      </c>
      <c r="E177" s="48">
        <f t="shared" si="4"/>
        <v>1</v>
      </c>
      <c r="F177" s="32" t="s">
        <v>652</v>
      </c>
      <c r="G177" s="33"/>
      <c r="H177" s="43" t="str">
        <f>IFERROR(VLOOKUP(Grid_BD[[#This Row],[Affected System]],'Basic Data'!$A$54:$E$56,2,0),"")</f>
        <v/>
      </c>
      <c r="I177" s="43" t="str">
        <f>IFERROR(VLOOKUP(Grid_BD[[#This Row],[Affected System]],'Basic Data'!$A$54:$E$56,3,0),"")</f>
        <v/>
      </c>
      <c r="J177" s="43" t="str">
        <f>IFERROR(VLOOKUP(Grid_BD[[#This Row],[Affected System]],'Basic Data'!$A$54:$E$56,5,0),"")</f>
        <v/>
      </c>
      <c r="K177" s="55"/>
      <c r="L177" s="50"/>
      <c r="M177" s="50"/>
      <c r="N177" s="50"/>
      <c r="O177" s="57">
        <f>(Grid_BD[[#This Row],[Work Start TimeStamp]]-Grid_BD[[#This Row],[Fault Start TimeStamp]])*24</f>
        <v>0</v>
      </c>
      <c r="P177" s="44" t="str">
        <f>IF(Grid_BD[[#This Row],[Work Start TimeStamp]]="","",(Grid_BD[[#This Row],[Fault Clearance time]]-Grid_BD[[#This Row],[Work Start TimeStamp]])*24)</f>
        <v/>
      </c>
      <c r="Q177" s="57">
        <f>(Grid_BD[[#This Row],[Fault Clearance time]]-Grid_BD[[#This Row],[Fault Start TimeStamp]])*24</f>
        <v>0</v>
      </c>
      <c r="R177" s="36"/>
      <c r="S177" s="44"/>
      <c r="T177" s="45" t="str">
        <f>IFERROR(Grid_BD[[#This Row],[Breakdown Time]]*Grid_BD[[#This Row],[Plant Equivalent Weightage]],"")</f>
        <v/>
      </c>
      <c r="U177" s="441"/>
    </row>
    <row r="178" spans="1:21">
      <c r="A178" s="28">
        <f t="shared" si="5"/>
        <v>177</v>
      </c>
      <c r="B178" s="29"/>
      <c r="C178" s="30">
        <f>YEAR(Grid_BD[[#This Row],[Date]])+IF(MONTH(Grid_BD[[#This Row],[Date]])&gt;=4,1,0)</f>
        <v>1900</v>
      </c>
      <c r="D178" s="31">
        <f>YEAR(Grid_BD[[#This Row],[Date]])</f>
        <v>1900</v>
      </c>
      <c r="E178" s="48">
        <f t="shared" si="4"/>
        <v>1</v>
      </c>
      <c r="F178" s="32" t="s">
        <v>652</v>
      </c>
      <c r="G178" s="33"/>
      <c r="H178" s="43" t="str">
        <f>IFERROR(VLOOKUP(Grid_BD[[#This Row],[Affected System]],'Basic Data'!$A$54:$E$56,2,0),"")</f>
        <v/>
      </c>
      <c r="I178" s="43" t="str">
        <f>IFERROR(VLOOKUP(Grid_BD[[#This Row],[Affected System]],'Basic Data'!$A$54:$E$56,3,0),"")</f>
        <v/>
      </c>
      <c r="J178" s="43" t="str">
        <f>IFERROR(VLOOKUP(Grid_BD[[#This Row],[Affected System]],'Basic Data'!$A$54:$E$56,5,0),"")</f>
        <v/>
      </c>
      <c r="K178" s="55"/>
      <c r="L178" s="50"/>
      <c r="M178" s="50"/>
      <c r="N178" s="50"/>
      <c r="O178" s="57">
        <f>(Grid_BD[[#This Row],[Work Start TimeStamp]]-Grid_BD[[#This Row],[Fault Start TimeStamp]])*24</f>
        <v>0</v>
      </c>
      <c r="P178" s="44" t="str">
        <f>IF(Grid_BD[[#This Row],[Work Start TimeStamp]]="","",(Grid_BD[[#This Row],[Fault Clearance time]]-Grid_BD[[#This Row],[Work Start TimeStamp]])*24)</f>
        <v/>
      </c>
      <c r="Q178" s="57">
        <f>(Grid_BD[[#This Row],[Fault Clearance time]]-Grid_BD[[#This Row],[Fault Start TimeStamp]])*24</f>
        <v>0</v>
      </c>
      <c r="R178" s="36"/>
      <c r="S178" s="44"/>
      <c r="T178" s="45" t="str">
        <f>IFERROR(Grid_BD[[#This Row],[Breakdown Time]]*Grid_BD[[#This Row],[Plant Equivalent Weightage]],"")</f>
        <v/>
      </c>
      <c r="U178" s="441"/>
    </row>
    <row r="179" spans="1:21">
      <c r="A179" s="28">
        <f t="shared" si="5"/>
        <v>178</v>
      </c>
      <c r="B179" s="29"/>
      <c r="C179" s="30">
        <f>YEAR(Grid_BD[[#This Row],[Date]])+IF(MONTH(Grid_BD[[#This Row],[Date]])&gt;=4,1,0)</f>
        <v>1900</v>
      </c>
      <c r="D179" s="31">
        <f>YEAR(Grid_BD[[#This Row],[Date]])</f>
        <v>1900</v>
      </c>
      <c r="E179" s="48">
        <f t="shared" si="4"/>
        <v>1</v>
      </c>
      <c r="F179" s="32" t="s">
        <v>652</v>
      </c>
      <c r="G179" s="33"/>
      <c r="H179" s="43" t="str">
        <f>IFERROR(VLOOKUP(Grid_BD[[#This Row],[Affected System]],'Basic Data'!$A$54:$E$56,2,0),"")</f>
        <v/>
      </c>
      <c r="I179" s="43" t="str">
        <f>IFERROR(VLOOKUP(Grid_BD[[#This Row],[Affected System]],'Basic Data'!$A$54:$E$56,3,0),"")</f>
        <v/>
      </c>
      <c r="J179" s="43" t="str">
        <f>IFERROR(VLOOKUP(Grid_BD[[#This Row],[Affected System]],'Basic Data'!$A$54:$E$56,5,0),"")</f>
        <v/>
      </c>
      <c r="K179" s="55"/>
      <c r="L179" s="50"/>
      <c r="M179" s="50"/>
      <c r="N179" s="50"/>
      <c r="O179" s="57">
        <f>(Grid_BD[[#This Row],[Work Start TimeStamp]]-Grid_BD[[#This Row],[Fault Start TimeStamp]])*24</f>
        <v>0</v>
      </c>
      <c r="P179" s="44" t="str">
        <f>IF(Grid_BD[[#This Row],[Work Start TimeStamp]]="","",(Grid_BD[[#This Row],[Fault Clearance time]]-Grid_BD[[#This Row],[Work Start TimeStamp]])*24)</f>
        <v/>
      </c>
      <c r="Q179" s="57">
        <f>(Grid_BD[[#This Row],[Fault Clearance time]]-Grid_BD[[#This Row],[Fault Start TimeStamp]])*24</f>
        <v>0</v>
      </c>
      <c r="R179" s="36"/>
      <c r="S179" s="44"/>
      <c r="T179" s="45" t="str">
        <f>IFERROR(Grid_BD[[#This Row],[Breakdown Time]]*Grid_BD[[#This Row],[Plant Equivalent Weightage]],"")</f>
        <v/>
      </c>
      <c r="U179" s="441"/>
    </row>
    <row r="180" spans="1:21">
      <c r="A180" s="28">
        <f t="shared" si="5"/>
        <v>179</v>
      </c>
      <c r="B180" s="29"/>
      <c r="C180" s="30">
        <f>YEAR(Grid_BD[[#This Row],[Date]])+IF(MONTH(Grid_BD[[#This Row],[Date]])&gt;=4,1,0)</f>
        <v>1900</v>
      </c>
      <c r="D180" s="31">
        <f>YEAR(Grid_BD[[#This Row],[Date]])</f>
        <v>1900</v>
      </c>
      <c r="E180" s="48">
        <f t="shared" si="4"/>
        <v>1</v>
      </c>
      <c r="F180" s="32" t="s">
        <v>652</v>
      </c>
      <c r="G180" s="33"/>
      <c r="H180" s="43" t="str">
        <f>IFERROR(VLOOKUP(Grid_BD[[#This Row],[Affected System]],'Basic Data'!$A$54:$E$56,2,0),"")</f>
        <v/>
      </c>
      <c r="I180" s="43" t="str">
        <f>IFERROR(VLOOKUP(Grid_BD[[#This Row],[Affected System]],'Basic Data'!$A$54:$E$56,3,0),"")</f>
        <v/>
      </c>
      <c r="J180" s="43" t="str">
        <f>IFERROR(VLOOKUP(Grid_BD[[#This Row],[Affected System]],'Basic Data'!$A$54:$E$56,5,0),"")</f>
        <v/>
      </c>
      <c r="K180" s="55"/>
      <c r="L180" s="50"/>
      <c r="M180" s="50"/>
      <c r="N180" s="50"/>
      <c r="O180" s="57">
        <f>(Grid_BD[[#This Row],[Work Start TimeStamp]]-Grid_BD[[#This Row],[Fault Start TimeStamp]])*24</f>
        <v>0</v>
      </c>
      <c r="P180" s="44" t="str">
        <f>IF(Grid_BD[[#This Row],[Work Start TimeStamp]]="","",(Grid_BD[[#This Row],[Fault Clearance time]]-Grid_BD[[#This Row],[Work Start TimeStamp]])*24)</f>
        <v/>
      </c>
      <c r="Q180" s="57">
        <f>(Grid_BD[[#This Row],[Fault Clearance time]]-Grid_BD[[#This Row],[Fault Start TimeStamp]])*24</f>
        <v>0</v>
      </c>
      <c r="R180" s="36"/>
      <c r="S180" s="44"/>
      <c r="T180" s="45" t="str">
        <f>IFERROR(Grid_BD[[#This Row],[Breakdown Time]]*Grid_BD[[#This Row],[Plant Equivalent Weightage]],"")</f>
        <v/>
      </c>
      <c r="U180" s="441"/>
    </row>
    <row r="181" spans="1:21">
      <c r="A181" s="28">
        <f t="shared" si="5"/>
        <v>180</v>
      </c>
      <c r="B181" s="29"/>
      <c r="C181" s="30">
        <f>YEAR(Grid_BD[[#This Row],[Date]])+IF(MONTH(Grid_BD[[#This Row],[Date]])&gt;=4,1,0)</f>
        <v>1900</v>
      </c>
      <c r="D181" s="31">
        <f>YEAR(Grid_BD[[#This Row],[Date]])</f>
        <v>1900</v>
      </c>
      <c r="E181" s="48">
        <f t="shared" si="4"/>
        <v>1</v>
      </c>
      <c r="F181" s="32" t="s">
        <v>652</v>
      </c>
      <c r="G181" s="33"/>
      <c r="H181" s="43" t="str">
        <f>IFERROR(VLOOKUP(Grid_BD[[#This Row],[Affected System]],'Basic Data'!$A$54:$E$56,2,0),"")</f>
        <v/>
      </c>
      <c r="I181" s="43" t="str">
        <f>IFERROR(VLOOKUP(Grid_BD[[#This Row],[Affected System]],'Basic Data'!$A$54:$E$56,3,0),"")</f>
        <v/>
      </c>
      <c r="J181" s="43" t="str">
        <f>IFERROR(VLOOKUP(Grid_BD[[#This Row],[Affected System]],'Basic Data'!$A$54:$E$56,5,0),"")</f>
        <v/>
      </c>
      <c r="K181" s="55"/>
      <c r="L181" s="50"/>
      <c r="M181" s="50"/>
      <c r="N181" s="50"/>
      <c r="O181" s="57">
        <f>(Grid_BD[[#This Row],[Work Start TimeStamp]]-Grid_BD[[#This Row],[Fault Start TimeStamp]])*24</f>
        <v>0</v>
      </c>
      <c r="P181" s="44" t="str">
        <f>IF(Grid_BD[[#This Row],[Work Start TimeStamp]]="","",(Grid_BD[[#This Row],[Fault Clearance time]]-Grid_BD[[#This Row],[Work Start TimeStamp]])*24)</f>
        <v/>
      </c>
      <c r="Q181" s="57">
        <f>(Grid_BD[[#This Row],[Fault Clearance time]]-Grid_BD[[#This Row],[Fault Start TimeStamp]])*24</f>
        <v>0</v>
      </c>
      <c r="R181" s="36"/>
      <c r="S181" s="44"/>
      <c r="T181" s="45" t="str">
        <f>IFERROR(Grid_BD[[#This Row],[Breakdown Time]]*Grid_BD[[#This Row],[Plant Equivalent Weightage]],"")</f>
        <v/>
      </c>
      <c r="U181" s="441"/>
    </row>
    <row r="182" spans="1:21">
      <c r="A182" s="28">
        <f t="shared" si="5"/>
        <v>181</v>
      </c>
      <c r="B182" s="29"/>
      <c r="C182" s="30">
        <f>YEAR(Grid_BD[[#This Row],[Date]])+IF(MONTH(Grid_BD[[#This Row],[Date]])&gt;=4,1,0)</f>
        <v>1900</v>
      </c>
      <c r="D182" s="31">
        <f>YEAR(Grid_BD[[#This Row],[Date]])</f>
        <v>1900</v>
      </c>
      <c r="E182" s="48">
        <f t="shared" si="4"/>
        <v>1</v>
      </c>
      <c r="F182" s="32" t="s">
        <v>652</v>
      </c>
      <c r="G182" s="33"/>
      <c r="H182" s="43" t="str">
        <f>IFERROR(VLOOKUP(Grid_BD[[#This Row],[Affected System]],'Basic Data'!$A$54:$E$56,2,0),"")</f>
        <v/>
      </c>
      <c r="I182" s="43" t="str">
        <f>IFERROR(VLOOKUP(Grid_BD[[#This Row],[Affected System]],'Basic Data'!$A$54:$E$56,3,0),"")</f>
        <v/>
      </c>
      <c r="J182" s="43" t="str">
        <f>IFERROR(VLOOKUP(Grid_BD[[#This Row],[Affected System]],'Basic Data'!$A$54:$E$56,5,0),"")</f>
        <v/>
      </c>
      <c r="K182" s="55"/>
      <c r="L182" s="50"/>
      <c r="M182" s="50"/>
      <c r="N182" s="50"/>
      <c r="O182" s="57">
        <f>(Grid_BD[[#This Row],[Work Start TimeStamp]]-Grid_BD[[#This Row],[Fault Start TimeStamp]])*24</f>
        <v>0</v>
      </c>
      <c r="P182" s="44" t="str">
        <f>IF(Grid_BD[[#This Row],[Work Start TimeStamp]]="","",(Grid_BD[[#This Row],[Fault Clearance time]]-Grid_BD[[#This Row],[Work Start TimeStamp]])*24)</f>
        <v/>
      </c>
      <c r="Q182" s="57">
        <f>(Grid_BD[[#This Row],[Fault Clearance time]]-Grid_BD[[#This Row],[Fault Start TimeStamp]])*24</f>
        <v>0</v>
      </c>
      <c r="R182" s="36"/>
      <c r="S182" s="44"/>
      <c r="T182" s="45" t="str">
        <f>IFERROR(Grid_BD[[#This Row],[Breakdown Time]]*Grid_BD[[#This Row],[Plant Equivalent Weightage]],"")</f>
        <v/>
      </c>
      <c r="U182" s="441"/>
    </row>
    <row r="183" spans="1:21">
      <c r="A183" s="28">
        <f t="shared" si="5"/>
        <v>182</v>
      </c>
      <c r="B183" s="40"/>
      <c r="C183" s="30">
        <f>YEAR(Grid_BD[[#This Row],[Date]])+IF(MONTH(Grid_BD[[#This Row],[Date]])&gt;=4,1,0)</f>
        <v>1900</v>
      </c>
      <c r="D183" s="31">
        <f>YEAR(Grid_BD[[#This Row],[Date]])</f>
        <v>1900</v>
      </c>
      <c r="E183" s="49">
        <f t="shared" si="4"/>
        <v>1</v>
      </c>
      <c r="F183" s="41" t="s">
        <v>652</v>
      </c>
      <c r="G183" s="46"/>
      <c r="H183" s="43" t="str">
        <f>IFERROR(VLOOKUP(Grid_BD[[#This Row],[Affected System]],'Basic Data'!$A$54:$E$56,2,0),"")</f>
        <v/>
      </c>
      <c r="I183" s="43" t="str">
        <f>IFERROR(VLOOKUP(Grid_BD[[#This Row],[Affected System]],'Basic Data'!$A$54:$E$56,3,0),"")</f>
        <v/>
      </c>
      <c r="J183" s="43" t="str">
        <f>IFERROR(VLOOKUP(Grid_BD[[#This Row],[Affected System]],'Basic Data'!$A$54:$E$56,5,0),"")</f>
        <v/>
      </c>
      <c r="K183" s="56"/>
      <c r="L183" s="53"/>
      <c r="M183" s="53"/>
      <c r="N183" s="53"/>
      <c r="O183" s="58">
        <f>(Grid_BD[[#This Row],[Work Start TimeStamp]]-Grid_BD[[#This Row],[Fault Start TimeStamp]])*24</f>
        <v>0</v>
      </c>
      <c r="P183" s="44" t="str">
        <f>IF(Grid_BD[[#This Row],[Work Start TimeStamp]]="","",(Grid_BD[[#This Row],[Fault Clearance time]]-Grid_BD[[#This Row],[Work Start TimeStamp]])*24)</f>
        <v/>
      </c>
      <c r="Q183" s="58">
        <f>(Grid_BD[[#This Row],[Fault Clearance time]]-Grid_BD[[#This Row],[Fault Start TimeStamp]])*24</f>
        <v>0</v>
      </c>
      <c r="R183" s="54"/>
      <c r="S183" s="47"/>
      <c r="T183" s="45" t="str">
        <f>IFERROR(Grid_BD[[#This Row],[Breakdown Time]]*Grid_BD[[#This Row],[Plant Equivalent Weightage]],"")</f>
        <v/>
      </c>
      <c r="U183" s="441"/>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0000000}">
          <x14:formula1>
            <xm:f>'Basic Data'!$N$3:$N$4</xm:f>
          </x14:formula1>
          <xm:sqref>S2:S183</xm:sqref>
        </x14:dataValidation>
        <x14:dataValidation type="list" allowBlank="1" showInputMessage="1" showErrorMessage="1" xr:uid="{00000000-0002-0000-0800-000001000000}">
          <x14:formula1>
            <xm:f>'Basic Data'!$A$54:$A$56</xm:f>
          </x14:formula1>
          <xm:sqref>G2:G183</xm:sqref>
        </x14:dataValidation>
        <x14:dataValidation type="list" allowBlank="1" showInputMessage="1" showErrorMessage="1" xr:uid="{95A0F1F2-3FAC-4300-BEBB-794027A09D16}">
          <x14:formula1>
            <xm:f>'Basic Data'!$Y$2:$Y$5</xm:f>
          </x14:formula1>
          <xm:sqref>U2:U1048576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FA445-497F-4493-9AD1-C9476974ED4E}">
  <sheetPr>
    <tabColor rgb="FF92D050"/>
  </sheetPr>
  <dimension ref="A1:BI47"/>
  <sheetViews>
    <sheetView topLeftCell="BB32" workbookViewId="0">
      <selection activeCell="BF38" sqref="BF38"/>
    </sheetView>
  </sheetViews>
  <sheetFormatPr defaultColWidth="9.140625" defaultRowHeight="15"/>
  <cols>
    <col min="1" max="1" width="9.28515625" style="398" bestFit="1" customWidth="1"/>
    <col min="2" max="2" width="9" style="292" customWidth="1"/>
    <col min="3" max="3" width="13.140625" style="292" bestFit="1" customWidth="1"/>
    <col min="4" max="4" width="13.5703125" style="292" bestFit="1" customWidth="1"/>
    <col min="5" max="5" width="11.7109375" style="292" customWidth="1"/>
    <col min="6" max="6" width="13" style="292" customWidth="1"/>
    <col min="7" max="7" width="11.5703125" style="292" customWidth="1"/>
    <col min="8" max="8" width="12.140625" style="292" customWidth="1"/>
    <col min="9" max="9" width="11.7109375" style="292" customWidth="1"/>
    <col min="10" max="10" width="12.28515625" style="292" customWidth="1"/>
    <col min="11" max="11" width="11.5703125" style="292" customWidth="1"/>
    <col min="12" max="12" width="12.28515625" style="292" customWidth="1"/>
    <col min="13" max="13" width="11.7109375" style="292" customWidth="1"/>
    <col min="14" max="14" width="12.5703125" style="292" customWidth="1"/>
    <col min="15" max="15" width="11.5703125" style="292" customWidth="1"/>
    <col min="16" max="16" width="15.28515625" style="292" customWidth="1"/>
    <col min="17" max="17" width="15.7109375" style="292" customWidth="1"/>
    <col min="18" max="19" width="15.28515625" style="292" customWidth="1"/>
    <col min="20" max="20" width="15.7109375" style="292" customWidth="1"/>
    <col min="21" max="22" width="13.5703125" style="292" customWidth="1"/>
    <col min="23" max="23" width="13" style="292" customWidth="1"/>
    <col min="24" max="24" width="13.42578125" style="292" customWidth="1"/>
    <col min="25" max="25" width="13" style="292" customWidth="1"/>
    <col min="26" max="26" width="13.5703125" style="292" customWidth="1"/>
    <col min="27" max="27" width="13" style="292" customWidth="1"/>
    <col min="28" max="28" width="13.42578125" style="292" customWidth="1"/>
    <col min="29" max="29" width="13" style="292" customWidth="1"/>
    <col min="30" max="30" width="13.5703125" style="292" customWidth="1"/>
    <col min="31" max="31" width="13" style="292" customWidth="1"/>
    <col min="32" max="32" width="9.85546875" style="292" customWidth="1"/>
    <col min="33" max="33" width="20.28515625" style="292" customWidth="1"/>
    <col min="34" max="34" width="10.28515625" style="292" customWidth="1"/>
    <col min="35" max="35" width="13" style="292" customWidth="1"/>
    <col min="36" max="37" width="13.5703125" style="292" customWidth="1"/>
    <col min="38" max="38" width="14.5703125" style="292" customWidth="1"/>
    <col min="39" max="39" width="12.85546875" style="292" customWidth="1"/>
    <col min="40" max="40" width="13.7109375" style="292" customWidth="1"/>
    <col min="41" max="42" width="19.5703125" style="399" customWidth="1"/>
    <col min="43" max="43" width="14.85546875" style="292" customWidth="1"/>
    <col min="44" max="44" width="14.85546875" style="400" customWidth="1"/>
    <col min="45" max="45" width="16.28515625" style="292" customWidth="1"/>
    <col min="46" max="46" width="26.42578125" style="292" customWidth="1"/>
    <col min="47" max="47" width="13.42578125" style="292" bestFit="1" customWidth="1"/>
    <col min="48" max="48" width="13" style="292" bestFit="1" customWidth="1"/>
    <col min="49" max="54" width="13" style="292" customWidth="1"/>
    <col min="55" max="55" width="19.5703125" style="292" customWidth="1"/>
    <col min="56" max="56" width="18.28515625" style="292" bestFit="1" customWidth="1"/>
    <col min="57" max="57" width="18.28515625" style="401" bestFit="1" customWidth="1"/>
    <col min="58" max="58" width="14.5703125" style="292" customWidth="1"/>
    <col min="59" max="59" width="16.140625" style="292" customWidth="1"/>
    <col min="60" max="60" width="19.140625" style="292" customWidth="1"/>
    <col min="61" max="61" width="55.42578125" style="292" bestFit="1" customWidth="1"/>
    <col min="62" max="16384" width="9.140625" style="292"/>
  </cols>
  <sheetData>
    <row r="1" spans="1:61" ht="15" customHeight="1">
      <c r="A1" s="454" t="s">
        <v>713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5"/>
      <c r="AK1" s="455"/>
      <c r="AL1" s="455"/>
      <c r="AM1" s="455"/>
      <c r="AN1" s="455"/>
      <c r="AO1" s="455"/>
      <c r="AP1" s="455"/>
      <c r="AQ1" s="455"/>
      <c r="AR1" s="455"/>
      <c r="AS1" s="455"/>
      <c r="AT1" s="455"/>
      <c r="AU1" s="455"/>
      <c r="AV1" s="456"/>
      <c r="AW1" s="291"/>
      <c r="AX1" s="291"/>
      <c r="AY1" s="291"/>
      <c r="AZ1" s="291"/>
      <c r="BA1" s="291"/>
      <c r="BB1" s="291"/>
      <c r="BC1" s="291"/>
      <c r="BE1" s="292"/>
    </row>
    <row r="2" spans="1:61" ht="15" customHeight="1">
      <c r="A2" s="457"/>
      <c r="B2" s="458"/>
      <c r="C2" s="458"/>
      <c r="D2" s="458"/>
      <c r="E2" s="458"/>
      <c r="F2" s="458"/>
      <c r="G2" s="458"/>
      <c r="H2" s="458"/>
      <c r="I2" s="458"/>
      <c r="J2" s="458"/>
      <c r="K2" s="458"/>
      <c r="L2" s="458"/>
      <c r="M2" s="458"/>
      <c r="N2" s="458"/>
      <c r="O2" s="458"/>
      <c r="P2" s="458"/>
      <c r="Q2" s="458"/>
      <c r="R2" s="458"/>
      <c r="S2" s="458"/>
      <c r="T2" s="458"/>
      <c r="U2" s="458"/>
      <c r="V2" s="458"/>
      <c r="W2" s="458"/>
      <c r="X2" s="458"/>
      <c r="Y2" s="458"/>
      <c r="Z2" s="458"/>
      <c r="AA2" s="458"/>
      <c r="AB2" s="458"/>
      <c r="AC2" s="458"/>
      <c r="AD2" s="458"/>
      <c r="AE2" s="458"/>
      <c r="AF2" s="458"/>
      <c r="AG2" s="458"/>
      <c r="AH2" s="458"/>
      <c r="AI2" s="458"/>
      <c r="AJ2" s="458"/>
      <c r="AK2" s="458"/>
      <c r="AL2" s="458"/>
      <c r="AM2" s="458"/>
      <c r="AN2" s="458"/>
      <c r="AO2" s="458"/>
      <c r="AP2" s="458"/>
      <c r="AQ2" s="458"/>
      <c r="AR2" s="458"/>
      <c r="AS2" s="458"/>
      <c r="AT2" s="458"/>
      <c r="AU2" s="458"/>
      <c r="AV2" s="459"/>
      <c r="AW2" s="293"/>
      <c r="AX2" s="293"/>
      <c r="AY2" s="293"/>
      <c r="AZ2" s="293"/>
      <c r="BA2" s="293"/>
      <c r="BB2" s="293"/>
      <c r="BC2" s="293"/>
      <c r="BE2" s="292"/>
    </row>
    <row r="3" spans="1:61" ht="15" customHeight="1" thickBot="1">
      <c r="A3" s="457"/>
      <c r="B3" s="458"/>
      <c r="C3" s="458"/>
      <c r="D3" s="458"/>
      <c r="E3" s="458"/>
      <c r="F3" s="458"/>
      <c r="G3" s="458"/>
      <c r="H3" s="458"/>
      <c r="I3" s="458"/>
      <c r="J3" s="458"/>
      <c r="K3" s="458"/>
      <c r="L3" s="458"/>
      <c r="M3" s="458"/>
      <c r="N3" s="458"/>
      <c r="O3" s="458"/>
      <c r="P3" s="458"/>
      <c r="Q3" s="458"/>
      <c r="R3" s="458"/>
      <c r="S3" s="458"/>
      <c r="T3" s="458"/>
      <c r="U3" s="458"/>
      <c r="V3" s="458"/>
      <c r="W3" s="458"/>
      <c r="X3" s="458"/>
      <c r="Y3" s="458"/>
      <c r="Z3" s="458"/>
      <c r="AA3" s="458"/>
      <c r="AB3" s="458"/>
      <c r="AC3" s="458"/>
      <c r="AD3" s="458"/>
      <c r="AE3" s="458"/>
      <c r="AF3" s="458"/>
      <c r="AG3" s="458"/>
      <c r="AH3" s="458"/>
      <c r="AI3" s="458"/>
      <c r="AJ3" s="458"/>
      <c r="AK3" s="458"/>
      <c r="AL3" s="458"/>
      <c r="AM3" s="458"/>
      <c r="AN3" s="458"/>
      <c r="AO3" s="458"/>
      <c r="AP3" s="458"/>
      <c r="AQ3" s="458"/>
      <c r="AR3" s="458"/>
      <c r="AS3" s="458"/>
      <c r="AT3" s="458"/>
      <c r="AU3" s="458"/>
      <c r="AV3" s="459"/>
      <c r="AW3" s="293"/>
      <c r="AX3" s="293"/>
      <c r="AY3" s="293"/>
      <c r="AZ3" s="293"/>
      <c r="BA3" s="293"/>
      <c r="BB3" s="293"/>
      <c r="BC3" s="293"/>
      <c r="BE3" s="292"/>
    </row>
    <row r="4" spans="1:61" s="302" customFormat="1" ht="69" customHeight="1" thickBot="1">
      <c r="A4" s="294" t="s">
        <v>714</v>
      </c>
      <c r="B4" s="295" t="s">
        <v>715</v>
      </c>
      <c r="C4" s="295" t="s">
        <v>716</v>
      </c>
      <c r="D4" s="295" t="s">
        <v>717</v>
      </c>
      <c r="E4" s="295" t="s">
        <v>718</v>
      </c>
      <c r="F4" s="295" t="s">
        <v>719</v>
      </c>
      <c r="G4" s="295" t="s">
        <v>720</v>
      </c>
      <c r="H4" s="295" t="s">
        <v>719</v>
      </c>
      <c r="I4" s="295" t="s">
        <v>721</v>
      </c>
      <c r="J4" s="295" t="s">
        <v>719</v>
      </c>
      <c r="K4" s="295" t="s">
        <v>722</v>
      </c>
      <c r="L4" s="295" t="s">
        <v>719</v>
      </c>
      <c r="M4" s="295" t="s">
        <v>723</v>
      </c>
      <c r="N4" s="295" t="s">
        <v>719</v>
      </c>
      <c r="O4" s="295" t="s">
        <v>724</v>
      </c>
      <c r="P4" s="295" t="s">
        <v>719</v>
      </c>
      <c r="Q4" s="295" t="s">
        <v>725</v>
      </c>
      <c r="R4" s="295" t="s">
        <v>719</v>
      </c>
      <c r="S4" s="295" t="s">
        <v>726</v>
      </c>
      <c r="T4" s="295" t="s">
        <v>719</v>
      </c>
      <c r="U4" s="295" t="s">
        <v>727</v>
      </c>
      <c r="V4" s="295" t="s">
        <v>719</v>
      </c>
      <c r="W4" s="295" t="s">
        <v>728</v>
      </c>
      <c r="X4" s="295" t="s">
        <v>719</v>
      </c>
      <c r="Y4" s="295" t="s">
        <v>729</v>
      </c>
      <c r="Z4" s="295" t="s">
        <v>719</v>
      </c>
      <c r="AA4" s="295" t="s">
        <v>730</v>
      </c>
      <c r="AB4" s="295" t="s">
        <v>719</v>
      </c>
      <c r="AC4" s="295" t="s">
        <v>731</v>
      </c>
      <c r="AD4" s="295" t="s">
        <v>719</v>
      </c>
      <c r="AE4" s="295" t="s">
        <v>732</v>
      </c>
      <c r="AF4" s="295" t="s">
        <v>719</v>
      </c>
      <c r="AG4" s="295" t="s">
        <v>733</v>
      </c>
      <c r="AH4" s="295" t="s">
        <v>719</v>
      </c>
      <c r="AI4" s="295" t="s">
        <v>734</v>
      </c>
      <c r="AJ4" s="295" t="s">
        <v>719</v>
      </c>
      <c r="AK4" s="295" t="s">
        <v>735</v>
      </c>
      <c r="AL4" s="295" t="s">
        <v>736</v>
      </c>
      <c r="AM4" s="295" t="s">
        <v>719</v>
      </c>
      <c r="AN4" s="295" t="s">
        <v>735</v>
      </c>
      <c r="AO4" s="296" t="s">
        <v>737</v>
      </c>
      <c r="AP4" s="296" t="s">
        <v>738</v>
      </c>
      <c r="AQ4" s="295" t="s">
        <v>739</v>
      </c>
      <c r="AR4" s="295" t="s">
        <v>740</v>
      </c>
      <c r="AS4" s="297" t="s">
        <v>735</v>
      </c>
      <c r="AT4" s="297" t="s">
        <v>741</v>
      </c>
      <c r="AU4" s="298" t="s">
        <v>742</v>
      </c>
      <c r="AV4" s="299" t="s">
        <v>719</v>
      </c>
      <c r="AW4" s="300" t="s">
        <v>735</v>
      </c>
      <c r="AX4" s="301" t="s">
        <v>743</v>
      </c>
      <c r="AY4" s="298" t="s">
        <v>744</v>
      </c>
      <c r="AZ4" s="298" t="s">
        <v>745</v>
      </c>
      <c r="BA4" s="298" t="s">
        <v>746</v>
      </c>
      <c r="BB4" s="298" t="s">
        <v>735</v>
      </c>
      <c r="BC4" s="298" t="s">
        <v>741</v>
      </c>
      <c r="BD4" s="434" t="s">
        <v>747</v>
      </c>
      <c r="BE4" s="435" t="s">
        <v>748</v>
      </c>
      <c r="BF4" s="435" t="s">
        <v>749</v>
      </c>
      <c r="BG4" s="436" t="s">
        <v>750</v>
      </c>
      <c r="BH4" s="437" t="s">
        <v>751</v>
      </c>
      <c r="BI4" s="438" t="s">
        <v>12</v>
      </c>
    </row>
    <row r="5" spans="1:61" s="328" customFormat="1">
      <c r="A5" s="303">
        <v>1</v>
      </c>
      <c r="B5" s="304" t="s">
        <v>752</v>
      </c>
      <c r="C5" s="305" t="s">
        <v>753</v>
      </c>
      <c r="D5" s="304">
        <v>100261368</v>
      </c>
      <c r="E5" s="306">
        <v>41992</v>
      </c>
      <c r="F5" s="307">
        <v>41992</v>
      </c>
      <c r="G5" s="306">
        <v>42174</v>
      </c>
      <c r="H5" s="308">
        <v>42177</v>
      </c>
      <c r="I5" s="306">
        <v>42357</v>
      </c>
      <c r="J5" s="308">
        <v>42357</v>
      </c>
      <c r="K5" s="306">
        <v>42540</v>
      </c>
      <c r="L5" s="308">
        <v>42565</v>
      </c>
      <c r="M5" s="306">
        <v>42723</v>
      </c>
      <c r="N5" s="308">
        <v>42730</v>
      </c>
      <c r="O5" s="306">
        <v>42905</v>
      </c>
      <c r="P5" s="309">
        <v>42909</v>
      </c>
      <c r="Q5" s="306">
        <v>43088</v>
      </c>
      <c r="R5" s="309">
        <v>43111</v>
      </c>
      <c r="S5" s="306">
        <v>43270</v>
      </c>
      <c r="T5" s="309">
        <v>43318</v>
      </c>
      <c r="U5" s="310">
        <v>43448</v>
      </c>
      <c r="V5" s="311">
        <v>43493</v>
      </c>
      <c r="W5" s="310">
        <v>43715</v>
      </c>
      <c r="X5" s="311">
        <v>43712</v>
      </c>
      <c r="Y5" s="312">
        <v>43895</v>
      </c>
      <c r="Z5" s="313">
        <v>43946</v>
      </c>
      <c r="AA5" s="312">
        <v>44075</v>
      </c>
      <c r="AB5" s="313">
        <v>44187</v>
      </c>
      <c r="AC5" s="312">
        <v>44256</v>
      </c>
      <c r="AD5" s="313">
        <v>44281</v>
      </c>
      <c r="AE5" s="312">
        <v>44440</v>
      </c>
      <c r="AF5" s="313">
        <v>44700</v>
      </c>
      <c r="AG5" s="312">
        <v>44621</v>
      </c>
      <c r="AH5" s="313">
        <v>44700</v>
      </c>
      <c r="AI5" s="312">
        <v>44805</v>
      </c>
      <c r="AJ5" s="313">
        <v>44828</v>
      </c>
      <c r="AK5" s="314">
        <f t="shared" ref="AK5:AK44" si="0">AJ5-AI5</f>
        <v>23</v>
      </c>
      <c r="AL5" s="315">
        <v>44985</v>
      </c>
      <c r="AM5" s="316">
        <v>44999</v>
      </c>
      <c r="AN5" s="317">
        <f t="shared" ref="AN5:AN44" si="1">AM5-AL5</f>
        <v>14</v>
      </c>
      <c r="AO5" s="318">
        <v>45209</v>
      </c>
      <c r="AP5" s="318">
        <v>45210</v>
      </c>
      <c r="AQ5" s="319">
        <v>45276</v>
      </c>
      <c r="AR5" s="319">
        <v>45278</v>
      </c>
      <c r="AS5" s="320">
        <f>AR5-AP5</f>
        <v>68</v>
      </c>
      <c r="AT5" s="321"/>
      <c r="AU5" s="322">
        <v>45352</v>
      </c>
      <c r="AV5" s="323">
        <v>45355</v>
      </c>
      <c r="AW5" s="324">
        <v>3</v>
      </c>
      <c r="AX5" s="325"/>
      <c r="AY5" s="326"/>
      <c r="AZ5" s="326"/>
      <c r="BA5" s="326"/>
      <c r="BB5" s="326"/>
      <c r="BC5" s="327"/>
      <c r="BD5" s="415"/>
      <c r="BE5" s="431"/>
      <c r="BF5" s="422"/>
      <c r="BG5" s="422"/>
      <c r="BH5" s="432"/>
      <c r="BI5" s="433"/>
    </row>
    <row r="6" spans="1:61" s="328" customFormat="1">
      <c r="A6" s="329">
        <v>2</v>
      </c>
      <c r="B6" s="330" t="s">
        <v>754</v>
      </c>
      <c r="C6" s="331" t="s">
        <v>753</v>
      </c>
      <c r="D6" s="330">
        <v>100261366</v>
      </c>
      <c r="E6" s="332">
        <v>41994</v>
      </c>
      <c r="F6" s="333">
        <v>41994</v>
      </c>
      <c r="G6" s="332">
        <v>42176</v>
      </c>
      <c r="H6" s="334">
        <v>42217</v>
      </c>
      <c r="I6" s="332">
        <v>42359</v>
      </c>
      <c r="J6" s="334">
        <v>42359</v>
      </c>
      <c r="K6" s="332">
        <v>42542</v>
      </c>
      <c r="L6" s="334">
        <v>42572</v>
      </c>
      <c r="M6" s="332">
        <v>42725</v>
      </c>
      <c r="N6" s="334">
        <v>42732</v>
      </c>
      <c r="O6" s="332">
        <v>42907</v>
      </c>
      <c r="P6" s="335">
        <v>42910</v>
      </c>
      <c r="Q6" s="332">
        <v>43090</v>
      </c>
      <c r="R6" s="335">
        <v>43108</v>
      </c>
      <c r="S6" s="332">
        <v>43272</v>
      </c>
      <c r="T6" s="335">
        <v>43320</v>
      </c>
      <c r="U6" s="336">
        <v>43450</v>
      </c>
      <c r="V6" s="337">
        <v>43494</v>
      </c>
      <c r="W6" s="336">
        <v>43716</v>
      </c>
      <c r="X6" s="337">
        <v>43715</v>
      </c>
      <c r="Y6" s="338">
        <v>43896</v>
      </c>
      <c r="Z6" s="339">
        <v>43951</v>
      </c>
      <c r="AA6" s="338">
        <v>44076</v>
      </c>
      <c r="AB6" s="339">
        <v>44183</v>
      </c>
      <c r="AC6" s="338">
        <v>44257</v>
      </c>
      <c r="AD6" s="339">
        <v>44282</v>
      </c>
      <c r="AE6" s="338">
        <v>44440</v>
      </c>
      <c r="AF6" s="339">
        <v>44701</v>
      </c>
      <c r="AG6" s="338">
        <v>44622</v>
      </c>
      <c r="AH6" s="339">
        <v>44701</v>
      </c>
      <c r="AI6" s="338">
        <v>44805</v>
      </c>
      <c r="AJ6" s="339">
        <v>44829</v>
      </c>
      <c r="AK6" s="340">
        <f t="shared" si="0"/>
        <v>24</v>
      </c>
      <c r="AL6" s="341">
        <v>44985</v>
      </c>
      <c r="AM6" s="341">
        <v>45002</v>
      </c>
      <c r="AN6" s="342">
        <f t="shared" si="1"/>
        <v>17</v>
      </c>
      <c r="AO6" s="343">
        <v>45211</v>
      </c>
      <c r="AP6" s="343">
        <v>45212</v>
      </c>
      <c r="AQ6" s="344">
        <v>45209</v>
      </c>
      <c r="AR6" s="344">
        <v>45230</v>
      </c>
      <c r="AS6" s="345">
        <f>AR6-AP6</f>
        <v>18</v>
      </c>
      <c r="AT6" s="346"/>
      <c r="AU6" s="347">
        <v>45353</v>
      </c>
      <c r="AV6" s="348">
        <v>45356</v>
      </c>
      <c r="AW6" s="349">
        <v>3</v>
      </c>
      <c r="AX6" s="350">
        <v>45601</v>
      </c>
      <c r="AY6" s="351">
        <v>45602</v>
      </c>
      <c r="AZ6" s="351">
        <v>45602</v>
      </c>
      <c r="BA6" s="351">
        <v>45603</v>
      </c>
      <c r="BB6" s="352">
        <v>1</v>
      </c>
      <c r="BC6" s="353" t="s">
        <v>755</v>
      </c>
      <c r="BD6" s="414" t="s">
        <v>756</v>
      </c>
      <c r="BE6" s="402">
        <v>45773</v>
      </c>
      <c r="BF6" s="403">
        <v>45773</v>
      </c>
      <c r="BG6" s="419">
        <f t="shared" ref="BG6:BG44" si="2">BF6-BE6</f>
        <v>0</v>
      </c>
      <c r="BH6" s="420">
        <f t="shared" ref="BH6:BH18" si="3">IF(BG6&lt;-15,100-((-1*BG6-15)/90)*100,IF(BG6&gt;15,100-((BG6-15)/90)*100,1*100))</f>
        <v>100</v>
      </c>
      <c r="BI6" s="421" t="s">
        <v>757</v>
      </c>
    </row>
    <row r="7" spans="1:61" s="328" customFormat="1">
      <c r="A7" s="329">
        <v>3</v>
      </c>
      <c r="B7" s="330" t="s">
        <v>758</v>
      </c>
      <c r="C7" s="331" t="s">
        <v>753</v>
      </c>
      <c r="D7" s="330">
        <v>100261367</v>
      </c>
      <c r="E7" s="332">
        <v>41996</v>
      </c>
      <c r="F7" s="333">
        <v>41996</v>
      </c>
      <c r="G7" s="332">
        <v>42178</v>
      </c>
      <c r="H7" s="334">
        <v>42172</v>
      </c>
      <c r="I7" s="332">
        <v>42361</v>
      </c>
      <c r="J7" s="334">
        <v>42360</v>
      </c>
      <c r="K7" s="332">
        <v>42544</v>
      </c>
      <c r="L7" s="334">
        <v>42573</v>
      </c>
      <c r="M7" s="332">
        <v>42727</v>
      </c>
      <c r="N7" s="334">
        <v>42731</v>
      </c>
      <c r="O7" s="332">
        <v>42909</v>
      </c>
      <c r="P7" s="335">
        <v>42923</v>
      </c>
      <c r="Q7" s="332">
        <v>43092</v>
      </c>
      <c r="R7" s="335">
        <v>43109</v>
      </c>
      <c r="S7" s="332">
        <v>43274</v>
      </c>
      <c r="T7" s="335">
        <v>43326</v>
      </c>
      <c r="U7" s="336">
        <v>43452</v>
      </c>
      <c r="V7" s="337">
        <v>43495</v>
      </c>
      <c r="W7" s="336">
        <v>43717</v>
      </c>
      <c r="X7" s="337">
        <v>43724</v>
      </c>
      <c r="Y7" s="338">
        <v>43897</v>
      </c>
      <c r="Z7" s="339">
        <v>43952</v>
      </c>
      <c r="AA7" s="338">
        <v>44077</v>
      </c>
      <c r="AB7" s="339">
        <v>44182</v>
      </c>
      <c r="AC7" s="338">
        <v>44258</v>
      </c>
      <c r="AD7" s="339">
        <v>44283</v>
      </c>
      <c r="AE7" s="338">
        <v>44442</v>
      </c>
      <c r="AF7" s="339">
        <v>44700</v>
      </c>
      <c r="AG7" s="338">
        <v>44623</v>
      </c>
      <c r="AH7" s="339">
        <v>44700</v>
      </c>
      <c r="AI7" s="338">
        <v>44807</v>
      </c>
      <c r="AJ7" s="339">
        <v>44830</v>
      </c>
      <c r="AK7" s="340">
        <f t="shared" si="0"/>
        <v>23</v>
      </c>
      <c r="AL7" s="341">
        <v>44987</v>
      </c>
      <c r="AM7" s="341">
        <v>45006</v>
      </c>
      <c r="AN7" s="342">
        <f t="shared" si="1"/>
        <v>19</v>
      </c>
      <c r="AO7" s="343">
        <v>45213</v>
      </c>
      <c r="AP7" s="343">
        <v>45214</v>
      </c>
      <c r="AQ7" s="344">
        <v>45278</v>
      </c>
      <c r="AR7" s="344">
        <v>45276</v>
      </c>
      <c r="AS7" s="345">
        <f>AR7-AP7</f>
        <v>62</v>
      </c>
      <c r="AT7" s="346"/>
      <c r="AU7" s="347">
        <v>45355</v>
      </c>
      <c r="AV7" s="348">
        <v>45357</v>
      </c>
      <c r="AW7" s="349">
        <v>2</v>
      </c>
      <c r="AX7" s="350">
        <v>45603</v>
      </c>
      <c r="AY7" s="351">
        <v>45604</v>
      </c>
      <c r="AZ7" s="351">
        <v>45604</v>
      </c>
      <c r="BA7" s="351">
        <v>45605</v>
      </c>
      <c r="BB7" s="352">
        <v>1</v>
      </c>
      <c r="BC7" s="353" t="s">
        <v>755</v>
      </c>
      <c r="BD7" s="414" t="s">
        <v>759</v>
      </c>
      <c r="BE7" s="404">
        <v>45774</v>
      </c>
      <c r="BF7" s="403">
        <v>45774</v>
      </c>
      <c r="BG7" s="419">
        <f t="shared" si="2"/>
        <v>0</v>
      </c>
      <c r="BH7" s="420">
        <f t="shared" si="3"/>
        <v>100</v>
      </c>
      <c r="BI7" s="421"/>
    </row>
    <row r="8" spans="1:61" s="328" customFormat="1">
      <c r="A8" s="329">
        <v>4</v>
      </c>
      <c r="B8" s="330" t="s">
        <v>760</v>
      </c>
      <c r="C8" s="331" t="s">
        <v>761</v>
      </c>
      <c r="D8" s="330">
        <v>100261341</v>
      </c>
      <c r="E8" s="332">
        <v>41998</v>
      </c>
      <c r="F8" s="333">
        <v>41998</v>
      </c>
      <c r="G8" s="332">
        <v>42180</v>
      </c>
      <c r="H8" s="334">
        <v>42176</v>
      </c>
      <c r="I8" s="332">
        <v>42363</v>
      </c>
      <c r="J8" s="334">
        <v>42364</v>
      </c>
      <c r="K8" s="332">
        <v>42546</v>
      </c>
      <c r="L8" s="334">
        <v>42574</v>
      </c>
      <c r="M8" s="332">
        <v>42729</v>
      </c>
      <c r="N8" s="334">
        <v>42737</v>
      </c>
      <c r="O8" s="332">
        <v>42911</v>
      </c>
      <c r="P8" s="335">
        <v>42935</v>
      </c>
      <c r="Q8" s="332">
        <v>43094</v>
      </c>
      <c r="R8" s="335">
        <v>43112</v>
      </c>
      <c r="S8" s="332">
        <v>43276</v>
      </c>
      <c r="T8" s="335">
        <v>43336</v>
      </c>
      <c r="U8" s="336">
        <v>43454</v>
      </c>
      <c r="V8" s="337">
        <v>43498</v>
      </c>
      <c r="W8" s="336">
        <v>43718</v>
      </c>
      <c r="X8" s="337">
        <v>43725</v>
      </c>
      <c r="Y8" s="338">
        <v>43898</v>
      </c>
      <c r="Z8" s="339">
        <v>43953</v>
      </c>
      <c r="AA8" s="338">
        <v>44078</v>
      </c>
      <c r="AB8" s="339">
        <v>44190</v>
      </c>
      <c r="AC8" s="338">
        <v>44259</v>
      </c>
      <c r="AD8" s="339">
        <v>44284</v>
      </c>
      <c r="AE8" s="338">
        <v>44442</v>
      </c>
      <c r="AF8" s="339">
        <v>44702</v>
      </c>
      <c r="AG8" s="338">
        <v>44624</v>
      </c>
      <c r="AH8" s="339">
        <v>44702</v>
      </c>
      <c r="AI8" s="338">
        <v>44807</v>
      </c>
      <c r="AJ8" s="339">
        <v>44831</v>
      </c>
      <c r="AK8" s="340">
        <f t="shared" si="0"/>
        <v>24</v>
      </c>
      <c r="AL8" s="341">
        <v>44987</v>
      </c>
      <c r="AM8" s="341">
        <v>45009</v>
      </c>
      <c r="AN8" s="342">
        <f t="shared" si="1"/>
        <v>22</v>
      </c>
      <c r="AO8" s="343">
        <v>45215</v>
      </c>
      <c r="AP8" s="343">
        <v>45216</v>
      </c>
      <c r="AQ8" s="344">
        <v>45218</v>
      </c>
      <c r="AR8" s="344">
        <v>45248</v>
      </c>
      <c r="AS8" s="345">
        <f t="shared" ref="AS8:AS44" si="4">AR8-AP8</f>
        <v>32</v>
      </c>
      <c r="AT8" s="354" t="s">
        <v>762</v>
      </c>
      <c r="AU8" s="347">
        <v>45356</v>
      </c>
      <c r="AV8" s="348">
        <v>45359</v>
      </c>
      <c r="AW8" s="349">
        <v>3</v>
      </c>
      <c r="AX8" s="350">
        <v>45605</v>
      </c>
      <c r="AY8" s="351">
        <v>45607</v>
      </c>
      <c r="AZ8" s="351">
        <v>45614</v>
      </c>
      <c r="BA8" s="351">
        <v>45615</v>
      </c>
      <c r="BB8" s="352">
        <v>8</v>
      </c>
      <c r="BC8" s="353" t="s">
        <v>763</v>
      </c>
      <c r="BD8" s="415" t="s">
        <v>764</v>
      </c>
      <c r="BE8" s="405">
        <v>45815</v>
      </c>
      <c r="BF8" s="406"/>
      <c r="BG8" s="422">
        <f t="shared" si="2"/>
        <v>-45815</v>
      </c>
      <c r="BH8" s="423">
        <f t="shared" si="3"/>
        <v>-50788.888888888891</v>
      </c>
      <c r="BI8" s="424" t="s">
        <v>765</v>
      </c>
    </row>
    <row r="9" spans="1:61" s="328" customFormat="1">
      <c r="A9" s="329">
        <v>5</v>
      </c>
      <c r="B9" s="330" t="s">
        <v>766</v>
      </c>
      <c r="C9" s="331" t="s">
        <v>761</v>
      </c>
      <c r="D9" s="330">
        <v>100261340</v>
      </c>
      <c r="E9" s="332">
        <v>42000</v>
      </c>
      <c r="F9" s="333">
        <v>42000</v>
      </c>
      <c r="G9" s="332">
        <v>42182</v>
      </c>
      <c r="H9" s="334">
        <v>42182</v>
      </c>
      <c r="I9" s="332">
        <v>42365</v>
      </c>
      <c r="J9" s="334">
        <v>42366</v>
      </c>
      <c r="K9" s="332">
        <v>42548</v>
      </c>
      <c r="L9" s="334">
        <v>42576</v>
      </c>
      <c r="M9" s="332">
        <v>42731</v>
      </c>
      <c r="N9" s="334">
        <v>42738</v>
      </c>
      <c r="O9" s="332">
        <v>42913</v>
      </c>
      <c r="P9" s="335">
        <v>42924</v>
      </c>
      <c r="Q9" s="332">
        <v>43096</v>
      </c>
      <c r="R9" s="335">
        <v>43113</v>
      </c>
      <c r="S9" s="332">
        <v>43278</v>
      </c>
      <c r="T9" s="335">
        <v>43329</v>
      </c>
      <c r="U9" s="336">
        <v>43456</v>
      </c>
      <c r="V9" s="337">
        <v>43497</v>
      </c>
      <c r="W9" s="336">
        <v>43719</v>
      </c>
      <c r="X9" s="337">
        <v>43726</v>
      </c>
      <c r="Y9" s="338">
        <v>43899</v>
      </c>
      <c r="Z9" s="339">
        <v>43954</v>
      </c>
      <c r="AA9" s="338">
        <v>44079</v>
      </c>
      <c r="AB9" s="339">
        <v>44189</v>
      </c>
      <c r="AC9" s="338">
        <v>44260</v>
      </c>
      <c r="AD9" s="339">
        <v>44285</v>
      </c>
      <c r="AE9" s="338">
        <v>44445</v>
      </c>
      <c r="AF9" s="339">
        <v>44704</v>
      </c>
      <c r="AG9" s="338">
        <v>44625</v>
      </c>
      <c r="AH9" s="339">
        <v>44704</v>
      </c>
      <c r="AI9" s="338">
        <v>44810</v>
      </c>
      <c r="AJ9" s="339">
        <v>44832</v>
      </c>
      <c r="AK9" s="340">
        <f t="shared" si="0"/>
        <v>22</v>
      </c>
      <c r="AL9" s="341">
        <v>44990</v>
      </c>
      <c r="AM9" s="341">
        <v>45012</v>
      </c>
      <c r="AN9" s="342">
        <f t="shared" si="1"/>
        <v>22</v>
      </c>
      <c r="AO9" s="343">
        <v>45217</v>
      </c>
      <c r="AP9" s="343">
        <v>45218</v>
      </c>
      <c r="AQ9" s="344">
        <v>45217</v>
      </c>
      <c r="AR9" s="344">
        <v>45237</v>
      </c>
      <c r="AS9" s="345">
        <f t="shared" si="4"/>
        <v>19</v>
      </c>
      <c r="AT9" s="354" t="s">
        <v>762</v>
      </c>
      <c r="AU9" s="347">
        <v>45357</v>
      </c>
      <c r="AV9" s="348">
        <v>45360</v>
      </c>
      <c r="AW9" s="349">
        <v>3</v>
      </c>
      <c r="AX9" s="350">
        <v>45608</v>
      </c>
      <c r="AY9" s="351">
        <v>45609</v>
      </c>
      <c r="AZ9" s="351">
        <v>45619</v>
      </c>
      <c r="BA9" s="351">
        <v>45620</v>
      </c>
      <c r="BB9" s="352">
        <v>11</v>
      </c>
      <c r="BC9" s="353"/>
      <c r="BD9" s="414" t="s">
        <v>767</v>
      </c>
      <c r="BE9" s="407">
        <v>45775</v>
      </c>
      <c r="BF9" s="403">
        <v>45775</v>
      </c>
      <c r="BG9" s="419">
        <f t="shared" si="2"/>
        <v>0</v>
      </c>
      <c r="BH9" s="420">
        <f t="shared" si="3"/>
        <v>100</v>
      </c>
      <c r="BI9" s="421"/>
    </row>
    <row r="10" spans="1:61" s="328" customFormat="1">
      <c r="A10" s="329">
        <v>6</v>
      </c>
      <c r="B10" s="330" t="s">
        <v>768</v>
      </c>
      <c r="C10" s="331" t="s">
        <v>761</v>
      </c>
      <c r="D10" s="330">
        <v>100261337</v>
      </c>
      <c r="E10" s="332">
        <v>42005</v>
      </c>
      <c r="F10" s="333">
        <v>42005</v>
      </c>
      <c r="G10" s="332">
        <v>42186</v>
      </c>
      <c r="H10" s="334">
        <v>42195</v>
      </c>
      <c r="I10" s="332">
        <v>42370</v>
      </c>
      <c r="J10" s="334">
        <v>42367</v>
      </c>
      <c r="K10" s="332">
        <v>42552</v>
      </c>
      <c r="L10" s="334">
        <v>42577</v>
      </c>
      <c r="M10" s="332">
        <v>42736</v>
      </c>
      <c r="N10" s="334">
        <v>42754</v>
      </c>
      <c r="O10" s="332">
        <v>42917</v>
      </c>
      <c r="P10" s="335">
        <v>42926</v>
      </c>
      <c r="Q10" s="332">
        <v>43101</v>
      </c>
      <c r="R10" s="335">
        <v>43115</v>
      </c>
      <c r="S10" s="332">
        <v>43282</v>
      </c>
      <c r="T10" s="335">
        <v>43328</v>
      </c>
      <c r="U10" s="336">
        <v>43461</v>
      </c>
      <c r="V10" s="337">
        <v>43496</v>
      </c>
      <c r="W10" s="336">
        <v>43720</v>
      </c>
      <c r="X10" s="337">
        <v>43729</v>
      </c>
      <c r="Y10" s="338">
        <v>43900</v>
      </c>
      <c r="Z10" s="339">
        <v>43955</v>
      </c>
      <c r="AA10" s="338">
        <v>44080</v>
      </c>
      <c r="AB10" s="339">
        <v>44188</v>
      </c>
      <c r="AC10" s="338">
        <v>44263</v>
      </c>
      <c r="AD10" s="339">
        <v>44286</v>
      </c>
      <c r="AE10" s="338">
        <v>44445</v>
      </c>
      <c r="AF10" s="339">
        <v>44705</v>
      </c>
      <c r="AG10" s="338">
        <v>44627</v>
      </c>
      <c r="AH10" s="339">
        <v>44705</v>
      </c>
      <c r="AI10" s="338">
        <v>44810</v>
      </c>
      <c r="AJ10" s="339">
        <v>44833</v>
      </c>
      <c r="AK10" s="340">
        <f t="shared" si="0"/>
        <v>23</v>
      </c>
      <c r="AL10" s="341">
        <v>44990</v>
      </c>
      <c r="AM10" s="341">
        <v>45013</v>
      </c>
      <c r="AN10" s="342">
        <f t="shared" si="1"/>
        <v>23</v>
      </c>
      <c r="AO10" s="343">
        <v>45219</v>
      </c>
      <c r="AP10" s="343">
        <v>45220</v>
      </c>
      <c r="AQ10" s="344">
        <v>45216</v>
      </c>
      <c r="AR10" s="344">
        <v>45236</v>
      </c>
      <c r="AS10" s="345">
        <f t="shared" si="4"/>
        <v>16</v>
      </c>
      <c r="AT10" s="354" t="s">
        <v>762</v>
      </c>
      <c r="AU10" s="347">
        <v>45358</v>
      </c>
      <c r="AV10" s="348">
        <v>45362</v>
      </c>
      <c r="AW10" s="349">
        <v>4</v>
      </c>
      <c r="AX10" s="350">
        <v>45610</v>
      </c>
      <c r="AY10" s="351">
        <v>45611</v>
      </c>
      <c r="AZ10" s="351">
        <v>45617</v>
      </c>
      <c r="BA10" s="351">
        <v>45618</v>
      </c>
      <c r="BB10" s="352">
        <v>7</v>
      </c>
      <c r="BC10" s="353" t="s">
        <v>755</v>
      </c>
      <c r="BD10" s="415" t="s">
        <v>769</v>
      </c>
      <c r="BE10" s="405">
        <v>45816</v>
      </c>
      <c r="BF10" s="406"/>
      <c r="BG10" s="422">
        <f t="shared" si="2"/>
        <v>-45816</v>
      </c>
      <c r="BH10" s="423">
        <f t="shared" si="3"/>
        <v>-50790</v>
      </c>
      <c r="BI10" s="424" t="s">
        <v>770</v>
      </c>
    </row>
    <row r="11" spans="1:61" s="328" customFormat="1">
      <c r="A11" s="329">
        <v>7</v>
      </c>
      <c r="B11" s="330" t="s">
        <v>771</v>
      </c>
      <c r="C11" s="331" t="s">
        <v>753</v>
      </c>
      <c r="D11" s="330">
        <v>100261333</v>
      </c>
      <c r="E11" s="332">
        <v>42008</v>
      </c>
      <c r="F11" s="333">
        <v>42008</v>
      </c>
      <c r="G11" s="332">
        <v>42189</v>
      </c>
      <c r="H11" s="334">
        <v>42217</v>
      </c>
      <c r="I11" s="332">
        <v>42373</v>
      </c>
      <c r="J11" s="334">
        <v>42373</v>
      </c>
      <c r="K11" s="332">
        <v>42555</v>
      </c>
      <c r="L11" s="334">
        <v>42581</v>
      </c>
      <c r="M11" s="332">
        <v>42739</v>
      </c>
      <c r="N11" s="334">
        <v>42758</v>
      </c>
      <c r="O11" s="332">
        <v>42920</v>
      </c>
      <c r="P11" s="335">
        <v>42949</v>
      </c>
      <c r="Q11" s="332">
        <v>43104</v>
      </c>
      <c r="R11" s="335">
        <v>43116</v>
      </c>
      <c r="S11" s="332">
        <v>43285</v>
      </c>
      <c r="T11" s="335">
        <v>43330</v>
      </c>
      <c r="U11" s="336">
        <v>43464</v>
      </c>
      <c r="V11" s="337">
        <v>43500</v>
      </c>
      <c r="W11" s="336">
        <v>43721</v>
      </c>
      <c r="X11" s="337">
        <v>43731</v>
      </c>
      <c r="Y11" s="338">
        <v>43901</v>
      </c>
      <c r="Z11" s="339">
        <v>43964</v>
      </c>
      <c r="AA11" s="338">
        <v>44081</v>
      </c>
      <c r="AB11" s="339">
        <v>44191</v>
      </c>
      <c r="AC11" s="338">
        <v>44264</v>
      </c>
      <c r="AD11" s="339">
        <v>44287</v>
      </c>
      <c r="AE11" s="338">
        <v>44447</v>
      </c>
      <c r="AF11" s="339">
        <v>44714</v>
      </c>
      <c r="AG11" s="338">
        <v>44628</v>
      </c>
      <c r="AH11" s="339">
        <v>44714</v>
      </c>
      <c r="AI11" s="338">
        <v>44812</v>
      </c>
      <c r="AJ11" s="339">
        <v>44835</v>
      </c>
      <c r="AK11" s="340">
        <f t="shared" si="0"/>
        <v>23</v>
      </c>
      <c r="AL11" s="341">
        <v>44992</v>
      </c>
      <c r="AM11" s="341">
        <v>45015</v>
      </c>
      <c r="AN11" s="342">
        <f t="shared" si="1"/>
        <v>23</v>
      </c>
      <c r="AO11" s="343">
        <v>45221</v>
      </c>
      <c r="AP11" s="343">
        <v>45222</v>
      </c>
      <c r="AQ11" s="344">
        <v>45246</v>
      </c>
      <c r="AR11" s="344">
        <v>45247</v>
      </c>
      <c r="AS11" s="345">
        <f t="shared" si="4"/>
        <v>25</v>
      </c>
      <c r="AT11" s="346"/>
      <c r="AU11" s="347">
        <v>45359</v>
      </c>
      <c r="AV11" s="348">
        <v>45363</v>
      </c>
      <c r="AW11" s="349">
        <v>4</v>
      </c>
      <c r="AX11" s="350">
        <v>45612</v>
      </c>
      <c r="AY11" s="351">
        <v>45614</v>
      </c>
      <c r="AZ11" s="351">
        <v>45606</v>
      </c>
      <c r="BA11" s="351">
        <v>45607</v>
      </c>
      <c r="BB11" s="352">
        <v>-7</v>
      </c>
      <c r="BC11" s="353" t="s">
        <v>755</v>
      </c>
      <c r="BD11" s="414" t="s">
        <v>772</v>
      </c>
      <c r="BE11" s="408">
        <v>45776</v>
      </c>
      <c r="BF11" s="403">
        <v>45776</v>
      </c>
      <c r="BG11" s="419">
        <f t="shared" si="2"/>
        <v>0</v>
      </c>
      <c r="BH11" s="420">
        <f t="shared" si="3"/>
        <v>100</v>
      </c>
      <c r="BI11" s="421"/>
    </row>
    <row r="12" spans="1:61" s="328" customFormat="1">
      <c r="A12" s="329">
        <v>8</v>
      </c>
      <c r="B12" s="330" t="s">
        <v>773</v>
      </c>
      <c r="C12" s="331" t="s">
        <v>753</v>
      </c>
      <c r="D12" s="330">
        <v>100261334</v>
      </c>
      <c r="E12" s="355">
        <v>42011</v>
      </c>
      <c r="F12" s="356">
        <v>42011</v>
      </c>
      <c r="G12" s="332">
        <v>42192</v>
      </c>
      <c r="H12" s="334">
        <v>42205</v>
      </c>
      <c r="I12" s="355">
        <v>42376</v>
      </c>
      <c r="J12" s="334">
        <v>42375</v>
      </c>
      <c r="K12" s="332">
        <v>42558</v>
      </c>
      <c r="L12" s="334">
        <v>42583</v>
      </c>
      <c r="M12" s="355">
        <v>42742</v>
      </c>
      <c r="N12" s="334">
        <v>42759</v>
      </c>
      <c r="O12" s="332">
        <v>42923</v>
      </c>
      <c r="P12" s="335">
        <v>42951</v>
      </c>
      <c r="Q12" s="355">
        <v>43107</v>
      </c>
      <c r="R12" s="335">
        <v>43117</v>
      </c>
      <c r="S12" s="332">
        <v>43288</v>
      </c>
      <c r="T12" s="335">
        <v>43332</v>
      </c>
      <c r="U12" s="336">
        <v>43467</v>
      </c>
      <c r="V12" s="337">
        <v>43502</v>
      </c>
      <c r="W12" s="336">
        <v>43722</v>
      </c>
      <c r="X12" s="337">
        <v>43733</v>
      </c>
      <c r="Y12" s="338">
        <v>43902</v>
      </c>
      <c r="Z12" s="339">
        <v>43965</v>
      </c>
      <c r="AA12" s="338">
        <v>44082</v>
      </c>
      <c r="AB12" s="339">
        <v>44192</v>
      </c>
      <c r="AC12" s="338">
        <v>44265</v>
      </c>
      <c r="AD12" s="339">
        <v>44288</v>
      </c>
      <c r="AE12" s="338">
        <v>44447</v>
      </c>
      <c r="AF12" s="339">
        <v>44715</v>
      </c>
      <c r="AG12" s="338">
        <v>44629</v>
      </c>
      <c r="AH12" s="339">
        <v>44715</v>
      </c>
      <c r="AI12" s="338">
        <v>44812</v>
      </c>
      <c r="AJ12" s="339">
        <v>44836</v>
      </c>
      <c r="AK12" s="340">
        <f t="shared" si="0"/>
        <v>24</v>
      </c>
      <c r="AL12" s="341">
        <v>44992</v>
      </c>
      <c r="AM12" s="341">
        <v>45016</v>
      </c>
      <c r="AN12" s="342">
        <f t="shared" si="1"/>
        <v>24</v>
      </c>
      <c r="AO12" s="343">
        <v>45223</v>
      </c>
      <c r="AP12" s="343">
        <v>45224</v>
      </c>
      <c r="AQ12" s="344">
        <v>45226</v>
      </c>
      <c r="AR12" s="344">
        <v>45238</v>
      </c>
      <c r="AS12" s="345">
        <f t="shared" si="4"/>
        <v>14</v>
      </c>
      <c r="AT12" s="354" t="s">
        <v>762</v>
      </c>
      <c r="AU12" s="347">
        <v>45360</v>
      </c>
      <c r="AV12" s="348">
        <v>45366</v>
      </c>
      <c r="AW12" s="349">
        <v>6</v>
      </c>
      <c r="AX12" s="350">
        <v>45615</v>
      </c>
      <c r="AY12" s="351">
        <v>45616</v>
      </c>
      <c r="AZ12" s="351">
        <v>45608</v>
      </c>
      <c r="BA12" s="351">
        <v>45610</v>
      </c>
      <c r="BB12" s="352">
        <v>-6</v>
      </c>
      <c r="BC12" s="353" t="s">
        <v>755</v>
      </c>
      <c r="BD12" s="414" t="s">
        <v>774</v>
      </c>
      <c r="BE12" s="409">
        <v>45777</v>
      </c>
      <c r="BF12" s="403">
        <v>45777</v>
      </c>
      <c r="BG12" s="419">
        <f t="shared" si="2"/>
        <v>0</v>
      </c>
      <c r="BH12" s="420">
        <f t="shared" si="3"/>
        <v>100</v>
      </c>
      <c r="BI12" s="421"/>
    </row>
    <row r="13" spans="1:61" s="328" customFormat="1">
      <c r="A13" s="329">
        <v>9</v>
      </c>
      <c r="B13" s="330" t="s">
        <v>775</v>
      </c>
      <c r="C13" s="331" t="s">
        <v>753</v>
      </c>
      <c r="D13" s="330">
        <v>100261372</v>
      </c>
      <c r="E13" s="355">
        <v>42012</v>
      </c>
      <c r="F13" s="356">
        <v>42012</v>
      </c>
      <c r="G13" s="332">
        <v>42193</v>
      </c>
      <c r="H13" s="334">
        <v>42220</v>
      </c>
      <c r="I13" s="355">
        <v>42377</v>
      </c>
      <c r="J13" s="334">
        <v>42377</v>
      </c>
      <c r="K13" s="332">
        <v>42559</v>
      </c>
      <c r="L13" s="334">
        <v>42585</v>
      </c>
      <c r="M13" s="355">
        <v>42743</v>
      </c>
      <c r="N13" s="334">
        <v>42756</v>
      </c>
      <c r="O13" s="332">
        <v>42924</v>
      </c>
      <c r="P13" s="335">
        <v>42953</v>
      </c>
      <c r="Q13" s="355">
        <v>43108</v>
      </c>
      <c r="R13" s="335">
        <v>43118</v>
      </c>
      <c r="S13" s="332">
        <v>43289</v>
      </c>
      <c r="T13" s="335">
        <v>43333</v>
      </c>
      <c r="U13" s="336">
        <v>43468</v>
      </c>
      <c r="V13" s="337">
        <v>43503</v>
      </c>
      <c r="W13" s="336">
        <v>43723</v>
      </c>
      <c r="X13" s="337">
        <v>43734</v>
      </c>
      <c r="Y13" s="338">
        <v>43903</v>
      </c>
      <c r="Z13" s="339">
        <v>43957</v>
      </c>
      <c r="AA13" s="338">
        <v>44083</v>
      </c>
      <c r="AB13" s="339">
        <v>44193</v>
      </c>
      <c r="AC13" s="338">
        <v>44266</v>
      </c>
      <c r="AD13" s="339">
        <v>44289</v>
      </c>
      <c r="AE13" s="338">
        <v>44449</v>
      </c>
      <c r="AF13" s="339">
        <v>44718</v>
      </c>
      <c r="AG13" s="338">
        <v>44630</v>
      </c>
      <c r="AH13" s="339">
        <v>44718</v>
      </c>
      <c r="AI13" s="338">
        <v>44814</v>
      </c>
      <c r="AJ13" s="339">
        <v>44837</v>
      </c>
      <c r="AK13" s="340">
        <f t="shared" si="0"/>
        <v>23</v>
      </c>
      <c r="AL13" s="357">
        <v>44994</v>
      </c>
      <c r="AM13" s="357">
        <v>45020</v>
      </c>
      <c r="AN13" s="342">
        <f t="shared" si="1"/>
        <v>26</v>
      </c>
      <c r="AO13" s="343">
        <v>45225</v>
      </c>
      <c r="AP13" s="343">
        <v>45226</v>
      </c>
      <c r="AQ13" s="344">
        <v>45250</v>
      </c>
      <c r="AR13" s="344">
        <v>45251</v>
      </c>
      <c r="AS13" s="345">
        <f t="shared" si="4"/>
        <v>25</v>
      </c>
      <c r="AT13" s="346"/>
      <c r="AU13" s="347">
        <v>45362</v>
      </c>
      <c r="AV13" s="348">
        <v>45370</v>
      </c>
      <c r="AW13" s="349">
        <v>8</v>
      </c>
      <c r="AX13" s="350">
        <v>45617</v>
      </c>
      <c r="AY13" s="351">
        <v>45618</v>
      </c>
      <c r="AZ13" s="351">
        <v>45621</v>
      </c>
      <c r="BA13" s="351">
        <v>45622</v>
      </c>
      <c r="BB13" s="352">
        <v>4</v>
      </c>
      <c r="BC13" s="353" t="s">
        <v>755</v>
      </c>
      <c r="BD13" s="414" t="s">
        <v>776</v>
      </c>
      <c r="BE13" s="409">
        <v>45778</v>
      </c>
      <c r="BF13" s="403">
        <v>45778</v>
      </c>
      <c r="BG13" s="419">
        <f t="shared" si="2"/>
        <v>0</v>
      </c>
      <c r="BH13" s="420">
        <f t="shared" si="3"/>
        <v>100</v>
      </c>
      <c r="BI13" s="421"/>
    </row>
    <row r="14" spans="1:61" s="328" customFormat="1">
      <c r="A14" s="329">
        <v>10</v>
      </c>
      <c r="B14" s="330" t="s">
        <v>777</v>
      </c>
      <c r="C14" s="331" t="s">
        <v>753</v>
      </c>
      <c r="D14" s="330">
        <v>100261371</v>
      </c>
      <c r="E14" s="355">
        <v>42014</v>
      </c>
      <c r="F14" s="356">
        <v>42014</v>
      </c>
      <c r="G14" s="332">
        <v>42195</v>
      </c>
      <c r="H14" s="334">
        <v>42218</v>
      </c>
      <c r="I14" s="355">
        <v>42379</v>
      </c>
      <c r="J14" s="334">
        <v>42379</v>
      </c>
      <c r="K14" s="332">
        <v>42561</v>
      </c>
      <c r="L14" s="334">
        <v>42587</v>
      </c>
      <c r="M14" s="355">
        <v>42745</v>
      </c>
      <c r="N14" s="334">
        <v>42765</v>
      </c>
      <c r="O14" s="332">
        <v>42926</v>
      </c>
      <c r="P14" s="335">
        <v>42954</v>
      </c>
      <c r="Q14" s="355">
        <v>43110</v>
      </c>
      <c r="R14" s="335">
        <v>43119</v>
      </c>
      <c r="S14" s="332">
        <v>43291</v>
      </c>
      <c r="T14" s="335">
        <v>43339</v>
      </c>
      <c r="U14" s="336">
        <v>43470</v>
      </c>
      <c r="V14" s="337">
        <v>43504</v>
      </c>
      <c r="W14" s="336">
        <v>43724</v>
      </c>
      <c r="X14" s="337">
        <v>43735</v>
      </c>
      <c r="Y14" s="338">
        <v>43904</v>
      </c>
      <c r="Z14" s="339">
        <v>43965</v>
      </c>
      <c r="AA14" s="338">
        <v>44084</v>
      </c>
      <c r="AB14" s="339">
        <v>44197</v>
      </c>
      <c r="AC14" s="338">
        <v>44267</v>
      </c>
      <c r="AD14" s="339">
        <v>44290</v>
      </c>
      <c r="AE14" s="338">
        <v>44449</v>
      </c>
      <c r="AF14" s="339">
        <v>44717</v>
      </c>
      <c r="AG14" s="338">
        <v>44631</v>
      </c>
      <c r="AH14" s="339">
        <v>44717</v>
      </c>
      <c r="AI14" s="338">
        <v>44814</v>
      </c>
      <c r="AJ14" s="339">
        <v>44839</v>
      </c>
      <c r="AK14" s="340">
        <f t="shared" si="0"/>
        <v>25</v>
      </c>
      <c r="AL14" s="357">
        <v>44994</v>
      </c>
      <c r="AM14" s="357">
        <v>45019</v>
      </c>
      <c r="AN14" s="342">
        <f t="shared" si="1"/>
        <v>25</v>
      </c>
      <c r="AO14" s="343">
        <v>45227</v>
      </c>
      <c r="AP14" s="343">
        <v>45228</v>
      </c>
      <c r="AQ14" s="344">
        <v>45252</v>
      </c>
      <c r="AR14" s="344">
        <v>45253</v>
      </c>
      <c r="AS14" s="345">
        <f t="shared" si="4"/>
        <v>25</v>
      </c>
      <c r="AT14" s="346"/>
      <c r="AU14" s="347">
        <v>45363</v>
      </c>
      <c r="AV14" s="348">
        <v>45371</v>
      </c>
      <c r="AW14" s="349">
        <v>8</v>
      </c>
      <c r="AX14" s="350">
        <v>45619</v>
      </c>
      <c r="AY14" s="351">
        <v>45621</v>
      </c>
      <c r="AZ14" s="351">
        <v>45624</v>
      </c>
      <c r="BA14" s="351">
        <v>45625</v>
      </c>
      <c r="BB14" s="352">
        <v>4</v>
      </c>
      <c r="BC14" s="353" t="s">
        <v>755</v>
      </c>
      <c r="BD14" s="414" t="s">
        <v>778</v>
      </c>
      <c r="BE14" s="409">
        <v>45779</v>
      </c>
      <c r="BF14" s="403">
        <v>45780</v>
      </c>
      <c r="BG14" s="419">
        <f t="shared" si="2"/>
        <v>1</v>
      </c>
      <c r="BH14" s="420">
        <f t="shared" si="3"/>
        <v>100</v>
      </c>
      <c r="BI14" s="421" t="s">
        <v>779</v>
      </c>
    </row>
    <row r="15" spans="1:61" s="328" customFormat="1">
      <c r="A15" s="329">
        <v>11</v>
      </c>
      <c r="B15" s="330" t="s">
        <v>780</v>
      </c>
      <c r="C15" s="331" t="s">
        <v>761</v>
      </c>
      <c r="D15" s="330">
        <v>100261338</v>
      </c>
      <c r="E15" s="355">
        <v>42017</v>
      </c>
      <c r="F15" s="356">
        <v>42017</v>
      </c>
      <c r="G15" s="332">
        <v>42198</v>
      </c>
      <c r="H15" s="334">
        <v>42221</v>
      </c>
      <c r="I15" s="355">
        <v>42382</v>
      </c>
      <c r="J15" s="334">
        <v>42382</v>
      </c>
      <c r="K15" s="332">
        <v>42564</v>
      </c>
      <c r="L15" s="334">
        <v>42594</v>
      </c>
      <c r="M15" s="355">
        <v>42748</v>
      </c>
      <c r="N15" s="334">
        <v>42760</v>
      </c>
      <c r="O15" s="332">
        <v>42929</v>
      </c>
      <c r="P15" s="335">
        <v>42955</v>
      </c>
      <c r="Q15" s="355">
        <v>43113</v>
      </c>
      <c r="R15" s="335">
        <v>43120</v>
      </c>
      <c r="S15" s="332">
        <v>43294</v>
      </c>
      <c r="T15" s="335">
        <v>43334</v>
      </c>
      <c r="U15" s="336">
        <v>43473</v>
      </c>
      <c r="V15" s="337">
        <v>43505</v>
      </c>
      <c r="W15" s="336">
        <v>43725</v>
      </c>
      <c r="X15" s="337">
        <v>43736</v>
      </c>
      <c r="Y15" s="338">
        <v>43905</v>
      </c>
      <c r="Z15" s="339">
        <v>43966</v>
      </c>
      <c r="AA15" s="338">
        <v>44085</v>
      </c>
      <c r="AB15" s="339">
        <v>44194</v>
      </c>
      <c r="AC15" s="338">
        <v>44270</v>
      </c>
      <c r="AD15" s="339">
        <v>44292</v>
      </c>
      <c r="AE15" s="338">
        <v>44452</v>
      </c>
      <c r="AF15" s="339">
        <v>44721</v>
      </c>
      <c r="AG15" s="338">
        <v>44632</v>
      </c>
      <c r="AH15" s="339">
        <v>44721</v>
      </c>
      <c r="AI15" s="338">
        <v>44817</v>
      </c>
      <c r="AJ15" s="339">
        <v>44840</v>
      </c>
      <c r="AK15" s="340">
        <f t="shared" si="0"/>
        <v>23</v>
      </c>
      <c r="AL15" s="357">
        <v>44997</v>
      </c>
      <c r="AM15" s="357">
        <v>45021</v>
      </c>
      <c r="AN15" s="342">
        <f t="shared" si="1"/>
        <v>24</v>
      </c>
      <c r="AO15" s="343">
        <v>45229</v>
      </c>
      <c r="AP15" s="343">
        <v>45230</v>
      </c>
      <c r="AQ15" s="344">
        <v>45254</v>
      </c>
      <c r="AR15" s="344">
        <v>45255</v>
      </c>
      <c r="AS15" s="345">
        <f t="shared" si="4"/>
        <v>25</v>
      </c>
      <c r="AT15" s="346"/>
      <c r="AU15" s="347">
        <v>45364</v>
      </c>
      <c r="AV15" s="348">
        <v>45372</v>
      </c>
      <c r="AW15" s="349">
        <v>8</v>
      </c>
      <c r="AX15" s="350">
        <v>45622</v>
      </c>
      <c r="AY15" s="351">
        <v>45623</v>
      </c>
      <c r="AZ15" s="351">
        <v>45626</v>
      </c>
      <c r="BA15" s="351">
        <v>45627</v>
      </c>
      <c r="BB15" s="352">
        <v>4</v>
      </c>
      <c r="BC15" s="353" t="s">
        <v>755</v>
      </c>
      <c r="BD15" s="414" t="s">
        <v>781</v>
      </c>
      <c r="BE15" s="409">
        <v>45780</v>
      </c>
      <c r="BF15" s="403">
        <v>45781</v>
      </c>
      <c r="BG15" s="419">
        <f t="shared" si="2"/>
        <v>1</v>
      </c>
      <c r="BH15" s="420">
        <f t="shared" si="3"/>
        <v>100</v>
      </c>
      <c r="BI15" s="421"/>
    </row>
    <row r="16" spans="1:61" s="328" customFormat="1">
      <c r="A16" s="329">
        <v>12</v>
      </c>
      <c r="B16" s="358" t="s">
        <v>782</v>
      </c>
      <c r="C16" s="331" t="s">
        <v>753</v>
      </c>
      <c r="D16" s="358">
        <v>100261403</v>
      </c>
      <c r="E16" s="355">
        <v>42024</v>
      </c>
      <c r="F16" s="356">
        <v>42024</v>
      </c>
      <c r="G16" s="332">
        <v>42205</v>
      </c>
      <c r="H16" s="334">
        <v>42205</v>
      </c>
      <c r="I16" s="355">
        <v>42389</v>
      </c>
      <c r="J16" s="334">
        <v>42386</v>
      </c>
      <c r="K16" s="332">
        <v>42571</v>
      </c>
      <c r="L16" s="334">
        <v>42595</v>
      </c>
      <c r="M16" s="355">
        <v>42755</v>
      </c>
      <c r="N16" s="334">
        <v>42768</v>
      </c>
      <c r="O16" s="332">
        <v>42936</v>
      </c>
      <c r="P16" s="335">
        <v>42956</v>
      </c>
      <c r="Q16" s="355">
        <v>43120</v>
      </c>
      <c r="R16" s="335">
        <v>43125</v>
      </c>
      <c r="S16" s="332">
        <v>43301</v>
      </c>
      <c r="T16" s="335">
        <v>43344</v>
      </c>
      <c r="U16" s="336">
        <v>43480</v>
      </c>
      <c r="V16" s="337">
        <v>43507</v>
      </c>
      <c r="W16" s="336">
        <v>43726</v>
      </c>
      <c r="X16" s="337">
        <v>43737</v>
      </c>
      <c r="Y16" s="338">
        <v>43906</v>
      </c>
      <c r="Z16" s="339">
        <v>43966</v>
      </c>
      <c r="AA16" s="338">
        <v>44086</v>
      </c>
      <c r="AB16" s="339">
        <v>44195</v>
      </c>
      <c r="AC16" s="338">
        <v>44271</v>
      </c>
      <c r="AD16" s="339">
        <v>44294</v>
      </c>
      <c r="AE16" s="338">
        <v>44452</v>
      </c>
      <c r="AF16" s="339">
        <v>44722</v>
      </c>
      <c r="AG16" s="338">
        <v>44634</v>
      </c>
      <c r="AH16" s="339">
        <v>44722</v>
      </c>
      <c r="AI16" s="338">
        <v>44817</v>
      </c>
      <c r="AJ16" s="339">
        <v>44842</v>
      </c>
      <c r="AK16" s="340">
        <f t="shared" si="0"/>
        <v>25</v>
      </c>
      <c r="AL16" s="357">
        <v>44997</v>
      </c>
      <c r="AM16" s="357">
        <v>45022</v>
      </c>
      <c r="AN16" s="342">
        <f t="shared" si="1"/>
        <v>25</v>
      </c>
      <c r="AO16" s="343">
        <v>45231</v>
      </c>
      <c r="AP16" s="343">
        <v>45232</v>
      </c>
      <c r="AQ16" s="344">
        <v>45255</v>
      </c>
      <c r="AR16" s="344">
        <v>45254</v>
      </c>
      <c r="AS16" s="345">
        <f t="shared" si="4"/>
        <v>22</v>
      </c>
      <c r="AT16" s="346"/>
      <c r="AU16" s="347">
        <v>45365</v>
      </c>
      <c r="AV16" s="348">
        <v>45374</v>
      </c>
      <c r="AW16" s="349">
        <v>9</v>
      </c>
      <c r="AX16" s="350">
        <v>45624</v>
      </c>
      <c r="AY16" s="351">
        <v>45625</v>
      </c>
      <c r="AZ16" s="351">
        <v>45628</v>
      </c>
      <c r="BA16" s="351">
        <v>45629</v>
      </c>
      <c r="BB16" s="352">
        <v>4</v>
      </c>
      <c r="BC16" s="353" t="s">
        <v>755</v>
      </c>
      <c r="BD16" s="414" t="s">
        <v>783</v>
      </c>
      <c r="BE16" s="409">
        <v>45781</v>
      </c>
      <c r="BF16" s="403">
        <v>45783</v>
      </c>
      <c r="BG16" s="419">
        <f t="shared" si="2"/>
        <v>2</v>
      </c>
      <c r="BH16" s="420">
        <f t="shared" si="3"/>
        <v>100</v>
      </c>
      <c r="BI16" s="421" t="s">
        <v>784</v>
      </c>
    </row>
    <row r="17" spans="1:61" s="328" customFormat="1">
      <c r="A17" s="329">
        <v>13</v>
      </c>
      <c r="B17" s="330" t="s">
        <v>785</v>
      </c>
      <c r="C17" s="331" t="s">
        <v>753</v>
      </c>
      <c r="D17" s="330">
        <v>100261374</v>
      </c>
      <c r="E17" s="355">
        <v>42026</v>
      </c>
      <c r="F17" s="356">
        <v>42026</v>
      </c>
      <c r="G17" s="332">
        <v>42207</v>
      </c>
      <c r="H17" s="334">
        <v>42203</v>
      </c>
      <c r="I17" s="355">
        <v>42391</v>
      </c>
      <c r="J17" s="334">
        <v>42390</v>
      </c>
      <c r="K17" s="332">
        <v>42573</v>
      </c>
      <c r="L17" s="334">
        <v>42596</v>
      </c>
      <c r="M17" s="355">
        <v>42757</v>
      </c>
      <c r="N17" s="334">
        <v>42769</v>
      </c>
      <c r="O17" s="332">
        <v>42938</v>
      </c>
      <c r="P17" s="335">
        <v>42957</v>
      </c>
      <c r="Q17" s="355">
        <v>43122</v>
      </c>
      <c r="R17" s="335">
        <v>43127</v>
      </c>
      <c r="S17" s="332">
        <v>43303</v>
      </c>
      <c r="T17" s="335">
        <v>43346</v>
      </c>
      <c r="U17" s="336">
        <v>43482</v>
      </c>
      <c r="V17" s="337">
        <v>43508</v>
      </c>
      <c r="W17" s="336">
        <v>43727</v>
      </c>
      <c r="X17" s="337">
        <v>43738</v>
      </c>
      <c r="Y17" s="338">
        <v>43907</v>
      </c>
      <c r="Z17" s="339">
        <v>43967</v>
      </c>
      <c r="AA17" s="338">
        <v>44087</v>
      </c>
      <c r="AB17" s="339">
        <v>44117</v>
      </c>
      <c r="AC17" s="338">
        <v>44272</v>
      </c>
      <c r="AD17" s="339">
        <v>44307</v>
      </c>
      <c r="AE17" s="338">
        <v>44454</v>
      </c>
      <c r="AF17" s="339">
        <v>44723</v>
      </c>
      <c r="AG17" s="338">
        <v>44635</v>
      </c>
      <c r="AH17" s="339">
        <v>44723</v>
      </c>
      <c r="AI17" s="338">
        <v>44819</v>
      </c>
      <c r="AJ17" s="339">
        <v>44843</v>
      </c>
      <c r="AK17" s="340">
        <f t="shared" si="0"/>
        <v>24</v>
      </c>
      <c r="AL17" s="357">
        <v>44999</v>
      </c>
      <c r="AM17" s="357">
        <v>45023</v>
      </c>
      <c r="AN17" s="342">
        <f t="shared" si="1"/>
        <v>24</v>
      </c>
      <c r="AO17" s="343">
        <v>45233</v>
      </c>
      <c r="AP17" s="343">
        <v>45234</v>
      </c>
      <c r="AQ17" s="344">
        <v>45257</v>
      </c>
      <c r="AR17" s="344">
        <v>45258</v>
      </c>
      <c r="AS17" s="345">
        <f t="shared" si="4"/>
        <v>24</v>
      </c>
      <c r="AT17" s="346"/>
      <c r="AU17" s="347">
        <v>45366</v>
      </c>
      <c r="AV17" s="348">
        <v>45373</v>
      </c>
      <c r="AW17" s="349">
        <v>7</v>
      </c>
      <c r="AX17" s="350">
        <v>45626</v>
      </c>
      <c r="AY17" s="351">
        <v>45628</v>
      </c>
      <c r="AZ17" s="351">
        <v>45632</v>
      </c>
      <c r="BA17" s="351">
        <v>45633</v>
      </c>
      <c r="BB17" s="352">
        <v>5</v>
      </c>
      <c r="BC17" s="353" t="s">
        <v>786</v>
      </c>
      <c r="BD17" s="418" t="s">
        <v>787</v>
      </c>
      <c r="BE17" s="410">
        <v>45782</v>
      </c>
      <c r="BF17" s="403">
        <v>45784</v>
      </c>
      <c r="BG17" s="419">
        <f t="shared" si="2"/>
        <v>2</v>
      </c>
      <c r="BH17" s="420">
        <f t="shared" si="3"/>
        <v>100</v>
      </c>
      <c r="BI17" s="425"/>
    </row>
    <row r="18" spans="1:61" s="328" customFormat="1">
      <c r="A18" s="329">
        <v>14</v>
      </c>
      <c r="B18" s="330" t="s">
        <v>788</v>
      </c>
      <c r="C18" s="331" t="s">
        <v>761</v>
      </c>
      <c r="D18" s="330">
        <v>100261336</v>
      </c>
      <c r="E18" s="355">
        <v>42032</v>
      </c>
      <c r="F18" s="356">
        <v>42032</v>
      </c>
      <c r="G18" s="332">
        <v>42213</v>
      </c>
      <c r="H18" s="334">
        <v>42233</v>
      </c>
      <c r="I18" s="355">
        <v>42397</v>
      </c>
      <c r="J18" s="334">
        <v>42398</v>
      </c>
      <c r="K18" s="332">
        <v>42579</v>
      </c>
      <c r="L18" s="334">
        <v>42598</v>
      </c>
      <c r="M18" s="355">
        <v>42763</v>
      </c>
      <c r="N18" s="334">
        <v>42763</v>
      </c>
      <c r="O18" s="332">
        <v>42944</v>
      </c>
      <c r="P18" s="335">
        <v>42971</v>
      </c>
      <c r="Q18" s="355">
        <v>43128</v>
      </c>
      <c r="R18" s="335">
        <v>43129</v>
      </c>
      <c r="S18" s="332">
        <v>43309</v>
      </c>
      <c r="T18" s="335">
        <v>43409</v>
      </c>
      <c r="U18" s="336">
        <v>43488</v>
      </c>
      <c r="V18" s="337">
        <v>43509</v>
      </c>
      <c r="W18" s="336">
        <v>43728</v>
      </c>
      <c r="X18" s="337">
        <v>43740</v>
      </c>
      <c r="Y18" s="338">
        <v>43908</v>
      </c>
      <c r="Z18" s="339">
        <v>43956</v>
      </c>
      <c r="AA18" s="338">
        <v>44088</v>
      </c>
      <c r="AB18" s="339">
        <v>44118</v>
      </c>
      <c r="AC18" s="338">
        <v>44273</v>
      </c>
      <c r="AD18" s="339">
        <v>44295</v>
      </c>
      <c r="AE18" s="338">
        <v>44454</v>
      </c>
      <c r="AF18" s="339">
        <v>44724</v>
      </c>
      <c r="AG18" s="338">
        <v>44636</v>
      </c>
      <c r="AH18" s="339">
        <v>44724</v>
      </c>
      <c r="AI18" s="338">
        <v>44819</v>
      </c>
      <c r="AJ18" s="339">
        <v>44844</v>
      </c>
      <c r="AK18" s="340">
        <f t="shared" si="0"/>
        <v>25</v>
      </c>
      <c r="AL18" s="357">
        <v>44999</v>
      </c>
      <c r="AM18" s="357">
        <v>45028</v>
      </c>
      <c r="AN18" s="342">
        <f t="shared" si="1"/>
        <v>29</v>
      </c>
      <c r="AO18" s="343">
        <v>45235</v>
      </c>
      <c r="AP18" s="343">
        <v>45236</v>
      </c>
      <c r="AQ18" s="344">
        <v>45259</v>
      </c>
      <c r="AR18" s="344">
        <v>45257</v>
      </c>
      <c r="AS18" s="345">
        <f t="shared" si="4"/>
        <v>21</v>
      </c>
      <c r="AT18" s="354" t="s">
        <v>789</v>
      </c>
      <c r="AU18" s="347">
        <v>45367</v>
      </c>
      <c r="AV18" s="348">
        <v>45376</v>
      </c>
      <c r="AW18" s="349">
        <v>9</v>
      </c>
      <c r="AX18" s="350">
        <v>45629</v>
      </c>
      <c r="AY18" s="351">
        <v>45630</v>
      </c>
      <c r="AZ18" s="351">
        <v>45634</v>
      </c>
      <c r="BA18" s="351">
        <v>45636</v>
      </c>
      <c r="BB18" s="352">
        <v>6</v>
      </c>
      <c r="BC18" s="353" t="s">
        <v>790</v>
      </c>
      <c r="BD18" s="414" t="s">
        <v>791</v>
      </c>
      <c r="BE18" s="410">
        <v>45783</v>
      </c>
      <c r="BF18" s="403">
        <v>45792</v>
      </c>
      <c r="BG18" s="419">
        <f t="shared" si="2"/>
        <v>9</v>
      </c>
      <c r="BH18" s="420">
        <f t="shared" si="3"/>
        <v>100</v>
      </c>
      <c r="BI18" s="421" t="s">
        <v>792</v>
      </c>
    </row>
    <row r="19" spans="1:61" s="328" customFormat="1">
      <c r="A19" s="329">
        <v>15</v>
      </c>
      <c r="B19" s="358" t="s">
        <v>793</v>
      </c>
      <c r="C19" s="331" t="s">
        <v>753</v>
      </c>
      <c r="D19" s="358">
        <v>100261404</v>
      </c>
      <c r="E19" s="355">
        <v>42034</v>
      </c>
      <c r="F19" s="356">
        <v>42034</v>
      </c>
      <c r="G19" s="332">
        <v>42215</v>
      </c>
      <c r="H19" s="334">
        <v>42235</v>
      </c>
      <c r="I19" s="355">
        <v>42399</v>
      </c>
      <c r="J19" s="334">
        <v>42399</v>
      </c>
      <c r="K19" s="332">
        <v>42581</v>
      </c>
      <c r="L19" s="334">
        <v>42600</v>
      </c>
      <c r="M19" s="355">
        <v>42765</v>
      </c>
      <c r="N19" s="334">
        <v>42770</v>
      </c>
      <c r="O19" s="332">
        <v>42946</v>
      </c>
      <c r="P19" s="335">
        <v>42958</v>
      </c>
      <c r="Q19" s="355">
        <v>43130</v>
      </c>
      <c r="R19" s="335">
        <v>43130</v>
      </c>
      <c r="S19" s="332">
        <v>43311</v>
      </c>
      <c r="T19" s="335">
        <v>43410</v>
      </c>
      <c r="U19" s="336">
        <v>43490</v>
      </c>
      <c r="V19" s="337">
        <v>43516</v>
      </c>
      <c r="W19" s="336">
        <v>43729</v>
      </c>
      <c r="X19" s="337">
        <v>43741</v>
      </c>
      <c r="Y19" s="338">
        <v>43909</v>
      </c>
      <c r="Z19" s="339">
        <v>43967</v>
      </c>
      <c r="AA19" s="338">
        <v>44089</v>
      </c>
      <c r="AB19" s="339">
        <v>44124</v>
      </c>
      <c r="AC19" s="338">
        <v>44274</v>
      </c>
      <c r="AD19" s="339">
        <v>44305</v>
      </c>
      <c r="AE19" s="338">
        <v>44456</v>
      </c>
      <c r="AF19" s="339">
        <v>44725</v>
      </c>
      <c r="AG19" s="338">
        <v>44637</v>
      </c>
      <c r="AH19" s="339">
        <v>44725</v>
      </c>
      <c r="AI19" s="338">
        <v>44821</v>
      </c>
      <c r="AJ19" s="339">
        <v>44845</v>
      </c>
      <c r="AK19" s="340">
        <f t="shared" si="0"/>
        <v>24</v>
      </c>
      <c r="AL19" s="357">
        <v>45001</v>
      </c>
      <c r="AM19" s="357">
        <v>45030</v>
      </c>
      <c r="AN19" s="342">
        <f t="shared" si="1"/>
        <v>29</v>
      </c>
      <c r="AO19" s="343">
        <v>45237</v>
      </c>
      <c r="AP19" s="343">
        <v>45238</v>
      </c>
      <c r="AQ19" s="344">
        <v>45260</v>
      </c>
      <c r="AR19" s="344">
        <v>45261</v>
      </c>
      <c r="AS19" s="345">
        <f t="shared" si="4"/>
        <v>23</v>
      </c>
      <c r="AT19" s="354" t="s">
        <v>794</v>
      </c>
      <c r="AU19" s="347">
        <v>45369</v>
      </c>
      <c r="AV19" s="348">
        <v>45377</v>
      </c>
      <c r="AW19" s="349">
        <v>8</v>
      </c>
      <c r="AX19" s="350">
        <v>45631</v>
      </c>
      <c r="AY19" s="351">
        <v>45632</v>
      </c>
      <c r="AZ19" s="351">
        <v>45638</v>
      </c>
      <c r="BA19" s="351">
        <v>45641</v>
      </c>
      <c r="BB19" s="352">
        <v>9</v>
      </c>
      <c r="BC19" s="353" t="s">
        <v>795</v>
      </c>
      <c r="BD19" s="414" t="s">
        <v>796</v>
      </c>
      <c r="BE19" s="410">
        <v>45785</v>
      </c>
      <c r="BF19" s="403">
        <v>45793</v>
      </c>
      <c r="BG19" s="419">
        <f t="shared" si="2"/>
        <v>8</v>
      </c>
      <c r="BH19" s="420">
        <f>IF(BG19&lt;-15,100-((-1*BG19-15)/90)*100,IF(BG19&gt;15,100-((BG19-15)/90)*100,1*100))</f>
        <v>100</v>
      </c>
      <c r="BI19" s="421"/>
    </row>
    <row r="20" spans="1:61" s="328" customFormat="1">
      <c r="A20" s="329">
        <v>16</v>
      </c>
      <c r="B20" s="358" t="s">
        <v>797</v>
      </c>
      <c r="C20" s="331" t="s">
        <v>753</v>
      </c>
      <c r="D20" s="358">
        <v>100261369</v>
      </c>
      <c r="E20" s="355">
        <v>42038</v>
      </c>
      <c r="F20" s="356">
        <v>42038</v>
      </c>
      <c r="G20" s="332">
        <v>42219</v>
      </c>
      <c r="H20" s="334">
        <v>42238</v>
      </c>
      <c r="I20" s="355">
        <v>42403</v>
      </c>
      <c r="J20" s="334">
        <v>42403</v>
      </c>
      <c r="K20" s="332">
        <v>42585</v>
      </c>
      <c r="L20" s="334">
        <v>42601</v>
      </c>
      <c r="M20" s="355">
        <v>42769</v>
      </c>
      <c r="N20" s="334">
        <v>42776</v>
      </c>
      <c r="O20" s="332">
        <v>42950</v>
      </c>
      <c r="P20" s="335">
        <v>42975</v>
      </c>
      <c r="Q20" s="355">
        <v>43134</v>
      </c>
      <c r="R20" s="335">
        <v>43143</v>
      </c>
      <c r="S20" s="332">
        <v>43315</v>
      </c>
      <c r="T20" s="335">
        <v>43411</v>
      </c>
      <c r="U20" s="336">
        <v>43494</v>
      </c>
      <c r="V20" s="337">
        <v>43517</v>
      </c>
      <c r="W20" s="336">
        <v>43730</v>
      </c>
      <c r="X20" s="337">
        <v>43744</v>
      </c>
      <c r="Y20" s="338">
        <v>43910</v>
      </c>
      <c r="Z20" s="339">
        <v>43968</v>
      </c>
      <c r="AA20" s="338">
        <v>44090</v>
      </c>
      <c r="AB20" s="339">
        <v>44125</v>
      </c>
      <c r="AC20" s="338">
        <v>44277</v>
      </c>
      <c r="AD20" s="339">
        <v>44306</v>
      </c>
      <c r="AE20" s="338">
        <v>44456</v>
      </c>
      <c r="AF20" s="339">
        <v>44726</v>
      </c>
      <c r="AG20" s="338">
        <v>44638</v>
      </c>
      <c r="AH20" s="339">
        <v>44726</v>
      </c>
      <c r="AI20" s="338">
        <v>44821</v>
      </c>
      <c r="AJ20" s="339">
        <v>44848</v>
      </c>
      <c r="AK20" s="340">
        <f t="shared" si="0"/>
        <v>27</v>
      </c>
      <c r="AL20" s="357">
        <v>45001</v>
      </c>
      <c r="AM20" s="357">
        <v>45033</v>
      </c>
      <c r="AN20" s="342">
        <f t="shared" si="1"/>
        <v>32</v>
      </c>
      <c r="AO20" s="343">
        <v>45239</v>
      </c>
      <c r="AP20" s="343">
        <v>45240</v>
      </c>
      <c r="AQ20" s="344">
        <v>45261</v>
      </c>
      <c r="AR20" s="344">
        <v>45262</v>
      </c>
      <c r="AS20" s="345">
        <f t="shared" si="4"/>
        <v>22</v>
      </c>
      <c r="AT20" s="354" t="s">
        <v>798</v>
      </c>
      <c r="AU20" s="347">
        <v>45370</v>
      </c>
      <c r="AV20" s="348">
        <v>45367</v>
      </c>
      <c r="AW20" s="349">
        <v>3</v>
      </c>
      <c r="AX20" s="350">
        <v>45633</v>
      </c>
      <c r="AY20" s="351">
        <v>45635</v>
      </c>
      <c r="AZ20" s="351">
        <v>45642</v>
      </c>
      <c r="BA20" s="351">
        <v>45643</v>
      </c>
      <c r="BB20" s="352">
        <v>8</v>
      </c>
      <c r="BC20" s="353" t="s">
        <v>799</v>
      </c>
      <c r="BD20" s="414" t="s">
        <v>800</v>
      </c>
      <c r="BE20" s="410">
        <v>45786</v>
      </c>
      <c r="BF20" s="403">
        <v>45794</v>
      </c>
      <c r="BG20" s="419">
        <f t="shared" si="2"/>
        <v>8</v>
      </c>
      <c r="BH20" s="420">
        <f t="shared" ref="BH20:BH44" si="5">IF(BG20&lt;-15,100-((-1*BG20-15)/90)*100,IF(BG20&gt;15,100-((BG20-15)/90)*100,1*100))</f>
        <v>100</v>
      </c>
      <c r="BI20" s="421"/>
    </row>
    <row r="21" spans="1:61" s="328" customFormat="1">
      <c r="A21" s="329">
        <v>17</v>
      </c>
      <c r="B21" s="330" t="s">
        <v>801</v>
      </c>
      <c r="C21" s="331" t="s">
        <v>761</v>
      </c>
      <c r="D21" s="330">
        <v>100261339</v>
      </c>
      <c r="E21" s="355">
        <v>42039</v>
      </c>
      <c r="F21" s="356">
        <v>42039</v>
      </c>
      <c r="G21" s="332">
        <v>42220</v>
      </c>
      <c r="H21" s="334">
        <v>42244</v>
      </c>
      <c r="I21" s="355">
        <v>42404</v>
      </c>
      <c r="J21" s="334">
        <v>42404</v>
      </c>
      <c r="K21" s="332">
        <v>42586</v>
      </c>
      <c r="L21" s="334">
        <v>42605</v>
      </c>
      <c r="M21" s="355">
        <v>42770</v>
      </c>
      <c r="N21" s="334">
        <v>42775</v>
      </c>
      <c r="O21" s="332">
        <v>42951</v>
      </c>
      <c r="P21" s="335">
        <v>42979</v>
      </c>
      <c r="Q21" s="355">
        <v>43135</v>
      </c>
      <c r="R21" s="335">
        <v>43166</v>
      </c>
      <c r="S21" s="332">
        <v>43316</v>
      </c>
      <c r="T21" s="335">
        <v>43412</v>
      </c>
      <c r="U21" s="336">
        <v>43495</v>
      </c>
      <c r="V21" s="337">
        <v>43522</v>
      </c>
      <c r="W21" s="336">
        <v>43731</v>
      </c>
      <c r="X21" s="337">
        <v>43745</v>
      </c>
      <c r="Y21" s="338">
        <v>43911</v>
      </c>
      <c r="Z21" s="339">
        <v>43963</v>
      </c>
      <c r="AA21" s="338">
        <v>44091</v>
      </c>
      <c r="AB21" s="339">
        <v>44185</v>
      </c>
      <c r="AC21" s="338">
        <v>44278</v>
      </c>
      <c r="AD21" s="339">
        <v>44296</v>
      </c>
      <c r="AE21" s="338">
        <v>44459</v>
      </c>
      <c r="AF21" s="339">
        <v>44709</v>
      </c>
      <c r="AG21" s="338">
        <v>44639</v>
      </c>
      <c r="AH21" s="339">
        <v>44709</v>
      </c>
      <c r="AI21" s="338">
        <v>44824</v>
      </c>
      <c r="AJ21" s="339">
        <v>44834</v>
      </c>
      <c r="AK21" s="340">
        <f t="shared" si="0"/>
        <v>10</v>
      </c>
      <c r="AL21" s="357">
        <v>45004</v>
      </c>
      <c r="AM21" s="357">
        <v>45014</v>
      </c>
      <c r="AN21" s="342">
        <f t="shared" si="1"/>
        <v>10</v>
      </c>
      <c r="AO21" s="343">
        <v>45241</v>
      </c>
      <c r="AP21" s="343">
        <v>45242</v>
      </c>
      <c r="AQ21" s="344">
        <v>45210</v>
      </c>
      <c r="AR21" s="344">
        <v>45234</v>
      </c>
      <c r="AS21" s="345">
        <f t="shared" si="4"/>
        <v>-8</v>
      </c>
      <c r="AT21" s="354" t="s">
        <v>802</v>
      </c>
      <c r="AU21" s="347">
        <v>45371</v>
      </c>
      <c r="AV21" s="348">
        <v>45378</v>
      </c>
      <c r="AW21" s="349">
        <v>7</v>
      </c>
      <c r="AX21" s="350">
        <v>45636</v>
      </c>
      <c r="AY21" s="351">
        <v>45637</v>
      </c>
      <c r="AZ21" s="351">
        <v>45646</v>
      </c>
      <c r="BA21" s="351">
        <v>45647</v>
      </c>
      <c r="BB21" s="352">
        <v>10</v>
      </c>
      <c r="BC21" s="353" t="s">
        <v>755</v>
      </c>
      <c r="BD21" s="414" t="s">
        <v>803</v>
      </c>
      <c r="BE21" s="410">
        <v>45787</v>
      </c>
      <c r="BF21" s="403">
        <v>45795</v>
      </c>
      <c r="BG21" s="419">
        <f t="shared" si="2"/>
        <v>8</v>
      </c>
      <c r="BH21" s="420">
        <f t="shared" si="5"/>
        <v>100</v>
      </c>
      <c r="BI21" s="421" t="s">
        <v>755</v>
      </c>
    </row>
    <row r="22" spans="1:61" s="328" customFormat="1">
      <c r="A22" s="329">
        <v>18</v>
      </c>
      <c r="B22" s="358" t="s">
        <v>804</v>
      </c>
      <c r="C22" s="331" t="s">
        <v>761</v>
      </c>
      <c r="D22" s="358">
        <v>100261410</v>
      </c>
      <c r="E22" s="359">
        <v>42093</v>
      </c>
      <c r="F22" s="360">
        <v>42093</v>
      </c>
      <c r="G22" s="332">
        <v>42277</v>
      </c>
      <c r="H22" s="334">
        <v>42174</v>
      </c>
      <c r="I22" s="359">
        <v>42459</v>
      </c>
      <c r="J22" s="334">
        <v>42451</v>
      </c>
      <c r="K22" s="332">
        <v>42643</v>
      </c>
      <c r="L22" s="334">
        <v>42660</v>
      </c>
      <c r="M22" s="359">
        <v>42824</v>
      </c>
      <c r="N22" s="334">
        <v>42826</v>
      </c>
      <c r="O22" s="332">
        <v>43007</v>
      </c>
      <c r="P22" s="335">
        <v>43003</v>
      </c>
      <c r="Q22" s="359">
        <v>43189</v>
      </c>
      <c r="R22" s="334">
        <v>43270</v>
      </c>
      <c r="S22" s="332">
        <v>43372</v>
      </c>
      <c r="T22" s="335">
        <v>43413</v>
      </c>
      <c r="U22" s="336">
        <v>43549</v>
      </c>
      <c r="V22" s="337">
        <v>43530</v>
      </c>
      <c r="W22" s="336">
        <v>43732</v>
      </c>
      <c r="X22" s="337">
        <v>43747</v>
      </c>
      <c r="Y22" s="338">
        <v>43912</v>
      </c>
      <c r="Z22" s="339">
        <v>43968</v>
      </c>
      <c r="AA22" s="338">
        <v>44092</v>
      </c>
      <c r="AB22" s="339">
        <v>44122</v>
      </c>
      <c r="AC22" s="338">
        <v>44279</v>
      </c>
      <c r="AD22" s="339">
        <v>44297</v>
      </c>
      <c r="AE22" s="338">
        <v>44459</v>
      </c>
      <c r="AF22" s="339">
        <v>44739</v>
      </c>
      <c r="AG22" s="338">
        <v>44641</v>
      </c>
      <c r="AH22" s="339">
        <v>44739</v>
      </c>
      <c r="AI22" s="338">
        <v>44824</v>
      </c>
      <c r="AJ22" s="339">
        <v>44849</v>
      </c>
      <c r="AK22" s="340">
        <f t="shared" si="0"/>
        <v>25</v>
      </c>
      <c r="AL22" s="357">
        <v>45004</v>
      </c>
      <c r="AM22" s="357">
        <v>45034</v>
      </c>
      <c r="AN22" s="342">
        <f t="shared" si="1"/>
        <v>30</v>
      </c>
      <c r="AO22" s="343">
        <v>45243</v>
      </c>
      <c r="AP22" s="343">
        <v>45244</v>
      </c>
      <c r="AQ22" s="344">
        <v>45265</v>
      </c>
      <c r="AR22" s="344">
        <v>45266</v>
      </c>
      <c r="AS22" s="345">
        <f t="shared" si="4"/>
        <v>22</v>
      </c>
      <c r="AT22" s="346"/>
      <c r="AU22" s="347">
        <v>45373</v>
      </c>
      <c r="AV22" s="348">
        <v>45380</v>
      </c>
      <c r="AW22" s="349">
        <v>7</v>
      </c>
      <c r="AX22" s="350">
        <v>45638</v>
      </c>
      <c r="AY22" s="351">
        <v>45639</v>
      </c>
      <c r="AZ22" s="351">
        <v>45727</v>
      </c>
      <c r="BA22" s="351">
        <v>45731</v>
      </c>
      <c r="BB22" s="352" t="s">
        <v>805</v>
      </c>
      <c r="BC22" s="353" t="s">
        <v>806</v>
      </c>
      <c r="BD22" s="416" t="s">
        <v>807</v>
      </c>
      <c r="BE22" s="411">
        <v>45788</v>
      </c>
      <c r="BF22" s="412">
        <v>45797</v>
      </c>
      <c r="BG22" s="426">
        <f t="shared" si="2"/>
        <v>9</v>
      </c>
      <c r="BH22" s="420">
        <f t="shared" si="5"/>
        <v>100</v>
      </c>
      <c r="BI22" s="427"/>
    </row>
    <row r="23" spans="1:61" s="328" customFormat="1">
      <c r="A23" s="329">
        <v>19</v>
      </c>
      <c r="B23" s="358" t="s">
        <v>808</v>
      </c>
      <c r="C23" s="331" t="s">
        <v>753</v>
      </c>
      <c r="D23" s="358">
        <v>100261399</v>
      </c>
      <c r="E23" s="359">
        <v>42094</v>
      </c>
      <c r="F23" s="360">
        <v>42094</v>
      </c>
      <c r="G23" s="332">
        <v>42277</v>
      </c>
      <c r="H23" s="334">
        <v>42250</v>
      </c>
      <c r="I23" s="359">
        <v>42460</v>
      </c>
      <c r="J23" s="334">
        <v>42458</v>
      </c>
      <c r="K23" s="332">
        <v>42644</v>
      </c>
      <c r="L23" s="334">
        <v>42647</v>
      </c>
      <c r="M23" s="359">
        <v>42825</v>
      </c>
      <c r="N23" s="334">
        <v>42829</v>
      </c>
      <c r="O23" s="332">
        <v>43008</v>
      </c>
      <c r="P23" s="335">
        <v>43004</v>
      </c>
      <c r="Q23" s="359">
        <v>43190</v>
      </c>
      <c r="R23" s="334">
        <v>43272</v>
      </c>
      <c r="S23" s="332">
        <v>43373</v>
      </c>
      <c r="T23" s="335">
        <v>43414</v>
      </c>
      <c r="U23" s="336">
        <v>43550</v>
      </c>
      <c r="V23" s="337">
        <v>43531</v>
      </c>
      <c r="W23" s="336">
        <v>43733</v>
      </c>
      <c r="X23" s="337">
        <v>43750</v>
      </c>
      <c r="Y23" s="338">
        <v>43913</v>
      </c>
      <c r="Z23" s="339">
        <v>43970</v>
      </c>
      <c r="AA23" s="338">
        <v>44093</v>
      </c>
      <c r="AB23" s="339">
        <v>44180</v>
      </c>
      <c r="AC23" s="338">
        <v>44280</v>
      </c>
      <c r="AD23" s="339">
        <v>44308</v>
      </c>
      <c r="AE23" s="338">
        <v>44461</v>
      </c>
      <c r="AF23" s="339">
        <v>44747</v>
      </c>
      <c r="AG23" s="338">
        <v>44642</v>
      </c>
      <c r="AH23" s="339">
        <v>44747</v>
      </c>
      <c r="AI23" s="338">
        <v>44826</v>
      </c>
      <c r="AJ23" s="339">
        <v>44850</v>
      </c>
      <c r="AK23" s="340">
        <f t="shared" si="0"/>
        <v>24</v>
      </c>
      <c r="AL23" s="357">
        <v>45006</v>
      </c>
      <c r="AM23" s="357">
        <v>45035</v>
      </c>
      <c r="AN23" s="342">
        <f t="shared" si="1"/>
        <v>29</v>
      </c>
      <c r="AO23" s="343">
        <v>45245</v>
      </c>
      <c r="AP23" s="343">
        <v>45246</v>
      </c>
      <c r="AQ23" s="344">
        <v>45264</v>
      </c>
      <c r="AR23" s="344">
        <v>45265</v>
      </c>
      <c r="AS23" s="345">
        <f t="shared" si="4"/>
        <v>19</v>
      </c>
      <c r="AT23" s="346"/>
      <c r="AU23" s="347">
        <v>45374</v>
      </c>
      <c r="AV23" s="348">
        <v>45381</v>
      </c>
      <c r="AW23" s="349">
        <v>7</v>
      </c>
      <c r="AX23" s="350">
        <v>45640</v>
      </c>
      <c r="AY23" s="351">
        <v>45642</v>
      </c>
      <c r="AZ23" s="351">
        <v>45653</v>
      </c>
      <c r="BA23" s="351">
        <v>45654</v>
      </c>
      <c r="BB23" s="352">
        <v>12</v>
      </c>
      <c r="BC23" s="353" t="s">
        <v>755</v>
      </c>
      <c r="BD23" s="414" t="s">
        <v>809</v>
      </c>
      <c r="BE23" s="411">
        <v>45789</v>
      </c>
      <c r="BF23" s="403">
        <v>45796</v>
      </c>
      <c r="BG23" s="419">
        <f t="shared" si="2"/>
        <v>7</v>
      </c>
      <c r="BH23" s="420">
        <f t="shared" si="5"/>
        <v>100</v>
      </c>
      <c r="BI23" s="421"/>
    </row>
    <row r="24" spans="1:61" s="328" customFormat="1">
      <c r="A24" s="329">
        <v>20</v>
      </c>
      <c r="B24" s="358" t="s">
        <v>810</v>
      </c>
      <c r="C24" s="331" t="s">
        <v>753</v>
      </c>
      <c r="D24" s="358">
        <v>100261392</v>
      </c>
      <c r="E24" s="359">
        <v>42095</v>
      </c>
      <c r="F24" s="360">
        <v>42095</v>
      </c>
      <c r="G24" s="332">
        <v>42278</v>
      </c>
      <c r="H24" s="334">
        <v>42177</v>
      </c>
      <c r="I24" s="359">
        <v>42461</v>
      </c>
      <c r="J24" s="334">
        <v>42460</v>
      </c>
      <c r="K24" s="332">
        <v>42645</v>
      </c>
      <c r="L24" s="334">
        <v>42661</v>
      </c>
      <c r="M24" s="359">
        <v>42826</v>
      </c>
      <c r="N24" s="334">
        <v>42832</v>
      </c>
      <c r="O24" s="332">
        <v>43009</v>
      </c>
      <c r="P24" s="335">
        <v>43053</v>
      </c>
      <c r="Q24" s="359">
        <v>43191</v>
      </c>
      <c r="R24" s="334">
        <v>43273</v>
      </c>
      <c r="S24" s="332">
        <v>43374</v>
      </c>
      <c r="T24" s="335">
        <v>43416</v>
      </c>
      <c r="U24" s="336">
        <v>43551</v>
      </c>
      <c r="V24" s="337">
        <v>43511</v>
      </c>
      <c r="W24" s="336">
        <v>43734</v>
      </c>
      <c r="X24" s="337">
        <v>43751</v>
      </c>
      <c r="Y24" s="338">
        <v>43914</v>
      </c>
      <c r="Z24" s="339">
        <v>43969</v>
      </c>
      <c r="AA24" s="338">
        <v>44094</v>
      </c>
      <c r="AB24" s="339">
        <v>44181</v>
      </c>
      <c r="AC24" s="338">
        <v>44281</v>
      </c>
      <c r="AD24" s="339">
        <v>44310</v>
      </c>
      <c r="AE24" s="338">
        <v>44461</v>
      </c>
      <c r="AF24" s="339">
        <v>44740</v>
      </c>
      <c r="AG24" s="338">
        <v>44643</v>
      </c>
      <c r="AH24" s="339">
        <v>44740</v>
      </c>
      <c r="AI24" s="338">
        <v>44826</v>
      </c>
      <c r="AJ24" s="339">
        <v>44915</v>
      </c>
      <c r="AK24" s="340">
        <f t="shared" si="0"/>
        <v>89</v>
      </c>
      <c r="AL24" s="357">
        <v>45006</v>
      </c>
      <c r="AM24" s="361">
        <v>45052</v>
      </c>
      <c r="AN24" s="342">
        <f t="shared" si="1"/>
        <v>46</v>
      </c>
      <c r="AO24" s="343">
        <v>45247</v>
      </c>
      <c r="AP24" s="343">
        <v>45248</v>
      </c>
      <c r="AQ24" s="362">
        <v>45364</v>
      </c>
      <c r="AR24" s="362">
        <v>45365</v>
      </c>
      <c r="AS24" s="345">
        <f t="shared" si="4"/>
        <v>117</v>
      </c>
      <c r="AT24" s="346" t="s">
        <v>811</v>
      </c>
      <c r="AU24" s="347">
        <v>45376</v>
      </c>
      <c r="AV24" s="348">
        <v>45365</v>
      </c>
      <c r="AW24" s="349">
        <v>11</v>
      </c>
      <c r="AX24" s="350">
        <v>45643</v>
      </c>
      <c r="AY24" s="351">
        <v>45644</v>
      </c>
      <c r="AZ24" s="351">
        <v>45650</v>
      </c>
      <c r="BA24" s="351">
        <v>45652</v>
      </c>
      <c r="BB24" s="352">
        <v>8</v>
      </c>
      <c r="BC24" s="353" t="s">
        <v>755</v>
      </c>
      <c r="BD24" s="414" t="s">
        <v>812</v>
      </c>
      <c r="BE24" s="411">
        <v>45790</v>
      </c>
      <c r="BF24" s="403">
        <v>45798</v>
      </c>
      <c r="BG24" s="419">
        <f t="shared" si="2"/>
        <v>8</v>
      </c>
      <c r="BH24" s="420">
        <f t="shared" si="5"/>
        <v>100</v>
      </c>
      <c r="BI24" s="421"/>
    </row>
    <row r="25" spans="1:61" s="328" customFormat="1">
      <c r="A25" s="329">
        <v>21</v>
      </c>
      <c r="B25" s="358" t="s">
        <v>813</v>
      </c>
      <c r="C25" s="331" t="s">
        <v>753</v>
      </c>
      <c r="D25" s="358">
        <v>100261396</v>
      </c>
      <c r="E25" s="359">
        <v>42097</v>
      </c>
      <c r="F25" s="360">
        <v>42097</v>
      </c>
      <c r="G25" s="332">
        <v>42280</v>
      </c>
      <c r="H25" s="334">
        <v>42280</v>
      </c>
      <c r="I25" s="359">
        <v>42463</v>
      </c>
      <c r="J25" s="334">
        <v>42485</v>
      </c>
      <c r="K25" s="332">
        <v>42646</v>
      </c>
      <c r="L25" s="334">
        <v>42646</v>
      </c>
      <c r="M25" s="359">
        <v>42828</v>
      </c>
      <c r="N25" s="334">
        <v>42833</v>
      </c>
      <c r="O25" s="332">
        <v>43011</v>
      </c>
      <c r="P25" s="335">
        <v>43054</v>
      </c>
      <c r="Q25" s="359">
        <v>43193</v>
      </c>
      <c r="R25" s="334">
        <v>43278</v>
      </c>
      <c r="S25" s="332">
        <v>43376</v>
      </c>
      <c r="T25" s="335">
        <v>43418</v>
      </c>
      <c r="U25" s="336">
        <v>43553</v>
      </c>
      <c r="V25" s="337">
        <v>43532</v>
      </c>
      <c r="W25" s="336">
        <v>43735</v>
      </c>
      <c r="X25" s="337">
        <v>43752</v>
      </c>
      <c r="Y25" s="338">
        <v>43915</v>
      </c>
      <c r="Z25" s="339">
        <v>43946</v>
      </c>
      <c r="AA25" s="338">
        <v>44095</v>
      </c>
      <c r="AB25" s="339">
        <v>44176</v>
      </c>
      <c r="AC25" s="338">
        <v>44284</v>
      </c>
      <c r="AD25" s="339">
        <v>44311</v>
      </c>
      <c r="AE25" s="338">
        <v>44463</v>
      </c>
      <c r="AF25" s="339">
        <v>44736</v>
      </c>
      <c r="AG25" s="338">
        <v>44644</v>
      </c>
      <c r="AH25" s="339">
        <v>44736</v>
      </c>
      <c r="AI25" s="338">
        <v>44828</v>
      </c>
      <c r="AJ25" s="339">
        <v>44916</v>
      </c>
      <c r="AK25" s="340">
        <f t="shared" si="0"/>
        <v>88</v>
      </c>
      <c r="AL25" s="357">
        <v>45008</v>
      </c>
      <c r="AM25" s="361">
        <v>45053</v>
      </c>
      <c r="AN25" s="342">
        <f t="shared" si="1"/>
        <v>45</v>
      </c>
      <c r="AO25" s="343">
        <v>45249</v>
      </c>
      <c r="AP25" s="343">
        <v>45250</v>
      </c>
      <c r="AQ25" s="344">
        <v>45262</v>
      </c>
      <c r="AR25" s="344">
        <v>45264</v>
      </c>
      <c r="AS25" s="345">
        <f t="shared" si="4"/>
        <v>14</v>
      </c>
      <c r="AT25" s="346"/>
      <c r="AU25" s="347">
        <v>45377</v>
      </c>
      <c r="AV25" s="363">
        <v>45383</v>
      </c>
      <c r="AW25" s="349">
        <v>6</v>
      </c>
      <c r="AX25" s="364">
        <v>45645</v>
      </c>
      <c r="AY25" s="365">
        <v>45646</v>
      </c>
      <c r="AZ25" s="365">
        <v>45648</v>
      </c>
      <c r="BA25" s="365">
        <v>45649</v>
      </c>
      <c r="BB25" s="352">
        <v>3</v>
      </c>
      <c r="BC25" s="366" t="s">
        <v>814</v>
      </c>
      <c r="BD25" s="414" t="s">
        <v>815</v>
      </c>
      <c r="BE25" s="411">
        <v>45792</v>
      </c>
      <c r="BF25" s="403">
        <v>45799</v>
      </c>
      <c r="BG25" s="419">
        <f t="shared" si="2"/>
        <v>7</v>
      </c>
      <c r="BH25" s="420">
        <f t="shared" si="5"/>
        <v>100</v>
      </c>
      <c r="BI25" s="421"/>
    </row>
    <row r="26" spans="1:61" s="328" customFormat="1">
      <c r="A26" s="329">
        <v>22</v>
      </c>
      <c r="B26" s="358" t="s">
        <v>816</v>
      </c>
      <c r="C26" s="331" t="s">
        <v>753</v>
      </c>
      <c r="D26" s="358">
        <v>100261393</v>
      </c>
      <c r="E26" s="359">
        <v>42099</v>
      </c>
      <c r="F26" s="360">
        <v>42099</v>
      </c>
      <c r="G26" s="332">
        <v>42282</v>
      </c>
      <c r="H26" s="334">
        <v>42282</v>
      </c>
      <c r="I26" s="359">
        <v>42465</v>
      </c>
      <c r="J26" s="334">
        <v>42464</v>
      </c>
      <c r="K26" s="332">
        <v>42648</v>
      </c>
      <c r="L26" s="334">
        <v>42648</v>
      </c>
      <c r="M26" s="359">
        <v>42830</v>
      </c>
      <c r="N26" s="334">
        <v>42835</v>
      </c>
      <c r="O26" s="332">
        <v>43013</v>
      </c>
      <c r="P26" s="335">
        <v>43055</v>
      </c>
      <c r="Q26" s="359">
        <v>43195</v>
      </c>
      <c r="R26" s="334">
        <v>43282</v>
      </c>
      <c r="S26" s="332">
        <v>43378</v>
      </c>
      <c r="T26" s="335">
        <v>43420</v>
      </c>
      <c r="U26" s="336">
        <v>43555</v>
      </c>
      <c r="V26" s="337">
        <v>43533</v>
      </c>
      <c r="W26" s="336">
        <v>43736</v>
      </c>
      <c r="X26" s="337">
        <v>43753</v>
      </c>
      <c r="Y26" s="338">
        <v>43916</v>
      </c>
      <c r="Z26" s="339">
        <v>43947</v>
      </c>
      <c r="AA26" s="338">
        <v>44096</v>
      </c>
      <c r="AB26" s="339">
        <v>44126</v>
      </c>
      <c r="AC26" s="338">
        <v>44285</v>
      </c>
      <c r="AD26" s="339">
        <v>44312</v>
      </c>
      <c r="AE26" s="338">
        <v>44463</v>
      </c>
      <c r="AF26" s="339">
        <v>44732</v>
      </c>
      <c r="AG26" s="338">
        <v>44645</v>
      </c>
      <c r="AH26" s="339">
        <v>44732</v>
      </c>
      <c r="AI26" s="338">
        <v>44828</v>
      </c>
      <c r="AJ26" s="339">
        <v>44917</v>
      </c>
      <c r="AK26" s="340">
        <f t="shared" si="0"/>
        <v>89</v>
      </c>
      <c r="AL26" s="357">
        <v>45008</v>
      </c>
      <c r="AM26" s="361">
        <v>45054</v>
      </c>
      <c r="AN26" s="342">
        <f t="shared" si="1"/>
        <v>46</v>
      </c>
      <c r="AO26" s="343">
        <v>45251</v>
      </c>
      <c r="AP26" s="343">
        <v>45252</v>
      </c>
      <c r="AQ26" s="344">
        <v>45272</v>
      </c>
      <c r="AR26" s="344">
        <v>45273</v>
      </c>
      <c r="AS26" s="345">
        <f t="shared" si="4"/>
        <v>21</v>
      </c>
      <c r="AT26" s="346"/>
      <c r="AU26" s="347">
        <v>45378</v>
      </c>
      <c r="AV26" s="363">
        <v>45384</v>
      </c>
      <c r="AW26" s="349">
        <v>6</v>
      </c>
      <c r="AX26" s="364">
        <v>45647</v>
      </c>
      <c r="AY26" s="365">
        <v>45649</v>
      </c>
      <c r="AZ26" s="365">
        <v>45655</v>
      </c>
      <c r="BA26" s="365">
        <v>45656</v>
      </c>
      <c r="BB26" s="352">
        <v>7</v>
      </c>
      <c r="BC26" s="366" t="s">
        <v>755</v>
      </c>
      <c r="BD26" s="414" t="s">
        <v>817</v>
      </c>
      <c r="BE26" s="411">
        <v>45793</v>
      </c>
      <c r="BF26" s="403">
        <v>45800</v>
      </c>
      <c r="BG26" s="419">
        <f t="shared" si="2"/>
        <v>7</v>
      </c>
      <c r="BH26" s="420">
        <f t="shared" si="5"/>
        <v>100</v>
      </c>
      <c r="BI26" s="421"/>
    </row>
    <row r="27" spans="1:61" s="328" customFormat="1">
      <c r="A27" s="329">
        <v>23</v>
      </c>
      <c r="B27" s="358" t="s">
        <v>818</v>
      </c>
      <c r="C27" s="331" t="s">
        <v>753</v>
      </c>
      <c r="D27" s="358">
        <v>100261402</v>
      </c>
      <c r="E27" s="359">
        <v>42100</v>
      </c>
      <c r="F27" s="360">
        <v>42100</v>
      </c>
      <c r="G27" s="332">
        <v>42283</v>
      </c>
      <c r="H27" s="334">
        <v>42284</v>
      </c>
      <c r="I27" s="359">
        <v>42466</v>
      </c>
      <c r="J27" s="334">
        <v>42461</v>
      </c>
      <c r="K27" s="332">
        <v>42649</v>
      </c>
      <c r="L27" s="334">
        <v>42649</v>
      </c>
      <c r="M27" s="359">
        <v>42831</v>
      </c>
      <c r="N27" s="334">
        <v>42836</v>
      </c>
      <c r="O27" s="332">
        <v>43014</v>
      </c>
      <c r="P27" s="335">
        <v>43056</v>
      </c>
      <c r="Q27" s="359">
        <v>43196</v>
      </c>
      <c r="R27" s="334">
        <v>43283</v>
      </c>
      <c r="S27" s="332">
        <v>43379</v>
      </c>
      <c r="T27" s="335">
        <v>43421</v>
      </c>
      <c r="U27" s="336">
        <v>43556</v>
      </c>
      <c r="V27" s="337">
        <v>43535</v>
      </c>
      <c r="W27" s="336">
        <v>43737</v>
      </c>
      <c r="X27" s="337">
        <v>43754</v>
      </c>
      <c r="Y27" s="338">
        <v>43917</v>
      </c>
      <c r="Z27" s="339">
        <v>43947</v>
      </c>
      <c r="AA27" s="338">
        <v>44097</v>
      </c>
      <c r="AB27" s="339">
        <v>44127</v>
      </c>
      <c r="AC27" s="338">
        <v>44286</v>
      </c>
      <c r="AD27" s="339">
        <v>44313</v>
      </c>
      <c r="AE27" s="338">
        <v>44466</v>
      </c>
      <c r="AF27" s="339">
        <v>44707</v>
      </c>
      <c r="AG27" s="338">
        <v>44646</v>
      </c>
      <c r="AH27" s="339">
        <v>44707</v>
      </c>
      <c r="AI27" s="338">
        <v>44831</v>
      </c>
      <c r="AJ27" s="339">
        <v>44918</v>
      </c>
      <c r="AK27" s="340">
        <f t="shared" si="0"/>
        <v>87</v>
      </c>
      <c r="AL27" s="357">
        <v>45011</v>
      </c>
      <c r="AM27" s="361">
        <v>45055</v>
      </c>
      <c r="AN27" s="342">
        <f t="shared" si="1"/>
        <v>44</v>
      </c>
      <c r="AO27" s="343">
        <v>45253</v>
      </c>
      <c r="AP27" s="343">
        <v>45254</v>
      </c>
      <c r="AQ27" s="344">
        <v>45273</v>
      </c>
      <c r="AR27" s="344">
        <v>45272</v>
      </c>
      <c r="AS27" s="345">
        <f t="shared" si="4"/>
        <v>18</v>
      </c>
      <c r="AT27" s="346"/>
      <c r="AU27" s="347">
        <v>45380</v>
      </c>
      <c r="AV27" s="363">
        <v>45385</v>
      </c>
      <c r="AW27" s="349">
        <v>5</v>
      </c>
      <c r="AX27" s="364">
        <v>45650</v>
      </c>
      <c r="AY27" s="365">
        <v>45651</v>
      </c>
      <c r="AZ27" s="365">
        <v>45659</v>
      </c>
      <c r="BA27" s="365">
        <v>45660</v>
      </c>
      <c r="BB27" s="352">
        <v>9</v>
      </c>
      <c r="BC27" s="366" t="s">
        <v>819</v>
      </c>
      <c r="BD27" s="416" t="s">
        <v>820</v>
      </c>
      <c r="BE27" s="411">
        <v>45794</v>
      </c>
      <c r="BF27" s="403">
        <v>45801</v>
      </c>
      <c r="BG27" s="419">
        <f t="shared" si="2"/>
        <v>7</v>
      </c>
      <c r="BH27" s="420">
        <f t="shared" si="5"/>
        <v>100</v>
      </c>
      <c r="BI27" s="421"/>
    </row>
    <row r="28" spans="1:61" s="328" customFormat="1">
      <c r="A28" s="367">
        <v>24</v>
      </c>
      <c r="B28" s="358" t="s">
        <v>821</v>
      </c>
      <c r="C28" s="331" t="s">
        <v>753</v>
      </c>
      <c r="D28" s="358">
        <v>100261394</v>
      </c>
      <c r="E28" s="359">
        <v>42101</v>
      </c>
      <c r="F28" s="360">
        <v>42101</v>
      </c>
      <c r="G28" s="332">
        <v>42284</v>
      </c>
      <c r="H28" s="334">
        <v>42285</v>
      </c>
      <c r="I28" s="359">
        <v>42467</v>
      </c>
      <c r="J28" s="334">
        <v>42469</v>
      </c>
      <c r="K28" s="332">
        <v>42650</v>
      </c>
      <c r="L28" s="334">
        <v>42650</v>
      </c>
      <c r="M28" s="359">
        <v>42832</v>
      </c>
      <c r="N28" s="334">
        <v>42837</v>
      </c>
      <c r="O28" s="332">
        <v>43015</v>
      </c>
      <c r="P28" s="335">
        <v>43057</v>
      </c>
      <c r="Q28" s="359">
        <v>43197</v>
      </c>
      <c r="R28" s="334">
        <v>43301</v>
      </c>
      <c r="S28" s="332">
        <v>43380</v>
      </c>
      <c r="T28" s="335">
        <v>43422</v>
      </c>
      <c r="U28" s="336">
        <v>43557</v>
      </c>
      <c r="V28" s="337">
        <v>43536</v>
      </c>
      <c r="W28" s="336">
        <v>43738</v>
      </c>
      <c r="X28" s="337">
        <v>43755</v>
      </c>
      <c r="Y28" s="338">
        <v>43918</v>
      </c>
      <c r="Z28" s="339">
        <v>43948</v>
      </c>
      <c r="AA28" s="338">
        <v>44098</v>
      </c>
      <c r="AB28" s="339">
        <v>44128</v>
      </c>
      <c r="AC28" s="338">
        <v>44287</v>
      </c>
      <c r="AD28" s="339">
        <v>44315</v>
      </c>
      <c r="AE28" s="338">
        <v>44466</v>
      </c>
      <c r="AF28" s="339">
        <v>44699</v>
      </c>
      <c r="AG28" s="338">
        <v>44648</v>
      </c>
      <c r="AH28" s="339">
        <v>44699</v>
      </c>
      <c r="AI28" s="338">
        <v>44831</v>
      </c>
      <c r="AJ28" s="339">
        <v>44919</v>
      </c>
      <c r="AK28" s="340">
        <f t="shared" si="0"/>
        <v>88</v>
      </c>
      <c r="AL28" s="357">
        <v>45011</v>
      </c>
      <c r="AM28" s="361">
        <v>45074</v>
      </c>
      <c r="AN28" s="342">
        <f t="shared" si="1"/>
        <v>63</v>
      </c>
      <c r="AO28" s="343">
        <v>45255</v>
      </c>
      <c r="AP28" s="343">
        <v>45256</v>
      </c>
      <c r="AQ28" s="344">
        <v>45270</v>
      </c>
      <c r="AR28" s="344">
        <v>45271</v>
      </c>
      <c r="AS28" s="368">
        <f t="shared" si="4"/>
        <v>15</v>
      </c>
      <c r="AT28" s="346"/>
      <c r="AU28" s="347">
        <v>45381</v>
      </c>
      <c r="AV28" s="348">
        <v>45369</v>
      </c>
      <c r="AW28" s="349">
        <v>12</v>
      </c>
      <c r="AX28" s="350">
        <v>45652</v>
      </c>
      <c r="AY28" s="351">
        <v>45653</v>
      </c>
      <c r="AZ28" s="351">
        <v>45661</v>
      </c>
      <c r="BA28" s="351">
        <v>45663</v>
      </c>
      <c r="BB28" s="352">
        <v>10</v>
      </c>
      <c r="BC28" s="353" t="s">
        <v>822</v>
      </c>
      <c r="BD28" s="416" t="s">
        <v>823</v>
      </c>
      <c r="BE28" s="409">
        <v>45795</v>
      </c>
      <c r="BF28" s="403">
        <v>45802</v>
      </c>
      <c r="BG28" s="419">
        <f t="shared" si="2"/>
        <v>7</v>
      </c>
      <c r="BH28" s="420">
        <f t="shared" si="5"/>
        <v>100</v>
      </c>
      <c r="BI28" s="421"/>
    </row>
    <row r="29" spans="1:61" s="328" customFormat="1">
      <c r="A29" s="303">
        <v>25</v>
      </c>
      <c r="B29" s="369" t="s">
        <v>824</v>
      </c>
      <c r="C29" s="305" t="s">
        <v>753</v>
      </c>
      <c r="D29" s="369">
        <v>100261254</v>
      </c>
      <c r="E29" s="370">
        <v>42102</v>
      </c>
      <c r="F29" s="371">
        <v>42102</v>
      </c>
      <c r="G29" s="306">
        <v>42285</v>
      </c>
      <c r="H29" s="308">
        <v>42286</v>
      </c>
      <c r="I29" s="370">
        <v>42468</v>
      </c>
      <c r="J29" s="308">
        <v>42475</v>
      </c>
      <c r="K29" s="306">
        <v>42651</v>
      </c>
      <c r="L29" s="308">
        <v>42651</v>
      </c>
      <c r="M29" s="370">
        <v>42833</v>
      </c>
      <c r="N29" s="308">
        <v>42838</v>
      </c>
      <c r="O29" s="306">
        <v>43016</v>
      </c>
      <c r="P29" s="309">
        <v>43059</v>
      </c>
      <c r="Q29" s="370">
        <v>43198</v>
      </c>
      <c r="R29" s="308">
        <v>43297</v>
      </c>
      <c r="S29" s="306">
        <v>43381</v>
      </c>
      <c r="T29" s="309">
        <v>43423</v>
      </c>
      <c r="U29" s="310">
        <v>43558</v>
      </c>
      <c r="V29" s="311">
        <v>43537</v>
      </c>
      <c r="W29" s="310">
        <v>43739</v>
      </c>
      <c r="X29" s="311">
        <v>43756</v>
      </c>
      <c r="Y29" s="312">
        <v>43919</v>
      </c>
      <c r="Z29" s="313">
        <v>43948</v>
      </c>
      <c r="AA29" s="312">
        <v>44099</v>
      </c>
      <c r="AB29" s="313">
        <v>44172</v>
      </c>
      <c r="AC29" s="312">
        <v>44288</v>
      </c>
      <c r="AD29" s="313">
        <v>44316</v>
      </c>
      <c r="AE29" s="312">
        <v>44468</v>
      </c>
      <c r="AF29" s="313">
        <v>44743</v>
      </c>
      <c r="AG29" s="312">
        <v>44649</v>
      </c>
      <c r="AH29" s="313">
        <v>44743</v>
      </c>
      <c r="AI29" s="312">
        <v>44833</v>
      </c>
      <c r="AJ29" s="313">
        <v>44920</v>
      </c>
      <c r="AK29" s="314">
        <f t="shared" si="0"/>
        <v>87</v>
      </c>
      <c r="AL29" s="372">
        <v>45013</v>
      </c>
      <c r="AM29" s="373">
        <v>45075</v>
      </c>
      <c r="AN29" s="317">
        <f t="shared" si="1"/>
        <v>62</v>
      </c>
      <c r="AO29" s="318">
        <v>45257</v>
      </c>
      <c r="AP29" s="318">
        <v>45258</v>
      </c>
      <c r="AQ29" s="319">
        <v>45269</v>
      </c>
      <c r="AR29" s="319">
        <v>45271</v>
      </c>
      <c r="AS29" s="368">
        <f t="shared" si="4"/>
        <v>13</v>
      </c>
      <c r="AT29" s="346" t="s">
        <v>825</v>
      </c>
      <c r="AU29" s="347">
        <v>45383</v>
      </c>
      <c r="AV29" s="363">
        <v>45386</v>
      </c>
      <c r="AW29" s="349">
        <v>3</v>
      </c>
      <c r="AX29" s="364">
        <v>45654</v>
      </c>
      <c r="AY29" s="365">
        <v>45656</v>
      </c>
      <c r="AZ29" s="365">
        <v>45664</v>
      </c>
      <c r="BA29" s="365">
        <v>45665</v>
      </c>
      <c r="BB29" s="352">
        <v>9</v>
      </c>
      <c r="BC29" s="366"/>
      <c r="BD29" s="416" t="s">
        <v>826</v>
      </c>
      <c r="BE29" s="409">
        <v>45796</v>
      </c>
      <c r="BF29" s="403">
        <v>45803</v>
      </c>
      <c r="BG29" s="419">
        <f t="shared" si="2"/>
        <v>7</v>
      </c>
      <c r="BH29" s="420">
        <f t="shared" si="5"/>
        <v>100</v>
      </c>
      <c r="BI29" s="421"/>
    </row>
    <row r="30" spans="1:61" s="328" customFormat="1">
      <c r="A30" s="329">
        <v>26</v>
      </c>
      <c r="B30" s="358" t="s">
        <v>827</v>
      </c>
      <c r="C30" s="331" t="s">
        <v>753</v>
      </c>
      <c r="D30" s="358">
        <v>100261400</v>
      </c>
      <c r="E30" s="359">
        <v>42104</v>
      </c>
      <c r="F30" s="360">
        <v>42104</v>
      </c>
      <c r="G30" s="332">
        <v>42287</v>
      </c>
      <c r="H30" s="334">
        <v>42287</v>
      </c>
      <c r="I30" s="359">
        <v>42470</v>
      </c>
      <c r="J30" s="334">
        <v>42476</v>
      </c>
      <c r="K30" s="332">
        <v>42653</v>
      </c>
      <c r="L30" s="334">
        <v>42652</v>
      </c>
      <c r="M30" s="359">
        <v>42835</v>
      </c>
      <c r="N30" s="334">
        <v>42842</v>
      </c>
      <c r="O30" s="332">
        <v>43018</v>
      </c>
      <c r="P30" s="335">
        <v>43060</v>
      </c>
      <c r="Q30" s="359">
        <v>43200</v>
      </c>
      <c r="R30" s="334">
        <v>43300</v>
      </c>
      <c r="S30" s="332">
        <v>43383</v>
      </c>
      <c r="T30" s="335">
        <v>43424</v>
      </c>
      <c r="U30" s="336">
        <v>43560</v>
      </c>
      <c r="V30" s="337">
        <v>43538</v>
      </c>
      <c r="W30" s="336">
        <v>43740</v>
      </c>
      <c r="X30" s="337">
        <v>43758</v>
      </c>
      <c r="Y30" s="338">
        <v>43920</v>
      </c>
      <c r="Z30" s="339">
        <v>43949</v>
      </c>
      <c r="AA30" s="338">
        <v>44100</v>
      </c>
      <c r="AB30" s="339">
        <v>44169</v>
      </c>
      <c r="AC30" s="338">
        <v>44291</v>
      </c>
      <c r="AD30" s="339">
        <v>44320</v>
      </c>
      <c r="AE30" s="338">
        <v>44468</v>
      </c>
      <c r="AF30" s="339">
        <v>44729</v>
      </c>
      <c r="AG30" s="338">
        <v>44650</v>
      </c>
      <c r="AH30" s="339">
        <v>44729</v>
      </c>
      <c r="AI30" s="338">
        <v>44833</v>
      </c>
      <c r="AJ30" s="339">
        <v>44921</v>
      </c>
      <c r="AK30" s="340">
        <f t="shared" si="0"/>
        <v>88</v>
      </c>
      <c r="AL30" s="357">
        <v>45013</v>
      </c>
      <c r="AM30" s="361">
        <v>45075</v>
      </c>
      <c r="AN30" s="342">
        <f t="shared" si="1"/>
        <v>62</v>
      </c>
      <c r="AO30" s="343">
        <v>45259</v>
      </c>
      <c r="AP30" s="343">
        <v>45260</v>
      </c>
      <c r="AQ30" s="344">
        <v>45267</v>
      </c>
      <c r="AR30" s="344">
        <v>45268</v>
      </c>
      <c r="AS30" s="368">
        <f t="shared" si="4"/>
        <v>8</v>
      </c>
      <c r="AT30" s="346"/>
      <c r="AU30" s="347">
        <v>45384</v>
      </c>
      <c r="AV30" s="363">
        <v>45387</v>
      </c>
      <c r="AW30" s="349">
        <v>3</v>
      </c>
      <c r="AX30" s="364">
        <v>45657</v>
      </c>
      <c r="AY30" s="365">
        <v>45658</v>
      </c>
      <c r="AZ30" s="365">
        <v>45667</v>
      </c>
      <c r="BA30" s="365">
        <v>45668</v>
      </c>
      <c r="BB30" s="352">
        <v>10</v>
      </c>
      <c r="BC30" s="366" t="s">
        <v>828</v>
      </c>
      <c r="BD30" s="416" t="s">
        <v>829</v>
      </c>
      <c r="BE30" s="409">
        <v>45797</v>
      </c>
      <c r="BF30" s="403">
        <v>45803</v>
      </c>
      <c r="BG30" s="419">
        <f t="shared" si="2"/>
        <v>6</v>
      </c>
      <c r="BH30" s="420">
        <f t="shared" si="5"/>
        <v>100</v>
      </c>
      <c r="BI30" s="421"/>
    </row>
    <row r="31" spans="1:61" s="328" customFormat="1">
      <c r="A31" s="329">
        <v>27</v>
      </c>
      <c r="B31" s="358" t="s">
        <v>830</v>
      </c>
      <c r="C31" s="331" t="s">
        <v>753</v>
      </c>
      <c r="D31" s="358">
        <v>100261395</v>
      </c>
      <c r="E31" s="374">
        <v>42121</v>
      </c>
      <c r="F31" s="375">
        <v>42121</v>
      </c>
      <c r="G31" s="332">
        <v>42304</v>
      </c>
      <c r="H31" s="334">
        <v>42304</v>
      </c>
      <c r="I31" s="376">
        <v>42487</v>
      </c>
      <c r="J31" s="334">
        <v>42467</v>
      </c>
      <c r="K31" s="332">
        <v>42670</v>
      </c>
      <c r="L31" s="334">
        <v>42653</v>
      </c>
      <c r="M31" s="374">
        <v>42852</v>
      </c>
      <c r="N31" s="334">
        <v>42852</v>
      </c>
      <c r="O31" s="332">
        <v>43035</v>
      </c>
      <c r="P31" s="335">
        <v>43061</v>
      </c>
      <c r="Q31" s="374">
        <v>43217</v>
      </c>
      <c r="R31" s="334">
        <v>43298</v>
      </c>
      <c r="S31" s="332">
        <v>43400</v>
      </c>
      <c r="T31" s="335">
        <v>43429</v>
      </c>
      <c r="U31" s="336">
        <v>43577</v>
      </c>
      <c r="V31" s="337">
        <v>43540</v>
      </c>
      <c r="W31" s="336">
        <v>43741</v>
      </c>
      <c r="X31" s="337">
        <v>43759</v>
      </c>
      <c r="Y31" s="338">
        <v>43921</v>
      </c>
      <c r="Z31" s="339">
        <v>43949</v>
      </c>
      <c r="AA31" s="338">
        <v>44101</v>
      </c>
      <c r="AB31" s="339">
        <v>44174</v>
      </c>
      <c r="AC31" s="338">
        <v>44292</v>
      </c>
      <c r="AD31" s="339">
        <v>44321</v>
      </c>
      <c r="AE31" s="338">
        <v>44470</v>
      </c>
      <c r="AF31" s="339">
        <v>44742</v>
      </c>
      <c r="AG31" s="338">
        <v>44651</v>
      </c>
      <c r="AH31" s="339">
        <v>44742</v>
      </c>
      <c r="AI31" s="338">
        <v>44835</v>
      </c>
      <c r="AJ31" s="339">
        <v>44922</v>
      </c>
      <c r="AK31" s="340">
        <f t="shared" si="0"/>
        <v>87</v>
      </c>
      <c r="AL31" s="357">
        <v>45015</v>
      </c>
      <c r="AM31" s="361">
        <v>45076</v>
      </c>
      <c r="AN31" s="342">
        <f t="shared" si="1"/>
        <v>61</v>
      </c>
      <c r="AO31" s="343">
        <v>45261</v>
      </c>
      <c r="AP31" s="343">
        <v>45262</v>
      </c>
      <c r="AQ31" s="344">
        <v>45266</v>
      </c>
      <c r="AR31" s="344">
        <v>45267</v>
      </c>
      <c r="AS31" s="368">
        <f t="shared" si="4"/>
        <v>5</v>
      </c>
      <c r="AT31" s="346"/>
      <c r="AU31" s="347">
        <v>45385</v>
      </c>
      <c r="AV31" s="363">
        <v>45388</v>
      </c>
      <c r="AW31" s="349">
        <v>3</v>
      </c>
      <c r="AX31" s="364">
        <v>45659</v>
      </c>
      <c r="AY31" s="365">
        <v>45660</v>
      </c>
      <c r="AZ31" s="365">
        <v>45669</v>
      </c>
      <c r="BA31" s="365">
        <v>45670</v>
      </c>
      <c r="BB31" s="352">
        <v>10</v>
      </c>
      <c r="BC31" s="366" t="s">
        <v>755</v>
      </c>
      <c r="BD31" s="416" t="s">
        <v>831</v>
      </c>
      <c r="BE31" s="409">
        <v>45799</v>
      </c>
      <c r="BF31" s="403">
        <v>45804</v>
      </c>
      <c r="BG31" s="419">
        <f t="shared" si="2"/>
        <v>5</v>
      </c>
      <c r="BH31" s="420">
        <f t="shared" si="5"/>
        <v>100</v>
      </c>
      <c r="BI31" s="421"/>
    </row>
    <row r="32" spans="1:61" s="328" customFormat="1">
      <c r="A32" s="329">
        <v>28</v>
      </c>
      <c r="B32" s="358" t="s">
        <v>832</v>
      </c>
      <c r="C32" s="331" t="s">
        <v>761</v>
      </c>
      <c r="D32" s="358">
        <v>100261409</v>
      </c>
      <c r="E32" s="374">
        <v>42123</v>
      </c>
      <c r="F32" s="375">
        <v>42123</v>
      </c>
      <c r="G32" s="332">
        <v>42306</v>
      </c>
      <c r="H32" s="334">
        <v>42305</v>
      </c>
      <c r="I32" s="374">
        <v>42489</v>
      </c>
      <c r="J32" s="334">
        <v>42467</v>
      </c>
      <c r="K32" s="332">
        <v>42672</v>
      </c>
      <c r="L32" s="334">
        <v>42655</v>
      </c>
      <c r="M32" s="374">
        <v>42854</v>
      </c>
      <c r="N32" s="334">
        <v>42854</v>
      </c>
      <c r="O32" s="332">
        <v>43037</v>
      </c>
      <c r="P32" s="335">
        <v>43066</v>
      </c>
      <c r="Q32" s="374">
        <v>43219</v>
      </c>
      <c r="R32" s="334">
        <v>43304</v>
      </c>
      <c r="S32" s="332">
        <v>43402</v>
      </c>
      <c r="T32" s="335">
        <v>43430</v>
      </c>
      <c r="U32" s="336">
        <v>43579</v>
      </c>
      <c r="V32" s="337">
        <v>43558</v>
      </c>
      <c r="W32" s="336">
        <v>43742</v>
      </c>
      <c r="X32" s="337">
        <v>43760</v>
      </c>
      <c r="Y32" s="338">
        <v>43922</v>
      </c>
      <c r="Z32" s="339">
        <v>43950</v>
      </c>
      <c r="AA32" s="338">
        <v>44102</v>
      </c>
      <c r="AB32" s="339">
        <v>44132</v>
      </c>
      <c r="AC32" s="338">
        <v>44293</v>
      </c>
      <c r="AD32" s="339">
        <v>44301</v>
      </c>
      <c r="AE32" s="338">
        <v>44470</v>
      </c>
      <c r="AF32" s="339">
        <v>44746</v>
      </c>
      <c r="AG32" s="338">
        <v>44652</v>
      </c>
      <c r="AH32" s="339">
        <v>44746</v>
      </c>
      <c r="AI32" s="338">
        <v>44835</v>
      </c>
      <c r="AJ32" s="339">
        <v>44923</v>
      </c>
      <c r="AK32" s="340">
        <f t="shared" si="0"/>
        <v>88</v>
      </c>
      <c r="AL32" s="357">
        <v>45015</v>
      </c>
      <c r="AM32" s="361">
        <v>45076</v>
      </c>
      <c r="AN32" s="342">
        <f t="shared" si="1"/>
        <v>61</v>
      </c>
      <c r="AO32" s="343">
        <v>45263</v>
      </c>
      <c r="AP32" s="343">
        <v>45264</v>
      </c>
      <c r="AQ32" s="344">
        <v>45275</v>
      </c>
      <c r="AR32" s="344">
        <v>45274</v>
      </c>
      <c r="AS32" s="368">
        <f t="shared" si="4"/>
        <v>10</v>
      </c>
      <c r="AT32" s="346"/>
      <c r="AU32" s="347">
        <v>45386</v>
      </c>
      <c r="AV32" s="363">
        <v>45390</v>
      </c>
      <c r="AW32" s="349">
        <v>4</v>
      </c>
      <c r="AX32" s="364">
        <v>45661</v>
      </c>
      <c r="AY32" s="365">
        <v>45663</v>
      </c>
      <c r="AZ32" s="365">
        <v>45671</v>
      </c>
      <c r="BA32" s="365">
        <v>45677</v>
      </c>
      <c r="BB32" s="352">
        <v>14</v>
      </c>
      <c r="BC32" s="366" t="s">
        <v>833</v>
      </c>
      <c r="BD32" s="416" t="s">
        <v>834</v>
      </c>
      <c r="BE32" s="409">
        <v>45800</v>
      </c>
      <c r="BF32" s="403">
        <v>45805</v>
      </c>
      <c r="BG32" s="419">
        <f t="shared" si="2"/>
        <v>5</v>
      </c>
      <c r="BH32" s="420">
        <f t="shared" si="5"/>
        <v>100</v>
      </c>
      <c r="BI32" s="421"/>
    </row>
    <row r="33" spans="1:61" s="328" customFormat="1">
      <c r="A33" s="329">
        <v>29</v>
      </c>
      <c r="B33" s="358" t="s">
        <v>835</v>
      </c>
      <c r="C33" s="331" t="s">
        <v>761</v>
      </c>
      <c r="D33" s="358">
        <v>100261219</v>
      </c>
      <c r="E33" s="374">
        <v>42124</v>
      </c>
      <c r="F33" s="375">
        <v>42124</v>
      </c>
      <c r="G33" s="332">
        <v>42307</v>
      </c>
      <c r="H33" s="334">
        <v>42306</v>
      </c>
      <c r="I33" s="374">
        <v>42490</v>
      </c>
      <c r="J33" s="334">
        <v>42471</v>
      </c>
      <c r="K33" s="332">
        <v>42673</v>
      </c>
      <c r="L33" s="334">
        <v>42699</v>
      </c>
      <c r="M33" s="374">
        <v>42855</v>
      </c>
      <c r="N33" s="334">
        <v>42855</v>
      </c>
      <c r="O33" s="332">
        <v>43038</v>
      </c>
      <c r="P33" s="335">
        <v>43067</v>
      </c>
      <c r="Q33" s="374">
        <v>43220</v>
      </c>
      <c r="R33" s="334">
        <v>43305</v>
      </c>
      <c r="S33" s="332">
        <v>43403</v>
      </c>
      <c r="T33" s="335">
        <v>43431</v>
      </c>
      <c r="U33" s="336">
        <v>43580</v>
      </c>
      <c r="V33" s="337">
        <v>43559</v>
      </c>
      <c r="W33" s="336">
        <v>43743</v>
      </c>
      <c r="X33" s="337">
        <v>43761</v>
      </c>
      <c r="Y33" s="338">
        <v>43923</v>
      </c>
      <c r="Z33" s="339">
        <v>43950</v>
      </c>
      <c r="AA33" s="338">
        <v>44103</v>
      </c>
      <c r="AB33" s="339">
        <v>44167</v>
      </c>
      <c r="AC33" s="338">
        <v>44294</v>
      </c>
      <c r="AD33" s="339">
        <v>44322</v>
      </c>
      <c r="AE33" s="338">
        <v>44473</v>
      </c>
      <c r="AF33" s="339">
        <v>44745</v>
      </c>
      <c r="AG33" s="338">
        <v>44653</v>
      </c>
      <c r="AH33" s="339">
        <v>44745</v>
      </c>
      <c r="AI33" s="338">
        <v>44838</v>
      </c>
      <c r="AJ33" s="339">
        <v>44924</v>
      </c>
      <c r="AK33" s="340">
        <f t="shared" si="0"/>
        <v>86</v>
      </c>
      <c r="AL33" s="357">
        <v>45018</v>
      </c>
      <c r="AM33" s="361">
        <v>45077</v>
      </c>
      <c r="AN33" s="342">
        <f t="shared" si="1"/>
        <v>59</v>
      </c>
      <c r="AO33" s="343">
        <v>45265</v>
      </c>
      <c r="AP33" s="343">
        <v>45266</v>
      </c>
      <c r="AQ33" s="344">
        <v>45274</v>
      </c>
      <c r="AR33" s="344">
        <v>45275</v>
      </c>
      <c r="AS33" s="368">
        <f t="shared" si="4"/>
        <v>9</v>
      </c>
      <c r="AT33" s="346"/>
      <c r="AU33" s="347">
        <v>45387</v>
      </c>
      <c r="AV33" s="363">
        <v>45391</v>
      </c>
      <c r="AW33" s="349">
        <v>4</v>
      </c>
      <c r="AX33" s="364">
        <v>45664</v>
      </c>
      <c r="AY33" s="365">
        <v>45665</v>
      </c>
      <c r="AZ33" s="365">
        <v>45678</v>
      </c>
      <c r="BA33" s="365">
        <v>45679</v>
      </c>
      <c r="BB33" s="352">
        <v>14</v>
      </c>
      <c r="BC33" s="366" t="s">
        <v>836</v>
      </c>
      <c r="BD33" s="416" t="s">
        <v>837</v>
      </c>
      <c r="BE33" s="409">
        <v>45801</v>
      </c>
      <c r="BF33" s="403">
        <v>45806</v>
      </c>
      <c r="BG33" s="419">
        <f t="shared" si="2"/>
        <v>5</v>
      </c>
      <c r="BH33" s="420">
        <f t="shared" si="5"/>
        <v>100</v>
      </c>
      <c r="BI33" s="421"/>
    </row>
    <row r="34" spans="1:61" s="328" customFormat="1">
      <c r="A34" s="329">
        <v>30</v>
      </c>
      <c r="B34" s="358" t="s">
        <v>838</v>
      </c>
      <c r="C34" s="331" t="s">
        <v>753</v>
      </c>
      <c r="D34" s="358">
        <v>100261370</v>
      </c>
      <c r="E34" s="359">
        <v>42128</v>
      </c>
      <c r="F34" s="360">
        <v>42128</v>
      </c>
      <c r="G34" s="332">
        <v>42312</v>
      </c>
      <c r="H34" s="334">
        <v>42307</v>
      </c>
      <c r="I34" s="359">
        <v>42494</v>
      </c>
      <c r="J34" s="334">
        <v>42492</v>
      </c>
      <c r="K34" s="332">
        <v>42678</v>
      </c>
      <c r="L34" s="334">
        <v>42656</v>
      </c>
      <c r="M34" s="359">
        <v>42859</v>
      </c>
      <c r="N34" s="334">
        <v>42877</v>
      </c>
      <c r="O34" s="332">
        <v>43043</v>
      </c>
      <c r="P34" s="335">
        <v>43062</v>
      </c>
      <c r="Q34" s="359">
        <v>43224</v>
      </c>
      <c r="R34" s="334">
        <v>43312</v>
      </c>
      <c r="S34" s="332">
        <v>43408</v>
      </c>
      <c r="T34" s="335">
        <v>43432</v>
      </c>
      <c r="U34" s="336">
        <v>43584</v>
      </c>
      <c r="V34" s="337">
        <v>43562</v>
      </c>
      <c r="W34" s="336">
        <v>43744</v>
      </c>
      <c r="X34" s="337">
        <v>43762</v>
      </c>
      <c r="Y34" s="338">
        <v>43924</v>
      </c>
      <c r="Z34" s="339">
        <v>43951</v>
      </c>
      <c r="AA34" s="338">
        <v>44104</v>
      </c>
      <c r="AB34" s="339">
        <v>44165</v>
      </c>
      <c r="AC34" s="338">
        <v>44295</v>
      </c>
      <c r="AD34" s="339">
        <v>44323</v>
      </c>
      <c r="AE34" s="338">
        <v>44473</v>
      </c>
      <c r="AF34" s="339">
        <v>44744</v>
      </c>
      <c r="AG34" s="338">
        <v>44655</v>
      </c>
      <c r="AH34" s="339">
        <v>44744</v>
      </c>
      <c r="AI34" s="338">
        <v>44838</v>
      </c>
      <c r="AJ34" s="339">
        <v>44925</v>
      </c>
      <c r="AK34" s="340">
        <f t="shared" si="0"/>
        <v>87</v>
      </c>
      <c r="AL34" s="357">
        <v>45018</v>
      </c>
      <c r="AM34" s="361">
        <v>45077</v>
      </c>
      <c r="AN34" s="342">
        <f t="shared" si="1"/>
        <v>59</v>
      </c>
      <c r="AO34" s="343">
        <v>45267</v>
      </c>
      <c r="AP34" s="343">
        <v>45268</v>
      </c>
      <c r="AQ34" s="344">
        <v>45280</v>
      </c>
      <c r="AR34" s="344">
        <v>45279</v>
      </c>
      <c r="AS34" s="368">
        <f t="shared" si="4"/>
        <v>11</v>
      </c>
      <c r="AT34" s="346"/>
      <c r="AU34" s="347">
        <v>45388</v>
      </c>
      <c r="AV34" s="363">
        <v>45392</v>
      </c>
      <c r="AW34" s="349">
        <v>4</v>
      </c>
      <c r="AX34" s="364">
        <v>45666</v>
      </c>
      <c r="AY34" s="365">
        <v>45667</v>
      </c>
      <c r="AZ34" s="365">
        <v>45680</v>
      </c>
      <c r="BA34" s="365">
        <v>45681</v>
      </c>
      <c r="BB34" s="352">
        <v>14</v>
      </c>
      <c r="BC34" s="366" t="s">
        <v>755</v>
      </c>
      <c r="BD34" s="416" t="s">
        <v>839</v>
      </c>
      <c r="BE34" s="409">
        <v>45802</v>
      </c>
      <c r="BF34" s="403">
        <v>45808</v>
      </c>
      <c r="BG34" s="419">
        <f t="shared" si="2"/>
        <v>6</v>
      </c>
      <c r="BH34" s="420">
        <f t="shared" si="5"/>
        <v>100</v>
      </c>
      <c r="BI34" s="421"/>
    </row>
    <row r="35" spans="1:61" s="328" customFormat="1">
      <c r="A35" s="329">
        <v>31</v>
      </c>
      <c r="B35" s="358" t="s">
        <v>840</v>
      </c>
      <c r="C35" s="331" t="s">
        <v>753</v>
      </c>
      <c r="D35" s="358">
        <v>100261253</v>
      </c>
      <c r="E35" s="359">
        <v>42129</v>
      </c>
      <c r="F35" s="360">
        <v>42129</v>
      </c>
      <c r="G35" s="332">
        <v>42313</v>
      </c>
      <c r="H35" s="334">
        <v>42312</v>
      </c>
      <c r="I35" s="359">
        <v>42495</v>
      </c>
      <c r="J35" s="334">
        <v>42511</v>
      </c>
      <c r="K35" s="332">
        <v>42679</v>
      </c>
      <c r="L35" s="334">
        <v>42658</v>
      </c>
      <c r="M35" s="359">
        <v>42860</v>
      </c>
      <c r="N35" s="334">
        <v>42878</v>
      </c>
      <c r="O35" s="332">
        <v>43044</v>
      </c>
      <c r="P35" s="335">
        <v>43063</v>
      </c>
      <c r="Q35" s="359">
        <v>43225</v>
      </c>
      <c r="R35" s="334">
        <v>43306</v>
      </c>
      <c r="S35" s="332">
        <v>43409</v>
      </c>
      <c r="T35" s="335">
        <v>43434</v>
      </c>
      <c r="U35" s="336">
        <v>43585</v>
      </c>
      <c r="V35" s="337">
        <v>43561</v>
      </c>
      <c r="W35" s="336">
        <v>43745</v>
      </c>
      <c r="X35" s="337">
        <v>43763</v>
      </c>
      <c r="Y35" s="338">
        <v>43925</v>
      </c>
      <c r="Z35" s="339">
        <v>43952</v>
      </c>
      <c r="AA35" s="338">
        <v>44105</v>
      </c>
      <c r="AB35" s="339">
        <v>44135</v>
      </c>
      <c r="AC35" s="338">
        <v>44298</v>
      </c>
      <c r="AD35" s="339">
        <v>44324</v>
      </c>
      <c r="AE35" s="338">
        <v>44475</v>
      </c>
      <c r="AF35" s="339">
        <v>44719</v>
      </c>
      <c r="AG35" s="338">
        <v>44656</v>
      </c>
      <c r="AH35" s="339">
        <v>44719</v>
      </c>
      <c r="AI35" s="338">
        <v>44840</v>
      </c>
      <c r="AJ35" s="339">
        <v>44925</v>
      </c>
      <c r="AK35" s="340">
        <f t="shared" si="0"/>
        <v>85</v>
      </c>
      <c r="AL35" s="357">
        <v>45020</v>
      </c>
      <c r="AM35" s="361">
        <v>45078</v>
      </c>
      <c r="AN35" s="342">
        <f t="shared" si="1"/>
        <v>58</v>
      </c>
      <c r="AO35" s="343">
        <v>45269</v>
      </c>
      <c r="AP35" s="343">
        <v>45270</v>
      </c>
      <c r="AQ35" s="344">
        <v>45279</v>
      </c>
      <c r="AR35" s="344">
        <v>45280</v>
      </c>
      <c r="AS35" s="368">
        <f t="shared" si="4"/>
        <v>10</v>
      </c>
      <c r="AT35" s="346"/>
      <c r="AU35" s="347">
        <v>45390</v>
      </c>
      <c r="AV35" s="363">
        <v>45393</v>
      </c>
      <c r="AW35" s="349">
        <v>3</v>
      </c>
      <c r="AX35" s="364">
        <v>45668</v>
      </c>
      <c r="AY35" s="365">
        <v>45670</v>
      </c>
      <c r="AZ35" s="365">
        <v>45682</v>
      </c>
      <c r="BA35" s="365">
        <v>45684</v>
      </c>
      <c r="BB35" s="352">
        <v>14</v>
      </c>
      <c r="BC35" s="366" t="s">
        <v>841</v>
      </c>
      <c r="BD35" s="416" t="s">
        <v>842</v>
      </c>
      <c r="BE35" s="409">
        <v>45803</v>
      </c>
      <c r="BF35" s="403">
        <v>45809</v>
      </c>
      <c r="BG35" s="419">
        <f t="shared" si="2"/>
        <v>6</v>
      </c>
      <c r="BH35" s="420">
        <f t="shared" si="5"/>
        <v>100</v>
      </c>
      <c r="BI35" s="421"/>
    </row>
    <row r="36" spans="1:61" s="328" customFormat="1">
      <c r="A36" s="329">
        <v>32</v>
      </c>
      <c r="B36" s="358" t="s">
        <v>843</v>
      </c>
      <c r="C36" s="331" t="s">
        <v>753</v>
      </c>
      <c r="D36" s="358">
        <v>100261398</v>
      </c>
      <c r="E36" s="359">
        <v>42131</v>
      </c>
      <c r="F36" s="360">
        <v>42131</v>
      </c>
      <c r="G36" s="332">
        <v>42315</v>
      </c>
      <c r="H36" s="334">
        <v>42313</v>
      </c>
      <c r="I36" s="359">
        <v>42497</v>
      </c>
      <c r="J36" s="334">
        <v>42483</v>
      </c>
      <c r="K36" s="332">
        <v>42681</v>
      </c>
      <c r="L36" s="334">
        <v>42662</v>
      </c>
      <c r="M36" s="359">
        <v>42862</v>
      </c>
      <c r="N36" s="334">
        <v>42879</v>
      </c>
      <c r="O36" s="332">
        <v>43046</v>
      </c>
      <c r="P36" s="335">
        <v>43064</v>
      </c>
      <c r="Q36" s="359">
        <v>43227</v>
      </c>
      <c r="R36" s="334">
        <v>43307</v>
      </c>
      <c r="S36" s="332">
        <v>43411</v>
      </c>
      <c r="T36" s="335">
        <v>43435</v>
      </c>
      <c r="U36" s="336">
        <v>43587</v>
      </c>
      <c r="V36" s="337">
        <v>43564</v>
      </c>
      <c r="W36" s="336">
        <v>43746</v>
      </c>
      <c r="X36" s="337">
        <v>43764</v>
      </c>
      <c r="Y36" s="338">
        <v>43926</v>
      </c>
      <c r="Z36" s="339">
        <v>43953</v>
      </c>
      <c r="AA36" s="338">
        <v>44106</v>
      </c>
      <c r="AB36" s="339">
        <v>44157</v>
      </c>
      <c r="AC36" s="338">
        <v>44299</v>
      </c>
      <c r="AD36" s="339">
        <v>44325</v>
      </c>
      <c r="AE36" s="338">
        <v>44475</v>
      </c>
      <c r="AF36" s="339">
        <v>44741</v>
      </c>
      <c r="AG36" s="338">
        <v>44657</v>
      </c>
      <c r="AH36" s="339">
        <v>44741</v>
      </c>
      <c r="AI36" s="338">
        <v>44840</v>
      </c>
      <c r="AJ36" s="339">
        <v>44926</v>
      </c>
      <c r="AK36" s="340">
        <f t="shared" si="0"/>
        <v>86</v>
      </c>
      <c r="AL36" s="357">
        <v>45020</v>
      </c>
      <c r="AM36" s="361">
        <v>45078</v>
      </c>
      <c r="AN36" s="342">
        <f t="shared" si="1"/>
        <v>58</v>
      </c>
      <c r="AO36" s="343">
        <v>45271</v>
      </c>
      <c r="AP36" s="343">
        <v>45272</v>
      </c>
      <c r="AQ36" s="344">
        <v>45282</v>
      </c>
      <c r="AR36" s="344">
        <v>45281</v>
      </c>
      <c r="AS36" s="368">
        <f t="shared" si="4"/>
        <v>9</v>
      </c>
      <c r="AT36" s="346"/>
      <c r="AU36" s="347">
        <v>45391</v>
      </c>
      <c r="AV36" s="363">
        <v>45394</v>
      </c>
      <c r="AW36" s="349">
        <v>3</v>
      </c>
      <c r="AX36" s="364">
        <v>45671</v>
      </c>
      <c r="AY36" s="365">
        <v>45672</v>
      </c>
      <c r="AZ36" s="365">
        <v>45685</v>
      </c>
      <c r="BA36" s="365">
        <v>45686</v>
      </c>
      <c r="BB36" s="352">
        <v>14</v>
      </c>
      <c r="BC36" s="366" t="s">
        <v>755</v>
      </c>
      <c r="BD36" s="416" t="s">
        <v>844</v>
      </c>
      <c r="BE36" s="409">
        <v>45804</v>
      </c>
      <c r="BF36" s="403">
        <v>45810</v>
      </c>
      <c r="BG36" s="419">
        <f t="shared" si="2"/>
        <v>6</v>
      </c>
      <c r="BH36" s="420">
        <f t="shared" si="5"/>
        <v>100</v>
      </c>
      <c r="BI36" s="421"/>
    </row>
    <row r="37" spans="1:61" s="328" customFormat="1">
      <c r="A37" s="329">
        <v>33</v>
      </c>
      <c r="B37" s="358" t="s">
        <v>845</v>
      </c>
      <c r="C37" s="331" t="s">
        <v>761</v>
      </c>
      <c r="D37" s="358">
        <v>100261216</v>
      </c>
      <c r="E37" s="359">
        <v>42132</v>
      </c>
      <c r="F37" s="360">
        <v>42132</v>
      </c>
      <c r="G37" s="332">
        <v>42316</v>
      </c>
      <c r="H37" s="334">
        <v>42314</v>
      </c>
      <c r="I37" s="359">
        <v>42498</v>
      </c>
      <c r="J37" s="334">
        <v>42498</v>
      </c>
      <c r="K37" s="332">
        <v>42682</v>
      </c>
      <c r="L37" s="334">
        <v>42663</v>
      </c>
      <c r="M37" s="359">
        <v>42863</v>
      </c>
      <c r="N37" s="334">
        <v>42880</v>
      </c>
      <c r="O37" s="332">
        <v>43047</v>
      </c>
      <c r="P37" s="335">
        <v>43068</v>
      </c>
      <c r="Q37" s="359">
        <v>43228</v>
      </c>
      <c r="R37" s="334">
        <v>43308</v>
      </c>
      <c r="S37" s="332">
        <v>43412</v>
      </c>
      <c r="T37" s="335">
        <v>43436</v>
      </c>
      <c r="U37" s="336">
        <v>43588</v>
      </c>
      <c r="V37" s="337">
        <v>43606</v>
      </c>
      <c r="W37" s="336">
        <v>43747</v>
      </c>
      <c r="X37" s="337">
        <v>43766</v>
      </c>
      <c r="Y37" s="338">
        <v>43927</v>
      </c>
      <c r="Z37" s="339">
        <v>43954</v>
      </c>
      <c r="AA37" s="338">
        <v>44107</v>
      </c>
      <c r="AB37" s="339">
        <v>44186</v>
      </c>
      <c r="AC37" s="338">
        <v>44300</v>
      </c>
      <c r="AD37" s="339">
        <v>44326</v>
      </c>
      <c r="AE37" s="338">
        <v>44477</v>
      </c>
      <c r="AF37" s="339">
        <v>44738</v>
      </c>
      <c r="AG37" s="338">
        <v>44658</v>
      </c>
      <c r="AH37" s="339">
        <v>44738</v>
      </c>
      <c r="AI37" s="338">
        <v>44842</v>
      </c>
      <c r="AJ37" s="339">
        <v>44928</v>
      </c>
      <c r="AK37" s="340">
        <f t="shared" si="0"/>
        <v>86</v>
      </c>
      <c r="AL37" s="357">
        <v>45022</v>
      </c>
      <c r="AM37" s="357">
        <v>45080</v>
      </c>
      <c r="AN37" s="342">
        <f t="shared" si="1"/>
        <v>58</v>
      </c>
      <c r="AO37" s="343">
        <v>45273</v>
      </c>
      <c r="AP37" s="343">
        <v>45274</v>
      </c>
      <c r="AQ37" s="344">
        <v>45281</v>
      </c>
      <c r="AR37" s="344">
        <v>45282</v>
      </c>
      <c r="AS37" s="368">
        <f t="shared" si="4"/>
        <v>8</v>
      </c>
      <c r="AT37" s="346"/>
      <c r="AU37" s="347">
        <v>45392</v>
      </c>
      <c r="AV37" s="363">
        <v>45395</v>
      </c>
      <c r="AW37" s="349">
        <v>3</v>
      </c>
      <c r="AX37" s="364">
        <v>45673</v>
      </c>
      <c r="AY37" s="365">
        <v>45674</v>
      </c>
      <c r="AZ37" s="365">
        <v>45687</v>
      </c>
      <c r="BA37" s="365">
        <v>45688</v>
      </c>
      <c r="BB37" s="352">
        <v>14</v>
      </c>
      <c r="BC37" s="366" t="s">
        <v>755</v>
      </c>
      <c r="BD37" s="416" t="s">
        <v>846</v>
      </c>
      <c r="BE37" s="409">
        <v>45806</v>
      </c>
      <c r="BF37" s="403">
        <v>45813</v>
      </c>
      <c r="BG37" s="419">
        <f t="shared" si="2"/>
        <v>7</v>
      </c>
      <c r="BH37" s="420">
        <f t="shared" si="5"/>
        <v>100</v>
      </c>
      <c r="BI37" s="421"/>
    </row>
    <row r="38" spans="1:61" s="328" customFormat="1">
      <c r="A38" s="329">
        <v>34</v>
      </c>
      <c r="B38" s="358" t="s">
        <v>847</v>
      </c>
      <c r="C38" s="331" t="s">
        <v>753</v>
      </c>
      <c r="D38" s="358">
        <v>100261397</v>
      </c>
      <c r="E38" s="359">
        <v>42133</v>
      </c>
      <c r="F38" s="360">
        <v>42133</v>
      </c>
      <c r="G38" s="332">
        <v>42317</v>
      </c>
      <c r="H38" s="334">
        <v>42315</v>
      </c>
      <c r="I38" s="359">
        <v>42499</v>
      </c>
      <c r="J38" s="334">
        <v>42500</v>
      </c>
      <c r="K38" s="332">
        <v>42683</v>
      </c>
      <c r="L38" s="334">
        <v>42665</v>
      </c>
      <c r="M38" s="359">
        <v>42864</v>
      </c>
      <c r="N38" s="334">
        <v>42881</v>
      </c>
      <c r="O38" s="332">
        <v>43048</v>
      </c>
      <c r="P38" s="335">
        <v>43072</v>
      </c>
      <c r="Q38" s="359">
        <v>43229</v>
      </c>
      <c r="R38" s="334">
        <v>43309</v>
      </c>
      <c r="S38" s="332">
        <v>43413</v>
      </c>
      <c r="T38" s="335">
        <v>43437</v>
      </c>
      <c r="U38" s="336">
        <v>43589</v>
      </c>
      <c r="V38" s="337">
        <v>43607</v>
      </c>
      <c r="W38" s="336">
        <v>43748</v>
      </c>
      <c r="X38" s="337">
        <v>43768</v>
      </c>
      <c r="Y38" s="338">
        <v>43928</v>
      </c>
      <c r="Z38" s="339">
        <v>43955</v>
      </c>
      <c r="AA38" s="338">
        <v>44108</v>
      </c>
      <c r="AB38" s="339">
        <v>44139</v>
      </c>
      <c r="AC38" s="338">
        <v>44301</v>
      </c>
      <c r="AD38" s="339">
        <v>44327</v>
      </c>
      <c r="AE38" s="338">
        <v>44477</v>
      </c>
      <c r="AF38" s="339">
        <v>44737</v>
      </c>
      <c r="AG38" s="338">
        <v>44659</v>
      </c>
      <c r="AH38" s="339">
        <v>44737</v>
      </c>
      <c r="AI38" s="338">
        <v>44842</v>
      </c>
      <c r="AJ38" s="339">
        <v>44929</v>
      </c>
      <c r="AK38" s="340">
        <f t="shared" si="0"/>
        <v>87</v>
      </c>
      <c r="AL38" s="357">
        <v>45022</v>
      </c>
      <c r="AM38" s="357">
        <v>45080</v>
      </c>
      <c r="AN38" s="342">
        <f t="shared" si="1"/>
        <v>58</v>
      </c>
      <c r="AO38" s="343">
        <v>45275</v>
      </c>
      <c r="AP38" s="343">
        <v>45276</v>
      </c>
      <c r="AQ38" s="344">
        <v>45285</v>
      </c>
      <c r="AR38" s="344">
        <v>45283</v>
      </c>
      <c r="AS38" s="368">
        <f t="shared" si="4"/>
        <v>7</v>
      </c>
      <c r="AT38" s="346"/>
      <c r="AU38" s="347">
        <v>45393</v>
      </c>
      <c r="AV38" s="363">
        <v>45397</v>
      </c>
      <c r="AW38" s="349">
        <v>4</v>
      </c>
      <c r="AX38" s="364">
        <v>45675</v>
      </c>
      <c r="AY38" s="365">
        <v>45677</v>
      </c>
      <c r="AZ38" s="365">
        <v>45689</v>
      </c>
      <c r="BA38" s="365">
        <v>45693</v>
      </c>
      <c r="BB38" s="352">
        <v>16</v>
      </c>
      <c r="BC38" s="366" t="s">
        <v>848</v>
      </c>
      <c r="BD38" s="416" t="s">
        <v>849</v>
      </c>
      <c r="BE38" s="409">
        <v>45807</v>
      </c>
      <c r="BF38" s="403">
        <v>45814</v>
      </c>
      <c r="BG38" s="419">
        <f t="shared" si="2"/>
        <v>7</v>
      </c>
      <c r="BH38" s="420">
        <f t="shared" si="5"/>
        <v>100</v>
      </c>
      <c r="BI38" s="421"/>
    </row>
    <row r="39" spans="1:61" s="328" customFormat="1">
      <c r="A39" s="329">
        <v>35</v>
      </c>
      <c r="B39" s="358" t="s">
        <v>850</v>
      </c>
      <c r="C39" s="331" t="s">
        <v>761</v>
      </c>
      <c r="D39" s="358">
        <v>100261342</v>
      </c>
      <c r="E39" s="359">
        <v>42134</v>
      </c>
      <c r="F39" s="360">
        <v>42134</v>
      </c>
      <c r="G39" s="332">
        <v>42318</v>
      </c>
      <c r="H39" s="334">
        <v>42333</v>
      </c>
      <c r="I39" s="359">
        <v>42500</v>
      </c>
      <c r="J39" s="334">
        <v>42502</v>
      </c>
      <c r="K39" s="332">
        <v>42684</v>
      </c>
      <c r="L39" s="334">
        <v>42666</v>
      </c>
      <c r="M39" s="359">
        <v>42865</v>
      </c>
      <c r="N39" s="334">
        <v>42884</v>
      </c>
      <c r="O39" s="332">
        <v>43049</v>
      </c>
      <c r="P39" s="335">
        <v>43079</v>
      </c>
      <c r="Q39" s="359">
        <v>43230</v>
      </c>
      <c r="R39" s="334">
        <v>43314</v>
      </c>
      <c r="S39" s="332">
        <v>43414</v>
      </c>
      <c r="T39" s="335">
        <v>43438</v>
      </c>
      <c r="U39" s="336">
        <v>43590</v>
      </c>
      <c r="V39" s="337">
        <v>43611</v>
      </c>
      <c r="W39" s="336">
        <v>43749</v>
      </c>
      <c r="X39" s="337">
        <v>43769</v>
      </c>
      <c r="Y39" s="338">
        <v>43929</v>
      </c>
      <c r="Z39" s="339">
        <v>43956</v>
      </c>
      <c r="AA39" s="338">
        <v>44109</v>
      </c>
      <c r="AB39" s="339">
        <v>44155</v>
      </c>
      <c r="AC39" s="338">
        <v>44302</v>
      </c>
      <c r="AD39" s="339">
        <v>44341</v>
      </c>
      <c r="AE39" s="338">
        <v>44480</v>
      </c>
      <c r="AF39" s="339">
        <v>44734</v>
      </c>
      <c r="AG39" s="338">
        <v>44660</v>
      </c>
      <c r="AH39" s="339">
        <v>44734</v>
      </c>
      <c r="AI39" s="338">
        <v>44845</v>
      </c>
      <c r="AJ39" s="339">
        <v>44930</v>
      </c>
      <c r="AK39" s="340">
        <f t="shared" si="0"/>
        <v>85</v>
      </c>
      <c r="AL39" s="357">
        <v>45025</v>
      </c>
      <c r="AM39" s="357">
        <v>45081</v>
      </c>
      <c r="AN39" s="342">
        <f t="shared" si="1"/>
        <v>56</v>
      </c>
      <c r="AO39" s="343">
        <v>45277</v>
      </c>
      <c r="AP39" s="343">
        <v>45278</v>
      </c>
      <c r="AQ39" s="344">
        <v>45283</v>
      </c>
      <c r="AR39" s="344">
        <v>45285</v>
      </c>
      <c r="AS39" s="368">
        <f t="shared" si="4"/>
        <v>7</v>
      </c>
      <c r="AT39" s="346"/>
      <c r="AU39" s="347">
        <v>45394</v>
      </c>
      <c r="AV39" s="363">
        <v>45398</v>
      </c>
      <c r="AW39" s="349">
        <v>4</v>
      </c>
      <c r="AX39" s="364">
        <v>45678</v>
      </c>
      <c r="AY39" s="365">
        <v>45679</v>
      </c>
      <c r="AZ39" s="365">
        <v>45690</v>
      </c>
      <c r="BA39" s="365">
        <v>45692</v>
      </c>
      <c r="BB39" s="352">
        <v>13</v>
      </c>
      <c r="BC39" s="366" t="s">
        <v>851</v>
      </c>
      <c r="BD39" s="414" t="s">
        <v>852</v>
      </c>
      <c r="BE39" s="409">
        <v>45808</v>
      </c>
      <c r="BF39" s="403">
        <v>45815</v>
      </c>
      <c r="BG39" s="419">
        <f t="shared" si="2"/>
        <v>7</v>
      </c>
      <c r="BH39" s="420">
        <f t="shared" si="5"/>
        <v>100</v>
      </c>
      <c r="BI39" s="421"/>
    </row>
    <row r="40" spans="1:61" s="328" customFormat="1">
      <c r="A40" s="329">
        <v>36</v>
      </c>
      <c r="B40" s="358" t="s">
        <v>853</v>
      </c>
      <c r="C40" s="331" t="s">
        <v>753</v>
      </c>
      <c r="D40" s="358">
        <v>100261373</v>
      </c>
      <c r="E40" s="359">
        <v>42135</v>
      </c>
      <c r="F40" s="360">
        <v>42135</v>
      </c>
      <c r="G40" s="332">
        <v>42319</v>
      </c>
      <c r="H40" s="334">
        <v>42316</v>
      </c>
      <c r="I40" s="359">
        <v>42501</v>
      </c>
      <c r="J40" s="334">
        <v>42503</v>
      </c>
      <c r="K40" s="332">
        <v>42685</v>
      </c>
      <c r="L40" s="334">
        <v>42667</v>
      </c>
      <c r="M40" s="359">
        <v>42866</v>
      </c>
      <c r="N40" s="334">
        <v>42885</v>
      </c>
      <c r="O40" s="332">
        <v>43050</v>
      </c>
      <c r="P40" s="335">
        <v>43078</v>
      </c>
      <c r="Q40" s="359">
        <v>43231</v>
      </c>
      <c r="R40" s="334">
        <v>43313</v>
      </c>
      <c r="S40" s="332">
        <v>43415</v>
      </c>
      <c r="T40" s="335">
        <v>43439</v>
      </c>
      <c r="U40" s="336">
        <v>43591</v>
      </c>
      <c r="V40" s="337">
        <v>43612</v>
      </c>
      <c r="W40" s="336">
        <v>43750</v>
      </c>
      <c r="X40" s="337">
        <v>43773</v>
      </c>
      <c r="Y40" s="338">
        <v>43930</v>
      </c>
      <c r="Z40" s="339">
        <v>43957</v>
      </c>
      <c r="AA40" s="338">
        <v>44110</v>
      </c>
      <c r="AB40" s="339">
        <v>44153</v>
      </c>
      <c r="AC40" s="338">
        <v>44305</v>
      </c>
      <c r="AD40" s="339">
        <v>44342</v>
      </c>
      <c r="AE40" s="338">
        <v>44480</v>
      </c>
      <c r="AF40" s="339">
        <v>44733</v>
      </c>
      <c r="AG40" s="338">
        <v>44662</v>
      </c>
      <c r="AH40" s="339">
        <v>44733</v>
      </c>
      <c r="AI40" s="338">
        <v>44845</v>
      </c>
      <c r="AJ40" s="339">
        <v>44931</v>
      </c>
      <c r="AK40" s="340">
        <f t="shared" si="0"/>
        <v>86</v>
      </c>
      <c r="AL40" s="357">
        <v>45025</v>
      </c>
      <c r="AM40" s="357">
        <v>45082</v>
      </c>
      <c r="AN40" s="342">
        <f t="shared" si="1"/>
        <v>57</v>
      </c>
      <c r="AO40" s="343">
        <v>45279</v>
      </c>
      <c r="AP40" s="343">
        <v>45280</v>
      </c>
      <c r="AQ40" s="344">
        <v>45288</v>
      </c>
      <c r="AR40" s="344">
        <v>45289</v>
      </c>
      <c r="AS40" s="368">
        <f t="shared" si="4"/>
        <v>9</v>
      </c>
      <c r="AT40" s="346"/>
      <c r="AU40" s="347">
        <v>45395</v>
      </c>
      <c r="AV40" s="363">
        <v>45400</v>
      </c>
      <c r="AW40" s="349">
        <v>5</v>
      </c>
      <c r="AX40" s="364">
        <v>45680</v>
      </c>
      <c r="AY40" s="365">
        <v>45681</v>
      </c>
      <c r="AZ40" s="365">
        <v>45694</v>
      </c>
      <c r="BA40" s="365">
        <v>45695</v>
      </c>
      <c r="BB40" s="352">
        <v>14</v>
      </c>
      <c r="BC40" s="366" t="s">
        <v>755</v>
      </c>
      <c r="BD40" s="414" t="s">
        <v>854</v>
      </c>
      <c r="BE40" s="409">
        <v>45809</v>
      </c>
      <c r="BF40" s="403">
        <v>45818</v>
      </c>
      <c r="BG40" s="419">
        <f t="shared" si="2"/>
        <v>9</v>
      </c>
      <c r="BH40" s="420">
        <f t="shared" si="5"/>
        <v>100</v>
      </c>
      <c r="BI40" s="421"/>
    </row>
    <row r="41" spans="1:61" s="328" customFormat="1">
      <c r="A41" s="329">
        <v>37</v>
      </c>
      <c r="B41" s="358" t="s">
        <v>855</v>
      </c>
      <c r="C41" s="331" t="s">
        <v>761</v>
      </c>
      <c r="D41" s="358">
        <v>100261361</v>
      </c>
      <c r="E41" s="359">
        <v>42140</v>
      </c>
      <c r="F41" s="360">
        <v>42140</v>
      </c>
      <c r="G41" s="332">
        <v>42324</v>
      </c>
      <c r="H41" s="334">
        <v>42317</v>
      </c>
      <c r="I41" s="359">
        <v>42506</v>
      </c>
      <c r="J41" s="334">
        <v>42510</v>
      </c>
      <c r="K41" s="332">
        <v>42690</v>
      </c>
      <c r="L41" s="334">
        <v>42702</v>
      </c>
      <c r="M41" s="359">
        <v>42871</v>
      </c>
      <c r="N41" s="334">
        <v>42886</v>
      </c>
      <c r="O41" s="332">
        <v>43055</v>
      </c>
      <c r="P41" s="335">
        <v>43082</v>
      </c>
      <c r="Q41" s="359">
        <v>43236</v>
      </c>
      <c r="R41" s="334">
        <v>43311</v>
      </c>
      <c r="S41" s="332">
        <v>43420</v>
      </c>
      <c r="T41" s="335">
        <v>43440</v>
      </c>
      <c r="U41" s="336">
        <v>43596</v>
      </c>
      <c r="V41" s="337">
        <v>43613</v>
      </c>
      <c r="W41" s="336">
        <v>43751</v>
      </c>
      <c r="X41" s="337">
        <v>43771</v>
      </c>
      <c r="Y41" s="338">
        <v>43931</v>
      </c>
      <c r="Z41" s="339">
        <v>43958</v>
      </c>
      <c r="AA41" s="338">
        <v>44111</v>
      </c>
      <c r="AB41" s="339">
        <v>44146</v>
      </c>
      <c r="AC41" s="338">
        <v>44306</v>
      </c>
      <c r="AD41" s="339">
        <v>44299</v>
      </c>
      <c r="AE41" s="338">
        <v>44482</v>
      </c>
      <c r="AF41" s="339">
        <v>44731</v>
      </c>
      <c r="AG41" s="338">
        <v>44663</v>
      </c>
      <c r="AH41" s="339">
        <v>44731</v>
      </c>
      <c r="AI41" s="338">
        <v>44847</v>
      </c>
      <c r="AJ41" s="339">
        <v>44932</v>
      </c>
      <c r="AK41" s="340">
        <f t="shared" si="0"/>
        <v>85</v>
      </c>
      <c r="AL41" s="357">
        <v>45027</v>
      </c>
      <c r="AM41" s="357">
        <v>45082</v>
      </c>
      <c r="AN41" s="342">
        <f t="shared" si="1"/>
        <v>55</v>
      </c>
      <c r="AO41" s="343">
        <v>45281</v>
      </c>
      <c r="AP41" s="343">
        <v>45282</v>
      </c>
      <c r="AQ41" s="344">
        <v>45287</v>
      </c>
      <c r="AR41" s="344">
        <v>45286</v>
      </c>
      <c r="AS41" s="368">
        <f t="shared" si="4"/>
        <v>4</v>
      </c>
      <c r="AT41" s="346"/>
      <c r="AU41" s="347">
        <v>45397</v>
      </c>
      <c r="AV41" s="363">
        <v>45401</v>
      </c>
      <c r="AW41" s="349">
        <v>4</v>
      </c>
      <c r="AX41" s="364">
        <v>45682</v>
      </c>
      <c r="AY41" s="365">
        <v>45684</v>
      </c>
      <c r="AZ41" s="365">
        <v>45696</v>
      </c>
      <c r="BA41" s="365">
        <v>45698</v>
      </c>
      <c r="BB41" s="352">
        <v>14</v>
      </c>
      <c r="BC41" s="366" t="s">
        <v>755</v>
      </c>
      <c r="BD41" s="414" t="s">
        <v>856</v>
      </c>
      <c r="BE41" s="409">
        <v>45810</v>
      </c>
      <c r="BF41" s="403">
        <v>45819</v>
      </c>
      <c r="BG41" s="419">
        <f t="shared" si="2"/>
        <v>9</v>
      </c>
      <c r="BH41" s="420">
        <f t="shared" si="5"/>
        <v>100</v>
      </c>
      <c r="BI41" s="421" t="s">
        <v>755</v>
      </c>
    </row>
    <row r="42" spans="1:61" s="328" customFormat="1">
      <c r="A42" s="329">
        <v>38</v>
      </c>
      <c r="B42" s="358" t="s">
        <v>857</v>
      </c>
      <c r="C42" s="331" t="s">
        <v>761</v>
      </c>
      <c r="D42" s="358">
        <v>100261335</v>
      </c>
      <c r="E42" s="359">
        <v>42141</v>
      </c>
      <c r="F42" s="360">
        <v>42141</v>
      </c>
      <c r="G42" s="332">
        <v>42325</v>
      </c>
      <c r="H42" s="334">
        <v>42318</v>
      </c>
      <c r="I42" s="359">
        <v>42507</v>
      </c>
      <c r="J42" s="334">
        <v>42506</v>
      </c>
      <c r="K42" s="332">
        <v>42691</v>
      </c>
      <c r="L42" s="334">
        <v>42703</v>
      </c>
      <c r="M42" s="359">
        <v>42872</v>
      </c>
      <c r="N42" s="334">
        <v>42887</v>
      </c>
      <c r="O42" s="332">
        <v>43056</v>
      </c>
      <c r="P42" s="335">
        <v>43083</v>
      </c>
      <c r="Q42" s="359">
        <v>43237</v>
      </c>
      <c r="R42" s="334">
        <v>43315</v>
      </c>
      <c r="S42" s="332">
        <v>43421</v>
      </c>
      <c r="T42" s="335">
        <v>43441</v>
      </c>
      <c r="U42" s="336">
        <v>43597</v>
      </c>
      <c r="V42" s="337">
        <v>43615</v>
      </c>
      <c r="W42" s="336">
        <v>43752</v>
      </c>
      <c r="X42" s="337">
        <v>43772</v>
      </c>
      <c r="Y42" s="338">
        <v>43932</v>
      </c>
      <c r="Z42" s="339">
        <v>43960</v>
      </c>
      <c r="AA42" s="338">
        <v>44112</v>
      </c>
      <c r="AB42" s="339">
        <v>44143</v>
      </c>
      <c r="AC42" s="338">
        <v>44307</v>
      </c>
      <c r="AD42" s="339">
        <v>44300</v>
      </c>
      <c r="AE42" s="338">
        <v>44482</v>
      </c>
      <c r="AF42" s="339">
        <v>44730</v>
      </c>
      <c r="AG42" s="338">
        <v>44664</v>
      </c>
      <c r="AH42" s="339">
        <v>44730</v>
      </c>
      <c r="AI42" s="338">
        <v>44847</v>
      </c>
      <c r="AJ42" s="339">
        <v>44933</v>
      </c>
      <c r="AK42" s="340">
        <f t="shared" si="0"/>
        <v>86</v>
      </c>
      <c r="AL42" s="357">
        <v>45027</v>
      </c>
      <c r="AM42" s="357">
        <v>45081</v>
      </c>
      <c r="AN42" s="342">
        <f t="shared" si="1"/>
        <v>54</v>
      </c>
      <c r="AO42" s="343">
        <v>45283</v>
      </c>
      <c r="AP42" s="343">
        <v>45284</v>
      </c>
      <c r="AQ42" s="344">
        <v>45286</v>
      </c>
      <c r="AR42" s="344">
        <v>45287</v>
      </c>
      <c r="AS42" s="368">
        <f t="shared" si="4"/>
        <v>3</v>
      </c>
      <c r="AT42" s="346"/>
      <c r="AU42" s="347">
        <v>45398</v>
      </c>
      <c r="AV42" s="363">
        <v>45403</v>
      </c>
      <c r="AW42" s="349">
        <v>5</v>
      </c>
      <c r="AX42" s="364">
        <v>45685</v>
      </c>
      <c r="AY42" s="365">
        <v>45686</v>
      </c>
      <c r="AZ42" s="365">
        <v>45699</v>
      </c>
      <c r="BA42" s="365">
        <v>45700</v>
      </c>
      <c r="BB42" s="352">
        <v>14</v>
      </c>
      <c r="BC42" s="366" t="s">
        <v>755</v>
      </c>
      <c r="BD42" s="414" t="s">
        <v>858</v>
      </c>
      <c r="BE42" s="409">
        <v>45811</v>
      </c>
      <c r="BF42" s="403">
        <v>45820</v>
      </c>
      <c r="BG42" s="419">
        <f t="shared" si="2"/>
        <v>9</v>
      </c>
      <c r="BH42" s="420">
        <f t="shared" si="5"/>
        <v>100</v>
      </c>
      <c r="BI42" s="421" t="s">
        <v>755</v>
      </c>
    </row>
    <row r="43" spans="1:61" s="328" customFormat="1">
      <c r="A43" s="329">
        <v>39</v>
      </c>
      <c r="B43" s="358" t="s">
        <v>859</v>
      </c>
      <c r="C43" s="331" t="s">
        <v>753</v>
      </c>
      <c r="D43" s="358">
        <v>100261401</v>
      </c>
      <c r="E43" s="359">
        <v>42144</v>
      </c>
      <c r="F43" s="360">
        <v>42144</v>
      </c>
      <c r="G43" s="332">
        <v>42328</v>
      </c>
      <c r="H43" s="334">
        <v>42334</v>
      </c>
      <c r="I43" s="359">
        <v>42510</v>
      </c>
      <c r="J43" s="334">
        <v>42501</v>
      </c>
      <c r="K43" s="332">
        <v>42694</v>
      </c>
      <c r="L43" s="334">
        <v>42704</v>
      </c>
      <c r="M43" s="359">
        <v>42875</v>
      </c>
      <c r="N43" s="334">
        <v>42888</v>
      </c>
      <c r="O43" s="332">
        <v>43059</v>
      </c>
      <c r="P43" s="335">
        <v>43084</v>
      </c>
      <c r="Q43" s="359">
        <v>43240</v>
      </c>
      <c r="R43" s="334">
        <v>43280</v>
      </c>
      <c r="S43" s="332">
        <v>43424</v>
      </c>
      <c r="T43" s="335">
        <v>43442</v>
      </c>
      <c r="U43" s="336">
        <v>43600</v>
      </c>
      <c r="V43" s="337">
        <v>43614</v>
      </c>
      <c r="W43" s="336">
        <v>43753</v>
      </c>
      <c r="X43" s="337">
        <v>43774</v>
      </c>
      <c r="Y43" s="338">
        <v>43933</v>
      </c>
      <c r="Z43" s="339">
        <v>43961</v>
      </c>
      <c r="AA43" s="338">
        <v>44113</v>
      </c>
      <c r="AB43" s="339">
        <v>44161</v>
      </c>
      <c r="AC43" s="338">
        <v>44308</v>
      </c>
      <c r="AD43" s="339">
        <v>44343</v>
      </c>
      <c r="AE43" s="338">
        <v>44484</v>
      </c>
      <c r="AF43" s="339">
        <v>44728</v>
      </c>
      <c r="AG43" s="338">
        <v>44665</v>
      </c>
      <c r="AH43" s="339">
        <v>44728</v>
      </c>
      <c r="AI43" s="338">
        <v>44849</v>
      </c>
      <c r="AJ43" s="339">
        <v>44935</v>
      </c>
      <c r="AK43" s="340">
        <f t="shared" si="0"/>
        <v>86</v>
      </c>
      <c r="AL43" s="357">
        <v>45029</v>
      </c>
      <c r="AM43" s="357">
        <v>45079</v>
      </c>
      <c r="AN43" s="342">
        <f t="shared" si="1"/>
        <v>50</v>
      </c>
      <c r="AO43" s="343">
        <v>45285</v>
      </c>
      <c r="AP43" s="343">
        <v>45286</v>
      </c>
      <c r="AQ43" s="344">
        <v>45293</v>
      </c>
      <c r="AR43" s="344">
        <v>45291</v>
      </c>
      <c r="AS43" s="368">
        <f t="shared" si="4"/>
        <v>5</v>
      </c>
      <c r="AT43" s="346"/>
      <c r="AU43" s="347">
        <v>45399</v>
      </c>
      <c r="AV43" s="363">
        <v>45404</v>
      </c>
      <c r="AW43" s="349">
        <v>5</v>
      </c>
      <c r="AX43" s="364">
        <v>45687</v>
      </c>
      <c r="AY43" s="365">
        <v>45688</v>
      </c>
      <c r="AZ43" s="365">
        <v>45701</v>
      </c>
      <c r="BA43" s="365">
        <v>45702</v>
      </c>
      <c r="BB43" s="352">
        <v>14</v>
      </c>
      <c r="BC43" s="366" t="s">
        <v>755</v>
      </c>
      <c r="BD43" s="414" t="s">
        <v>860</v>
      </c>
      <c r="BE43" s="409">
        <v>45813</v>
      </c>
      <c r="BF43" s="403"/>
      <c r="BG43" s="419">
        <f t="shared" si="2"/>
        <v>-45813</v>
      </c>
      <c r="BH43" s="420">
        <f t="shared" si="5"/>
        <v>-50786.666666666664</v>
      </c>
      <c r="BI43" s="421" t="s">
        <v>755</v>
      </c>
    </row>
    <row r="44" spans="1:61" s="328" customFormat="1" ht="15.75" thickBot="1">
      <c r="A44" s="377">
        <v>40</v>
      </c>
      <c r="B44" s="378" t="s">
        <v>861</v>
      </c>
      <c r="C44" s="379" t="s">
        <v>753</v>
      </c>
      <c r="D44" s="378">
        <v>100261173</v>
      </c>
      <c r="E44" s="380">
        <v>42145</v>
      </c>
      <c r="F44" s="381">
        <v>42145</v>
      </c>
      <c r="G44" s="382">
        <v>42329</v>
      </c>
      <c r="H44" s="383">
        <v>42293</v>
      </c>
      <c r="I44" s="380">
        <v>42511</v>
      </c>
      <c r="J44" s="383">
        <v>42507</v>
      </c>
      <c r="K44" s="382">
        <v>42695</v>
      </c>
      <c r="L44" s="383">
        <v>42705</v>
      </c>
      <c r="M44" s="380">
        <v>42876</v>
      </c>
      <c r="N44" s="383">
        <v>42889</v>
      </c>
      <c r="O44" s="382">
        <v>43060</v>
      </c>
      <c r="P44" s="384">
        <v>43085</v>
      </c>
      <c r="Q44" s="380">
        <v>43241</v>
      </c>
      <c r="R44" s="383">
        <v>43269</v>
      </c>
      <c r="S44" s="382">
        <v>43425</v>
      </c>
      <c r="T44" s="384">
        <v>43443</v>
      </c>
      <c r="U44" s="385">
        <v>43601</v>
      </c>
      <c r="V44" s="386">
        <v>43574</v>
      </c>
      <c r="W44" s="385">
        <v>43754</v>
      </c>
      <c r="X44" s="386">
        <v>43775</v>
      </c>
      <c r="Y44" s="387">
        <v>43934</v>
      </c>
      <c r="Z44" s="388">
        <v>43962</v>
      </c>
      <c r="AA44" s="387">
        <v>44114</v>
      </c>
      <c r="AB44" s="388">
        <v>44163</v>
      </c>
      <c r="AC44" s="387">
        <v>44309</v>
      </c>
      <c r="AD44" s="388">
        <v>44344</v>
      </c>
      <c r="AE44" s="387">
        <v>44484</v>
      </c>
      <c r="AF44" s="388">
        <v>44727</v>
      </c>
      <c r="AG44" s="387">
        <v>44666</v>
      </c>
      <c r="AH44" s="388">
        <v>44727</v>
      </c>
      <c r="AI44" s="387">
        <v>44849</v>
      </c>
      <c r="AJ44" s="388">
        <v>44934</v>
      </c>
      <c r="AK44" s="389">
        <f t="shared" si="0"/>
        <v>85</v>
      </c>
      <c r="AL44" s="390">
        <v>45029</v>
      </c>
      <c r="AM44" s="390">
        <v>45079</v>
      </c>
      <c r="AN44" s="391">
        <f t="shared" si="1"/>
        <v>50</v>
      </c>
      <c r="AO44" s="392">
        <v>45287</v>
      </c>
      <c r="AP44" s="392">
        <v>45288</v>
      </c>
      <c r="AQ44" s="393">
        <v>45289</v>
      </c>
      <c r="AR44" s="344">
        <v>45288</v>
      </c>
      <c r="AS44" s="368">
        <f t="shared" si="4"/>
        <v>0</v>
      </c>
      <c r="AT44" s="346"/>
      <c r="AU44" s="347">
        <v>45400</v>
      </c>
      <c r="AV44" s="363">
        <v>45405</v>
      </c>
      <c r="AW44" s="349">
        <v>5</v>
      </c>
      <c r="AX44" s="394">
        <v>45689</v>
      </c>
      <c r="AY44" s="395">
        <v>45690</v>
      </c>
      <c r="AZ44" s="395">
        <v>45703</v>
      </c>
      <c r="BA44" s="395">
        <v>45705</v>
      </c>
      <c r="BB44" s="396">
        <v>15</v>
      </c>
      <c r="BC44" s="397" t="s">
        <v>862</v>
      </c>
      <c r="BD44" s="417" t="s">
        <v>863</v>
      </c>
      <c r="BE44" s="413">
        <v>45814</v>
      </c>
      <c r="BF44" s="403">
        <v>45811</v>
      </c>
      <c r="BG44" s="428">
        <f t="shared" si="2"/>
        <v>-3</v>
      </c>
      <c r="BH44" s="429">
        <f t="shared" si="5"/>
        <v>100</v>
      </c>
      <c r="BI44" s="430"/>
    </row>
    <row r="47" spans="1:61" ht="27" customHeight="1"/>
  </sheetData>
  <mergeCells count="1">
    <mergeCell ref="A1:AV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G147"/>
  <sheetViews>
    <sheetView workbookViewId="0">
      <pane xSplit="2" ySplit="2" topLeftCell="C100" activePane="bottomRight" state="frozen"/>
      <selection pane="bottomRight" activeCell="B116" sqref="B116"/>
      <selection pane="bottomLeft" activeCell="A3" sqref="A3"/>
      <selection pane="topRight" activeCell="C1" sqref="C1"/>
    </sheetView>
  </sheetViews>
  <sheetFormatPr defaultRowHeight="15"/>
  <cols>
    <col min="1" max="1" width="16.7109375" style="1" customWidth="1"/>
    <col min="2" max="3" width="16.7109375" customWidth="1"/>
    <col min="4" max="6" width="42.85546875" customWidth="1"/>
    <col min="7" max="7" width="16.7109375" customWidth="1"/>
  </cols>
  <sheetData>
    <row r="2" spans="1:7" s="167" customFormat="1">
      <c r="A2" s="167" t="s">
        <v>7</v>
      </c>
      <c r="B2" s="167" t="s">
        <v>73</v>
      </c>
      <c r="C2" s="167" t="s">
        <v>864</v>
      </c>
      <c r="D2" s="167" t="s">
        <v>865</v>
      </c>
      <c r="E2" s="167" t="s">
        <v>866</v>
      </c>
      <c r="F2" s="167" t="s">
        <v>867</v>
      </c>
      <c r="G2" s="167" t="s">
        <v>868</v>
      </c>
    </row>
    <row r="3" spans="1:7">
      <c r="A3" s="1">
        <v>1</v>
      </c>
      <c r="B3" s="168">
        <v>45745</v>
      </c>
      <c r="C3" t="s">
        <v>149</v>
      </c>
      <c r="D3" t="s">
        <v>869</v>
      </c>
      <c r="E3">
        <v>4</v>
      </c>
      <c r="F3" t="s">
        <v>870</v>
      </c>
    </row>
    <row r="4" spans="1:7">
      <c r="A4" s="1">
        <f t="shared" ref="A4:A36" si="0">A3+1</f>
        <v>2</v>
      </c>
      <c r="B4" s="168">
        <v>45745</v>
      </c>
      <c r="C4" t="s">
        <v>149</v>
      </c>
      <c r="D4" t="s">
        <v>871</v>
      </c>
      <c r="E4">
        <v>2</v>
      </c>
      <c r="F4" t="s">
        <v>870</v>
      </c>
    </row>
    <row r="5" spans="1:7">
      <c r="A5" s="1">
        <f t="shared" si="0"/>
        <v>3</v>
      </c>
      <c r="B5" s="168">
        <v>45746</v>
      </c>
      <c r="C5" t="s">
        <v>148</v>
      </c>
      <c r="D5" t="s">
        <v>872</v>
      </c>
      <c r="E5">
        <v>1</v>
      </c>
      <c r="F5" t="s">
        <v>870</v>
      </c>
    </row>
    <row r="6" spans="1:7">
      <c r="A6" s="1">
        <f t="shared" si="0"/>
        <v>4</v>
      </c>
      <c r="B6" s="168">
        <v>45746</v>
      </c>
      <c r="C6" t="s">
        <v>148</v>
      </c>
      <c r="D6" t="s">
        <v>873</v>
      </c>
      <c r="E6">
        <v>1</v>
      </c>
      <c r="F6" t="s">
        <v>870</v>
      </c>
    </row>
    <row r="7" spans="1:7">
      <c r="A7" s="1">
        <f t="shared" si="0"/>
        <v>5</v>
      </c>
      <c r="B7" s="168">
        <v>45746</v>
      </c>
      <c r="C7" t="s">
        <v>148</v>
      </c>
      <c r="D7" t="s">
        <v>874</v>
      </c>
      <c r="E7">
        <v>1</v>
      </c>
      <c r="F7" t="s">
        <v>870</v>
      </c>
    </row>
    <row r="8" spans="1:7">
      <c r="A8" s="1">
        <f t="shared" si="0"/>
        <v>6</v>
      </c>
      <c r="B8" s="168">
        <v>45746</v>
      </c>
      <c r="C8" t="s">
        <v>115</v>
      </c>
      <c r="D8" t="s">
        <v>872</v>
      </c>
      <c r="E8">
        <v>1</v>
      </c>
      <c r="F8" t="s">
        <v>870</v>
      </c>
    </row>
    <row r="9" spans="1:7">
      <c r="A9" s="1">
        <f t="shared" si="0"/>
        <v>7</v>
      </c>
      <c r="B9" s="168">
        <v>45748</v>
      </c>
      <c r="C9" t="s">
        <v>115</v>
      </c>
      <c r="D9" t="s">
        <v>875</v>
      </c>
      <c r="E9">
        <v>1</v>
      </c>
      <c r="F9" t="s">
        <v>870</v>
      </c>
    </row>
    <row r="10" spans="1:7">
      <c r="A10" s="1">
        <f t="shared" si="0"/>
        <v>8</v>
      </c>
      <c r="B10" s="168">
        <v>45748</v>
      </c>
      <c r="C10" t="s">
        <v>151</v>
      </c>
      <c r="D10" t="s">
        <v>876</v>
      </c>
      <c r="E10">
        <v>5</v>
      </c>
      <c r="F10" t="s">
        <v>877</v>
      </c>
    </row>
    <row r="11" spans="1:7">
      <c r="A11" s="1">
        <f t="shared" si="0"/>
        <v>9</v>
      </c>
      <c r="B11" s="168">
        <v>45748</v>
      </c>
      <c r="C11" t="s">
        <v>149</v>
      </c>
      <c r="D11" t="s">
        <v>878</v>
      </c>
      <c r="E11">
        <v>1</v>
      </c>
      <c r="F11" t="s">
        <v>870</v>
      </c>
    </row>
    <row r="12" spans="1:7">
      <c r="A12" s="1">
        <f t="shared" si="0"/>
        <v>10</v>
      </c>
      <c r="B12" s="168">
        <v>45748</v>
      </c>
      <c r="C12" t="s">
        <v>143</v>
      </c>
      <c r="D12" t="s">
        <v>879</v>
      </c>
      <c r="E12">
        <v>1</v>
      </c>
      <c r="F12" t="s">
        <v>870</v>
      </c>
    </row>
    <row r="13" spans="1:7">
      <c r="A13" s="1">
        <f t="shared" si="0"/>
        <v>11</v>
      </c>
      <c r="B13" s="168">
        <v>45750</v>
      </c>
      <c r="C13" t="s">
        <v>145</v>
      </c>
      <c r="D13" t="s">
        <v>880</v>
      </c>
      <c r="E13">
        <v>1</v>
      </c>
      <c r="F13" t="s">
        <v>870</v>
      </c>
    </row>
    <row r="14" spans="1:7">
      <c r="A14" s="1">
        <f t="shared" si="0"/>
        <v>12</v>
      </c>
      <c r="B14" s="168">
        <v>45750</v>
      </c>
      <c r="C14" t="s">
        <v>146</v>
      </c>
      <c r="D14" t="s">
        <v>881</v>
      </c>
      <c r="E14">
        <v>1</v>
      </c>
      <c r="F14" t="s">
        <v>870</v>
      </c>
    </row>
    <row r="15" spans="1:7">
      <c r="A15" s="1">
        <f t="shared" si="0"/>
        <v>13</v>
      </c>
      <c r="B15" s="168">
        <v>45751</v>
      </c>
      <c r="C15" t="s">
        <v>122</v>
      </c>
      <c r="D15" t="s">
        <v>882</v>
      </c>
      <c r="E15">
        <v>1</v>
      </c>
      <c r="F15" t="s">
        <v>870</v>
      </c>
    </row>
    <row r="16" spans="1:7">
      <c r="A16" s="1">
        <f t="shared" si="0"/>
        <v>14</v>
      </c>
      <c r="B16" s="168">
        <v>45754</v>
      </c>
      <c r="C16" t="s">
        <v>146</v>
      </c>
      <c r="D16" t="s">
        <v>883</v>
      </c>
      <c r="E16">
        <v>1</v>
      </c>
      <c r="F16" t="s">
        <v>884</v>
      </c>
    </row>
    <row r="17" spans="1:6">
      <c r="A17" s="1">
        <f t="shared" si="0"/>
        <v>15</v>
      </c>
      <c r="B17" s="168">
        <v>45754</v>
      </c>
      <c r="C17" t="s">
        <v>146</v>
      </c>
      <c r="D17" t="s">
        <v>885</v>
      </c>
      <c r="E17">
        <v>15</v>
      </c>
      <c r="F17" t="s">
        <v>877</v>
      </c>
    </row>
    <row r="18" spans="1:6">
      <c r="A18" s="1">
        <f t="shared" si="0"/>
        <v>16</v>
      </c>
      <c r="B18" s="168">
        <v>45756</v>
      </c>
      <c r="C18" t="s">
        <v>123</v>
      </c>
      <c r="D18" t="s">
        <v>886</v>
      </c>
      <c r="E18">
        <v>1</v>
      </c>
      <c r="F18" t="s">
        <v>870</v>
      </c>
    </row>
    <row r="19" spans="1:6">
      <c r="A19" s="1">
        <f t="shared" si="0"/>
        <v>17</v>
      </c>
      <c r="B19" s="168">
        <v>45756</v>
      </c>
      <c r="C19" t="s">
        <v>123</v>
      </c>
      <c r="D19" t="s">
        <v>887</v>
      </c>
      <c r="E19">
        <v>1</v>
      </c>
      <c r="F19" t="s">
        <v>870</v>
      </c>
    </row>
    <row r="20" spans="1:6">
      <c r="A20" s="1">
        <f t="shared" si="0"/>
        <v>18</v>
      </c>
      <c r="B20" s="168">
        <v>45756</v>
      </c>
      <c r="C20" t="s">
        <v>118</v>
      </c>
      <c r="D20" t="s">
        <v>888</v>
      </c>
      <c r="E20">
        <v>1</v>
      </c>
      <c r="F20" t="s">
        <v>870</v>
      </c>
    </row>
    <row r="21" spans="1:6">
      <c r="A21" s="1">
        <f t="shared" si="0"/>
        <v>19</v>
      </c>
      <c r="B21" s="168">
        <v>45757</v>
      </c>
      <c r="C21" t="s">
        <v>128</v>
      </c>
      <c r="D21" t="s">
        <v>883</v>
      </c>
      <c r="E21">
        <v>1</v>
      </c>
      <c r="F21" t="s">
        <v>884</v>
      </c>
    </row>
    <row r="22" spans="1:6">
      <c r="A22" s="1">
        <f t="shared" si="0"/>
        <v>20</v>
      </c>
      <c r="B22" s="168">
        <v>45757</v>
      </c>
      <c r="C22" t="s">
        <v>117</v>
      </c>
      <c r="D22" t="s">
        <v>889</v>
      </c>
      <c r="E22">
        <v>1</v>
      </c>
      <c r="F22" t="s">
        <v>870</v>
      </c>
    </row>
    <row r="23" spans="1:6">
      <c r="A23" s="1">
        <f t="shared" si="0"/>
        <v>21</v>
      </c>
      <c r="B23" s="168">
        <v>45758</v>
      </c>
      <c r="C23" t="s">
        <v>132</v>
      </c>
      <c r="D23" t="s">
        <v>890</v>
      </c>
      <c r="E23">
        <v>1</v>
      </c>
      <c r="F23" t="s">
        <v>884</v>
      </c>
    </row>
    <row r="24" spans="1:6">
      <c r="A24" s="1">
        <f t="shared" si="0"/>
        <v>22</v>
      </c>
      <c r="B24" s="168">
        <v>45760</v>
      </c>
      <c r="C24" t="s">
        <v>139</v>
      </c>
      <c r="D24" t="s">
        <v>889</v>
      </c>
      <c r="E24">
        <v>1</v>
      </c>
      <c r="F24" t="s">
        <v>870</v>
      </c>
    </row>
    <row r="25" spans="1:6">
      <c r="A25" s="1">
        <f t="shared" si="0"/>
        <v>23</v>
      </c>
      <c r="B25" s="168">
        <v>45762</v>
      </c>
      <c r="C25" t="s">
        <v>152</v>
      </c>
      <c r="D25" t="s">
        <v>883</v>
      </c>
      <c r="E25">
        <v>1</v>
      </c>
      <c r="F25" t="s">
        <v>884</v>
      </c>
    </row>
    <row r="26" spans="1:6">
      <c r="A26" s="1">
        <f t="shared" si="0"/>
        <v>24</v>
      </c>
      <c r="B26" s="168">
        <v>45762</v>
      </c>
      <c r="C26" t="s">
        <v>152</v>
      </c>
      <c r="D26" t="s">
        <v>891</v>
      </c>
      <c r="E26">
        <v>1</v>
      </c>
      <c r="F26" t="s">
        <v>870</v>
      </c>
    </row>
    <row r="27" spans="1:6">
      <c r="A27" s="1">
        <f t="shared" si="0"/>
        <v>25</v>
      </c>
      <c r="B27" s="168">
        <v>45762</v>
      </c>
      <c r="C27" t="s">
        <v>152</v>
      </c>
      <c r="D27" t="s">
        <v>892</v>
      </c>
      <c r="E27">
        <v>1</v>
      </c>
      <c r="F27" t="s">
        <v>870</v>
      </c>
    </row>
    <row r="28" spans="1:6">
      <c r="A28" s="1">
        <f t="shared" si="0"/>
        <v>26</v>
      </c>
      <c r="B28" s="168">
        <v>45764</v>
      </c>
      <c r="C28" t="s">
        <v>129</v>
      </c>
      <c r="D28" t="s">
        <v>893</v>
      </c>
      <c r="E28">
        <v>1</v>
      </c>
      <c r="F28" t="s">
        <v>870</v>
      </c>
    </row>
    <row r="29" spans="1:6">
      <c r="A29" s="1">
        <f t="shared" si="0"/>
        <v>27</v>
      </c>
      <c r="B29" s="168">
        <v>45766</v>
      </c>
      <c r="C29" t="s">
        <v>137</v>
      </c>
      <c r="D29" t="s">
        <v>891</v>
      </c>
      <c r="E29">
        <v>1</v>
      </c>
      <c r="F29" t="s">
        <v>870</v>
      </c>
    </row>
    <row r="30" spans="1:6">
      <c r="A30" s="1">
        <f t="shared" si="0"/>
        <v>28</v>
      </c>
      <c r="B30" s="168">
        <v>45766</v>
      </c>
      <c r="C30" t="s">
        <v>137</v>
      </c>
      <c r="D30" t="s">
        <v>883</v>
      </c>
      <c r="E30">
        <v>1</v>
      </c>
      <c r="F30" t="s">
        <v>870</v>
      </c>
    </row>
    <row r="31" spans="1:6">
      <c r="A31" s="1">
        <f t="shared" si="0"/>
        <v>29</v>
      </c>
      <c r="B31" s="168">
        <v>45766</v>
      </c>
      <c r="C31" t="s">
        <v>137</v>
      </c>
      <c r="D31" t="s">
        <v>894</v>
      </c>
      <c r="E31">
        <v>10</v>
      </c>
      <c r="F31" t="s">
        <v>877</v>
      </c>
    </row>
    <row r="32" spans="1:6">
      <c r="A32" s="1">
        <f t="shared" si="0"/>
        <v>30</v>
      </c>
      <c r="B32" s="168">
        <v>45768</v>
      </c>
      <c r="C32" t="s">
        <v>130</v>
      </c>
      <c r="D32" t="s">
        <v>895</v>
      </c>
      <c r="E32">
        <v>3</v>
      </c>
      <c r="F32" t="s">
        <v>870</v>
      </c>
    </row>
    <row r="33" spans="1:6">
      <c r="A33" s="1">
        <f t="shared" si="0"/>
        <v>31</v>
      </c>
      <c r="B33" s="168">
        <v>45768</v>
      </c>
      <c r="C33" t="s">
        <v>130</v>
      </c>
      <c r="D33" t="s">
        <v>896</v>
      </c>
      <c r="E33">
        <v>7</v>
      </c>
      <c r="F33" t="s">
        <v>870</v>
      </c>
    </row>
    <row r="34" spans="1:6">
      <c r="A34" s="1">
        <f t="shared" si="0"/>
        <v>32</v>
      </c>
      <c r="B34" s="168">
        <v>45769</v>
      </c>
      <c r="C34" t="s">
        <v>145</v>
      </c>
      <c r="D34" t="s">
        <v>897</v>
      </c>
      <c r="E34">
        <v>3</v>
      </c>
      <c r="F34" t="s">
        <v>870</v>
      </c>
    </row>
    <row r="35" spans="1:6">
      <c r="A35" s="1">
        <f t="shared" si="0"/>
        <v>33</v>
      </c>
      <c r="B35" s="168">
        <v>45769</v>
      </c>
      <c r="C35" t="s">
        <v>127</v>
      </c>
      <c r="D35" t="s">
        <v>886</v>
      </c>
      <c r="E35">
        <v>1</v>
      </c>
      <c r="F35" t="s">
        <v>870</v>
      </c>
    </row>
    <row r="36" spans="1:6">
      <c r="A36" s="1">
        <f t="shared" si="0"/>
        <v>34</v>
      </c>
      <c r="B36" s="168">
        <v>45770</v>
      </c>
      <c r="C36" t="s">
        <v>138</v>
      </c>
      <c r="D36" t="s">
        <v>897</v>
      </c>
      <c r="E36">
        <v>3</v>
      </c>
      <c r="F36" t="s">
        <v>870</v>
      </c>
    </row>
    <row r="37" spans="1:6">
      <c r="A37" s="1">
        <f t="shared" ref="A37:A100" si="1">A36+1</f>
        <v>35</v>
      </c>
      <c r="B37" s="168">
        <v>45771</v>
      </c>
      <c r="C37" t="s">
        <v>139</v>
      </c>
      <c r="D37" t="s">
        <v>897</v>
      </c>
      <c r="E37">
        <v>3</v>
      </c>
      <c r="F37" t="s">
        <v>870</v>
      </c>
    </row>
    <row r="38" spans="1:6">
      <c r="A38" s="1">
        <f t="shared" si="1"/>
        <v>36</v>
      </c>
      <c r="B38" s="168">
        <v>45771</v>
      </c>
      <c r="C38" t="s">
        <v>153</v>
      </c>
      <c r="D38" t="s">
        <v>897</v>
      </c>
      <c r="E38">
        <v>5</v>
      </c>
      <c r="F38" t="s">
        <v>870</v>
      </c>
    </row>
    <row r="39" spans="1:6">
      <c r="A39" s="1">
        <f t="shared" si="1"/>
        <v>37</v>
      </c>
      <c r="B39" s="168">
        <v>45772</v>
      </c>
      <c r="C39" t="s">
        <v>133</v>
      </c>
      <c r="D39" t="s">
        <v>898</v>
      </c>
      <c r="E39">
        <v>1</v>
      </c>
      <c r="F39" t="s">
        <v>870</v>
      </c>
    </row>
    <row r="40" spans="1:6">
      <c r="A40" s="1">
        <f t="shared" si="1"/>
        <v>38</v>
      </c>
      <c r="B40" s="168">
        <v>45772</v>
      </c>
      <c r="C40" t="s">
        <v>126</v>
      </c>
      <c r="D40" t="s">
        <v>899</v>
      </c>
      <c r="E40">
        <v>1</v>
      </c>
      <c r="F40" t="s">
        <v>870</v>
      </c>
    </row>
    <row r="41" spans="1:6">
      <c r="A41" s="1">
        <f t="shared" si="1"/>
        <v>39</v>
      </c>
      <c r="B41" s="168">
        <v>45772</v>
      </c>
      <c r="C41" t="s">
        <v>152</v>
      </c>
      <c r="D41" t="s">
        <v>883</v>
      </c>
      <c r="E41">
        <v>1</v>
      </c>
      <c r="F41" t="s">
        <v>870</v>
      </c>
    </row>
    <row r="42" spans="1:6">
      <c r="A42" s="1">
        <f t="shared" si="1"/>
        <v>40</v>
      </c>
      <c r="B42" s="168">
        <v>45773</v>
      </c>
      <c r="C42" t="s">
        <v>120</v>
      </c>
      <c r="D42" t="s">
        <v>897</v>
      </c>
      <c r="E42">
        <v>3</v>
      </c>
      <c r="F42" t="s">
        <v>870</v>
      </c>
    </row>
    <row r="43" spans="1:6">
      <c r="A43" s="1">
        <f t="shared" si="1"/>
        <v>41</v>
      </c>
      <c r="B43" s="168">
        <v>45775</v>
      </c>
      <c r="C43" t="s">
        <v>134</v>
      </c>
      <c r="D43" t="s">
        <v>900</v>
      </c>
      <c r="E43">
        <v>1</v>
      </c>
      <c r="F43" t="s">
        <v>870</v>
      </c>
    </row>
    <row r="44" spans="1:6">
      <c r="A44" s="1">
        <f t="shared" si="1"/>
        <v>42</v>
      </c>
      <c r="B44" s="168">
        <v>45776</v>
      </c>
      <c r="C44" t="s">
        <v>121</v>
      </c>
      <c r="D44" t="s">
        <v>901</v>
      </c>
      <c r="E44">
        <v>1</v>
      </c>
      <c r="F44" t="s">
        <v>870</v>
      </c>
    </row>
    <row r="45" spans="1:6">
      <c r="A45" s="1">
        <f t="shared" si="1"/>
        <v>43</v>
      </c>
      <c r="B45" s="168">
        <v>45776</v>
      </c>
      <c r="C45" t="s">
        <v>136</v>
      </c>
      <c r="D45" t="s">
        <v>902</v>
      </c>
      <c r="E45">
        <v>1</v>
      </c>
      <c r="F45" t="s">
        <v>870</v>
      </c>
    </row>
    <row r="46" spans="1:6">
      <c r="A46" s="1">
        <f t="shared" si="1"/>
        <v>44</v>
      </c>
      <c r="B46" s="168">
        <v>45776</v>
      </c>
      <c r="C46" t="s">
        <v>136</v>
      </c>
      <c r="D46" t="s">
        <v>889</v>
      </c>
      <c r="E46">
        <v>1</v>
      </c>
      <c r="F46" t="s">
        <v>870</v>
      </c>
    </row>
    <row r="47" spans="1:6">
      <c r="A47" s="1">
        <f t="shared" si="1"/>
        <v>45</v>
      </c>
      <c r="B47" s="168">
        <v>45776</v>
      </c>
      <c r="C47" t="s">
        <v>118</v>
      </c>
      <c r="D47" t="s">
        <v>903</v>
      </c>
      <c r="E47">
        <v>2</v>
      </c>
      <c r="F47" t="s">
        <v>870</v>
      </c>
    </row>
    <row r="48" spans="1:6">
      <c r="A48" s="1">
        <f t="shared" si="1"/>
        <v>46</v>
      </c>
      <c r="B48" s="168">
        <v>45776</v>
      </c>
      <c r="C48" t="s">
        <v>118</v>
      </c>
      <c r="D48" t="s">
        <v>904</v>
      </c>
      <c r="E48">
        <v>2</v>
      </c>
      <c r="F48" t="s">
        <v>870</v>
      </c>
    </row>
    <row r="49" spans="1:6">
      <c r="A49" s="1">
        <f t="shared" si="1"/>
        <v>47</v>
      </c>
      <c r="B49" s="168">
        <v>45777</v>
      </c>
      <c r="C49" t="s">
        <v>121</v>
      </c>
      <c r="D49" t="s">
        <v>883</v>
      </c>
      <c r="E49">
        <v>1</v>
      </c>
      <c r="F49" t="s">
        <v>884</v>
      </c>
    </row>
    <row r="50" spans="1:6">
      <c r="A50" s="1">
        <f t="shared" si="1"/>
        <v>48</v>
      </c>
      <c r="B50" s="168">
        <v>45777</v>
      </c>
      <c r="C50" t="s">
        <v>136</v>
      </c>
      <c r="D50" t="s">
        <v>905</v>
      </c>
      <c r="E50">
        <v>1</v>
      </c>
      <c r="F50" t="s">
        <v>870</v>
      </c>
    </row>
    <row r="51" spans="1:6">
      <c r="A51" s="1">
        <f t="shared" si="1"/>
        <v>49</v>
      </c>
      <c r="B51" s="168">
        <v>45777</v>
      </c>
      <c r="C51" t="s">
        <v>136</v>
      </c>
      <c r="D51" t="s">
        <v>906</v>
      </c>
      <c r="E51">
        <v>1</v>
      </c>
      <c r="F51" t="s">
        <v>870</v>
      </c>
    </row>
    <row r="52" spans="1:6">
      <c r="A52" s="1">
        <f t="shared" si="1"/>
        <v>50</v>
      </c>
      <c r="B52" s="168">
        <v>45779</v>
      </c>
      <c r="C52" t="s">
        <v>121</v>
      </c>
      <c r="D52" t="s">
        <v>883</v>
      </c>
      <c r="E52">
        <v>1</v>
      </c>
      <c r="F52" t="s">
        <v>884</v>
      </c>
    </row>
    <row r="53" spans="1:6">
      <c r="A53" s="1">
        <f t="shared" si="1"/>
        <v>51</v>
      </c>
      <c r="B53" s="168">
        <v>45779</v>
      </c>
      <c r="C53" t="s">
        <v>121</v>
      </c>
      <c r="D53" t="s">
        <v>894</v>
      </c>
      <c r="E53">
        <v>15</v>
      </c>
      <c r="F53" t="s">
        <v>877</v>
      </c>
    </row>
    <row r="54" spans="1:6">
      <c r="A54" s="1">
        <f t="shared" si="1"/>
        <v>52</v>
      </c>
      <c r="B54" s="168">
        <v>45779</v>
      </c>
      <c r="C54" t="s">
        <v>132</v>
      </c>
      <c r="D54" t="s">
        <v>895</v>
      </c>
      <c r="E54">
        <v>3</v>
      </c>
      <c r="F54" t="s">
        <v>870</v>
      </c>
    </row>
    <row r="55" spans="1:6">
      <c r="A55" s="1">
        <f t="shared" si="1"/>
        <v>53</v>
      </c>
      <c r="B55" s="168">
        <v>45779</v>
      </c>
      <c r="C55" t="s">
        <v>132</v>
      </c>
      <c r="D55" t="s">
        <v>896</v>
      </c>
      <c r="E55">
        <v>8</v>
      </c>
      <c r="F55" t="s">
        <v>870</v>
      </c>
    </row>
    <row r="56" spans="1:6">
      <c r="A56" s="1">
        <f t="shared" si="1"/>
        <v>54</v>
      </c>
      <c r="B56" s="168">
        <v>45780</v>
      </c>
      <c r="C56" t="s">
        <v>133</v>
      </c>
      <c r="D56" t="s">
        <v>883</v>
      </c>
      <c r="E56">
        <v>1</v>
      </c>
      <c r="F56" t="s">
        <v>884</v>
      </c>
    </row>
    <row r="57" spans="1:6">
      <c r="A57" s="1">
        <f t="shared" si="1"/>
        <v>55</v>
      </c>
      <c r="B57" s="168">
        <v>45782</v>
      </c>
      <c r="C57" t="s">
        <v>115</v>
      </c>
      <c r="D57" t="s">
        <v>907</v>
      </c>
      <c r="E57">
        <v>2</v>
      </c>
      <c r="F57" t="s">
        <v>884</v>
      </c>
    </row>
    <row r="58" spans="1:6">
      <c r="A58" s="1">
        <f t="shared" si="1"/>
        <v>56</v>
      </c>
      <c r="B58" s="168">
        <v>45783</v>
      </c>
      <c r="C58" t="s">
        <v>139</v>
      </c>
      <c r="D58" t="s">
        <v>908</v>
      </c>
      <c r="E58">
        <v>1</v>
      </c>
      <c r="F58" t="s">
        <v>870</v>
      </c>
    </row>
    <row r="59" spans="1:6">
      <c r="A59" s="1">
        <f t="shared" si="1"/>
        <v>57</v>
      </c>
      <c r="B59" s="168">
        <v>45783</v>
      </c>
      <c r="C59" t="s">
        <v>139</v>
      </c>
      <c r="D59" t="s">
        <v>894</v>
      </c>
      <c r="E59">
        <v>22</v>
      </c>
      <c r="F59" t="s">
        <v>877</v>
      </c>
    </row>
    <row r="60" spans="1:6">
      <c r="A60" s="1">
        <f t="shared" si="1"/>
        <v>58</v>
      </c>
      <c r="B60" s="168">
        <v>45785</v>
      </c>
      <c r="C60" t="s">
        <v>136</v>
      </c>
      <c r="D60" t="s">
        <v>909</v>
      </c>
      <c r="E60">
        <v>1</v>
      </c>
      <c r="F60" t="s">
        <v>870</v>
      </c>
    </row>
    <row r="61" spans="1:6">
      <c r="A61" s="1">
        <f t="shared" si="1"/>
        <v>59</v>
      </c>
      <c r="B61" s="168">
        <v>45785</v>
      </c>
      <c r="C61" t="s">
        <v>136</v>
      </c>
      <c r="D61" t="s">
        <v>910</v>
      </c>
      <c r="E61">
        <v>1</v>
      </c>
      <c r="F61" t="s">
        <v>870</v>
      </c>
    </row>
    <row r="62" spans="1:6">
      <c r="A62" s="1">
        <f t="shared" si="1"/>
        <v>60</v>
      </c>
      <c r="B62" s="168">
        <v>45785</v>
      </c>
      <c r="C62" t="s">
        <v>150</v>
      </c>
      <c r="D62" t="s">
        <v>883</v>
      </c>
      <c r="E62">
        <v>1</v>
      </c>
      <c r="F62" t="s">
        <v>870</v>
      </c>
    </row>
    <row r="63" spans="1:6">
      <c r="A63" s="1">
        <f t="shared" si="1"/>
        <v>61</v>
      </c>
      <c r="B63" s="168">
        <v>45786</v>
      </c>
      <c r="C63" t="s">
        <v>150</v>
      </c>
      <c r="D63" t="s">
        <v>911</v>
      </c>
      <c r="E63">
        <v>1</v>
      </c>
      <c r="F63" t="s">
        <v>870</v>
      </c>
    </row>
    <row r="64" spans="1:6">
      <c r="A64" s="1">
        <f t="shared" si="1"/>
        <v>62</v>
      </c>
      <c r="B64" s="168">
        <v>45786</v>
      </c>
      <c r="C64" t="s">
        <v>150</v>
      </c>
      <c r="D64" t="s">
        <v>912</v>
      </c>
      <c r="E64">
        <v>1</v>
      </c>
      <c r="F64" t="s">
        <v>870</v>
      </c>
    </row>
    <row r="65" spans="1:6">
      <c r="A65" s="1">
        <f t="shared" si="1"/>
        <v>63</v>
      </c>
      <c r="B65" s="168">
        <v>45787</v>
      </c>
      <c r="C65" t="s">
        <v>118</v>
      </c>
      <c r="D65" t="s">
        <v>913</v>
      </c>
      <c r="E65">
        <v>1</v>
      </c>
      <c r="F65" t="s">
        <v>870</v>
      </c>
    </row>
    <row r="66" spans="1:6">
      <c r="A66" s="1">
        <f t="shared" si="1"/>
        <v>64</v>
      </c>
      <c r="B66" s="168">
        <v>45787</v>
      </c>
      <c r="C66" t="s">
        <v>118</v>
      </c>
      <c r="D66" t="s">
        <v>914</v>
      </c>
      <c r="E66">
        <v>1</v>
      </c>
      <c r="F66" t="s">
        <v>870</v>
      </c>
    </row>
    <row r="67" spans="1:6">
      <c r="A67" s="1">
        <f t="shared" si="1"/>
        <v>65</v>
      </c>
      <c r="B67" s="168">
        <v>45787</v>
      </c>
      <c r="C67" t="s">
        <v>123</v>
      </c>
      <c r="D67" t="s">
        <v>915</v>
      </c>
      <c r="E67">
        <v>1</v>
      </c>
      <c r="F67" t="s">
        <v>870</v>
      </c>
    </row>
    <row r="68" spans="1:6">
      <c r="A68" s="1">
        <f t="shared" si="1"/>
        <v>66</v>
      </c>
      <c r="B68" s="168">
        <v>45788</v>
      </c>
      <c r="C68" t="s">
        <v>137</v>
      </c>
      <c r="D68" t="s">
        <v>916</v>
      </c>
      <c r="E68">
        <v>1</v>
      </c>
      <c r="F68" t="s">
        <v>870</v>
      </c>
    </row>
    <row r="69" spans="1:6">
      <c r="A69" s="1">
        <f t="shared" si="1"/>
        <v>67</v>
      </c>
      <c r="B69" s="168">
        <v>45788</v>
      </c>
      <c r="C69" t="s">
        <v>137</v>
      </c>
      <c r="D69" t="s">
        <v>917</v>
      </c>
      <c r="E69">
        <v>1</v>
      </c>
      <c r="F69" t="s">
        <v>870</v>
      </c>
    </row>
    <row r="70" spans="1:6">
      <c r="A70" s="1">
        <f t="shared" si="1"/>
        <v>68</v>
      </c>
      <c r="B70" s="168">
        <v>45788</v>
      </c>
      <c r="C70" t="s">
        <v>135</v>
      </c>
      <c r="D70" t="s">
        <v>918</v>
      </c>
      <c r="E70">
        <v>1</v>
      </c>
      <c r="F70" t="s">
        <v>870</v>
      </c>
    </row>
    <row r="71" spans="1:6">
      <c r="A71" s="1">
        <f t="shared" si="1"/>
        <v>69</v>
      </c>
      <c r="B71" s="168">
        <v>45789</v>
      </c>
      <c r="C71" t="s">
        <v>137</v>
      </c>
      <c r="D71" t="s">
        <v>917</v>
      </c>
      <c r="E71">
        <v>1</v>
      </c>
      <c r="F71" t="s">
        <v>870</v>
      </c>
    </row>
    <row r="72" spans="1:6">
      <c r="A72" s="1">
        <f t="shared" si="1"/>
        <v>70</v>
      </c>
      <c r="B72" s="168">
        <v>45789</v>
      </c>
      <c r="C72" t="s">
        <v>118</v>
      </c>
      <c r="D72" t="s">
        <v>919</v>
      </c>
      <c r="E72">
        <v>1</v>
      </c>
      <c r="F72" t="s">
        <v>870</v>
      </c>
    </row>
    <row r="73" spans="1:6">
      <c r="A73" s="1">
        <f t="shared" si="1"/>
        <v>71</v>
      </c>
      <c r="B73" s="168">
        <v>45791</v>
      </c>
      <c r="C73" t="s">
        <v>128</v>
      </c>
      <c r="D73" t="s">
        <v>920</v>
      </c>
      <c r="E73">
        <v>3</v>
      </c>
      <c r="F73" t="s">
        <v>870</v>
      </c>
    </row>
    <row r="74" spans="1:6">
      <c r="A74" s="1">
        <f t="shared" si="1"/>
        <v>72</v>
      </c>
      <c r="B74" s="168">
        <v>45791</v>
      </c>
      <c r="C74" t="s">
        <v>128</v>
      </c>
      <c r="D74" t="s">
        <v>921</v>
      </c>
      <c r="E74">
        <v>3</v>
      </c>
      <c r="F74" t="s">
        <v>870</v>
      </c>
    </row>
    <row r="75" spans="1:6">
      <c r="A75" s="1">
        <f t="shared" si="1"/>
        <v>73</v>
      </c>
      <c r="B75" s="168">
        <v>45791</v>
      </c>
      <c r="C75" t="s">
        <v>128</v>
      </c>
      <c r="D75" t="s">
        <v>922</v>
      </c>
      <c r="E75">
        <v>2</v>
      </c>
      <c r="F75" t="s">
        <v>870</v>
      </c>
    </row>
    <row r="76" spans="1:6">
      <c r="A76" s="1">
        <f t="shared" si="1"/>
        <v>74</v>
      </c>
      <c r="B76" s="168">
        <v>45791</v>
      </c>
      <c r="C76" t="s">
        <v>128</v>
      </c>
      <c r="D76" t="s">
        <v>923</v>
      </c>
      <c r="E76">
        <v>1</v>
      </c>
      <c r="F76" t="s">
        <v>870</v>
      </c>
    </row>
    <row r="77" spans="1:6">
      <c r="A77" s="1">
        <f t="shared" si="1"/>
        <v>75</v>
      </c>
      <c r="B77" s="168">
        <v>45791</v>
      </c>
      <c r="C77" t="s">
        <v>128</v>
      </c>
      <c r="D77" t="s">
        <v>924</v>
      </c>
      <c r="E77">
        <v>6</v>
      </c>
      <c r="F77" t="s">
        <v>870</v>
      </c>
    </row>
    <row r="78" spans="1:6">
      <c r="A78" s="1">
        <f t="shared" si="1"/>
        <v>76</v>
      </c>
      <c r="B78" s="168">
        <v>45791</v>
      </c>
      <c r="C78" t="s">
        <v>118</v>
      </c>
      <c r="D78" t="s">
        <v>925</v>
      </c>
      <c r="E78">
        <v>1</v>
      </c>
      <c r="F78" t="s">
        <v>870</v>
      </c>
    </row>
    <row r="79" spans="1:6">
      <c r="A79" s="1">
        <f t="shared" si="1"/>
        <v>77</v>
      </c>
      <c r="B79" s="168">
        <v>45792</v>
      </c>
      <c r="C79" t="s">
        <v>146</v>
      </c>
      <c r="D79" t="s">
        <v>926</v>
      </c>
      <c r="E79">
        <v>1</v>
      </c>
      <c r="F79" t="s">
        <v>870</v>
      </c>
    </row>
    <row r="80" spans="1:6">
      <c r="A80" s="1">
        <f t="shared" si="1"/>
        <v>78</v>
      </c>
      <c r="B80" s="168">
        <v>45792</v>
      </c>
      <c r="C80" t="s">
        <v>146</v>
      </c>
      <c r="D80" t="s">
        <v>927</v>
      </c>
      <c r="E80">
        <v>1</v>
      </c>
      <c r="F80" t="s">
        <v>870</v>
      </c>
    </row>
    <row r="81" spans="1:6">
      <c r="A81" s="1">
        <f t="shared" si="1"/>
        <v>79</v>
      </c>
      <c r="B81" s="168">
        <v>45792</v>
      </c>
      <c r="C81" t="s">
        <v>153</v>
      </c>
      <c r="D81" t="s">
        <v>928</v>
      </c>
      <c r="E81">
        <v>1</v>
      </c>
      <c r="F81" t="s">
        <v>884</v>
      </c>
    </row>
    <row r="82" spans="1:6">
      <c r="A82" s="1">
        <f t="shared" si="1"/>
        <v>80</v>
      </c>
      <c r="B82" s="168">
        <v>45793</v>
      </c>
      <c r="C82" t="s">
        <v>118</v>
      </c>
      <c r="D82" t="s">
        <v>929</v>
      </c>
      <c r="E82">
        <v>1</v>
      </c>
      <c r="F82" t="s">
        <v>870</v>
      </c>
    </row>
    <row r="83" spans="1:6">
      <c r="A83" s="1">
        <f t="shared" si="1"/>
        <v>81</v>
      </c>
      <c r="B83" s="168">
        <v>45794</v>
      </c>
      <c r="C83" t="s">
        <v>133</v>
      </c>
      <c r="D83" t="s">
        <v>908</v>
      </c>
      <c r="E83">
        <v>1</v>
      </c>
      <c r="F83" t="s">
        <v>870</v>
      </c>
    </row>
    <row r="84" spans="1:6">
      <c r="A84" s="1">
        <f t="shared" si="1"/>
        <v>82</v>
      </c>
      <c r="B84" s="168">
        <v>45794</v>
      </c>
      <c r="C84" t="s">
        <v>120</v>
      </c>
      <c r="D84" t="s">
        <v>930</v>
      </c>
      <c r="E84">
        <v>1</v>
      </c>
      <c r="F84" t="s">
        <v>870</v>
      </c>
    </row>
    <row r="85" spans="1:6">
      <c r="A85" s="1">
        <f t="shared" si="1"/>
        <v>83</v>
      </c>
      <c r="B85" s="168">
        <v>45797</v>
      </c>
      <c r="C85" t="s">
        <v>124</v>
      </c>
      <c r="D85" t="s">
        <v>931</v>
      </c>
      <c r="E85">
        <v>4</v>
      </c>
      <c r="F85" t="s">
        <v>870</v>
      </c>
    </row>
    <row r="86" spans="1:6">
      <c r="A86" s="1">
        <f t="shared" si="1"/>
        <v>84</v>
      </c>
      <c r="B86" s="168">
        <v>45798</v>
      </c>
      <c r="C86" t="s">
        <v>146</v>
      </c>
      <c r="D86" t="s">
        <v>932</v>
      </c>
      <c r="E86">
        <v>10</v>
      </c>
      <c r="F86" t="s">
        <v>877</v>
      </c>
    </row>
    <row r="87" spans="1:6">
      <c r="A87" s="1">
        <f t="shared" si="1"/>
        <v>85</v>
      </c>
      <c r="B87" s="168">
        <v>45799</v>
      </c>
      <c r="C87" t="s">
        <v>151</v>
      </c>
      <c r="D87" t="s">
        <v>933</v>
      </c>
      <c r="E87">
        <v>26</v>
      </c>
      <c r="F87" t="s">
        <v>870</v>
      </c>
    </row>
    <row r="88" spans="1:6">
      <c r="A88" s="1">
        <f t="shared" si="1"/>
        <v>86</v>
      </c>
      <c r="B88" s="168">
        <v>45799</v>
      </c>
      <c r="C88" t="s">
        <v>151</v>
      </c>
      <c r="D88" t="s">
        <v>934</v>
      </c>
      <c r="E88">
        <v>4</v>
      </c>
      <c r="F88" t="s">
        <v>870</v>
      </c>
    </row>
    <row r="89" spans="1:6">
      <c r="A89" s="1">
        <f t="shared" si="1"/>
        <v>87</v>
      </c>
      <c r="B89" s="168">
        <v>45801</v>
      </c>
      <c r="C89" t="s">
        <v>139</v>
      </c>
      <c r="D89" t="s">
        <v>935</v>
      </c>
      <c r="E89">
        <v>1</v>
      </c>
      <c r="F89" t="s">
        <v>870</v>
      </c>
    </row>
    <row r="90" spans="1:6">
      <c r="A90" s="1">
        <f t="shared" si="1"/>
        <v>88</v>
      </c>
      <c r="B90" s="168">
        <v>45803</v>
      </c>
      <c r="C90" t="s">
        <v>138</v>
      </c>
      <c r="D90" t="s">
        <v>909</v>
      </c>
      <c r="E90">
        <v>1</v>
      </c>
      <c r="F90" t="s">
        <v>870</v>
      </c>
    </row>
    <row r="91" spans="1:6">
      <c r="A91" s="1">
        <f t="shared" si="1"/>
        <v>89</v>
      </c>
      <c r="B91" s="168">
        <v>45803</v>
      </c>
      <c r="C91" t="s">
        <v>143</v>
      </c>
      <c r="D91" t="s">
        <v>891</v>
      </c>
      <c r="E91">
        <v>1</v>
      </c>
      <c r="F91" t="s">
        <v>870</v>
      </c>
    </row>
    <row r="92" spans="1:6">
      <c r="A92" s="1">
        <f t="shared" si="1"/>
        <v>90</v>
      </c>
      <c r="B92" s="168">
        <v>45805</v>
      </c>
      <c r="C92" t="s">
        <v>146</v>
      </c>
      <c r="D92" t="s">
        <v>936</v>
      </c>
      <c r="E92">
        <v>1</v>
      </c>
      <c r="F92" t="s">
        <v>870</v>
      </c>
    </row>
    <row r="93" spans="1:6">
      <c r="A93" s="1">
        <f t="shared" si="1"/>
        <v>91</v>
      </c>
      <c r="B93" s="168">
        <v>45806</v>
      </c>
      <c r="C93" t="s">
        <v>146</v>
      </c>
      <c r="D93" t="s">
        <v>937</v>
      </c>
      <c r="E93">
        <v>2</v>
      </c>
      <c r="F93" t="s">
        <v>870</v>
      </c>
    </row>
    <row r="94" spans="1:6">
      <c r="A94" s="1">
        <f t="shared" si="1"/>
        <v>92</v>
      </c>
      <c r="B94" s="168">
        <v>45807</v>
      </c>
      <c r="C94" t="s">
        <v>141</v>
      </c>
      <c r="D94" t="s">
        <v>893</v>
      </c>
      <c r="E94">
        <v>1</v>
      </c>
      <c r="F94" t="s">
        <v>870</v>
      </c>
    </row>
    <row r="95" spans="1:6">
      <c r="A95" s="1">
        <f t="shared" si="1"/>
        <v>93</v>
      </c>
      <c r="B95" s="168">
        <v>45807</v>
      </c>
      <c r="C95" t="s">
        <v>138</v>
      </c>
      <c r="D95" t="s">
        <v>938</v>
      </c>
      <c r="E95">
        <v>1</v>
      </c>
      <c r="F95" t="s">
        <v>884</v>
      </c>
    </row>
    <row r="96" spans="1:6">
      <c r="A96" s="1">
        <f t="shared" si="1"/>
        <v>94</v>
      </c>
      <c r="B96" s="168">
        <v>45807</v>
      </c>
      <c r="C96" t="s">
        <v>130</v>
      </c>
      <c r="D96" t="s">
        <v>939</v>
      </c>
      <c r="E96">
        <v>1</v>
      </c>
      <c r="F96" t="s">
        <v>870</v>
      </c>
    </row>
    <row r="97" spans="1:6">
      <c r="A97" s="1">
        <f t="shared" si="1"/>
        <v>95</v>
      </c>
      <c r="B97" s="168">
        <v>45807</v>
      </c>
      <c r="C97" t="s">
        <v>118</v>
      </c>
      <c r="D97" t="s">
        <v>913</v>
      </c>
      <c r="E97">
        <v>1</v>
      </c>
      <c r="F97" t="s">
        <v>870</v>
      </c>
    </row>
    <row r="98" spans="1:6">
      <c r="A98" s="1">
        <f t="shared" si="1"/>
        <v>96</v>
      </c>
      <c r="B98" s="168">
        <v>45808</v>
      </c>
      <c r="C98" t="s">
        <v>138</v>
      </c>
      <c r="D98" t="s">
        <v>940</v>
      </c>
      <c r="E98">
        <v>1</v>
      </c>
      <c r="F98" t="s">
        <v>870</v>
      </c>
    </row>
    <row r="99" spans="1:6">
      <c r="A99" s="1">
        <f t="shared" si="1"/>
        <v>97</v>
      </c>
      <c r="B99" s="168">
        <v>45810</v>
      </c>
      <c r="C99" t="s">
        <v>118</v>
      </c>
      <c r="D99" t="s">
        <v>941</v>
      </c>
      <c r="E99">
        <v>1</v>
      </c>
      <c r="F99" t="s">
        <v>870</v>
      </c>
    </row>
    <row r="100" spans="1:6">
      <c r="A100" s="1">
        <f t="shared" si="1"/>
        <v>98</v>
      </c>
      <c r="B100" s="168">
        <v>45810</v>
      </c>
      <c r="C100" t="s">
        <v>134</v>
      </c>
      <c r="D100" t="s">
        <v>942</v>
      </c>
      <c r="E100">
        <v>1</v>
      </c>
      <c r="F100" t="s">
        <v>870</v>
      </c>
    </row>
    <row r="101" spans="1:6">
      <c r="A101" s="1">
        <f t="shared" ref="A101:A147" si="2">A100+1</f>
        <v>99</v>
      </c>
      <c r="B101" s="168">
        <v>45810</v>
      </c>
      <c r="C101" t="s">
        <v>146</v>
      </c>
      <c r="D101" t="s">
        <v>943</v>
      </c>
      <c r="E101">
        <v>8</v>
      </c>
      <c r="F101" t="s">
        <v>870</v>
      </c>
    </row>
    <row r="102" spans="1:6">
      <c r="A102" s="1">
        <f t="shared" si="2"/>
        <v>100</v>
      </c>
      <c r="B102" s="168">
        <v>45810</v>
      </c>
      <c r="C102" t="s">
        <v>148</v>
      </c>
      <c r="D102" t="s">
        <v>944</v>
      </c>
      <c r="E102">
        <v>10</v>
      </c>
      <c r="F102" t="s">
        <v>870</v>
      </c>
    </row>
    <row r="103" spans="1:6">
      <c r="A103" s="1">
        <f t="shared" si="2"/>
        <v>101</v>
      </c>
      <c r="B103" s="168">
        <v>45811</v>
      </c>
      <c r="C103" t="s">
        <v>134</v>
      </c>
      <c r="D103" t="s">
        <v>909</v>
      </c>
      <c r="E103">
        <v>1</v>
      </c>
      <c r="F103" t="s">
        <v>870</v>
      </c>
    </row>
    <row r="104" spans="1:6">
      <c r="A104" s="1">
        <f t="shared" si="2"/>
        <v>102</v>
      </c>
      <c r="B104" s="168">
        <v>45813</v>
      </c>
      <c r="C104" t="s">
        <v>149</v>
      </c>
      <c r="D104" t="s">
        <v>945</v>
      </c>
      <c r="E104">
        <v>18</v>
      </c>
      <c r="F104" t="s">
        <v>870</v>
      </c>
    </row>
    <row r="105" spans="1:6">
      <c r="A105" s="1">
        <f t="shared" si="2"/>
        <v>103</v>
      </c>
      <c r="B105" s="168">
        <v>45813</v>
      </c>
      <c r="C105" t="s">
        <v>149</v>
      </c>
      <c r="D105" t="s">
        <v>934</v>
      </c>
      <c r="E105">
        <v>4</v>
      </c>
      <c r="F105" t="s">
        <v>870</v>
      </c>
    </row>
    <row r="106" spans="1:6">
      <c r="A106" s="1">
        <f t="shared" si="2"/>
        <v>104</v>
      </c>
      <c r="B106" s="168">
        <v>45814</v>
      </c>
      <c r="C106" t="s">
        <v>128</v>
      </c>
      <c r="D106" t="s">
        <v>946</v>
      </c>
      <c r="E106">
        <v>1</v>
      </c>
      <c r="F106" t="s">
        <v>870</v>
      </c>
    </row>
    <row r="107" spans="1:6">
      <c r="A107" s="1">
        <f t="shared" si="2"/>
        <v>105</v>
      </c>
      <c r="B107" s="168">
        <v>45814</v>
      </c>
      <c r="C107" t="s">
        <v>150</v>
      </c>
      <c r="D107" t="s">
        <v>900</v>
      </c>
      <c r="E107">
        <v>1</v>
      </c>
      <c r="F107" t="s">
        <v>870</v>
      </c>
    </row>
    <row r="108" spans="1:6">
      <c r="A108" s="1">
        <f t="shared" si="2"/>
        <v>106</v>
      </c>
      <c r="B108" s="168">
        <v>45818</v>
      </c>
      <c r="C108" t="s">
        <v>137</v>
      </c>
      <c r="D108" t="s">
        <v>931</v>
      </c>
      <c r="E108">
        <v>1</v>
      </c>
      <c r="F108" t="s">
        <v>870</v>
      </c>
    </row>
    <row r="109" spans="1:6">
      <c r="A109" s="1">
        <f t="shared" si="2"/>
        <v>107</v>
      </c>
      <c r="B109" s="168">
        <v>45818</v>
      </c>
      <c r="C109" t="s">
        <v>137</v>
      </c>
      <c r="D109" t="s">
        <v>945</v>
      </c>
      <c r="E109">
        <v>2</v>
      </c>
      <c r="F109" t="s">
        <v>870</v>
      </c>
    </row>
    <row r="110" spans="1:6">
      <c r="A110" s="1">
        <f t="shared" si="2"/>
        <v>108</v>
      </c>
      <c r="B110" s="168">
        <v>45818</v>
      </c>
      <c r="C110" t="s">
        <v>137</v>
      </c>
      <c r="D110" t="s">
        <v>934</v>
      </c>
      <c r="E110">
        <v>1</v>
      </c>
      <c r="F110" t="s">
        <v>870</v>
      </c>
    </row>
    <row r="111" spans="1:6">
      <c r="A111" s="1">
        <f t="shared" si="2"/>
        <v>109</v>
      </c>
      <c r="B111" s="168">
        <v>45818</v>
      </c>
      <c r="C111" t="s">
        <v>129</v>
      </c>
      <c r="D111" t="s">
        <v>947</v>
      </c>
      <c r="E111">
        <v>1</v>
      </c>
      <c r="F111" t="s">
        <v>870</v>
      </c>
    </row>
    <row r="112" spans="1:6">
      <c r="A112" s="1">
        <f t="shared" si="2"/>
        <v>110</v>
      </c>
      <c r="B112" s="168">
        <v>45818</v>
      </c>
      <c r="C112" t="s">
        <v>130</v>
      </c>
      <c r="D112" t="s">
        <v>947</v>
      </c>
      <c r="E112">
        <v>1</v>
      </c>
      <c r="F112" t="s">
        <v>870</v>
      </c>
    </row>
    <row r="113" spans="1:6">
      <c r="A113" s="1">
        <f t="shared" si="2"/>
        <v>111</v>
      </c>
      <c r="B113" s="168">
        <v>45818</v>
      </c>
      <c r="C113" t="s">
        <v>128</v>
      </c>
      <c r="D113" t="s">
        <v>948</v>
      </c>
      <c r="E113">
        <v>2</v>
      </c>
      <c r="F113" t="s">
        <v>870</v>
      </c>
    </row>
    <row r="114" spans="1:6">
      <c r="A114" s="1">
        <f t="shared" si="2"/>
        <v>112</v>
      </c>
      <c r="B114" s="168">
        <v>45818</v>
      </c>
      <c r="C114" t="s">
        <v>128</v>
      </c>
      <c r="D114" t="s">
        <v>949</v>
      </c>
      <c r="E114">
        <v>2</v>
      </c>
      <c r="F114" t="s">
        <v>870</v>
      </c>
    </row>
    <row r="115" spans="1:6">
      <c r="A115" s="1">
        <f t="shared" si="2"/>
        <v>113</v>
      </c>
      <c r="B115" s="168"/>
    </row>
    <row r="116" spans="1:6">
      <c r="A116" s="1">
        <f t="shared" si="2"/>
        <v>114</v>
      </c>
      <c r="B116" s="168"/>
    </row>
    <row r="117" spans="1:6">
      <c r="A117" s="1">
        <f t="shared" si="2"/>
        <v>115</v>
      </c>
      <c r="B117" s="168"/>
    </row>
    <row r="118" spans="1:6">
      <c r="A118" s="1">
        <f t="shared" si="2"/>
        <v>116</v>
      </c>
      <c r="B118" s="168"/>
    </row>
    <row r="119" spans="1:6">
      <c r="A119" s="1">
        <f t="shared" si="2"/>
        <v>117</v>
      </c>
      <c r="B119" s="168"/>
    </row>
    <row r="120" spans="1:6">
      <c r="A120" s="1">
        <f t="shared" si="2"/>
        <v>118</v>
      </c>
      <c r="B120" s="168"/>
    </row>
    <row r="121" spans="1:6">
      <c r="A121" s="1">
        <f t="shared" si="2"/>
        <v>119</v>
      </c>
      <c r="B121" s="168"/>
    </row>
    <row r="122" spans="1:6">
      <c r="A122" s="1">
        <f t="shared" si="2"/>
        <v>120</v>
      </c>
      <c r="B122" s="168"/>
    </row>
    <row r="123" spans="1:6">
      <c r="A123" s="1">
        <f t="shared" si="2"/>
        <v>121</v>
      </c>
      <c r="B123" s="168"/>
    </row>
    <row r="124" spans="1:6">
      <c r="A124" s="1">
        <f t="shared" si="2"/>
        <v>122</v>
      </c>
      <c r="B124" s="168"/>
    </row>
    <row r="125" spans="1:6">
      <c r="A125" s="1">
        <f t="shared" si="2"/>
        <v>123</v>
      </c>
      <c r="B125" s="168"/>
    </row>
    <row r="126" spans="1:6">
      <c r="A126" s="1">
        <f t="shared" si="2"/>
        <v>124</v>
      </c>
      <c r="B126" s="168"/>
    </row>
    <row r="127" spans="1:6">
      <c r="A127" s="1">
        <f t="shared" si="2"/>
        <v>125</v>
      </c>
      <c r="B127" s="168"/>
    </row>
    <row r="128" spans="1:6">
      <c r="A128" s="1">
        <f t="shared" si="2"/>
        <v>126</v>
      </c>
      <c r="B128" s="168"/>
    </row>
    <row r="129" spans="1:2">
      <c r="A129" s="1">
        <f t="shared" si="2"/>
        <v>127</v>
      </c>
      <c r="B129" s="168"/>
    </row>
    <row r="130" spans="1:2">
      <c r="A130" s="1">
        <f t="shared" si="2"/>
        <v>128</v>
      </c>
      <c r="B130" s="168"/>
    </row>
    <row r="131" spans="1:2">
      <c r="A131" s="1">
        <f t="shared" si="2"/>
        <v>129</v>
      </c>
      <c r="B131" s="168"/>
    </row>
    <row r="132" spans="1:2">
      <c r="A132" s="1">
        <f t="shared" si="2"/>
        <v>130</v>
      </c>
      <c r="B132" s="168"/>
    </row>
    <row r="133" spans="1:2">
      <c r="A133" s="1">
        <f t="shared" si="2"/>
        <v>131</v>
      </c>
      <c r="B133" s="168"/>
    </row>
    <row r="134" spans="1:2">
      <c r="A134" s="1">
        <f t="shared" si="2"/>
        <v>132</v>
      </c>
      <c r="B134" s="168"/>
    </row>
    <row r="135" spans="1:2">
      <c r="A135" s="1">
        <f t="shared" si="2"/>
        <v>133</v>
      </c>
      <c r="B135" s="168"/>
    </row>
    <row r="136" spans="1:2">
      <c r="A136" s="1">
        <f t="shared" si="2"/>
        <v>134</v>
      </c>
      <c r="B136" s="168"/>
    </row>
    <row r="137" spans="1:2">
      <c r="A137" s="1">
        <f t="shared" si="2"/>
        <v>135</v>
      </c>
      <c r="B137" s="168"/>
    </row>
    <row r="138" spans="1:2">
      <c r="A138" s="1">
        <f t="shared" si="2"/>
        <v>136</v>
      </c>
      <c r="B138" s="168"/>
    </row>
    <row r="139" spans="1:2">
      <c r="A139" s="1">
        <f t="shared" si="2"/>
        <v>137</v>
      </c>
      <c r="B139" s="168"/>
    </row>
    <row r="140" spans="1:2">
      <c r="A140" s="1">
        <f t="shared" si="2"/>
        <v>138</v>
      </c>
      <c r="B140" s="168"/>
    </row>
    <row r="141" spans="1:2">
      <c r="A141" s="1">
        <f t="shared" si="2"/>
        <v>139</v>
      </c>
      <c r="B141" s="168"/>
    </row>
    <row r="142" spans="1:2">
      <c r="A142" s="1">
        <f t="shared" si="2"/>
        <v>140</v>
      </c>
      <c r="B142" s="168"/>
    </row>
    <row r="143" spans="1:2">
      <c r="A143" s="1">
        <f t="shared" si="2"/>
        <v>141</v>
      </c>
      <c r="B143" s="168"/>
    </row>
    <row r="144" spans="1:2">
      <c r="A144" s="1">
        <f t="shared" si="2"/>
        <v>142</v>
      </c>
      <c r="B144" s="168"/>
    </row>
    <row r="145" spans="1:2">
      <c r="A145" s="1">
        <f t="shared" si="2"/>
        <v>143</v>
      </c>
      <c r="B145" s="168"/>
    </row>
    <row r="146" spans="1:2">
      <c r="A146" s="1">
        <f t="shared" si="2"/>
        <v>144</v>
      </c>
      <c r="B146" s="168"/>
    </row>
    <row r="147" spans="1:2">
      <c r="A147" s="1">
        <f t="shared" si="2"/>
        <v>145</v>
      </c>
      <c r="B147" s="168"/>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Y396"/>
  <sheetViews>
    <sheetView topLeftCell="S1" workbookViewId="0">
      <selection activeCell="W15" sqref="W15"/>
    </sheetView>
  </sheetViews>
  <sheetFormatPr defaultColWidth="8.85546875" defaultRowHeight="15"/>
  <cols>
    <col min="1" max="1" width="14.85546875" customWidth="1"/>
    <col min="2" max="2" width="9.42578125" bestFit="1" customWidth="1"/>
    <col min="3" max="3" width="9.7109375" customWidth="1"/>
    <col min="5" max="5" width="24.85546875" bestFit="1" customWidth="1"/>
    <col min="6" max="6" width="9.7109375" customWidth="1"/>
    <col min="10" max="10" width="12.42578125" bestFit="1" customWidth="1"/>
    <col min="11" max="11" width="8.7109375" style="1"/>
    <col min="21" max="21" width="74.140625" bestFit="1" customWidth="1"/>
    <col min="23" max="23" width="27.85546875" bestFit="1" customWidth="1"/>
    <col min="24" max="24" width="26.85546875" bestFit="1" customWidth="1"/>
    <col min="25" max="25" width="26.140625" bestFit="1" customWidth="1"/>
  </cols>
  <sheetData>
    <row r="1" spans="1:25">
      <c r="T1">
        <v>100</v>
      </c>
      <c r="U1" t="s">
        <v>257</v>
      </c>
      <c r="W1" s="460" t="s">
        <v>460</v>
      </c>
      <c r="X1" s="461"/>
      <c r="Y1" s="461"/>
    </row>
    <row r="2" spans="1:25" ht="15.75" thickBot="1">
      <c r="B2" t="s">
        <v>950</v>
      </c>
      <c r="C2" t="s">
        <v>951</v>
      </c>
      <c r="D2" t="s">
        <v>952</v>
      </c>
      <c r="E2" t="s">
        <v>953</v>
      </c>
      <c r="F2" t="s">
        <v>954</v>
      </c>
      <c r="G2" t="s">
        <v>955</v>
      </c>
      <c r="H2" t="s">
        <v>161</v>
      </c>
      <c r="I2" t="s">
        <v>956</v>
      </c>
      <c r="T2">
        <v>101</v>
      </c>
      <c r="U2" t="s">
        <v>957</v>
      </c>
      <c r="W2" s="440" t="s">
        <v>498</v>
      </c>
      <c r="X2" s="440" t="s">
        <v>665</v>
      </c>
      <c r="Y2" s="440" t="s">
        <v>958</v>
      </c>
    </row>
    <row r="3" spans="1:25" ht="15.75" thickBot="1">
      <c r="A3" t="s">
        <v>115</v>
      </c>
      <c r="B3" s="22" t="s">
        <v>959</v>
      </c>
      <c r="C3" t="s">
        <v>960</v>
      </c>
      <c r="D3" s="1">
        <v>2</v>
      </c>
      <c r="E3" s="23">
        <f>D3/$K$3</f>
        <v>2.564102564102564E-2</v>
      </c>
      <c r="F3" t="s">
        <v>658</v>
      </c>
      <c r="G3" s="128" t="s">
        <v>961</v>
      </c>
      <c r="H3" t="s">
        <v>115</v>
      </c>
      <c r="J3" t="s">
        <v>962</v>
      </c>
      <c r="K3" s="1">
        <v>78</v>
      </c>
      <c r="N3" t="s">
        <v>469</v>
      </c>
      <c r="T3">
        <v>102</v>
      </c>
      <c r="U3" t="s">
        <v>195</v>
      </c>
      <c r="W3" s="440" t="s">
        <v>475</v>
      </c>
      <c r="X3" s="440" t="s">
        <v>656</v>
      </c>
      <c r="Y3" s="440" t="s">
        <v>963</v>
      </c>
    </row>
    <row r="4" spans="1:25" ht="15.75" thickBot="1">
      <c r="A4" t="s">
        <v>116</v>
      </c>
      <c r="B4" s="22" t="s">
        <v>959</v>
      </c>
      <c r="C4" t="s">
        <v>960</v>
      </c>
      <c r="D4" s="1">
        <v>2</v>
      </c>
      <c r="E4" s="23">
        <f t="shared" ref="E4:E56" si="0">D4/$K$3</f>
        <v>2.564102564102564E-2</v>
      </c>
      <c r="F4" t="s">
        <v>658</v>
      </c>
      <c r="G4" s="128" t="s">
        <v>961</v>
      </c>
      <c r="H4" t="s">
        <v>116</v>
      </c>
      <c r="N4" t="s">
        <v>474</v>
      </c>
      <c r="T4">
        <v>103</v>
      </c>
      <c r="U4" t="s">
        <v>190</v>
      </c>
      <c r="W4" s="440" t="s">
        <v>552</v>
      </c>
      <c r="X4" s="440" t="s">
        <v>676</v>
      </c>
      <c r="Y4" s="440" t="s">
        <v>964</v>
      </c>
    </row>
    <row r="5" spans="1:25" ht="15.75" thickBot="1">
      <c r="A5" t="s">
        <v>117</v>
      </c>
      <c r="B5" s="22" t="s">
        <v>959</v>
      </c>
      <c r="C5" t="s">
        <v>960</v>
      </c>
      <c r="D5" s="1">
        <v>2</v>
      </c>
      <c r="E5" s="23">
        <f t="shared" si="0"/>
        <v>2.564102564102564E-2</v>
      </c>
      <c r="F5" t="s">
        <v>658</v>
      </c>
      <c r="G5" s="128" t="s">
        <v>961</v>
      </c>
      <c r="H5" t="s">
        <v>117</v>
      </c>
      <c r="T5">
        <v>104</v>
      </c>
      <c r="U5" t="s">
        <v>296</v>
      </c>
      <c r="W5" s="440" t="s">
        <v>965</v>
      </c>
      <c r="X5" s="440" t="s">
        <v>966</v>
      </c>
      <c r="Y5" s="440" t="s">
        <v>967</v>
      </c>
    </row>
    <row r="6" spans="1:25" ht="15.75" thickBot="1">
      <c r="A6" t="s">
        <v>118</v>
      </c>
      <c r="B6" s="22" t="s">
        <v>959</v>
      </c>
      <c r="C6" t="s">
        <v>960</v>
      </c>
      <c r="D6" s="1">
        <v>2</v>
      </c>
      <c r="E6" s="23">
        <f t="shared" si="0"/>
        <v>2.564102564102564E-2</v>
      </c>
      <c r="F6" t="s">
        <v>658</v>
      </c>
      <c r="G6" s="128" t="s">
        <v>961</v>
      </c>
      <c r="H6" t="s">
        <v>118</v>
      </c>
      <c r="T6">
        <v>105</v>
      </c>
      <c r="U6" t="s">
        <v>968</v>
      </c>
      <c r="W6" s="440" t="s">
        <v>969</v>
      </c>
    </row>
    <row r="7" spans="1:25">
      <c r="A7" t="s">
        <v>119</v>
      </c>
      <c r="B7" s="22" t="s">
        <v>959</v>
      </c>
      <c r="C7" t="s">
        <v>960</v>
      </c>
      <c r="D7" s="1">
        <v>2</v>
      </c>
      <c r="E7" s="23">
        <f t="shared" si="0"/>
        <v>2.564102564102564E-2</v>
      </c>
      <c r="F7" t="s">
        <v>653</v>
      </c>
      <c r="G7" s="128" t="s">
        <v>970</v>
      </c>
      <c r="H7" t="s">
        <v>119</v>
      </c>
      <c r="T7">
        <v>106</v>
      </c>
      <c r="U7" t="s">
        <v>971</v>
      </c>
    </row>
    <row r="8" spans="1:25">
      <c r="A8" t="s">
        <v>120</v>
      </c>
      <c r="B8" s="22" t="s">
        <v>959</v>
      </c>
      <c r="C8" t="s">
        <v>960</v>
      </c>
      <c r="D8" s="1">
        <v>2</v>
      </c>
      <c r="E8" s="23">
        <f t="shared" si="0"/>
        <v>2.564102564102564E-2</v>
      </c>
      <c r="F8" t="s">
        <v>658</v>
      </c>
      <c r="G8" s="128" t="s">
        <v>961</v>
      </c>
      <c r="H8" t="s">
        <v>120</v>
      </c>
      <c r="T8">
        <v>107</v>
      </c>
      <c r="U8" t="s">
        <v>256</v>
      </c>
    </row>
    <row r="9" spans="1:25">
      <c r="A9" t="s">
        <v>121</v>
      </c>
      <c r="B9" s="22" t="s">
        <v>959</v>
      </c>
      <c r="C9" t="s">
        <v>960</v>
      </c>
      <c r="D9" s="1">
        <v>2</v>
      </c>
      <c r="E9" s="23">
        <f t="shared" si="0"/>
        <v>2.564102564102564E-2</v>
      </c>
      <c r="F9" t="s">
        <v>658</v>
      </c>
      <c r="G9" s="128" t="s">
        <v>961</v>
      </c>
      <c r="H9" t="s">
        <v>121</v>
      </c>
      <c r="T9">
        <v>108</v>
      </c>
      <c r="U9" t="s">
        <v>185</v>
      </c>
    </row>
    <row r="10" spans="1:25">
      <c r="A10" t="s">
        <v>122</v>
      </c>
      <c r="B10" s="22" t="s">
        <v>959</v>
      </c>
      <c r="C10" t="s">
        <v>960</v>
      </c>
      <c r="D10" s="1">
        <v>2</v>
      </c>
      <c r="E10" s="23">
        <f t="shared" si="0"/>
        <v>2.564102564102564E-2</v>
      </c>
      <c r="F10" t="s">
        <v>658</v>
      </c>
      <c r="G10" s="128" t="s">
        <v>961</v>
      </c>
      <c r="H10" t="s">
        <v>122</v>
      </c>
      <c r="T10">
        <v>110</v>
      </c>
      <c r="U10" t="s">
        <v>255</v>
      </c>
    </row>
    <row r="11" spans="1:25">
      <c r="A11" t="s">
        <v>123</v>
      </c>
      <c r="B11" s="22" t="s">
        <v>959</v>
      </c>
      <c r="C11" t="s">
        <v>960</v>
      </c>
      <c r="D11" s="1">
        <v>2</v>
      </c>
      <c r="E11" s="23">
        <f t="shared" si="0"/>
        <v>2.564102564102564E-2</v>
      </c>
      <c r="F11" t="s">
        <v>666</v>
      </c>
      <c r="G11" s="128" t="s">
        <v>961</v>
      </c>
      <c r="H11" t="s">
        <v>123</v>
      </c>
      <c r="T11">
        <v>112</v>
      </c>
      <c r="U11" t="s">
        <v>972</v>
      </c>
    </row>
    <row r="12" spans="1:25">
      <c r="A12" t="s">
        <v>124</v>
      </c>
      <c r="B12" s="22" t="s">
        <v>959</v>
      </c>
      <c r="C12" t="s">
        <v>960</v>
      </c>
      <c r="D12" s="1">
        <v>2</v>
      </c>
      <c r="E12" s="23">
        <f t="shared" si="0"/>
        <v>2.564102564102564E-2</v>
      </c>
      <c r="F12" t="s">
        <v>658</v>
      </c>
      <c r="G12" s="128" t="s">
        <v>961</v>
      </c>
      <c r="H12" t="s">
        <v>124</v>
      </c>
      <c r="T12">
        <v>114</v>
      </c>
      <c r="U12" t="s">
        <v>973</v>
      </c>
    </row>
    <row r="13" spans="1:25">
      <c r="A13" t="s">
        <v>125</v>
      </c>
      <c r="B13" s="22" t="s">
        <v>959</v>
      </c>
      <c r="C13" t="s">
        <v>960</v>
      </c>
      <c r="D13" s="1">
        <v>2</v>
      </c>
      <c r="E13" s="23">
        <f t="shared" si="0"/>
        <v>2.564102564102564E-2</v>
      </c>
      <c r="F13" t="s">
        <v>658</v>
      </c>
      <c r="G13" s="128" t="s">
        <v>961</v>
      </c>
      <c r="H13" t="s">
        <v>125</v>
      </c>
      <c r="T13">
        <v>115</v>
      </c>
      <c r="U13" t="s">
        <v>221</v>
      </c>
    </row>
    <row r="14" spans="1:25">
      <c r="A14" t="s">
        <v>126</v>
      </c>
      <c r="B14" s="22" t="s">
        <v>959</v>
      </c>
      <c r="C14" t="s">
        <v>960</v>
      </c>
      <c r="D14" s="1">
        <v>2</v>
      </c>
      <c r="E14" s="23">
        <f t="shared" si="0"/>
        <v>2.564102564102564E-2</v>
      </c>
      <c r="F14" t="s">
        <v>666</v>
      </c>
      <c r="G14" s="128" t="s">
        <v>961</v>
      </c>
      <c r="H14" t="s">
        <v>126</v>
      </c>
      <c r="T14">
        <v>116</v>
      </c>
      <c r="U14" t="s">
        <v>233</v>
      </c>
    </row>
    <row r="15" spans="1:25">
      <c r="A15" t="s">
        <v>127</v>
      </c>
      <c r="B15" s="22" t="s">
        <v>959</v>
      </c>
      <c r="C15" t="s">
        <v>960</v>
      </c>
      <c r="D15" s="1">
        <v>2</v>
      </c>
      <c r="E15" s="23">
        <f t="shared" si="0"/>
        <v>2.564102564102564E-2</v>
      </c>
      <c r="F15" t="s">
        <v>666</v>
      </c>
      <c r="G15" s="128" t="s">
        <v>961</v>
      </c>
      <c r="H15" t="s">
        <v>127</v>
      </c>
      <c r="T15">
        <v>117</v>
      </c>
      <c r="U15" t="s">
        <v>234</v>
      </c>
    </row>
    <row r="16" spans="1:25">
      <c r="A16" t="s">
        <v>128</v>
      </c>
      <c r="B16" s="22" t="s">
        <v>959</v>
      </c>
      <c r="C16" t="s">
        <v>960</v>
      </c>
      <c r="D16" s="1">
        <v>2</v>
      </c>
      <c r="E16" s="23">
        <f t="shared" si="0"/>
        <v>2.564102564102564E-2</v>
      </c>
      <c r="F16" t="s">
        <v>666</v>
      </c>
      <c r="G16" s="128" t="s">
        <v>961</v>
      </c>
      <c r="H16" t="s">
        <v>128</v>
      </c>
      <c r="T16">
        <v>118</v>
      </c>
      <c r="U16" t="s">
        <v>253</v>
      </c>
    </row>
    <row r="17" spans="1:21">
      <c r="A17" t="s">
        <v>129</v>
      </c>
      <c r="B17" s="22" t="s">
        <v>959</v>
      </c>
      <c r="C17" t="s">
        <v>960</v>
      </c>
      <c r="D17" s="1">
        <v>2</v>
      </c>
      <c r="E17" s="23">
        <f t="shared" si="0"/>
        <v>2.564102564102564E-2</v>
      </c>
      <c r="F17" t="s">
        <v>666</v>
      </c>
      <c r="G17" s="128" t="s">
        <v>961</v>
      </c>
      <c r="H17" t="s">
        <v>129</v>
      </c>
      <c r="T17">
        <v>119</v>
      </c>
      <c r="U17" t="s">
        <v>252</v>
      </c>
    </row>
    <row r="18" spans="1:21">
      <c r="A18" t="s">
        <v>130</v>
      </c>
      <c r="B18" s="22" t="s">
        <v>959</v>
      </c>
      <c r="C18" t="s">
        <v>960</v>
      </c>
      <c r="D18" s="1">
        <v>2</v>
      </c>
      <c r="E18" s="23">
        <f t="shared" si="0"/>
        <v>2.564102564102564E-2</v>
      </c>
      <c r="F18" t="s">
        <v>666</v>
      </c>
      <c r="G18" s="128" t="s">
        <v>961</v>
      </c>
      <c r="H18" t="s">
        <v>130</v>
      </c>
      <c r="T18">
        <v>121</v>
      </c>
      <c r="U18" t="s">
        <v>974</v>
      </c>
    </row>
    <row r="19" spans="1:21">
      <c r="A19" t="s">
        <v>131</v>
      </c>
      <c r="B19" s="22" t="s">
        <v>959</v>
      </c>
      <c r="C19" t="s">
        <v>960</v>
      </c>
      <c r="D19" s="1">
        <v>2</v>
      </c>
      <c r="E19" s="23">
        <f t="shared" si="0"/>
        <v>2.564102564102564E-2</v>
      </c>
      <c r="F19" t="s">
        <v>666</v>
      </c>
      <c r="G19" s="128" t="s">
        <v>961</v>
      </c>
      <c r="H19" t="s">
        <v>131</v>
      </c>
      <c r="T19">
        <v>122</v>
      </c>
      <c r="U19" t="s">
        <v>975</v>
      </c>
    </row>
    <row r="20" spans="1:21">
      <c r="A20" t="s">
        <v>132</v>
      </c>
      <c r="B20" s="22" t="s">
        <v>959</v>
      </c>
      <c r="C20" t="s">
        <v>960</v>
      </c>
      <c r="D20" s="1">
        <v>2</v>
      </c>
      <c r="E20" s="23">
        <f t="shared" si="0"/>
        <v>2.564102564102564E-2</v>
      </c>
      <c r="F20" t="s">
        <v>666</v>
      </c>
      <c r="G20" s="128" t="s">
        <v>961</v>
      </c>
      <c r="H20" t="s">
        <v>132</v>
      </c>
      <c r="T20">
        <v>123</v>
      </c>
      <c r="U20" t="s">
        <v>976</v>
      </c>
    </row>
    <row r="21" spans="1:21">
      <c r="A21" t="s">
        <v>133</v>
      </c>
      <c r="B21" s="22" t="s">
        <v>959</v>
      </c>
      <c r="C21" t="s">
        <v>960</v>
      </c>
      <c r="D21" s="1">
        <v>2</v>
      </c>
      <c r="E21" s="23">
        <f t="shared" si="0"/>
        <v>2.564102564102564E-2</v>
      </c>
      <c r="F21" t="s">
        <v>666</v>
      </c>
      <c r="G21" s="128" t="s">
        <v>961</v>
      </c>
      <c r="H21" t="s">
        <v>133</v>
      </c>
      <c r="T21">
        <v>124</v>
      </c>
      <c r="U21" t="s">
        <v>977</v>
      </c>
    </row>
    <row r="22" spans="1:21">
      <c r="A22" t="s">
        <v>134</v>
      </c>
      <c r="B22" s="22" t="s">
        <v>959</v>
      </c>
      <c r="C22" t="s">
        <v>960</v>
      </c>
      <c r="D22" s="1">
        <v>2</v>
      </c>
      <c r="E22" s="23">
        <f t="shared" si="0"/>
        <v>2.564102564102564E-2</v>
      </c>
      <c r="F22" t="s">
        <v>666</v>
      </c>
      <c r="G22" s="128" t="s">
        <v>961</v>
      </c>
      <c r="H22" t="s">
        <v>134</v>
      </c>
      <c r="T22">
        <v>125</v>
      </c>
      <c r="U22" t="s">
        <v>254</v>
      </c>
    </row>
    <row r="23" spans="1:21">
      <c r="A23" t="s">
        <v>135</v>
      </c>
      <c r="B23" s="22" t="s">
        <v>959</v>
      </c>
      <c r="C23" t="s">
        <v>960</v>
      </c>
      <c r="D23" s="1">
        <v>2</v>
      </c>
      <c r="E23" s="23">
        <f t="shared" si="0"/>
        <v>2.564102564102564E-2</v>
      </c>
      <c r="F23" t="s">
        <v>653</v>
      </c>
      <c r="G23" s="128" t="s">
        <v>970</v>
      </c>
      <c r="H23" t="s">
        <v>135</v>
      </c>
      <c r="T23">
        <v>126</v>
      </c>
      <c r="U23" t="s">
        <v>978</v>
      </c>
    </row>
    <row r="24" spans="1:21">
      <c r="A24" t="s">
        <v>136</v>
      </c>
      <c r="B24" s="22" t="s">
        <v>959</v>
      </c>
      <c r="C24" t="s">
        <v>960</v>
      </c>
      <c r="D24" s="1">
        <v>2</v>
      </c>
      <c r="E24" s="23">
        <f t="shared" si="0"/>
        <v>2.564102564102564E-2</v>
      </c>
      <c r="F24" t="s">
        <v>653</v>
      </c>
      <c r="G24" s="128" t="s">
        <v>970</v>
      </c>
      <c r="H24" t="s">
        <v>136</v>
      </c>
      <c r="T24">
        <v>127</v>
      </c>
      <c r="U24" t="s">
        <v>979</v>
      </c>
    </row>
    <row r="25" spans="1:21">
      <c r="A25" t="s">
        <v>137</v>
      </c>
      <c r="B25" s="22" t="s">
        <v>959</v>
      </c>
      <c r="C25" t="s">
        <v>960</v>
      </c>
      <c r="D25" s="1">
        <v>2</v>
      </c>
      <c r="E25" s="23">
        <f t="shared" si="0"/>
        <v>2.564102564102564E-2</v>
      </c>
      <c r="F25" t="s">
        <v>653</v>
      </c>
      <c r="G25" s="128" t="s">
        <v>970</v>
      </c>
      <c r="H25" t="s">
        <v>137</v>
      </c>
      <c r="T25">
        <v>128</v>
      </c>
      <c r="U25" t="s">
        <v>980</v>
      </c>
    </row>
    <row r="26" spans="1:21">
      <c r="A26" t="s">
        <v>138</v>
      </c>
      <c r="B26" s="22" t="s">
        <v>959</v>
      </c>
      <c r="C26" t="s">
        <v>960</v>
      </c>
      <c r="D26" s="1">
        <v>2</v>
      </c>
      <c r="E26" s="23">
        <f t="shared" si="0"/>
        <v>2.564102564102564E-2</v>
      </c>
      <c r="F26" t="s">
        <v>653</v>
      </c>
      <c r="G26" s="128" t="s">
        <v>970</v>
      </c>
      <c r="H26" t="s">
        <v>138</v>
      </c>
      <c r="T26">
        <v>130</v>
      </c>
      <c r="U26" t="s">
        <v>981</v>
      </c>
    </row>
    <row r="27" spans="1:21">
      <c r="A27" t="s">
        <v>139</v>
      </c>
      <c r="B27" s="22" t="s">
        <v>959</v>
      </c>
      <c r="C27" t="s">
        <v>960</v>
      </c>
      <c r="D27" s="1">
        <v>2</v>
      </c>
      <c r="E27" s="23">
        <f t="shared" si="0"/>
        <v>2.564102564102564E-2</v>
      </c>
      <c r="F27" t="s">
        <v>660</v>
      </c>
      <c r="G27" s="128" t="s">
        <v>970</v>
      </c>
      <c r="H27" t="s">
        <v>139</v>
      </c>
      <c r="T27">
        <v>200</v>
      </c>
      <c r="U27" t="s">
        <v>274</v>
      </c>
    </row>
    <row r="28" spans="1:21">
      <c r="A28" t="s">
        <v>140</v>
      </c>
      <c r="B28" s="22" t="s">
        <v>959</v>
      </c>
      <c r="C28" t="s">
        <v>960</v>
      </c>
      <c r="D28" s="1">
        <v>2</v>
      </c>
      <c r="E28" s="23">
        <f t="shared" si="0"/>
        <v>2.564102564102564E-2</v>
      </c>
      <c r="F28" t="s">
        <v>653</v>
      </c>
      <c r="G28" s="128" t="s">
        <v>970</v>
      </c>
      <c r="H28" t="s">
        <v>140</v>
      </c>
      <c r="T28">
        <v>201</v>
      </c>
      <c r="U28" t="s">
        <v>231</v>
      </c>
    </row>
    <row r="29" spans="1:21">
      <c r="A29" t="s">
        <v>141</v>
      </c>
      <c r="B29" s="22" t="s">
        <v>959</v>
      </c>
      <c r="C29" t="s">
        <v>960</v>
      </c>
      <c r="D29" s="1">
        <v>2</v>
      </c>
      <c r="E29" s="23">
        <f t="shared" si="0"/>
        <v>2.564102564102564E-2</v>
      </c>
      <c r="F29" t="s">
        <v>653</v>
      </c>
      <c r="G29" s="128" t="s">
        <v>970</v>
      </c>
      <c r="H29" t="s">
        <v>141</v>
      </c>
      <c r="T29">
        <v>202</v>
      </c>
      <c r="U29" t="s">
        <v>270</v>
      </c>
    </row>
    <row r="30" spans="1:21">
      <c r="A30" t="s">
        <v>142</v>
      </c>
      <c r="B30" s="22" t="s">
        <v>959</v>
      </c>
      <c r="C30" t="s">
        <v>960</v>
      </c>
      <c r="D30" s="1">
        <v>2</v>
      </c>
      <c r="E30" s="23">
        <f t="shared" si="0"/>
        <v>2.564102564102564E-2</v>
      </c>
      <c r="F30" t="s">
        <v>653</v>
      </c>
      <c r="G30" s="128" t="s">
        <v>970</v>
      </c>
      <c r="H30" t="s">
        <v>142</v>
      </c>
      <c r="T30">
        <v>203</v>
      </c>
      <c r="U30" t="s">
        <v>227</v>
      </c>
    </row>
    <row r="31" spans="1:21">
      <c r="A31" t="s">
        <v>143</v>
      </c>
      <c r="B31" s="22" t="s">
        <v>959</v>
      </c>
      <c r="C31" t="s">
        <v>960</v>
      </c>
      <c r="D31" s="1">
        <v>2</v>
      </c>
      <c r="E31" s="23">
        <f t="shared" si="0"/>
        <v>2.564102564102564E-2</v>
      </c>
      <c r="F31" t="s">
        <v>653</v>
      </c>
      <c r="G31" s="128" t="s">
        <v>970</v>
      </c>
      <c r="H31" t="s">
        <v>143</v>
      </c>
      <c r="T31">
        <v>204</v>
      </c>
      <c r="U31" t="s">
        <v>260</v>
      </c>
    </row>
    <row r="32" spans="1:21">
      <c r="A32" t="s">
        <v>144</v>
      </c>
      <c r="B32" s="22" t="s">
        <v>959</v>
      </c>
      <c r="C32" t="s">
        <v>960</v>
      </c>
      <c r="D32" s="1">
        <v>2</v>
      </c>
      <c r="E32" s="23">
        <f t="shared" si="0"/>
        <v>2.564102564102564E-2</v>
      </c>
      <c r="F32" t="s">
        <v>653</v>
      </c>
      <c r="G32" s="128" t="s">
        <v>970</v>
      </c>
      <c r="H32" t="s">
        <v>144</v>
      </c>
      <c r="T32">
        <v>205</v>
      </c>
      <c r="U32" t="s">
        <v>224</v>
      </c>
    </row>
    <row r="33" spans="1:21">
      <c r="A33" t="s">
        <v>145</v>
      </c>
      <c r="B33" s="22" t="s">
        <v>959</v>
      </c>
      <c r="C33" t="s">
        <v>960</v>
      </c>
      <c r="D33" s="1">
        <v>2</v>
      </c>
      <c r="E33" s="23">
        <f t="shared" si="0"/>
        <v>2.564102564102564E-2</v>
      </c>
      <c r="F33" t="s">
        <v>660</v>
      </c>
      <c r="G33" s="128" t="s">
        <v>970</v>
      </c>
      <c r="H33" t="s">
        <v>145</v>
      </c>
      <c r="T33">
        <v>207</v>
      </c>
      <c r="U33" t="s">
        <v>223</v>
      </c>
    </row>
    <row r="34" spans="1:21">
      <c r="A34" t="s">
        <v>146</v>
      </c>
      <c r="B34" s="22" t="s">
        <v>959</v>
      </c>
      <c r="C34" t="s">
        <v>960</v>
      </c>
      <c r="D34" s="1">
        <v>2</v>
      </c>
      <c r="E34" s="23">
        <f t="shared" si="0"/>
        <v>2.564102564102564E-2</v>
      </c>
      <c r="F34" t="s">
        <v>660</v>
      </c>
      <c r="G34" s="128" t="s">
        <v>970</v>
      </c>
      <c r="H34" t="s">
        <v>146</v>
      </c>
      <c r="T34">
        <v>208</v>
      </c>
      <c r="U34" t="s">
        <v>222</v>
      </c>
    </row>
    <row r="35" spans="1:21">
      <c r="A35" t="s">
        <v>147</v>
      </c>
      <c r="B35" s="22" t="s">
        <v>959</v>
      </c>
      <c r="C35" t="s">
        <v>960</v>
      </c>
      <c r="D35" s="1">
        <v>2</v>
      </c>
      <c r="E35" s="23">
        <f t="shared" si="0"/>
        <v>2.564102564102564E-2</v>
      </c>
      <c r="F35" t="s">
        <v>660</v>
      </c>
      <c r="G35" s="128" t="s">
        <v>970</v>
      </c>
      <c r="H35" t="s">
        <v>147</v>
      </c>
      <c r="T35">
        <v>211</v>
      </c>
      <c r="U35" t="s">
        <v>982</v>
      </c>
    </row>
    <row r="36" spans="1:21">
      <c r="A36" t="s">
        <v>148</v>
      </c>
      <c r="B36" s="22" t="s">
        <v>959</v>
      </c>
      <c r="C36" t="s">
        <v>960</v>
      </c>
      <c r="D36" s="1">
        <v>2</v>
      </c>
      <c r="E36" s="23">
        <f t="shared" si="0"/>
        <v>2.564102564102564E-2</v>
      </c>
      <c r="F36" t="s">
        <v>660</v>
      </c>
      <c r="G36" s="128" t="s">
        <v>970</v>
      </c>
      <c r="H36" t="s">
        <v>148</v>
      </c>
      <c r="T36">
        <v>212</v>
      </c>
      <c r="U36" t="s">
        <v>983</v>
      </c>
    </row>
    <row r="37" spans="1:21">
      <c r="A37" t="s">
        <v>149</v>
      </c>
      <c r="B37" s="22" t="s">
        <v>959</v>
      </c>
      <c r="C37" t="s">
        <v>960</v>
      </c>
      <c r="D37" s="1">
        <v>2</v>
      </c>
      <c r="E37" s="23">
        <f t="shared" si="0"/>
        <v>2.564102564102564E-2</v>
      </c>
      <c r="F37" t="s">
        <v>660</v>
      </c>
      <c r="G37" s="128" t="s">
        <v>970</v>
      </c>
      <c r="H37" t="s">
        <v>149</v>
      </c>
      <c r="T37">
        <v>213</v>
      </c>
      <c r="U37" t="s">
        <v>294</v>
      </c>
    </row>
    <row r="38" spans="1:21">
      <c r="A38" t="s">
        <v>150</v>
      </c>
      <c r="B38" s="22" t="s">
        <v>959</v>
      </c>
      <c r="C38" t="s">
        <v>960</v>
      </c>
      <c r="D38" s="1">
        <v>2</v>
      </c>
      <c r="E38" s="23">
        <f t="shared" si="0"/>
        <v>2.564102564102564E-2</v>
      </c>
      <c r="F38" t="s">
        <v>660</v>
      </c>
      <c r="G38" s="128" t="s">
        <v>970</v>
      </c>
      <c r="H38" t="s">
        <v>150</v>
      </c>
      <c r="T38">
        <v>214</v>
      </c>
      <c r="U38" t="s">
        <v>984</v>
      </c>
    </row>
    <row r="39" spans="1:21">
      <c r="A39" t="s">
        <v>151</v>
      </c>
      <c r="B39" s="22" t="s">
        <v>959</v>
      </c>
      <c r="C39" t="s">
        <v>960</v>
      </c>
      <c r="D39" s="1">
        <v>2</v>
      </c>
      <c r="E39" s="23">
        <f t="shared" si="0"/>
        <v>2.564102564102564E-2</v>
      </c>
      <c r="F39" t="s">
        <v>660</v>
      </c>
      <c r="G39" s="128" t="s">
        <v>970</v>
      </c>
      <c r="H39" t="s">
        <v>151</v>
      </c>
      <c r="T39">
        <v>217</v>
      </c>
      <c r="U39" t="s">
        <v>985</v>
      </c>
    </row>
    <row r="40" spans="1:21">
      <c r="A40" t="s">
        <v>152</v>
      </c>
      <c r="B40" s="22" t="s">
        <v>959</v>
      </c>
      <c r="C40" t="s">
        <v>960</v>
      </c>
      <c r="D40" s="1">
        <v>2</v>
      </c>
      <c r="E40" s="23">
        <f t="shared" si="0"/>
        <v>2.564102564102564E-2</v>
      </c>
      <c r="F40" t="s">
        <v>660</v>
      </c>
      <c r="G40" s="128" t="s">
        <v>970</v>
      </c>
      <c r="H40" t="s">
        <v>152</v>
      </c>
      <c r="T40">
        <v>218</v>
      </c>
      <c r="U40" t="s">
        <v>986</v>
      </c>
    </row>
    <row r="41" spans="1:21">
      <c r="A41" t="s">
        <v>153</v>
      </c>
      <c r="B41" s="22" t="s">
        <v>959</v>
      </c>
      <c r="C41" t="s">
        <v>960</v>
      </c>
      <c r="D41" s="1">
        <v>2</v>
      </c>
      <c r="E41" s="23">
        <f t="shared" si="0"/>
        <v>2.564102564102564E-2</v>
      </c>
      <c r="F41" t="s">
        <v>660</v>
      </c>
      <c r="G41" s="128" t="s">
        <v>970</v>
      </c>
      <c r="H41" t="s">
        <v>153</v>
      </c>
      <c r="T41">
        <v>219</v>
      </c>
      <c r="U41" t="s">
        <v>987</v>
      </c>
    </row>
    <row r="42" spans="1:21">
      <c r="A42" t="s">
        <v>660</v>
      </c>
      <c r="B42" s="22" t="s">
        <v>959</v>
      </c>
      <c r="C42" t="s">
        <v>960</v>
      </c>
      <c r="D42" s="1">
        <v>20</v>
      </c>
      <c r="E42" s="23">
        <f t="shared" si="0"/>
        <v>0.25641025641025639</v>
      </c>
      <c r="T42">
        <v>221</v>
      </c>
      <c r="U42" t="s">
        <v>302</v>
      </c>
    </row>
    <row r="43" spans="1:21">
      <c r="A43" t="s">
        <v>988</v>
      </c>
      <c r="B43" s="22" t="s">
        <v>959</v>
      </c>
      <c r="C43" t="s">
        <v>960</v>
      </c>
      <c r="D43" s="1">
        <v>10</v>
      </c>
      <c r="E43" s="23">
        <f t="shared" si="0"/>
        <v>0.12820512820512819</v>
      </c>
    </row>
    <row r="44" spans="1:21">
      <c r="A44" t="s">
        <v>989</v>
      </c>
      <c r="B44" s="22" t="s">
        <v>959</v>
      </c>
      <c r="C44" t="s">
        <v>960</v>
      </c>
      <c r="D44" s="1">
        <v>10</v>
      </c>
      <c r="E44" s="23">
        <f t="shared" si="0"/>
        <v>0.12820512820512819</v>
      </c>
    </row>
    <row r="45" spans="1:21">
      <c r="A45" t="s">
        <v>653</v>
      </c>
      <c r="B45" s="22" t="s">
        <v>959</v>
      </c>
      <c r="C45" t="s">
        <v>960</v>
      </c>
      <c r="D45" s="1">
        <v>20</v>
      </c>
      <c r="E45" s="23">
        <f t="shared" si="0"/>
        <v>0.25641025641025639</v>
      </c>
      <c r="T45">
        <v>222</v>
      </c>
      <c r="U45" t="s">
        <v>248</v>
      </c>
    </row>
    <row r="46" spans="1:21">
      <c r="A46" t="s">
        <v>698</v>
      </c>
      <c r="B46" s="22" t="s">
        <v>959</v>
      </c>
      <c r="C46" t="s">
        <v>960</v>
      </c>
      <c r="D46" s="1">
        <v>8</v>
      </c>
      <c r="E46" s="23">
        <f t="shared" si="0"/>
        <v>0.10256410256410256</v>
      </c>
    </row>
    <row r="47" spans="1:21">
      <c r="A47" t="s">
        <v>685</v>
      </c>
      <c r="B47" s="22" t="s">
        <v>959</v>
      </c>
      <c r="C47" t="s">
        <v>960</v>
      </c>
      <c r="D47" s="1">
        <v>12</v>
      </c>
      <c r="E47" s="23">
        <f t="shared" si="0"/>
        <v>0.15384615384615385</v>
      </c>
    </row>
    <row r="48" spans="1:21">
      <c r="A48" t="s">
        <v>658</v>
      </c>
      <c r="B48" s="22" t="s">
        <v>959</v>
      </c>
      <c r="C48" t="s">
        <v>960</v>
      </c>
      <c r="D48" s="1">
        <v>18</v>
      </c>
      <c r="E48" s="23">
        <f t="shared" si="0"/>
        <v>0.23076923076923078</v>
      </c>
      <c r="T48">
        <v>223</v>
      </c>
      <c r="U48" t="s">
        <v>305</v>
      </c>
    </row>
    <row r="49" spans="1:21">
      <c r="A49" t="s">
        <v>990</v>
      </c>
      <c r="B49" s="22" t="s">
        <v>959</v>
      </c>
      <c r="C49" t="s">
        <v>960</v>
      </c>
      <c r="D49" s="1">
        <v>10</v>
      </c>
      <c r="E49" s="23">
        <f t="shared" si="0"/>
        <v>0.12820512820512819</v>
      </c>
    </row>
    <row r="50" spans="1:21">
      <c r="A50" t="s">
        <v>991</v>
      </c>
      <c r="B50" s="22" t="s">
        <v>959</v>
      </c>
      <c r="C50" t="s">
        <v>960</v>
      </c>
      <c r="D50" s="1">
        <v>8</v>
      </c>
      <c r="E50" s="23">
        <f t="shared" si="0"/>
        <v>0.10256410256410256</v>
      </c>
    </row>
    <row r="51" spans="1:21">
      <c r="A51" t="s">
        <v>666</v>
      </c>
      <c r="B51" s="22" t="s">
        <v>959</v>
      </c>
      <c r="C51" t="s">
        <v>960</v>
      </c>
      <c r="D51" s="1">
        <v>20</v>
      </c>
      <c r="E51" s="23">
        <f t="shared" si="0"/>
        <v>0.25641025641025639</v>
      </c>
      <c r="T51">
        <v>226</v>
      </c>
      <c r="U51" t="s">
        <v>992</v>
      </c>
    </row>
    <row r="52" spans="1:21">
      <c r="A52" t="s">
        <v>679</v>
      </c>
      <c r="B52" s="22" t="s">
        <v>959</v>
      </c>
      <c r="C52" t="s">
        <v>960</v>
      </c>
      <c r="D52" s="1">
        <v>10</v>
      </c>
      <c r="E52" s="23">
        <f t="shared" si="0"/>
        <v>0.12820512820512819</v>
      </c>
    </row>
    <row r="53" spans="1:21">
      <c r="A53" t="s">
        <v>673</v>
      </c>
      <c r="B53" s="22" t="s">
        <v>959</v>
      </c>
      <c r="C53" t="s">
        <v>960</v>
      </c>
      <c r="D53" s="1">
        <v>10</v>
      </c>
      <c r="E53" s="23">
        <f t="shared" si="0"/>
        <v>0.12820512820512819</v>
      </c>
    </row>
    <row r="54" spans="1:21">
      <c r="A54" t="s">
        <v>970</v>
      </c>
      <c r="B54" s="22" t="s">
        <v>959</v>
      </c>
      <c r="C54" t="s">
        <v>960</v>
      </c>
      <c r="D54" s="1">
        <v>40</v>
      </c>
      <c r="E54" s="23">
        <f t="shared" si="0"/>
        <v>0.51282051282051277</v>
      </c>
      <c r="T54">
        <v>227</v>
      </c>
      <c r="U54" t="s">
        <v>993</v>
      </c>
    </row>
    <row r="55" spans="1:21">
      <c r="A55" t="s">
        <v>961</v>
      </c>
      <c r="B55" s="22" t="s">
        <v>959</v>
      </c>
      <c r="C55" t="s">
        <v>960</v>
      </c>
      <c r="D55" s="1">
        <v>38</v>
      </c>
      <c r="E55" s="23">
        <f t="shared" si="0"/>
        <v>0.48717948717948717</v>
      </c>
      <c r="T55">
        <v>228</v>
      </c>
      <c r="U55" t="s">
        <v>994</v>
      </c>
    </row>
    <row r="56" spans="1:21">
      <c r="A56" t="s">
        <v>710</v>
      </c>
      <c r="B56" s="22" t="s">
        <v>959</v>
      </c>
      <c r="C56" t="s">
        <v>960</v>
      </c>
      <c r="D56" s="1">
        <v>78</v>
      </c>
      <c r="E56" s="23">
        <f t="shared" si="0"/>
        <v>1</v>
      </c>
      <c r="T56">
        <v>300</v>
      </c>
      <c r="U56" t="s">
        <v>995</v>
      </c>
    </row>
    <row r="57" spans="1:21">
      <c r="T57">
        <v>302</v>
      </c>
      <c r="U57" t="s">
        <v>996</v>
      </c>
    </row>
    <row r="58" spans="1:21">
      <c r="T58">
        <v>303</v>
      </c>
      <c r="U58" t="s">
        <v>997</v>
      </c>
    </row>
    <row r="59" spans="1:21">
      <c r="T59">
        <v>304</v>
      </c>
      <c r="U59" t="s">
        <v>998</v>
      </c>
    </row>
    <row r="60" spans="1:21">
      <c r="T60">
        <v>305</v>
      </c>
      <c r="U60" t="s">
        <v>999</v>
      </c>
    </row>
    <row r="61" spans="1:21">
      <c r="T61">
        <v>306</v>
      </c>
      <c r="U61" t="s">
        <v>1000</v>
      </c>
    </row>
    <row r="62" spans="1:21">
      <c r="T62">
        <v>307</v>
      </c>
      <c r="U62" t="s">
        <v>1001</v>
      </c>
    </row>
    <row r="63" spans="1:21">
      <c r="T63">
        <v>309</v>
      </c>
      <c r="U63" t="s">
        <v>1002</v>
      </c>
    </row>
    <row r="64" spans="1:21">
      <c r="T64">
        <v>310</v>
      </c>
      <c r="U64" t="s">
        <v>1003</v>
      </c>
    </row>
    <row r="65" spans="20:21">
      <c r="T65">
        <v>312</v>
      </c>
      <c r="U65" t="s">
        <v>1004</v>
      </c>
    </row>
    <row r="66" spans="20:21">
      <c r="T66">
        <v>313</v>
      </c>
      <c r="U66" t="s">
        <v>247</v>
      </c>
    </row>
    <row r="67" spans="20:21">
      <c r="T67">
        <v>314</v>
      </c>
      <c r="U67" t="s">
        <v>1005</v>
      </c>
    </row>
    <row r="68" spans="20:21">
      <c r="T68">
        <v>315</v>
      </c>
      <c r="U68" t="s">
        <v>1006</v>
      </c>
    </row>
    <row r="69" spans="20:21">
      <c r="T69">
        <v>317</v>
      </c>
      <c r="U69" t="s">
        <v>1007</v>
      </c>
    </row>
    <row r="70" spans="20:21">
      <c r="T70">
        <v>318</v>
      </c>
      <c r="U70" t="s">
        <v>1008</v>
      </c>
    </row>
    <row r="71" spans="20:21">
      <c r="T71">
        <v>319</v>
      </c>
      <c r="U71" t="s">
        <v>1009</v>
      </c>
    </row>
    <row r="72" spans="20:21">
      <c r="T72">
        <v>320</v>
      </c>
      <c r="U72" t="s">
        <v>1010</v>
      </c>
    </row>
    <row r="73" spans="20:21">
      <c r="T73">
        <v>321</v>
      </c>
      <c r="U73" t="s">
        <v>1011</v>
      </c>
    </row>
    <row r="74" spans="20:21">
      <c r="T74">
        <v>324</v>
      </c>
      <c r="U74" t="s">
        <v>1012</v>
      </c>
    </row>
    <row r="75" spans="20:21">
      <c r="T75">
        <v>325</v>
      </c>
      <c r="U75" t="s">
        <v>1013</v>
      </c>
    </row>
    <row r="76" spans="20:21">
      <c r="T76">
        <v>326</v>
      </c>
      <c r="U76" t="s">
        <v>1014</v>
      </c>
    </row>
    <row r="77" spans="20:21">
      <c r="T77">
        <v>327</v>
      </c>
      <c r="U77" t="s">
        <v>1015</v>
      </c>
    </row>
    <row r="78" spans="20:21">
      <c r="T78">
        <v>341</v>
      </c>
      <c r="U78" t="s">
        <v>1016</v>
      </c>
    </row>
    <row r="79" spans="20:21">
      <c r="T79">
        <v>343</v>
      </c>
      <c r="U79" t="s">
        <v>1017</v>
      </c>
    </row>
    <row r="80" spans="20:21">
      <c r="T80">
        <v>344</v>
      </c>
      <c r="U80" t="s">
        <v>1018</v>
      </c>
    </row>
    <row r="81" spans="20:21">
      <c r="T81">
        <v>345</v>
      </c>
      <c r="U81" t="s">
        <v>1019</v>
      </c>
    </row>
    <row r="82" spans="20:21">
      <c r="T82">
        <v>347</v>
      </c>
      <c r="U82" t="s">
        <v>1020</v>
      </c>
    </row>
    <row r="83" spans="20:21">
      <c r="T83">
        <v>349</v>
      </c>
      <c r="U83" t="s">
        <v>1021</v>
      </c>
    </row>
    <row r="84" spans="20:21">
      <c r="T84">
        <v>352</v>
      </c>
      <c r="U84" t="s">
        <v>1022</v>
      </c>
    </row>
    <row r="85" spans="20:21">
      <c r="T85">
        <v>354</v>
      </c>
      <c r="U85" t="s">
        <v>1023</v>
      </c>
    </row>
    <row r="86" spans="20:21">
      <c r="T86">
        <v>356</v>
      </c>
      <c r="U86" t="s">
        <v>1024</v>
      </c>
    </row>
    <row r="87" spans="20:21">
      <c r="T87">
        <v>357</v>
      </c>
      <c r="U87" t="s">
        <v>1025</v>
      </c>
    </row>
    <row r="88" spans="20:21">
      <c r="T88">
        <v>360</v>
      </c>
      <c r="U88" t="s">
        <v>1026</v>
      </c>
    </row>
    <row r="89" spans="20:21">
      <c r="T89">
        <v>361</v>
      </c>
      <c r="U89" t="s">
        <v>1027</v>
      </c>
    </row>
    <row r="90" spans="20:21">
      <c r="T90">
        <v>362</v>
      </c>
      <c r="U90" t="s">
        <v>1028</v>
      </c>
    </row>
    <row r="91" spans="20:21">
      <c r="T91">
        <v>363</v>
      </c>
      <c r="U91" t="s">
        <v>1029</v>
      </c>
    </row>
    <row r="92" spans="20:21">
      <c r="T92">
        <v>364</v>
      </c>
      <c r="U92" t="s">
        <v>1030</v>
      </c>
    </row>
    <row r="93" spans="20:21">
      <c r="T93">
        <v>365</v>
      </c>
      <c r="U93" t="s">
        <v>1031</v>
      </c>
    </row>
    <row r="94" spans="20:21">
      <c r="T94">
        <v>366</v>
      </c>
      <c r="U94" t="s">
        <v>1032</v>
      </c>
    </row>
    <row r="95" spans="20:21">
      <c r="T95">
        <v>400</v>
      </c>
      <c r="U95" t="s">
        <v>1033</v>
      </c>
    </row>
    <row r="96" spans="20:21">
      <c r="T96" s="149">
        <v>401</v>
      </c>
      <c r="U96" t="s">
        <v>277</v>
      </c>
    </row>
    <row r="97" spans="20:21">
      <c r="T97" s="149">
        <v>402</v>
      </c>
      <c r="U97" t="s">
        <v>268</v>
      </c>
    </row>
    <row r="98" spans="20:21">
      <c r="T98" s="149">
        <v>403</v>
      </c>
      <c r="U98" t="s">
        <v>216</v>
      </c>
    </row>
    <row r="99" spans="20:21">
      <c r="T99" s="149">
        <v>404</v>
      </c>
      <c r="U99" t="s">
        <v>280</v>
      </c>
    </row>
    <row r="100" spans="20:21">
      <c r="T100" s="149">
        <v>405</v>
      </c>
      <c r="U100" t="s">
        <v>240</v>
      </c>
    </row>
    <row r="101" spans="20:21">
      <c r="T101" s="149">
        <v>406</v>
      </c>
      <c r="U101" t="s">
        <v>217</v>
      </c>
    </row>
    <row r="102" spans="20:21">
      <c r="T102" s="149">
        <v>407</v>
      </c>
      <c r="U102" t="s">
        <v>292</v>
      </c>
    </row>
    <row r="103" spans="20:21">
      <c r="T103" s="149">
        <v>408</v>
      </c>
      <c r="U103" t="s">
        <v>1034</v>
      </c>
    </row>
    <row r="104" spans="20:21">
      <c r="T104" s="149">
        <v>409</v>
      </c>
      <c r="U104" t="s">
        <v>1035</v>
      </c>
    </row>
    <row r="105" spans="20:21">
      <c r="T105" s="149">
        <v>410</v>
      </c>
      <c r="U105" t="s">
        <v>232</v>
      </c>
    </row>
    <row r="106" spans="20:21">
      <c r="T106" s="149">
        <v>411</v>
      </c>
      <c r="U106" t="s">
        <v>1036</v>
      </c>
    </row>
    <row r="107" spans="20:21">
      <c r="T107" s="149">
        <v>412</v>
      </c>
      <c r="U107" t="s">
        <v>208</v>
      </c>
    </row>
    <row r="108" spans="20:21">
      <c r="T108" s="149">
        <v>413</v>
      </c>
      <c r="U108" t="s">
        <v>298</v>
      </c>
    </row>
    <row r="109" spans="20:21">
      <c r="T109" s="149">
        <v>414</v>
      </c>
      <c r="U109" t="s">
        <v>1037</v>
      </c>
    </row>
    <row r="110" spans="20:21">
      <c r="T110" s="149">
        <v>415</v>
      </c>
      <c r="U110" t="s">
        <v>1038</v>
      </c>
    </row>
    <row r="111" spans="20:21">
      <c r="T111">
        <v>416</v>
      </c>
      <c r="U111" t="s">
        <v>249</v>
      </c>
    </row>
    <row r="112" spans="20:21">
      <c r="T112" s="149">
        <v>417</v>
      </c>
      <c r="U112" t="s">
        <v>1039</v>
      </c>
    </row>
    <row r="113" spans="20:21">
      <c r="T113" s="149">
        <v>418</v>
      </c>
      <c r="U113" t="s">
        <v>1040</v>
      </c>
    </row>
    <row r="114" spans="20:21">
      <c r="T114" s="149">
        <v>419</v>
      </c>
      <c r="U114" t="s">
        <v>1041</v>
      </c>
    </row>
    <row r="115" spans="20:21">
      <c r="T115" s="149">
        <v>421</v>
      </c>
      <c r="U115" t="s">
        <v>281</v>
      </c>
    </row>
    <row r="116" spans="20:21">
      <c r="T116" s="149">
        <v>422</v>
      </c>
      <c r="U116" t="s">
        <v>1042</v>
      </c>
    </row>
    <row r="117" spans="20:21">
      <c r="T117" s="149">
        <v>423</v>
      </c>
      <c r="U117" t="s">
        <v>1043</v>
      </c>
    </row>
    <row r="118" spans="20:21">
      <c r="T118" s="149">
        <v>424</v>
      </c>
      <c r="U118" t="s">
        <v>1044</v>
      </c>
    </row>
    <row r="119" spans="20:21">
      <c r="T119" s="149">
        <v>425</v>
      </c>
      <c r="U119" t="s">
        <v>1045</v>
      </c>
    </row>
    <row r="120" spans="20:21">
      <c r="T120" s="149">
        <v>426</v>
      </c>
      <c r="U120" t="s">
        <v>242</v>
      </c>
    </row>
    <row r="121" spans="20:21">
      <c r="T121" s="149">
        <v>427</v>
      </c>
      <c r="U121" t="s">
        <v>1046</v>
      </c>
    </row>
    <row r="122" spans="20:21">
      <c r="T122" s="149">
        <v>429</v>
      </c>
      <c r="U122" t="s">
        <v>262</v>
      </c>
    </row>
    <row r="123" spans="20:21">
      <c r="T123" s="149">
        <v>430</v>
      </c>
      <c r="U123" t="s">
        <v>295</v>
      </c>
    </row>
    <row r="124" spans="20:21">
      <c r="T124" s="149">
        <v>431</v>
      </c>
      <c r="U124" t="s">
        <v>1047</v>
      </c>
    </row>
    <row r="125" spans="20:21">
      <c r="T125" s="149">
        <v>432</v>
      </c>
      <c r="U125" t="s">
        <v>1048</v>
      </c>
    </row>
    <row r="126" spans="20:21">
      <c r="T126" s="149">
        <v>433</v>
      </c>
      <c r="U126" t="s">
        <v>284</v>
      </c>
    </row>
    <row r="127" spans="20:21">
      <c r="T127" s="149">
        <v>434</v>
      </c>
      <c r="U127" t="s">
        <v>1049</v>
      </c>
    </row>
    <row r="128" spans="20:21">
      <c r="T128" s="149">
        <v>435</v>
      </c>
      <c r="U128" t="s">
        <v>1050</v>
      </c>
    </row>
    <row r="129" spans="20:21">
      <c r="T129" s="149">
        <v>441</v>
      </c>
      <c r="U129" t="s">
        <v>300</v>
      </c>
    </row>
    <row r="130" spans="20:21">
      <c r="T130" s="149">
        <v>442</v>
      </c>
      <c r="U130" t="s">
        <v>1051</v>
      </c>
    </row>
    <row r="131" spans="20:21">
      <c r="T131" s="149">
        <v>444</v>
      </c>
      <c r="U131" t="s">
        <v>209</v>
      </c>
    </row>
    <row r="132" spans="20:21">
      <c r="T132" s="149">
        <v>445</v>
      </c>
      <c r="U132" t="s">
        <v>1052</v>
      </c>
    </row>
    <row r="133" spans="20:21">
      <c r="T133" s="149">
        <v>446</v>
      </c>
      <c r="U133" t="s">
        <v>1053</v>
      </c>
    </row>
    <row r="134" spans="20:21">
      <c r="T134" s="149">
        <v>447</v>
      </c>
      <c r="U134" t="s">
        <v>1054</v>
      </c>
    </row>
    <row r="135" spans="20:21">
      <c r="T135" s="149">
        <v>448</v>
      </c>
      <c r="U135" t="s">
        <v>1055</v>
      </c>
    </row>
    <row r="136" spans="20:21">
      <c r="T136" s="150">
        <v>500</v>
      </c>
      <c r="U136" t="s">
        <v>218</v>
      </c>
    </row>
    <row r="137" spans="20:21">
      <c r="T137" s="150">
        <v>501</v>
      </c>
      <c r="U137" t="s">
        <v>275</v>
      </c>
    </row>
    <row r="138" spans="20:21">
      <c r="T138" s="150">
        <v>502</v>
      </c>
      <c r="U138" t="s">
        <v>211</v>
      </c>
    </row>
    <row r="139" spans="20:21">
      <c r="T139" s="150">
        <v>506</v>
      </c>
      <c r="U139" t="s">
        <v>1056</v>
      </c>
    </row>
    <row r="140" spans="20:21">
      <c r="T140" s="150">
        <v>507</v>
      </c>
      <c r="U140" t="s">
        <v>276</v>
      </c>
    </row>
    <row r="141" spans="20:21">
      <c r="T141" s="150">
        <v>509</v>
      </c>
      <c r="U141" t="s">
        <v>212</v>
      </c>
    </row>
    <row r="142" spans="20:21">
      <c r="T142" s="150">
        <v>514</v>
      </c>
      <c r="U142" t="s">
        <v>1057</v>
      </c>
    </row>
    <row r="143" spans="20:21">
      <c r="T143" s="150">
        <v>515</v>
      </c>
      <c r="U143" t="s">
        <v>1058</v>
      </c>
    </row>
    <row r="144" spans="20:21">
      <c r="T144" s="150">
        <v>516</v>
      </c>
      <c r="U144" t="s">
        <v>1059</v>
      </c>
    </row>
    <row r="145" spans="20:21">
      <c r="T145" s="150">
        <v>517</v>
      </c>
      <c r="U145" t="s">
        <v>1060</v>
      </c>
    </row>
    <row r="146" spans="20:21">
      <c r="T146" s="150">
        <v>518</v>
      </c>
      <c r="U146" t="s">
        <v>1061</v>
      </c>
    </row>
    <row r="147" spans="20:21">
      <c r="T147">
        <v>519</v>
      </c>
      <c r="U147" t="s">
        <v>1062</v>
      </c>
    </row>
    <row r="148" spans="20:21">
      <c r="T148">
        <v>523</v>
      </c>
      <c r="U148" t="s">
        <v>220</v>
      </c>
    </row>
    <row r="149" spans="20:21">
      <c r="T149">
        <v>524</v>
      </c>
      <c r="U149" t="s">
        <v>306</v>
      </c>
    </row>
    <row r="150" spans="20:21">
      <c r="T150">
        <v>525</v>
      </c>
      <c r="U150" t="s">
        <v>1063</v>
      </c>
    </row>
    <row r="151" spans="20:21">
      <c r="T151">
        <v>526</v>
      </c>
      <c r="U151" t="s">
        <v>1064</v>
      </c>
    </row>
    <row r="152" spans="20:21">
      <c r="T152">
        <v>527</v>
      </c>
      <c r="U152" t="s">
        <v>1065</v>
      </c>
    </row>
    <row r="153" spans="20:21">
      <c r="T153">
        <v>528</v>
      </c>
      <c r="U153" t="s">
        <v>1066</v>
      </c>
    </row>
    <row r="154" spans="20:21">
      <c r="T154">
        <v>530</v>
      </c>
      <c r="U154" t="s">
        <v>1067</v>
      </c>
    </row>
    <row r="155" spans="20:21">
      <c r="T155">
        <v>532</v>
      </c>
      <c r="U155" t="s">
        <v>1068</v>
      </c>
    </row>
    <row r="156" spans="20:21">
      <c r="T156">
        <v>533</v>
      </c>
      <c r="U156" t="s">
        <v>1069</v>
      </c>
    </row>
    <row r="157" spans="20:21">
      <c r="T157">
        <v>534</v>
      </c>
      <c r="U157" t="s">
        <v>1070</v>
      </c>
    </row>
    <row r="158" spans="20:21">
      <c r="T158">
        <v>537</v>
      </c>
      <c r="U158" t="s">
        <v>301</v>
      </c>
    </row>
    <row r="159" spans="20:21">
      <c r="T159">
        <v>538</v>
      </c>
      <c r="U159" t="s">
        <v>193</v>
      </c>
    </row>
    <row r="160" spans="20:21">
      <c r="T160">
        <v>539</v>
      </c>
      <c r="U160" t="s">
        <v>1071</v>
      </c>
    </row>
    <row r="161" spans="20:21">
      <c r="T161">
        <v>550</v>
      </c>
      <c r="U161" t="s">
        <v>210</v>
      </c>
    </row>
    <row r="162" spans="20:21">
      <c r="T162">
        <v>551</v>
      </c>
      <c r="U162" t="s">
        <v>1072</v>
      </c>
    </row>
    <row r="163" spans="20:21">
      <c r="T163">
        <v>552</v>
      </c>
      <c r="U163" t="s">
        <v>250</v>
      </c>
    </row>
    <row r="164" spans="20:21">
      <c r="T164">
        <v>565</v>
      </c>
      <c r="U164" t="s">
        <v>1073</v>
      </c>
    </row>
    <row r="165" spans="20:21">
      <c r="T165">
        <v>566</v>
      </c>
      <c r="U165" t="s">
        <v>1074</v>
      </c>
    </row>
    <row r="166" spans="20:21">
      <c r="T166">
        <v>567</v>
      </c>
      <c r="U166" t="s">
        <v>1075</v>
      </c>
    </row>
    <row r="167" spans="20:21">
      <c r="T167">
        <v>568</v>
      </c>
      <c r="U167" t="s">
        <v>1076</v>
      </c>
    </row>
    <row r="168" spans="20:21">
      <c r="T168">
        <v>571</v>
      </c>
      <c r="U168" t="s">
        <v>1077</v>
      </c>
    </row>
    <row r="169" spans="20:21">
      <c r="T169">
        <v>572</v>
      </c>
      <c r="U169" t="s">
        <v>1078</v>
      </c>
    </row>
    <row r="170" spans="20:21">
      <c r="T170">
        <v>573</v>
      </c>
      <c r="U170" t="s">
        <v>1079</v>
      </c>
    </row>
    <row r="171" spans="20:21">
      <c r="T171">
        <v>574</v>
      </c>
      <c r="U171" t="s">
        <v>1080</v>
      </c>
    </row>
    <row r="172" spans="20:21">
      <c r="T172">
        <v>575</v>
      </c>
      <c r="U172" t="s">
        <v>1081</v>
      </c>
    </row>
    <row r="173" spans="20:21">
      <c r="T173">
        <v>576</v>
      </c>
      <c r="U173" t="s">
        <v>1082</v>
      </c>
    </row>
    <row r="174" spans="20:21">
      <c r="T174">
        <v>577</v>
      </c>
      <c r="U174" t="s">
        <v>261</v>
      </c>
    </row>
    <row r="175" spans="20:21">
      <c r="T175">
        <v>600</v>
      </c>
      <c r="U175" t="s">
        <v>1083</v>
      </c>
    </row>
    <row r="176" spans="20:21">
      <c r="T176">
        <v>601</v>
      </c>
      <c r="U176" t="s">
        <v>1084</v>
      </c>
    </row>
    <row r="177" spans="20:21">
      <c r="T177">
        <v>602</v>
      </c>
      <c r="U177" t="s">
        <v>1085</v>
      </c>
    </row>
    <row r="178" spans="20:21">
      <c r="T178">
        <v>603</v>
      </c>
      <c r="U178" t="s">
        <v>291</v>
      </c>
    </row>
    <row r="179" spans="20:21">
      <c r="T179">
        <v>609</v>
      </c>
      <c r="U179" t="s">
        <v>1086</v>
      </c>
    </row>
    <row r="180" spans="20:21">
      <c r="T180">
        <v>610</v>
      </c>
      <c r="U180" t="s">
        <v>1087</v>
      </c>
    </row>
    <row r="181" spans="20:21">
      <c r="T181">
        <v>611</v>
      </c>
      <c r="U181" t="s">
        <v>1088</v>
      </c>
    </row>
    <row r="182" spans="20:21">
      <c r="T182">
        <v>612</v>
      </c>
      <c r="U182" t="s">
        <v>1089</v>
      </c>
    </row>
    <row r="183" spans="20:21">
      <c r="T183">
        <v>613</v>
      </c>
      <c r="U183" t="s">
        <v>1090</v>
      </c>
    </row>
    <row r="184" spans="20:21">
      <c r="T184">
        <v>615</v>
      </c>
      <c r="U184" t="s">
        <v>1091</v>
      </c>
    </row>
    <row r="185" spans="20:21">
      <c r="T185">
        <v>616</v>
      </c>
      <c r="U185" t="s">
        <v>1092</v>
      </c>
    </row>
    <row r="186" spans="20:21">
      <c r="T186">
        <v>619</v>
      </c>
      <c r="U186" t="s">
        <v>1093</v>
      </c>
    </row>
    <row r="187" spans="20:21">
      <c r="T187">
        <v>621</v>
      </c>
      <c r="U187" t="s">
        <v>287</v>
      </c>
    </row>
    <row r="188" spans="20:21">
      <c r="T188">
        <v>622</v>
      </c>
      <c r="U188" t="s">
        <v>1094</v>
      </c>
    </row>
    <row r="189" spans="20:21">
      <c r="T189">
        <v>623</v>
      </c>
      <c r="U189" t="s">
        <v>1095</v>
      </c>
    </row>
    <row r="190" spans="20:21">
      <c r="T190">
        <v>624</v>
      </c>
      <c r="U190" t="s">
        <v>1096</v>
      </c>
    </row>
    <row r="191" spans="20:21">
      <c r="T191">
        <v>625</v>
      </c>
      <c r="U191" t="s">
        <v>1097</v>
      </c>
    </row>
    <row r="192" spans="20:21">
      <c r="T192">
        <v>626</v>
      </c>
      <c r="U192" t="s">
        <v>1098</v>
      </c>
    </row>
    <row r="193" spans="20:21">
      <c r="T193">
        <v>627</v>
      </c>
      <c r="U193" t="s">
        <v>1099</v>
      </c>
    </row>
    <row r="194" spans="20:21">
      <c r="T194">
        <v>628</v>
      </c>
      <c r="U194" t="s">
        <v>1100</v>
      </c>
    </row>
    <row r="195" spans="20:21">
      <c r="T195">
        <v>629</v>
      </c>
      <c r="U195" t="s">
        <v>1101</v>
      </c>
    </row>
    <row r="196" spans="20:21">
      <c r="T196">
        <v>700</v>
      </c>
      <c r="U196" t="s">
        <v>238</v>
      </c>
    </row>
    <row r="197" spans="20:21">
      <c r="T197">
        <v>702</v>
      </c>
      <c r="U197" t="s">
        <v>1102</v>
      </c>
    </row>
    <row r="198" spans="20:21">
      <c r="T198">
        <v>703</v>
      </c>
      <c r="U198" t="s">
        <v>1103</v>
      </c>
    </row>
    <row r="199" spans="20:21">
      <c r="T199">
        <v>707</v>
      </c>
      <c r="U199" t="s">
        <v>1104</v>
      </c>
    </row>
    <row r="200" spans="20:21">
      <c r="T200">
        <v>708</v>
      </c>
      <c r="U200" t="s">
        <v>1105</v>
      </c>
    </row>
    <row r="201" spans="20:21">
      <c r="T201">
        <v>711</v>
      </c>
      <c r="U201" t="s">
        <v>1106</v>
      </c>
    </row>
    <row r="202" spans="20:21">
      <c r="T202">
        <v>715</v>
      </c>
      <c r="U202" t="s">
        <v>1107</v>
      </c>
    </row>
    <row r="203" spans="20:21">
      <c r="T203">
        <v>716</v>
      </c>
      <c r="U203" t="s">
        <v>1108</v>
      </c>
    </row>
    <row r="204" spans="20:21">
      <c r="T204">
        <v>717</v>
      </c>
      <c r="U204" t="s">
        <v>1109</v>
      </c>
    </row>
    <row r="205" spans="20:21">
      <c r="T205">
        <v>718</v>
      </c>
      <c r="U205" t="s">
        <v>1110</v>
      </c>
    </row>
    <row r="206" spans="20:21">
      <c r="T206">
        <v>719</v>
      </c>
      <c r="U206" t="s">
        <v>1111</v>
      </c>
    </row>
    <row r="207" spans="20:21">
      <c r="T207">
        <v>720</v>
      </c>
      <c r="U207" t="s">
        <v>1112</v>
      </c>
    </row>
    <row r="208" spans="20:21">
      <c r="T208">
        <v>721</v>
      </c>
      <c r="U208" t="s">
        <v>1113</v>
      </c>
    </row>
    <row r="209" spans="20:21">
      <c r="T209">
        <v>722</v>
      </c>
      <c r="U209" t="s">
        <v>251</v>
      </c>
    </row>
    <row r="210" spans="20:21">
      <c r="T210">
        <v>728</v>
      </c>
      <c r="U210" t="s">
        <v>1114</v>
      </c>
    </row>
    <row r="211" spans="20:21">
      <c r="T211">
        <v>800</v>
      </c>
      <c r="U211" t="s">
        <v>236</v>
      </c>
    </row>
    <row r="212" spans="20:21">
      <c r="T212">
        <v>802</v>
      </c>
      <c r="U212" t="s">
        <v>1115</v>
      </c>
    </row>
    <row r="213" spans="20:21">
      <c r="T213">
        <v>803</v>
      </c>
      <c r="U213" t="s">
        <v>225</v>
      </c>
    </row>
    <row r="214" spans="20:21">
      <c r="T214">
        <v>804</v>
      </c>
      <c r="U214" t="s">
        <v>263</v>
      </c>
    </row>
    <row r="215" spans="20:21">
      <c r="T215">
        <v>806</v>
      </c>
      <c r="U215" t="s">
        <v>1116</v>
      </c>
    </row>
    <row r="216" spans="20:21">
      <c r="T216">
        <v>811</v>
      </c>
      <c r="U216" t="s">
        <v>1117</v>
      </c>
    </row>
    <row r="217" spans="20:21">
      <c r="T217">
        <v>812</v>
      </c>
      <c r="U217" t="s">
        <v>186</v>
      </c>
    </row>
    <row r="218" spans="20:21">
      <c r="T218">
        <v>813</v>
      </c>
      <c r="U218" t="s">
        <v>226</v>
      </c>
    </row>
    <row r="219" spans="20:21">
      <c r="T219">
        <v>814</v>
      </c>
      <c r="U219" t="s">
        <v>1118</v>
      </c>
    </row>
    <row r="220" spans="20:21">
      <c r="T220">
        <v>816</v>
      </c>
      <c r="U220" t="s">
        <v>1119</v>
      </c>
    </row>
    <row r="221" spans="20:21">
      <c r="T221">
        <v>817</v>
      </c>
      <c r="U221" t="s">
        <v>1120</v>
      </c>
    </row>
    <row r="222" spans="20:21">
      <c r="T222">
        <v>819</v>
      </c>
      <c r="U222" t="s">
        <v>1121</v>
      </c>
    </row>
    <row r="223" spans="20:21">
      <c r="T223">
        <v>820</v>
      </c>
      <c r="U223" t="s">
        <v>1122</v>
      </c>
    </row>
    <row r="224" spans="20:21">
      <c r="T224">
        <v>823</v>
      </c>
      <c r="U224" t="s">
        <v>1123</v>
      </c>
    </row>
    <row r="225" spans="20:21">
      <c r="T225">
        <v>825</v>
      </c>
      <c r="U225" t="s">
        <v>1124</v>
      </c>
    </row>
    <row r="226" spans="20:21">
      <c r="T226">
        <v>828</v>
      </c>
      <c r="U226" t="s">
        <v>1125</v>
      </c>
    </row>
    <row r="227" spans="20:21">
      <c r="T227">
        <v>829</v>
      </c>
      <c r="U227" t="s">
        <v>1126</v>
      </c>
    </row>
    <row r="228" spans="20:21">
      <c r="T228">
        <v>900</v>
      </c>
      <c r="U228" t="s">
        <v>245</v>
      </c>
    </row>
    <row r="229" spans="20:21">
      <c r="T229">
        <v>901</v>
      </c>
      <c r="U229" t="s">
        <v>1127</v>
      </c>
    </row>
    <row r="230" spans="20:21">
      <c r="T230">
        <v>902</v>
      </c>
      <c r="U230" t="s">
        <v>1128</v>
      </c>
    </row>
    <row r="231" spans="20:21">
      <c r="T231">
        <v>903</v>
      </c>
      <c r="U231" t="s">
        <v>1129</v>
      </c>
    </row>
    <row r="232" spans="20:21">
      <c r="T232">
        <v>904</v>
      </c>
      <c r="U232" t="s">
        <v>1130</v>
      </c>
    </row>
    <row r="233" spans="20:21">
      <c r="T233">
        <v>905</v>
      </c>
      <c r="U233" t="s">
        <v>192</v>
      </c>
    </row>
    <row r="234" spans="20:21">
      <c r="T234">
        <v>906</v>
      </c>
      <c r="U234" t="s">
        <v>1131</v>
      </c>
    </row>
    <row r="235" spans="20:21">
      <c r="T235">
        <v>907</v>
      </c>
      <c r="U235" t="s">
        <v>197</v>
      </c>
    </row>
    <row r="236" spans="20:21">
      <c r="T236">
        <v>908</v>
      </c>
      <c r="U236" t="s">
        <v>1132</v>
      </c>
    </row>
    <row r="237" spans="20:21">
      <c r="T237">
        <v>911</v>
      </c>
      <c r="U237" t="s">
        <v>265</v>
      </c>
    </row>
    <row r="238" spans="20:21">
      <c r="T238">
        <v>912</v>
      </c>
      <c r="U238" t="s">
        <v>1133</v>
      </c>
    </row>
    <row r="239" spans="20:21">
      <c r="T239">
        <v>913</v>
      </c>
      <c r="U239" t="s">
        <v>1134</v>
      </c>
    </row>
    <row r="240" spans="20:21">
      <c r="T240">
        <v>914</v>
      </c>
      <c r="U240" t="s">
        <v>1135</v>
      </c>
    </row>
    <row r="241" spans="20:21">
      <c r="T241">
        <v>915</v>
      </c>
      <c r="U241" t="s">
        <v>1136</v>
      </c>
    </row>
    <row r="242" spans="20:21">
      <c r="T242">
        <v>916</v>
      </c>
      <c r="U242" t="s">
        <v>191</v>
      </c>
    </row>
    <row r="243" spans="20:21">
      <c r="T243">
        <v>917</v>
      </c>
      <c r="U243" t="s">
        <v>1137</v>
      </c>
    </row>
    <row r="244" spans="20:21">
      <c r="T244">
        <v>932</v>
      </c>
      <c r="U244" t="s">
        <v>1138</v>
      </c>
    </row>
    <row r="245" spans="20:21">
      <c r="T245">
        <v>1800</v>
      </c>
      <c r="U245" t="s">
        <v>1139</v>
      </c>
    </row>
    <row r="246" spans="20:21">
      <c r="T246">
        <v>1801</v>
      </c>
      <c r="U246" t="s">
        <v>1140</v>
      </c>
    </row>
    <row r="247" spans="20:21">
      <c r="T247">
        <v>1812</v>
      </c>
      <c r="U247" t="s">
        <v>1141</v>
      </c>
    </row>
    <row r="248" spans="20:21">
      <c r="T248">
        <v>1813</v>
      </c>
      <c r="U248" t="s">
        <v>196</v>
      </c>
    </row>
    <row r="249" spans="20:21">
      <c r="T249">
        <v>1814</v>
      </c>
      <c r="U249" t="s">
        <v>1142</v>
      </c>
    </row>
    <row r="250" spans="20:21">
      <c r="T250">
        <v>1816</v>
      </c>
      <c r="U250" t="s">
        <v>1143</v>
      </c>
    </row>
    <row r="251" spans="20:21">
      <c r="T251">
        <v>1817</v>
      </c>
      <c r="U251" t="s">
        <v>1144</v>
      </c>
    </row>
    <row r="252" spans="20:21">
      <c r="T252">
        <v>1818</v>
      </c>
      <c r="U252" t="s">
        <v>1145</v>
      </c>
    </row>
    <row r="253" spans="20:21">
      <c r="T253">
        <v>1819</v>
      </c>
      <c r="U253" t="s">
        <v>1146</v>
      </c>
    </row>
    <row r="254" spans="20:21">
      <c r="T254">
        <v>1820</v>
      </c>
      <c r="U254" t="s">
        <v>1147</v>
      </c>
    </row>
    <row r="255" spans="20:21">
      <c r="T255">
        <v>1821</v>
      </c>
      <c r="U255" t="s">
        <v>214</v>
      </c>
    </row>
    <row r="256" spans="20:21">
      <c r="T256">
        <v>1822</v>
      </c>
      <c r="U256" t="s">
        <v>1148</v>
      </c>
    </row>
    <row r="257" spans="20:21">
      <c r="T257">
        <v>1823</v>
      </c>
      <c r="U257" t="s">
        <v>1149</v>
      </c>
    </row>
    <row r="258" spans="20:21">
      <c r="T258">
        <v>1824</v>
      </c>
      <c r="U258" t="s">
        <v>1150</v>
      </c>
    </row>
    <row r="259" spans="20:21">
      <c r="T259">
        <v>1825</v>
      </c>
      <c r="U259" t="s">
        <v>299</v>
      </c>
    </row>
    <row r="260" spans="20:21">
      <c r="T260">
        <v>1828</v>
      </c>
      <c r="U260" t="s">
        <v>266</v>
      </c>
    </row>
    <row r="261" spans="20:21">
      <c r="T261">
        <v>1832</v>
      </c>
      <c r="U261" t="s">
        <v>1151</v>
      </c>
    </row>
    <row r="262" spans="20:21">
      <c r="T262">
        <v>1833</v>
      </c>
      <c r="U262" t="s">
        <v>289</v>
      </c>
    </row>
    <row r="263" spans="20:21">
      <c r="T263">
        <v>1834</v>
      </c>
      <c r="U263" t="s">
        <v>1152</v>
      </c>
    </row>
    <row r="264" spans="20:21">
      <c r="T264">
        <v>1835</v>
      </c>
      <c r="U264" t="s">
        <v>1153</v>
      </c>
    </row>
    <row r="265" spans="20:21">
      <c r="T265">
        <v>1836</v>
      </c>
      <c r="U265" t="s">
        <v>1154</v>
      </c>
    </row>
    <row r="266" spans="20:21">
      <c r="T266">
        <v>1835</v>
      </c>
      <c r="U266" t="s">
        <v>1155</v>
      </c>
    </row>
    <row r="267" spans="20:21">
      <c r="T267">
        <v>1838</v>
      </c>
      <c r="U267" t="s">
        <v>1156</v>
      </c>
    </row>
    <row r="268" spans="20:21">
      <c r="T268">
        <v>1840</v>
      </c>
      <c r="U268" t="s">
        <v>1157</v>
      </c>
    </row>
    <row r="269" spans="20:21">
      <c r="T269">
        <v>1874</v>
      </c>
      <c r="U269" t="s">
        <v>1158</v>
      </c>
    </row>
    <row r="270" spans="20:21">
      <c r="T270">
        <v>1875</v>
      </c>
      <c r="U270" t="s">
        <v>1159</v>
      </c>
    </row>
    <row r="271" spans="20:21">
      <c r="T271">
        <v>1876</v>
      </c>
      <c r="U271" t="s">
        <v>1160</v>
      </c>
    </row>
    <row r="272" spans="20:21">
      <c r="T272">
        <v>1878</v>
      </c>
      <c r="U272" t="s">
        <v>1161</v>
      </c>
    </row>
    <row r="273" spans="20:21">
      <c r="T273">
        <v>1879</v>
      </c>
      <c r="U273" t="s">
        <v>1162</v>
      </c>
    </row>
    <row r="274" spans="20:21">
      <c r="T274">
        <v>1880</v>
      </c>
      <c r="U274" t="s">
        <v>1163</v>
      </c>
    </row>
    <row r="275" spans="20:21">
      <c r="T275">
        <v>1882</v>
      </c>
      <c r="U275" t="s">
        <v>1164</v>
      </c>
    </row>
    <row r="276" spans="20:21">
      <c r="T276">
        <v>1885</v>
      </c>
      <c r="U276" t="s">
        <v>1165</v>
      </c>
    </row>
    <row r="277" spans="20:21">
      <c r="T277">
        <v>1893</v>
      </c>
      <c r="U277" t="s">
        <v>246</v>
      </c>
    </row>
    <row r="278" spans="20:21">
      <c r="T278">
        <v>1894</v>
      </c>
      <c r="U278" t="s">
        <v>184</v>
      </c>
    </row>
    <row r="279" spans="20:21">
      <c r="T279">
        <v>1895</v>
      </c>
      <c r="U279" t="s">
        <v>1166</v>
      </c>
    </row>
    <row r="280" spans="20:21">
      <c r="T280">
        <v>1896</v>
      </c>
      <c r="U280" t="s">
        <v>1167</v>
      </c>
    </row>
    <row r="281" spans="20:21">
      <c r="T281">
        <v>1899</v>
      </c>
      <c r="U281" t="s">
        <v>1168</v>
      </c>
    </row>
    <row r="282" spans="20:21">
      <c r="T282">
        <v>1909</v>
      </c>
      <c r="U282" t="s">
        <v>1169</v>
      </c>
    </row>
    <row r="283" spans="20:21">
      <c r="T283">
        <v>1910</v>
      </c>
      <c r="U283" t="s">
        <v>1170</v>
      </c>
    </row>
    <row r="284" spans="20:21">
      <c r="T284">
        <v>1911</v>
      </c>
      <c r="U284" t="s">
        <v>1171</v>
      </c>
    </row>
    <row r="285" spans="20:21">
      <c r="T285">
        <v>1912</v>
      </c>
      <c r="U285" t="s">
        <v>1172</v>
      </c>
    </row>
    <row r="286" spans="20:21">
      <c r="T286">
        <v>1913</v>
      </c>
      <c r="U286" t="s">
        <v>1173</v>
      </c>
    </row>
    <row r="287" spans="20:21">
      <c r="T287">
        <v>1914</v>
      </c>
      <c r="U287" t="s">
        <v>1174</v>
      </c>
    </row>
    <row r="288" spans="20:21">
      <c r="T288">
        <v>1915</v>
      </c>
      <c r="U288" t="s">
        <v>1175</v>
      </c>
    </row>
    <row r="289" spans="20:21">
      <c r="T289">
        <v>1917</v>
      </c>
      <c r="U289" t="s">
        <v>1176</v>
      </c>
    </row>
    <row r="290" spans="20:21">
      <c r="T290">
        <v>2100</v>
      </c>
      <c r="U290" t="s">
        <v>1177</v>
      </c>
    </row>
    <row r="291" spans="20:21">
      <c r="T291">
        <v>2101</v>
      </c>
      <c r="U291" t="s">
        <v>1178</v>
      </c>
    </row>
    <row r="292" spans="20:21">
      <c r="T292">
        <v>2102</v>
      </c>
      <c r="U292" t="s">
        <v>237</v>
      </c>
    </row>
    <row r="293" spans="20:21">
      <c r="T293">
        <v>2106</v>
      </c>
      <c r="U293" t="s">
        <v>244</v>
      </c>
    </row>
    <row r="294" spans="20:21">
      <c r="T294">
        <v>2107</v>
      </c>
      <c r="U294" t="s">
        <v>267</v>
      </c>
    </row>
    <row r="295" spans="20:21">
      <c r="T295">
        <v>2113</v>
      </c>
      <c r="U295" t="s">
        <v>1179</v>
      </c>
    </row>
    <row r="296" spans="20:21">
      <c r="T296">
        <v>2114</v>
      </c>
      <c r="U296" t="s">
        <v>183</v>
      </c>
    </row>
    <row r="297" spans="20:21">
      <c r="T297">
        <v>2115</v>
      </c>
      <c r="U297" t="s">
        <v>1180</v>
      </c>
    </row>
    <row r="298" spans="20:21">
      <c r="T298">
        <v>2116</v>
      </c>
      <c r="U298" t="s">
        <v>1181</v>
      </c>
    </row>
    <row r="299" spans="20:21">
      <c r="T299">
        <v>2117</v>
      </c>
      <c r="U299" t="s">
        <v>1182</v>
      </c>
    </row>
    <row r="300" spans="20:21">
      <c r="T300">
        <v>2118</v>
      </c>
      <c r="U300" t="s">
        <v>187</v>
      </c>
    </row>
    <row r="301" spans="20:21">
      <c r="T301">
        <v>2119</v>
      </c>
      <c r="U301" t="s">
        <v>1183</v>
      </c>
    </row>
    <row r="302" spans="20:21">
      <c r="T302">
        <v>2120</v>
      </c>
      <c r="U302" t="s">
        <v>1184</v>
      </c>
    </row>
    <row r="303" spans="20:21">
      <c r="T303">
        <v>2124</v>
      </c>
      <c r="U303" t="s">
        <v>1185</v>
      </c>
    </row>
    <row r="304" spans="20:21">
      <c r="T304">
        <v>2125</v>
      </c>
      <c r="U304" t="s">
        <v>1186</v>
      </c>
    </row>
    <row r="305" spans="20:21">
      <c r="T305">
        <v>2129</v>
      </c>
      <c r="U305" t="s">
        <v>1187</v>
      </c>
    </row>
    <row r="306" spans="20:21">
      <c r="T306">
        <v>2130</v>
      </c>
      <c r="U306" t="s">
        <v>1188</v>
      </c>
    </row>
    <row r="307" spans="20:21">
      <c r="T307">
        <v>2131</v>
      </c>
      <c r="U307" t="s">
        <v>1189</v>
      </c>
    </row>
    <row r="308" spans="20:21">
      <c r="T308">
        <v>2198</v>
      </c>
      <c r="U308" t="s">
        <v>1190</v>
      </c>
    </row>
    <row r="309" spans="20:21">
      <c r="T309">
        <v>5200</v>
      </c>
      <c r="U309" t="s">
        <v>293</v>
      </c>
    </row>
    <row r="310" spans="20:21">
      <c r="T310">
        <v>5201</v>
      </c>
      <c r="U310" t="s">
        <v>229</v>
      </c>
    </row>
    <row r="311" spans="20:21">
      <c r="T311">
        <v>5202</v>
      </c>
      <c r="U311" t="s">
        <v>259</v>
      </c>
    </row>
    <row r="312" spans="20:21">
      <c r="T312">
        <v>5203</v>
      </c>
      <c r="U312" t="s">
        <v>215</v>
      </c>
    </row>
    <row r="313" spans="20:21">
      <c r="T313">
        <v>5204</v>
      </c>
      <c r="U313" t="s">
        <v>198</v>
      </c>
    </row>
    <row r="314" spans="20:21">
      <c r="T314">
        <v>5205</v>
      </c>
      <c r="U314" t="s">
        <v>228</v>
      </c>
    </row>
    <row r="315" spans="20:21">
      <c r="T315">
        <v>5206</v>
      </c>
      <c r="U315" t="s">
        <v>1191</v>
      </c>
    </row>
    <row r="316" spans="20:21">
      <c r="T316">
        <v>5207</v>
      </c>
      <c r="U316" t="s">
        <v>204</v>
      </c>
    </row>
    <row r="317" spans="20:21">
      <c r="T317">
        <v>5208</v>
      </c>
      <c r="U317" t="s">
        <v>1192</v>
      </c>
    </row>
    <row r="318" spans="20:21">
      <c r="T318">
        <v>5209</v>
      </c>
      <c r="U318" t="s">
        <v>1193</v>
      </c>
    </row>
    <row r="319" spans="20:21">
      <c r="T319">
        <v>5210</v>
      </c>
      <c r="U319" t="s">
        <v>206</v>
      </c>
    </row>
    <row r="320" spans="20:21">
      <c r="T320">
        <v>5212</v>
      </c>
      <c r="U320" t="s">
        <v>188</v>
      </c>
    </row>
    <row r="321" spans="20:21">
      <c r="T321">
        <v>5213</v>
      </c>
      <c r="U321" t="s">
        <v>1194</v>
      </c>
    </row>
    <row r="322" spans="20:21">
      <c r="T322">
        <v>5213</v>
      </c>
      <c r="U322" t="s">
        <v>1195</v>
      </c>
    </row>
    <row r="323" spans="20:21">
      <c r="T323">
        <v>5215</v>
      </c>
      <c r="U323" t="s">
        <v>241</v>
      </c>
    </row>
    <row r="324" spans="20:21">
      <c r="T324">
        <v>5216</v>
      </c>
      <c r="U324" t="s">
        <v>213</v>
      </c>
    </row>
    <row r="325" spans="20:21">
      <c r="T325">
        <v>5217</v>
      </c>
      <c r="U325" t="s">
        <v>207</v>
      </c>
    </row>
    <row r="326" spans="20:21">
      <c r="T326">
        <v>5218</v>
      </c>
      <c r="U326" t="s">
        <v>1196</v>
      </c>
    </row>
    <row r="327" spans="20:21">
      <c r="T327">
        <v>5219</v>
      </c>
      <c r="U327" t="s">
        <v>194</v>
      </c>
    </row>
    <row r="328" spans="20:21">
      <c r="T328">
        <v>5220</v>
      </c>
      <c r="U328" t="s">
        <v>290</v>
      </c>
    </row>
    <row r="329" spans="20:21">
      <c r="T329">
        <v>5221</v>
      </c>
      <c r="U329" t="s">
        <v>288</v>
      </c>
    </row>
    <row r="330" spans="20:21">
      <c r="T330">
        <v>5222</v>
      </c>
      <c r="U330" t="s">
        <v>243</v>
      </c>
    </row>
    <row r="331" spans="20:21">
      <c r="T331">
        <v>5223</v>
      </c>
      <c r="U331" t="s">
        <v>1197</v>
      </c>
    </row>
    <row r="332" spans="20:21">
      <c r="T332">
        <v>5224</v>
      </c>
      <c r="U332" t="s">
        <v>279</v>
      </c>
    </row>
    <row r="333" spans="20:21">
      <c r="T333">
        <v>5225</v>
      </c>
      <c r="U333" t="s">
        <v>304</v>
      </c>
    </row>
    <row r="334" spans="20:21">
      <c r="T334">
        <v>5227</v>
      </c>
      <c r="U334" t="s">
        <v>278</v>
      </c>
    </row>
    <row r="335" spans="20:21">
      <c r="T335">
        <v>5228</v>
      </c>
      <c r="U335" t="s">
        <v>239</v>
      </c>
    </row>
    <row r="336" spans="20:21">
      <c r="T336">
        <v>5229</v>
      </c>
      <c r="U336" t="s">
        <v>1198</v>
      </c>
    </row>
    <row r="337" spans="20:21">
      <c r="T337">
        <v>5230</v>
      </c>
      <c r="U337" t="s">
        <v>1199</v>
      </c>
    </row>
    <row r="338" spans="20:21">
      <c r="T338">
        <v>5231</v>
      </c>
      <c r="U338" t="s">
        <v>1200</v>
      </c>
    </row>
    <row r="339" spans="20:21">
      <c r="T339">
        <v>5232</v>
      </c>
      <c r="U339" t="s">
        <v>1201</v>
      </c>
    </row>
    <row r="340" spans="20:21">
      <c r="T340">
        <v>5233</v>
      </c>
      <c r="U340" t="s">
        <v>1202</v>
      </c>
    </row>
    <row r="341" spans="20:21">
      <c r="T341">
        <v>5234</v>
      </c>
      <c r="U341" t="s">
        <v>202</v>
      </c>
    </row>
    <row r="342" spans="20:21">
      <c r="T342">
        <v>5235</v>
      </c>
      <c r="U342" t="s">
        <v>1203</v>
      </c>
    </row>
    <row r="343" spans="20:21">
      <c r="T343">
        <v>5236</v>
      </c>
      <c r="U343" t="s">
        <v>199</v>
      </c>
    </row>
    <row r="344" spans="20:21">
      <c r="T344">
        <v>5237</v>
      </c>
      <c r="U344" t="s">
        <v>200</v>
      </c>
    </row>
    <row r="345" spans="20:21">
      <c r="T345">
        <v>5238</v>
      </c>
      <c r="U345" t="s">
        <v>201</v>
      </c>
    </row>
    <row r="346" spans="20:21">
      <c r="T346">
        <v>5239</v>
      </c>
      <c r="U346" t="s">
        <v>1204</v>
      </c>
    </row>
    <row r="347" spans="20:21">
      <c r="T347">
        <v>5240</v>
      </c>
      <c r="U347" t="s">
        <v>285</v>
      </c>
    </row>
    <row r="348" spans="20:21">
      <c r="T348">
        <v>5241</v>
      </c>
      <c r="U348" t="s">
        <v>1205</v>
      </c>
    </row>
    <row r="349" spans="20:21">
      <c r="T349">
        <v>5242</v>
      </c>
      <c r="U349" t="s">
        <v>1206</v>
      </c>
    </row>
    <row r="350" spans="20:21">
      <c r="T350">
        <v>5243</v>
      </c>
      <c r="U350" t="s">
        <v>203</v>
      </c>
    </row>
    <row r="351" spans="20:21">
      <c r="T351">
        <v>5244</v>
      </c>
      <c r="U351" t="s">
        <v>1207</v>
      </c>
    </row>
    <row r="352" spans="20:21">
      <c r="T352">
        <v>5245</v>
      </c>
      <c r="U352" t="s">
        <v>1208</v>
      </c>
    </row>
    <row r="353" spans="20:21">
      <c r="T353">
        <v>5246</v>
      </c>
      <c r="U353" t="s">
        <v>1209</v>
      </c>
    </row>
    <row r="354" spans="20:21">
      <c r="T354">
        <v>5247</v>
      </c>
      <c r="U354" t="s">
        <v>264</v>
      </c>
    </row>
    <row r="355" spans="20:21">
      <c r="T355">
        <v>5248</v>
      </c>
      <c r="U355" t="s">
        <v>182</v>
      </c>
    </row>
    <row r="356" spans="20:21">
      <c r="T356">
        <v>5249</v>
      </c>
      <c r="U356" t="s">
        <v>1210</v>
      </c>
    </row>
    <row r="357" spans="20:21">
      <c r="T357">
        <v>5250</v>
      </c>
      <c r="U357" t="s">
        <v>1211</v>
      </c>
    </row>
    <row r="358" spans="20:21">
      <c r="T358">
        <v>5251</v>
      </c>
      <c r="U358" t="s">
        <v>181</v>
      </c>
    </row>
    <row r="359" spans="20:21">
      <c r="T359">
        <v>5252</v>
      </c>
      <c r="U359" t="s">
        <v>1212</v>
      </c>
    </row>
    <row r="360" spans="20:21">
      <c r="T360">
        <v>5253</v>
      </c>
      <c r="U360" t="s">
        <v>1213</v>
      </c>
    </row>
    <row r="361" spans="20:21">
      <c r="T361">
        <v>5254</v>
      </c>
      <c r="U361" t="s">
        <v>205</v>
      </c>
    </row>
    <row r="362" spans="20:21">
      <c r="T362">
        <v>5255</v>
      </c>
      <c r="U362" t="s">
        <v>1214</v>
      </c>
    </row>
    <row r="363" spans="20:21">
      <c r="T363">
        <v>5256</v>
      </c>
      <c r="U363" t="s">
        <v>1215</v>
      </c>
    </row>
    <row r="364" spans="20:21">
      <c r="T364">
        <v>5257</v>
      </c>
      <c r="U364" t="s">
        <v>1216</v>
      </c>
    </row>
    <row r="365" spans="20:21">
      <c r="T365">
        <v>5258</v>
      </c>
      <c r="U365" t="s">
        <v>1217</v>
      </c>
    </row>
    <row r="366" spans="20:21">
      <c r="T366">
        <v>5259</v>
      </c>
      <c r="U366" t="s">
        <v>1218</v>
      </c>
    </row>
    <row r="367" spans="20:21">
      <c r="T367">
        <v>5260</v>
      </c>
      <c r="U367" t="s">
        <v>235</v>
      </c>
    </row>
    <row r="368" spans="20:21">
      <c r="T368">
        <v>5261</v>
      </c>
      <c r="U368" t="s">
        <v>1219</v>
      </c>
    </row>
    <row r="369" spans="20:21">
      <c r="T369">
        <v>5262</v>
      </c>
      <c r="U369" t="s">
        <v>1220</v>
      </c>
    </row>
    <row r="370" spans="20:21">
      <c r="T370">
        <v>5263</v>
      </c>
      <c r="U370" t="s">
        <v>189</v>
      </c>
    </row>
    <row r="371" spans="20:21">
      <c r="T371">
        <v>5264</v>
      </c>
      <c r="U371" t="s">
        <v>1221</v>
      </c>
    </row>
    <row r="372" spans="20:21">
      <c r="T372">
        <v>5265</v>
      </c>
      <c r="U372" t="s">
        <v>1222</v>
      </c>
    </row>
    <row r="373" spans="20:21">
      <c r="T373">
        <v>5266</v>
      </c>
      <c r="U373" t="s">
        <v>1223</v>
      </c>
    </row>
    <row r="374" spans="20:21">
      <c r="T374">
        <v>5267</v>
      </c>
      <c r="U374" t="s">
        <v>1224</v>
      </c>
    </row>
    <row r="375" spans="20:21">
      <c r="T375">
        <v>5268</v>
      </c>
      <c r="U375" t="s">
        <v>219</v>
      </c>
    </row>
    <row r="376" spans="20:21">
      <c r="T376">
        <v>5269</v>
      </c>
      <c r="U376" t="s">
        <v>1225</v>
      </c>
    </row>
    <row r="377" spans="20:21">
      <c r="T377">
        <v>5270</v>
      </c>
      <c r="U377" t="s">
        <v>1226</v>
      </c>
    </row>
    <row r="378" spans="20:21">
      <c r="T378">
        <v>2509</v>
      </c>
      <c r="U378" t="s">
        <v>269</v>
      </c>
    </row>
    <row r="379" spans="20:21">
      <c r="T379" t="s">
        <v>523</v>
      </c>
      <c r="U379" t="s">
        <v>230</v>
      </c>
    </row>
    <row r="380" spans="20:21">
      <c r="T380" t="s">
        <v>1227</v>
      </c>
      <c r="U380" t="s">
        <v>283</v>
      </c>
    </row>
    <row r="381" spans="20:21">
      <c r="T381" t="s">
        <v>1228</v>
      </c>
      <c r="U381" t="s">
        <v>282</v>
      </c>
    </row>
    <row r="382" spans="20:21">
      <c r="T382" t="s">
        <v>1229</v>
      </c>
      <c r="U382" t="s">
        <v>1230</v>
      </c>
    </row>
    <row r="383" spans="20:21">
      <c r="T383" t="s">
        <v>1231</v>
      </c>
      <c r="U383" t="s">
        <v>1232</v>
      </c>
    </row>
    <row r="384" spans="20:21">
      <c r="T384" t="s">
        <v>1233</v>
      </c>
      <c r="U384" t="s">
        <v>1234</v>
      </c>
    </row>
    <row r="385" spans="20:21">
      <c r="T385" t="s">
        <v>1235</v>
      </c>
      <c r="U385" t="s">
        <v>271</v>
      </c>
    </row>
    <row r="386" spans="20:21">
      <c r="T386" t="s">
        <v>514</v>
      </c>
      <c r="U386" t="s">
        <v>297</v>
      </c>
    </row>
    <row r="387" spans="20:21">
      <c r="T387" t="s">
        <v>1236</v>
      </c>
      <c r="U387" t="s">
        <v>1237</v>
      </c>
    </row>
    <row r="388" spans="20:21">
      <c r="T388" t="s">
        <v>1238</v>
      </c>
      <c r="U388" t="s">
        <v>1239</v>
      </c>
    </row>
    <row r="389" spans="20:21">
      <c r="T389" t="s">
        <v>1240</v>
      </c>
      <c r="U389" t="s">
        <v>1241</v>
      </c>
    </row>
    <row r="390" spans="20:21">
      <c r="T390" t="s">
        <v>1242</v>
      </c>
      <c r="U390" t="s">
        <v>1243</v>
      </c>
    </row>
    <row r="391" spans="20:21">
      <c r="T391" t="s">
        <v>549</v>
      </c>
      <c r="U391" t="s">
        <v>272</v>
      </c>
    </row>
    <row r="392" spans="20:21">
      <c r="T392" t="s">
        <v>615</v>
      </c>
      <c r="U392" t="s">
        <v>273</v>
      </c>
    </row>
    <row r="393" spans="20:21">
      <c r="T393" t="s">
        <v>466</v>
      </c>
      <c r="U393" t="s">
        <v>1244</v>
      </c>
    </row>
    <row r="394" spans="20:21">
      <c r="T394" s="151" t="s">
        <v>1245</v>
      </c>
      <c r="U394" s="152" t="s">
        <v>1246</v>
      </c>
    </row>
    <row r="395" spans="20:21">
      <c r="T395" s="165" t="s">
        <v>1247</v>
      </c>
      <c r="U395" s="166" t="s">
        <v>286</v>
      </c>
    </row>
    <row r="396" spans="20:21">
      <c r="T396" s="158" t="s">
        <v>1248</v>
      </c>
      <c r="U396" s="135" t="s">
        <v>303</v>
      </c>
    </row>
  </sheetData>
  <mergeCells count="1">
    <mergeCell ref="W1:Y1"/>
  </mergeCells>
  <phoneticPr fontId="9" type="noConversion"/>
  <conditionalFormatting sqref="T394:T396">
    <cfRule type="duplicateValues" dxfId="0" priority="1"/>
  </conditionalFormatting>
  <hyperlinks>
    <hyperlink ref="B3" r:id="rId1" display="O@R1" xr:uid="{00000000-0004-0000-0C00-000000000000}"/>
    <hyperlink ref="B4:B41" r:id="rId2" display="O@R1" xr:uid="{00000000-0004-0000-0C00-000001000000}"/>
    <hyperlink ref="B42" r:id="rId3" display="O@R1" xr:uid="{00000000-0004-0000-0C00-000002000000}"/>
    <hyperlink ref="B54" r:id="rId4" display="O@R1" xr:uid="{00000000-0004-0000-0C00-000003000000}"/>
    <hyperlink ref="B55" r:id="rId5" display="O@R1" xr:uid="{00000000-0004-0000-0C00-000004000000}"/>
    <hyperlink ref="B56" r:id="rId6" display="O@R1" xr:uid="{00000000-0004-0000-0C00-000005000000}"/>
    <hyperlink ref="B43:B53" r:id="rId7" display="O@R1" xr:uid="{00000000-0004-0000-0C00-000006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FF9A66E-147B-4023-A1F8-9A2634870787}"/>
</file>

<file path=customXml/itemProps2.xml><?xml version="1.0" encoding="utf-8"?>
<ds:datastoreItem xmlns:ds="http://schemas.openxmlformats.org/officeDocument/2006/customXml" ds:itemID="{E6E189CC-30F2-45D0-9889-4F0D3E12DE92}"/>
</file>

<file path=customXml/itemProps3.xml><?xml version="1.0" encoding="utf-8"?>
<ds:datastoreItem xmlns:ds="http://schemas.openxmlformats.org/officeDocument/2006/customXml" ds:itemID="{79605C45-923F-4866-AF31-FBC254D9D7F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Nilesh Suresh Waghmare</cp:lastModifiedBy>
  <cp:revision/>
  <dcterms:created xsi:type="dcterms:W3CDTF">2015-06-05T18:17:20Z</dcterms:created>
  <dcterms:modified xsi:type="dcterms:W3CDTF">2025-06-13T03:17:14Z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ediaServiceImageTags">
    <vt:lpwstr/>
  </property>
</Properties>
</file>